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hidePivotFieldList="1" autoCompressPictures="0"/>
  <mc:AlternateContent xmlns:mc="http://schemas.openxmlformats.org/markup-compatibility/2006">
    <mc:Choice Requires="x15">
      <x15ac:absPath xmlns:x15ac="http://schemas.microsoft.com/office/spreadsheetml/2010/11/ac" url="C:\Users\ANDREA_JIMENEZ\Downloads\Lot 2024\Planeacion plan indicativo\"/>
    </mc:Choice>
  </mc:AlternateContent>
  <xr:revisionPtr revIDLastSave="0" documentId="8_{BB7BEB45-E5FF-4F78-8350-9989E2FA91ED}" xr6:coauthVersionLast="45" xr6:coauthVersionMax="45" xr10:uidLastSave="{00000000-0000-0000-0000-000000000000}"/>
  <bookViews>
    <workbookView xWindow="-108" yWindow="-108" windowWidth="19416" windowHeight="10440" tabRatio="500" firstSheet="2" activeTab="5" xr2:uid="{00000000-000D-0000-FFFF-FFFF00000000}"/>
  </bookViews>
  <sheets>
    <sheet name="Plan Indicativo" sheetId="1" state="hidden" r:id="rId1"/>
    <sheet name="Instrucciones" sheetId="24" r:id="rId2"/>
    <sheet name="Datos Enlace" sheetId="22" r:id="rId3"/>
    <sheet name="Hoja1" sheetId="28" state="hidden" r:id="rId4"/>
    <sheet name="Matriz de Referencia" sheetId="19" r:id="rId5"/>
    <sheet name="Parte Estrategica" sheetId="20" r:id="rId6"/>
    <sheet name="ODS" sheetId="8" state="hidden" r:id="rId7"/>
    <sheet name="pilar de paz " sheetId="10" state="hidden" r:id="rId8"/>
    <sheet name="sector fut" sheetId="9" state="hidden" r:id="rId9"/>
    <sheet name="SECTORIALES" sheetId="11" state="hidden" r:id="rId10"/>
    <sheet name="PPI" sheetId="12" state="hidden" r:id="rId11"/>
    <sheet name="Mantenimiento-Incremento" sheetId="29" r:id="rId12"/>
    <sheet name="Plan Abrigo" sheetId="25" r:id="rId13"/>
    <sheet name="Ind Man-Inc" sheetId="30" state="hidden" r:id="rId14"/>
    <sheet name="Parte financiera" sheetId="18" r:id="rId15"/>
    <sheet name="Matriz de control" sheetId="23" state="hidden" r:id="rId16"/>
    <sheet name="Listas Desplegables" sheetId="21" state="hidden" r:id="rId17"/>
    <sheet name="Hoja3" sheetId="27" state="hidden" r:id="rId18"/>
  </sheets>
  <definedNames>
    <definedName name="_xlnm._FilterDatabase" localSheetId="16" hidden="1">'Listas Desplegables'!$A$1:$A$30</definedName>
    <definedName name="_xlnm._FilterDatabase" localSheetId="4" hidden="1">'Matriz de Referencia'!$A$2:$CO$578</definedName>
    <definedName name="_xlnm._FilterDatabase" localSheetId="0" hidden="1">'Plan Indicativo'!$A$3:$DF$1193</definedName>
    <definedName name="_xlcn.WorksheetConnection_MatrizdeReferenciaA2CO5791" hidden="1">'Matriz de Referencia'!$A$2:$CO$578</definedName>
    <definedName name="Dimensión">'Listas Desplegables'!$E$2:$E$7</definedName>
    <definedName name="Dimensión_1">'Listas Desplegables'!$G$2:$G$3</definedName>
    <definedName name="Dimensión_2">'Listas Desplegables'!$I$2:$I$5</definedName>
    <definedName name="Dimensión_3">'Listas Desplegables'!$K$2:$K$3</definedName>
    <definedName name="Dimensión_4">'Listas Desplegables'!$M$2:$M$3</definedName>
    <definedName name="Dimensión_5">'Listas Desplegables'!$O$2:$O$6</definedName>
  </definedNames>
  <calcPr calcId="191029"/>
  <pivotCaches>
    <pivotCache cacheId="0" r:id="rId19"/>
  </pivotCaches>
  <extLst>
    <ext xmlns:x15="http://schemas.microsoft.com/office/spreadsheetml/2010/11/main" uri="{FCE2AD5D-F65C-4FA6-A056-5C36A1767C68}">
      <x15:dataModel>
        <x15:modelTables>
          <x15:modelTable id="Rango" name="Rango" connection="WorksheetConnection_Matriz de Referencia!$A$2:$CO$579"/>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2" i="18" l="1"/>
  <c r="L3" i="25" l="1"/>
  <c r="L4" i="25"/>
  <c r="L5" i="25"/>
  <c r="L6" i="25"/>
  <c r="L7" i="25"/>
  <c r="AE7" i="25" s="1"/>
  <c r="AF7" i="25" s="1"/>
  <c r="L8" i="25"/>
  <c r="AE8" i="25" s="1"/>
  <c r="AF8" i="25" s="1"/>
  <c r="L9" i="25"/>
  <c r="L10" i="25"/>
  <c r="L11" i="25"/>
  <c r="L12" i="25"/>
  <c r="L13" i="25"/>
  <c r="L14" i="25"/>
  <c r="L15" i="25"/>
  <c r="L16" i="25"/>
  <c r="L17" i="25"/>
  <c r="L18" i="25"/>
  <c r="L19" i="25"/>
  <c r="L20" i="25"/>
  <c r="L21" i="25"/>
  <c r="L22" i="25"/>
  <c r="L23" i="25"/>
  <c r="L24" i="25"/>
  <c r="L25" i="25"/>
  <c r="L26" i="25"/>
  <c r="L27" i="25"/>
  <c r="L28" i="25"/>
  <c r="L29" i="25"/>
  <c r="AE29" i="25" s="1"/>
  <c r="AF29" i="25" s="1"/>
  <c r="L30" i="25"/>
  <c r="AE30" i="25" s="1"/>
  <c r="AF30" i="25" s="1"/>
  <c r="L31" i="25"/>
  <c r="AE31" i="25" s="1"/>
  <c r="AF31" i="25" s="1"/>
  <c r="L32" i="25"/>
  <c r="AE32" i="25" s="1"/>
  <c r="AF32" i="25" s="1"/>
  <c r="L33" i="25"/>
  <c r="L34" i="25"/>
  <c r="L35" i="25"/>
  <c r="L36" i="25"/>
  <c r="L37" i="25"/>
  <c r="L38" i="25"/>
  <c r="L39" i="25"/>
  <c r="AE39" i="25" s="1"/>
  <c r="AF39" i="25" s="1"/>
  <c r="L40" i="25"/>
  <c r="AE40" i="25" s="1"/>
  <c r="AF40" i="25" s="1"/>
  <c r="L41" i="25"/>
  <c r="L42" i="25"/>
  <c r="L43" i="25"/>
  <c r="L44" i="25"/>
  <c r="L45" i="25"/>
  <c r="L46" i="25"/>
  <c r="L47" i="25"/>
  <c r="L48" i="25"/>
  <c r="L49" i="25"/>
  <c r="L50" i="25"/>
  <c r="L51" i="25"/>
  <c r="L52" i="25"/>
  <c r="L53" i="25"/>
  <c r="L54" i="25"/>
  <c r="L55" i="25"/>
  <c r="L56" i="25"/>
  <c r="L57" i="25"/>
  <c r="L58" i="25"/>
  <c r="L59" i="25"/>
  <c r="L60" i="25"/>
  <c r="L61" i="25"/>
  <c r="AE61" i="25" s="1"/>
  <c r="AF61" i="25" s="1"/>
  <c r="L62" i="25"/>
  <c r="AE62" i="25" s="1"/>
  <c r="AF62" i="25" s="1"/>
  <c r="L63" i="25"/>
  <c r="AE63" i="25" s="1"/>
  <c r="AF63" i="25" s="1"/>
  <c r="L64" i="25"/>
  <c r="AE64" i="25" s="1"/>
  <c r="AF64" i="25" s="1"/>
  <c r="L65" i="25"/>
  <c r="L66" i="25"/>
  <c r="L67" i="25"/>
  <c r="L68" i="25"/>
  <c r="L69" i="25"/>
  <c r="L70" i="25"/>
  <c r="L71" i="25"/>
  <c r="AE71" i="25" s="1"/>
  <c r="AF71" i="25" s="1"/>
  <c r="L72" i="25"/>
  <c r="AE72" i="25" s="1"/>
  <c r="AF72" i="25" s="1"/>
  <c r="L73" i="25"/>
  <c r="L74" i="25"/>
  <c r="L75" i="25"/>
  <c r="L76" i="25"/>
  <c r="L77" i="25"/>
  <c r="L78" i="25"/>
  <c r="L79" i="25"/>
  <c r="L80" i="25"/>
  <c r="L81" i="25"/>
  <c r="L82" i="25"/>
  <c r="L83" i="25"/>
  <c r="L84" i="25"/>
  <c r="L85" i="25"/>
  <c r="L86" i="25"/>
  <c r="L87" i="25"/>
  <c r="L88" i="25"/>
  <c r="L89" i="25"/>
  <c r="L90" i="25"/>
  <c r="L91" i="25"/>
  <c r="L92" i="25"/>
  <c r="L93" i="25"/>
  <c r="AE93" i="25" s="1"/>
  <c r="AF93" i="25" s="1"/>
  <c r="L94" i="25"/>
  <c r="AE94" i="25" s="1"/>
  <c r="AF94" i="25" s="1"/>
  <c r="L95" i="25"/>
  <c r="AE95" i="25" s="1"/>
  <c r="AF95" i="25" s="1"/>
  <c r="L96" i="25"/>
  <c r="AE96" i="25" s="1"/>
  <c r="AF96" i="25" s="1"/>
  <c r="L97" i="25"/>
  <c r="L98" i="25"/>
  <c r="L99" i="25"/>
  <c r="X3" i="25"/>
  <c r="X4"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AE3" i="25"/>
  <c r="AF3" i="25" s="1"/>
  <c r="AE4" i="25"/>
  <c r="AF4" i="25" s="1"/>
  <c r="AE5" i="25"/>
  <c r="AF5" i="25" s="1"/>
  <c r="AE6" i="25"/>
  <c r="AF6" i="25" s="1"/>
  <c r="AE11" i="25"/>
  <c r="AE12" i="25"/>
  <c r="AE13" i="25"/>
  <c r="AE14" i="25"/>
  <c r="AF14" i="25" s="1"/>
  <c r="AE15" i="25"/>
  <c r="AF15" i="25" s="1"/>
  <c r="AE16" i="25"/>
  <c r="AF16" i="25" s="1"/>
  <c r="AE19" i="25"/>
  <c r="AE20" i="25"/>
  <c r="AE21" i="25"/>
  <c r="AE22" i="25"/>
  <c r="AF22" i="25" s="1"/>
  <c r="AE23" i="25"/>
  <c r="AF23" i="25" s="1"/>
  <c r="AE24" i="25"/>
  <c r="AF24" i="25" s="1"/>
  <c r="AE27" i="25"/>
  <c r="AF27" i="25" s="1"/>
  <c r="AE28" i="25"/>
  <c r="AF28" i="25" s="1"/>
  <c r="AE35" i="25"/>
  <c r="AE36" i="25"/>
  <c r="AE37" i="25"/>
  <c r="AF37" i="25" s="1"/>
  <c r="AE38" i="25"/>
  <c r="AF38" i="25" s="1"/>
  <c r="AE43" i="25"/>
  <c r="AE44" i="25"/>
  <c r="AF44" i="25" s="1"/>
  <c r="AE45" i="25"/>
  <c r="AF45" i="25" s="1"/>
  <c r="AE46" i="25"/>
  <c r="AF46" i="25" s="1"/>
  <c r="AE47" i="25"/>
  <c r="AF47" i="25" s="1"/>
  <c r="AE48" i="25"/>
  <c r="AF48" i="25" s="1"/>
  <c r="AE51" i="25"/>
  <c r="AE52" i="25"/>
  <c r="AF52" i="25" s="1"/>
  <c r="AE53" i="25"/>
  <c r="AF53" i="25" s="1"/>
  <c r="AE54" i="25"/>
  <c r="AF54" i="25" s="1"/>
  <c r="AE55" i="25"/>
  <c r="AF55" i="25" s="1"/>
  <c r="AE56" i="25"/>
  <c r="AF56" i="25" s="1"/>
  <c r="AE59" i="25"/>
  <c r="AE60" i="25"/>
  <c r="AF60" i="25" s="1"/>
  <c r="AE67" i="25"/>
  <c r="AE68" i="25"/>
  <c r="AF68" i="25" s="1"/>
  <c r="AE69" i="25"/>
  <c r="AF69" i="25" s="1"/>
  <c r="AE70" i="25"/>
  <c r="AF70" i="25" s="1"/>
  <c r="AE75" i="25"/>
  <c r="AF75" i="25" s="1"/>
  <c r="AE76" i="25"/>
  <c r="AF76" i="25" s="1"/>
  <c r="AE77" i="25"/>
  <c r="AF77" i="25" s="1"/>
  <c r="AE78" i="25"/>
  <c r="AF78" i="25" s="1"/>
  <c r="AE79" i="25"/>
  <c r="AF79" i="25" s="1"/>
  <c r="AE80" i="25"/>
  <c r="AF80" i="25" s="1"/>
  <c r="AE83" i="25"/>
  <c r="AE84" i="25"/>
  <c r="AE85" i="25"/>
  <c r="AE86" i="25"/>
  <c r="AE87" i="25"/>
  <c r="AF87" i="25" s="1"/>
  <c r="AE88" i="25"/>
  <c r="AF88" i="25" s="1"/>
  <c r="AE91" i="25"/>
  <c r="AF91" i="25" s="1"/>
  <c r="AE92" i="25"/>
  <c r="AF92" i="25" s="1"/>
  <c r="AE99" i="25"/>
  <c r="AD3" i="25"/>
  <c r="AD4" i="25"/>
  <c r="AD5" i="25"/>
  <c r="AD6" i="25"/>
  <c r="AD7" i="25"/>
  <c r="AD8" i="25"/>
  <c r="AD9" i="25"/>
  <c r="AD10" i="25"/>
  <c r="AD11" i="25"/>
  <c r="AD12" i="25"/>
  <c r="AD13" i="25"/>
  <c r="AD14" i="25"/>
  <c r="AD15" i="25"/>
  <c r="AD16" i="25"/>
  <c r="AD17" i="25"/>
  <c r="AD18" i="25"/>
  <c r="AD19" i="25"/>
  <c r="AD20" i="25"/>
  <c r="AD21" i="25"/>
  <c r="AD22" i="25"/>
  <c r="AD23" i="25"/>
  <c r="AD24" i="25"/>
  <c r="AD25" i="25"/>
  <c r="AD26" i="25"/>
  <c r="AD27" i="25"/>
  <c r="AD28" i="25"/>
  <c r="AD29" i="25"/>
  <c r="AD30" i="25"/>
  <c r="AD31" i="25"/>
  <c r="AD32" i="25"/>
  <c r="AD33" i="25"/>
  <c r="AD34" i="25"/>
  <c r="AD35" i="25"/>
  <c r="AD36" i="25"/>
  <c r="AD37" i="25"/>
  <c r="AD38" i="25"/>
  <c r="AD39" i="25"/>
  <c r="AD40" i="25"/>
  <c r="AD41" i="25"/>
  <c r="AD42" i="25"/>
  <c r="AD43" i="25"/>
  <c r="AD44" i="25"/>
  <c r="AD45" i="25"/>
  <c r="AD46" i="25"/>
  <c r="AD47" i="25"/>
  <c r="AD48" i="25"/>
  <c r="AD49" i="25"/>
  <c r="AD50" i="25"/>
  <c r="AD51" i="25"/>
  <c r="AD52" i="25"/>
  <c r="AD53" i="25"/>
  <c r="AD54" i="25"/>
  <c r="AD55" i="25"/>
  <c r="AD56" i="25"/>
  <c r="AD57" i="25"/>
  <c r="AD58" i="25"/>
  <c r="AD59" i="25"/>
  <c r="AD60" i="25"/>
  <c r="AD61" i="25"/>
  <c r="AD62" i="25"/>
  <c r="AD63" i="25"/>
  <c r="AD64" i="25"/>
  <c r="AD65" i="25"/>
  <c r="AD66" i="25"/>
  <c r="AD67" i="25"/>
  <c r="AD68" i="25"/>
  <c r="AD69" i="25"/>
  <c r="AD70" i="25"/>
  <c r="AD71" i="25"/>
  <c r="AD72" i="25"/>
  <c r="AD73" i="25"/>
  <c r="AD74" i="25"/>
  <c r="AD75" i="25"/>
  <c r="AD76" i="25"/>
  <c r="AD77" i="25"/>
  <c r="AD78" i="25"/>
  <c r="AD79" i="25"/>
  <c r="AD80" i="25"/>
  <c r="AD81" i="25"/>
  <c r="AD82" i="25"/>
  <c r="AD83" i="25"/>
  <c r="AD84" i="25"/>
  <c r="AD85" i="25"/>
  <c r="AD86" i="25"/>
  <c r="AD87" i="25"/>
  <c r="AD88" i="25"/>
  <c r="AD89" i="25"/>
  <c r="AD90" i="25"/>
  <c r="AD91" i="25"/>
  <c r="AD92" i="25"/>
  <c r="AD93" i="25"/>
  <c r="AD94" i="25"/>
  <c r="AD95" i="25"/>
  <c r="AD96" i="25"/>
  <c r="AD97" i="25"/>
  <c r="AD98" i="25"/>
  <c r="AD99" i="25"/>
  <c r="AW3" i="29"/>
  <c r="AW4" i="29"/>
  <c r="AW5" i="29"/>
  <c r="AW6" i="29"/>
  <c r="AW7" i="29"/>
  <c r="AW8" i="29"/>
  <c r="AW9" i="29"/>
  <c r="AW10" i="29"/>
  <c r="AW11" i="29"/>
  <c r="AW12" i="29"/>
  <c r="AW13" i="29"/>
  <c r="AW14" i="29"/>
  <c r="AW15" i="29"/>
  <c r="AW16" i="29"/>
  <c r="AW17" i="29"/>
  <c r="AW18" i="29"/>
  <c r="AW19" i="29"/>
  <c r="AW20" i="29"/>
  <c r="AW21" i="29"/>
  <c r="AW22" i="29"/>
  <c r="AW23" i="29"/>
  <c r="AW24" i="29"/>
  <c r="AW25" i="29"/>
  <c r="AW26" i="29"/>
  <c r="AW27" i="29"/>
  <c r="AW28" i="29"/>
  <c r="AW29" i="29"/>
  <c r="AW30" i="29"/>
  <c r="AW31" i="29"/>
  <c r="AW32" i="29"/>
  <c r="AW33" i="29"/>
  <c r="AW34" i="29"/>
  <c r="AW35" i="29"/>
  <c r="AW36" i="29"/>
  <c r="AW37" i="29"/>
  <c r="AW38" i="29"/>
  <c r="AW39" i="29"/>
  <c r="AW40" i="29"/>
  <c r="AW41" i="29"/>
  <c r="AW42" i="29"/>
  <c r="AW43" i="29"/>
  <c r="AW44" i="29"/>
  <c r="AW45" i="29"/>
  <c r="AW46" i="29"/>
  <c r="AW47" i="29"/>
  <c r="AW48" i="29"/>
  <c r="AW49" i="29"/>
  <c r="AW50" i="29"/>
  <c r="AW51" i="29"/>
  <c r="AW52" i="29"/>
  <c r="AW53" i="29"/>
  <c r="AW54" i="29"/>
  <c r="AW55" i="29"/>
  <c r="AW56" i="29"/>
  <c r="AW57" i="29"/>
  <c r="AW58" i="29"/>
  <c r="AW59" i="29"/>
  <c r="AW60" i="29"/>
  <c r="AW61" i="29"/>
  <c r="AW62" i="29"/>
  <c r="AW63" i="29"/>
  <c r="AW64" i="29"/>
  <c r="AW65" i="29"/>
  <c r="AW66" i="29"/>
  <c r="AW67" i="29"/>
  <c r="AW68" i="29"/>
  <c r="AW69" i="29"/>
  <c r="AW70" i="29"/>
  <c r="AW71" i="29"/>
  <c r="AW72" i="29"/>
  <c r="AW73" i="29"/>
  <c r="AW74" i="29"/>
  <c r="AW75" i="29"/>
  <c r="AW76" i="29"/>
  <c r="AW77" i="29"/>
  <c r="AW78" i="29"/>
  <c r="AW79" i="29"/>
  <c r="AW80" i="29"/>
  <c r="AW81" i="29"/>
  <c r="AW82" i="29"/>
  <c r="AW83" i="29"/>
  <c r="AW84" i="29"/>
  <c r="AW85" i="29"/>
  <c r="AW86" i="29"/>
  <c r="AW87" i="29"/>
  <c r="AW88" i="29"/>
  <c r="AW89" i="29"/>
  <c r="AW90" i="29"/>
  <c r="AW91" i="29"/>
  <c r="AW92" i="29"/>
  <c r="AW93" i="29"/>
  <c r="AW94" i="29"/>
  <c r="AW95" i="29"/>
  <c r="AW96" i="29"/>
  <c r="AW97" i="29"/>
  <c r="AW98" i="29"/>
  <c r="AW2" i="29"/>
  <c r="AZ7" i="20"/>
  <c r="AZ8" i="20"/>
  <c r="AZ9" i="20"/>
  <c r="AZ10" i="20"/>
  <c r="AZ11" i="20"/>
  <c r="AZ12" i="20"/>
  <c r="AZ13" i="20"/>
  <c r="AZ14" i="20"/>
  <c r="AZ15" i="20"/>
  <c r="AZ16" i="20"/>
  <c r="AZ17" i="20"/>
  <c r="AZ18" i="20"/>
  <c r="AZ19" i="20"/>
  <c r="AZ20" i="20"/>
  <c r="AZ21" i="20"/>
  <c r="AZ22" i="20"/>
  <c r="AZ23" i="20"/>
  <c r="AZ24" i="20"/>
  <c r="AZ25" i="20"/>
  <c r="AZ26" i="20"/>
  <c r="AZ27" i="20"/>
  <c r="AZ28" i="20"/>
  <c r="AZ29" i="20"/>
  <c r="AZ30" i="20"/>
  <c r="AZ31" i="20"/>
  <c r="AZ32" i="20"/>
  <c r="AZ33" i="20"/>
  <c r="AZ34" i="20"/>
  <c r="AZ35" i="20"/>
  <c r="AZ36" i="20"/>
  <c r="AZ37" i="20"/>
  <c r="AZ38" i="20"/>
  <c r="AZ39" i="20"/>
  <c r="AZ40" i="20"/>
  <c r="AZ41" i="20"/>
  <c r="AZ42" i="20"/>
  <c r="AZ43" i="20"/>
  <c r="AZ44" i="20"/>
  <c r="AZ45" i="20"/>
  <c r="AZ46" i="20"/>
  <c r="AZ47" i="20"/>
  <c r="AZ48" i="20"/>
  <c r="AZ49" i="20"/>
  <c r="AZ50" i="20"/>
  <c r="AZ51" i="20"/>
  <c r="AZ52" i="20"/>
  <c r="AZ53" i="20"/>
  <c r="AZ54" i="20"/>
  <c r="AZ55" i="20"/>
  <c r="AZ56" i="20"/>
  <c r="AZ57" i="20"/>
  <c r="AZ58" i="20"/>
  <c r="AZ59" i="20"/>
  <c r="AZ60" i="20"/>
  <c r="AZ61" i="20"/>
  <c r="AZ62" i="20"/>
  <c r="AZ63" i="20"/>
  <c r="AZ64" i="20"/>
  <c r="AZ65" i="20"/>
  <c r="AZ66" i="20"/>
  <c r="AZ67" i="20"/>
  <c r="AZ68" i="20"/>
  <c r="AZ69" i="20"/>
  <c r="AZ70" i="20"/>
  <c r="AZ71" i="20"/>
  <c r="AZ72" i="20"/>
  <c r="AZ73" i="20"/>
  <c r="AZ74" i="20"/>
  <c r="AZ75" i="20"/>
  <c r="AZ76" i="20"/>
  <c r="AZ77" i="20"/>
  <c r="AZ78" i="20"/>
  <c r="AZ79" i="20"/>
  <c r="AZ80" i="20"/>
  <c r="AZ81" i="20"/>
  <c r="AZ82" i="20"/>
  <c r="AZ83" i="20"/>
  <c r="AZ84" i="20"/>
  <c r="AZ85" i="20"/>
  <c r="AZ86" i="20"/>
  <c r="AZ87" i="20"/>
  <c r="AZ88" i="20"/>
  <c r="AZ89" i="20"/>
  <c r="AZ90" i="20"/>
  <c r="AZ91" i="20"/>
  <c r="AZ92" i="20"/>
  <c r="AZ93" i="20"/>
  <c r="AZ94" i="20"/>
  <c r="AZ95" i="20"/>
  <c r="AZ96" i="20"/>
  <c r="AZ97" i="20"/>
  <c r="AZ98" i="20"/>
  <c r="AZ99" i="20"/>
  <c r="AF11" i="25"/>
  <c r="AF12" i="25"/>
  <c r="AF13" i="25"/>
  <c r="AF19" i="25"/>
  <c r="AF20" i="25"/>
  <c r="AF21" i="25"/>
  <c r="AF35" i="25"/>
  <c r="AF36" i="25"/>
  <c r="AF43" i="25"/>
  <c r="AF51" i="25"/>
  <c r="AF59" i="25"/>
  <c r="AF67" i="25"/>
  <c r="AF83" i="25"/>
  <c r="AF84" i="25"/>
  <c r="AF85" i="25"/>
  <c r="AF86" i="25"/>
  <c r="AF99" i="25"/>
  <c r="AV3" i="29"/>
  <c r="AV4" i="29"/>
  <c r="AV5" i="29"/>
  <c r="AV6" i="29"/>
  <c r="AV7" i="29"/>
  <c r="AV8" i="29"/>
  <c r="AV9" i="29"/>
  <c r="AV10" i="29"/>
  <c r="AV11" i="29"/>
  <c r="AV12" i="29"/>
  <c r="AV13" i="29"/>
  <c r="AV14" i="29"/>
  <c r="AV15" i="29"/>
  <c r="AV16" i="29"/>
  <c r="AV17" i="29"/>
  <c r="AV18" i="29"/>
  <c r="AV19" i="29"/>
  <c r="AV20" i="29"/>
  <c r="AV21" i="29"/>
  <c r="AV22" i="29"/>
  <c r="AV23" i="29"/>
  <c r="AV24" i="29"/>
  <c r="AV25" i="29"/>
  <c r="AV26" i="29"/>
  <c r="AV27" i="29"/>
  <c r="AV28" i="29"/>
  <c r="AV29" i="29"/>
  <c r="AV30" i="29"/>
  <c r="AV31" i="29"/>
  <c r="AV32" i="29"/>
  <c r="AV33" i="29"/>
  <c r="AV34" i="29"/>
  <c r="AV35" i="29"/>
  <c r="AV36" i="29"/>
  <c r="AV37" i="29"/>
  <c r="AV38" i="29"/>
  <c r="AV39" i="29"/>
  <c r="AV40" i="29"/>
  <c r="AV41" i="29"/>
  <c r="AV42" i="29"/>
  <c r="AV43" i="29"/>
  <c r="AV44" i="29"/>
  <c r="AV45" i="29"/>
  <c r="AV46" i="29"/>
  <c r="AV47" i="29"/>
  <c r="AV48" i="29"/>
  <c r="AV49" i="29"/>
  <c r="AV50" i="29"/>
  <c r="AV51" i="29"/>
  <c r="AV52" i="29"/>
  <c r="AV53" i="29"/>
  <c r="AV54" i="29"/>
  <c r="AV55" i="29"/>
  <c r="AV56" i="29"/>
  <c r="AV57" i="29"/>
  <c r="AV58" i="29"/>
  <c r="AV59" i="29"/>
  <c r="AV60" i="29"/>
  <c r="AV61" i="29"/>
  <c r="AV62" i="29"/>
  <c r="AV63" i="29"/>
  <c r="AV64" i="29"/>
  <c r="AV65" i="29"/>
  <c r="AV66" i="29"/>
  <c r="AV67" i="29"/>
  <c r="AV68" i="29"/>
  <c r="AV69" i="29"/>
  <c r="AV70" i="29"/>
  <c r="AV71" i="29"/>
  <c r="AV72" i="29"/>
  <c r="AV73" i="29"/>
  <c r="AV74" i="29"/>
  <c r="AV75" i="29"/>
  <c r="AV76" i="29"/>
  <c r="AV77" i="29"/>
  <c r="AV78" i="29"/>
  <c r="AV79" i="29"/>
  <c r="AV80" i="29"/>
  <c r="AV81" i="29"/>
  <c r="AV82" i="29"/>
  <c r="AV83" i="29"/>
  <c r="AV84" i="29"/>
  <c r="AV85" i="29"/>
  <c r="AV86" i="29"/>
  <c r="AV87" i="29"/>
  <c r="AV88" i="29"/>
  <c r="AV89" i="29"/>
  <c r="AV90" i="29"/>
  <c r="AV91" i="29"/>
  <c r="AV92" i="29"/>
  <c r="AV93" i="29"/>
  <c r="AV94" i="29"/>
  <c r="AV95" i="29"/>
  <c r="AV96" i="29"/>
  <c r="AV97" i="29"/>
  <c r="AV98" i="29"/>
  <c r="AV2" i="29"/>
  <c r="AY7" i="20"/>
  <c r="AY8" i="20"/>
  <c r="AY9" i="20"/>
  <c r="AY10" i="20"/>
  <c r="AY11" i="20"/>
  <c r="AY12" i="20"/>
  <c r="AY13" i="20"/>
  <c r="AY14" i="20"/>
  <c r="AY15" i="20"/>
  <c r="AY16" i="20"/>
  <c r="AY17" i="20"/>
  <c r="AY18" i="20"/>
  <c r="AY19" i="20"/>
  <c r="AY20" i="20"/>
  <c r="AY21" i="20"/>
  <c r="AY22" i="20"/>
  <c r="AY23" i="20"/>
  <c r="AY24" i="20"/>
  <c r="AY25" i="20"/>
  <c r="AY26" i="20"/>
  <c r="AY27" i="20"/>
  <c r="AY28" i="20"/>
  <c r="AY29" i="20"/>
  <c r="AY30" i="20"/>
  <c r="AY31" i="20"/>
  <c r="AY32" i="20"/>
  <c r="AY33" i="20"/>
  <c r="AY34" i="20"/>
  <c r="AY35" i="20"/>
  <c r="AY36" i="20"/>
  <c r="AY37" i="20"/>
  <c r="AY38" i="20"/>
  <c r="AY39" i="20"/>
  <c r="AY40" i="20"/>
  <c r="AY41" i="20"/>
  <c r="AY42" i="20"/>
  <c r="AY43" i="20"/>
  <c r="AY44" i="20"/>
  <c r="AY45" i="20"/>
  <c r="AY46" i="20"/>
  <c r="AY47" i="20"/>
  <c r="AY48" i="20"/>
  <c r="AY49" i="20"/>
  <c r="AY50" i="20"/>
  <c r="AY51" i="20"/>
  <c r="AY52" i="20"/>
  <c r="AY53" i="20"/>
  <c r="AY54" i="20"/>
  <c r="AY55" i="20"/>
  <c r="AY56" i="20"/>
  <c r="AY57" i="20"/>
  <c r="AY58" i="20"/>
  <c r="AY59" i="20"/>
  <c r="AY60" i="20"/>
  <c r="AY61" i="20"/>
  <c r="AY62" i="20"/>
  <c r="AY63" i="20"/>
  <c r="AY64" i="20"/>
  <c r="AY65" i="20"/>
  <c r="AY66" i="20"/>
  <c r="AY67" i="20"/>
  <c r="AY68" i="20"/>
  <c r="AY69" i="20"/>
  <c r="AY70" i="20"/>
  <c r="AY71" i="20"/>
  <c r="AY72" i="20"/>
  <c r="AY73" i="20"/>
  <c r="AY74" i="20"/>
  <c r="AY75" i="20"/>
  <c r="AY76" i="20"/>
  <c r="AY77" i="20"/>
  <c r="AY78" i="20"/>
  <c r="AY79" i="20"/>
  <c r="AY80" i="20"/>
  <c r="AY81" i="20"/>
  <c r="AY82" i="20"/>
  <c r="AY83" i="20"/>
  <c r="AY84" i="20"/>
  <c r="AY85" i="20"/>
  <c r="AY86" i="20"/>
  <c r="AY87" i="20"/>
  <c r="AY88" i="20"/>
  <c r="AY89" i="20"/>
  <c r="AY90" i="20"/>
  <c r="AY91" i="20"/>
  <c r="AY92" i="20"/>
  <c r="AY93" i="20"/>
  <c r="AY94" i="20"/>
  <c r="AY95" i="20"/>
  <c r="AY96" i="20"/>
  <c r="AY97" i="20"/>
  <c r="AY98" i="20"/>
  <c r="AY99" i="20"/>
  <c r="U3" i="29"/>
  <c r="U4" i="29"/>
  <c r="U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2" i="29"/>
  <c r="AC4" i="29"/>
  <c r="AC5" i="29"/>
  <c r="AC6" i="29"/>
  <c r="AC7" i="29"/>
  <c r="AC8" i="29"/>
  <c r="AC9" i="29"/>
  <c r="AC10" i="29"/>
  <c r="AC11" i="29"/>
  <c r="AC12" i="29"/>
  <c r="AC13" i="29"/>
  <c r="AC14" i="29"/>
  <c r="AX3" i="29"/>
  <c r="AY3" i="29"/>
  <c r="AZ3" i="29"/>
  <c r="BA3" i="29"/>
  <c r="BB3" i="29"/>
  <c r="BC3" i="29"/>
  <c r="BD3" i="29"/>
  <c r="BE3" i="29"/>
  <c r="BG3" i="29"/>
  <c r="BH3" i="29"/>
  <c r="BI3" i="29"/>
  <c r="BL3" i="29"/>
  <c r="BM3" i="29"/>
  <c r="BN3" i="29"/>
  <c r="BO3" i="29"/>
  <c r="BP3" i="29"/>
  <c r="BQ3" i="29"/>
  <c r="BR3" i="29"/>
  <c r="BS3" i="29"/>
  <c r="BU3" i="29"/>
  <c r="BV3" i="29"/>
  <c r="BW3" i="29"/>
  <c r="BZ3" i="29"/>
  <c r="CA3" i="29"/>
  <c r="CB3" i="29"/>
  <c r="CC3" i="29"/>
  <c r="CD3" i="29"/>
  <c r="CE3" i="29"/>
  <c r="CF3" i="29"/>
  <c r="CG3" i="29"/>
  <c r="CI3" i="29"/>
  <c r="CJ3" i="29"/>
  <c r="CK3" i="29"/>
  <c r="CN3" i="29"/>
  <c r="CO3" i="29"/>
  <c r="CP3" i="29"/>
  <c r="CQ3" i="29"/>
  <c r="CR3" i="29"/>
  <c r="CS3" i="29"/>
  <c r="CT3" i="29"/>
  <c r="CU3" i="29"/>
  <c r="CW3" i="29"/>
  <c r="CX3" i="29"/>
  <c r="CY3" i="29"/>
  <c r="DD3" i="29"/>
  <c r="DE3" i="29"/>
  <c r="DF3" i="29"/>
  <c r="DG3" i="29"/>
  <c r="DH3" i="29"/>
  <c r="DI3" i="29"/>
  <c r="DJ3" i="29"/>
  <c r="DK3" i="29"/>
  <c r="DM3" i="29"/>
  <c r="DN3" i="29"/>
  <c r="DO3" i="29"/>
  <c r="DR3" i="29"/>
  <c r="DS3" i="29"/>
  <c r="DT3" i="29"/>
  <c r="DU3" i="29"/>
  <c r="DV3" i="29"/>
  <c r="DW3" i="29"/>
  <c r="DX3" i="29"/>
  <c r="DY3" i="29"/>
  <c r="EA3" i="29"/>
  <c r="EB3" i="29"/>
  <c r="EC3" i="29"/>
  <c r="EF3" i="29"/>
  <c r="EG3" i="29"/>
  <c r="EH3" i="29"/>
  <c r="EI3" i="29"/>
  <c r="EJ3" i="29"/>
  <c r="EK3" i="29"/>
  <c r="EL3" i="29"/>
  <c r="EM3" i="29"/>
  <c r="EO3" i="29"/>
  <c r="EP3" i="29"/>
  <c r="EQ3" i="29"/>
  <c r="ET3" i="29"/>
  <c r="EU3" i="29"/>
  <c r="EV3" i="29"/>
  <c r="EW3" i="29"/>
  <c r="EX3" i="29"/>
  <c r="EY3" i="29"/>
  <c r="EZ3" i="29"/>
  <c r="FA3" i="29"/>
  <c r="FC3" i="29"/>
  <c r="FD3" i="29"/>
  <c r="FE3" i="29"/>
  <c r="FJ3" i="29"/>
  <c r="FK3" i="29"/>
  <c r="FL3" i="29"/>
  <c r="FM3" i="29"/>
  <c r="FN3" i="29"/>
  <c r="FO3" i="29"/>
  <c r="FP3" i="29"/>
  <c r="FQ3" i="29"/>
  <c r="FS3" i="29"/>
  <c r="FT3" i="29"/>
  <c r="FU3" i="29"/>
  <c r="FX3" i="29"/>
  <c r="FY3" i="29"/>
  <c r="FZ3" i="29"/>
  <c r="GA3" i="29"/>
  <c r="GB3" i="29"/>
  <c r="GC3" i="29"/>
  <c r="GD3" i="29"/>
  <c r="GE3" i="29"/>
  <c r="GG3" i="29"/>
  <c r="GH3" i="29"/>
  <c r="GI3" i="29"/>
  <c r="GL3" i="29"/>
  <c r="GM3" i="29"/>
  <c r="GN3" i="29"/>
  <c r="GO3" i="29"/>
  <c r="GP3" i="29"/>
  <c r="GQ3" i="29"/>
  <c r="GR3" i="29"/>
  <c r="GS3" i="29"/>
  <c r="GU3" i="29"/>
  <c r="GV3" i="29"/>
  <c r="GW3" i="29"/>
  <c r="GZ3" i="29"/>
  <c r="HA3" i="29"/>
  <c r="HB3" i="29"/>
  <c r="HC3" i="29"/>
  <c r="HD3" i="29"/>
  <c r="HE3" i="29"/>
  <c r="HF3" i="29"/>
  <c r="HG3" i="29"/>
  <c r="HI3" i="29"/>
  <c r="HJ3" i="29"/>
  <c r="HK3" i="29"/>
  <c r="HP3" i="29"/>
  <c r="HQ3" i="29"/>
  <c r="HR3" i="29"/>
  <c r="HS3" i="29"/>
  <c r="HT3" i="29"/>
  <c r="HU3" i="29"/>
  <c r="HV3" i="29"/>
  <c r="HW3" i="29"/>
  <c r="HY3" i="29"/>
  <c r="HZ3" i="29"/>
  <c r="IA3" i="29"/>
  <c r="ID3" i="29"/>
  <c r="IE3" i="29"/>
  <c r="IF3" i="29"/>
  <c r="IG3" i="29"/>
  <c r="IH3" i="29"/>
  <c r="II3" i="29"/>
  <c r="IJ3" i="29"/>
  <c r="IK3" i="29"/>
  <c r="IM3" i="29"/>
  <c r="IN3" i="29"/>
  <c r="IO3" i="29"/>
  <c r="IR3" i="29"/>
  <c r="IS3" i="29"/>
  <c r="IT3" i="29"/>
  <c r="IU3" i="29"/>
  <c r="IV3" i="29"/>
  <c r="IW3" i="29"/>
  <c r="IX3" i="29"/>
  <c r="IY3" i="29"/>
  <c r="JA3" i="29"/>
  <c r="JB3" i="29"/>
  <c r="JC3" i="29"/>
  <c r="JF3" i="29"/>
  <c r="JG3" i="29"/>
  <c r="JH3" i="29"/>
  <c r="JI3" i="29"/>
  <c r="JJ3" i="29"/>
  <c r="JK3" i="29"/>
  <c r="JL3" i="29"/>
  <c r="JM3" i="29"/>
  <c r="JO3" i="29"/>
  <c r="JP3" i="29"/>
  <c r="JQ3" i="29"/>
  <c r="X4" i="29"/>
  <c r="AD4" i="29"/>
  <c r="AI4" i="29"/>
  <c r="AJ4" i="29"/>
  <c r="AO4" i="29"/>
  <c r="AP4" i="29"/>
  <c r="AU4" i="29"/>
  <c r="AX4" i="29"/>
  <c r="AY4" i="29"/>
  <c r="AZ4" i="29"/>
  <c r="BA4" i="29"/>
  <c r="BB4" i="29"/>
  <c r="BC4" i="29"/>
  <c r="BD4" i="29"/>
  <c r="BE4" i="29"/>
  <c r="BG4" i="29"/>
  <c r="BH4" i="29"/>
  <c r="BI4" i="29"/>
  <c r="BL4" i="29"/>
  <c r="BM4" i="29"/>
  <c r="BN4" i="29"/>
  <c r="BO4" i="29"/>
  <c r="BP4" i="29"/>
  <c r="BQ4" i="29"/>
  <c r="BR4" i="29"/>
  <c r="BS4" i="29"/>
  <c r="BU4" i="29"/>
  <c r="BV4" i="29"/>
  <c r="BW4" i="29"/>
  <c r="BZ4" i="29"/>
  <c r="CA4" i="29"/>
  <c r="CB4" i="29"/>
  <c r="CC4" i="29"/>
  <c r="CD4" i="29"/>
  <c r="CE4" i="29"/>
  <c r="CF4" i="29"/>
  <c r="CG4" i="29"/>
  <c r="CI4" i="29"/>
  <c r="CJ4" i="29"/>
  <c r="CK4" i="29"/>
  <c r="CN4" i="29"/>
  <c r="CO4" i="29"/>
  <c r="CP4" i="29"/>
  <c r="CQ4" i="29"/>
  <c r="CR4" i="29"/>
  <c r="CS4" i="29"/>
  <c r="CT4" i="29"/>
  <c r="CU4" i="29"/>
  <c r="CW4" i="29"/>
  <c r="CX4" i="29"/>
  <c r="CY4" i="29"/>
  <c r="DD4" i="29"/>
  <c r="DE4" i="29"/>
  <c r="DF4" i="29"/>
  <c r="DG4" i="29"/>
  <c r="DH4" i="29"/>
  <c r="DI4" i="29"/>
  <c r="DJ4" i="29"/>
  <c r="DK4" i="29"/>
  <c r="DM4" i="29"/>
  <c r="DN4" i="29"/>
  <c r="DO4" i="29"/>
  <c r="DR4" i="29"/>
  <c r="DS4" i="29"/>
  <c r="DT4" i="29"/>
  <c r="DU4" i="29"/>
  <c r="DV4" i="29"/>
  <c r="DW4" i="29"/>
  <c r="DX4" i="29"/>
  <c r="DY4" i="29"/>
  <c r="EA4" i="29"/>
  <c r="EB4" i="29"/>
  <c r="EC4" i="29"/>
  <c r="EF4" i="29"/>
  <c r="EG4" i="29"/>
  <c r="EH4" i="29"/>
  <c r="EI4" i="29"/>
  <c r="EJ4" i="29"/>
  <c r="EK4" i="29"/>
  <c r="EL4" i="29"/>
  <c r="EM4" i="29"/>
  <c r="EO4" i="29"/>
  <c r="EP4" i="29"/>
  <c r="EQ4" i="29"/>
  <c r="ET4" i="29"/>
  <c r="EU4" i="29"/>
  <c r="EV4" i="29"/>
  <c r="EW4" i="29"/>
  <c r="EX4" i="29"/>
  <c r="EY4" i="29"/>
  <c r="EZ4" i="29"/>
  <c r="FA4" i="29"/>
  <c r="FC4" i="29"/>
  <c r="FD4" i="29"/>
  <c r="FE4" i="29"/>
  <c r="FJ4" i="29"/>
  <c r="FK4" i="29"/>
  <c r="FL4" i="29"/>
  <c r="FM4" i="29"/>
  <c r="FN4" i="29"/>
  <c r="FO4" i="29"/>
  <c r="FP4" i="29"/>
  <c r="FQ4" i="29"/>
  <c r="FS4" i="29"/>
  <c r="FT4" i="29"/>
  <c r="FU4" i="29"/>
  <c r="FX4" i="29"/>
  <c r="FY4" i="29"/>
  <c r="FZ4" i="29"/>
  <c r="GA4" i="29"/>
  <c r="GB4" i="29"/>
  <c r="GC4" i="29"/>
  <c r="GD4" i="29"/>
  <c r="GE4" i="29"/>
  <c r="GG4" i="29"/>
  <c r="GH4" i="29"/>
  <c r="GI4" i="29"/>
  <c r="GL4" i="29"/>
  <c r="GM4" i="29"/>
  <c r="GN4" i="29"/>
  <c r="GO4" i="29"/>
  <c r="GP4" i="29"/>
  <c r="GQ4" i="29"/>
  <c r="GR4" i="29"/>
  <c r="GS4" i="29"/>
  <c r="GU4" i="29"/>
  <c r="GV4" i="29"/>
  <c r="GW4" i="29"/>
  <c r="GZ4" i="29"/>
  <c r="HA4" i="29"/>
  <c r="HB4" i="29"/>
  <c r="HC4" i="29"/>
  <c r="HD4" i="29"/>
  <c r="HE4" i="29"/>
  <c r="HF4" i="29"/>
  <c r="HG4" i="29"/>
  <c r="HI4" i="29"/>
  <c r="HJ4" i="29"/>
  <c r="HK4" i="29"/>
  <c r="HP4" i="29"/>
  <c r="HQ4" i="29"/>
  <c r="HR4" i="29"/>
  <c r="HS4" i="29"/>
  <c r="HT4" i="29"/>
  <c r="HU4" i="29"/>
  <c r="HV4" i="29"/>
  <c r="HW4" i="29"/>
  <c r="HY4" i="29"/>
  <c r="HZ4" i="29"/>
  <c r="IA4" i="29"/>
  <c r="ID4" i="29"/>
  <c r="IE4" i="29"/>
  <c r="IF4" i="29"/>
  <c r="IG4" i="29"/>
  <c r="IH4" i="29"/>
  <c r="II4" i="29"/>
  <c r="IJ4" i="29"/>
  <c r="IK4" i="29"/>
  <c r="IM4" i="29"/>
  <c r="IN4" i="29"/>
  <c r="IO4" i="29"/>
  <c r="IR4" i="29"/>
  <c r="IS4" i="29"/>
  <c r="IT4" i="29"/>
  <c r="IU4" i="29"/>
  <c r="IV4" i="29"/>
  <c r="IW4" i="29"/>
  <c r="IX4" i="29"/>
  <c r="IY4" i="29"/>
  <c r="JA4" i="29"/>
  <c r="JB4" i="29"/>
  <c r="JC4" i="29"/>
  <c r="JF4" i="29"/>
  <c r="JG4" i="29"/>
  <c r="JH4" i="29"/>
  <c r="JI4" i="29"/>
  <c r="JJ4" i="29"/>
  <c r="JK4" i="29"/>
  <c r="JL4" i="29"/>
  <c r="JM4" i="29"/>
  <c r="JO4" i="29"/>
  <c r="JP4" i="29"/>
  <c r="JQ4" i="29"/>
  <c r="X5" i="29"/>
  <c r="AD5" i="29"/>
  <c r="AI5" i="29"/>
  <c r="AJ5" i="29"/>
  <c r="AO5" i="29"/>
  <c r="AP5" i="29"/>
  <c r="AU5" i="29"/>
  <c r="AX5" i="29"/>
  <c r="AY5" i="29"/>
  <c r="AZ5" i="29"/>
  <c r="BA5" i="29"/>
  <c r="BB5" i="29"/>
  <c r="BC5" i="29"/>
  <c r="BD5" i="29"/>
  <c r="BE5" i="29"/>
  <c r="BG5" i="29"/>
  <c r="BH5" i="29"/>
  <c r="BI5" i="29"/>
  <c r="BL5" i="29"/>
  <c r="BM5" i="29"/>
  <c r="BN5" i="29"/>
  <c r="BO5" i="29"/>
  <c r="BP5" i="29"/>
  <c r="BQ5" i="29"/>
  <c r="BR5" i="29"/>
  <c r="BS5" i="29"/>
  <c r="BU5" i="29"/>
  <c r="BV5" i="29"/>
  <c r="BW5" i="29"/>
  <c r="BZ5" i="29"/>
  <c r="CA5" i="29"/>
  <c r="CB5" i="29"/>
  <c r="CC5" i="29"/>
  <c r="CD5" i="29"/>
  <c r="CE5" i="29"/>
  <c r="CF5" i="29"/>
  <c r="CG5" i="29"/>
  <c r="CI5" i="29"/>
  <c r="CJ5" i="29"/>
  <c r="CK5" i="29"/>
  <c r="CN5" i="29"/>
  <c r="CO5" i="29"/>
  <c r="CP5" i="29"/>
  <c r="CQ5" i="29"/>
  <c r="CR5" i="29"/>
  <c r="CS5" i="29"/>
  <c r="CT5" i="29"/>
  <c r="CU5" i="29"/>
  <c r="CW5" i="29"/>
  <c r="CX5" i="29"/>
  <c r="CY5" i="29"/>
  <c r="DD5" i="29"/>
  <c r="DE5" i="29"/>
  <c r="DF5" i="29"/>
  <c r="DG5" i="29"/>
  <c r="DH5" i="29"/>
  <c r="DI5" i="29"/>
  <c r="DJ5" i="29"/>
  <c r="DK5" i="29"/>
  <c r="DM5" i="29"/>
  <c r="DN5" i="29"/>
  <c r="DO5" i="29"/>
  <c r="DR5" i="29"/>
  <c r="DS5" i="29"/>
  <c r="DT5" i="29"/>
  <c r="DU5" i="29"/>
  <c r="DV5" i="29"/>
  <c r="DW5" i="29"/>
  <c r="DX5" i="29"/>
  <c r="DY5" i="29"/>
  <c r="EA5" i="29"/>
  <c r="EB5" i="29"/>
  <c r="EC5" i="29"/>
  <c r="EF5" i="29"/>
  <c r="EG5" i="29"/>
  <c r="EH5" i="29"/>
  <c r="EI5" i="29"/>
  <c r="EJ5" i="29"/>
  <c r="EK5" i="29"/>
  <c r="EL5" i="29"/>
  <c r="EM5" i="29"/>
  <c r="EO5" i="29"/>
  <c r="EP5" i="29"/>
  <c r="EQ5" i="29"/>
  <c r="ET5" i="29"/>
  <c r="EU5" i="29"/>
  <c r="EV5" i="29"/>
  <c r="EW5" i="29"/>
  <c r="EX5" i="29"/>
  <c r="EY5" i="29"/>
  <c r="EZ5" i="29"/>
  <c r="FA5" i="29"/>
  <c r="FC5" i="29"/>
  <c r="FD5" i="29"/>
  <c r="FE5" i="29"/>
  <c r="FJ5" i="29"/>
  <c r="FK5" i="29"/>
  <c r="FL5" i="29"/>
  <c r="FM5" i="29"/>
  <c r="FN5" i="29"/>
  <c r="FO5" i="29"/>
  <c r="FP5" i="29"/>
  <c r="FQ5" i="29"/>
  <c r="FS5" i="29"/>
  <c r="FT5" i="29"/>
  <c r="FU5" i="29"/>
  <c r="FX5" i="29"/>
  <c r="FY5" i="29"/>
  <c r="FZ5" i="29"/>
  <c r="GA5" i="29"/>
  <c r="GB5" i="29"/>
  <c r="GC5" i="29"/>
  <c r="GD5" i="29"/>
  <c r="GE5" i="29"/>
  <c r="GG5" i="29"/>
  <c r="GH5" i="29"/>
  <c r="GI5" i="29"/>
  <c r="GL5" i="29"/>
  <c r="GM5" i="29"/>
  <c r="GN5" i="29"/>
  <c r="GO5" i="29"/>
  <c r="GP5" i="29"/>
  <c r="GQ5" i="29"/>
  <c r="GR5" i="29"/>
  <c r="GS5" i="29"/>
  <c r="GU5" i="29"/>
  <c r="GV5" i="29"/>
  <c r="GW5" i="29"/>
  <c r="GZ5" i="29"/>
  <c r="HA5" i="29"/>
  <c r="HB5" i="29"/>
  <c r="HC5" i="29"/>
  <c r="HD5" i="29"/>
  <c r="HE5" i="29"/>
  <c r="HF5" i="29"/>
  <c r="HG5" i="29"/>
  <c r="HI5" i="29"/>
  <c r="HJ5" i="29"/>
  <c r="HK5" i="29"/>
  <c r="HP5" i="29"/>
  <c r="HQ5" i="29"/>
  <c r="HR5" i="29"/>
  <c r="HS5" i="29"/>
  <c r="HT5" i="29"/>
  <c r="HU5" i="29"/>
  <c r="HV5" i="29"/>
  <c r="HW5" i="29"/>
  <c r="HY5" i="29"/>
  <c r="HZ5" i="29"/>
  <c r="IA5" i="29"/>
  <c r="ID5" i="29"/>
  <c r="IE5" i="29"/>
  <c r="IF5" i="29"/>
  <c r="IG5" i="29"/>
  <c r="IH5" i="29"/>
  <c r="II5" i="29"/>
  <c r="IJ5" i="29"/>
  <c r="IK5" i="29"/>
  <c r="IM5" i="29"/>
  <c r="IN5" i="29"/>
  <c r="IO5" i="29"/>
  <c r="IR5" i="29"/>
  <c r="IS5" i="29"/>
  <c r="IT5" i="29"/>
  <c r="IU5" i="29"/>
  <c r="IV5" i="29"/>
  <c r="IW5" i="29"/>
  <c r="IX5" i="29"/>
  <c r="IY5" i="29"/>
  <c r="JA5" i="29"/>
  <c r="JB5" i="29"/>
  <c r="JC5" i="29"/>
  <c r="JF5" i="29"/>
  <c r="JG5" i="29"/>
  <c r="JH5" i="29"/>
  <c r="JI5" i="29"/>
  <c r="JJ5" i="29"/>
  <c r="JK5" i="29"/>
  <c r="JL5" i="29"/>
  <c r="JM5" i="29"/>
  <c r="JO5" i="29"/>
  <c r="JP5" i="29"/>
  <c r="JQ5" i="29"/>
  <c r="X6" i="29"/>
  <c r="AD6" i="29"/>
  <c r="AI6" i="29"/>
  <c r="AJ6" i="29"/>
  <c r="AO6" i="29"/>
  <c r="AP6" i="29"/>
  <c r="AU6" i="29"/>
  <c r="AX6" i="29"/>
  <c r="AY6" i="29"/>
  <c r="AZ6" i="29"/>
  <c r="BA6" i="29"/>
  <c r="BB6" i="29"/>
  <c r="BC6" i="29"/>
  <c r="BD6" i="29"/>
  <c r="BE6" i="29"/>
  <c r="BG6" i="29"/>
  <c r="BH6" i="29"/>
  <c r="BI6" i="29"/>
  <c r="BL6" i="29"/>
  <c r="BM6" i="29"/>
  <c r="BN6" i="29"/>
  <c r="BO6" i="29"/>
  <c r="BP6" i="29"/>
  <c r="BQ6" i="29"/>
  <c r="BR6" i="29"/>
  <c r="BS6" i="29"/>
  <c r="BU6" i="29"/>
  <c r="BV6" i="29"/>
  <c r="BW6" i="29"/>
  <c r="BZ6" i="29"/>
  <c r="CA6" i="29"/>
  <c r="CB6" i="29"/>
  <c r="CC6" i="29"/>
  <c r="CD6" i="29"/>
  <c r="CE6" i="29"/>
  <c r="CF6" i="29"/>
  <c r="CG6" i="29"/>
  <c r="CI6" i="29"/>
  <c r="CJ6" i="29"/>
  <c r="CK6" i="29"/>
  <c r="CN6" i="29"/>
  <c r="CO6" i="29"/>
  <c r="CP6" i="29"/>
  <c r="CQ6" i="29"/>
  <c r="CR6" i="29"/>
  <c r="CS6" i="29"/>
  <c r="CT6" i="29"/>
  <c r="CU6" i="29"/>
  <c r="CW6" i="29"/>
  <c r="CX6" i="29"/>
  <c r="CY6" i="29"/>
  <c r="DD6" i="29"/>
  <c r="DE6" i="29"/>
  <c r="DF6" i="29"/>
  <c r="DG6" i="29"/>
  <c r="DH6" i="29"/>
  <c r="DI6" i="29"/>
  <c r="DJ6" i="29"/>
  <c r="DK6" i="29"/>
  <c r="DM6" i="29"/>
  <c r="DN6" i="29"/>
  <c r="DO6" i="29"/>
  <c r="DR6" i="29"/>
  <c r="DS6" i="29"/>
  <c r="DT6" i="29"/>
  <c r="DU6" i="29"/>
  <c r="DV6" i="29"/>
  <c r="DW6" i="29"/>
  <c r="DX6" i="29"/>
  <c r="DY6" i="29"/>
  <c r="EA6" i="29"/>
  <c r="EB6" i="29"/>
  <c r="EC6" i="29"/>
  <c r="EF6" i="29"/>
  <c r="EG6" i="29"/>
  <c r="EH6" i="29"/>
  <c r="EI6" i="29"/>
  <c r="EJ6" i="29"/>
  <c r="EK6" i="29"/>
  <c r="EL6" i="29"/>
  <c r="EM6" i="29"/>
  <c r="EO6" i="29"/>
  <c r="EP6" i="29"/>
  <c r="EQ6" i="29"/>
  <c r="ET6" i="29"/>
  <c r="EU6" i="29"/>
  <c r="EV6" i="29"/>
  <c r="EW6" i="29"/>
  <c r="EX6" i="29"/>
  <c r="EY6" i="29"/>
  <c r="EZ6" i="29"/>
  <c r="FA6" i="29"/>
  <c r="FC6" i="29"/>
  <c r="FD6" i="29"/>
  <c r="FE6" i="29"/>
  <c r="FJ6" i="29"/>
  <c r="FK6" i="29"/>
  <c r="FL6" i="29"/>
  <c r="FM6" i="29"/>
  <c r="FN6" i="29"/>
  <c r="FO6" i="29"/>
  <c r="FP6" i="29"/>
  <c r="FQ6" i="29"/>
  <c r="FS6" i="29"/>
  <c r="FT6" i="29"/>
  <c r="FU6" i="29"/>
  <c r="FX6" i="29"/>
  <c r="FY6" i="29"/>
  <c r="FZ6" i="29"/>
  <c r="GA6" i="29"/>
  <c r="GB6" i="29"/>
  <c r="GC6" i="29"/>
  <c r="GD6" i="29"/>
  <c r="GE6" i="29"/>
  <c r="GG6" i="29"/>
  <c r="GH6" i="29"/>
  <c r="GI6" i="29"/>
  <c r="GL6" i="29"/>
  <c r="GM6" i="29"/>
  <c r="GN6" i="29"/>
  <c r="GO6" i="29"/>
  <c r="GP6" i="29"/>
  <c r="GQ6" i="29"/>
  <c r="GR6" i="29"/>
  <c r="GS6" i="29"/>
  <c r="GU6" i="29"/>
  <c r="GV6" i="29"/>
  <c r="GW6" i="29"/>
  <c r="GZ6" i="29"/>
  <c r="HA6" i="29"/>
  <c r="HB6" i="29"/>
  <c r="HC6" i="29"/>
  <c r="HD6" i="29"/>
  <c r="HE6" i="29"/>
  <c r="HF6" i="29"/>
  <c r="HG6" i="29"/>
  <c r="HI6" i="29"/>
  <c r="HJ6" i="29"/>
  <c r="HK6" i="29"/>
  <c r="HP6" i="29"/>
  <c r="HQ6" i="29"/>
  <c r="HR6" i="29"/>
  <c r="HS6" i="29"/>
  <c r="HT6" i="29"/>
  <c r="HU6" i="29"/>
  <c r="HV6" i="29"/>
  <c r="HW6" i="29"/>
  <c r="HY6" i="29"/>
  <c r="HZ6" i="29"/>
  <c r="IA6" i="29"/>
  <c r="ID6" i="29"/>
  <c r="IE6" i="29"/>
  <c r="IF6" i="29"/>
  <c r="IG6" i="29"/>
  <c r="IH6" i="29"/>
  <c r="II6" i="29"/>
  <c r="IJ6" i="29"/>
  <c r="IK6" i="29"/>
  <c r="IM6" i="29"/>
  <c r="IN6" i="29"/>
  <c r="IO6" i="29"/>
  <c r="IR6" i="29"/>
  <c r="IS6" i="29"/>
  <c r="IT6" i="29"/>
  <c r="IU6" i="29"/>
  <c r="IV6" i="29"/>
  <c r="IW6" i="29"/>
  <c r="IX6" i="29"/>
  <c r="IY6" i="29"/>
  <c r="JA6" i="29"/>
  <c r="JB6" i="29"/>
  <c r="JC6" i="29"/>
  <c r="JF6" i="29"/>
  <c r="JG6" i="29"/>
  <c r="JH6" i="29"/>
  <c r="JI6" i="29"/>
  <c r="JJ6" i="29"/>
  <c r="JK6" i="29"/>
  <c r="JL6" i="29"/>
  <c r="JM6" i="29"/>
  <c r="JO6" i="29"/>
  <c r="JP6" i="29"/>
  <c r="JQ6" i="29"/>
  <c r="X7" i="29"/>
  <c r="AD7" i="29"/>
  <c r="AI7" i="29"/>
  <c r="AJ7" i="29"/>
  <c r="AO7" i="29"/>
  <c r="AP7" i="29"/>
  <c r="AU7" i="29"/>
  <c r="AX7" i="29"/>
  <c r="AY7" i="29"/>
  <c r="AZ7" i="29"/>
  <c r="BA7" i="29"/>
  <c r="BB7" i="29"/>
  <c r="BC7" i="29"/>
  <c r="BD7" i="29"/>
  <c r="BE7" i="29"/>
  <c r="BG7" i="29"/>
  <c r="BH7" i="29"/>
  <c r="BI7" i="29"/>
  <c r="BL7" i="29"/>
  <c r="BM7" i="29"/>
  <c r="BN7" i="29"/>
  <c r="BO7" i="29"/>
  <c r="BP7" i="29"/>
  <c r="BQ7" i="29"/>
  <c r="BR7" i="29"/>
  <c r="BS7" i="29"/>
  <c r="BU7" i="29"/>
  <c r="BV7" i="29"/>
  <c r="BW7" i="29"/>
  <c r="BZ7" i="29"/>
  <c r="CA7" i="29"/>
  <c r="CB7" i="29"/>
  <c r="CC7" i="29"/>
  <c r="CD7" i="29"/>
  <c r="CE7" i="29"/>
  <c r="CF7" i="29"/>
  <c r="CG7" i="29"/>
  <c r="CI7" i="29"/>
  <c r="CJ7" i="29"/>
  <c r="CK7" i="29"/>
  <c r="CN7" i="29"/>
  <c r="CO7" i="29"/>
  <c r="CP7" i="29"/>
  <c r="CQ7" i="29"/>
  <c r="CR7" i="29"/>
  <c r="CS7" i="29"/>
  <c r="CT7" i="29"/>
  <c r="CU7" i="29"/>
  <c r="CW7" i="29"/>
  <c r="CX7" i="29"/>
  <c r="CY7" i="29"/>
  <c r="DD7" i="29"/>
  <c r="DE7" i="29"/>
  <c r="DF7" i="29"/>
  <c r="DG7" i="29"/>
  <c r="DH7" i="29"/>
  <c r="DI7" i="29"/>
  <c r="DJ7" i="29"/>
  <c r="DK7" i="29"/>
  <c r="DM7" i="29"/>
  <c r="DN7" i="29"/>
  <c r="DO7" i="29"/>
  <c r="DR7" i="29"/>
  <c r="DS7" i="29"/>
  <c r="DT7" i="29"/>
  <c r="DU7" i="29"/>
  <c r="DV7" i="29"/>
  <c r="DW7" i="29"/>
  <c r="DX7" i="29"/>
  <c r="DY7" i="29"/>
  <c r="EA7" i="29"/>
  <c r="EB7" i="29"/>
  <c r="EC7" i="29"/>
  <c r="EF7" i="29"/>
  <c r="EG7" i="29"/>
  <c r="EH7" i="29"/>
  <c r="EI7" i="29"/>
  <c r="EJ7" i="29"/>
  <c r="EK7" i="29"/>
  <c r="EL7" i="29"/>
  <c r="EM7" i="29"/>
  <c r="EO7" i="29"/>
  <c r="EP7" i="29"/>
  <c r="EQ7" i="29"/>
  <c r="ET7" i="29"/>
  <c r="EU7" i="29"/>
  <c r="EV7" i="29"/>
  <c r="EW7" i="29"/>
  <c r="EX7" i="29"/>
  <c r="EY7" i="29"/>
  <c r="EZ7" i="29"/>
  <c r="FA7" i="29"/>
  <c r="FC7" i="29"/>
  <c r="FD7" i="29"/>
  <c r="FE7" i="29"/>
  <c r="FJ7" i="29"/>
  <c r="FK7" i="29"/>
  <c r="FL7" i="29"/>
  <c r="FM7" i="29"/>
  <c r="FN7" i="29"/>
  <c r="FO7" i="29"/>
  <c r="FP7" i="29"/>
  <c r="FQ7" i="29"/>
  <c r="FS7" i="29"/>
  <c r="FT7" i="29"/>
  <c r="FU7" i="29"/>
  <c r="FX7" i="29"/>
  <c r="FY7" i="29"/>
  <c r="FZ7" i="29"/>
  <c r="GA7" i="29"/>
  <c r="GB7" i="29"/>
  <c r="GC7" i="29"/>
  <c r="GD7" i="29"/>
  <c r="GE7" i="29"/>
  <c r="GG7" i="29"/>
  <c r="GH7" i="29"/>
  <c r="GI7" i="29"/>
  <c r="GL7" i="29"/>
  <c r="GM7" i="29"/>
  <c r="GN7" i="29"/>
  <c r="GO7" i="29"/>
  <c r="GP7" i="29"/>
  <c r="GQ7" i="29"/>
  <c r="GR7" i="29"/>
  <c r="GS7" i="29"/>
  <c r="GU7" i="29"/>
  <c r="GV7" i="29"/>
  <c r="GW7" i="29"/>
  <c r="GZ7" i="29"/>
  <c r="HA7" i="29"/>
  <c r="HB7" i="29"/>
  <c r="HC7" i="29"/>
  <c r="HD7" i="29"/>
  <c r="HE7" i="29"/>
  <c r="HF7" i="29"/>
  <c r="HG7" i="29"/>
  <c r="HI7" i="29"/>
  <c r="HJ7" i="29"/>
  <c r="HK7" i="29"/>
  <c r="HP7" i="29"/>
  <c r="HQ7" i="29"/>
  <c r="HR7" i="29"/>
  <c r="HS7" i="29"/>
  <c r="HT7" i="29"/>
  <c r="HU7" i="29"/>
  <c r="HV7" i="29"/>
  <c r="HW7" i="29"/>
  <c r="HY7" i="29"/>
  <c r="HZ7" i="29"/>
  <c r="IA7" i="29"/>
  <c r="ID7" i="29"/>
  <c r="IE7" i="29"/>
  <c r="IF7" i="29"/>
  <c r="IG7" i="29"/>
  <c r="IH7" i="29"/>
  <c r="II7" i="29"/>
  <c r="IJ7" i="29"/>
  <c r="IK7" i="29"/>
  <c r="IM7" i="29"/>
  <c r="IN7" i="29"/>
  <c r="IO7" i="29"/>
  <c r="IR7" i="29"/>
  <c r="IS7" i="29"/>
  <c r="IT7" i="29"/>
  <c r="IU7" i="29"/>
  <c r="IV7" i="29"/>
  <c r="IW7" i="29"/>
  <c r="IX7" i="29"/>
  <c r="IY7" i="29"/>
  <c r="JA7" i="29"/>
  <c r="JB7" i="29"/>
  <c r="JC7" i="29"/>
  <c r="JF7" i="29"/>
  <c r="JG7" i="29"/>
  <c r="JH7" i="29"/>
  <c r="JI7" i="29"/>
  <c r="JJ7" i="29"/>
  <c r="JK7" i="29"/>
  <c r="JL7" i="29"/>
  <c r="JM7" i="29"/>
  <c r="JO7" i="29"/>
  <c r="JP7" i="29"/>
  <c r="JQ7" i="29"/>
  <c r="X8" i="29"/>
  <c r="AD8" i="29"/>
  <c r="AI8" i="29"/>
  <c r="AJ8" i="29"/>
  <c r="AO8" i="29"/>
  <c r="AP8" i="29"/>
  <c r="AU8" i="29"/>
  <c r="AX8" i="29"/>
  <c r="AY8" i="29"/>
  <c r="AZ8" i="29"/>
  <c r="BA8" i="29"/>
  <c r="BB8" i="29"/>
  <c r="BC8" i="29"/>
  <c r="BD8" i="29"/>
  <c r="BE8" i="29"/>
  <c r="BG8" i="29"/>
  <c r="BH8" i="29"/>
  <c r="BI8" i="29"/>
  <c r="BL8" i="29"/>
  <c r="BM8" i="29"/>
  <c r="BN8" i="29"/>
  <c r="BO8" i="29"/>
  <c r="BP8" i="29"/>
  <c r="BQ8" i="29"/>
  <c r="BR8" i="29"/>
  <c r="BS8" i="29"/>
  <c r="BU8" i="29"/>
  <c r="BV8" i="29"/>
  <c r="BW8" i="29"/>
  <c r="BZ8" i="29"/>
  <c r="CA8" i="29"/>
  <c r="CB8" i="29"/>
  <c r="CC8" i="29"/>
  <c r="CD8" i="29"/>
  <c r="CE8" i="29"/>
  <c r="CF8" i="29"/>
  <c r="CG8" i="29"/>
  <c r="CI8" i="29"/>
  <c r="CJ8" i="29"/>
  <c r="CK8" i="29"/>
  <c r="CN8" i="29"/>
  <c r="CO8" i="29"/>
  <c r="CP8" i="29"/>
  <c r="CQ8" i="29"/>
  <c r="CR8" i="29"/>
  <c r="CS8" i="29"/>
  <c r="CT8" i="29"/>
  <c r="CU8" i="29"/>
  <c r="CW8" i="29"/>
  <c r="CX8" i="29"/>
  <c r="CY8" i="29"/>
  <c r="DD8" i="29"/>
  <c r="DE8" i="29"/>
  <c r="DF8" i="29"/>
  <c r="DG8" i="29"/>
  <c r="DH8" i="29"/>
  <c r="DI8" i="29"/>
  <c r="DJ8" i="29"/>
  <c r="DK8" i="29"/>
  <c r="DM8" i="29"/>
  <c r="DN8" i="29"/>
  <c r="DO8" i="29"/>
  <c r="DR8" i="29"/>
  <c r="DS8" i="29"/>
  <c r="DT8" i="29"/>
  <c r="DU8" i="29"/>
  <c r="DV8" i="29"/>
  <c r="DW8" i="29"/>
  <c r="DX8" i="29"/>
  <c r="DY8" i="29"/>
  <c r="EA8" i="29"/>
  <c r="EB8" i="29"/>
  <c r="EC8" i="29"/>
  <c r="EF8" i="29"/>
  <c r="EG8" i="29"/>
  <c r="EH8" i="29"/>
  <c r="EI8" i="29"/>
  <c r="EJ8" i="29"/>
  <c r="EK8" i="29"/>
  <c r="EL8" i="29"/>
  <c r="EM8" i="29"/>
  <c r="EO8" i="29"/>
  <c r="EP8" i="29"/>
  <c r="EQ8" i="29"/>
  <c r="ET8" i="29"/>
  <c r="EU8" i="29"/>
  <c r="EV8" i="29"/>
  <c r="EW8" i="29"/>
  <c r="EX8" i="29"/>
  <c r="EY8" i="29"/>
  <c r="EZ8" i="29"/>
  <c r="FA8" i="29"/>
  <c r="FC8" i="29"/>
  <c r="FD8" i="29"/>
  <c r="FE8" i="29"/>
  <c r="FJ8" i="29"/>
  <c r="FK8" i="29"/>
  <c r="FL8" i="29"/>
  <c r="FM8" i="29"/>
  <c r="FN8" i="29"/>
  <c r="FO8" i="29"/>
  <c r="FP8" i="29"/>
  <c r="FQ8" i="29"/>
  <c r="FS8" i="29"/>
  <c r="FT8" i="29"/>
  <c r="FU8" i="29"/>
  <c r="FX8" i="29"/>
  <c r="FY8" i="29"/>
  <c r="FZ8" i="29"/>
  <c r="GA8" i="29"/>
  <c r="GB8" i="29"/>
  <c r="GC8" i="29"/>
  <c r="GD8" i="29"/>
  <c r="GE8" i="29"/>
  <c r="GG8" i="29"/>
  <c r="GH8" i="29"/>
  <c r="GI8" i="29"/>
  <c r="GL8" i="29"/>
  <c r="GM8" i="29"/>
  <c r="GN8" i="29"/>
  <c r="GO8" i="29"/>
  <c r="GP8" i="29"/>
  <c r="GQ8" i="29"/>
  <c r="GR8" i="29"/>
  <c r="GS8" i="29"/>
  <c r="GU8" i="29"/>
  <c r="GV8" i="29"/>
  <c r="GW8" i="29"/>
  <c r="GZ8" i="29"/>
  <c r="HA8" i="29"/>
  <c r="HB8" i="29"/>
  <c r="HC8" i="29"/>
  <c r="HD8" i="29"/>
  <c r="HE8" i="29"/>
  <c r="HF8" i="29"/>
  <c r="HG8" i="29"/>
  <c r="HI8" i="29"/>
  <c r="HJ8" i="29"/>
  <c r="HK8" i="29"/>
  <c r="HP8" i="29"/>
  <c r="HQ8" i="29"/>
  <c r="HR8" i="29"/>
  <c r="HS8" i="29"/>
  <c r="HT8" i="29"/>
  <c r="HU8" i="29"/>
  <c r="HV8" i="29"/>
  <c r="HW8" i="29"/>
  <c r="HY8" i="29"/>
  <c r="HZ8" i="29"/>
  <c r="IA8" i="29"/>
  <c r="ID8" i="29"/>
  <c r="IE8" i="29"/>
  <c r="IF8" i="29"/>
  <c r="IG8" i="29"/>
  <c r="IH8" i="29"/>
  <c r="II8" i="29"/>
  <c r="IJ8" i="29"/>
  <c r="IK8" i="29"/>
  <c r="IM8" i="29"/>
  <c r="IN8" i="29"/>
  <c r="IO8" i="29"/>
  <c r="IR8" i="29"/>
  <c r="IS8" i="29"/>
  <c r="IT8" i="29"/>
  <c r="IU8" i="29"/>
  <c r="IV8" i="29"/>
  <c r="IW8" i="29"/>
  <c r="IX8" i="29"/>
  <c r="IY8" i="29"/>
  <c r="JA8" i="29"/>
  <c r="JB8" i="29"/>
  <c r="JC8" i="29"/>
  <c r="JF8" i="29"/>
  <c r="JG8" i="29"/>
  <c r="JH8" i="29"/>
  <c r="JI8" i="29"/>
  <c r="JJ8" i="29"/>
  <c r="JK8" i="29"/>
  <c r="JL8" i="29"/>
  <c r="JM8" i="29"/>
  <c r="JO8" i="29"/>
  <c r="JP8" i="29"/>
  <c r="JQ8" i="29"/>
  <c r="X9" i="29"/>
  <c r="AD9" i="29"/>
  <c r="AI9" i="29"/>
  <c r="AJ9" i="29"/>
  <c r="AO9" i="29"/>
  <c r="AP9" i="29"/>
  <c r="AU9" i="29"/>
  <c r="AX9" i="29"/>
  <c r="AY9" i="29"/>
  <c r="AZ9" i="29"/>
  <c r="BA9" i="29"/>
  <c r="BB9" i="29"/>
  <c r="BC9" i="29"/>
  <c r="BD9" i="29"/>
  <c r="BE9" i="29"/>
  <c r="BG9" i="29"/>
  <c r="BH9" i="29"/>
  <c r="BI9" i="29"/>
  <c r="BL9" i="29"/>
  <c r="BM9" i="29"/>
  <c r="BN9" i="29"/>
  <c r="BO9" i="29"/>
  <c r="BP9" i="29"/>
  <c r="BQ9" i="29"/>
  <c r="BR9" i="29"/>
  <c r="BS9" i="29"/>
  <c r="BU9" i="29"/>
  <c r="BV9" i="29"/>
  <c r="BW9" i="29"/>
  <c r="BZ9" i="29"/>
  <c r="CA9" i="29"/>
  <c r="CB9" i="29"/>
  <c r="CC9" i="29"/>
  <c r="CD9" i="29"/>
  <c r="CE9" i="29"/>
  <c r="CF9" i="29"/>
  <c r="CG9" i="29"/>
  <c r="CI9" i="29"/>
  <c r="CJ9" i="29"/>
  <c r="CK9" i="29"/>
  <c r="CN9" i="29"/>
  <c r="CO9" i="29"/>
  <c r="CP9" i="29"/>
  <c r="CQ9" i="29"/>
  <c r="CR9" i="29"/>
  <c r="CS9" i="29"/>
  <c r="CT9" i="29"/>
  <c r="CU9" i="29"/>
  <c r="CW9" i="29"/>
  <c r="CX9" i="29"/>
  <c r="CY9" i="29"/>
  <c r="DD9" i="29"/>
  <c r="DE9" i="29"/>
  <c r="DF9" i="29"/>
  <c r="DG9" i="29"/>
  <c r="DH9" i="29"/>
  <c r="DI9" i="29"/>
  <c r="DJ9" i="29"/>
  <c r="DK9" i="29"/>
  <c r="DM9" i="29"/>
  <c r="DN9" i="29"/>
  <c r="DO9" i="29"/>
  <c r="DR9" i="29"/>
  <c r="DS9" i="29"/>
  <c r="DT9" i="29"/>
  <c r="DU9" i="29"/>
  <c r="DV9" i="29"/>
  <c r="DW9" i="29"/>
  <c r="DX9" i="29"/>
  <c r="DY9" i="29"/>
  <c r="EA9" i="29"/>
  <c r="EB9" i="29"/>
  <c r="EC9" i="29"/>
  <c r="EF9" i="29"/>
  <c r="EG9" i="29"/>
  <c r="EH9" i="29"/>
  <c r="EI9" i="29"/>
  <c r="EJ9" i="29"/>
  <c r="EK9" i="29"/>
  <c r="EL9" i="29"/>
  <c r="EM9" i="29"/>
  <c r="EO9" i="29"/>
  <c r="EP9" i="29"/>
  <c r="EQ9" i="29"/>
  <c r="ET9" i="29"/>
  <c r="EU9" i="29"/>
  <c r="EV9" i="29"/>
  <c r="EW9" i="29"/>
  <c r="EX9" i="29"/>
  <c r="EY9" i="29"/>
  <c r="EZ9" i="29"/>
  <c r="FA9" i="29"/>
  <c r="FC9" i="29"/>
  <c r="FD9" i="29"/>
  <c r="FE9" i="29"/>
  <c r="FJ9" i="29"/>
  <c r="FK9" i="29"/>
  <c r="FL9" i="29"/>
  <c r="FM9" i="29"/>
  <c r="FN9" i="29"/>
  <c r="FO9" i="29"/>
  <c r="FP9" i="29"/>
  <c r="FQ9" i="29"/>
  <c r="FS9" i="29"/>
  <c r="FT9" i="29"/>
  <c r="FU9" i="29"/>
  <c r="FX9" i="29"/>
  <c r="FY9" i="29"/>
  <c r="FZ9" i="29"/>
  <c r="GA9" i="29"/>
  <c r="GB9" i="29"/>
  <c r="GC9" i="29"/>
  <c r="GD9" i="29"/>
  <c r="GE9" i="29"/>
  <c r="GG9" i="29"/>
  <c r="GH9" i="29"/>
  <c r="GI9" i="29"/>
  <c r="GL9" i="29"/>
  <c r="GM9" i="29"/>
  <c r="GN9" i="29"/>
  <c r="GO9" i="29"/>
  <c r="GP9" i="29"/>
  <c r="GQ9" i="29"/>
  <c r="GR9" i="29"/>
  <c r="GS9" i="29"/>
  <c r="GU9" i="29"/>
  <c r="GV9" i="29"/>
  <c r="GW9" i="29"/>
  <c r="GZ9" i="29"/>
  <c r="HA9" i="29"/>
  <c r="HB9" i="29"/>
  <c r="HC9" i="29"/>
  <c r="HD9" i="29"/>
  <c r="HE9" i="29"/>
  <c r="HF9" i="29"/>
  <c r="HG9" i="29"/>
  <c r="HI9" i="29"/>
  <c r="HJ9" i="29"/>
  <c r="HK9" i="29"/>
  <c r="HP9" i="29"/>
  <c r="HQ9" i="29"/>
  <c r="HR9" i="29"/>
  <c r="HS9" i="29"/>
  <c r="HT9" i="29"/>
  <c r="HU9" i="29"/>
  <c r="HV9" i="29"/>
  <c r="HW9" i="29"/>
  <c r="HY9" i="29"/>
  <c r="HZ9" i="29"/>
  <c r="IA9" i="29"/>
  <c r="ID9" i="29"/>
  <c r="IE9" i="29"/>
  <c r="IF9" i="29"/>
  <c r="IG9" i="29"/>
  <c r="IH9" i="29"/>
  <c r="II9" i="29"/>
  <c r="IJ9" i="29"/>
  <c r="IK9" i="29"/>
  <c r="IM9" i="29"/>
  <c r="IN9" i="29"/>
  <c r="IO9" i="29"/>
  <c r="IR9" i="29"/>
  <c r="IS9" i="29"/>
  <c r="IT9" i="29"/>
  <c r="IU9" i="29"/>
  <c r="IV9" i="29"/>
  <c r="IW9" i="29"/>
  <c r="IX9" i="29"/>
  <c r="IY9" i="29"/>
  <c r="JA9" i="29"/>
  <c r="JB9" i="29"/>
  <c r="JC9" i="29"/>
  <c r="JF9" i="29"/>
  <c r="JG9" i="29"/>
  <c r="JH9" i="29"/>
  <c r="JI9" i="29"/>
  <c r="JJ9" i="29"/>
  <c r="JK9" i="29"/>
  <c r="JL9" i="29"/>
  <c r="JM9" i="29"/>
  <c r="JO9" i="29"/>
  <c r="JP9" i="29"/>
  <c r="JQ9" i="29"/>
  <c r="X10" i="29"/>
  <c r="AD10" i="29"/>
  <c r="AI10" i="29"/>
  <c r="AJ10" i="29"/>
  <c r="AO10" i="29"/>
  <c r="AP10" i="29"/>
  <c r="AU10" i="29"/>
  <c r="AX10" i="29"/>
  <c r="AY10" i="29"/>
  <c r="AZ10" i="29"/>
  <c r="BA10" i="29"/>
  <c r="BB10" i="29"/>
  <c r="BC10" i="29"/>
  <c r="BD10" i="29"/>
  <c r="BE10" i="29"/>
  <c r="BG10" i="29"/>
  <c r="BH10" i="29"/>
  <c r="BI10" i="29"/>
  <c r="BL10" i="29"/>
  <c r="BM10" i="29"/>
  <c r="BN10" i="29"/>
  <c r="BO10" i="29"/>
  <c r="BP10" i="29"/>
  <c r="BQ10" i="29"/>
  <c r="BR10" i="29"/>
  <c r="BS10" i="29"/>
  <c r="BU10" i="29"/>
  <c r="BV10" i="29"/>
  <c r="BW10" i="29"/>
  <c r="BZ10" i="29"/>
  <c r="CA10" i="29"/>
  <c r="CB10" i="29"/>
  <c r="CC10" i="29"/>
  <c r="CD10" i="29"/>
  <c r="CE10" i="29"/>
  <c r="CF10" i="29"/>
  <c r="CG10" i="29"/>
  <c r="CI10" i="29"/>
  <c r="CJ10" i="29"/>
  <c r="CK10" i="29"/>
  <c r="CN10" i="29"/>
  <c r="CO10" i="29"/>
  <c r="CP10" i="29"/>
  <c r="CQ10" i="29"/>
  <c r="CR10" i="29"/>
  <c r="CS10" i="29"/>
  <c r="CT10" i="29"/>
  <c r="CU10" i="29"/>
  <c r="CW10" i="29"/>
  <c r="CX10" i="29"/>
  <c r="CY10" i="29"/>
  <c r="DD10" i="29"/>
  <c r="DE10" i="29"/>
  <c r="DF10" i="29"/>
  <c r="DG10" i="29"/>
  <c r="DH10" i="29"/>
  <c r="DI10" i="29"/>
  <c r="DJ10" i="29"/>
  <c r="DK10" i="29"/>
  <c r="DM10" i="29"/>
  <c r="DN10" i="29"/>
  <c r="DO10" i="29"/>
  <c r="DR10" i="29"/>
  <c r="DS10" i="29"/>
  <c r="DT10" i="29"/>
  <c r="DU10" i="29"/>
  <c r="DV10" i="29"/>
  <c r="DW10" i="29"/>
  <c r="DX10" i="29"/>
  <c r="DY10" i="29"/>
  <c r="EA10" i="29"/>
  <c r="EB10" i="29"/>
  <c r="EC10" i="29"/>
  <c r="EF10" i="29"/>
  <c r="EG10" i="29"/>
  <c r="EH10" i="29"/>
  <c r="EI10" i="29"/>
  <c r="EJ10" i="29"/>
  <c r="EK10" i="29"/>
  <c r="EL10" i="29"/>
  <c r="EM10" i="29"/>
  <c r="EO10" i="29"/>
  <c r="EP10" i="29"/>
  <c r="EQ10" i="29"/>
  <c r="ET10" i="29"/>
  <c r="EU10" i="29"/>
  <c r="EV10" i="29"/>
  <c r="EW10" i="29"/>
  <c r="EX10" i="29"/>
  <c r="EY10" i="29"/>
  <c r="EZ10" i="29"/>
  <c r="FA10" i="29"/>
  <c r="FC10" i="29"/>
  <c r="FD10" i="29"/>
  <c r="FE10" i="29"/>
  <c r="FJ10" i="29"/>
  <c r="FK10" i="29"/>
  <c r="FL10" i="29"/>
  <c r="FM10" i="29"/>
  <c r="FN10" i="29"/>
  <c r="FO10" i="29"/>
  <c r="FP10" i="29"/>
  <c r="FQ10" i="29"/>
  <c r="FS10" i="29"/>
  <c r="FT10" i="29"/>
  <c r="FU10" i="29"/>
  <c r="FX10" i="29"/>
  <c r="FY10" i="29"/>
  <c r="FZ10" i="29"/>
  <c r="GA10" i="29"/>
  <c r="GB10" i="29"/>
  <c r="GC10" i="29"/>
  <c r="GD10" i="29"/>
  <c r="GE10" i="29"/>
  <c r="GG10" i="29"/>
  <c r="GH10" i="29"/>
  <c r="GI10" i="29"/>
  <c r="GL10" i="29"/>
  <c r="GM10" i="29"/>
  <c r="GN10" i="29"/>
  <c r="GO10" i="29"/>
  <c r="GP10" i="29"/>
  <c r="GQ10" i="29"/>
  <c r="GR10" i="29"/>
  <c r="GS10" i="29"/>
  <c r="GU10" i="29"/>
  <c r="GV10" i="29"/>
  <c r="GW10" i="29"/>
  <c r="GZ10" i="29"/>
  <c r="HA10" i="29"/>
  <c r="HB10" i="29"/>
  <c r="HC10" i="29"/>
  <c r="HD10" i="29"/>
  <c r="HE10" i="29"/>
  <c r="HF10" i="29"/>
  <c r="HG10" i="29"/>
  <c r="HI10" i="29"/>
  <c r="HJ10" i="29"/>
  <c r="HK10" i="29"/>
  <c r="HP10" i="29"/>
  <c r="HQ10" i="29"/>
  <c r="HR10" i="29"/>
  <c r="HS10" i="29"/>
  <c r="HT10" i="29"/>
  <c r="HU10" i="29"/>
  <c r="HV10" i="29"/>
  <c r="HW10" i="29"/>
  <c r="HY10" i="29"/>
  <c r="HZ10" i="29"/>
  <c r="IA10" i="29"/>
  <c r="ID10" i="29"/>
  <c r="IE10" i="29"/>
  <c r="IF10" i="29"/>
  <c r="IG10" i="29"/>
  <c r="IH10" i="29"/>
  <c r="II10" i="29"/>
  <c r="IJ10" i="29"/>
  <c r="IK10" i="29"/>
  <c r="IM10" i="29"/>
  <c r="IN10" i="29"/>
  <c r="IO10" i="29"/>
  <c r="IR10" i="29"/>
  <c r="IS10" i="29"/>
  <c r="IT10" i="29"/>
  <c r="IU10" i="29"/>
  <c r="IV10" i="29"/>
  <c r="IW10" i="29"/>
  <c r="IX10" i="29"/>
  <c r="IY10" i="29"/>
  <c r="JA10" i="29"/>
  <c r="JB10" i="29"/>
  <c r="JC10" i="29"/>
  <c r="JF10" i="29"/>
  <c r="JG10" i="29"/>
  <c r="JH10" i="29"/>
  <c r="JI10" i="29"/>
  <c r="JJ10" i="29"/>
  <c r="JK10" i="29"/>
  <c r="JL10" i="29"/>
  <c r="JM10" i="29"/>
  <c r="JO10" i="29"/>
  <c r="JP10" i="29"/>
  <c r="JQ10" i="29"/>
  <c r="X11" i="29"/>
  <c r="AD11" i="29"/>
  <c r="AI11" i="29"/>
  <c r="AJ11" i="29"/>
  <c r="AO11" i="29"/>
  <c r="AP11" i="29"/>
  <c r="AU11" i="29"/>
  <c r="AX11" i="29"/>
  <c r="AY11" i="29"/>
  <c r="AZ11" i="29"/>
  <c r="BA11" i="29"/>
  <c r="BB11" i="29"/>
  <c r="BC11" i="29"/>
  <c r="BD11" i="29"/>
  <c r="BE11" i="29"/>
  <c r="BG11" i="29"/>
  <c r="BH11" i="29"/>
  <c r="BI11" i="29"/>
  <c r="BL11" i="29"/>
  <c r="BM11" i="29"/>
  <c r="BN11" i="29"/>
  <c r="BO11" i="29"/>
  <c r="BP11" i="29"/>
  <c r="BQ11" i="29"/>
  <c r="BR11" i="29"/>
  <c r="BS11" i="29"/>
  <c r="BU11" i="29"/>
  <c r="BV11" i="29"/>
  <c r="BW11" i="29"/>
  <c r="BZ11" i="29"/>
  <c r="CA11" i="29"/>
  <c r="CB11" i="29"/>
  <c r="CC11" i="29"/>
  <c r="CD11" i="29"/>
  <c r="CE11" i="29"/>
  <c r="CF11" i="29"/>
  <c r="CG11" i="29"/>
  <c r="CI11" i="29"/>
  <c r="CJ11" i="29"/>
  <c r="CK11" i="29"/>
  <c r="CN11" i="29"/>
  <c r="CO11" i="29"/>
  <c r="CP11" i="29"/>
  <c r="CQ11" i="29"/>
  <c r="CR11" i="29"/>
  <c r="CS11" i="29"/>
  <c r="CT11" i="29"/>
  <c r="CU11" i="29"/>
  <c r="CW11" i="29"/>
  <c r="CX11" i="29"/>
  <c r="CY11" i="29"/>
  <c r="DD11" i="29"/>
  <c r="DE11" i="29"/>
  <c r="DF11" i="29"/>
  <c r="DG11" i="29"/>
  <c r="DH11" i="29"/>
  <c r="DI11" i="29"/>
  <c r="DJ11" i="29"/>
  <c r="DK11" i="29"/>
  <c r="DM11" i="29"/>
  <c r="DN11" i="29"/>
  <c r="DO11" i="29"/>
  <c r="DR11" i="29"/>
  <c r="DS11" i="29"/>
  <c r="DT11" i="29"/>
  <c r="DU11" i="29"/>
  <c r="DV11" i="29"/>
  <c r="DW11" i="29"/>
  <c r="DX11" i="29"/>
  <c r="DY11" i="29"/>
  <c r="EA11" i="29"/>
  <c r="EB11" i="29"/>
  <c r="EC11" i="29"/>
  <c r="EF11" i="29"/>
  <c r="EG11" i="29"/>
  <c r="EH11" i="29"/>
  <c r="EI11" i="29"/>
  <c r="EJ11" i="29"/>
  <c r="EK11" i="29"/>
  <c r="EL11" i="29"/>
  <c r="EM11" i="29"/>
  <c r="EO11" i="29"/>
  <c r="EP11" i="29"/>
  <c r="EQ11" i="29"/>
  <c r="ET11" i="29"/>
  <c r="EU11" i="29"/>
  <c r="EV11" i="29"/>
  <c r="EW11" i="29"/>
  <c r="EX11" i="29"/>
  <c r="EY11" i="29"/>
  <c r="EZ11" i="29"/>
  <c r="FA11" i="29"/>
  <c r="FC11" i="29"/>
  <c r="FD11" i="29"/>
  <c r="FE11" i="29"/>
  <c r="FJ11" i="29"/>
  <c r="FK11" i="29"/>
  <c r="FL11" i="29"/>
  <c r="FM11" i="29"/>
  <c r="FN11" i="29"/>
  <c r="FO11" i="29"/>
  <c r="FP11" i="29"/>
  <c r="FQ11" i="29"/>
  <c r="FS11" i="29"/>
  <c r="FT11" i="29"/>
  <c r="FU11" i="29"/>
  <c r="FX11" i="29"/>
  <c r="FY11" i="29"/>
  <c r="FZ11" i="29"/>
  <c r="GA11" i="29"/>
  <c r="GB11" i="29"/>
  <c r="GC11" i="29"/>
  <c r="GD11" i="29"/>
  <c r="GE11" i="29"/>
  <c r="GG11" i="29"/>
  <c r="GH11" i="29"/>
  <c r="GI11" i="29"/>
  <c r="GL11" i="29"/>
  <c r="GM11" i="29"/>
  <c r="GN11" i="29"/>
  <c r="GO11" i="29"/>
  <c r="GP11" i="29"/>
  <c r="GQ11" i="29"/>
  <c r="GR11" i="29"/>
  <c r="GS11" i="29"/>
  <c r="GU11" i="29"/>
  <c r="GV11" i="29"/>
  <c r="GW11" i="29"/>
  <c r="GZ11" i="29"/>
  <c r="HA11" i="29"/>
  <c r="HB11" i="29"/>
  <c r="HC11" i="29"/>
  <c r="HD11" i="29"/>
  <c r="HE11" i="29"/>
  <c r="HF11" i="29"/>
  <c r="HG11" i="29"/>
  <c r="HI11" i="29"/>
  <c r="HJ11" i="29"/>
  <c r="HK11" i="29"/>
  <c r="HP11" i="29"/>
  <c r="HQ11" i="29"/>
  <c r="HR11" i="29"/>
  <c r="HS11" i="29"/>
  <c r="HT11" i="29"/>
  <c r="HU11" i="29"/>
  <c r="HV11" i="29"/>
  <c r="HW11" i="29"/>
  <c r="HY11" i="29"/>
  <c r="HZ11" i="29"/>
  <c r="IA11" i="29"/>
  <c r="ID11" i="29"/>
  <c r="IE11" i="29"/>
  <c r="IF11" i="29"/>
  <c r="IG11" i="29"/>
  <c r="IH11" i="29"/>
  <c r="II11" i="29"/>
  <c r="IJ11" i="29"/>
  <c r="IK11" i="29"/>
  <c r="IM11" i="29"/>
  <c r="IN11" i="29"/>
  <c r="IO11" i="29"/>
  <c r="IR11" i="29"/>
  <c r="IS11" i="29"/>
  <c r="IT11" i="29"/>
  <c r="IU11" i="29"/>
  <c r="IV11" i="29"/>
  <c r="IW11" i="29"/>
  <c r="IX11" i="29"/>
  <c r="IY11" i="29"/>
  <c r="JA11" i="29"/>
  <c r="JB11" i="29"/>
  <c r="JC11" i="29"/>
  <c r="JF11" i="29"/>
  <c r="JG11" i="29"/>
  <c r="JH11" i="29"/>
  <c r="JI11" i="29"/>
  <c r="JJ11" i="29"/>
  <c r="JK11" i="29"/>
  <c r="JL11" i="29"/>
  <c r="JM11" i="29"/>
  <c r="JO11" i="29"/>
  <c r="JP11" i="29"/>
  <c r="JQ11" i="29"/>
  <c r="X12" i="29"/>
  <c r="AD12" i="29"/>
  <c r="AI12" i="29"/>
  <c r="AJ12" i="29"/>
  <c r="AO12" i="29"/>
  <c r="AP12" i="29"/>
  <c r="AU12" i="29"/>
  <c r="AX12" i="29"/>
  <c r="AY12" i="29"/>
  <c r="AZ12" i="29"/>
  <c r="BA12" i="29"/>
  <c r="BB12" i="29"/>
  <c r="BC12" i="29"/>
  <c r="BD12" i="29"/>
  <c r="BE12" i="29"/>
  <c r="BG12" i="29"/>
  <c r="BH12" i="29"/>
  <c r="BI12" i="29"/>
  <c r="BL12" i="29"/>
  <c r="BM12" i="29"/>
  <c r="BN12" i="29"/>
  <c r="BO12" i="29"/>
  <c r="BP12" i="29"/>
  <c r="BQ12" i="29"/>
  <c r="BR12" i="29"/>
  <c r="BS12" i="29"/>
  <c r="BU12" i="29"/>
  <c r="BV12" i="29"/>
  <c r="BW12" i="29"/>
  <c r="BZ12" i="29"/>
  <c r="CA12" i="29"/>
  <c r="CB12" i="29"/>
  <c r="CC12" i="29"/>
  <c r="CD12" i="29"/>
  <c r="CE12" i="29"/>
  <c r="CF12" i="29"/>
  <c r="CG12" i="29"/>
  <c r="CI12" i="29"/>
  <c r="CJ12" i="29"/>
  <c r="CK12" i="29"/>
  <c r="CN12" i="29"/>
  <c r="CO12" i="29"/>
  <c r="CP12" i="29"/>
  <c r="CQ12" i="29"/>
  <c r="CR12" i="29"/>
  <c r="CS12" i="29"/>
  <c r="CT12" i="29"/>
  <c r="CU12" i="29"/>
  <c r="CW12" i="29"/>
  <c r="CX12" i="29"/>
  <c r="CY12" i="29"/>
  <c r="DD12" i="29"/>
  <c r="DE12" i="29"/>
  <c r="DF12" i="29"/>
  <c r="DG12" i="29"/>
  <c r="DH12" i="29"/>
  <c r="DI12" i="29"/>
  <c r="DJ12" i="29"/>
  <c r="DK12" i="29"/>
  <c r="DM12" i="29"/>
  <c r="DN12" i="29"/>
  <c r="DO12" i="29"/>
  <c r="DR12" i="29"/>
  <c r="DS12" i="29"/>
  <c r="DT12" i="29"/>
  <c r="DU12" i="29"/>
  <c r="DV12" i="29"/>
  <c r="DW12" i="29"/>
  <c r="DX12" i="29"/>
  <c r="DY12" i="29"/>
  <c r="EA12" i="29"/>
  <c r="EB12" i="29"/>
  <c r="EC12" i="29"/>
  <c r="EF12" i="29"/>
  <c r="EG12" i="29"/>
  <c r="EH12" i="29"/>
  <c r="EI12" i="29"/>
  <c r="EJ12" i="29"/>
  <c r="EK12" i="29"/>
  <c r="EL12" i="29"/>
  <c r="EM12" i="29"/>
  <c r="EO12" i="29"/>
  <c r="EP12" i="29"/>
  <c r="EQ12" i="29"/>
  <c r="ET12" i="29"/>
  <c r="EU12" i="29"/>
  <c r="EV12" i="29"/>
  <c r="EW12" i="29"/>
  <c r="EX12" i="29"/>
  <c r="EY12" i="29"/>
  <c r="EZ12" i="29"/>
  <c r="FA12" i="29"/>
  <c r="FC12" i="29"/>
  <c r="FD12" i="29"/>
  <c r="FE12" i="29"/>
  <c r="FJ12" i="29"/>
  <c r="FK12" i="29"/>
  <c r="FL12" i="29"/>
  <c r="FM12" i="29"/>
  <c r="FN12" i="29"/>
  <c r="FO12" i="29"/>
  <c r="FP12" i="29"/>
  <c r="FQ12" i="29"/>
  <c r="FS12" i="29"/>
  <c r="FT12" i="29"/>
  <c r="FU12" i="29"/>
  <c r="FX12" i="29"/>
  <c r="FY12" i="29"/>
  <c r="FZ12" i="29"/>
  <c r="GA12" i="29"/>
  <c r="GB12" i="29"/>
  <c r="GC12" i="29"/>
  <c r="GD12" i="29"/>
  <c r="GE12" i="29"/>
  <c r="GG12" i="29"/>
  <c r="GH12" i="29"/>
  <c r="GI12" i="29"/>
  <c r="GL12" i="29"/>
  <c r="GM12" i="29"/>
  <c r="GN12" i="29"/>
  <c r="GO12" i="29"/>
  <c r="GP12" i="29"/>
  <c r="GQ12" i="29"/>
  <c r="GR12" i="29"/>
  <c r="GS12" i="29"/>
  <c r="GU12" i="29"/>
  <c r="GV12" i="29"/>
  <c r="GW12" i="29"/>
  <c r="GZ12" i="29"/>
  <c r="HA12" i="29"/>
  <c r="HB12" i="29"/>
  <c r="HC12" i="29"/>
  <c r="HD12" i="29"/>
  <c r="HE12" i="29"/>
  <c r="HF12" i="29"/>
  <c r="HG12" i="29"/>
  <c r="HI12" i="29"/>
  <c r="HJ12" i="29"/>
  <c r="HK12" i="29"/>
  <c r="HP12" i="29"/>
  <c r="HQ12" i="29"/>
  <c r="HR12" i="29"/>
  <c r="HS12" i="29"/>
  <c r="HT12" i="29"/>
  <c r="HU12" i="29"/>
  <c r="HV12" i="29"/>
  <c r="HW12" i="29"/>
  <c r="HY12" i="29"/>
  <c r="HZ12" i="29"/>
  <c r="IA12" i="29"/>
  <c r="ID12" i="29"/>
  <c r="IE12" i="29"/>
  <c r="IF12" i="29"/>
  <c r="IG12" i="29"/>
  <c r="IH12" i="29"/>
  <c r="II12" i="29"/>
  <c r="IJ12" i="29"/>
  <c r="IK12" i="29"/>
  <c r="IM12" i="29"/>
  <c r="IN12" i="29"/>
  <c r="IO12" i="29"/>
  <c r="IR12" i="29"/>
  <c r="IS12" i="29"/>
  <c r="IT12" i="29"/>
  <c r="IU12" i="29"/>
  <c r="IV12" i="29"/>
  <c r="IW12" i="29"/>
  <c r="IX12" i="29"/>
  <c r="IY12" i="29"/>
  <c r="JA12" i="29"/>
  <c r="JB12" i="29"/>
  <c r="JC12" i="29"/>
  <c r="JF12" i="29"/>
  <c r="JG12" i="29"/>
  <c r="JH12" i="29"/>
  <c r="JI12" i="29"/>
  <c r="JJ12" i="29"/>
  <c r="JK12" i="29"/>
  <c r="JL12" i="29"/>
  <c r="JM12" i="29"/>
  <c r="JO12" i="29"/>
  <c r="JP12" i="29"/>
  <c r="JQ12" i="29"/>
  <c r="X13" i="29"/>
  <c r="AD13" i="29"/>
  <c r="AI13" i="29"/>
  <c r="AJ13" i="29"/>
  <c r="AO13" i="29"/>
  <c r="AP13" i="29"/>
  <c r="AU13" i="29"/>
  <c r="AX13" i="29"/>
  <c r="AY13" i="29"/>
  <c r="AZ13" i="29"/>
  <c r="BA13" i="29"/>
  <c r="BB13" i="29"/>
  <c r="BC13" i="29"/>
  <c r="BD13" i="29"/>
  <c r="BE13" i="29"/>
  <c r="BG13" i="29"/>
  <c r="BH13" i="29"/>
  <c r="BI13" i="29"/>
  <c r="BL13" i="29"/>
  <c r="BM13" i="29"/>
  <c r="BN13" i="29"/>
  <c r="BO13" i="29"/>
  <c r="BP13" i="29"/>
  <c r="BQ13" i="29"/>
  <c r="BR13" i="29"/>
  <c r="BS13" i="29"/>
  <c r="BU13" i="29"/>
  <c r="BV13" i="29"/>
  <c r="BW13" i="29"/>
  <c r="BZ13" i="29"/>
  <c r="CA13" i="29"/>
  <c r="CB13" i="29"/>
  <c r="CC13" i="29"/>
  <c r="CD13" i="29"/>
  <c r="CE13" i="29"/>
  <c r="CF13" i="29"/>
  <c r="CG13" i="29"/>
  <c r="CI13" i="29"/>
  <c r="CJ13" i="29"/>
  <c r="CK13" i="29"/>
  <c r="CN13" i="29"/>
  <c r="CO13" i="29"/>
  <c r="CP13" i="29"/>
  <c r="CQ13" i="29"/>
  <c r="CR13" i="29"/>
  <c r="CS13" i="29"/>
  <c r="CT13" i="29"/>
  <c r="CU13" i="29"/>
  <c r="CW13" i="29"/>
  <c r="CX13" i="29"/>
  <c r="CY13" i="29"/>
  <c r="DD13" i="29"/>
  <c r="DE13" i="29"/>
  <c r="DF13" i="29"/>
  <c r="DG13" i="29"/>
  <c r="DH13" i="29"/>
  <c r="DI13" i="29"/>
  <c r="DJ13" i="29"/>
  <c r="DK13" i="29"/>
  <c r="DM13" i="29"/>
  <c r="DN13" i="29"/>
  <c r="DO13" i="29"/>
  <c r="DR13" i="29"/>
  <c r="DS13" i="29"/>
  <c r="DT13" i="29"/>
  <c r="DU13" i="29"/>
  <c r="DV13" i="29"/>
  <c r="DW13" i="29"/>
  <c r="DX13" i="29"/>
  <c r="DY13" i="29"/>
  <c r="EA13" i="29"/>
  <c r="EB13" i="29"/>
  <c r="EC13" i="29"/>
  <c r="EF13" i="29"/>
  <c r="EG13" i="29"/>
  <c r="EH13" i="29"/>
  <c r="EI13" i="29"/>
  <c r="EJ13" i="29"/>
  <c r="EK13" i="29"/>
  <c r="EL13" i="29"/>
  <c r="EM13" i="29"/>
  <c r="EO13" i="29"/>
  <c r="EP13" i="29"/>
  <c r="EQ13" i="29"/>
  <c r="ET13" i="29"/>
  <c r="EU13" i="29"/>
  <c r="EV13" i="29"/>
  <c r="EW13" i="29"/>
  <c r="EX13" i="29"/>
  <c r="EY13" i="29"/>
  <c r="EZ13" i="29"/>
  <c r="FA13" i="29"/>
  <c r="FC13" i="29"/>
  <c r="FD13" i="29"/>
  <c r="FE13" i="29"/>
  <c r="FJ13" i="29"/>
  <c r="FK13" i="29"/>
  <c r="FL13" i="29"/>
  <c r="FM13" i="29"/>
  <c r="FN13" i="29"/>
  <c r="FO13" i="29"/>
  <c r="FP13" i="29"/>
  <c r="FQ13" i="29"/>
  <c r="FS13" i="29"/>
  <c r="FT13" i="29"/>
  <c r="FU13" i="29"/>
  <c r="FX13" i="29"/>
  <c r="FY13" i="29"/>
  <c r="FZ13" i="29"/>
  <c r="GA13" i="29"/>
  <c r="GB13" i="29"/>
  <c r="GC13" i="29"/>
  <c r="GD13" i="29"/>
  <c r="GE13" i="29"/>
  <c r="GG13" i="29"/>
  <c r="GH13" i="29"/>
  <c r="GI13" i="29"/>
  <c r="GL13" i="29"/>
  <c r="GM13" i="29"/>
  <c r="GN13" i="29"/>
  <c r="GO13" i="29"/>
  <c r="GP13" i="29"/>
  <c r="GQ13" i="29"/>
  <c r="GR13" i="29"/>
  <c r="GS13" i="29"/>
  <c r="GU13" i="29"/>
  <c r="GV13" i="29"/>
  <c r="GW13" i="29"/>
  <c r="GZ13" i="29"/>
  <c r="HA13" i="29"/>
  <c r="HB13" i="29"/>
  <c r="HC13" i="29"/>
  <c r="HD13" i="29"/>
  <c r="HE13" i="29"/>
  <c r="HF13" i="29"/>
  <c r="HG13" i="29"/>
  <c r="HI13" i="29"/>
  <c r="HJ13" i="29"/>
  <c r="HK13" i="29"/>
  <c r="HP13" i="29"/>
  <c r="HQ13" i="29"/>
  <c r="HR13" i="29"/>
  <c r="HS13" i="29"/>
  <c r="HT13" i="29"/>
  <c r="HU13" i="29"/>
  <c r="HV13" i="29"/>
  <c r="HW13" i="29"/>
  <c r="HY13" i="29"/>
  <c r="HZ13" i="29"/>
  <c r="IA13" i="29"/>
  <c r="ID13" i="29"/>
  <c r="IE13" i="29"/>
  <c r="IF13" i="29"/>
  <c r="IG13" i="29"/>
  <c r="IH13" i="29"/>
  <c r="II13" i="29"/>
  <c r="IJ13" i="29"/>
  <c r="IK13" i="29"/>
  <c r="IM13" i="29"/>
  <c r="IN13" i="29"/>
  <c r="IO13" i="29"/>
  <c r="IR13" i="29"/>
  <c r="IS13" i="29"/>
  <c r="IT13" i="29"/>
  <c r="IU13" i="29"/>
  <c r="IV13" i="29"/>
  <c r="IW13" i="29"/>
  <c r="IX13" i="29"/>
  <c r="IY13" i="29"/>
  <c r="JA13" i="29"/>
  <c r="JB13" i="29"/>
  <c r="JC13" i="29"/>
  <c r="JF13" i="29"/>
  <c r="JG13" i="29"/>
  <c r="JH13" i="29"/>
  <c r="JI13" i="29"/>
  <c r="JJ13" i="29"/>
  <c r="JK13" i="29"/>
  <c r="JL13" i="29"/>
  <c r="JM13" i="29"/>
  <c r="JO13" i="29"/>
  <c r="JP13" i="29"/>
  <c r="JQ13" i="29"/>
  <c r="X14" i="29"/>
  <c r="AD14" i="29"/>
  <c r="AI14" i="29"/>
  <c r="AJ14" i="29"/>
  <c r="AO14" i="29"/>
  <c r="AP14" i="29"/>
  <c r="AU14" i="29"/>
  <c r="AX14" i="29"/>
  <c r="AY14" i="29"/>
  <c r="AZ14" i="29"/>
  <c r="BA14" i="29"/>
  <c r="BB14" i="29"/>
  <c r="BC14" i="29"/>
  <c r="BD14" i="29"/>
  <c r="BE14" i="29"/>
  <c r="BG14" i="29"/>
  <c r="BH14" i="29"/>
  <c r="BI14" i="29"/>
  <c r="BL14" i="29"/>
  <c r="BM14" i="29"/>
  <c r="BN14" i="29"/>
  <c r="BO14" i="29"/>
  <c r="BP14" i="29"/>
  <c r="BQ14" i="29"/>
  <c r="BR14" i="29"/>
  <c r="BS14" i="29"/>
  <c r="BU14" i="29"/>
  <c r="BV14" i="29"/>
  <c r="BW14" i="29"/>
  <c r="BZ14" i="29"/>
  <c r="CA14" i="29"/>
  <c r="CB14" i="29"/>
  <c r="CC14" i="29"/>
  <c r="CD14" i="29"/>
  <c r="CE14" i="29"/>
  <c r="CF14" i="29"/>
  <c r="CG14" i="29"/>
  <c r="CI14" i="29"/>
  <c r="CJ14" i="29"/>
  <c r="CK14" i="29"/>
  <c r="CN14" i="29"/>
  <c r="CO14" i="29"/>
  <c r="CP14" i="29"/>
  <c r="CQ14" i="29"/>
  <c r="CR14" i="29"/>
  <c r="CS14" i="29"/>
  <c r="CT14" i="29"/>
  <c r="CU14" i="29"/>
  <c r="CW14" i="29"/>
  <c r="CX14" i="29"/>
  <c r="CY14" i="29"/>
  <c r="DD14" i="29"/>
  <c r="DE14" i="29"/>
  <c r="DF14" i="29"/>
  <c r="DG14" i="29"/>
  <c r="DH14" i="29"/>
  <c r="DI14" i="29"/>
  <c r="DJ14" i="29"/>
  <c r="DK14" i="29"/>
  <c r="DM14" i="29"/>
  <c r="DN14" i="29"/>
  <c r="DO14" i="29"/>
  <c r="DR14" i="29"/>
  <c r="DS14" i="29"/>
  <c r="DT14" i="29"/>
  <c r="DU14" i="29"/>
  <c r="DV14" i="29"/>
  <c r="DW14" i="29"/>
  <c r="DX14" i="29"/>
  <c r="DY14" i="29"/>
  <c r="EA14" i="29"/>
  <c r="EB14" i="29"/>
  <c r="EC14" i="29"/>
  <c r="EF14" i="29"/>
  <c r="EG14" i="29"/>
  <c r="EH14" i="29"/>
  <c r="EI14" i="29"/>
  <c r="EJ14" i="29"/>
  <c r="EK14" i="29"/>
  <c r="EL14" i="29"/>
  <c r="EM14" i="29"/>
  <c r="EO14" i="29"/>
  <c r="EP14" i="29"/>
  <c r="EQ14" i="29"/>
  <c r="ET14" i="29"/>
  <c r="EU14" i="29"/>
  <c r="EV14" i="29"/>
  <c r="EW14" i="29"/>
  <c r="EX14" i="29"/>
  <c r="EY14" i="29"/>
  <c r="EZ14" i="29"/>
  <c r="FA14" i="29"/>
  <c r="FC14" i="29"/>
  <c r="FD14" i="29"/>
  <c r="FE14" i="29"/>
  <c r="FJ14" i="29"/>
  <c r="FK14" i="29"/>
  <c r="FL14" i="29"/>
  <c r="FM14" i="29"/>
  <c r="FN14" i="29"/>
  <c r="FO14" i="29"/>
  <c r="FP14" i="29"/>
  <c r="FQ14" i="29"/>
  <c r="FS14" i="29"/>
  <c r="FT14" i="29"/>
  <c r="FU14" i="29"/>
  <c r="FX14" i="29"/>
  <c r="FY14" i="29"/>
  <c r="FZ14" i="29"/>
  <c r="GA14" i="29"/>
  <c r="GB14" i="29"/>
  <c r="GC14" i="29"/>
  <c r="GD14" i="29"/>
  <c r="GE14" i="29"/>
  <c r="GG14" i="29"/>
  <c r="GH14" i="29"/>
  <c r="GI14" i="29"/>
  <c r="GL14" i="29"/>
  <c r="GM14" i="29"/>
  <c r="GN14" i="29"/>
  <c r="GO14" i="29"/>
  <c r="GP14" i="29"/>
  <c r="GQ14" i="29"/>
  <c r="GR14" i="29"/>
  <c r="GS14" i="29"/>
  <c r="GU14" i="29"/>
  <c r="GV14" i="29"/>
  <c r="GW14" i="29"/>
  <c r="GZ14" i="29"/>
  <c r="HA14" i="29"/>
  <c r="HB14" i="29"/>
  <c r="HC14" i="29"/>
  <c r="HD14" i="29"/>
  <c r="HE14" i="29"/>
  <c r="HF14" i="29"/>
  <c r="HG14" i="29"/>
  <c r="HI14" i="29"/>
  <c r="HJ14" i="29"/>
  <c r="HK14" i="29"/>
  <c r="HP14" i="29"/>
  <c r="HQ14" i="29"/>
  <c r="HR14" i="29"/>
  <c r="HS14" i="29"/>
  <c r="HT14" i="29"/>
  <c r="HU14" i="29"/>
  <c r="HV14" i="29"/>
  <c r="HW14" i="29"/>
  <c r="HY14" i="29"/>
  <c r="HZ14" i="29"/>
  <c r="IA14" i="29"/>
  <c r="ID14" i="29"/>
  <c r="IE14" i="29"/>
  <c r="IF14" i="29"/>
  <c r="IG14" i="29"/>
  <c r="IH14" i="29"/>
  <c r="II14" i="29"/>
  <c r="IJ14" i="29"/>
  <c r="IK14" i="29"/>
  <c r="IM14" i="29"/>
  <c r="IN14" i="29"/>
  <c r="IO14" i="29"/>
  <c r="IR14" i="29"/>
  <c r="IS14" i="29"/>
  <c r="IT14" i="29"/>
  <c r="IU14" i="29"/>
  <c r="IV14" i="29"/>
  <c r="IW14" i="29"/>
  <c r="IX14" i="29"/>
  <c r="IY14" i="29"/>
  <c r="JA14" i="29"/>
  <c r="JB14" i="29"/>
  <c r="JC14" i="29"/>
  <c r="JF14" i="29"/>
  <c r="JG14" i="29"/>
  <c r="JH14" i="29"/>
  <c r="JI14" i="29"/>
  <c r="JJ14" i="29"/>
  <c r="JK14" i="29"/>
  <c r="JL14" i="29"/>
  <c r="JM14" i="29"/>
  <c r="JO14" i="29"/>
  <c r="JP14" i="29"/>
  <c r="JQ14" i="29"/>
  <c r="X15" i="29"/>
  <c r="AC15" i="29"/>
  <c r="AD15" i="29"/>
  <c r="AI15" i="29"/>
  <c r="AJ15" i="29"/>
  <c r="AO15" i="29"/>
  <c r="AP15" i="29"/>
  <c r="AU15" i="29"/>
  <c r="AX15" i="29"/>
  <c r="AY15" i="29"/>
  <c r="AZ15" i="29"/>
  <c r="BA15" i="29"/>
  <c r="BB15" i="29"/>
  <c r="BC15" i="29"/>
  <c r="BD15" i="29"/>
  <c r="BE15" i="29"/>
  <c r="BG15" i="29"/>
  <c r="BH15" i="29"/>
  <c r="BI15" i="29"/>
  <c r="BL15" i="29"/>
  <c r="BM15" i="29"/>
  <c r="BN15" i="29"/>
  <c r="BO15" i="29"/>
  <c r="BP15" i="29"/>
  <c r="BQ15" i="29"/>
  <c r="BR15" i="29"/>
  <c r="BS15" i="29"/>
  <c r="BU15" i="29"/>
  <c r="BV15" i="29"/>
  <c r="BW15" i="29"/>
  <c r="BZ15" i="29"/>
  <c r="CA15" i="29"/>
  <c r="CB15" i="29"/>
  <c r="CC15" i="29"/>
  <c r="CD15" i="29"/>
  <c r="CE15" i="29"/>
  <c r="CF15" i="29"/>
  <c r="CG15" i="29"/>
  <c r="CI15" i="29"/>
  <c r="CJ15" i="29"/>
  <c r="CK15" i="29"/>
  <c r="CN15" i="29"/>
  <c r="CO15" i="29"/>
  <c r="CP15" i="29"/>
  <c r="CQ15" i="29"/>
  <c r="CR15" i="29"/>
  <c r="CS15" i="29"/>
  <c r="CT15" i="29"/>
  <c r="CU15" i="29"/>
  <c r="CW15" i="29"/>
  <c r="CX15" i="29"/>
  <c r="CY15" i="29"/>
  <c r="DD15" i="29"/>
  <c r="DE15" i="29"/>
  <c r="DF15" i="29"/>
  <c r="DG15" i="29"/>
  <c r="DH15" i="29"/>
  <c r="DI15" i="29"/>
  <c r="DJ15" i="29"/>
  <c r="DK15" i="29"/>
  <c r="DM15" i="29"/>
  <c r="DN15" i="29"/>
  <c r="DO15" i="29"/>
  <c r="DR15" i="29"/>
  <c r="DS15" i="29"/>
  <c r="DT15" i="29"/>
  <c r="DU15" i="29"/>
  <c r="DV15" i="29"/>
  <c r="DW15" i="29"/>
  <c r="DX15" i="29"/>
  <c r="DY15" i="29"/>
  <c r="EA15" i="29"/>
  <c r="EB15" i="29"/>
  <c r="EC15" i="29"/>
  <c r="EF15" i="29"/>
  <c r="EG15" i="29"/>
  <c r="EH15" i="29"/>
  <c r="EI15" i="29"/>
  <c r="EJ15" i="29"/>
  <c r="EK15" i="29"/>
  <c r="EL15" i="29"/>
  <c r="EM15" i="29"/>
  <c r="EO15" i="29"/>
  <c r="EP15" i="29"/>
  <c r="EQ15" i="29"/>
  <c r="ET15" i="29"/>
  <c r="EU15" i="29"/>
  <c r="EV15" i="29"/>
  <c r="EW15" i="29"/>
  <c r="EX15" i="29"/>
  <c r="EY15" i="29"/>
  <c r="EZ15" i="29"/>
  <c r="FA15" i="29"/>
  <c r="FC15" i="29"/>
  <c r="FD15" i="29"/>
  <c r="FE15" i="29"/>
  <c r="FJ15" i="29"/>
  <c r="FK15" i="29"/>
  <c r="FL15" i="29"/>
  <c r="FM15" i="29"/>
  <c r="FN15" i="29"/>
  <c r="FO15" i="29"/>
  <c r="FP15" i="29"/>
  <c r="FQ15" i="29"/>
  <c r="FS15" i="29"/>
  <c r="FT15" i="29"/>
  <c r="FU15" i="29"/>
  <c r="FX15" i="29"/>
  <c r="FY15" i="29"/>
  <c r="FZ15" i="29"/>
  <c r="GA15" i="29"/>
  <c r="GB15" i="29"/>
  <c r="GC15" i="29"/>
  <c r="GD15" i="29"/>
  <c r="GE15" i="29"/>
  <c r="GG15" i="29"/>
  <c r="GH15" i="29"/>
  <c r="GI15" i="29"/>
  <c r="GL15" i="29"/>
  <c r="GM15" i="29"/>
  <c r="GN15" i="29"/>
  <c r="GO15" i="29"/>
  <c r="GP15" i="29"/>
  <c r="GQ15" i="29"/>
  <c r="GR15" i="29"/>
  <c r="GS15" i="29"/>
  <c r="GU15" i="29"/>
  <c r="GV15" i="29"/>
  <c r="GW15" i="29"/>
  <c r="GZ15" i="29"/>
  <c r="HA15" i="29"/>
  <c r="HB15" i="29"/>
  <c r="HC15" i="29"/>
  <c r="HD15" i="29"/>
  <c r="HE15" i="29"/>
  <c r="HF15" i="29"/>
  <c r="HG15" i="29"/>
  <c r="HI15" i="29"/>
  <c r="HJ15" i="29"/>
  <c r="HK15" i="29"/>
  <c r="HP15" i="29"/>
  <c r="HQ15" i="29"/>
  <c r="HR15" i="29"/>
  <c r="HS15" i="29"/>
  <c r="HT15" i="29"/>
  <c r="HU15" i="29"/>
  <c r="HV15" i="29"/>
  <c r="HW15" i="29"/>
  <c r="HY15" i="29"/>
  <c r="HZ15" i="29"/>
  <c r="IA15" i="29"/>
  <c r="ID15" i="29"/>
  <c r="IE15" i="29"/>
  <c r="IF15" i="29"/>
  <c r="IG15" i="29"/>
  <c r="IH15" i="29"/>
  <c r="II15" i="29"/>
  <c r="IJ15" i="29"/>
  <c r="IK15" i="29"/>
  <c r="IM15" i="29"/>
  <c r="IN15" i="29"/>
  <c r="IO15" i="29"/>
  <c r="IR15" i="29"/>
  <c r="IS15" i="29"/>
  <c r="IT15" i="29"/>
  <c r="IU15" i="29"/>
  <c r="IV15" i="29"/>
  <c r="IW15" i="29"/>
  <c r="IX15" i="29"/>
  <c r="IY15" i="29"/>
  <c r="JA15" i="29"/>
  <c r="JB15" i="29"/>
  <c r="JC15" i="29"/>
  <c r="JF15" i="29"/>
  <c r="JG15" i="29"/>
  <c r="JH15" i="29"/>
  <c r="JI15" i="29"/>
  <c r="JJ15" i="29"/>
  <c r="JK15" i="29"/>
  <c r="JL15" i="29"/>
  <c r="JM15" i="29"/>
  <c r="JO15" i="29"/>
  <c r="JP15" i="29"/>
  <c r="JQ15" i="29"/>
  <c r="X16" i="29"/>
  <c r="AC16" i="29"/>
  <c r="AD16" i="29"/>
  <c r="AI16" i="29"/>
  <c r="AJ16" i="29"/>
  <c r="AO16" i="29"/>
  <c r="AP16" i="29"/>
  <c r="AU16" i="29"/>
  <c r="AX16" i="29"/>
  <c r="AY16" i="29"/>
  <c r="AZ16" i="29"/>
  <c r="BA16" i="29"/>
  <c r="BB16" i="29"/>
  <c r="BC16" i="29"/>
  <c r="BD16" i="29"/>
  <c r="BE16" i="29"/>
  <c r="BG16" i="29"/>
  <c r="BH16" i="29"/>
  <c r="BI16" i="29"/>
  <c r="BL16" i="29"/>
  <c r="BM16" i="29"/>
  <c r="BN16" i="29"/>
  <c r="BO16" i="29"/>
  <c r="BP16" i="29"/>
  <c r="BQ16" i="29"/>
  <c r="BR16" i="29"/>
  <c r="BS16" i="29"/>
  <c r="BU16" i="29"/>
  <c r="BV16" i="29"/>
  <c r="BW16" i="29"/>
  <c r="BZ16" i="29"/>
  <c r="CA16" i="29"/>
  <c r="CB16" i="29"/>
  <c r="CC16" i="29"/>
  <c r="CD16" i="29"/>
  <c r="CE16" i="29"/>
  <c r="CF16" i="29"/>
  <c r="CG16" i="29"/>
  <c r="CI16" i="29"/>
  <c r="CJ16" i="29"/>
  <c r="CK16" i="29"/>
  <c r="CN16" i="29"/>
  <c r="CO16" i="29"/>
  <c r="CP16" i="29"/>
  <c r="CQ16" i="29"/>
  <c r="CR16" i="29"/>
  <c r="CS16" i="29"/>
  <c r="CT16" i="29"/>
  <c r="CU16" i="29"/>
  <c r="CW16" i="29"/>
  <c r="CX16" i="29"/>
  <c r="CY16" i="29"/>
  <c r="DD16" i="29"/>
  <c r="DE16" i="29"/>
  <c r="DF16" i="29"/>
  <c r="DG16" i="29"/>
  <c r="DH16" i="29"/>
  <c r="DI16" i="29"/>
  <c r="DJ16" i="29"/>
  <c r="DK16" i="29"/>
  <c r="DM16" i="29"/>
  <c r="DN16" i="29"/>
  <c r="DO16" i="29"/>
  <c r="DR16" i="29"/>
  <c r="DS16" i="29"/>
  <c r="DT16" i="29"/>
  <c r="DU16" i="29"/>
  <c r="DV16" i="29"/>
  <c r="DW16" i="29"/>
  <c r="DX16" i="29"/>
  <c r="DY16" i="29"/>
  <c r="EA16" i="29"/>
  <c r="EB16" i="29"/>
  <c r="EC16" i="29"/>
  <c r="EF16" i="29"/>
  <c r="EG16" i="29"/>
  <c r="EH16" i="29"/>
  <c r="EI16" i="29"/>
  <c r="EJ16" i="29"/>
  <c r="EK16" i="29"/>
  <c r="EL16" i="29"/>
  <c r="EM16" i="29"/>
  <c r="EO16" i="29"/>
  <c r="EP16" i="29"/>
  <c r="EQ16" i="29"/>
  <c r="ET16" i="29"/>
  <c r="EU16" i="29"/>
  <c r="EV16" i="29"/>
  <c r="EW16" i="29"/>
  <c r="EX16" i="29"/>
  <c r="EY16" i="29"/>
  <c r="EZ16" i="29"/>
  <c r="FA16" i="29"/>
  <c r="FC16" i="29"/>
  <c r="FD16" i="29"/>
  <c r="FE16" i="29"/>
  <c r="FJ16" i="29"/>
  <c r="FK16" i="29"/>
  <c r="FL16" i="29"/>
  <c r="FM16" i="29"/>
  <c r="FN16" i="29"/>
  <c r="FO16" i="29"/>
  <c r="FP16" i="29"/>
  <c r="FQ16" i="29"/>
  <c r="FS16" i="29"/>
  <c r="FT16" i="29"/>
  <c r="FU16" i="29"/>
  <c r="FX16" i="29"/>
  <c r="FY16" i="29"/>
  <c r="FZ16" i="29"/>
  <c r="GA16" i="29"/>
  <c r="GB16" i="29"/>
  <c r="GC16" i="29"/>
  <c r="GD16" i="29"/>
  <c r="GE16" i="29"/>
  <c r="GG16" i="29"/>
  <c r="GH16" i="29"/>
  <c r="GI16" i="29"/>
  <c r="GL16" i="29"/>
  <c r="GM16" i="29"/>
  <c r="GN16" i="29"/>
  <c r="GO16" i="29"/>
  <c r="GP16" i="29"/>
  <c r="GQ16" i="29"/>
  <c r="GR16" i="29"/>
  <c r="GS16" i="29"/>
  <c r="GU16" i="29"/>
  <c r="GV16" i="29"/>
  <c r="GW16" i="29"/>
  <c r="GZ16" i="29"/>
  <c r="HA16" i="29"/>
  <c r="HB16" i="29"/>
  <c r="HC16" i="29"/>
  <c r="HD16" i="29"/>
  <c r="HE16" i="29"/>
  <c r="HF16" i="29"/>
  <c r="HG16" i="29"/>
  <c r="HI16" i="29"/>
  <c r="HJ16" i="29"/>
  <c r="HK16" i="29"/>
  <c r="HP16" i="29"/>
  <c r="HQ16" i="29"/>
  <c r="HR16" i="29"/>
  <c r="HS16" i="29"/>
  <c r="HT16" i="29"/>
  <c r="HU16" i="29"/>
  <c r="HV16" i="29"/>
  <c r="HW16" i="29"/>
  <c r="HY16" i="29"/>
  <c r="HZ16" i="29"/>
  <c r="IA16" i="29"/>
  <c r="ID16" i="29"/>
  <c r="IE16" i="29"/>
  <c r="IF16" i="29"/>
  <c r="IG16" i="29"/>
  <c r="IH16" i="29"/>
  <c r="II16" i="29"/>
  <c r="IJ16" i="29"/>
  <c r="IK16" i="29"/>
  <c r="IM16" i="29"/>
  <c r="IN16" i="29"/>
  <c r="IO16" i="29"/>
  <c r="IR16" i="29"/>
  <c r="IS16" i="29"/>
  <c r="IT16" i="29"/>
  <c r="IU16" i="29"/>
  <c r="IV16" i="29"/>
  <c r="IW16" i="29"/>
  <c r="IX16" i="29"/>
  <c r="IY16" i="29"/>
  <c r="JA16" i="29"/>
  <c r="JB16" i="29"/>
  <c r="JC16" i="29"/>
  <c r="JF16" i="29"/>
  <c r="JG16" i="29"/>
  <c r="JH16" i="29"/>
  <c r="JI16" i="29"/>
  <c r="JJ16" i="29"/>
  <c r="JK16" i="29"/>
  <c r="JL16" i="29"/>
  <c r="JM16" i="29"/>
  <c r="JO16" i="29"/>
  <c r="JP16" i="29"/>
  <c r="JQ16" i="29"/>
  <c r="X17" i="29"/>
  <c r="AC17" i="29"/>
  <c r="AD17" i="29"/>
  <c r="AI17" i="29"/>
  <c r="AJ17" i="29"/>
  <c r="AO17" i="29"/>
  <c r="AP17" i="29"/>
  <c r="AU17" i="29"/>
  <c r="AX17" i="29"/>
  <c r="AY17" i="29"/>
  <c r="AZ17" i="29"/>
  <c r="BA17" i="29"/>
  <c r="BB17" i="29"/>
  <c r="BC17" i="29"/>
  <c r="BD17" i="29"/>
  <c r="BE17" i="29"/>
  <c r="BG17" i="29"/>
  <c r="BH17" i="29"/>
  <c r="BI17" i="29"/>
  <c r="BL17" i="29"/>
  <c r="BM17" i="29"/>
  <c r="BN17" i="29"/>
  <c r="BO17" i="29"/>
  <c r="BP17" i="29"/>
  <c r="BQ17" i="29"/>
  <c r="BR17" i="29"/>
  <c r="BS17" i="29"/>
  <c r="BU17" i="29"/>
  <c r="BV17" i="29"/>
  <c r="BW17" i="29"/>
  <c r="BZ17" i="29"/>
  <c r="CA17" i="29"/>
  <c r="CB17" i="29"/>
  <c r="CC17" i="29"/>
  <c r="CD17" i="29"/>
  <c r="CE17" i="29"/>
  <c r="CF17" i="29"/>
  <c r="CG17" i="29"/>
  <c r="CI17" i="29"/>
  <c r="CJ17" i="29"/>
  <c r="CK17" i="29"/>
  <c r="CN17" i="29"/>
  <c r="CO17" i="29"/>
  <c r="CP17" i="29"/>
  <c r="CQ17" i="29"/>
  <c r="CR17" i="29"/>
  <c r="CS17" i="29"/>
  <c r="CT17" i="29"/>
  <c r="CU17" i="29"/>
  <c r="CW17" i="29"/>
  <c r="CX17" i="29"/>
  <c r="CY17" i="29"/>
  <c r="DD17" i="29"/>
  <c r="DE17" i="29"/>
  <c r="DF17" i="29"/>
  <c r="DG17" i="29"/>
  <c r="DH17" i="29"/>
  <c r="DI17" i="29"/>
  <c r="DJ17" i="29"/>
  <c r="DK17" i="29"/>
  <c r="DM17" i="29"/>
  <c r="DN17" i="29"/>
  <c r="DO17" i="29"/>
  <c r="DR17" i="29"/>
  <c r="DS17" i="29"/>
  <c r="DT17" i="29"/>
  <c r="DU17" i="29"/>
  <c r="DV17" i="29"/>
  <c r="DW17" i="29"/>
  <c r="DX17" i="29"/>
  <c r="DY17" i="29"/>
  <c r="EA17" i="29"/>
  <c r="EB17" i="29"/>
  <c r="EC17" i="29"/>
  <c r="EF17" i="29"/>
  <c r="EG17" i="29"/>
  <c r="EH17" i="29"/>
  <c r="EI17" i="29"/>
  <c r="EJ17" i="29"/>
  <c r="EK17" i="29"/>
  <c r="EL17" i="29"/>
  <c r="EM17" i="29"/>
  <c r="EO17" i="29"/>
  <c r="EP17" i="29"/>
  <c r="EQ17" i="29"/>
  <c r="ET17" i="29"/>
  <c r="EU17" i="29"/>
  <c r="EV17" i="29"/>
  <c r="EW17" i="29"/>
  <c r="EX17" i="29"/>
  <c r="EY17" i="29"/>
  <c r="EZ17" i="29"/>
  <c r="FA17" i="29"/>
  <c r="FC17" i="29"/>
  <c r="FD17" i="29"/>
  <c r="FE17" i="29"/>
  <c r="FJ17" i="29"/>
  <c r="FK17" i="29"/>
  <c r="FL17" i="29"/>
  <c r="FM17" i="29"/>
  <c r="FN17" i="29"/>
  <c r="FO17" i="29"/>
  <c r="FP17" i="29"/>
  <c r="FQ17" i="29"/>
  <c r="FS17" i="29"/>
  <c r="FT17" i="29"/>
  <c r="FU17" i="29"/>
  <c r="FX17" i="29"/>
  <c r="FY17" i="29"/>
  <c r="FZ17" i="29"/>
  <c r="GA17" i="29"/>
  <c r="GB17" i="29"/>
  <c r="GC17" i="29"/>
  <c r="GD17" i="29"/>
  <c r="GE17" i="29"/>
  <c r="GG17" i="29"/>
  <c r="GH17" i="29"/>
  <c r="GI17" i="29"/>
  <c r="GL17" i="29"/>
  <c r="GM17" i="29"/>
  <c r="GN17" i="29"/>
  <c r="GO17" i="29"/>
  <c r="GP17" i="29"/>
  <c r="GQ17" i="29"/>
  <c r="GR17" i="29"/>
  <c r="GS17" i="29"/>
  <c r="GU17" i="29"/>
  <c r="GV17" i="29"/>
  <c r="GW17" i="29"/>
  <c r="GZ17" i="29"/>
  <c r="HA17" i="29"/>
  <c r="HB17" i="29"/>
  <c r="HC17" i="29"/>
  <c r="HD17" i="29"/>
  <c r="HE17" i="29"/>
  <c r="HF17" i="29"/>
  <c r="HG17" i="29"/>
  <c r="HI17" i="29"/>
  <c r="HJ17" i="29"/>
  <c r="HK17" i="29"/>
  <c r="HP17" i="29"/>
  <c r="HQ17" i="29"/>
  <c r="HR17" i="29"/>
  <c r="HS17" i="29"/>
  <c r="HT17" i="29"/>
  <c r="HU17" i="29"/>
  <c r="HV17" i="29"/>
  <c r="HW17" i="29"/>
  <c r="HY17" i="29"/>
  <c r="HZ17" i="29"/>
  <c r="IA17" i="29"/>
  <c r="ID17" i="29"/>
  <c r="IE17" i="29"/>
  <c r="IF17" i="29"/>
  <c r="IG17" i="29"/>
  <c r="IH17" i="29"/>
  <c r="II17" i="29"/>
  <c r="IJ17" i="29"/>
  <c r="IK17" i="29"/>
  <c r="IM17" i="29"/>
  <c r="IN17" i="29"/>
  <c r="IO17" i="29"/>
  <c r="IR17" i="29"/>
  <c r="IS17" i="29"/>
  <c r="IT17" i="29"/>
  <c r="IU17" i="29"/>
  <c r="IV17" i="29"/>
  <c r="IW17" i="29"/>
  <c r="IX17" i="29"/>
  <c r="IY17" i="29"/>
  <c r="JA17" i="29"/>
  <c r="JB17" i="29"/>
  <c r="JC17" i="29"/>
  <c r="JF17" i="29"/>
  <c r="JG17" i="29"/>
  <c r="JH17" i="29"/>
  <c r="JI17" i="29"/>
  <c r="JJ17" i="29"/>
  <c r="JK17" i="29"/>
  <c r="JL17" i="29"/>
  <c r="JM17" i="29"/>
  <c r="JO17" i="29"/>
  <c r="JP17" i="29"/>
  <c r="JQ17" i="29"/>
  <c r="X18" i="29"/>
  <c r="AC18" i="29"/>
  <c r="AD18" i="29"/>
  <c r="AI18" i="29"/>
  <c r="AJ18" i="29"/>
  <c r="AO18" i="29"/>
  <c r="AP18" i="29"/>
  <c r="AU18" i="29"/>
  <c r="AX18" i="29"/>
  <c r="AY18" i="29"/>
  <c r="AZ18" i="29"/>
  <c r="BA18" i="29"/>
  <c r="BB18" i="29"/>
  <c r="BC18" i="29"/>
  <c r="BD18" i="29"/>
  <c r="BE18" i="29"/>
  <c r="BG18" i="29"/>
  <c r="BH18" i="29"/>
  <c r="BI18" i="29"/>
  <c r="BL18" i="29"/>
  <c r="BM18" i="29"/>
  <c r="BN18" i="29"/>
  <c r="BO18" i="29"/>
  <c r="BP18" i="29"/>
  <c r="BQ18" i="29"/>
  <c r="BR18" i="29"/>
  <c r="BS18" i="29"/>
  <c r="BU18" i="29"/>
  <c r="BV18" i="29"/>
  <c r="BW18" i="29"/>
  <c r="BZ18" i="29"/>
  <c r="CA18" i="29"/>
  <c r="CB18" i="29"/>
  <c r="CC18" i="29"/>
  <c r="CD18" i="29"/>
  <c r="CE18" i="29"/>
  <c r="CF18" i="29"/>
  <c r="CG18" i="29"/>
  <c r="CI18" i="29"/>
  <c r="CJ18" i="29"/>
  <c r="CK18" i="29"/>
  <c r="CN18" i="29"/>
  <c r="CO18" i="29"/>
  <c r="CP18" i="29"/>
  <c r="CQ18" i="29"/>
  <c r="CR18" i="29"/>
  <c r="CS18" i="29"/>
  <c r="CT18" i="29"/>
  <c r="CU18" i="29"/>
  <c r="CW18" i="29"/>
  <c r="CX18" i="29"/>
  <c r="CY18" i="29"/>
  <c r="DD18" i="29"/>
  <c r="DE18" i="29"/>
  <c r="DF18" i="29"/>
  <c r="DG18" i="29"/>
  <c r="DH18" i="29"/>
  <c r="DI18" i="29"/>
  <c r="DJ18" i="29"/>
  <c r="DK18" i="29"/>
  <c r="DM18" i="29"/>
  <c r="DN18" i="29"/>
  <c r="DO18" i="29"/>
  <c r="DR18" i="29"/>
  <c r="DS18" i="29"/>
  <c r="DT18" i="29"/>
  <c r="DU18" i="29"/>
  <c r="DV18" i="29"/>
  <c r="DW18" i="29"/>
  <c r="DX18" i="29"/>
  <c r="DY18" i="29"/>
  <c r="EA18" i="29"/>
  <c r="EB18" i="29"/>
  <c r="EC18" i="29"/>
  <c r="EF18" i="29"/>
  <c r="EG18" i="29"/>
  <c r="EH18" i="29"/>
  <c r="EI18" i="29"/>
  <c r="EJ18" i="29"/>
  <c r="EK18" i="29"/>
  <c r="EL18" i="29"/>
  <c r="EM18" i="29"/>
  <c r="EO18" i="29"/>
  <c r="EP18" i="29"/>
  <c r="EQ18" i="29"/>
  <c r="ET18" i="29"/>
  <c r="EU18" i="29"/>
  <c r="EV18" i="29"/>
  <c r="EW18" i="29"/>
  <c r="EX18" i="29"/>
  <c r="EY18" i="29"/>
  <c r="EZ18" i="29"/>
  <c r="FA18" i="29"/>
  <c r="FC18" i="29"/>
  <c r="FD18" i="29"/>
  <c r="FE18" i="29"/>
  <c r="FJ18" i="29"/>
  <c r="FK18" i="29"/>
  <c r="FL18" i="29"/>
  <c r="FM18" i="29"/>
  <c r="FN18" i="29"/>
  <c r="FO18" i="29"/>
  <c r="FP18" i="29"/>
  <c r="FQ18" i="29"/>
  <c r="FS18" i="29"/>
  <c r="FT18" i="29"/>
  <c r="FU18" i="29"/>
  <c r="FX18" i="29"/>
  <c r="FY18" i="29"/>
  <c r="FZ18" i="29"/>
  <c r="GA18" i="29"/>
  <c r="GB18" i="29"/>
  <c r="GC18" i="29"/>
  <c r="GD18" i="29"/>
  <c r="GE18" i="29"/>
  <c r="GG18" i="29"/>
  <c r="GH18" i="29"/>
  <c r="GI18" i="29"/>
  <c r="GL18" i="29"/>
  <c r="GM18" i="29"/>
  <c r="GN18" i="29"/>
  <c r="GO18" i="29"/>
  <c r="GP18" i="29"/>
  <c r="GQ18" i="29"/>
  <c r="GR18" i="29"/>
  <c r="GS18" i="29"/>
  <c r="GU18" i="29"/>
  <c r="GV18" i="29"/>
  <c r="GW18" i="29"/>
  <c r="GZ18" i="29"/>
  <c r="HA18" i="29"/>
  <c r="HB18" i="29"/>
  <c r="HC18" i="29"/>
  <c r="HD18" i="29"/>
  <c r="HE18" i="29"/>
  <c r="HF18" i="29"/>
  <c r="HG18" i="29"/>
  <c r="HI18" i="29"/>
  <c r="HJ18" i="29"/>
  <c r="HK18" i="29"/>
  <c r="HP18" i="29"/>
  <c r="HQ18" i="29"/>
  <c r="HR18" i="29"/>
  <c r="HS18" i="29"/>
  <c r="HT18" i="29"/>
  <c r="HU18" i="29"/>
  <c r="HV18" i="29"/>
  <c r="HW18" i="29"/>
  <c r="HY18" i="29"/>
  <c r="HZ18" i="29"/>
  <c r="IA18" i="29"/>
  <c r="ID18" i="29"/>
  <c r="IE18" i="29"/>
  <c r="IF18" i="29"/>
  <c r="IG18" i="29"/>
  <c r="IH18" i="29"/>
  <c r="II18" i="29"/>
  <c r="IJ18" i="29"/>
  <c r="IK18" i="29"/>
  <c r="IM18" i="29"/>
  <c r="IN18" i="29"/>
  <c r="IO18" i="29"/>
  <c r="IR18" i="29"/>
  <c r="IS18" i="29"/>
  <c r="IT18" i="29"/>
  <c r="IU18" i="29"/>
  <c r="IV18" i="29"/>
  <c r="IW18" i="29"/>
  <c r="IX18" i="29"/>
  <c r="IY18" i="29"/>
  <c r="JA18" i="29"/>
  <c r="JB18" i="29"/>
  <c r="JC18" i="29"/>
  <c r="JF18" i="29"/>
  <c r="JG18" i="29"/>
  <c r="JH18" i="29"/>
  <c r="JI18" i="29"/>
  <c r="JJ18" i="29"/>
  <c r="JK18" i="29"/>
  <c r="JL18" i="29"/>
  <c r="JM18" i="29"/>
  <c r="JO18" i="29"/>
  <c r="JP18" i="29"/>
  <c r="JQ18" i="29"/>
  <c r="X19" i="29"/>
  <c r="AC19" i="29"/>
  <c r="AD19" i="29"/>
  <c r="AI19" i="29"/>
  <c r="AJ19" i="29"/>
  <c r="AO19" i="29"/>
  <c r="AP19" i="29"/>
  <c r="AU19" i="29"/>
  <c r="AX19" i="29"/>
  <c r="AY19" i="29"/>
  <c r="AZ19" i="29"/>
  <c r="BA19" i="29"/>
  <c r="BB19" i="29"/>
  <c r="BC19" i="29"/>
  <c r="BD19" i="29"/>
  <c r="BE19" i="29"/>
  <c r="BG19" i="29"/>
  <c r="BH19" i="29"/>
  <c r="BI19" i="29"/>
  <c r="BL19" i="29"/>
  <c r="BM19" i="29"/>
  <c r="BN19" i="29"/>
  <c r="BO19" i="29"/>
  <c r="BP19" i="29"/>
  <c r="BQ19" i="29"/>
  <c r="BR19" i="29"/>
  <c r="BS19" i="29"/>
  <c r="BU19" i="29"/>
  <c r="BV19" i="29"/>
  <c r="BW19" i="29"/>
  <c r="BZ19" i="29"/>
  <c r="CA19" i="29"/>
  <c r="CB19" i="29"/>
  <c r="CC19" i="29"/>
  <c r="CD19" i="29"/>
  <c r="CE19" i="29"/>
  <c r="CF19" i="29"/>
  <c r="CG19" i="29"/>
  <c r="CI19" i="29"/>
  <c r="CJ19" i="29"/>
  <c r="CK19" i="29"/>
  <c r="CN19" i="29"/>
  <c r="CO19" i="29"/>
  <c r="CP19" i="29"/>
  <c r="CQ19" i="29"/>
  <c r="CR19" i="29"/>
  <c r="CS19" i="29"/>
  <c r="CT19" i="29"/>
  <c r="CU19" i="29"/>
  <c r="CW19" i="29"/>
  <c r="CX19" i="29"/>
  <c r="CY19" i="29"/>
  <c r="DD19" i="29"/>
  <c r="DE19" i="29"/>
  <c r="DF19" i="29"/>
  <c r="DG19" i="29"/>
  <c r="DH19" i="29"/>
  <c r="DI19" i="29"/>
  <c r="DJ19" i="29"/>
  <c r="DK19" i="29"/>
  <c r="DM19" i="29"/>
  <c r="DN19" i="29"/>
  <c r="DO19" i="29"/>
  <c r="DR19" i="29"/>
  <c r="DS19" i="29"/>
  <c r="DT19" i="29"/>
  <c r="DU19" i="29"/>
  <c r="DV19" i="29"/>
  <c r="DW19" i="29"/>
  <c r="DX19" i="29"/>
  <c r="DY19" i="29"/>
  <c r="EA19" i="29"/>
  <c r="EB19" i="29"/>
  <c r="EC19" i="29"/>
  <c r="EF19" i="29"/>
  <c r="EG19" i="29"/>
  <c r="EH19" i="29"/>
  <c r="EI19" i="29"/>
  <c r="EJ19" i="29"/>
  <c r="EK19" i="29"/>
  <c r="EL19" i="29"/>
  <c r="EM19" i="29"/>
  <c r="EO19" i="29"/>
  <c r="EP19" i="29"/>
  <c r="EQ19" i="29"/>
  <c r="ET19" i="29"/>
  <c r="EU19" i="29"/>
  <c r="EV19" i="29"/>
  <c r="EW19" i="29"/>
  <c r="EX19" i="29"/>
  <c r="EY19" i="29"/>
  <c r="EZ19" i="29"/>
  <c r="FA19" i="29"/>
  <c r="FC19" i="29"/>
  <c r="FD19" i="29"/>
  <c r="FE19" i="29"/>
  <c r="FJ19" i="29"/>
  <c r="FK19" i="29"/>
  <c r="FL19" i="29"/>
  <c r="FM19" i="29"/>
  <c r="FN19" i="29"/>
  <c r="FO19" i="29"/>
  <c r="FP19" i="29"/>
  <c r="FQ19" i="29"/>
  <c r="FS19" i="29"/>
  <c r="FT19" i="29"/>
  <c r="FU19" i="29"/>
  <c r="FX19" i="29"/>
  <c r="FY19" i="29"/>
  <c r="FZ19" i="29"/>
  <c r="GA19" i="29"/>
  <c r="GB19" i="29"/>
  <c r="GC19" i="29"/>
  <c r="GD19" i="29"/>
  <c r="GE19" i="29"/>
  <c r="GG19" i="29"/>
  <c r="GH19" i="29"/>
  <c r="GI19" i="29"/>
  <c r="GL19" i="29"/>
  <c r="GM19" i="29"/>
  <c r="GN19" i="29"/>
  <c r="GO19" i="29"/>
  <c r="GP19" i="29"/>
  <c r="GQ19" i="29"/>
  <c r="GR19" i="29"/>
  <c r="GS19" i="29"/>
  <c r="GU19" i="29"/>
  <c r="GV19" i="29"/>
  <c r="GW19" i="29"/>
  <c r="GZ19" i="29"/>
  <c r="HA19" i="29"/>
  <c r="HB19" i="29"/>
  <c r="HC19" i="29"/>
  <c r="HD19" i="29"/>
  <c r="HE19" i="29"/>
  <c r="HF19" i="29"/>
  <c r="HG19" i="29"/>
  <c r="HI19" i="29"/>
  <c r="HJ19" i="29"/>
  <c r="HK19" i="29"/>
  <c r="HP19" i="29"/>
  <c r="HQ19" i="29"/>
  <c r="HR19" i="29"/>
  <c r="HS19" i="29"/>
  <c r="HT19" i="29"/>
  <c r="HU19" i="29"/>
  <c r="HV19" i="29"/>
  <c r="HW19" i="29"/>
  <c r="HY19" i="29"/>
  <c r="HZ19" i="29"/>
  <c r="IA19" i="29"/>
  <c r="ID19" i="29"/>
  <c r="IE19" i="29"/>
  <c r="IF19" i="29"/>
  <c r="IG19" i="29"/>
  <c r="IH19" i="29"/>
  <c r="II19" i="29"/>
  <c r="IJ19" i="29"/>
  <c r="IK19" i="29"/>
  <c r="IM19" i="29"/>
  <c r="IN19" i="29"/>
  <c r="IO19" i="29"/>
  <c r="IR19" i="29"/>
  <c r="IS19" i="29"/>
  <c r="IT19" i="29"/>
  <c r="IU19" i="29"/>
  <c r="IV19" i="29"/>
  <c r="IW19" i="29"/>
  <c r="IX19" i="29"/>
  <c r="IY19" i="29"/>
  <c r="JA19" i="29"/>
  <c r="JB19" i="29"/>
  <c r="JC19" i="29"/>
  <c r="JF19" i="29"/>
  <c r="JG19" i="29"/>
  <c r="JH19" i="29"/>
  <c r="JI19" i="29"/>
  <c r="JJ19" i="29"/>
  <c r="JK19" i="29"/>
  <c r="JL19" i="29"/>
  <c r="JM19" i="29"/>
  <c r="JO19" i="29"/>
  <c r="JP19" i="29"/>
  <c r="JQ19" i="29"/>
  <c r="X20" i="29"/>
  <c r="AC20" i="29"/>
  <c r="AD20" i="29"/>
  <c r="AI20" i="29"/>
  <c r="AJ20" i="29"/>
  <c r="AO20" i="29"/>
  <c r="AP20" i="29"/>
  <c r="AU20" i="29"/>
  <c r="AX20" i="29"/>
  <c r="AY20" i="29"/>
  <c r="AZ20" i="29"/>
  <c r="BA20" i="29"/>
  <c r="BB20" i="29"/>
  <c r="BC20" i="29"/>
  <c r="BD20" i="29"/>
  <c r="BE20" i="29"/>
  <c r="BG20" i="29"/>
  <c r="BH20" i="29"/>
  <c r="BI20" i="29"/>
  <c r="BL20" i="29"/>
  <c r="BM20" i="29"/>
  <c r="BN20" i="29"/>
  <c r="BO20" i="29"/>
  <c r="BP20" i="29"/>
  <c r="BQ20" i="29"/>
  <c r="BR20" i="29"/>
  <c r="BS20" i="29"/>
  <c r="BU20" i="29"/>
  <c r="BV20" i="29"/>
  <c r="BW20" i="29"/>
  <c r="BZ20" i="29"/>
  <c r="CA20" i="29"/>
  <c r="CB20" i="29"/>
  <c r="CC20" i="29"/>
  <c r="CD20" i="29"/>
  <c r="CE20" i="29"/>
  <c r="CF20" i="29"/>
  <c r="CG20" i="29"/>
  <c r="CI20" i="29"/>
  <c r="CJ20" i="29"/>
  <c r="CK20" i="29"/>
  <c r="CN20" i="29"/>
  <c r="CO20" i="29"/>
  <c r="CP20" i="29"/>
  <c r="CQ20" i="29"/>
  <c r="CR20" i="29"/>
  <c r="CS20" i="29"/>
  <c r="CT20" i="29"/>
  <c r="CU20" i="29"/>
  <c r="CW20" i="29"/>
  <c r="CX20" i="29"/>
  <c r="CY20" i="29"/>
  <c r="DD20" i="29"/>
  <c r="DE20" i="29"/>
  <c r="DF20" i="29"/>
  <c r="DG20" i="29"/>
  <c r="DH20" i="29"/>
  <c r="DI20" i="29"/>
  <c r="DJ20" i="29"/>
  <c r="DK20" i="29"/>
  <c r="DM20" i="29"/>
  <c r="DN20" i="29"/>
  <c r="DO20" i="29"/>
  <c r="DR20" i="29"/>
  <c r="DS20" i="29"/>
  <c r="DT20" i="29"/>
  <c r="DU20" i="29"/>
  <c r="DV20" i="29"/>
  <c r="DW20" i="29"/>
  <c r="DX20" i="29"/>
  <c r="DY20" i="29"/>
  <c r="EA20" i="29"/>
  <c r="EB20" i="29"/>
  <c r="EC20" i="29"/>
  <c r="EF20" i="29"/>
  <c r="EG20" i="29"/>
  <c r="EH20" i="29"/>
  <c r="EI20" i="29"/>
  <c r="EJ20" i="29"/>
  <c r="EK20" i="29"/>
  <c r="EL20" i="29"/>
  <c r="EM20" i="29"/>
  <c r="EO20" i="29"/>
  <c r="EP20" i="29"/>
  <c r="EQ20" i="29"/>
  <c r="ET20" i="29"/>
  <c r="EU20" i="29"/>
  <c r="EV20" i="29"/>
  <c r="EW20" i="29"/>
  <c r="EX20" i="29"/>
  <c r="EY20" i="29"/>
  <c r="EZ20" i="29"/>
  <c r="FA20" i="29"/>
  <c r="FC20" i="29"/>
  <c r="FD20" i="29"/>
  <c r="FE20" i="29"/>
  <c r="FJ20" i="29"/>
  <c r="FK20" i="29"/>
  <c r="FL20" i="29"/>
  <c r="FM20" i="29"/>
  <c r="FN20" i="29"/>
  <c r="FO20" i="29"/>
  <c r="FP20" i="29"/>
  <c r="FQ20" i="29"/>
  <c r="FS20" i="29"/>
  <c r="FT20" i="29"/>
  <c r="FU20" i="29"/>
  <c r="FX20" i="29"/>
  <c r="FY20" i="29"/>
  <c r="FZ20" i="29"/>
  <c r="GA20" i="29"/>
  <c r="GB20" i="29"/>
  <c r="GC20" i="29"/>
  <c r="GD20" i="29"/>
  <c r="GE20" i="29"/>
  <c r="GG20" i="29"/>
  <c r="GH20" i="29"/>
  <c r="GI20" i="29"/>
  <c r="GL20" i="29"/>
  <c r="GM20" i="29"/>
  <c r="GN20" i="29"/>
  <c r="GO20" i="29"/>
  <c r="GP20" i="29"/>
  <c r="GQ20" i="29"/>
  <c r="GR20" i="29"/>
  <c r="GS20" i="29"/>
  <c r="GU20" i="29"/>
  <c r="GV20" i="29"/>
  <c r="GW20" i="29"/>
  <c r="GZ20" i="29"/>
  <c r="HA20" i="29"/>
  <c r="HB20" i="29"/>
  <c r="HC20" i="29"/>
  <c r="HD20" i="29"/>
  <c r="HE20" i="29"/>
  <c r="HF20" i="29"/>
  <c r="HG20" i="29"/>
  <c r="HI20" i="29"/>
  <c r="HJ20" i="29"/>
  <c r="HK20" i="29"/>
  <c r="HP20" i="29"/>
  <c r="HQ20" i="29"/>
  <c r="HR20" i="29"/>
  <c r="HS20" i="29"/>
  <c r="HT20" i="29"/>
  <c r="HU20" i="29"/>
  <c r="HV20" i="29"/>
  <c r="HW20" i="29"/>
  <c r="HY20" i="29"/>
  <c r="HZ20" i="29"/>
  <c r="IA20" i="29"/>
  <c r="ID20" i="29"/>
  <c r="IE20" i="29"/>
  <c r="IF20" i="29"/>
  <c r="IG20" i="29"/>
  <c r="IH20" i="29"/>
  <c r="II20" i="29"/>
  <c r="IJ20" i="29"/>
  <c r="IK20" i="29"/>
  <c r="IM20" i="29"/>
  <c r="IN20" i="29"/>
  <c r="IO20" i="29"/>
  <c r="IR20" i="29"/>
  <c r="IS20" i="29"/>
  <c r="IT20" i="29"/>
  <c r="IU20" i="29"/>
  <c r="IV20" i="29"/>
  <c r="IW20" i="29"/>
  <c r="IX20" i="29"/>
  <c r="IY20" i="29"/>
  <c r="JA20" i="29"/>
  <c r="JB20" i="29"/>
  <c r="JC20" i="29"/>
  <c r="JF20" i="29"/>
  <c r="JG20" i="29"/>
  <c r="JH20" i="29"/>
  <c r="JI20" i="29"/>
  <c r="JJ20" i="29"/>
  <c r="JK20" i="29"/>
  <c r="JL20" i="29"/>
  <c r="JM20" i="29"/>
  <c r="JO20" i="29"/>
  <c r="JP20" i="29"/>
  <c r="JQ20" i="29"/>
  <c r="JQ2" i="29"/>
  <c r="JP2" i="29"/>
  <c r="JO2" i="29"/>
  <c r="JM2" i="29"/>
  <c r="JL2" i="29"/>
  <c r="JK2" i="29"/>
  <c r="JJ2" i="29"/>
  <c r="JI2" i="29"/>
  <c r="JH2" i="29"/>
  <c r="JG2" i="29"/>
  <c r="JF2" i="29"/>
  <c r="JC2" i="29"/>
  <c r="JB2" i="29"/>
  <c r="JA2" i="29"/>
  <c r="IY2" i="29"/>
  <c r="IX2" i="29"/>
  <c r="IW2" i="29"/>
  <c r="IV2" i="29"/>
  <c r="IU2" i="29"/>
  <c r="IT2" i="29"/>
  <c r="IS2" i="29"/>
  <c r="IR2" i="29"/>
  <c r="IO2" i="29"/>
  <c r="IN2" i="29"/>
  <c r="IM2" i="29"/>
  <c r="IK2" i="29"/>
  <c r="IJ2" i="29"/>
  <c r="II2" i="29"/>
  <c r="IH2" i="29"/>
  <c r="IG2" i="29"/>
  <c r="IF2" i="29"/>
  <c r="IE2" i="29"/>
  <c r="ID2" i="29"/>
  <c r="IA2" i="29"/>
  <c r="HZ2" i="29"/>
  <c r="HY2" i="29"/>
  <c r="HW2" i="29"/>
  <c r="HV2" i="29"/>
  <c r="HU2" i="29"/>
  <c r="HT2" i="29"/>
  <c r="HS2" i="29"/>
  <c r="HR2" i="29"/>
  <c r="HQ2" i="29"/>
  <c r="HP2" i="29"/>
  <c r="HK2" i="29"/>
  <c r="HJ2" i="29"/>
  <c r="HI2" i="29"/>
  <c r="HG2" i="29"/>
  <c r="HF2" i="29"/>
  <c r="HE2" i="29"/>
  <c r="HD2" i="29"/>
  <c r="HC2" i="29"/>
  <c r="HB2" i="29"/>
  <c r="HA2" i="29"/>
  <c r="GZ2" i="29"/>
  <c r="GW2" i="29"/>
  <c r="GV2" i="29"/>
  <c r="GU2" i="29"/>
  <c r="GS2" i="29"/>
  <c r="GR2" i="29"/>
  <c r="GQ2" i="29"/>
  <c r="GP2" i="29"/>
  <c r="GO2" i="29"/>
  <c r="GN2" i="29"/>
  <c r="GM2" i="29"/>
  <c r="GL2" i="29"/>
  <c r="GI2" i="29"/>
  <c r="GH2" i="29"/>
  <c r="GG2" i="29"/>
  <c r="GE2" i="29"/>
  <c r="GD2" i="29"/>
  <c r="GC2" i="29"/>
  <c r="GB2" i="29"/>
  <c r="GA2" i="29"/>
  <c r="FZ2" i="29"/>
  <c r="FY2" i="29"/>
  <c r="FX2" i="29"/>
  <c r="FU2" i="29"/>
  <c r="FT2" i="29"/>
  <c r="FS2" i="29"/>
  <c r="FQ2" i="29"/>
  <c r="FP2" i="29"/>
  <c r="FO2" i="29"/>
  <c r="FN2" i="29"/>
  <c r="FM2" i="29"/>
  <c r="FL2" i="29"/>
  <c r="FK2" i="29"/>
  <c r="FJ2" i="29"/>
  <c r="FE2" i="29"/>
  <c r="FD2" i="29"/>
  <c r="FC2" i="29"/>
  <c r="FA2" i="29"/>
  <c r="EZ2" i="29"/>
  <c r="EY2" i="29"/>
  <c r="EX2" i="29"/>
  <c r="EW2" i="29"/>
  <c r="EV2" i="29"/>
  <c r="EU2" i="29"/>
  <c r="ET2" i="29"/>
  <c r="EQ2" i="29"/>
  <c r="EP2" i="29"/>
  <c r="EO2" i="29"/>
  <c r="EM2" i="29"/>
  <c r="EL2" i="29"/>
  <c r="EK2" i="29"/>
  <c r="EJ2" i="29"/>
  <c r="EI2" i="29"/>
  <c r="EH2" i="29"/>
  <c r="EG2" i="29"/>
  <c r="EF2" i="29"/>
  <c r="EC2" i="29"/>
  <c r="EB2" i="29"/>
  <c r="EA2" i="29"/>
  <c r="DY2" i="29"/>
  <c r="DX2" i="29"/>
  <c r="DW2" i="29"/>
  <c r="DV2" i="29"/>
  <c r="DU2" i="29"/>
  <c r="DT2" i="29"/>
  <c r="DS2" i="29"/>
  <c r="DR2" i="29"/>
  <c r="DO2" i="29"/>
  <c r="DN2" i="29"/>
  <c r="DM2" i="29"/>
  <c r="DK2" i="29"/>
  <c r="DJ2" i="29"/>
  <c r="DI2" i="29"/>
  <c r="DH2" i="29"/>
  <c r="DG2" i="29"/>
  <c r="DF2" i="29"/>
  <c r="DE2" i="29"/>
  <c r="DD2" i="29"/>
  <c r="CY2" i="29"/>
  <c r="CX2" i="29"/>
  <c r="CW2" i="29"/>
  <c r="CU2" i="29"/>
  <c r="CT2" i="29"/>
  <c r="CS2" i="29"/>
  <c r="CR2" i="29"/>
  <c r="CQ2" i="29"/>
  <c r="CP2" i="29"/>
  <c r="CO2" i="29"/>
  <c r="CN2" i="29"/>
  <c r="CK2" i="29"/>
  <c r="CJ2" i="29"/>
  <c r="CI2" i="29"/>
  <c r="CG2" i="29"/>
  <c r="CF2" i="29"/>
  <c r="CE2" i="29"/>
  <c r="CD2" i="29"/>
  <c r="CC2" i="29"/>
  <c r="CB2" i="29"/>
  <c r="CA2" i="29"/>
  <c r="BZ2" i="29"/>
  <c r="BW2" i="29"/>
  <c r="BV2" i="29"/>
  <c r="BU2" i="29"/>
  <c r="BS2" i="29"/>
  <c r="BR2" i="29"/>
  <c r="BQ2" i="29"/>
  <c r="BP2" i="29"/>
  <c r="BO2" i="29"/>
  <c r="BN2" i="29"/>
  <c r="BM2" i="29"/>
  <c r="BL2" i="29"/>
  <c r="BI2" i="29"/>
  <c r="BH2" i="29"/>
  <c r="BG2" i="29"/>
  <c r="BE2" i="29"/>
  <c r="BD2" i="29"/>
  <c r="BC2" i="29"/>
  <c r="BB2" i="29"/>
  <c r="BA2" i="29"/>
  <c r="AY2" i="29"/>
  <c r="AX2" i="29"/>
  <c r="AZ2" i="29"/>
  <c r="A2" i="29" a="1"/>
  <c r="Q37" i="30"/>
  <c r="Q35" i="30"/>
  <c r="Q21" i="30"/>
  <c r="Q13" i="30"/>
  <c r="AE98" i="25" l="1"/>
  <c r="AE90" i="25"/>
  <c r="AE82" i="25"/>
  <c r="AE74" i="25"/>
  <c r="AE66" i="25"/>
  <c r="AE58" i="25"/>
  <c r="AE50" i="25"/>
  <c r="AE42" i="25"/>
  <c r="AE34" i="25"/>
  <c r="AE26" i="25"/>
  <c r="AE18" i="25"/>
  <c r="AE10" i="25"/>
  <c r="AE97" i="25"/>
  <c r="AF97" i="25" s="1"/>
  <c r="AE89" i="25"/>
  <c r="AF89" i="25" s="1"/>
  <c r="AE81" i="25"/>
  <c r="AF81" i="25" s="1"/>
  <c r="AE73" i="25"/>
  <c r="AF73" i="25" s="1"/>
  <c r="AE65" i="25"/>
  <c r="AF65" i="25" s="1"/>
  <c r="AE57" i="25"/>
  <c r="AF57" i="25" s="1"/>
  <c r="AE49" i="25"/>
  <c r="AF49" i="25" s="1"/>
  <c r="AE41" i="25"/>
  <c r="AF41" i="25" s="1"/>
  <c r="AE33" i="25"/>
  <c r="AF33" i="25" s="1"/>
  <c r="AE25" i="25"/>
  <c r="AF25" i="25" s="1"/>
  <c r="AE17" i="25"/>
  <c r="AF17" i="25" s="1"/>
  <c r="AE9" i="25"/>
  <c r="AF9" i="25" s="1"/>
  <c r="AF98" i="25"/>
  <c r="AF90" i="25"/>
  <c r="AF82" i="25"/>
  <c r="AF74" i="25"/>
  <c r="AF66" i="25"/>
  <c r="AF58" i="25"/>
  <c r="AF50" i="25"/>
  <c r="AF42" i="25"/>
  <c r="AF34" i="25"/>
  <c r="AF26" i="25"/>
  <c r="AF18" i="25"/>
  <c r="AF10" i="25"/>
  <c r="IB17" i="29"/>
  <c r="ED3" i="29"/>
  <c r="ER12" i="29"/>
  <c r="ED16" i="29"/>
  <c r="CL6" i="29"/>
  <c r="CL17" i="29"/>
  <c r="BX11" i="29"/>
  <c r="HL9" i="29"/>
  <c r="IP16" i="29"/>
  <c r="FF17" i="29"/>
  <c r="GJ12" i="29"/>
  <c r="IP7" i="29"/>
  <c r="ER20" i="29"/>
  <c r="CZ14" i="29"/>
  <c r="ED14" i="29"/>
  <c r="GJ10" i="29"/>
  <c r="BX10" i="29"/>
  <c r="JD9" i="29"/>
  <c r="IB3" i="29"/>
  <c r="CL15" i="29"/>
  <c r="JR13" i="29"/>
  <c r="BJ20" i="29"/>
  <c r="BJ19" i="29"/>
  <c r="BJ18" i="29"/>
  <c r="CL4" i="29"/>
  <c r="DL20" i="29"/>
  <c r="IB16" i="29"/>
  <c r="GJ16" i="29"/>
  <c r="DP15" i="29"/>
  <c r="BJ11" i="29"/>
  <c r="JR8" i="29"/>
  <c r="CL8" i="29"/>
  <c r="JR7" i="29"/>
  <c r="GJ4" i="29"/>
  <c r="JR19" i="29"/>
  <c r="DP4" i="29"/>
  <c r="JD13" i="29"/>
  <c r="IL12" i="29"/>
  <c r="IL11" i="29"/>
  <c r="FB11" i="29"/>
  <c r="HL3" i="29"/>
  <c r="FF20" i="29"/>
  <c r="JR14" i="29"/>
  <c r="IB6" i="29"/>
  <c r="FV4" i="29"/>
  <c r="JR20" i="29"/>
  <c r="FF14" i="29"/>
  <c r="CZ17" i="29"/>
  <c r="CZ16" i="29"/>
  <c r="CZ15" i="29"/>
  <c r="CZ5" i="29"/>
  <c r="IP4" i="29"/>
  <c r="BJ16" i="29"/>
  <c r="FV15" i="29"/>
  <c r="GX12" i="29"/>
  <c r="CL12" i="29"/>
  <c r="JR11" i="29"/>
  <c r="IZ9" i="29"/>
  <c r="BX9" i="29"/>
  <c r="GX6" i="29"/>
  <c r="JR18" i="29"/>
  <c r="JS18" i="29" s="1"/>
  <c r="FR8" i="29"/>
  <c r="BJ8" i="29"/>
  <c r="GX20" i="29"/>
  <c r="CL20" i="29"/>
  <c r="GX19" i="29"/>
  <c r="CL19" i="29"/>
  <c r="JN18" i="29"/>
  <c r="GX18" i="29"/>
  <c r="IZ14" i="29"/>
  <c r="DZ14" i="29"/>
  <c r="HH13" i="29"/>
  <c r="GJ13" i="29"/>
  <c r="EN13" i="29"/>
  <c r="ED11" i="29"/>
  <c r="ER9" i="29"/>
  <c r="CZ6" i="29"/>
  <c r="HH20" i="29"/>
  <c r="GJ20" i="29"/>
  <c r="BT19" i="29"/>
  <c r="DP18" i="29"/>
  <c r="CV17" i="29"/>
  <c r="DP16" i="29"/>
  <c r="IP15" i="29"/>
  <c r="IL14" i="29"/>
  <c r="CZ13" i="29"/>
  <c r="CH11" i="29"/>
  <c r="GX10" i="29"/>
  <c r="FF10" i="29"/>
  <c r="JR9" i="29"/>
  <c r="IP9" i="29"/>
  <c r="BJ9" i="29"/>
  <c r="GT7" i="29"/>
  <c r="FV7" i="29"/>
  <c r="BJ7" i="29"/>
  <c r="BF7" i="29"/>
  <c r="JR6" i="29"/>
  <c r="HX5" i="29"/>
  <c r="ED5" i="29"/>
  <c r="BJ5" i="29"/>
  <c r="CZ4" i="29"/>
  <c r="BX20" i="29"/>
  <c r="GJ18" i="29"/>
  <c r="GF17" i="29"/>
  <c r="DP17" i="29"/>
  <c r="FF16" i="29"/>
  <c r="EN16" i="29"/>
  <c r="GX15" i="29"/>
  <c r="FF15" i="29"/>
  <c r="FB15" i="29"/>
  <c r="ED15" i="29"/>
  <c r="BJ14" i="29"/>
  <c r="GX11" i="29"/>
  <c r="CL11" i="29"/>
  <c r="GX9" i="29"/>
  <c r="DL9" i="29"/>
  <c r="JN7" i="29"/>
  <c r="ED7" i="29"/>
  <c r="CL7" i="29"/>
  <c r="CH7" i="29"/>
  <c r="IB20" i="29"/>
  <c r="CZ20" i="29"/>
  <c r="JD17" i="29"/>
  <c r="GJ17" i="29"/>
  <c r="BT16" i="29"/>
  <c r="GJ15" i="29"/>
  <c r="DP8" i="29"/>
  <c r="JR5" i="29"/>
  <c r="EN5" i="29"/>
  <c r="JR4" i="29"/>
  <c r="FF4" i="29"/>
  <c r="IZ20" i="29"/>
  <c r="HL17" i="29"/>
  <c r="HL20" i="29"/>
  <c r="HL19" i="29"/>
  <c r="CZ18" i="29"/>
  <c r="IP17" i="29"/>
  <c r="ER17" i="29"/>
  <c r="BX17" i="29"/>
  <c r="HH16" i="29"/>
  <c r="CH14" i="29"/>
  <c r="FF12" i="29"/>
  <c r="IZ11" i="29"/>
  <c r="FR11" i="29"/>
  <c r="IB9" i="29"/>
  <c r="GF9" i="29"/>
  <c r="FF9" i="29"/>
  <c r="CV9" i="29"/>
  <c r="FF7" i="29"/>
  <c r="GJ5" i="29"/>
  <c r="DP5" i="29"/>
  <c r="BT5" i="29"/>
  <c r="BF18" i="29"/>
  <c r="HH12" i="29"/>
  <c r="HH5" i="29"/>
  <c r="FB19" i="29"/>
  <c r="CH20" i="29"/>
  <c r="ED19" i="29"/>
  <c r="FF18" i="29"/>
  <c r="ED18" i="29"/>
  <c r="CH18" i="29"/>
  <c r="FV17" i="29"/>
  <c r="JD15" i="29"/>
  <c r="IB14" i="29"/>
  <c r="IB13" i="29"/>
  <c r="DP13" i="29"/>
  <c r="BT13" i="29"/>
  <c r="JD12" i="29"/>
  <c r="JD10" i="29"/>
  <c r="IL10" i="29"/>
  <c r="HH10" i="29"/>
  <c r="FV10" i="29"/>
  <c r="ER10" i="29"/>
  <c r="JD7" i="29"/>
  <c r="GJ7" i="29"/>
  <c r="DZ7" i="29"/>
  <c r="JD5" i="29"/>
  <c r="JD20" i="29"/>
  <c r="ER19" i="29"/>
  <c r="DZ19" i="29"/>
  <c r="CV19" i="29"/>
  <c r="BX19" i="29"/>
  <c r="GT18" i="29"/>
  <c r="DZ18" i="29"/>
  <c r="JN17" i="29"/>
  <c r="BJ17" i="29"/>
  <c r="HL16" i="29"/>
  <c r="DL16" i="29"/>
  <c r="CL16" i="29"/>
  <c r="HH15" i="29"/>
  <c r="GF15" i="29"/>
  <c r="BF15" i="29"/>
  <c r="HH14" i="29"/>
  <c r="GJ14" i="29"/>
  <c r="HL13" i="29"/>
  <c r="ER13" i="29"/>
  <c r="BX13" i="29"/>
  <c r="HL12" i="29"/>
  <c r="CH12" i="29"/>
  <c r="JD11" i="29"/>
  <c r="IB11" i="29"/>
  <c r="GF11" i="29"/>
  <c r="DZ11" i="29"/>
  <c r="EE11" i="29" s="1"/>
  <c r="IP10" i="29"/>
  <c r="HL10" i="29"/>
  <c r="DL10" i="29"/>
  <c r="CZ10" i="29"/>
  <c r="CH10" i="29"/>
  <c r="BJ10" i="29"/>
  <c r="GJ9" i="29"/>
  <c r="CH9" i="29"/>
  <c r="IL8" i="29"/>
  <c r="FV8" i="29"/>
  <c r="ED8" i="29"/>
  <c r="HL7" i="29"/>
  <c r="DL7" i="29"/>
  <c r="FB6" i="29"/>
  <c r="EN6" i="29"/>
  <c r="BT6" i="29"/>
  <c r="IL5" i="29"/>
  <c r="HL5" i="29"/>
  <c r="HM5" i="29" s="1"/>
  <c r="DL5" i="29"/>
  <c r="CL5" i="29"/>
  <c r="HX4" i="29"/>
  <c r="GT4" i="29"/>
  <c r="DZ4" i="29"/>
  <c r="IL3" i="29"/>
  <c r="BX3" i="29"/>
  <c r="CV20" i="29"/>
  <c r="DA20" i="29" s="1"/>
  <c r="IP19" i="29"/>
  <c r="IL19" i="29"/>
  <c r="FV19" i="29"/>
  <c r="FR19" i="29"/>
  <c r="DL17" i="29"/>
  <c r="DQ17" i="29" s="1"/>
  <c r="GT16" i="29"/>
  <c r="ER16" i="29"/>
  <c r="BJ15" i="29"/>
  <c r="DP14" i="29"/>
  <c r="IP13" i="29"/>
  <c r="FV13" i="29"/>
  <c r="IZ12" i="29"/>
  <c r="FB12" i="29"/>
  <c r="CZ12" i="29"/>
  <c r="GJ11" i="29"/>
  <c r="FF11" i="29"/>
  <c r="BF11" i="29"/>
  <c r="GF10" i="29"/>
  <c r="FB10" i="29"/>
  <c r="ED10" i="29"/>
  <c r="CL10" i="29"/>
  <c r="JN9" i="29"/>
  <c r="IL9" i="29"/>
  <c r="HH9" i="29"/>
  <c r="DP9" i="29"/>
  <c r="CL9" i="29"/>
  <c r="IP8" i="29"/>
  <c r="GX8" i="29"/>
  <c r="DL8" i="29"/>
  <c r="CH8" i="29"/>
  <c r="IL7" i="29"/>
  <c r="EN7" i="29"/>
  <c r="DP7" i="29"/>
  <c r="HH6" i="29"/>
  <c r="FF6" i="29"/>
  <c r="JN5" i="29"/>
  <c r="IP5" i="29"/>
  <c r="ER5" i="29"/>
  <c r="JN4" i="29"/>
  <c r="IB4" i="29"/>
  <c r="GX4" i="29"/>
  <c r="ED4" i="29"/>
  <c r="FR3" i="29"/>
  <c r="ER3" i="29"/>
  <c r="BF19" i="29"/>
  <c r="GT17" i="29"/>
  <c r="JN15" i="29"/>
  <c r="IL15" i="29"/>
  <c r="GT14" i="29"/>
  <c r="FR14" i="29"/>
  <c r="BT14" i="29"/>
  <c r="JN13" i="29"/>
  <c r="BF13" i="29"/>
  <c r="BF12" i="29"/>
  <c r="HH11" i="29"/>
  <c r="DL11" i="29"/>
  <c r="IZ10" i="29"/>
  <c r="BF10" i="29"/>
  <c r="HX8" i="29"/>
  <c r="GF8" i="29"/>
  <c r="FB8" i="29"/>
  <c r="FR7" i="29"/>
  <c r="DL6" i="29"/>
  <c r="BF4" i="29"/>
  <c r="DZ3" i="29"/>
  <c r="IL20" i="29"/>
  <c r="FV20" i="29"/>
  <c r="DZ20" i="29"/>
  <c r="JD18" i="29"/>
  <c r="FV18" i="29"/>
  <c r="EN18" i="29"/>
  <c r="BX18" i="29"/>
  <c r="HX17" i="29"/>
  <c r="FR17" i="29"/>
  <c r="FV16" i="29"/>
  <c r="BX16" i="29"/>
  <c r="JR15" i="29"/>
  <c r="ER15" i="29"/>
  <c r="IP14" i="29"/>
  <c r="GX14" i="29"/>
  <c r="FV14" i="29"/>
  <c r="GT13" i="29"/>
  <c r="BJ13" i="29"/>
  <c r="IP12" i="29"/>
  <c r="FV12" i="29"/>
  <c r="DZ12" i="29"/>
  <c r="BJ12" i="29"/>
  <c r="HL11" i="29"/>
  <c r="DP11" i="29"/>
  <c r="JR10" i="29"/>
  <c r="DZ10" i="29"/>
  <c r="CV10" i="29"/>
  <c r="GT9" i="29"/>
  <c r="IZ8" i="29"/>
  <c r="IB8" i="29"/>
  <c r="GJ8" i="29"/>
  <c r="FF8" i="29"/>
  <c r="BT8" i="29"/>
  <c r="BF8" i="29"/>
  <c r="GX7" i="29"/>
  <c r="CV7" i="29"/>
  <c r="BX7" i="29"/>
  <c r="IZ6" i="29"/>
  <c r="GF6" i="29"/>
  <c r="DP6" i="29"/>
  <c r="BX5" i="29"/>
  <c r="IZ4" i="29"/>
  <c r="IL4" i="29"/>
  <c r="IQ4" i="29" s="1"/>
  <c r="HH4" i="29"/>
  <c r="EN4" i="29"/>
  <c r="BJ4" i="29"/>
  <c r="EN3" i="29"/>
  <c r="BJ3" i="29"/>
  <c r="FR20" i="29"/>
  <c r="IP20" i="29"/>
  <c r="HX20" i="29"/>
  <c r="GT20" i="29"/>
  <c r="ED20" i="29"/>
  <c r="IB19" i="29"/>
  <c r="GF19" i="29"/>
  <c r="FF19" i="29"/>
  <c r="CH19" i="29"/>
  <c r="CM19" i="29" s="1"/>
  <c r="IP18" i="29"/>
  <c r="HL18" i="29"/>
  <c r="FR18" i="29"/>
  <c r="IZ17" i="29"/>
  <c r="BT17" i="29"/>
  <c r="JR16" i="29"/>
  <c r="GX16" i="29"/>
  <c r="GT15" i="29"/>
  <c r="BT15" i="29"/>
  <c r="JN14" i="29"/>
  <c r="JS14" i="29" s="1"/>
  <c r="BF14" i="29"/>
  <c r="HX13" i="29"/>
  <c r="FF13" i="29"/>
  <c r="CL13" i="29"/>
  <c r="JR12" i="29"/>
  <c r="GT12" i="29"/>
  <c r="ED12" i="29"/>
  <c r="IP11" i="29"/>
  <c r="EN11" i="29"/>
  <c r="HX10" i="29"/>
  <c r="GT10" i="29"/>
  <c r="FV9" i="29"/>
  <c r="DZ9" i="29"/>
  <c r="JD8" i="29"/>
  <c r="EN8" i="29"/>
  <c r="DZ8" i="29"/>
  <c r="CV8" i="29"/>
  <c r="BX8" i="29"/>
  <c r="HX7" i="29"/>
  <c r="CZ7" i="29"/>
  <c r="JD6" i="29"/>
  <c r="GJ6" i="29"/>
  <c r="ER6" i="29"/>
  <c r="BX6" i="29"/>
  <c r="IB5" i="29"/>
  <c r="IC5" i="29" s="1"/>
  <c r="GX5" i="29"/>
  <c r="DZ5" i="29"/>
  <c r="JD4" i="29"/>
  <c r="HL4" i="29"/>
  <c r="ER4" i="29"/>
  <c r="FB3" i="29"/>
  <c r="CH3" i="29"/>
  <c r="JE10" i="29"/>
  <c r="JN20" i="29"/>
  <c r="FB20" i="29"/>
  <c r="IL18" i="29"/>
  <c r="DZ17" i="29"/>
  <c r="JD16" i="29"/>
  <c r="FB16" i="29"/>
  <c r="FG16" i="29" s="1"/>
  <c r="HX15" i="29"/>
  <c r="IZ13" i="29"/>
  <c r="JE13" i="29" s="1"/>
  <c r="IB12" i="29"/>
  <c r="DL12" i="29"/>
  <c r="BT12" i="29"/>
  <c r="FV11" i="29"/>
  <c r="ER11" i="29"/>
  <c r="CV11" i="29"/>
  <c r="JN10" i="29"/>
  <c r="IB10" i="29"/>
  <c r="DP10" i="29"/>
  <c r="DQ10" i="29" s="1"/>
  <c r="BT10" i="29"/>
  <c r="ED9" i="29"/>
  <c r="CZ9" i="29"/>
  <c r="HH8" i="29"/>
  <c r="GT8" i="29"/>
  <c r="ER8" i="29"/>
  <c r="CZ8" i="29"/>
  <c r="HL6" i="29"/>
  <c r="FR6" i="29"/>
  <c r="DZ6" i="29"/>
  <c r="CV6" i="29"/>
  <c r="BF6" i="29"/>
  <c r="CV4" i="29"/>
  <c r="JR3" i="29"/>
  <c r="GX3" i="29"/>
  <c r="FF3" i="29"/>
  <c r="GF20" i="29"/>
  <c r="EN20" i="29"/>
  <c r="ES20" i="29" s="1"/>
  <c r="DP20" i="29"/>
  <c r="CL18" i="29"/>
  <c r="CM18" i="29" s="1"/>
  <c r="HX16" i="29"/>
  <c r="IC16" i="29" s="1"/>
  <c r="IB15" i="29"/>
  <c r="DZ15" i="29"/>
  <c r="CV15" i="29"/>
  <c r="DA15" i="29" s="1"/>
  <c r="GF13" i="29"/>
  <c r="DL13" i="29"/>
  <c r="GF12" i="29"/>
  <c r="GK12" i="29" s="1"/>
  <c r="FR12" i="29"/>
  <c r="EN12" i="29"/>
  <c r="DP12" i="29"/>
  <c r="BX12" i="29"/>
  <c r="GT11" i="29"/>
  <c r="CZ11" i="29"/>
  <c r="FR10" i="29"/>
  <c r="EN10" i="29"/>
  <c r="BF9" i="29"/>
  <c r="JN8" i="29"/>
  <c r="JS8" i="29" s="1"/>
  <c r="HL8" i="29"/>
  <c r="FB7" i="29"/>
  <c r="JN6" i="29"/>
  <c r="IP6" i="29"/>
  <c r="HX6" i="29"/>
  <c r="IC6" i="29" s="1"/>
  <c r="GT6" i="29"/>
  <c r="GY6" i="29" s="1"/>
  <c r="FV6" i="29"/>
  <c r="ED6" i="29"/>
  <c r="BJ6" i="29"/>
  <c r="FF5" i="29"/>
  <c r="FR4" i="29"/>
  <c r="BT4" i="29"/>
  <c r="GF3" i="29"/>
  <c r="A2" i="29"/>
  <c r="AC3" i="29"/>
  <c r="AO3" i="29"/>
  <c r="AO2" i="29"/>
  <c r="AP3" i="29"/>
  <c r="AC2" i="29"/>
  <c r="AU3" i="29"/>
  <c r="AI2" i="29"/>
  <c r="X3" i="29"/>
  <c r="AD3" i="29"/>
  <c r="AJ3" i="29"/>
  <c r="AU2" i="29"/>
  <c r="AI3" i="29"/>
  <c r="IP3" i="29"/>
  <c r="HX3" i="29"/>
  <c r="IC3" i="29" s="1"/>
  <c r="GJ3" i="29"/>
  <c r="GK3" i="29" s="1"/>
  <c r="CL3" i="29"/>
  <c r="CM3" i="29" s="1"/>
  <c r="BT3" i="29"/>
  <c r="FV3" i="29"/>
  <c r="DP3" i="29"/>
  <c r="IZ3" i="29"/>
  <c r="HH3" i="29"/>
  <c r="GT3" i="29"/>
  <c r="DL3" i="29"/>
  <c r="JD3" i="29"/>
  <c r="CV3" i="29"/>
  <c r="CZ3" i="29"/>
  <c r="BT20" i="29"/>
  <c r="HH19" i="29"/>
  <c r="GJ19" i="29"/>
  <c r="IZ18" i="29"/>
  <c r="FB17" i="29"/>
  <c r="ED17" i="29"/>
  <c r="IL16" i="29"/>
  <c r="GF16" i="29"/>
  <c r="GK16" i="29" s="1"/>
  <c r="CH16" i="29"/>
  <c r="EN14" i="29"/>
  <c r="CL14" i="29"/>
  <c r="GT19" i="29"/>
  <c r="GY19" i="29" s="1"/>
  <c r="DL19" i="29"/>
  <c r="GF18" i="29"/>
  <c r="ER18" i="29"/>
  <c r="CV18" i="29"/>
  <c r="GX17" i="29"/>
  <c r="HL15" i="29"/>
  <c r="BX15" i="29"/>
  <c r="IZ19" i="29"/>
  <c r="HX19" i="29"/>
  <c r="EN19" i="29"/>
  <c r="DP19" i="29"/>
  <c r="HX18" i="29"/>
  <c r="BF17" i="29"/>
  <c r="FR16" i="29"/>
  <c r="DZ16" i="29"/>
  <c r="EE16" i="29" s="1"/>
  <c r="HX14" i="29"/>
  <c r="IL13" i="29"/>
  <c r="BF20" i="29"/>
  <c r="JD19" i="29"/>
  <c r="IB18" i="29"/>
  <c r="EN17" i="29"/>
  <c r="ES17" i="29" s="1"/>
  <c r="CH17" i="29"/>
  <c r="CM17" i="29" s="1"/>
  <c r="FB14" i="29"/>
  <c r="DL18" i="29"/>
  <c r="BT18" i="29"/>
  <c r="JR17" i="29"/>
  <c r="IL17" i="29"/>
  <c r="IQ17" i="29" s="1"/>
  <c r="JN16" i="29"/>
  <c r="IZ16" i="29"/>
  <c r="CV16" i="29"/>
  <c r="BF16" i="29"/>
  <c r="BK16" i="29" s="1"/>
  <c r="FR15" i="29"/>
  <c r="EN15" i="29"/>
  <c r="DL15" i="29"/>
  <c r="DQ15" i="29" s="1"/>
  <c r="JD14" i="29"/>
  <c r="JN19" i="29"/>
  <c r="JS19" i="29" s="1"/>
  <c r="CZ19" i="29"/>
  <c r="HH18" i="29"/>
  <c r="FB18" i="29"/>
  <c r="HH17" i="29"/>
  <c r="CH15" i="29"/>
  <c r="CM15" i="29" s="1"/>
  <c r="IZ15" i="29"/>
  <c r="GF14" i="29"/>
  <c r="GK14" i="29" s="1"/>
  <c r="CV13" i="29"/>
  <c r="ER14" i="29"/>
  <c r="JN12" i="29"/>
  <c r="ER7" i="29"/>
  <c r="FR5" i="29"/>
  <c r="FB13" i="29"/>
  <c r="FG13" i="29" s="1"/>
  <c r="CH13" i="29"/>
  <c r="FR9" i="29"/>
  <c r="EN9" i="29"/>
  <c r="ES9" i="29" s="1"/>
  <c r="BT7" i="29"/>
  <c r="DA6" i="29"/>
  <c r="GT5" i="29"/>
  <c r="FV5" i="29"/>
  <c r="GF4" i="29"/>
  <c r="GK4" i="29" s="1"/>
  <c r="JN3" i="29"/>
  <c r="CV14" i="29"/>
  <c r="DA14" i="29" s="1"/>
  <c r="GX13" i="29"/>
  <c r="JN11" i="29"/>
  <c r="CV5" i="29"/>
  <c r="DA5" i="29" s="1"/>
  <c r="BF3" i="29"/>
  <c r="BK3" i="29" s="1"/>
  <c r="HL14" i="29"/>
  <c r="DL14" i="29"/>
  <c r="DQ14" i="29" s="1"/>
  <c r="FR13" i="29"/>
  <c r="DZ13" i="29"/>
  <c r="HX12" i="29"/>
  <c r="CV12" i="29"/>
  <c r="BT11" i="29"/>
  <c r="HX9" i="29"/>
  <c r="IC9" i="29" s="1"/>
  <c r="BT9" i="29"/>
  <c r="BY9" i="29" s="1"/>
  <c r="IZ7" i="29"/>
  <c r="IB7" i="29"/>
  <c r="CH6" i="29"/>
  <c r="CM6" i="29" s="1"/>
  <c r="IZ5" i="29"/>
  <c r="JE5" i="29" s="1"/>
  <c r="FB5" i="29"/>
  <c r="FB4" i="29"/>
  <c r="FG4" i="29" s="1"/>
  <c r="BX4" i="29"/>
  <c r="ED13" i="29"/>
  <c r="HX11" i="29"/>
  <c r="GF7" i="29"/>
  <c r="BF5" i="29"/>
  <c r="BX14" i="29"/>
  <c r="FB9" i="29"/>
  <c r="HH7" i="29"/>
  <c r="IL6" i="29"/>
  <c r="GF5" i="29"/>
  <c r="CH5" i="29"/>
  <c r="DL4" i="29"/>
  <c r="DQ4" i="29" s="1"/>
  <c r="CH4" i="29"/>
  <c r="EE12" i="29" l="1"/>
  <c r="EE18" i="29"/>
  <c r="BK18" i="29"/>
  <c r="HM9" i="29"/>
  <c r="CM11" i="29"/>
  <c r="EE20" i="29"/>
  <c r="FW11" i="29"/>
  <c r="DQ6" i="29"/>
  <c r="IC17" i="29"/>
  <c r="EE3" i="29"/>
  <c r="BY19" i="29"/>
  <c r="BY5" i="29"/>
  <c r="CM7" i="29"/>
  <c r="BK15" i="29"/>
  <c r="IC8" i="29"/>
  <c r="JS4" i="29"/>
  <c r="IQ10" i="29"/>
  <c r="BK7" i="29"/>
  <c r="HM7" i="29"/>
  <c r="FW4" i="29"/>
  <c r="JS9" i="29"/>
  <c r="BK14" i="29"/>
  <c r="DA18" i="29"/>
  <c r="JS13" i="29"/>
  <c r="JS5" i="29"/>
  <c r="JE12" i="29"/>
  <c r="IC20" i="29"/>
  <c r="FG5" i="29"/>
  <c r="ES7" i="29"/>
  <c r="JS6" i="29"/>
  <c r="GY11" i="29"/>
  <c r="BK13" i="29"/>
  <c r="DQ16" i="29"/>
  <c r="BK6" i="29"/>
  <c r="HM8" i="29"/>
  <c r="DQ11" i="29"/>
  <c r="EE6" i="29"/>
  <c r="IQ7" i="29"/>
  <c r="FG10" i="29"/>
  <c r="DQ5" i="29"/>
  <c r="DQ20" i="29"/>
  <c r="FG17" i="29"/>
  <c r="ES12" i="29"/>
  <c r="GY20" i="29"/>
  <c r="BY10" i="29"/>
  <c r="GK5" i="29"/>
  <c r="HM19" i="29"/>
  <c r="DA8" i="29"/>
  <c r="JS20" i="29"/>
  <c r="BK4" i="29"/>
  <c r="FW14" i="29"/>
  <c r="IQ8" i="29"/>
  <c r="GK9" i="29"/>
  <c r="ES13" i="29"/>
  <c r="GK17" i="29"/>
  <c r="IQ11" i="29"/>
  <c r="JS11" i="29"/>
  <c r="GK10" i="29"/>
  <c r="HM13" i="29"/>
  <c r="HM15" i="29"/>
  <c r="BY18" i="29"/>
  <c r="IQ16" i="29"/>
  <c r="BK11" i="29"/>
  <c r="DQ18" i="29"/>
  <c r="BK20" i="29"/>
  <c r="ES19" i="29"/>
  <c r="GK18" i="29"/>
  <c r="EE17" i="29"/>
  <c r="ES11" i="29"/>
  <c r="ES6" i="29"/>
  <c r="CM4" i="29"/>
  <c r="GY16" i="29"/>
  <c r="BY3" i="29"/>
  <c r="DQ8" i="29"/>
  <c r="JE9" i="29"/>
  <c r="BK5" i="29"/>
  <c r="EE15" i="29"/>
  <c r="BK19" i="29"/>
  <c r="FG12" i="29"/>
  <c r="EE7" i="29"/>
  <c r="DA16" i="29"/>
  <c r="BY11" i="29"/>
  <c r="FG18" i="29"/>
  <c r="FG20" i="29"/>
  <c r="GY10" i="29"/>
  <c r="CM20" i="29"/>
  <c r="FG7" i="29"/>
  <c r="GK20" i="29"/>
  <c r="EE14" i="29"/>
  <c r="DA17" i="29"/>
  <c r="DA12" i="29"/>
  <c r="JE17" i="29"/>
  <c r="GY9" i="29"/>
  <c r="EE5" i="29"/>
  <c r="IQ9" i="29"/>
  <c r="JT9" i="29" s="1"/>
  <c r="JU9" i="29" s="1"/>
  <c r="FG14" i="29"/>
  <c r="BY7" i="29"/>
  <c r="IQ19" i="29"/>
  <c r="CM10" i="29"/>
  <c r="JE11" i="29"/>
  <c r="GK13" i="29"/>
  <c r="FW13" i="29"/>
  <c r="GY12" i="29"/>
  <c r="HM3" i="29"/>
  <c r="IQ3" i="29"/>
  <c r="BY17" i="29"/>
  <c r="ES10" i="29"/>
  <c r="IC13" i="29"/>
  <c r="JS7" i="29"/>
  <c r="FG15" i="29"/>
  <c r="ES14" i="29"/>
  <c r="HM17" i="29"/>
  <c r="JE16" i="29"/>
  <c r="CM16" i="29"/>
  <c r="DQ13" i="29"/>
  <c r="GY8" i="29"/>
  <c r="BY6" i="29"/>
  <c r="EE4" i="29"/>
  <c r="CM9" i="29"/>
  <c r="FG6" i="29"/>
  <c r="FH6" i="29" s="1"/>
  <c r="FI6" i="29" s="1"/>
  <c r="EE19" i="29"/>
  <c r="FW10" i="29"/>
  <c r="IQ14" i="29"/>
  <c r="HM20" i="29"/>
  <c r="JS3" i="29"/>
  <c r="IC19" i="29"/>
  <c r="ES18" i="29"/>
  <c r="FW3" i="29"/>
  <c r="ES4" i="29"/>
  <c r="GK6" i="29"/>
  <c r="HM18" i="29"/>
  <c r="FW7" i="29"/>
  <c r="IQ15" i="29"/>
  <c r="FG11" i="29"/>
  <c r="CM5" i="29"/>
  <c r="BK17" i="29"/>
  <c r="JE20" i="29"/>
  <c r="FG9" i="29"/>
  <c r="IC11" i="29"/>
  <c r="BY20" i="29"/>
  <c r="HM4" i="29"/>
  <c r="JE6" i="29"/>
  <c r="IQ20" i="29"/>
  <c r="HM11" i="29"/>
  <c r="GK11" i="29"/>
  <c r="DA19" i="29"/>
  <c r="FW15" i="29"/>
  <c r="DA7" i="29"/>
  <c r="BK8" i="29"/>
  <c r="EE10" i="29"/>
  <c r="IQ12" i="29"/>
  <c r="BY16" i="29"/>
  <c r="GK8" i="29"/>
  <c r="ES5" i="29"/>
  <c r="CM8" i="29"/>
  <c r="ES16" i="29"/>
  <c r="FH16" i="29" s="1"/>
  <c r="FI16" i="29" s="1"/>
  <c r="CM12" i="29"/>
  <c r="BY14" i="29"/>
  <c r="JE7" i="29"/>
  <c r="JE15" i="29"/>
  <c r="FG3" i="29"/>
  <c r="HM6" i="29"/>
  <c r="FG19" i="29"/>
  <c r="JS10" i="29"/>
  <c r="FW8" i="29"/>
  <c r="HM10" i="29"/>
  <c r="HM12" i="29"/>
  <c r="GK15" i="29"/>
  <c r="GY18" i="29"/>
  <c r="FW9" i="29"/>
  <c r="CM13" i="29"/>
  <c r="JS12" i="29"/>
  <c r="JE14" i="29"/>
  <c r="JS16" i="29"/>
  <c r="CM14" i="29"/>
  <c r="DB14" i="29" s="1"/>
  <c r="DC14" i="29" s="1"/>
  <c r="DA11" i="29"/>
  <c r="BY8" i="29"/>
  <c r="ES3" i="29"/>
  <c r="FG8" i="29"/>
  <c r="FW17" i="29"/>
  <c r="GK7" i="29"/>
  <c r="FW5" i="29"/>
  <c r="DA3" i="29"/>
  <c r="DB3" i="29" s="1"/>
  <c r="DC3" i="29" s="1"/>
  <c r="DA4" i="29"/>
  <c r="IC12" i="29"/>
  <c r="IQ6" i="29"/>
  <c r="ES15" i="29"/>
  <c r="JS17" i="29"/>
  <c r="JT17" i="29" s="1"/>
  <c r="JU17" i="29" s="1"/>
  <c r="IC14" i="29"/>
  <c r="FH11" i="29"/>
  <c r="FI11" i="29" s="1"/>
  <c r="JE3" i="29"/>
  <c r="FW6" i="29"/>
  <c r="BK9" i="29"/>
  <c r="DQ12" i="29"/>
  <c r="DA9" i="29"/>
  <c r="IQ13" i="29"/>
  <c r="FW19" i="29"/>
  <c r="BY13" i="29"/>
  <c r="DQ7" i="29"/>
  <c r="DQ9" i="29"/>
  <c r="GY4" i="29"/>
  <c r="BY4" i="29"/>
  <c r="IC7" i="29"/>
  <c r="HM14" i="29"/>
  <c r="DA13" i="29"/>
  <c r="FW16" i="29"/>
  <c r="BY15" i="29"/>
  <c r="DB15" i="29" s="1"/>
  <c r="DC15" i="29" s="1"/>
  <c r="GY3" i="29"/>
  <c r="HN3" i="29" s="1"/>
  <c r="HO3" i="29" s="1"/>
  <c r="GY15" i="29"/>
  <c r="JE4" i="29"/>
  <c r="GY7" i="29"/>
  <c r="DA10" i="29"/>
  <c r="FW12" i="29"/>
  <c r="JS15" i="29"/>
  <c r="IC4" i="29"/>
  <c r="BK10" i="29"/>
  <c r="HM16" i="29"/>
  <c r="GY5" i="29"/>
  <c r="GY17" i="29"/>
  <c r="GK19" i="29"/>
  <c r="IC10" i="29"/>
  <c r="IQ18" i="29"/>
  <c r="DB18" i="29"/>
  <c r="DC18" i="29" s="1"/>
  <c r="BY12" i="29"/>
  <c r="ES8" i="29"/>
  <c r="FW20" i="29"/>
  <c r="IC15" i="29"/>
  <c r="GY14" i="29"/>
  <c r="IQ5" i="29"/>
  <c r="JT5" i="29" s="1"/>
  <c r="JU5" i="29" s="1"/>
  <c r="GY13" i="29"/>
  <c r="HN13" i="29" s="1"/>
  <c r="HO13" i="29" s="1"/>
  <c r="JE18" i="29"/>
  <c r="EE9" i="29"/>
  <c r="BK12" i="29"/>
  <c r="JE8" i="29"/>
  <c r="FW18" i="29"/>
  <c r="EE8" i="29"/>
  <c r="DQ3" i="29"/>
  <c r="JE19" i="29"/>
  <c r="EE13" i="29"/>
  <c r="IC18" i="29"/>
  <c r="DQ19" i="29"/>
  <c r="FH7" i="29" l="1"/>
  <c r="FI7" i="29" s="1"/>
  <c r="HN20" i="29"/>
  <c r="HO20" i="29" s="1"/>
  <c r="FH12" i="29"/>
  <c r="FI12" i="29" s="1"/>
  <c r="HN9" i="29"/>
  <c r="HO9" i="29" s="1"/>
  <c r="HN6" i="29"/>
  <c r="HO6" i="29" s="1"/>
  <c r="FH5" i="29"/>
  <c r="FI5" i="29" s="1"/>
  <c r="DB19" i="29"/>
  <c r="DC19" i="29" s="1"/>
  <c r="DB17" i="29"/>
  <c r="DC17" i="29" s="1"/>
  <c r="DB6" i="29"/>
  <c r="DC6" i="29" s="1"/>
  <c r="HN4" i="29"/>
  <c r="HO4" i="29" s="1"/>
  <c r="FH9" i="29"/>
  <c r="FI9" i="29" s="1"/>
  <c r="JT7" i="29"/>
  <c r="JU7" i="29" s="1"/>
  <c r="FH15" i="29"/>
  <c r="FI15" i="29" s="1"/>
  <c r="DB20" i="29"/>
  <c r="DC20" i="29" s="1"/>
  <c r="JT11" i="29"/>
  <c r="JU11" i="29" s="1"/>
  <c r="FH20" i="29"/>
  <c r="FI20" i="29" s="1"/>
  <c r="FH17" i="29"/>
  <c r="FI17" i="29" s="1"/>
  <c r="HN17" i="29"/>
  <c r="HO17" i="29" s="1"/>
  <c r="HN7" i="29"/>
  <c r="HO7" i="29" s="1"/>
  <c r="JT13" i="29"/>
  <c r="JU13" i="29" s="1"/>
  <c r="HN16" i="29"/>
  <c r="HO16" i="29" s="1"/>
  <c r="HN15" i="29"/>
  <c r="HO15" i="29" s="1"/>
  <c r="DB8" i="29"/>
  <c r="DC8" i="29" s="1"/>
  <c r="HN18" i="29"/>
  <c r="HO18" i="29" s="1"/>
  <c r="FH10" i="29"/>
  <c r="FI10" i="29" s="1"/>
  <c r="HN10" i="29"/>
  <c r="HO10" i="29" s="1"/>
  <c r="DB16" i="29"/>
  <c r="DC16" i="29" s="1"/>
  <c r="DB11" i="29"/>
  <c r="DC11" i="29" s="1"/>
  <c r="JT4" i="29"/>
  <c r="JU4" i="29" s="1"/>
  <c r="HN8" i="29"/>
  <c r="HO8" i="29" s="1"/>
  <c r="HN11" i="29"/>
  <c r="HO11" i="29" s="1"/>
  <c r="FH4" i="29"/>
  <c r="FI4" i="29" s="1"/>
  <c r="JT3" i="29"/>
  <c r="JU3" i="29" s="1"/>
  <c r="DB7" i="29"/>
  <c r="DC7" i="29" s="1"/>
  <c r="JT10" i="29"/>
  <c r="JU10" i="29" s="1"/>
  <c r="DB5" i="29"/>
  <c r="DC5" i="29" s="1"/>
  <c r="JT8" i="29"/>
  <c r="JU8" i="29" s="1"/>
  <c r="JT19" i="29"/>
  <c r="JU19" i="29" s="1"/>
  <c r="FH3" i="29"/>
  <c r="FI3" i="29" s="1"/>
  <c r="HN12" i="29"/>
  <c r="HO12" i="29" s="1"/>
  <c r="JT12" i="29"/>
  <c r="JU12" i="29" s="1"/>
  <c r="JT20" i="29"/>
  <c r="JU20" i="29" s="1"/>
  <c r="FH18" i="29"/>
  <c r="FI18" i="29" s="1"/>
  <c r="FH14" i="29"/>
  <c r="FI14" i="29" s="1"/>
  <c r="FH13" i="29"/>
  <c r="FI13" i="29" s="1"/>
  <c r="DB10" i="29"/>
  <c r="DC10" i="29" s="1"/>
  <c r="JT16" i="29"/>
  <c r="JU16" i="29" s="1"/>
  <c r="FH19" i="29"/>
  <c r="FI19" i="29" s="1"/>
  <c r="JT15" i="29"/>
  <c r="JU15" i="29" s="1"/>
  <c r="JT14" i="29"/>
  <c r="JU14" i="29" s="1"/>
  <c r="FH8" i="29"/>
  <c r="FI8" i="29" s="1"/>
  <c r="JT18" i="29"/>
  <c r="JU18" i="29" s="1"/>
  <c r="HN19" i="29"/>
  <c r="HO19" i="29" s="1"/>
  <c r="JT6" i="29"/>
  <c r="JU6" i="29" s="1"/>
  <c r="DB9" i="29"/>
  <c r="DC9" i="29" s="1"/>
  <c r="HN5" i="29"/>
  <c r="HO5" i="29" s="1"/>
  <c r="DB4" i="29"/>
  <c r="DC4" i="29" s="1"/>
  <c r="DB12" i="29"/>
  <c r="DC12" i="29" s="1"/>
  <c r="DB13" i="29"/>
  <c r="DC13" i="29" s="1"/>
  <c r="HN14" i="29"/>
  <c r="HO14" i="29" s="1"/>
  <c r="JV17" i="29" l="1"/>
  <c r="JV7" i="29"/>
  <c r="JV9" i="29"/>
  <c r="JV10" i="29"/>
  <c r="JV20" i="29"/>
  <c r="JV11" i="29"/>
  <c r="JV5" i="29"/>
  <c r="JV15" i="29"/>
  <c r="JV19" i="29"/>
  <c r="JV6" i="29"/>
  <c r="JV16" i="29"/>
  <c r="JV3" i="29"/>
  <c r="JV14" i="29"/>
  <c r="JV12" i="29"/>
  <c r="JV13" i="29"/>
  <c r="JV18" i="29"/>
  <c r="JV8" i="29"/>
  <c r="JV4" i="29"/>
  <c r="BX2" i="29" l="1"/>
  <c r="BT2" i="29"/>
  <c r="AU98" i="29"/>
  <c r="AP98" i="29"/>
  <c r="AO98" i="29"/>
  <c r="AJ98" i="29"/>
  <c r="AI98" i="29"/>
  <c r="AD98" i="29"/>
  <c r="AC98" i="29"/>
  <c r="X98" i="29"/>
  <c r="AU97" i="29"/>
  <c r="AP97" i="29"/>
  <c r="AO97" i="29"/>
  <c r="AJ97" i="29"/>
  <c r="AI97" i="29"/>
  <c r="AD97" i="29"/>
  <c r="AC97" i="29"/>
  <c r="X97" i="29"/>
  <c r="AU96" i="29"/>
  <c r="AP96" i="29"/>
  <c r="AO96" i="29"/>
  <c r="AJ96" i="29"/>
  <c r="AI96" i="29"/>
  <c r="AD96" i="29"/>
  <c r="AC96" i="29"/>
  <c r="X96" i="29"/>
  <c r="AU95" i="29"/>
  <c r="AP95" i="29"/>
  <c r="AO95" i="29"/>
  <c r="AJ95" i="29"/>
  <c r="AI95" i="29"/>
  <c r="AD95" i="29"/>
  <c r="AC95" i="29"/>
  <c r="X95" i="29"/>
  <c r="AU94" i="29"/>
  <c r="AP94" i="29"/>
  <c r="AO94" i="29"/>
  <c r="AJ94" i="29"/>
  <c r="AI94" i="29"/>
  <c r="AD94" i="29"/>
  <c r="AC94" i="29"/>
  <c r="X94" i="29"/>
  <c r="AU93" i="29"/>
  <c r="AP93" i="29"/>
  <c r="AO93" i="29"/>
  <c r="AJ93" i="29"/>
  <c r="AI93" i="29"/>
  <c r="AD93" i="29"/>
  <c r="AC93" i="29"/>
  <c r="X93" i="29"/>
  <c r="AU92" i="29"/>
  <c r="AP92" i="29"/>
  <c r="AO92" i="29"/>
  <c r="AJ92" i="29"/>
  <c r="AI92" i="29"/>
  <c r="AD92" i="29"/>
  <c r="AC92" i="29"/>
  <c r="X92" i="29"/>
  <c r="AU91" i="29"/>
  <c r="AP91" i="29"/>
  <c r="AO91" i="29"/>
  <c r="AJ91" i="29"/>
  <c r="AI91" i="29"/>
  <c r="AD91" i="29"/>
  <c r="AC91" i="29"/>
  <c r="X91" i="29"/>
  <c r="AU90" i="29"/>
  <c r="AP90" i="29"/>
  <c r="AO90" i="29"/>
  <c r="AJ90" i="29"/>
  <c r="AI90" i="29"/>
  <c r="AD90" i="29"/>
  <c r="AC90" i="29"/>
  <c r="X90" i="29"/>
  <c r="AU89" i="29"/>
  <c r="AP89" i="29"/>
  <c r="AO89" i="29"/>
  <c r="AJ89" i="29"/>
  <c r="AI89" i="29"/>
  <c r="AD89" i="29"/>
  <c r="AC89" i="29"/>
  <c r="X89" i="29"/>
  <c r="AU88" i="29"/>
  <c r="AP88" i="29"/>
  <c r="AO88" i="29"/>
  <c r="AJ88" i="29"/>
  <c r="AI88" i="29"/>
  <c r="AD88" i="29"/>
  <c r="AC88" i="29"/>
  <c r="X88" i="29"/>
  <c r="AU87" i="29"/>
  <c r="AP87" i="29"/>
  <c r="AO87" i="29"/>
  <c r="AJ87" i="29"/>
  <c r="AI87" i="29"/>
  <c r="AD87" i="29"/>
  <c r="AC87" i="29"/>
  <c r="X87" i="29"/>
  <c r="AU86" i="29"/>
  <c r="AP86" i="29"/>
  <c r="AO86" i="29"/>
  <c r="AJ86" i="29"/>
  <c r="AI86" i="29"/>
  <c r="AD86" i="29"/>
  <c r="AC86" i="29"/>
  <c r="X86" i="29"/>
  <c r="AU85" i="29"/>
  <c r="AP85" i="29"/>
  <c r="AO85" i="29"/>
  <c r="AJ85" i="29"/>
  <c r="AI85" i="29"/>
  <c r="AD85" i="29"/>
  <c r="AC85" i="29"/>
  <c r="X85" i="29"/>
  <c r="AU84" i="29"/>
  <c r="AP84" i="29"/>
  <c r="AO84" i="29"/>
  <c r="AJ84" i="29"/>
  <c r="AI84" i="29"/>
  <c r="AD84" i="29"/>
  <c r="AC84" i="29"/>
  <c r="X84" i="29"/>
  <c r="AU83" i="29"/>
  <c r="AP83" i="29"/>
  <c r="AO83" i="29"/>
  <c r="AJ83" i="29"/>
  <c r="AI83" i="29"/>
  <c r="AD83" i="29"/>
  <c r="AC83" i="29"/>
  <c r="X83" i="29"/>
  <c r="AU82" i="29"/>
  <c r="AP82" i="29"/>
  <c r="AO82" i="29"/>
  <c r="AJ82" i="29"/>
  <c r="AI82" i="29"/>
  <c r="AD82" i="29"/>
  <c r="AC82" i="29"/>
  <c r="X82" i="29"/>
  <c r="AU81" i="29"/>
  <c r="AP81" i="29"/>
  <c r="AO81" i="29"/>
  <c r="AJ81" i="29"/>
  <c r="AI81" i="29"/>
  <c r="AD81" i="29"/>
  <c r="AC81" i="29"/>
  <c r="X81" i="29"/>
  <c r="AU80" i="29"/>
  <c r="AP80" i="29"/>
  <c r="AO80" i="29"/>
  <c r="AJ80" i="29"/>
  <c r="AI80" i="29"/>
  <c r="AD80" i="29"/>
  <c r="AC80" i="29"/>
  <c r="X80" i="29"/>
  <c r="AU79" i="29"/>
  <c r="AP79" i="29"/>
  <c r="AO79" i="29"/>
  <c r="AJ79" i="29"/>
  <c r="AI79" i="29"/>
  <c r="AD79" i="29"/>
  <c r="AC79" i="29"/>
  <c r="X79" i="29"/>
  <c r="AU78" i="29"/>
  <c r="AP78" i="29"/>
  <c r="AO78" i="29"/>
  <c r="AJ78" i="29"/>
  <c r="AI78" i="29"/>
  <c r="AD78" i="29"/>
  <c r="AC78" i="29"/>
  <c r="X78" i="29"/>
  <c r="AU77" i="29"/>
  <c r="AP77" i="29"/>
  <c r="AO77" i="29"/>
  <c r="AJ77" i="29"/>
  <c r="AI77" i="29"/>
  <c r="AD77" i="29"/>
  <c r="AC77" i="29"/>
  <c r="X77" i="29"/>
  <c r="AU76" i="29"/>
  <c r="AP76" i="29"/>
  <c r="AO76" i="29"/>
  <c r="AJ76" i="29"/>
  <c r="AI76" i="29"/>
  <c r="AD76" i="29"/>
  <c r="AC76" i="29"/>
  <c r="X76" i="29"/>
  <c r="AU75" i="29"/>
  <c r="AP75" i="29"/>
  <c r="AO75" i="29"/>
  <c r="AJ75" i="29"/>
  <c r="AI75" i="29"/>
  <c r="AD75" i="29"/>
  <c r="AC75" i="29"/>
  <c r="X75" i="29"/>
  <c r="AU74" i="29"/>
  <c r="AP74" i="29"/>
  <c r="AO74" i="29"/>
  <c r="AJ74" i="29"/>
  <c r="AI74" i="29"/>
  <c r="AD74" i="29"/>
  <c r="AC74" i="29"/>
  <c r="X74" i="29"/>
  <c r="AU73" i="29"/>
  <c r="AP73" i="29"/>
  <c r="AO73" i="29"/>
  <c r="AJ73" i="29"/>
  <c r="AI73" i="29"/>
  <c r="AD73" i="29"/>
  <c r="AC73" i="29"/>
  <c r="X73" i="29"/>
  <c r="AU72" i="29"/>
  <c r="AP72" i="29"/>
  <c r="AO72" i="29"/>
  <c r="AJ72" i="29"/>
  <c r="AI72" i="29"/>
  <c r="AD72" i="29"/>
  <c r="AC72" i="29"/>
  <c r="X72" i="29"/>
  <c r="AU71" i="29"/>
  <c r="AP71" i="29"/>
  <c r="AO71" i="29"/>
  <c r="AJ71" i="29"/>
  <c r="AI71" i="29"/>
  <c r="AD71" i="29"/>
  <c r="AC71" i="29"/>
  <c r="X71" i="29"/>
  <c r="AU70" i="29"/>
  <c r="AP70" i="29"/>
  <c r="AO70" i="29"/>
  <c r="AJ70" i="29"/>
  <c r="AI70" i="29"/>
  <c r="AD70" i="29"/>
  <c r="AC70" i="29"/>
  <c r="X70" i="29"/>
  <c r="AU69" i="29"/>
  <c r="AP69" i="29"/>
  <c r="AO69" i="29"/>
  <c r="AJ69" i="29"/>
  <c r="AI69" i="29"/>
  <c r="AD69" i="29"/>
  <c r="AC69" i="29"/>
  <c r="X69" i="29"/>
  <c r="AU68" i="29"/>
  <c r="AP68" i="29"/>
  <c r="AO68" i="29"/>
  <c r="AJ68" i="29"/>
  <c r="AI68" i="29"/>
  <c r="AD68" i="29"/>
  <c r="AC68" i="29"/>
  <c r="X68" i="29"/>
  <c r="AU67" i="29"/>
  <c r="AP67" i="29"/>
  <c r="AO67" i="29"/>
  <c r="AJ67" i="29"/>
  <c r="AI67" i="29"/>
  <c r="AD67" i="29"/>
  <c r="AC67" i="29"/>
  <c r="X67" i="29"/>
  <c r="AU66" i="29"/>
  <c r="AP66" i="29"/>
  <c r="AO66" i="29"/>
  <c r="AJ66" i="29"/>
  <c r="AI66" i="29"/>
  <c r="AD66" i="29"/>
  <c r="AC66" i="29"/>
  <c r="X66" i="29"/>
  <c r="AU65" i="29"/>
  <c r="AP65" i="29"/>
  <c r="AO65" i="29"/>
  <c r="AJ65" i="29"/>
  <c r="AI65" i="29"/>
  <c r="AD65" i="29"/>
  <c r="AC65" i="29"/>
  <c r="X65" i="29"/>
  <c r="AU64" i="29"/>
  <c r="AP64" i="29"/>
  <c r="AO64" i="29"/>
  <c r="AJ64" i="29"/>
  <c r="AI64" i="29"/>
  <c r="AD64" i="29"/>
  <c r="AC64" i="29"/>
  <c r="X64" i="29"/>
  <c r="AU63" i="29"/>
  <c r="AP63" i="29"/>
  <c r="AO63" i="29"/>
  <c r="AJ63" i="29"/>
  <c r="AI63" i="29"/>
  <c r="AD63" i="29"/>
  <c r="AC63" i="29"/>
  <c r="X63" i="29"/>
  <c r="AU62" i="29"/>
  <c r="AP62" i="29"/>
  <c r="AO62" i="29"/>
  <c r="AJ62" i="29"/>
  <c r="AI62" i="29"/>
  <c r="AD62" i="29"/>
  <c r="AC62" i="29"/>
  <c r="X62" i="29"/>
  <c r="AU61" i="29"/>
  <c r="AP61" i="29"/>
  <c r="AO61" i="29"/>
  <c r="AJ61" i="29"/>
  <c r="AI61" i="29"/>
  <c r="AD61" i="29"/>
  <c r="AC61" i="29"/>
  <c r="X61" i="29"/>
  <c r="AU60" i="29"/>
  <c r="AP60" i="29"/>
  <c r="AO60" i="29"/>
  <c r="AJ60" i="29"/>
  <c r="AI60" i="29"/>
  <c r="AD60" i="29"/>
  <c r="AC60" i="29"/>
  <c r="X60" i="29"/>
  <c r="AU59" i="29"/>
  <c r="AP59" i="29"/>
  <c r="AO59" i="29"/>
  <c r="AJ59" i="29"/>
  <c r="AI59" i="29"/>
  <c r="AD59" i="29"/>
  <c r="AC59" i="29"/>
  <c r="X59" i="29"/>
  <c r="AU58" i="29"/>
  <c r="AP58" i="29"/>
  <c r="AO58" i="29"/>
  <c r="AJ58" i="29"/>
  <c r="AI58" i="29"/>
  <c r="AD58" i="29"/>
  <c r="AC58" i="29"/>
  <c r="X58" i="29"/>
  <c r="AU57" i="29"/>
  <c r="AP57" i="29"/>
  <c r="AO57" i="29"/>
  <c r="AJ57" i="29"/>
  <c r="AI57" i="29"/>
  <c r="AD57" i="29"/>
  <c r="AC57" i="29"/>
  <c r="X57" i="29"/>
  <c r="AU56" i="29"/>
  <c r="AP56" i="29"/>
  <c r="AO56" i="29"/>
  <c r="AJ56" i="29"/>
  <c r="AI56" i="29"/>
  <c r="AD56" i="29"/>
  <c r="AC56" i="29"/>
  <c r="X56" i="29"/>
  <c r="AU55" i="29"/>
  <c r="AP55" i="29"/>
  <c r="AO55" i="29"/>
  <c r="AJ55" i="29"/>
  <c r="AI55" i="29"/>
  <c r="AD55" i="29"/>
  <c r="AC55" i="29"/>
  <c r="X55" i="29"/>
  <c r="AU54" i="29"/>
  <c r="AP54" i="29"/>
  <c r="AO54" i="29"/>
  <c r="AJ54" i="29"/>
  <c r="AI54" i="29"/>
  <c r="AD54" i="29"/>
  <c r="AC54" i="29"/>
  <c r="X54" i="29"/>
  <c r="AU53" i="29"/>
  <c r="AP53" i="29"/>
  <c r="AO53" i="29"/>
  <c r="AJ53" i="29"/>
  <c r="AI53" i="29"/>
  <c r="AD53" i="29"/>
  <c r="AC53" i="29"/>
  <c r="X53" i="29"/>
  <c r="AU52" i="29"/>
  <c r="AP52" i="29"/>
  <c r="AO52" i="29"/>
  <c r="AJ52" i="29"/>
  <c r="AI52" i="29"/>
  <c r="AD52" i="29"/>
  <c r="AC52" i="29"/>
  <c r="X52" i="29"/>
  <c r="AU51" i="29"/>
  <c r="AP51" i="29"/>
  <c r="AO51" i="29"/>
  <c r="AJ51" i="29"/>
  <c r="AI51" i="29"/>
  <c r="AD51" i="29"/>
  <c r="AC51" i="29"/>
  <c r="X51" i="29"/>
  <c r="AU50" i="29"/>
  <c r="AP50" i="29"/>
  <c r="AO50" i="29"/>
  <c r="AJ50" i="29"/>
  <c r="AI50" i="29"/>
  <c r="AD50" i="29"/>
  <c r="AC50" i="29"/>
  <c r="X50" i="29"/>
  <c r="AU49" i="29"/>
  <c r="AP49" i="29"/>
  <c r="AO49" i="29"/>
  <c r="AJ49" i="29"/>
  <c r="AI49" i="29"/>
  <c r="AD49" i="29"/>
  <c r="AC49" i="29"/>
  <c r="X49" i="29"/>
  <c r="AU48" i="29"/>
  <c r="AP48" i="29"/>
  <c r="AO48" i="29"/>
  <c r="AJ48" i="29"/>
  <c r="AI48" i="29"/>
  <c r="AD48" i="29"/>
  <c r="AC48" i="29"/>
  <c r="X48" i="29"/>
  <c r="AU47" i="29"/>
  <c r="AP47" i="29"/>
  <c r="AO47" i="29"/>
  <c r="AJ47" i="29"/>
  <c r="AI47" i="29"/>
  <c r="AD47" i="29"/>
  <c r="AC47" i="29"/>
  <c r="X47" i="29"/>
  <c r="AU46" i="29"/>
  <c r="AP46" i="29"/>
  <c r="AO46" i="29"/>
  <c r="AJ46" i="29"/>
  <c r="AI46" i="29"/>
  <c r="AD46" i="29"/>
  <c r="AC46" i="29"/>
  <c r="X46" i="29"/>
  <c r="AU45" i="29"/>
  <c r="AP45" i="29"/>
  <c r="AO45" i="29"/>
  <c r="AJ45" i="29"/>
  <c r="AI45" i="29"/>
  <c r="AD45" i="29"/>
  <c r="AC45" i="29"/>
  <c r="X45" i="29"/>
  <c r="AU44" i="29"/>
  <c r="AP44" i="29"/>
  <c r="AO44" i="29"/>
  <c r="AJ44" i="29"/>
  <c r="AI44" i="29"/>
  <c r="AD44" i="29"/>
  <c r="AC44" i="29"/>
  <c r="X44" i="29"/>
  <c r="AU43" i="29"/>
  <c r="AP43" i="29"/>
  <c r="AO43" i="29"/>
  <c r="AJ43" i="29"/>
  <c r="AI43" i="29"/>
  <c r="AD43" i="29"/>
  <c r="AC43" i="29"/>
  <c r="X43" i="29"/>
  <c r="AU42" i="29"/>
  <c r="AP42" i="29"/>
  <c r="AO42" i="29"/>
  <c r="AJ42" i="29"/>
  <c r="AI42" i="29"/>
  <c r="AD42" i="29"/>
  <c r="AC42" i="29"/>
  <c r="X42" i="29"/>
  <c r="AU41" i="29"/>
  <c r="AP41" i="29"/>
  <c r="AO41" i="29"/>
  <c r="AJ41" i="29"/>
  <c r="AI41" i="29"/>
  <c r="AD41" i="29"/>
  <c r="AC41" i="29"/>
  <c r="X41" i="29"/>
  <c r="AU40" i="29"/>
  <c r="AP40" i="29"/>
  <c r="AO40" i="29"/>
  <c r="AJ40" i="29"/>
  <c r="AI40" i="29"/>
  <c r="AD40" i="29"/>
  <c r="AC40" i="29"/>
  <c r="X40" i="29"/>
  <c r="AU39" i="29"/>
  <c r="AP39" i="29"/>
  <c r="AO39" i="29"/>
  <c r="AJ39" i="29"/>
  <c r="AI39" i="29"/>
  <c r="AD39" i="29"/>
  <c r="AC39" i="29"/>
  <c r="X39" i="29"/>
  <c r="AU38" i="29"/>
  <c r="AP38" i="29"/>
  <c r="AO38" i="29"/>
  <c r="AJ38" i="29"/>
  <c r="AI38" i="29"/>
  <c r="AD38" i="29"/>
  <c r="AC38" i="29"/>
  <c r="X38" i="29"/>
  <c r="AU37" i="29"/>
  <c r="AP37" i="29"/>
  <c r="AO37" i="29"/>
  <c r="AJ37" i="29"/>
  <c r="AI37" i="29"/>
  <c r="AD37" i="29"/>
  <c r="AC37" i="29"/>
  <c r="X37" i="29"/>
  <c r="AU36" i="29"/>
  <c r="AP36" i="29"/>
  <c r="AO36" i="29"/>
  <c r="AJ36" i="29"/>
  <c r="AI36" i="29"/>
  <c r="AD36" i="29"/>
  <c r="AC36" i="29"/>
  <c r="X36" i="29"/>
  <c r="AU35" i="29"/>
  <c r="AP35" i="29"/>
  <c r="AO35" i="29"/>
  <c r="AJ35" i="29"/>
  <c r="AI35" i="29"/>
  <c r="AD35" i="29"/>
  <c r="AC35" i="29"/>
  <c r="X35" i="29"/>
  <c r="AU34" i="29"/>
  <c r="AP34" i="29"/>
  <c r="AO34" i="29"/>
  <c r="AJ34" i="29"/>
  <c r="AI34" i="29"/>
  <c r="AD34" i="29"/>
  <c r="AC34" i="29"/>
  <c r="X34" i="29"/>
  <c r="AU33" i="29"/>
  <c r="AP33" i="29"/>
  <c r="AO33" i="29"/>
  <c r="AJ33" i="29"/>
  <c r="AI33" i="29"/>
  <c r="AD33" i="29"/>
  <c r="AC33" i="29"/>
  <c r="X33" i="29"/>
  <c r="AU32" i="29"/>
  <c r="AP32" i="29"/>
  <c r="AO32" i="29"/>
  <c r="AJ32" i="29"/>
  <c r="AI32" i="29"/>
  <c r="AD32" i="29"/>
  <c r="AC32" i="29"/>
  <c r="X32" i="29"/>
  <c r="AU31" i="29"/>
  <c r="AP31" i="29"/>
  <c r="AO31" i="29"/>
  <c r="AJ31" i="29"/>
  <c r="AI31" i="29"/>
  <c r="AD31" i="29"/>
  <c r="AC31" i="29"/>
  <c r="X31" i="29"/>
  <c r="AU30" i="29"/>
  <c r="AP30" i="29"/>
  <c r="AO30" i="29"/>
  <c r="AJ30" i="29"/>
  <c r="AI30" i="29"/>
  <c r="AD30" i="29"/>
  <c r="AC30" i="29"/>
  <c r="X30" i="29"/>
  <c r="AU29" i="29"/>
  <c r="AP29" i="29"/>
  <c r="AO29" i="29"/>
  <c r="AJ29" i="29"/>
  <c r="AI29" i="29"/>
  <c r="AD29" i="29"/>
  <c r="AC29" i="29"/>
  <c r="X29" i="29"/>
  <c r="AU28" i="29"/>
  <c r="AP28" i="29"/>
  <c r="AO28" i="29"/>
  <c r="AJ28" i="29"/>
  <c r="AI28" i="29"/>
  <c r="AD28" i="29"/>
  <c r="AC28" i="29"/>
  <c r="X28" i="29"/>
  <c r="AU27" i="29"/>
  <c r="AP27" i="29"/>
  <c r="AO27" i="29"/>
  <c r="AJ27" i="29"/>
  <c r="AI27" i="29"/>
  <c r="AD27" i="29"/>
  <c r="AC27" i="29"/>
  <c r="X27" i="29"/>
  <c r="AU26" i="29"/>
  <c r="AP26" i="29"/>
  <c r="AO26" i="29"/>
  <c r="AJ26" i="29"/>
  <c r="AI26" i="29"/>
  <c r="AD26" i="29"/>
  <c r="AC26" i="29"/>
  <c r="X26" i="29"/>
  <c r="AU25" i="29"/>
  <c r="AP25" i="29"/>
  <c r="AO25" i="29"/>
  <c r="AJ25" i="29"/>
  <c r="AI25" i="29"/>
  <c r="AD25" i="29"/>
  <c r="AC25" i="29"/>
  <c r="X25" i="29"/>
  <c r="AU24" i="29"/>
  <c r="AP24" i="29"/>
  <c r="AO24" i="29"/>
  <c r="AJ24" i="29"/>
  <c r="AI24" i="29"/>
  <c r="AD24" i="29"/>
  <c r="AC24" i="29"/>
  <c r="X24" i="29"/>
  <c r="AU23" i="29"/>
  <c r="AP23" i="29"/>
  <c r="AO23" i="29"/>
  <c r="AJ23" i="29"/>
  <c r="AI23" i="29"/>
  <c r="AD23" i="29"/>
  <c r="AC23" i="29"/>
  <c r="X23" i="29"/>
  <c r="AU22" i="29"/>
  <c r="AP22" i="29"/>
  <c r="AO22" i="29"/>
  <c r="AJ22" i="29"/>
  <c r="AI22" i="29"/>
  <c r="AD22" i="29"/>
  <c r="AC22" i="29"/>
  <c r="X22" i="29"/>
  <c r="AU21" i="29"/>
  <c r="AP21" i="29"/>
  <c r="AO21" i="29"/>
  <c r="AJ21" i="29"/>
  <c r="AI21" i="29"/>
  <c r="AD21" i="29"/>
  <c r="AC21" i="29"/>
  <c r="X21" i="29"/>
  <c r="IB2" i="29" l="1"/>
  <c r="HL2" i="29"/>
  <c r="HX2" i="29"/>
  <c r="BY2" i="29"/>
  <c r="ER2" i="29"/>
  <c r="FB2" i="29"/>
  <c r="FF2" i="29"/>
  <c r="CH2" i="29"/>
  <c r="CL2" i="29"/>
  <c r="JR2" i="29"/>
  <c r="IZ2" i="29"/>
  <c r="JD2" i="29"/>
  <c r="DZ2" i="29"/>
  <c r="GT2" i="29"/>
  <c r="BJ2" i="29"/>
  <c r="ED2" i="29"/>
  <c r="GX2" i="29"/>
  <c r="JN2" i="29"/>
  <c r="CV2" i="29"/>
  <c r="CZ2" i="29"/>
  <c r="FR2" i="29"/>
  <c r="FV2" i="29"/>
  <c r="EN2" i="29"/>
  <c r="HH2" i="29"/>
  <c r="IL2" i="29"/>
  <c r="IP2" i="29"/>
  <c r="DL2" i="29"/>
  <c r="DP2" i="29"/>
  <c r="GF2" i="29"/>
  <c r="GJ2" i="29"/>
  <c r="BF2" i="29"/>
  <c r="AD2" i="29"/>
  <c r="X2" i="29"/>
  <c r="AP2" i="29"/>
  <c r="AJ2" i="29"/>
  <c r="JE2" i="29" l="1"/>
  <c r="JS2" i="29"/>
  <c r="IQ2" i="29"/>
  <c r="EE2" i="29"/>
  <c r="CM2" i="29"/>
  <c r="ES2" i="29"/>
  <c r="HM2" i="29"/>
  <c r="IC2" i="29"/>
  <c r="FW2" i="29"/>
  <c r="BK2" i="29"/>
  <c r="FG2" i="29"/>
  <c r="DA2" i="29"/>
  <c r="GY2" i="29"/>
  <c r="DQ2" i="29"/>
  <c r="GK2" i="29"/>
  <c r="JT2" i="29" l="1"/>
  <c r="JU2" i="29" s="1"/>
  <c r="FH2" i="29"/>
  <c r="FI2" i="29" s="1"/>
  <c r="HN2" i="29"/>
  <c r="HO2" i="29" s="1"/>
  <c r="DB2" i="29"/>
  <c r="DC2" i="29" s="1"/>
  <c r="JV2" i="29" l="1"/>
  <c r="B21" i="28" l="1"/>
  <c r="D3" i="18"/>
  <c r="D2" i="18"/>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B66" i="23" s="1"/>
  <c r="F66" i="23"/>
  <c r="H66" i="23"/>
  <c r="I66" i="23"/>
  <c r="A67" i="23"/>
  <c r="F67" i="23" s="1"/>
  <c r="B67" i="23"/>
  <c r="D67" i="23"/>
  <c r="E67" i="23"/>
  <c r="I67" i="23"/>
  <c r="J67" i="23"/>
  <c r="L67" i="23"/>
  <c r="A68" i="23"/>
  <c r="B68" i="23" s="1"/>
  <c r="F68" i="23"/>
  <c r="H68" i="23"/>
  <c r="I68" i="23"/>
  <c r="A69" i="23"/>
  <c r="F69" i="23" s="1"/>
  <c r="B69" i="23"/>
  <c r="D69" i="23"/>
  <c r="E69" i="23"/>
  <c r="I69" i="23"/>
  <c r="J69" i="23"/>
  <c r="L69" i="23"/>
  <c r="A70" i="23"/>
  <c r="B70" i="23" s="1"/>
  <c r="F70" i="23"/>
  <c r="H70" i="23"/>
  <c r="I70" i="23"/>
  <c r="B66" i="27"/>
  <c r="C66" i="27"/>
  <c r="D66" i="27"/>
  <c r="E66" i="27"/>
  <c r="F66" i="27"/>
  <c r="G66" i="27"/>
  <c r="H66" i="27"/>
  <c r="I66" i="27"/>
  <c r="J66" i="27"/>
  <c r="K66" i="27"/>
  <c r="L66" i="27"/>
  <c r="M66" i="27"/>
  <c r="N66" i="27"/>
  <c r="O66" i="27"/>
  <c r="B67" i="27"/>
  <c r="C67" i="27"/>
  <c r="D67" i="27"/>
  <c r="E67" i="27"/>
  <c r="F67" i="27"/>
  <c r="G67" i="27"/>
  <c r="H67" i="27"/>
  <c r="I67" i="27"/>
  <c r="J67" i="27"/>
  <c r="K67" i="27"/>
  <c r="L67" i="27"/>
  <c r="M67" i="27"/>
  <c r="N67" i="27"/>
  <c r="O67" i="27"/>
  <c r="B68" i="27"/>
  <c r="C68" i="27"/>
  <c r="D68" i="27"/>
  <c r="E68" i="27"/>
  <c r="F68" i="27"/>
  <c r="G68" i="27"/>
  <c r="H68" i="27"/>
  <c r="I68" i="27"/>
  <c r="J68" i="27"/>
  <c r="K68" i="27"/>
  <c r="L68" i="27"/>
  <c r="M68" i="27"/>
  <c r="N68" i="27"/>
  <c r="O68" i="27"/>
  <c r="B69" i="27"/>
  <c r="C69" i="27"/>
  <c r="D69" i="27"/>
  <c r="E69" i="27"/>
  <c r="F69" i="27"/>
  <c r="G69" i="27"/>
  <c r="H69" i="27"/>
  <c r="I69" i="27"/>
  <c r="J69" i="27"/>
  <c r="K69" i="27"/>
  <c r="L69" i="27"/>
  <c r="M69" i="27"/>
  <c r="N69" i="27"/>
  <c r="O69" i="27"/>
  <c r="B70" i="27"/>
  <c r="C70" i="27"/>
  <c r="D70" i="27"/>
  <c r="E70" i="27"/>
  <c r="F70" i="27"/>
  <c r="G70" i="27"/>
  <c r="H70" i="27"/>
  <c r="I70" i="27"/>
  <c r="J70" i="27"/>
  <c r="K70" i="27"/>
  <c r="L70" i="27"/>
  <c r="M70" i="27"/>
  <c r="N70" i="27"/>
  <c r="O70"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2" i="18"/>
  <c r="E3" i="18"/>
  <c r="G3" i="18"/>
  <c r="H3" i="18"/>
  <c r="I3" i="18"/>
  <c r="J3" i="18"/>
  <c r="K3" i="18"/>
  <c r="M3" i="18"/>
  <c r="N3" i="18"/>
  <c r="O3" i="18"/>
  <c r="R3" i="18"/>
  <c r="S3" i="18"/>
  <c r="T3" i="18"/>
  <c r="U3" i="18"/>
  <c r="V3" i="18"/>
  <c r="W3" i="18"/>
  <c r="X3" i="18"/>
  <c r="Y3" i="18"/>
  <c r="AA3" i="18"/>
  <c r="AB3" i="18"/>
  <c r="AC3" i="18"/>
  <c r="AF3" i="18"/>
  <c r="AG3" i="18"/>
  <c r="AH3" i="18"/>
  <c r="AI3" i="18"/>
  <c r="AJ3" i="18"/>
  <c r="AK3" i="18"/>
  <c r="AL3" i="18"/>
  <c r="AM3" i="18"/>
  <c r="AO3" i="18"/>
  <c r="AP3" i="18"/>
  <c r="AQ3" i="18"/>
  <c r="AT3" i="18"/>
  <c r="AU3" i="18"/>
  <c r="AV3" i="18"/>
  <c r="AW3" i="18"/>
  <c r="AX3" i="18"/>
  <c r="AZ3" i="18"/>
  <c r="BA3" i="18"/>
  <c r="BC3" i="18"/>
  <c r="BD3" i="18"/>
  <c r="BE3" i="18"/>
  <c r="BJ3" i="18"/>
  <c r="BK3" i="18"/>
  <c r="BL3" i="18"/>
  <c r="BM3" i="18"/>
  <c r="BN3" i="18"/>
  <c r="BP3" i="18"/>
  <c r="BQ3" i="18"/>
  <c r="BS3" i="18"/>
  <c r="BT3" i="18"/>
  <c r="BU3" i="18"/>
  <c r="BX3" i="18"/>
  <c r="BY3" i="18"/>
  <c r="BZ3" i="18"/>
  <c r="CA3" i="18"/>
  <c r="CB3" i="18"/>
  <c r="CC3" i="18"/>
  <c r="CD3" i="18"/>
  <c r="CE3" i="18"/>
  <c r="CG3" i="18"/>
  <c r="CH3" i="18"/>
  <c r="CI3" i="18"/>
  <c r="CL3" i="18"/>
  <c r="CM3" i="18"/>
  <c r="CN3" i="18"/>
  <c r="CO3" i="18"/>
  <c r="CP3" i="18"/>
  <c r="CQ3" i="18"/>
  <c r="CR3" i="18"/>
  <c r="CS3" i="18"/>
  <c r="CU3" i="18"/>
  <c r="CV3" i="18"/>
  <c r="CW3" i="18"/>
  <c r="CZ3" i="18"/>
  <c r="DA3" i="18"/>
  <c r="DB3" i="18"/>
  <c r="DC3" i="18"/>
  <c r="DD3" i="18"/>
  <c r="DE3" i="18"/>
  <c r="DF3" i="18"/>
  <c r="DG3" i="18"/>
  <c r="DI3" i="18"/>
  <c r="DJ3" i="18"/>
  <c r="DK3" i="18"/>
  <c r="DP3" i="18"/>
  <c r="DQ3" i="18"/>
  <c r="DR3" i="18"/>
  <c r="DS3" i="18"/>
  <c r="DT3" i="18"/>
  <c r="DV3" i="18"/>
  <c r="DW3" i="18"/>
  <c r="DY3" i="18"/>
  <c r="DZ3" i="18"/>
  <c r="EA3" i="18"/>
  <c r="ED3" i="18"/>
  <c r="EE3" i="18"/>
  <c r="EF3" i="18"/>
  <c r="EG3" i="18"/>
  <c r="EH3" i="18"/>
  <c r="EI3" i="18"/>
  <c r="EJ3" i="18"/>
  <c r="EK3" i="18"/>
  <c r="EM3" i="18"/>
  <c r="EN3" i="18"/>
  <c r="EO3" i="18"/>
  <c r="ER3" i="18"/>
  <c r="ES3" i="18"/>
  <c r="ET3" i="18"/>
  <c r="EU3" i="18"/>
  <c r="EV3" i="18"/>
  <c r="EW3" i="18"/>
  <c r="EX3" i="18"/>
  <c r="EY3" i="18"/>
  <c r="FA3" i="18"/>
  <c r="FB3" i="18"/>
  <c r="FC3" i="18"/>
  <c r="FF3" i="18"/>
  <c r="FG3" i="18"/>
  <c r="FH3" i="18"/>
  <c r="FI3" i="18"/>
  <c r="FJ3" i="18"/>
  <c r="FK3" i="18"/>
  <c r="FL3" i="18"/>
  <c r="FM3" i="18"/>
  <c r="FO3" i="18"/>
  <c r="FP3" i="18"/>
  <c r="FQ3" i="18"/>
  <c r="FV3" i="18"/>
  <c r="FW3" i="18"/>
  <c r="FX3" i="18"/>
  <c r="FY3" i="18"/>
  <c r="FZ3" i="18"/>
  <c r="GB3" i="18"/>
  <c r="GC3" i="18"/>
  <c r="GE3" i="18"/>
  <c r="GF3" i="18"/>
  <c r="GG3" i="18"/>
  <c r="GJ3" i="18"/>
  <c r="GK3" i="18"/>
  <c r="GL3" i="18"/>
  <c r="GM3" i="18"/>
  <c r="GN3" i="18"/>
  <c r="GO3" i="18"/>
  <c r="GP3" i="18"/>
  <c r="GQ3" i="18"/>
  <c r="GS3" i="18"/>
  <c r="GT3" i="18"/>
  <c r="GU3" i="18"/>
  <c r="GX3" i="18"/>
  <c r="GY3" i="18"/>
  <c r="GZ3" i="18"/>
  <c r="HA3" i="18"/>
  <c r="HB3" i="18"/>
  <c r="HC3" i="18"/>
  <c r="HD3" i="18"/>
  <c r="HE3" i="18"/>
  <c r="HG3" i="18"/>
  <c r="HH3" i="18"/>
  <c r="HI3" i="18"/>
  <c r="HL3" i="18"/>
  <c r="HM3" i="18"/>
  <c r="HN3" i="18"/>
  <c r="HO3" i="18"/>
  <c r="HP3" i="18"/>
  <c r="HQ3" i="18"/>
  <c r="HR3" i="18"/>
  <c r="HS3" i="18"/>
  <c r="HU3" i="18"/>
  <c r="HV3" i="18"/>
  <c r="HW3" i="18"/>
  <c r="D4" i="18"/>
  <c r="E4" i="18"/>
  <c r="G4" i="18"/>
  <c r="H4" i="18"/>
  <c r="I4" i="18"/>
  <c r="J4" i="18"/>
  <c r="K4" i="18"/>
  <c r="M4" i="18"/>
  <c r="N4" i="18"/>
  <c r="O4" i="18"/>
  <c r="R4" i="18"/>
  <c r="S4" i="18"/>
  <c r="T4" i="18"/>
  <c r="U4" i="18"/>
  <c r="V4" i="18"/>
  <c r="W4" i="18"/>
  <c r="X4" i="18"/>
  <c r="Y4" i="18"/>
  <c r="AA4" i="18"/>
  <c r="AB4" i="18"/>
  <c r="AC4" i="18"/>
  <c r="AF4" i="18"/>
  <c r="AG4" i="18"/>
  <c r="AH4" i="18"/>
  <c r="AI4" i="18"/>
  <c r="AJ4" i="18"/>
  <c r="AK4" i="18"/>
  <c r="AL4" i="18"/>
  <c r="AM4" i="18"/>
  <c r="AO4" i="18"/>
  <c r="AP4" i="18"/>
  <c r="AQ4" i="18"/>
  <c r="AT4" i="18"/>
  <c r="AU4" i="18"/>
  <c r="AV4" i="18"/>
  <c r="AW4" i="18"/>
  <c r="AX4" i="18"/>
  <c r="AZ4" i="18"/>
  <c r="BA4" i="18"/>
  <c r="BC4" i="18"/>
  <c r="BD4" i="18"/>
  <c r="BE4" i="18"/>
  <c r="BJ4" i="18"/>
  <c r="BK4" i="18"/>
  <c r="BL4" i="18"/>
  <c r="BM4" i="18"/>
  <c r="BN4" i="18"/>
  <c r="BO4" i="18"/>
  <c r="BP4" i="18"/>
  <c r="BQ4" i="18"/>
  <c r="BS4" i="18"/>
  <c r="BT4" i="18"/>
  <c r="BU4" i="18"/>
  <c r="BX4" i="18"/>
  <c r="BY4" i="18"/>
  <c r="BZ4" i="18"/>
  <c r="CA4" i="18"/>
  <c r="CB4" i="18"/>
  <c r="CD4" i="18"/>
  <c r="CE4" i="18"/>
  <c r="CG4" i="18"/>
  <c r="CH4" i="18"/>
  <c r="CI4" i="18"/>
  <c r="CL4" i="18"/>
  <c r="CM4" i="18"/>
  <c r="CN4" i="18"/>
  <c r="CO4" i="18"/>
  <c r="CP4" i="18"/>
  <c r="CR4" i="18"/>
  <c r="CS4" i="18"/>
  <c r="CU4" i="18"/>
  <c r="CV4" i="18"/>
  <c r="CW4" i="18"/>
  <c r="CZ4" i="18"/>
  <c r="DA4" i="18"/>
  <c r="DB4" i="18"/>
  <c r="DC4" i="18"/>
  <c r="DD4" i="18"/>
  <c r="DF4" i="18"/>
  <c r="DG4" i="18"/>
  <c r="DI4" i="18"/>
  <c r="DJ4" i="18"/>
  <c r="DK4" i="18"/>
  <c r="DP4" i="18"/>
  <c r="DQ4" i="18"/>
  <c r="DR4" i="18"/>
  <c r="DS4" i="18"/>
  <c r="DT4" i="18"/>
  <c r="DU4" i="18"/>
  <c r="DV4" i="18"/>
  <c r="DW4" i="18"/>
  <c r="DY4" i="18"/>
  <c r="DZ4" i="18"/>
  <c r="EA4" i="18"/>
  <c r="ED4" i="18"/>
  <c r="EE4" i="18"/>
  <c r="EF4" i="18"/>
  <c r="EG4" i="18"/>
  <c r="EH4" i="18"/>
  <c r="EJ4" i="18"/>
  <c r="EK4" i="18"/>
  <c r="EM4" i="18"/>
  <c r="EN4" i="18"/>
  <c r="EO4" i="18"/>
  <c r="ER4" i="18"/>
  <c r="ES4" i="18"/>
  <c r="ET4" i="18"/>
  <c r="EU4" i="18"/>
  <c r="EV4" i="18"/>
  <c r="EX4" i="18"/>
  <c r="EY4" i="18"/>
  <c r="FA4" i="18"/>
  <c r="FB4" i="18"/>
  <c r="FC4" i="18"/>
  <c r="FF4" i="18"/>
  <c r="FG4" i="18"/>
  <c r="FH4" i="18"/>
  <c r="FI4" i="18"/>
  <c r="FJ4" i="18"/>
  <c r="FL4" i="18"/>
  <c r="FM4" i="18"/>
  <c r="FO4" i="18"/>
  <c r="FP4" i="18"/>
  <c r="FQ4" i="18"/>
  <c r="FV4" i="18"/>
  <c r="FW4" i="18"/>
  <c r="FX4" i="18"/>
  <c r="FY4" i="18"/>
  <c r="FZ4" i="18"/>
  <c r="GA4" i="18"/>
  <c r="GB4" i="18"/>
  <c r="GC4" i="18"/>
  <c r="GE4" i="18"/>
  <c r="GF4" i="18"/>
  <c r="GG4" i="18"/>
  <c r="GJ4" i="18"/>
  <c r="GK4" i="18"/>
  <c r="GL4" i="18"/>
  <c r="GM4" i="18"/>
  <c r="GN4" i="18"/>
  <c r="GO4" i="18"/>
  <c r="GP4" i="18"/>
  <c r="GQ4" i="18"/>
  <c r="GS4" i="18"/>
  <c r="GT4" i="18"/>
  <c r="GU4" i="18"/>
  <c r="GX4" i="18"/>
  <c r="GY4" i="18"/>
  <c r="GZ4" i="18"/>
  <c r="HA4" i="18"/>
  <c r="HB4" i="18"/>
  <c r="HD4" i="18"/>
  <c r="HE4" i="18"/>
  <c r="HG4" i="18"/>
  <c r="HH4" i="18"/>
  <c r="HI4" i="18"/>
  <c r="HL4" i="18"/>
  <c r="HM4" i="18"/>
  <c r="HN4" i="18"/>
  <c r="HO4" i="18"/>
  <c r="HP4" i="18"/>
  <c r="HQ4" i="18"/>
  <c r="HR4" i="18"/>
  <c r="HS4" i="18"/>
  <c r="HU4" i="18"/>
  <c r="HV4" i="18"/>
  <c r="HW4" i="18"/>
  <c r="D5" i="18"/>
  <c r="E5" i="18"/>
  <c r="G5" i="18"/>
  <c r="H5" i="18"/>
  <c r="I5" i="18"/>
  <c r="J5" i="18"/>
  <c r="K5" i="18"/>
  <c r="M5" i="18"/>
  <c r="N5" i="18"/>
  <c r="O5" i="18"/>
  <c r="R5" i="18"/>
  <c r="S5" i="18"/>
  <c r="T5" i="18"/>
  <c r="U5" i="18"/>
  <c r="V5" i="18"/>
  <c r="W5" i="18"/>
  <c r="X5" i="18"/>
  <c r="Y5" i="18"/>
  <c r="AA5" i="18"/>
  <c r="AB5" i="18"/>
  <c r="AC5" i="18"/>
  <c r="AF5" i="18"/>
  <c r="AG5" i="18"/>
  <c r="AH5" i="18"/>
  <c r="AI5" i="18"/>
  <c r="AJ5" i="18"/>
  <c r="AL5" i="18"/>
  <c r="AM5" i="18"/>
  <c r="AO5" i="18"/>
  <c r="AP5" i="18"/>
  <c r="AQ5" i="18"/>
  <c r="AT5" i="18"/>
  <c r="AU5" i="18"/>
  <c r="AV5" i="18"/>
  <c r="AW5" i="18"/>
  <c r="AX5" i="18"/>
  <c r="AZ5" i="18"/>
  <c r="BA5" i="18"/>
  <c r="BC5" i="18"/>
  <c r="BD5" i="18"/>
  <c r="BE5" i="18"/>
  <c r="BJ5" i="18"/>
  <c r="BK5" i="18"/>
  <c r="BL5" i="18"/>
  <c r="BM5" i="18"/>
  <c r="BN5" i="18"/>
  <c r="BP5" i="18"/>
  <c r="BQ5" i="18"/>
  <c r="BS5" i="18"/>
  <c r="BT5" i="18"/>
  <c r="BU5" i="18"/>
  <c r="BX5" i="18"/>
  <c r="BY5" i="18"/>
  <c r="BZ5" i="18"/>
  <c r="CA5" i="18"/>
  <c r="CB5" i="18"/>
  <c r="CD5" i="18"/>
  <c r="CE5" i="18"/>
  <c r="CG5" i="18"/>
  <c r="CH5" i="18"/>
  <c r="CI5" i="18"/>
  <c r="CL5" i="18"/>
  <c r="CM5" i="18"/>
  <c r="CN5" i="18"/>
  <c r="CO5" i="18"/>
  <c r="CP5" i="18"/>
  <c r="CR5" i="18"/>
  <c r="CS5" i="18"/>
  <c r="CU5" i="18"/>
  <c r="CV5" i="18"/>
  <c r="CW5" i="18"/>
  <c r="CZ5" i="18"/>
  <c r="DA5" i="18"/>
  <c r="DB5" i="18"/>
  <c r="DC5" i="18"/>
  <c r="DD5" i="18"/>
  <c r="DF5" i="18"/>
  <c r="DG5" i="18"/>
  <c r="DI5" i="18"/>
  <c r="DJ5" i="18"/>
  <c r="DK5" i="18"/>
  <c r="DP5" i="18"/>
  <c r="DQ5" i="18"/>
  <c r="DR5" i="18"/>
  <c r="DS5" i="18"/>
  <c r="DT5" i="18"/>
  <c r="DU5" i="18"/>
  <c r="DV5" i="18"/>
  <c r="DW5" i="18"/>
  <c r="DY5" i="18"/>
  <c r="DZ5" i="18"/>
  <c r="EA5" i="18"/>
  <c r="ED5" i="18"/>
  <c r="EE5" i="18"/>
  <c r="EF5" i="18"/>
  <c r="EG5" i="18"/>
  <c r="EH5" i="18"/>
  <c r="EI5" i="18"/>
  <c r="EJ5" i="18"/>
  <c r="EK5" i="18"/>
  <c r="EM5" i="18"/>
  <c r="EN5" i="18"/>
  <c r="EO5" i="18"/>
  <c r="ER5" i="18"/>
  <c r="ES5" i="18"/>
  <c r="ET5" i="18"/>
  <c r="EU5" i="18"/>
  <c r="EV5" i="18"/>
  <c r="EX5" i="18"/>
  <c r="EY5" i="18"/>
  <c r="FA5" i="18"/>
  <c r="FB5" i="18"/>
  <c r="FC5" i="18"/>
  <c r="FF5" i="18"/>
  <c r="FG5" i="18"/>
  <c r="FH5" i="18"/>
  <c r="FI5" i="18"/>
  <c r="FJ5" i="18"/>
  <c r="FL5" i="18"/>
  <c r="FM5" i="18"/>
  <c r="FO5" i="18"/>
  <c r="FP5" i="18"/>
  <c r="FQ5" i="18"/>
  <c r="FV5" i="18"/>
  <c r="FW5" i="18"/>
  <c r="FX5" i="18"/>
  <c r="FY5" i="18"/>
  <c r="FZ5" i="18"/>
  <c r="GB5" i="18"/>
  <c r="GC5" i="18"/>
  <c r="GE5" i="18"/>
  <c r="GF5" i="18"/>
  <c r="GG5" i="18"/>
  <c r="GJ5" i="18"/>
  <c r="GK5" i="18"/>
  <c r="GL5" i="18"/>
  <c r="GM5" i="18"/>
  <c r="GN5" i="18"/>
  <c r="GP5" i="18"/>
  <c r="GQ5" i="18"/>
  <c r="GS5" i="18"/>
  <c r="GT5" i="18"/>
  <c r="GU5" i="18"/>
  <c r="GX5" i="18"/>
  <c r="GY5" i="18"/>
  <c r="GZ5" i="18"/>
  <c r="HA5" i="18"/>
  <c r="HB5" i="18"/>
  <c r="HD5" i="18"/>
  <c r="HE5" i="18"/>
  <c r="HG5" i="18"/>
  <c r="HH5" i="18"/>
  <c r="HI5" i="18"/>
  <c r="HL5" i="18"/>
  <c r="HM5" i="18"/>
  <c r="HN5" i="18"/>
  <c r="HO5" i="18"/>
  <c r="HP5" i="18"/>
  <c r="HR5" i="18"/>
  <c r="HS5" i="18"/>
  <c r="HU5" i="18"/>
  <c r="HV5" i="18"/>
  <c r="HW5" i="18"/>
  <c r="D6" i="18"/>
  <c r="E6" i="18"/>
  <c r="G6" i="18"/>
  <c r="H6" i="18"/>
  <c r="I6" i="18"/>
  <c r="J6" i="18"/>
  <c r="K6" i="18"/>
  <c r="M6" i="18"/>
  <c r="N6" i="18"/>
  <c r="O6" i="18"/>
  <c r="R6" i="18"/>
  <c r="S6" i="18"/>
  <c r="T6" i="18"/>
  <c r="U6" i="18"/>
  <c r="V6" i="18"/>
  <c r="W6" i="18"/>
  <c r="X6" i="18"/>
  <c r="Y6" i="18"/>
  <c r="AA6" i="18"/>
  <c r="AB6" i="18"/>
  <c r="AC6" i="18"/>
  <c r="AF6" i="18"/>
  <c r="AG6" i="18"/>
  <c r="AH6" i="18"/>
  <c r="AI6" i="18"/>
  <c r="AJ6" i="18"/>
  <c r="AL6" i="18"/>
  <c r="AM6" i="18"/>
  <c r="AO6" i="18"/>
  <c r="AP6" i="18"/>
  <c r="AQ6" i="18"/>
  <c r="AT6" i="18"/>
  <c r="AU6" i="18"/>
  <c r="AV6" i="18"/>
  <c r="AW6" i="18"/>
  <c r="AX6" i="18"/>
  <c r="AZ6" i="18"/>
  <c r="BA6" i="18"/>
  <c r="BC6" i="18"/>
  <c r="BD6" i="18"/>
  <c r="BE6" i="18"/>
  <c r="BJ6" i="18"/>
  <c r="BK6" i="18"/>
  <c r="BL6" i="18"/>
  <c r="BM6" i="18"/>
  <c r="BN6" i="18"/>
  <c r="BO6" i="18"/>
  <c r="BP6" i="18"/>
  <c r="BQ6" i="18"/>
  <c r="BS6" i="18"/>
  <c r="BT6" i="18"/>
  <c r="BU6" i="18"/>
  <c r="BX6" i="18"/>
  <c r="BY6" i="18"/>
  <c r="BZ6" i="18"/>
  <c r="CA6" i="18"/>
  <c r="CB6" i="18"/>
  <c r="CC6" i="18"/>
  <c r="CD6" i="18"/>
  <c r="CE6" i="18"/>
  <c r="CG6" i="18"/>
  <c r="CH6" i="18"/>
  <c r="CI6" i="18"/>
  <c r="CL6" i="18"/>
  <c r="CM6" i="18"/>
  <c r="CN6" i="18"/>
  <c r="CO6" i="18"/>
  <c r="CP6" i="18"/>
  <c r="CR6" i="18"/>
  <c r="CS6" i="18"/>
  <c r="CU6" i="18"/>
  <c r="CV6" i="18"/>
  <c r="CW6" i="18"/>
  <c r="CZ6" i="18"/>
  <c r="DA6" i="18"/>
  <c r="DB6" i="18"/>
  <c r="DC6" i="18"/>
  <c r="DD6" i="18"/>
  <c r="DF6" i="18"/>
  <c r="DG6" i="18"/>
  <c r="DI6" i="18"/>
  <c r="DJ6" i="18"/>
  <c r="DK6" i="18"/>
  <c r="DP6" i="18"/>
  <c r="DQ6" i="18"/>
  <c r="DR6" i="18"/>
  <c r="DS6" i="18"/>
  <c r="DT6" i="18"/>
  <c r="DU6" i="18"/>
  <c r="DV6" i="18"/>
  <c r="DW6" i="18"/>
  <c r="DY6" i="18"/>
  <c r="DZ6" i="18"/>
  <c r="EA6" i="18"/>
  <c r="ED6" i="18"/>
  <c r="EE6" i="18"/>
  <c r="EF6" i="18"/>
  <c r="EG6" i="18"/>
  <c r="EH6" i="18"/>
  <c r="EJ6" i="18"/>
  <c r="EK6" i="18"/>
  <c r="EM6" i="18"/>
  <c r="EN6" i="18"/>
  <c r="EO6" i="18"/>
  <c r="ER6" i="18"/>
  <c r="ES6" i="18"/>
  <c r="ET6" i="18"/>
  <c r="EU6" i="18"/>
  <c r="EV6" i="18"/>
  <c r="EX6" i="18"/>
  <c r="EY6" i="18"/>
  <c r="FA6" i="18"/>
  <c r="FB6" i="18"/>
  <c r="FC6" i="18"/>
  <c r="FF6" i="18"/>
  <c r="FG6" i="18"/>
  <c r="FH6" i="18"/>
  <c r="FI6" i="18"/>
  <c r="FJ6" i="18"/>
  <c r="FK6" i="18"/>
  <c r="FL6" i="18"/>
  <c r="FM6" i="18"/>
  <c r="FO6" i="18"/>
  <c r="FP6" i="18"/>
  <c r="FQ6" i="18"/>
  <c r="FV6" i="18"/>
  <c r="FW6" i="18"/>
  <c r="FX6" i="18"/>
  <c r="FY6" i="18"/>
  <c r="FZ6" i="18"/>
  <c r="GA6" i="18"/>
  <c r="GB6" i="18"/>
  <c r="GC6" i="18"/>
  <c r="GE6" i="18"/>
  <c r="GF6" i="18"/>
  <c r="GG6" i="18"/>
  <c r="GJ6" i="18"/>
  <c r="GK6" i="18"/>
  <c r="GL6" i="18"/>
  <c r="GM6" i="18"/>
  <c r="GN6" i="18"/>
  <c r="GO6" i="18"/>
  <c r="GP6" i="18"/>
  <c r="GQ6" i="18"/>
  <c r="GS6" i="18"/>
  <c r="GT6" i="18"/>
  <c r="GU6" i="18"/>
  <c r="GX6" i="18"/>
  <c r="GY6" i="18"/>
  <c r="GZ6" i="18"/>
  <c r="HA6" i="18"/>
  <c r="HB6" i="18"/>
  <c r="HD6" i="18"/>
  <c r="HE6" i="18"/>
  <c r="HG6" i="18"/>
  <c r="HH6" i="18"/>
  <c r="HI6" i="18"/>
  <c r="HL6" i="18"/>
  <c r="HM6" i="18"/>
  <c r="HN6" i="18"/>
  <c r="HO6" i="18"/>
  <c r="HP6" i="18"/>
  <c r="HR6" i="18"/>
  <c r="HS6" i="18"/>
  <c r="HU6" i="18"/>
  <c r="HV6" i="18"/>
  <c r="HW6" i="18"/>
  <c r="D7" i="18"/>
  <c r="E7" i="18"/>
  <c r="G7" i="18"/>
  <c r="H7" i="18"/>
  <c r="I7" i="18"/>
  <c r="J7" i="18"/>
  <c r="K7" i="18"/>
  <c r="M7" i="18"/>
  <c r="N7" i="18"/>
  <c r="O7" i="18"/>
  <c r="R7" i="18"/>
  <c r="S7" i="18"/>
  <c r="T7" i="18"/>
  <c r="U7" i="18"/>
  <c r="V7" i="18"/>
  <c r="W7" i="18"/>
  <c r="X7" i="18"/>
  <c r="Y7" i="18"/>
  <c r="AA7" i="18"/>
  <c r="AB7" i="18"/>
  <c r="AC7" i="18"/>
  <c r="AF7" i="18"/>
  <c r="AG7" i="18"/>
  <c r="AH7" i="18"/>
  <c r="AI7" i="18"/>
  <c r="AJ7" i="18"/>
  <c r="AK7" i="18"/>
  <c r="AL7" i="18"/>
  <c r="AM7" i="18"/>
  <c r="AO7" i="18"/>
  <c r="AP7" i="18"/>
  <c r="AQ7" i="18"/>
  <c r="AT7" i="18"/>
  <c r="AU7" i="18"/>
  <c r="AV7" i="18"/>
  <c r="AW7" i="18"/>
  <c r="AX7" i="18"/>
  <c r="AY7" i="18"/>
  <c r="AZ7" i="18"/>
  <c r="BA7" i="18"/>
  <c r="BC7" i="18"/>
  <c r="BD7" i="18"/>
  <c r="BE7" i="18"/>
  <c r="BJ7" i="18"/>
  <c r="BK7" i="18"/>
  <c r="BL7" i="18"/>
  <c r="BM7" i="18"/>
  <c r="BN7" i="18"/>
  <c r="BO7" i="18"/>
  <c r="BP7" i="18"/>
  <c r="BQ7" i="18"/>
  <c r="BS7" i="18"/>
  <c r="BT7" i="18"/>
  <c r="BU7" i="18"/>
  <c r="BX7" i="18"/>
  <c r="BY7" i="18"/>
  <c r="BZ7" i="18"/>
  <c r="CA7" i="18"/>
  <c r="CB7" i="18"/>
  <c r="CC7" i="18"/>
  <c r="CD7" i="18"/>
  <c r="CE7" i="18"/>
  <c r="CG7" i="18"/>
  <c r="CH7" i="18"/>
  <c r="CI7" i="18"/>
  <c r="CL7" i="18"/>
  <c r="CM7" i="18"/>
  <c r="CN7" i="18"/>
  <c r="CO7" i="18"/>
  <c r="CP7" i="18"/>
  <c r="CQ7" i="18"/>
  <c r="CR7" i="18"/>
  <c r="CS7" i="18"/>
  <c r="CU7" i="18"/>
  <c r="CV7" i="18"/>
  <c r="CW7" i="18"/>
  <c r="CZ7" i="18"/>
  <c r="DA7" i="18"/>
  <c r="DB7" i="18"/>
  <c r="DC7" i="18"/>
  <c r="DD7" i="18"/>
  <c r="DE7" i="18"/>
  <c r="DF7" i="18"/>
  <c r="DG7" i="18"/>
  <c r="DI7" i="18"/>
  <c r="DJ7" i="18"/>
  <c r="DK7" i="18"/>
  <c r="DP7" i="18"/>
  <c r="DQ7" i="18"/>
  <c r="DR7" i="18"/>
  <c r="DS7" i="18"/>
  <c r="DT7" i="18"/>
  <c r="DU7" i="18"/>
  <c r="DV7" i="18"/>
  <c r="DW7" i="18"/>
  <c r="DY7" i="18"/>
  <c r="DZ7" i="18"/>
  <c r="EA7" i="18"/>
  <c r="ED7" i="18"/>
  <c r="EE7" i="18"/>
  <c r="EF7" i="18"/>
  <c r="EG7" i="18"/>
  <c r="EH7" i="18"/>
  <c r="EI7" i="18"/>
  <c r="EJ7" i="18"/>
  <c r="EK7" i="18"/>
  <c r="EM7" i="18"/>
  <c r="EN7" i="18"/>
  <c r="EO7" i="18"/>
  <c r="ER7" i="18"/>
  <c r="ES7" i="18"/>
  <c r="ET7" i="18"/>
  <c r="EU7" i="18"/>
  <c r="EV7" i="18"/>
  <c r="EW7" i="18"/>
  <c r="EX7" i="18"/>
  <c r="EY7" i="18"/>
  <c r="FA7" i="18"/>
  <c r="FB7" i="18"/>
  <c r="FC7" i="18"/>
  <c r="FF7" i="18"/>
  <c r="FG7" i="18"/>
  <c r="FH7" i="18"/>
  <c r="FI7" i="18"/>
  <c r="FJ7" i="18"/>
  <c r="FK7" i="18"/>
  <c r="FL7" i="18"/>
  <c r="FM7" i="18"/>
  <c r="FO7" i="18"/>
  <c r="FP7" i="18"/>
  <c r="FQ7" i="18"/>
  <c r="FV7" i="18"/>
  <c r="FW7" i="18"/>
  <c r="FX7" i="18"/>
  <c r="FY7" i="18"/>
  <c r="FZ7" i="18"/>
  <c r="GA7" i="18"/>
  <c r="GB7" i="18"/>
  <c r="GC7" i="18"/>
  <c r="GE7" i="18"/>
  <c r="GF7" i="18"/>
  <c r="GG7" i="18"/>
  <c r="GJ7" i="18"/>
  <c r="GK7" i="18"/>
  <c r="GL7" i="18"/>
  <c r="GM7" i="18"/>
  <c r="GN7" i="18"/>
  <c r="GO7" i="18"/>
  <c r="GP7" i="18"/>
  <c r="GQ7" i="18"/>
  <c r="GS7" i="18"/>
  <c r="GT7" i="18"/>
  <c r="GU7" i="18"/>
  <c r="GX7" i="18"/>
  <c r="GY7" i="18"/>
  <c r="GZ7" i="18"/>
  <c r="HA7" i="18"/>
  <c r="HB7" i="18"/>
  <c r="HC7" i="18"/>
  <c r="HD7" i="18"/>
  <c r="HE7" i="18"/>
  <c r="HG7" i="18"/>
  <c r="HH7" i="18"/>
  <c r="HI7" i="18"/>
  <c r="HL7" i="18"/>
  <c r="HM7" i="18"/>
  <c r="HN7" i="18"/>
  <c r="HO7" i="18"/>
  <c r="HP7" i="18"/>
  <c r="HQ7" i="18"/>
  <c r="HR7" i="18"/>
  <c r="HS7" i="18"/>
  <c r="HU7" i="18"/>
  <c r="HV7" i="18"/>
  <c r="HW7" i="18"/>
  <c r="D8" i="18"/>
  <c r="E8" i="18"/>
  <c r="G8" i="18"/>
  <c r="H8" i="18"/>
  <c r="I8" i="18"/>
  <c r="J8" i="18"/>
  <c r="K8" i="18"/>
  <c r="M8" i="18"/>
  <c r="N8" i="18"/>
  <c r="O8" i="18"/>
  <c r="R8" i="18"/>
  <c r="S8" i="18"/>
  <c r="T8" i="18"/>
  <c r="U8" i="18"/>
  <c r="V8" i="18"/>
  <c r="W8" i="18"/>
  <c r="X8" i="18"/>
  <c r="Y8" i="18"/>
  <c r="AA8" i="18"/>
  <c r="AB8" i="18"/>
  <c r="AC8" i="18"/>
  <c r="AF8" i="18"/>
  <c r="AG8" i="18"/>
  <c r="AH8" i="18"/>
  <c r="AI8" i="18"/>
  <c r="AJ8" i="18"/>
  <c r="AK8" i="18"/>
  <c r="AL8" i="18"/>
  <c r="AM8" i="18"/>
  <c r="AO8" i="18"/>
  <c r="AP8" i="18"/>
  <c r="AQ8" i="18"/>
  <c r="AT8" i="18"/>
  <c r="AU8" i="18"/>
  <c r="AV8" i="18"/>
  <c r="AW8" i="18"/>
  <c r="AX8" i="18"/>
  <c r="AY8" i="18"/>
  <c r="AZ8" i="18"/>
  <c r="BA8" i="18"/>
  <c r="BC8" i="18"/>
  <c r="BD8" i="18"/>
  <c r="BE8" i="18"/>
  <c r="BJ8" i="18"/>
  <c r="BK8" i="18"/>
  <c r="BL8" i="18"/>
  <c r="BM8" i="18"/>
  <c r="BN8" i="18"/>
  <c r="BO8" i="18"/>
  <c r="BP8" i="18"/>
  <c r="BQ8" i="18"/>
  <c r="BS8" i="18"/>
  <c r="BT8" i="18"/>
  <c r="BU8" i="18"/>
  <c r="BX8" i="18"/>
  <c r="BY8" i="18"/>
  <c r="BZ8" i="18"/>
  <c r="CA8" i="18"/>
  <c r="CB8" i="18"/>
  <c r="CC8" i="18"/>
  <c r="CD8" i="18"/>
  <c r="CE8" i="18"/>
  <c r="CG8" i="18"/>
  <c r="CH8" i="18"/>
  <c r="CI8" i="18"/>
  <c r="CL8" i="18"/>
  <c r="CM8" i="18"/>
  <c r="CN8" i="18"/>
  <c r="CO8" i="18"/>
  <c r="CP8" i="18"/>
  <c r="CQ8" i="18"/>
  <c r="CR8" i="18"/>
  <c r="CS8" i="18"/>
  <c r="CU8" i="18"/>
  <c r="CV8" i="18"/>
  <c r="CW8" i="18"/>
  <c r="CZ8" i="18"/>
  <c r="DA8" i="18"/>
  <c r="DB8" i="18"/>
  <c r="DC8" i="18"/>
  <c r="DD8" i="18"/>
  <c r="DE8" i="18"/>
  <c r="DF8" i="18"/>
  <c r="DG8" i="18"/>
  <c r="DI8" i="18"/>
  <c r="DJ8" i="18"/>
  <c r="DK8" i="18"/>
  <c r="DP8" i="18"/>
  <c r="DQ8" i="18"/>
  <c r="DR8" i="18"/>
  <c r="DS8" i="18"/>
  <c r="DT8" i="18"/>
  <c r="DU8" i="18"/>
  <c r="DV8" i="18"/>
  <c r="DW8" i="18"/>
  <c r="DY8" i="18"/>
  <c r="DZ8" i="18"/>
  <c r="EA8" i="18"/>
  <c r="ED8" i="18"/>
  <c r="EE8" i="18"/>
  <c r="EF8" i="18"/>
  <c r="EG8" i="18"/>
  <c r="EH8" i="18"/>
  <c r="EI8" i="18"/>
  <c r="EJ8" i="18"/>
  <c r="EK8" i="18"/>
  <c r="EM8" i="18"/>
  <c r="EN8" i="18"/>
  <c r="EO8" i="18"/>
  <c r="ER8" i="18"/>
  <c r="ES8" i="18"/>
  <c r="ET8" i="18"/>
  <c r="EU8" i="18"/>
  <c r="EV8" i="18"/>
  <c r="EW8" i="18"/>
  <c r="EX8" i="18"/>
  <c r="EY8" i="18"/>
  <c r="FA8" i="18"/>
  <c r="FB8" i="18"/>
  <c r="FC8" i="18"/>
  <c r="FF8" i="18"/>
  <c r="FG8" i="18"/>
  <c r="FH8" i="18"/>
  <c r="FI8" i="18"/>
  <c r="FJ8" i="18"/>
  <c r="FK8" i="18"/>
  <c r="FL8" i="18"/>
  <c r="FM8" i="18"/>
  <c r="FO8" i="18"/>
  <c r="FP8" i="18"/>
  <c r="FQ8" i="18"/>
  <c r="FV8" i="18"/>
  <c r="FW8" i="18"/>
  <c r="FX8" i="18"/>
  <c r="FY8" i="18"/>
  <c r="FZ8" i="18"/>
  <c r="GA8" i="18"/>
  <c r="GB8" i="18"/>
  <c r="GC8" i="18"/>
  <c r="GE8" i="18"/>
  <c r="GF8" i="18"/>
  <c r="GG8" i="18"/>
  <c r="GJ8" i="18"/>
  <c r="GK8" i="18"/>
  <c r="GL8" i="18"/>
  <c r="GM8" i="18"/>
  <c r="GN8" i="18"/>
  <c r="GO8" i="18"/>
  <c r="GP8" i="18"/>
  <c r="GQ8" i="18"/>
  <c r="GS8" i="18"/>
  <c r="GT8" i="18"/>
  <c r="GU8" i="18"/>
  <c r="GX8" i="18"/>
  <c r="GY8" i="18"/>
  <c r="GZ8" i="18"/>
  <c r="HA8" i="18"/>
  <c r="HB8" i="18"/>
  <c r="HC8" i="18"/>
  <c r="HD8" i="18"/>
  <c r="HE8" i="18"/>
  <c r="HG8" i="18"/>
  <c r="HH8" i="18"/>
  <c r="HI8" i="18"/>
  <c r="HL8" i="18"/>
  <c r="HM8" i="18"/>
  <c r="HN8" i="18"/>
  <c r="HO8" i="18"/>
  <c r="HP8" i="18"/>
  <c r="HQ8" i="18"/>
  <c r="HR8" i="18"/>
  <c r="HS8" i="18"/>
  <c r="HU8" i="18"/>
  <c r="HV8" i="18"/>
  <c r="HW8" i="18"/>
  <c r="D9" i="18"/>
  <c r="E9" i="18"/>
  <c r="G9" i="18"/>
  <c r="H9" i="18"/>
  <c r="I9" i="18"/>
  <c r="J9" i="18"/>
  <c r="K9" i="18"/>
  <c r="M9" i="18"/>
  <c r="N9" i="18"/>
  <c r="O9" i="18"/>
  <c r="R9" i="18"/>
  <c r="S9" i="18"/>
  <c r="T9" i="18"/>
  <c r="U9" i="18"/>
  <c r="V9" i="18"/>
  <c r="W9" i="18"/>
  <c r="X9" i="18"/>
  <c r="Y9" i="18"/>
  <c r="AA9" i="18"/>
  <c r="AB9" i="18"/>
  <c r="AC9" i="18"/>
  <c r="AF9" i="18"/>
  <c r="AG9" i="18"/>
  <c r="AH9" i="18"/>
  <c r="AI9" i="18"/>
  <c r="AJ9" i="18"/>
  <c r="AK9" i="18"/>
  <c r="AL9" i="18"/>
  <c r="AM9" i="18"/>
  <c r="AO9" i="18"/>
  <c r="AP9" i="18"/>
  <c r="AQ9" i="18"/>
  <c r="AT9" i="18"/>
  <c r="AU9" i="18"/>
  <c r="AV9" i="18"/>
  <c r="AW9" i="18"/>
  <c r="AX9" i="18"/>
  <c r="AY9" i="18"/>
  <c r="AZ9" i="18"/>
  <c r="BA9" i="18"/>
  <c r="BC9" i="18"/>
  <c r="BD9" i="18"/>
  <c r="BE9" i="18"/>
  <c r="BJ9" i="18"/>
  <c r="BK9" i="18"/>
  <c r="BL9" i="18"/>
  <c r="BM9" i="18"/>
  <c r="BN9" i="18"/>
  <c r="BO9" i="18"/>
  <c r="BP9" i="18"/>
  <c r="BQ9" i="18"/>
  <c r="BS9" i="18"/>
  <c r="BT9" i="18"/>
  <c r="BU9" i="18"/>
  <c r="BX9" i="18"/>
  <c r="BY9" i="18"/>
  <c r="BZ9" i="18"/>
  <c r="CA9" i="18"/>
  <c r="CB9" i="18"/>
  <c r="CC9" i="18"/>
  <c r="CD9" i="18"/>
  <c r="CE9" i="18"/>
  <c r="CG9" i="18"/>
  <c r="CH9" i="18"/>
  <c r="CI9" i="18"/>
  <c r="CL9" i="18"/>
  <c r="CM9" i="18"/>
  <c r="CN9" i="18"/>
  <c r="CO9" i="18"/>
  <c r="CP9" i="18"/>
  <c r="CQ9" i="18"/>
  <c r="CR9" i="18"/>
  <c r="CS9" i="18"/>
  <c r="CU9" i="18"/>
  <c r="CV9" i="18"/>
  <c r="CW9" i="18"/>
  <c r="CZ9" i="18"/>
  <c r="DA9" i="18"/>
  <c r="DB9" i="18"/>
  <c r="DC9" i="18"/>
  <c r="DD9" i="18"/>
  <c r="DE9" i="18"/>
  <c r="DF9" i="18"/>
  <c r="DG9" i="18"/>
  <c r="DI9" i="18"/>
  <c r="DJ9" i="18"/>
  <c r="DK9" i="18"/>
  <c r="DP9" i="18"/>
  <c r="DQ9" i="18"/>
  <c r="DR9" i="18"/>
  <c r="DS9" i="18"/>
  <c r="DT9" i="18"/>
  <c r="DU9" i="18"/>
  <c r="DV9" i="18"/>
  <c r="DW9" i="18"/>
  <c r="DY9" i="18"/>
  <c r="DZ9" i="18"/>
  <c r="EA9" i="18"/>
  <c r="ED9" i="18"/>
  <c r="EE9" i="18"/>
  <c r="EF9" i="18"/>
  <c r="EG9" i="18"/>
  <c r="EH9" i="18"/>
  <c r="EI9" i="18"/>
  <c r="EJ9" i="18"/>
  <c r="EK9" i="18"/>
  <c r="EM9" i="18"/>
  <c r="EN9" i="18"/>
  <c r="EO9" i="18"/>
  <c r="ER9" i="18"/>
  <c r="ES9" i="18"/>
  <c r="ET9" i="18"/>
  <c r="EU9" i="18"/>
  <c r="EV9" i="18"/>
  <c r="EW9" i="18"/>
  <c r="EX9" i="18"/>
  <c r="EY9" i="18"/>
  <c r="FA9" i="18"/>
  <c r="FB9" i="18"/>
  <c r="FC9" i="18"/>
  <c r="FF9" i="18"/>
  <c r="FG9" i="18"/>
  <c r="FH9" i="18"/>
  <c r="FI9" i="18"/>
  <c r="FJ9" i="18"/>
  <c r="FK9" i="18"/>
  <c r="FL9" i="18"/>
  <c r="FM9" i="18"/>
  <c r="FO9" i="18"/>
  <c r="FP9" i="18"/>
  <c r="FQ9" i="18"/>
  <c r="FV9" i="18"/>
  <c r="FW9" i="18"/>
  <c r="FX9" i="18"/>
  <c r="FY9" i="18"/>
  <c r="FZ9" i="18"/>
  <c r="GA9" i="18"/>
  <c r="GB9" i="18"/>
  <c r="GC9" i="18"/>
  <c r="GE9" i="18"/>
  <c r="GF9" i="18"/>
  <c r="GG9" i="18"/>
  <c r="GJ9" i="18"/>
  <c r="GK9" i="18"/>
  <c r="GL9" i="18"/>
  <c r="GM9" i="18"/>
  <c r="GN9" i="18"/>
  <c r="GO9" i="18"/>
  <c r="GP9" i="18"/>
  <c r="GQ9" i="18"/>
  <c r="GS9" i="18"/>
  <c r="GT9" i="18"/>
  <c r="GU9" i="18"/>
  <c r="GX9" i="18"/>
  <c r="GY9" i="18"/>
  <c r="GZ9" i="18"/>
  <c r="HA9" i="18"/>
  <c r="HB9" i="18"/>
  <c r="HC9" i="18"/>
  <c r="HD9" i="18"/>
  <c r="HE9" i="18"/>
  <c r="HG9" i="18"/>
  <c r="HH9" i="18"/>
  <c r="HI9" i="18"/>
  <c r="HL9" i="18"/>
  <c r="HM9" i="18"/>
  <c r="HN9" i="18"/>
  <c r="HO9" i="18"/>
  <c r="HP9" i="18"/>
  <c r="HQ9" i="18"/>
  <c r="HR9" i="18"/>
  <c r="HS9" i="18"/>
  <c r="HU9" i="18"/>
  <c r="HV9" i="18"/>
  <c r="HW9" i="18"/>
  <c r="D10" i="18"/>
  <c r="E10" i="18"/>
  <c r="G10" i="18"/>
  <c r="H10" i="18"/>
  <c r="I10" i="18"/>
  <c r="J10" i="18"/>
  <c r="K10" i="18"/>
  <c r="M10" i="18"/>
  <c r="N10" i="18"/>
  <c r="O10" i="18"/>
  <c r="R10" i="18"/>
  <c r="S10" i="18"/>
  <c r="T10" i="18"/>
  <c r="U10" i="18"/>
  <c r="V10" i="18"/>
  <c r="W10" i="18"/>
  <c r="X10" i="18"/>
  <c r="Y10" i="18"/>
  <c r="AA10" i="18"/>
  <c r="AB10" i="18"/>
  <c r="AC10" i="18"/>
  <c r="AF10" i="18"/>
  <c r="AG10" i="18"/>
  <c r="AH10" i="18"/>
  <c r="AI10" i="18"/>
  <c r="AJ10" i="18"/>
  <c r="AK10" i="18"/>
  <c r="AL10" i="18"/>
  <c r="AM10" i="18"/>
  <c r="AO10" i="18"/>
  <c r="AP10" i="18"/>
  <c r="AQ10" i="18"/>
  <c r="AT10" i="18"/>
  <c r="AU10" i="18"/>
  <c r="AV10" i="18"/>
  <c r="AW10" i="18"/>
  <c r="AX10" i="18"/>
  <c r="AY10" i="18"/>
  <c r="AZ10" i="18"/>
  <c r="BA10" i="18"/>
  <c r="BC10" i="18"/>
  <c r="BD10" i="18"/>
  <c r="BE10" i="18"/>
  <c r="BJ10" i="18"/>
  <c r="BK10" i="18"/>
  <c r="BL10" i="18"/>
  <c r="BM10" i="18"/>
  <c r="BN10" i="18"/>
  <c r="BO10" i="18"/>
  <c r="BP10" i="18"/>
  <c r="BQ10" i="18"/>
  <c r="BS10" i="18"/>
  <c r="BT10" i="18"/>
  <c r="BU10" i="18"/>
  <c r="BX10" i="18"/>
  <c r="BY10" i="18"/>
  <c r="BZ10" i="18"/>
  <c r="CA10" i="18"/>
  <c r="CB10" i="18"/>
  <c r="CC10" i="18"/>
  <c r="CD10" i="18"/>
  <c r="CE10" i="18"/>
  <c r="CG10" i="18"/>
  <c r="CH10" i="18"/>
  <c r="CI10" i="18"/>
  <c r="CL10" i="18"/>
  <c r="CM10" i="18"/>
  <c r="CN10" i="18"/>
  <c r="CO10" i="18"/>
  <c r="CP10" i="18"/>
  <c r="CQ10" i="18"/>
  <c r="CR10" i="18"/>
  <c r="CS10" i="18"/>
  <c r="CU10" i="18"/>
  <c r="CV10" i="18"/>
  <c r="CW10" i="18"/>
  <c r="CZ10" i="18"/>
  <c r="DA10" i="18"/>
  <c r="DB10" i="18"/>
  <c r="DC10" i="18"/>
  <c r="DD10" i="18"/>
  <c r="DE10" i="18"/>
  <c r="DF10" i="18"/>
  <c r="DG10" i="18"/>
  <c r="DI10" i="18"/>
  <c r="DJ10" i="18"/>
  <c r="DK10" i="18"/>
  <c r="DP10" i="18"/>
  <c r="DQ10" i="18"/>
  <c r="DR10" i="18"/>
  <c r="DS10" i="18"/>
  <c r="DT10" i="18"/>
  <c r="DU10" i="18"/>
  <c r="DV10" i="18"/>
  <c r="DW10" i="18"/>
  <c r="DY10" i="18"/>
  <c r="DZ10" i="18"/>
  <c r="EA10" i="18"/>
  <c r="ED10" i="18"/>
  <c r="EE10" i="18"/>
  <c r="EF10" i="18"/>
  <c r="EG10" i="18"/>
  <c r="EH10" i="18"/>
  <c r="EI10" i="18"/>
  <c r="EJ10" i="18"/>
  <c r="EK10" i="18"/>
  <c r="EM10" i="18"/>
  <c r="EN10" i="18"/>
  <c r="EO10" i="18"/>
  <c r="ER10" i="18"/>
  <c r="ES10" i="18"/>
  <c r="ET10" i="18"/>
  <c r="EU10" i="18"/>
  <c r="EV10" i="18"/>
  <c r="EW10" i="18"/>
  <c r="EX10" i="18"/>
  <c r="EY10" i="18"/>
  <c r="FA10" i="18"/>
  <c r="FB10" i="18"/>
  <c r="FC10" i="18"/>
  <c r="FF10" i="18"/>
  <c r="FG10" i="18"/>
  <c r="FH10" i="18"/>
  <c r="FI10" i="18"/>
  <c r="FJ10" i="18"/>
  <c r="FK10" i="18"/>
  <c r="FL10" i="18"/>
  <c r="FM10" i="18"/>
  <c r="FO10" i="18"/>
  <c r="FP10" i="18"/>
  <c r="FQ10" i="18"/>
  <c r="FV10" i="18"/>
  <c r="FW10" i="18"/>
  <c r="FX10" i="18"/>
  <c r="FY10" i="18"/>
  <c r="FZ10" i="18"/>
  <c r="GA10" i="18"/>
  <c r="GB10" i="18"/>
  <c r="GC10" i="18"/>
  <c r="GE10" i="18"/>
  <c r="GF10" i="18"/>
  <c r="GG10" i="18"/>
  <c r="GJ10" i="18"/>
  <c r="GK10" i="18"/>
  <c r="GL10" i="18"/>
  <c r="GM10" i="18"/>
  <c r="GN10" i="18"/>
  <c r="GO10" i="18"/>
  <c r="GP10" i="18"/>
  <c r="GQ10" i="18"/>
  <c r="GS10" i="18"/>
  <c r="GT10" i="18"/>
  <c r="GU10" i="18"/>
  <c r="GX10" i="18"/>
  <c r="GY10" i="18"/>
  <c r="GZ10" i="18"/>
  <c r="HA10" i="18"/>
  <c r="HB10" i="18"/>
  <c r="HC10" i="18"/>
  <c r="HD10" i="18"/>
  <c r="HE10" i="18"/>
  <c r="HG10" i="18"/>
  <c r="HH10" i="18"/>
  <c r="HI10" i="18"/>
  <c r="HL10" i="18"/>
  <c r="HM10" i="18"/>
  <c r="HN10" i="18"/>
  <c r="HO10" i="18"/>
  <c r="HP10" i="18"/>
  <c r="HQ10" i="18"/>
  <c r="HR10" i="18"/>
  <c r="HS10" i="18"/>
  <c r="HU10" i="18"/>
  <c r="HV10" i="18"/>
  <c r="HW10" i="18"/>
  <c r="D11" i="18"/>
  <c r="E11" i="18"/>
  <c r="G11" i="18"/>
  <c r="H11" i="18"/>
  <c r="I11" i="18"/>
  <c r="J11" i="18"/>
  <c r="K11" i="18"/>
  <c r="M11" i="18"/>
  <c r="N11" i="18"/>
  <c r="O11" i="18"/>
  <c r="R11" i="18"/>
  <c r="S11" i="18"/>
  <c r="T11" i="18"/>
  <c r="U11" i="18"/>
  <c r="V11" i="18"/>
  <c r="W11" i="18"/>
  <c r="X11" i="18"/>
  <c r="Y11" i="18"/>
  <c r="AA11" i="18"/>
  <c r="AB11" i="18"/>
  <c r="AC11" i="18"/>
  <c r="AF11" i="18"/>
  <c r="AG11" i="18"/>
  <c r="AH11" i="18"/>
  <c r="AI11" i="18"/>
  <c r="AJ11" i="18"/>
  <c r="AK11" i="18"/>
  <c r="AL11" i="18"/>
  <c r="AM11" i="18"/>
  <c r="AO11" i="18"/>
  <c r="AP11" i="18"/>
  <c r="AQ11" i="18"/>
  <c r="AT11" i="18"/>
  <c r="AU11" i="18"/>
  <c r="AV11" i="18"/>
  <c r="AW11" i="18"/>
  <c r="AX11" i="18"/>
  <c r="AY11" i="18"/>
  <c r="AZ11" i="18"/>
  <c r="BA11" i="18"/>
  <c r="BC11" i="18"/>
  <c r="BD11" i="18"/>
  <c r="BE11" i="18"/>
  <c r="BJ11" i="18"/>
  <c r="BK11" i="18"/>
  <c r="BL11" i="18"/>
  <c r="BM11" i="18"/>
  <c r="BN11" i="18"/>
  <c r="BO11" i="18"/>
  <c r="BP11" i="18"/>
  <c r="BQ11" i="18"/>
  <c r="BS11" i="18"/>
  <c r="BT11" i="18"/>
  <c r="BU11" i="18"/>
  <c r="BX11" i="18"/>
  <c r="BY11" i="18"/>
  <c r="BZ11" i="18"/>
  <c r="CA11" i="18"/>
  <c r="CB11" i="18"/>
  <c r="CC11" i="18"/>
  <c r="CD11" i="18"/>
  <c r="CE11" i="18"/>
  <c r="CG11" i="18"/>
  <c r="CH11" i="18"/>
  <c r="CI11" i="18"/>
  <c r="CL11" i="18"/>
  <c r="CM11" i="18"/>
  <c r="CN11" i="18"/>
  <c r="CO11" i="18"/>
  <c r="CP11" i="18"/>
  <c r="CQ11" i="18"/>
  <c r="CR11" i="18"/>
  <c r="CS11" i="18"/>
  <c r="CU11" i="18"/>
  <c r="CV11" i="18"/>
  <c r="CW11" i="18"/>
  <c r="CZ11" i="18"/>
  <c r="DA11" i="18"/>
  <c r="DB11" i="18"/>
  <c r="DC11" i="18"/>
  <c r="DD11" i="18"/>
  <c r="DE11" i="18"/>
  <c r="DF11" i="18"/>
  <c r="DG11" i="18"/>
  <c r="DI11" i="18"/>
  <c r="DJ11" i="18"/>
  <c r="DK11" i="18"/>
  <c r="DP11" i="18"/>
  <c r="DQ11" i="18"/>
  <c r="DR11" i="18"/>
  <c r="DS11" i="18"/>
  <c r="DT11" i="18"/>
  <c r="DU11" i="18"/>
  <c r="DV11" i="18"/>
  <c r="DW11" i="18"/>
  <c r="DY11" i="18"/>
  <c r="DZ11" i="18"/>
  <c r="EA11" i="18"/>
  <c r="ED11" i="18"/>
  <c r="EE11" i="18"/>
  <c r="EF11" i="18"/>
  <c r="EG11" i="18"/>
  <c r="EH11" i="18"/>
  <c r="EI11" i="18"/>
  <c r="EJ11" i="18"/>
  <c r="EK11" i="18"/>
  <c r="EM11" i="18"/>
  <c r="EN11" i="18"/>
  <c r="EO11" i="18"/>
  <c r="ER11" i="18"/>
  <c r="ES11" i="18"/>
  <c r="ET11" i="18"/>
  <c r="EU11" i="18"/>
  <c r="EV11" i="18"/>
  <c r="EW11" i="18"/>
  <c r="EX11" i="18"/>
  <c r="EY11" i="18"/>
  <c r="FA11" i="18"/>
  <c r="FB11" i="18"/>
  <c r="FC11" i="18"/>
  <c r="FF11" i="18"/>
  <c r="FG11" i="18"/>
  <c r="FH11" i="18"/>
  <c r="FI11" i="18"/>
  <c r="FJ11" i="18"/>
  <c r="FK11" i="18"/>
  <c r="FL11" i="18"/>
  <c r="FM11" i="18"/>
  <c r="FO11" i="18"/>
  <c r="FP11" i="18"/>
  <c r="FQ11" i="18"/>
  <c r="FV11" i="18"/>
  <c r="FW11" i="18"/>
  <c r="FX11" i="18"/>
  <c r="FY11" i="18"/>
  <c r="FZ11" i="18"/>
  <c r="GA11" i="18"/>
  <c r="GB11" i="18"/>
  <c r="GC11" i="18"/>
  <c r="GE11" i="18"/>
  <c r="GF11" i="18"/>
  <c r="GG11" i="18"/>
  <c r="GJ11" i="18"/>
  <c r="GK11" i="18"/>
  <c r="GL11" i="18"/>
  <c r="GM11" i="18"/>
  <c r="GN11" i="18"/>
  <c r="GO11" i="18"/>
  <c r="GP11" i="18"/>
  <c r="GQ11" i="18"/>
  <c r="GS11" i="18"/>
  <c r="GT11" i="18"/>
  <c r="GU11" i="18"/>
  <c r="GX11" i="18"/>
  <c r="GY11" i="18"/>
  <c r="GZ11" i="18"/>
  <c r="HA11" i="18"/>
  <c r="HB11" i="18"/>
  <c r="HC11" i="18"/>
  <c r="HD11" i="18"/>
  <c r="HE11" i="18"/>
  <c r="HG11" i="18"/>
  <c r="HH11" i="18"/>
  <c r="HI11" i="18"/>
  <c r="HL11" i="18"/>
  <c r="HM11" i="18"/>
  <c r="HN11" i="18"/>
  <c r="HO11" i="18"/>
  <c r="HP11" i="18"/>
  <c r="HQ11" i="18"/>
  <c r="HR11" i="18"/>
  <c r="HS11" i="18"/>
  <c r="HU11" i="18"/>
  <c r="HV11" i="18"/>
  <c r="HW11" i="18"/>
  <c r="D12" i="18"/>
  <c r="E12" i="18"/>
  <c r="G12" i="18"/>
  <c r="H12" i="18"/>
  <c r="I12" i="18"/>
  <c r="J12" i="18"/>
  <c r="K12" i="18"/>
  <c r="M12" i="18"/>
  <c r="N12" i="18"/>
  <c r="O12" i="18"/>
  <c r="R12" i="18"/>
  <c r="S12" i="18"/>
  <c r="T12" i="18"/>
  <c r="U12" i="18"/>
  <c r="V12" i="18"/>
  <c r="W12" i="18"/>
  <c r="X12" i="18"/>
  <c r="Y12" i="18"/>
  <c r="AA12" i="18"/>
  <c r="AB12" i="18"/>
  <c r="AC12" i="18"/>
  <c r="AF12" i="18"/>
  <c r="AG12" i="18"/>
  <c r="AH12" i="18"/>
  <c r="AI12" i="18"/>
  <c r="AJ12" i="18"/>
  <c r="AK12" i="18"/>
  <c r="AL12" i="18"/>
  <c r="AM12" i="18"/>
  <c r="AO12" i="18"/>
  <c r="AP12" i="18"/>
  <c r="AQ12" i="18"/>
  <c r="AT12" i="18"/>
  <c r="AU12" i="18"/>
  <c r="AV12" i="18"/>
  <c r="AW12" i="18"/>
  <c r="AX12" i="18"/>
  <c r="AY12" i="18"/>
  <c r="AZ12" i="18"/>
  <c r="BA12" i="18"/>
  <c r="BC12" i="18"/>
  <c r="BD12" i="18"/>
  <c r="BE12" i="18"/>
  <c r="BJ12" i="18"/>
  <c r="BK12" i="18"/>
  <c r="BL12" i="18"/>
  <c r="BM12" i="18"/>
  <c r="BN12" i="18"/>
  <c r="BO12" i="18"/>
  <c r="BP12" i="18"/>
  <c r="BQ12" i="18"/>
  <c r="BS12" i="18"/>
  <c r="BT12" i="18"/>
  <c r="BU12" i="18"/>
  <c r="BX12" i="18"/>
  <c r="BY12" i="18"/>
  <c r="BZ12" i="18"/>
  <c r="CA12" i="18"/>
  <c r="CB12" i="18"/>
  <c r="CC12" i="18"/>
  <c r="CD12" i="18"/>
  <c r="CE12" i="18"/>
  <c r="CG12" i="18"/>
  <c r="CH12" i="18"/>
  <c r="CI12" i="18"/>
  <c r="CL12" i="18"/>
  <c r="CM12" i="18"/>
  <c r="CN12" i="18"/>
  <c r="CO12" i="18"/>
  <c r="CP12" i="18"/>
  <c r="CQ12" i="18"/>
  <c r="CR12" i="18"/>
  <c r="CS12" i="18"/>
  <c r="CU12" i="18"/>
  <c r="CV12" i="18"/>
  <c r="CW12" i="18"/>
  <c r="CZ12" i="18"/>
  <c r="DA12" i="18"/>
  <c r="DB12" i="18"/>
  <c r="DC12" i="18"/>
  <c r="DD12" i="18"/>
  <c r="DE12" i="18"/>
  <c r="DF12" i="18"/>
  <c r="DG12" i="18"/>
  <c r="DI12" i="18"/>
  <c r="DJ12" i="18"/>
  <c r="DK12" i="18"/>
  <c r="DP12" i="18"/>
  <c r="DQ12" i="18"/>
  <c r="DR12" i="18"/>
  <c r="DS12" i="18"/>
  <c r="DT12" i="18"/>
  <c r="DU12" i="18"/>
  <c r="DV12" i="18"/>
  <c r="DW12" i="18"/>
  <c r="DY12" i="18"/>
  <c r="DZ12" i="18"/>
  <c r="EA12" i="18"/>
  <c r="ED12" i="18"/>
  <c r="EE12" i="18"/>
  <c r="EF12" i="18"/>
  <c r="EG12" i="18"/>
  <c r="EH12" i="18"/>
  <c r="EI12" i="18"/>
  <c r="EJ12" i="18"/>
  <c r="EK12" i="18"/>
  <c r="EM12" i="18"/>
  <c r="EN12" i="18"/>
  <c r="EO12" i="18"/>
  <c r="ER12" i="18"/>
  <c r="ES12" i="18"/>
  <c r="ET12" i="18"/>
  <c r="EU12" i="18"/>
  <c r="EV12" i="18"/>
  <c r="EW12" i="18"/>
  <c r="EX12" i="18"/>
  <c r="EY12" i="18"/>
  <c r="FA12" i="18"/>
  <c r="FB12" i="18"/>
  <c r="FC12" i="18"/>
  <c r="FF12" i="18"/>
  <c r="FG12" i="18"/>
  <c r="FH12" i="18"/>
  <c r="FI12" i="18"/>
  <c r="FJ12" i="18"/>
  <c r="FK12" i="18"/>
  <c r="FL12" i="18"/>
  <c r="FM12" i="18"/>
  <c r="FO12" i="18"/>
  <c r="FP12" i="18"/>
  <c r="FQ12" i="18"/>
  <c r="FV12" i="18"/>
  <c r="FW12" i="18"/>
  <c r="FX12" i="18"/>
  <c r="FY12" i="18"/>
  <c r="FZ12" i="18"/>
  <c r="GA12" i="18"/>
  <c r="GB12" i="18"/>
  <c r="GC12" i="18"/>
  <c r="GE12" i="18"/>
  <c r="GF12" i="18"/>
  <c r="GG12" i="18"/>
  <c r="GJ12" i="18"/>
  <c r="GK12" i="18"/>
  <c r="GL12" i="18"/>
  <c r="GM12" i="18"/>
  <c r="GN12" i="18"/>
  <c r="GO12" i="18"/>
  <c r="GP12" i="18"/>
  <c r="GQ12" i="18"/>
  <c r="GS12" i="18"/>
  <c r="GT12" i="18"/>
  <c r="GU12" i="18"/>
  <c r="GX12" i="18"/>
  <c r="GY12" i="18"/>
  <c r="GZ12" i="18"/>
  <c r="HA12" i="18"/>
  <c r="HB12" i="18"/>
  <c r="HC12" i="18"/>
  <c r="HD12" i="18"/>
  <c r="HE12" i="18"/>
  <c r="HG12" i="18"/>
  <c r="HH12" i="18"/>
  <c r="HI12" i="18"/>
  <c r="HL12" i="18"/>
  <c r="HM12" i="18"/>
  <c r="HN12" i="18"/>
  <c r="HO12" i="18"/>
  <c r="HP12" i="18"/>
  <c r="HQ12" i="18"/>
  <c r="HR12" i="18"/>
  <c r="HS12" i="18"/>
  <c r="HU12" i="18"/>
  <c r="HV12" i="18"/>
  <c r="HW12" i="18"/>
  <c r="D13" i="18"/>
  <c r="E13" i="18"/>
  <c r="G13" i="18"/>
  <c r="H13" i="18"/>
  <c r="I13" i="18"/>
  <c r="J13" i="18"/>
  <c r="K13" i="18"/>
  <c r="M13" i="18"/>
  <c r="N13" i="18"/>
  <c r="O13" i="18"/>
  <c r="R13" i="18"/>
  <c r="S13" i="18"/>
  <c r="T13" i="18"/>
  <c r="U13" i="18"/>
  <c r="V13" i="18"/>
  <c r="W13" i="18"/>
  <c r="X13" i="18"/>
  <c r="Y13" i="18"/>
  <c r="AA13" i="18"/>
  <c r="AB13" i="18"/>
  <c r="AC13" i="18"/>
  <c r="AF13" i="18"/>
  <c r="AG13" i="18"/>
  <c r="AH13" i="18"/>
  <c r="AI13" i="18"/>
  <c r="AJ13" i="18"/>
  <c r="AK13" i="18"/>
  <c r="AL13" i="18"/>
  <c r="AM13" i="18"/>
  <c r="AO13" i="18"/>
  <c r="AP13" i="18"/>
  <c r="AQ13" i="18"/>
  <c r="AT13" i="18"/>
  <c r="AU13" i="18"/>
  <c r="AV13" i="18"/>
  <c r="AW13" i="18"/>
  <c r="AX13" i="18"/>
  <c r="AY13" i="18"/>
  <c r="AZ13" i="18"/>
  <c r="BA13" i="18"/>
  <c r="BC13" i="18"/>
  <c r="BD13" i="18"/>
  <c r="BE13" i="18"/>
  <c r="BJ13" i="18"/>
  <c r="BK13" i="18"/>
  <c r="BL13" i="18"/>
  <c r="BM13" i="18"/>
  <c r="BN13" i="18"/>
  <c r="BO13" i="18"/>
  <c r="BP13" i="18"/>
  <c r="BQ13" i="18"/>
  <c r="BS13" i="18"/>
  <c r="BT13" i="18"/>
  <c r="BU13" i="18"/>
  <c r="BX13" i="18"/>
  <c r="BY13" i="18"/>
  <c r="BZ13" i="18"/>
  <c r="CA13" i="18"/>
  <c r="CB13" i="18"/>
  <c r="CC13" i="18"/>
  <c r="CD13" i="18"/>
  <c r="CE13" i="18"/>
  <c r="CG13" i="18"/>
  <c r="CH13" i="18"/>
  <c r="CI13" i="18"/>
  <c r="CL13" i="18"/>
  <c r="CM13" i="18"/>
  <c r="CN13" i="18"/>
  <c r="CO13" i="18"/>
  <c r="CP13" i="18"/>
  <c r="CQ13" i="18"/>
  <c r="CR13" i="18"/>
  <c r="CS13" i="18"/>
  <c r="CU13" i="18"/>
  <c r="CV13" i="18"/>
  <c r="CW13" i="18"/>
  <c r="CZ13" i="18"/>
  <c r="DA13" i="18"/>
  <c r="DB13" i="18"/>
  <c r="DC13" i="18"/>
  <c r="DD13" i="18"/>
  <c r="DE13" i="18"/>
  <c r="DF13" i="18"/>
  <c r="DG13" i="18"/>
  <c r="DI13" i="18"/>
  <c r="DJ13" i="18"/>
  <c r="DK13" i="18"/>
  <c r="DP13" i="18"/>
  <c r="DQ13" i="18"/>
  <c r="DR13" i="18"/>
  <c r="DS13" i="18"/>
  <c r="DT13" i="18"/>
  <c r="DU13" i="18"/>
  <c r="DV13" i="18"/>
  <c r="DW13" i="18"/>
  <c r="DY13" i="18"/>
  <c r="DZ13" i="18"/>
  <c r="EA13" i="18"/>
  <c r="ED13" i="18"/>
  <c r="EE13" i="18"/>
  <c r="EF13" i="18"/>
  <c r="EG13" i="18"/>
  <c r="EH13" i="18"/>
  <c r="EI13" i="18"/>
  <c r="EJ13" i="18"/>
  <c r="EK13" i="18"/>
  <c r="EM13" i="18"/>
  <c r="EN13" i="18"/>
  <c r="EO13" i="18"/>
  <c r="ER13" i="18"/>
  <c r="ES13" i="18"/>
  <c r="ET13" i="18"/>
  <c r="EU13" i="18"/>
  <c r="EV13" i="18"/>
  <c r="EW13" i="18"/>
  <c r="EX13" i="18"/>
  <c r="EY13" i="18"/>
  <c r="FA13" i="18"/>
  <c r="FB13" i="18"/>
  <c r="FC13" i="18"/>
  <c r="FF13" i="18"/>
  <c r="FG13" i="18"/>
  <c r="FH13" i="18"/>
  <c r="FI13" i="18"/>
  <c r="FJ13" i="18"/>
  <c r="FK13" i="18"/>
  <c r="FL13" i="18"/>
  <c r="FM13" i="18"/>
  <c r="FO13" i="18"/>
  <c r="FP13" i="18"/>
  <c r="FQ13" i="18"/>
  <c r="FV13" i="18"/>
  <c r="FW13" i="18"/>
  <c r="FX13" i="18"/>
  <c r="FY13" i="18"/>
  <c r="FZ13" i="18"/>
  <c r="GA13" i="18"/>
  <c r="GB13" i="18"/>
  <c r="GC13" i="18"/>
  <c r="GE13" i="18"/>
  <c r="GF13" i="18"/>
  <c r="GG13" i="18"/>
  <c r="GJ13" i="18"/>
  <c r="GK13" i="18"/>
  <c r="GL13" i="18"/>
  <c r="GM13" i="18"/>
  <c r="GN13" i="18"/>
  <c r="GO13" i="18"/>
  <c r="GP13" i="18"/>
  <c r="GQ13" i="18"/>
  <c r="GS13" i="18"/>
  <c r="GT13" i="18"/>
  <c r="GU13" i="18"/>
  <c r="GX13" i="18"/>
  <c r="GY13" i="18"/>
  <c r="GZ13" i="18"/>
  <c r="HA13" i="18"/>
  <c r="HB13" i="18"/>
  <c r="HC13" i="18"/>
  <c r="HD13" i="18"/>
  <c r="HE13" i="18"/>
  <c r="HG13" i="18"/>
  <c r="HH13" i="18"/>
  <c r="HI13" i="18"/>
  <c r="HL13" i="18"/>
  <c r="HM13" i="18"/>
  <c r="HN13" i="18"/>
  <c r="HO13" i="18"/>
  <c r="HP13" i="18"/>
  <c r="HQ13" i="18"/>
  <c r="HR13" i="18"/>
  <c r="HS13" i="18"/>
  <c r="HU13" i="18"/>
  <c r="HV13" i="18"/>
  <c r="HW13" i="18"/>
  <c r="D14" i="18"/>
  <c r="E14" i="18"/>
  <c r="G14" i="18"/>
  <c r="H14" i="18"/>
  <c r="I14" i="18"/>
  <c r="J14" i="18"/>
  <c r="K14" i="18"/>
  <c r="M14" i="18"/>
  <c r="N14" i="18"/>
  <c r="O14" i="18"/>
  <c r="R14" i="18"/>
  <c r="S14" i="18"/>
  <c r="T14" i="18"/>
  <c r="U14" i="18"/>
  <c r="V14" i="18"/>
  <c r="W14" i="18"/>
  <c r="X14" i="18"/>
  <c r="Y14" i="18"/>
  <c r="AA14" i="18"/>
  <c r="AB14" i="18"/>
  <c r="AC14" i="18"/>
  <c r="AF14" i="18"/>
  <c r="AG14" i="18"/>
  <c r="AH14" i="18"/>
  <c r="AI14" i="18"/>
  <c r="AJ14" i="18"/>
  <c r="AK14" i="18"/>
  <c r="AL14" i="18"/>
  <c r="AM14" i="18"/>
  <c r="AO14" i="18"/>
  <c r="AP14" i="18"/>
  <c r="AQ14" i="18"/>
  <c r="AT14" i="18"/>
  <c r="AU14" i="18"/>
  <c r="AV14" i="18"/>
  <c r="AW14" i="18"/>
  <c r="AX14" i="18"/>
  <c r="AY14" i="18"/>
  <c r="AZ14" i="18"/>
  <c r="BA14" i="18"/>
  <c r="BC14" i="18"/>
  <c r="BD14" i="18"/>
  <c r="BE14" i="18"/>
  <c r="BJ14" i="18"/>
  <c r="BK14" i="18"/>
  <c r="BL14" i="18"/>
  <c r="BM14" i="18"/>
  <c r="BN14" i="18"/>
  <c r="BO14" i="18"/>
  <c r="BP14" i="18"/>
  <c r="BQ14" i="18"/>
  <c r="BS14" i="18"/>
  <c r="BT14" i="18"/>
  <c r="BU14" i="18"/>
  <c r="BX14" i="18"/>
  <c r="BY14" i="18"/>
  <c r="BZ14" i="18"/>
  <c r="CA14" i="18"/>
  <c r="CB14" i="18"/>
  <c r="CC14" i="18"/>
  <c r="CD14" i="18"/>
  <c r="CE14" i="18"/>
  <c r="CG14" i="18"/>
  <c r="CH14" i="18"/>
  <c r="CI14" i="18"/>
  <c r="CL14" i="18"/>
  <c r="CM14" i="18"/>
  <c r="CN14" i="18"/>
  <c r="CO14" i="18"/>
  <c r="CP14" i="18"/>
  <c r="CQ14" i="18"/>
  <c r="CR14" i="18"/>
  <c r="CS14" i="18"/>
  <c r="CU14" i="18"/>
  <c r="CV14" i="18"/>
  <c r="CW14" i="18"/>
  <c r="CZ14" i="18"/>
  <c r="DA14" i="18"/>
  <c r="DB14" i="18"/>
  <c r="DC14" i="18"/>
  <c r="DD14" i="18"/>
  <c r="DE14" i="18"/>
  <c r="DF14" i="18"/>
  <c r="DG14" i="18"/>
  <c r="DI14" i="18"/>
  <c r="DJ14" i="18"/>
  <c r="DK14" i="18"/>
  <c r="DP14" i="18"/>
  <c r="DQ14" i="18"/>
  <c r="DR14" i="18"/>
  <c r="DS14" i="18"/>
  <c r="DT14" i="18"/>
  <c r="DU14" i="18"/>
  <c r="DV14" i="18"/>
  <c r="DW14" i="18"/>
  <c r="DY14" i="18"/>
  <c r="DZ14" i="18"/>
  <c r="EA14" i="18"/>
  <c r="ED14" i="18"/>
  <c r="EE14" i="18"/>
  <c r="EF14" i="18"/>
  <c r="EG14" i="18"/>
  <c r="EH14" i="18"/>
  <c r="EI14" i="18"/>
  <c r="EJ14" i="18"/>
  <c r="EK14" i="18"/>
  <c r="EM14" i="18"/>
  <c r="EN14" i="18"/>
  <c r="EO14" i="18"/>
  <c r="ER14" i="18"/>
  <c r="ES14" i="18"/>
  <c r="ET14" i="18"/>
  <c r="EU14" i="18"/>
  <c r="EV14" i="18"/>
  <c r="EW14" i="18"/>
  <c r="EX14" i="18"/>
  <c r="EY14" i="18"/>
  <c r="FA14" i="18"/>
  <c r="FB14" i="18"/>
  <c r="FC14" i="18"/>
  <c r="FF14" i="18"/>
  <c r="FG14" i="18"/>
  <c r="FH14" i="18"/>
  <c r="FI14" i="18"/>
  <c r="FJ14" i="18"/>
  <c r="FK14" i="18"/>
  <c r="FL14" i="18"/>
  <c r="FM14" i="18"/>
  <c r="FO14" i="18"/>
  <c r="FP14" i="18"/>
  <c r="FQ14" i="18"/>
  <c r="FV14" i="18"/>
  <c r="FW14" i="18"/>
  <c r="FX14" i="18"/>
  <c r="FY14" i="18"/>
  <c r="FZ14" i="18"/>
  <c r="GA14" i="18"/>
  <c r="GB14" i="18"/>
  <c r="GC14" i="18"/>
  <c r="GE14" i="18"/>
  <c r="GF14" i="18"/>
  <c r="GG14" i="18"/>
  <c r="GJ14" i="18"/>
  <c r="GK14" i="18"/>
  <c r="GL14" i="18"/>
  <c r="GM14" i="18"/>
  <c r="GN14" i="18"/>
  <c r="GO14" i="18"/>
  <c r="GP14" i="18"/>
  <c r="GQ14" i="18"/>
  <c r="GS14" i="18"/>
  <c r="GT14" i="18"/>
  <c r="GU14" i="18"/>
  <c r="GX14" i="18"/>
  <c r="GY14" i="18"/>
  <c r="GZ14" i="18"/>
  <c r="HA14" i="18"/>
  <c r="HB14" i="18"/>
  <c r="HC14" i="18"/>
  <c r="HD14" i="18"/>
  <c r="HE14" i="18"/>
  <c r="HG14" i="18"/>
  <c r="HH14" i="18"/>
  <c r="HI14" i="18"/>
  <c r="HL14" i="18"/>
  <c r="HM14" i="18"/>
  <c r="HN14" i="18"/>
  <c r="HO14" i="18"/>
  <c r="HP14" i="18"/>
  <c r="HQ14" i="18"/>
  <c r="HR14" i="18"/>
  <c r="HS14" i="18"/>
  <c r="HU14" i="18"/>
  <c r="HV14" i="18"/>
  <c r="HW14" i="18"/>
  <c r="D15" i="18"/>
  <c r="E15" i="18"/>
  <c r="G15" i="18"/>
  <c r="H15" i="18"/>
  <c r="I15" i="18"/>
  <c r="J15" i="18"/>
  <c r="K15" i="18"/>
  <c r="M15" i="18"/>
  <c r="N15" i="18"/>
  <c r="O15" i="18"/>
  <c r="R15" i="18"/>
  <c r="S15" i="18"/>
  <c r="T15" i="18"/>
  <c r="U15" i="18"/>
  <c r="V15" i="18"/>
  <c r="W15" i="18"/>
  <c r="X15" i="18"/>
  <c r="Y15" i="18"/>
  <c r="AA15" i="18"/>
  <c r="AB15" i="18"/>
  <c r="AC15" i="18"/>
  <c r="AF15" i="18"/>
  <c r="AG15" i="18"/>
  <c r="AH15" i="18"/>
  <c r="AI15" i="18"/>
  <c r="AJ15" i="18"/>
  <c r="AK15" i="18"/>
  <c r="AL15" i="18"/>
  <c r="AM15" i="18"/>
  <c r="AO15" i="18"/>
  <c r="AP15" i="18"/>
  <c r="AQ15" i="18"/>
  <c r="AT15" i="18"/>
  <c r="AU15" i="18"/>
  <c r="AV15" i="18"/>
  <c r="AW15" i="18"/>
  <c r="AX15" i="18"/>
  <c r="AY15" i="18"/>
  <c r="AZ15" i="18"/>
  <c r="BA15" i="18"/>
  <c r="BC15" i="18"/>
  <c r="BD15" i="18"/>
  <c r="BE15" i="18"/>
  <c r="BJ15" i="18"/>
  <c r="BK15" i="18"/>
  <c r="BL15" i="18"/>
  <c r="BM15" i="18"/>
  <c r="BN15" i="18"/>
  <c r="BO15" i="18"/>
  <c r="BP15" i="18"/>
  <c r="BQ15" i="18"/>
  <c r="BS15" i="18"/>
  <c r="BT15" i="18"/>
  <c r="BU15" i="18"/>
  <c r="BX15" i="18"/>
  <c r="BY15" i="18"/>
  <c r="BZ15" i="18"/>
  <c r="CA15" i="18"/>
  <c r="CB15" i="18"/>
  <c r="CC15" i="18"/>
  <c r="CD15" i="18"/>
  <c r="CE15" i="18"/>
  <c r="CG15" i="18"/>
  <c r="CH15" i="18"/>
  <c r="CI15" i="18"/>
  <c r="CL15" i="18"/>
  <c r="CM15" i="18"/>
  <c r="CN15" i="18"/>
  <c r="CO15" i="18"/>
  <c r="CP15" i="18"/>
  <c r="CQ15" i="18"/>
  <c r="CR15" i="18"/>
  <c r="CS15" i="18"/>
  <c r="CU15" i="18"/>
  <c r="CV15" i="18"/>
  <c r="CW15" i="18"/>
  <c r="CZ15" i="18"/>
  <c r="DA15" i="18"/>
  <c r="DB15" i="18"/>
  <c r="DC15" i="18"/>
  <c r="DD15" i="18"/>
  <c r="DE15" i="18"/>
  <c r="DF15" i="18"/>
  <c r="DG15" i="18"/>
  <c r="DI15" i="18"/>
  <c r="DJ15" i="18"/>
  <c r="DK15" i="18"/>
  <c r="DP15" i="18"/>
  <c r="DQ15" i="18"/>
  <c r="DR15" i="18"/>
  <c r="DS15" i="18"/>
  <c r="DT15" i="18"/>
  <c r="DU15" i="18"/>
  <c r="DV15" i="18"/>
  <c r="DW15" i="18"/>
  <c r="DY15" i="18"/>
  <c r="DZ15" i="18"/>
  <c r="EA15" i="18"/>
  <c r="ED15" i="18"/>
  <c r="EE15" i="18"/>
  <c r="EF15" i="18"/>
  <c r="EG15" i="18"/>
  <c r="EH15" i="18"/>
  <c r="EI15" i="18"/>
  <c r="EJ15" i="18"/>
  <c r="EK15" i="18"/>
  <c r="EM15" i="18"/>
  <c r="EN15" i="18"/>
  <c r="EO15" i="18"/>
  <c r="ER15" i="18"/>
  <c r="ES15" i="18"/>
  <c r="ET15" i="18"/>
  <c r="EU15" i="18"/>
  <c r="EV15" i="18"/>
  <c r="EW15" i="18"/>
  <c r="EX15" i="18"/>
  <c r="EY15" i="18"/>
  <c r="FA15" i="18"/>
  <c r="FB15" i="18"/>
  <c r="FC15" i="18"/>
  <c r="FF15" i="18"/>
  <c r="FG15" i="18"/>
  <c r="FH15" i="18"/>
  <c r="FI15" i="18"/>
  <c r="FJ15" i="18"/>
  <c r="FK15" i="18"/>
  <c r="FL15" i="18"/>
  <c r="FM15" i="18"/>
  <c r="FO15" i="18"/>
  <c r="FP15" i="18"/>
  <c r="FQ15" i="18"/>
  <c r="FV15" i="18"/>
  <c r="FW15" i="18"/>
  <c r="FX15" i="18"/>
  <c r="FY15" i="18"/>
  <c r="FZ15" i="18"/>
  <c r="GA15" i="18"/>
  <c r="GB15" i="18"/>
  <c r="GC15" i="18"/>
  <c r="GE15" i="18"/>
  <c r="GF15" i="18"/>
  <c r="GG15" i="18"/>
  <c r="GJ15" i="18"/>
  <c r="GK15" i="18"/>
  <c r="GL15" i="18"/>
  <c r="GM15" i="18"/>
  <c r="GN15" i="18"/>
  <c r="GO15" i="18"/>
  <c r="GP15" i="18"/>
  <c r="GQ15" i="18"/>
  <c r="GS15" i="18"/>
  <c r="GT15" i="18"/>
  <c r="GU15" i="18"/>
  <c r="GX15" i="18"/>
  <c r="GY15" i="18"/>
  <c r="GZ15" i="18"/>
  <c r="HA15" i="18"/>
  <c r="HB15" i="18"/>
  <c r="HC15" i="18"/>
  <c r="HD15" i="18"/>
  <c r="HE15" i="18"/>
  <c r="HG15" i="18"/>
  <c r="HH15" i="18"/>
  <c r="HI15" i="18"/>
  <c r="HL15" i="18"/>
  <c r="HM15" i="18"/>
  <c r="HN15" i="18"/>
  <c r="HO15" i="18"/>
  <c r="HP15" i="18"/>
  <c r="HQ15" i="18"/>
  <c r="HR15" i="18"/>
  <c r="HS15" i="18"/>
  <c r="HU15" i="18"/>
  <c r="HV15" i="18"/>
  <c r="HW15" i="18"/>
  <c r="D16" i="18"/>
  <c r="E16" i="18"/>
  <c r="G16" i="18"/>
  <c r="H16" i="18"/>
  <c r="I16" i="18"/>
  <c r="J16" i="18"/>
  <c r="K16" i="18"/>
  <c r="M16" i="18"/>
  <c r="N16" i="18"/>
  <c r="O16" i="18"/>
  <c r="R16" i="18"/>
  <c r="S16" i="18"/>
  <c r="T16" i="18"/>
  <c r="U16" i="18"/>
  <c r="V16" i="18"/>
  <c r="W16" i="18"/>
  <c r="X16" i="18"/>
  <c r="Y16" i="18"/>
  <c r="AA16" i="18"/>
  <c r="AB16" i="18"/>
  <c r="AC16" i="18"/>
  <c r="AF16" i="18"/>
  <c r="AG16" i="18"/>
  <c r="AH16" i="18"/>
  <c r="AI16" i="18"/>
  <c r="AJ16" i="18"/>
  <c r="AK16" i="18"/>
  <c r="AL16" i="18"/>
  <c r="AM16" i="18"/>
  <c r="AO16" i="18"/>
  <c r="AP16" i="18"/>
  <c r="AQ16" i="18"/>
  <c r="AT16" i="18"/>
  <c r="AU16" i="18"/>
  <c r="AV16" i="18"/>
  <c r="AW16" i="18"/>
  <c r="AX16" i="18"/>
  <c r="AY16" i="18"/>
  <c r="AZ16" i="18"/>
  <c r="BA16" i="18"/>
  <c r="BC16" i="18"/>
  <c r="BD16" i="18"/>
  <c r="BE16" i="18"/>
  <c r="BJ16" i="18"/>
  <c r="BK16" i="18"/>
  <c r="BL16" i="18"/>
  <c r="BM16" i="18"/>
  <c r="BN16" i="18"/>
  <c r="BO16" i="18"/>
  <c r="BP16" i="18"/>
  <c r="BQ16" i="18"/>
  <c r="BS16" i="18"/>
  <c r="BT16" i="18"/>
  <c r="BU16" i="18"/>
  <c r="BX16" i="18"/>
  <c r="BY16" i="18"/>
  <c r="BZ16" i="18"/>
  <c r="CA16" i="18"/>
  <c r="CB16" i="18"/>
  <c r="CC16" i="18"/>
  <c r="CD16" i="18"/>
  <c r="CE16" i="18"/>
  <c r="CG16" i="18"/>
  <c r="CH16" i="18"/>
  <c r="CI16" i="18"/>
  <c r="CL16" i="18"/>
  <c r="CM16" i="18"/>
  <c r="CN16" i="18"/>
  <c r="CO16" i="18"/>
  <c r="CP16" i="18"/>
  <c r="CQ16" i="18"/>
  <c r="CR16" i="18"/>
  <c r="CS16" i="18"/>
  <c r="CU16" i="18"/>
  <c r="CV16" i="18"/>
  <c r="CW16" i="18"/>
  <c r="CZ16" i="18"/>
  <c r="DA16" i="18"/>
  <c r="DB16" i="18"/>
  <c r="DC16" i="18"/>
  <c r="DD16" i="18"/>
  <c r="DE16" i="18"/>
  <c r="DF16" i="18"/>
  <c r="DG16" i="18"/>
  <c r="DI16" i="18"/>
  <c r="DJ16" i="18"/>
  <c r="DK16" i="18"/>
  <c r="DP16" i="18"/>
  <c r="DQ16" i="18"/>
  <c r="DR16" i="18"/>
  <c r="DS16" i="18"/>
  <c r="DT16" i="18"/>
  <c r="DU16" i="18"/>
  <c r="DV16" i="18"/>
  <c r="DW16" i="18"/>
  <c r="DY16" i="18"/>
  <c r="DZ16" i="18"/>
  <c r="EA16" i="18"/>
  <c r="ED16" i="18"/>
  <c r="EE16" i="18"/>
  <c r="EF16" i="18"/>
  <c r="EG16" i="18"/>
  <c r="EH16" i="18"/>
  <c r="EI16" i="18"/>
  <c r="EJ16" i="18"/>
  <c r="EK16" i="18"/>
  <c r="EM16" i="18"/>
  <c r="EN16" i="18"/>
  <c r="EO16" i="18"/>
  <c r="ER16" i="18"/>
  <c r="ES16" i="18"/>
  <c r="ET16" i="18"/>
  <c r="EU16" i="18"/>
  <c r="EV16" i="18"/>
  <c r="EW16" i="18"/>
  <c r="EX16" i="18"/>
  <c r="EY16" i="18"/>
  <c r="FA16" i="18"/>
  <c r="FB16" i="18"/>
  <c r="FC16" i="18"/>
  <c r="FF16" i="18"/>
  <c r="FG16" i="18"/>
  <c r="FH16" i="18"/>
  <c r="FI16" i="18"/>
  <c r="FJ16" i="18"/>
  <c r="FK16" i="18"/>
  <c r="FL16" i="18"/>
  <c r="FM16" i="18"/>
  <c r="FO16" i="18"/>
  <c r="FP16" i="18"/>
  <c r="FQ16" i="18"/>
  <c r="FV16" i="18"/>
  <c r="FW16" i="18"/>
  <c r="FX16" i="18"/>
  <c r="FY16" i="18"/>
  <c r="FZ16" i="18"/>
  <c r="GA16" i="18"/>
  <c r="GB16" i="18"/>
  <c r="GC16" i="18"/>
  <c r="GE16" i="18"/>
  <c r="GF16" i="18"/>
  <c r="GG16" i="18"/>
  <c r="GJ16" i="18"/>
  <c r="GK16" i="18"/>
  <c r="GL16" i="18"/>
  <c r="GM16" i="18"/>
  <c r="GN16" i="18"/>
  <c r="GO16" i="18"/>
  <c r="GP16" i="18"/>
  <c r="GQ16" i="18"/>
  <c r="GS16" i="18"/>
  <c r="GT16" i="18"/>
  <c r="GU16" i="18"/>
  <c r="GX16" i="18"/>
  <c r="GY16" i="18"/>
  <c r="GZ16" i="18"/>
  <c r="HA16" i="18"/>
  <c r="HB16" i="18"/>
  <c r="HC16" i="18"/>
  <c r="HD16" i="18"/>
  <c r="HE16" i="18"/>
  <c r="HG16" i="18"/>
  <c r="HH16" i="18"/>
  <c r="HI16" i="18"/>
  <c r="HL16" i="18"/>
  <c r="HM16" i="18"/>
  <c r="HN16" i="18"/>
  <c r="HO16" i="18"/>
  <c r="HP16" i="18"/>
  <c r="HQ16" i="18"/>
  <c r="HR16" i="18"/>
  <c r="HS16" i="18"/>
  <c r="HU16" i="18"/>
  <c r="HV16" i="18"/>
  <c r="HW16" i="18"/>
  <c r="D17" i="18"/>
  <c r="E17" i="18"/>
  <c r="G17" i="18"/>
  <c r="H17" i="18"/>
  <c r="I17" i="18"/>
  <c r="J17" i="18"/>
  <c r="K17" i="18"/>
  <c r="M17" i="18"/>
  <c r="N17" i="18"/>
  <c r="O17" i="18"/>
  <c r="R17" i="18"/>
  <c r="S17" i="18"/>
  <c r="T17" i="18"/>
  <c r="U17" i="18"/>
  <c r="V17" i="18"/>
  <c r="W17" i="18"/>
  <c r="X17" i="18"/>
  <c r="Y17" i="18"/>
  <c r="AA17" i="18"/>
  <c r="AB17" i="18"/>
  <c r="AC17" i="18"/>
  <c r="AF17" i="18"/>
  <c r="AG17" i="18"/>
  <c r="AH17" i="18"/>
  <c r="AI17" i="18"/>
  <c r="AJ17" i="18"/>
  <c r="AK17" i="18"/>
  <c r="AL17" i="18"/>
  <c r="AM17" i="18"/>
  <c r="AO17" i="18"/>
  <c r="AP17" i="18"/>
  <c r="AQ17" i="18"/>
  <c r="AT17" i="18"/>
  <c r="AU17" i="18"/>
  <c r="AV17" i="18"/>
  <c r="AW17" i="18"/>
  <c r="AX17" i="18"/>
  <c r="AY17" i="18"/>
  <c r="AZ17" i="18"/>
  <c r="BA17" i="18"/>
  <c r="BC17" i="18"/>
  <c r="BD17" i="18"/>
  <c r="BE17" i="18"/>
  <c r="BJ17" i="18"/>
  <c r="BK17" i="18"/>
  <c r="BL17" i="18"/>
  <c r="BM17" i="18"/>
  <c r="BN17" i="18"/>
  <c r="BO17" i="18"/>
  <c r="BP17" i="18"/>
  <c r="BQ17" i="18"/>
  <c r="BS17" i="18"/>
  <c r="BT17" i="18"/>
  <c r="BU17" i="18"/>
  <c r="BX17" i="18"/>
  <c r="BY17" i="18"/>
  <c r="BZ17" i="18"/>
  <c r="CA17" i="18"/>
  <c r="CB17" i="18"/>
  <c r="CC17" i="18"/>
  <c r="CD17" i="18"/>
  <c r="CE17" i="18"/>
  <c r="CG17" i="18"/>
  <c r="CH17" i="18"/>
  <c r="CI17" i="18"/>
  <c r="CL17" i="18"/>
  <c r="CM17" i="18"/>
  <c r="CN17" i="18"/>
  <c r="CO17" i="18"/>
  <c r="CP17" i="18"/>
  <c r="CQ17" i="18"/>
  <c r="CR17" i="18"/>
  <c r="CS17" i="18"/>
  <c r="CU17" i="18"/>
  <c r="CV17" i="18"/>
  <c r="CW17" i="18"/>
  <c r="CZ17" i="18"/>
  <c r="DA17" i="18"/>
  <c r="DB17" i="18"/>
  <c r="DC17" i="18"/>
  <c r="DD17" i="18"/>
  <c r="DE17" i="18"/>
  <c r="DF17" i="18"/>
  <c r="DG17" i="18"/>
  <c r="DI17" i="18"/>
  <c r="DJ17" i="18"/>
  <c r="DK17" i="18"/>
  <c r="DP17" i="18"/>
  <c r="DQ17" i="18"/>
  <c r="DR17" i="18"/>
  <c r="DS17" i="18"/>
  <c r="DT17" i="18"/>
  <c r="DU17" i="18"/>
  <c r="DV17" i="18"/>
  <c r="DW17" i="18"/>
  <c r="DY17" i="18"/>
  <c r="DZ17" i="18"/>
  <c r="EA17" i="18"/>
  <c r="ED17" i="18"/>
  <c r="EE17" i="18"/>
  <c r="EF17" i="18"/>
  <c r="EG17" i="18"/>
  <c r="EH17" i="18"/>
  <c r="EI17" i="18"/>
  <c r="EJ17" i="18"/>
  <c r="EK17" i="18"/>
  <c r="EM17" i="18"/>
  <c r="EN17" i="18"/>
  <c r="EO17" i="18"/>
  <c r="ER17" i="18"/>
  <c r="ES17" i="18"/>
  <c r="ET17" i="18"/>
  <c r="EU17" i="18"/>
  <c r="EV17" i="18"/>
  <c r="EW17" i="18"/>
  <c r="EX17" i="18"/>
  <c r="EY17" i="18"/>
  <c r="FA17" i="18"/>
  <c r="FB17" i="18"/>
  <c r="FC17" i="18"/>
  <c r="FF17" i="18"/>
  <c r="FG17" i="18"/>
  <c r="FH17" i="18"/>
  <c r="FI17" i="18"/>
  <c r="FJ17" i="18"/>
  <c r="FK17" i="18"/>
  <c r="FL17" i="18"/>
  <c r="FM17" i="18"/>
  <c r="FO17" i="18"/>
  <c r="FP17" i="18"/>
  <c r="FQ17" i="18"/>
  <c r="FV17" i="18"/>
  <c r="FW17" i="18"/>
  <c r="FX17" i="18"/>
  <c r="FY17" i="18"/>
  <c r="FZ17" i="18"/>
  <c r="GA17" i="18"/>
  <c r="GB17" i="18"/>
  <c r="GC17" i="18"/>
  <c r="GE17" i="18"/>
  <c r="GF17" i="18"/>
  <c r="GG17" i="18"/>
  <c r="GJ17" i="18"/>
  <c r="GK17" i="18"/>
  <c r="GL17" i="18"/>
  <c r="GM17" i="18"/>
  <c r="GN17" i="18"/>
  <c r="GO17" i="18"/>
  <c r="GP17" i="18"/>
  <c r="GQ17" i="18"/>
  <c r="GS17" i="18"/>
  <c r="GT17" i="18"/>
  <c r="GU17" i="18"/>
  <c r="GX17" i="18"/>
  <c r="GY17" i="18"/>
  <c r="GZ17" i="18"/>
  <c r="HA17" i="18"/>
  <c r="HB17" i="18"/>
  <c r="HC17" i="18"/>
  <c r="HD17" i="18"/>
  <c r="HE17" i="18"/>
  <c r="HG17" i="18"/>
  <c r="HH17" i="18"/>
  <c r="HI17" i="18"/>
  <c r="HL17" i="18"/>
  <c r="HM17" i="18"/>
  <c r="HN17" i="18"/>
  <c r="HO17" i="18"/>
  <c r="HP17" i="18"/>
  <c r="HQ17" i="18"/>
  <c r="HR17" i="18"/>
  <c r="HS17" i="18"/>
  <c r="HU17" i="18"/>
  <c r="HV17" i="18"/>
  <c r="HW17" i="18"/>
  <c r="D18" i="18"/>
  <c r="E18" i="18"/>
  <c r="G18" i="18"/>
  <c r="H18" i="18"/>
  <c r="I18" i="18"/>
  <c r="J18" i="18"/>
  <c r="K18" i="18"/>
  <c r="M18" i="18"/>
  <c r="N18" i="18"/>
  <c r="O18" i="18"/>
  <c r="R18" i="18"/>
  <c r="S18" i="18"/>
  <c r="T18" i="18"/>
  <c r="U18" i="18"/>
  <c r="V18" i="18"/>
  <c r="W18" i="18"/>
  <c r="X18" i="18"/>
  <c r="Y18" i="18"/>
  <c r="AA18" i="18"/>
  <c r="AB18" i="18"/>
  <c r="AC18" i="18"/>
  <c r="AF18" i="18"/>
  <c r="AG18" i="18"/>
  <c r="AH18" i="18"/>
  <c r="AI18" i="18"/>
  <c r="AJ18" i="18"/>
  <c r="AK18" i="18"/>
  <c r="AL18" i="18"/>
  <c r="AM18" i="18"/>
  <c r="AO18" i="18"/>
  <c r="AP18" i="18"/>
  <c r="AQ18" i="18"/>
  <c r="AT18" i="18"/>
  <c r="AU18" i="18"/>
  <c r="AV18" i="18"/>
  <c r="AW18" i="18"/>
  <c r="AX18" i="18"/>
  <c r="AY18" i="18"/>
  <c r="AZ18" i="18"/>
  <c r="BA18" i="18"/>
  <c r="BC18" i="18"/>
  <c r="BD18" i="18"/>
  <c r="BE18" i="18"/>
  <c r="BJ18" i="18"/>
  <c r="BK18" i="18"/>
  <c r="BL18" i="18"/>
  <c r="BM18" i="18"/>
  <c r="BN18" i="18"/>
  <c r="BO18" i="18"/>
  <c r="BP18" i="18"/>
  <c r="BQ18" i="18"/>
  <c r="BS18" i="18"/>
  <c r="BT18" i="18"/>
  <c r="BU18" i="18"/>
  <c r="BX18" i="18"/>
  <c r="BY18" i="18"/>
  <c r="BZ18" i="18"/>
  <c r="CA18" i="18"/>
  <c r="CB18" i="18"/>
  <c r="CC18" i="18"/>
  <c r="CD18" i="18"/>
  <c r="CE18" i="18"/>
  <c r="CG18" i="18"/>
  <c r="CH18" i="18"/>
  <c r="CI18" i="18"/>
  <c r="CL18" i="18"/>
  <c r="CM18" i="18"/>
  <c r="CN18" i="18"/>
  <c r="CO18" i="18"/>
  <c r="CP18" i="18"/>
  <c r="CQ18" i="18"/>
  <c r="CR18" i="18"/>
  <c r="CS18" i="18"/>
  <c r="CU18" i="18"/>
  <c r="CV18" i="18"/>
  <c r="CW18" i="18"/>
  <c r="CZ18" i="18"/>
  <c r="DA18" i="18"/>
  <c r="DB18" i="18"/>
  <c r="DC18" i="18"/>
  <c r="DD18" i="18"/>
  <c r="DE18" i="18"/>
  <c r="DF18" i="18"/>
  <c r="DG18" i="18"/>
  <c r="DI18" i="18"/>
  <c r="DJ18" i="18"/>
  <c r="DK18" i="18"/>
  <c r="DP18" i="18"/>
  <c r="DQ18" i="18"/>
  <c r="DR18" i="18"/>
  <c r="DS18" i="18"/>
  <c r="DT18" i="18"/>
  <c r="DU18" i="18"/>
  <c r="DV18" i="18"/>
  <c r="DW18" i="18"/>
  <c r="DY18" i="18"/>
  <c r="DZ18" i="18"/>
  <c r="EA18" i="18"/>
  <c r="ED18" i="18"/>
  <c r="EE18" i="18"/>
  <c r="EF18" i="18"/>
  <c r="EG18" i="18"/>
  <c r="EH18" i="18"/>
  <c r="EI18" i="18"/>
  <c r="EJ18" i="18"/>
  <c r="EK18" i="18"/>
  <c r="EM18" i="18"/>
  <c r="EN18" i="18"/>
  <c r="EO18" i="18"/>
  <c r="ER18" i="18"/>
  <c r="ES18" i="18"/>
  <c r="ET18" i="18"/>
  <c r="EU18" i="18"/>
  <c r="EV18" i="18"/>
  <c r="EW18" i="18"/>
  <c r="EX18" i="18"/>
  <c r="EY18" i="18"/>
  <c r="FA18" i="18"/>
  <c r="FB18" i="18"/>
  <c r="FC18" i="18"/>
  <c r="FF18" i="18"/>
  <c r="FG18" i="18"/>
  <c r="FH18" i="18"/>
  <c r="FI18" i="18"/>
  <c r="FJ18" i="18"/>
  <c r="FK18" i="18"/>
  <c r="FL18" i="18"/>
  <c r="FM18" i="18"/>
  <c r="FO18" i="18"/>
  <c r="FP18" i="18"/>
  <c r="FQ18" i="18"/>
  <c r="FV18" i="18"/>
  <c r="FW18" i="18"/>
  <c r="FX18" i="18"/>
  <c r="FY18" i="18"/>
  <c r="FZ18" i="18"/>
  <c r="GA18" i="18"/>
  <c r="GB18" i="18"/>
  <c r="GC18" i="18"/>
  <c r="GE18" i="18"/>
  <c r="GF18" i="18"/>
  <c r="GG18" i="18"/>
  <c r="GJ18" i="18"/>
  <c r="GK18" i="18"/>
  <c r="GL18" i="18"/>
  <c r="GM18" i="18"/>
  <c r="GN18" i="18"/>
  <c r="GO18" i="18"/>
  <c r="GP18" i="18"/>
  <c r="GQ18" i="18"/>
  <c r="GS18" i="18"/>
  <c r="GT18" i="18"/>
  <c r="GU18" i="18"/>
  <c r="GX18" i="18"/>
  <c r="GY18" i="18"/>
  <c r="GZ18" i="18"/>
  <c r="HA18" i="18"/>
  <c r="HB18" i="18"/>
  <c r="HC18" i="18"/>
  <c r="HD18" i="18"/>
  <c r="HE18" i="18"/>
  <c r="HG18" i="18"/>
  <c r="HH18" i="18"/>
  <c r="HI18" i="18"/>
  <c r="HL18" i="18"/>
  <c r="HM18" i="18"/>
  <c r="HN18" i="18"/>
  <c r="HO18" i="18"/>
  <c r="HP18" i="18"/>
  <c r="HQ18" i="18"/>
  <c r="HR18" i="18"/>
  <c r="HS18" i="18"/>
  <c r="HU18" i="18"/>
  <c r="HV18" i="18"/>
  <c r="HW18" i="18"/>
  <c r="D19" i="18"/>
  <c r="E19" i="18"/>
  <c r="G19" i="18"/>
  <c r="H19" i="18"/>
  <c r="I19" i="18"/>
  <c r="J19" i="18"/>
  <c r="K19" i="18"/>
  <c r="M19" i="18"/>
  <c r="N19" i="18"/>
  <c r="O19" i="18"/>
  <c r="R19" i="18"/>
  <c r="S19" i="18"/>
  <c r="T19" i="18"/>
  <c r="U19" i="18"/>
  <c r="V19" i="18"/>
  <c r="W19" i="18"/>
  <c r="X19" i="18"/>
  <c r="Y19" i="18"/>
  <c r="AA19" i="18"/>
  <c r="AB19" i="18"/>
  <c r="AC19" i="18"/>
  <c r="AF19" i="18"/>
  <c r="AG19" i="18"/>
  <c r="AH19" i="18"/>
  <c r="AI19" i="18"/>
  <c r="AJ19" i="18"/>
  <c r="AK19" i="18"/>
  <c r="AL19" i="18"/>
  <c r="AM19" i="18"/>
  <c r="AO19" i="18"/>
  <c r="AP19" i="18"/>
  <c r="AQ19" i="18"/>
  <c r="AT19" i="18"/>
  <c r="AU19" i="18"/>
  <c r="AV19" i="18"/>
  <c r="AW19" i="18"/>
  <c r="AX19" i="18"/>
  <c r="AY19" i="18"/>
  <c r="AZ19" i="18"/>
  <c r="BA19" i="18"/>
  <c r="BC19" i="18"/>
  <c r="BD19" i="18"/>
  <c r="BE19" i="18"/>
  <c r="BJ19" i="18"/>
  <c r="BK19" i="18"/>
  <c r="BL19" i="18"/>
  <c r="BM19" i="18"/>
  <c r="BN19" i="18"/>
  <c r="BO19" i="18"/>
  <c r="BP19" i="18"/>
  <c r="BQ19" i="18"/>
  <c r="BS19" i="18"/>
  <c r="BT19" i="18"/>
  <c r="BU19" i="18"/>
  <c r="BX19" i="18"/>
  <c r="BY19" i="18"/>
  <c r="BZ19" i="18"/>
  <c r="CA19" i="18"/>
  <c r="CB19" i="18"/>
  <c r="CC19" i="18"/>
  <c r="CD19" i="18"/>
  <c r="CE19" i="18"/>
  <c r="CG19" i="18"/>
  <c r="CH19" i="18"/>
  <c r="CI19" i="18"/>
  <c r="CL19" i="18"/>
  <c r="CM19" i="18"/>
  <c r="CN19" i="18"/>
  <c r="CO19" i="18"/>
  <c r="CP19" i="18"/>
  <c r="CQ19" i="18"/>
  <c r="CR19" i="18"/>
  <c r="CS19" i="18"/>
  <c r="CU19" i="18"/>
  <c r="CV19" i="18"/>
  <c r="CW19" i="18"/>
  <c r="CZ19" i="18"/>
  <c r="DA19" i="18"/>
  <c r="DB19" i="18"/>
  <c r="DC19" i="18"/>
  <c r="DD19" i="18"/>
  <c r="DE19" i="18"/>
  <c r="DF19" i="18"/>
  <c r="DG19" i="18"/>
  <c r="DI19" i="18"/>
  <c r="DJ19" i="18"/>
  <c r="DK19" i="18"/>
  <c r="DP19" i="18"/>
  <c r="DQ19" i="18"/>
  <c r="DR19" i="18"/>
  <c r="DS19" i="18"/>
  <c r="DT19" i="18"/>
  <c r="DU19" i="18"/>
  <c r="DV19" i="18"/>
  <c r="DW19" i="18"/>
  <c r="DY19" i="18"/>
  <c r="DZ19" i="18"/>
  <c r="EA19" i="18"/>
  <c r="ED19" i="18"/>
  <c r="EE19" i="18"/>
  <c r="EF19" i="18"/>
  <c r="EG19" i="18"/>
  <c r="EH19" i="18"/>
  <c r="EI19" i="18"/>
  <c r="EJ19" i="18"/>
  <c r="EK19" i="18"/>
  <c r="EM19" i="18"/>
  <c r="EN19" i="18"/>
  <c r="EO19" i="18"/>
  <c r="ER19" i="18"/>
  <c r="ES19" i="18"/>
  <c r="ET19" i="18"/>
  <c r="EU19" i="18"/>
  <c r="EV19" i="18"/>
  <c r="EW19" i="18"/>
  <c r="EX19" i="18"/>
  <c r="EY19" i="18"/>
  <c r="FA19" i="18"/>
  <c r="FB19" i="18"/>
  <c r="FC19" i="18"/>
  <c r="FF19" i="18"/>
  <c r="FG19" i="18"/>
  <c r="FH19" i="18"/>
  <c r="FI19" i="18"/>
  <c r="FJ19" i="18"/>
  <c r="FK19" i="18"/>
  <c r="FL19" i="18"/>
  <c r="FM19" i="18"/>
  <c r="FO19" i="18"/>
  <c r="FP19" i="18"/>
  <c r="FQ19" i="18"/>
  <c r="FV19" i="18"/>
  <c r="FW19" i="18"/>
  <c r="FX19" i="18"/>
  <c r="FY19" i="18"/>
  <c r="FZ19" i="18"/>
  <c r="GA19" i="18"/>
  <c r="GB19" i="18"/>
  <c r="GC19" i="18"/>
  <c r="GE19" i="18"/>
  <c r="GF19" i="18"/>
  <c r="GG19" i="18"/>
  <c r="GJ19" i="18"/>
  <c r="GK19" i="18"/>
  <c r="GL19" i="18"/>
  <c r="GM19" i="18"/>
  <c r="GN19" i="18"/>
  <c r="GO19" i="18"/>
  <c r="GP19" i="18"/>
  <c r="GQ19" i="18"/>
  <c r="GS19" i="18"/>
  <c r="GT19" i="18"/>
  <c r="GU19" i="18"/>
  <c r="GX19" i="18"/>
  <c r="GY19" i="18"/>
  <c r="GZ19" i="18"/>
  <c r="HA19" i="18"/>
  <c r="HB19" i="18"/>
  <c r="HC19" i="18"/>
  <c r="HD19" i="18"/>
  <c r="HE19" i="18"/>
  <c r="HG19" i="18"/>
  <c r="HH19" i="18"/>
  <c r="HI19" i="18"/>
  <c r="HL19" i="18"/>
  <c r="HM19" i="18"/>
  <c r="HN19" i="18"/>
  <c r="HO19" i="18"/>
  <c r="HP19" i="18"/>
  <c r="HQ19" i="18"/>
  <c r="HR19" i="18"/>
  <c r="HS19" i="18"/>
  <c r="HU19" i="18"/>
  <c r="HV19" i="18"/>
  <c r="HW19" i="18"/>
  <c r="D20" i="18"/>
  <c r="E20" i="18"/>
  <c r="G20" i="18"/>
  <c r="H20" i="18"/>
  <c r="I20" i="18"/>
  <c r="J20" i="18"/>
  <c r="K20" i="18"/>
  <c r="M20" i="18"/>
  <c r="N20" i="18"/>
  <c r="O20" i="18"/>
  <c r="R20" i="18"/>
  <c r="S20" i="18"/>
  <c r="T20" i="18"/>
  <c r="U20" i="18"/>
  <c r="V20" i="18"/>
  <c r="W20" i="18"/>
  <c r="X20" i="18"/>
  <c r="Y20" i="18"/>
  <c r="AA20" i="18"/>
  <c r="AB20" i="18"/>
  <c r="AC20" i="18"/>
  <c r="AF20" i="18"/>
  <c r="AG20" i="18"/>
  <c r="AH20" i="18"/>
  <c r="AI20" i="18"/>
  <c r="AJ20" i="18"/>
  <c r="AK20" i="18"/>
  <c r="AL20" i="18"/>
  <c r="AM20" i="18"/>
  <c r="AO20" i="18"/>
  <c r="AP20" i="18"/>
  <c r="AQ20" i="18"/>
  <c r="AT20" i="18"/>
  <c r="AU20" i="18"/>
  <c r="AV20" i="18"/>
  <c r="AW20" i="18"/>
  <c r="AX20" i="18"/>
  <c r="AY20" i="18"/>
  <c r="AZ20" i="18"/>
  <c r="BA20" i="18"/>
  <c r="BC20" i="18"/>
  <c r="BD20" i="18"/>
  <c r="BE20" i="18"/>
  <c r="BJ20" i="18"/>
  <c r="BK20" i="18"/>
  <c r="BL20" i="18"/>
  <c r="BM20" i="18"/>
  <c r="BN20" i="18"/>
  <c r="BO20" i="18"/>
  <c r="BP20" i="18"/>
  <c r="BQ20" i="18"/>
  <c r="BS20" i="18"/>
  <c r="BT20" i="18"/>
  <c r="BU20" i="18"/>
  <c r="BX20" i="18"/>
  <c r="BY20" i="18"/>
  <c r="BZ20" i="18"/>
  <c r="CA20" i="18"/>
  <c r="CB20" i="18"/>
  <c r="CC20" i="18"/>
  <c r="CD20" i="18"/>
  <c r="CE20" i="18"/>
  <c r="CG20" i="18"/>
  <c r="CH20" i="18"/>
  <c r="CI20" i="18"/>
  <c r="CL20" i="18"/>
  <c r="CM20" i="18"/>
  <c r="CN20" i="18"/>
  <c r="CO20" i="18"/>
  <c r="CP20" i="18"/>
  <c r="CQ20" i="18"/>
  <c r="CR20" i="18"/>
  <c r="CS20" i="18"/>
  <c r="CU20" i="18"/>
  <c r="CV20" i="18"/>
  <c r="CW20" i="18"/>
  <c r="CZ20" i="18"/>
  <c r="DA20" i="18"/>
  <c r="DB20" i="18"/>
  <c r="DC20" i="18"/>
  <c r="DD20" i="18"/>
  <c r="DE20" i="18"/>
  <c r="DF20" i="18"/>
  <c r="DG20" i="18"/>
  <c r="DI20" i="18"/>
  <c r="DJ20" i="18"/>
  <c r="DK20" i="18"/>
  <c r="DP20" i="18"/>
  <c r="DQ20" i="18"/>
  <c r="DR20" i="18"/>
  <c r="DS20" i="18"/>
  <c r="DT20" i="18"/>
  <c r="DU20" i="18"/>
  <c r="DV20" i="18"/>
  <c r="DW20" i="18"/>
  <c r="DY20" i="18"/>
  <c r="DZ20" i="18"/>
  <c r="EA20" i="18"/>
  <c r="ED20" i="18"/>
  <c r="EE20" i="18"/>
  <c r="EF20" i="18"/>
  <c r="EG20" i="18"/>
  <c r="EH20" i="18"/>
  <c r="EI20" i="18"/>
  <c r="EJ20" i="18"/>
  <c r="EK20" i="18"/>
  <c r="EM20" i="18"/>
  <c r="EN20" i="18"/>
  <c r="EO20" i="18"/>
  <c r="ER20" i="18"/>
  <c r="ES20" i="18"/>
  <c r="ET20" i="18"/>
  <c r="EU20" i="18"/>
  <c r="EV20" i="18"/>
  <c r="EW20" i="18"/>
  <c r="EX20" i="18"/>
  <c r="EY20" i="18"/>
  <c r="FA20" i="18"/>
  <c r="FB20" i="18"/>
  <c r="FC20" i="18"/>
  <c r="FF20" i="18"/>
  <c r="FG20" i="18"/>
  <c r="FH20" i="18"/>
  <c r="FI20" i="18"/>
  <c r="FJ20" i="18"/>
  <c r="FK20" i="18"/>
  <c r="FL20" i="18"/>
  <c r="FM20" i="18"/>
  <c r="FO20" i="18"/>
  <c r="FP20" i="18"/>
  <c r="FQ20" i="18"/>
  <c r="FV20" i="18"/>
  <c r="FW20" i="18"/>
  <c r="FX20" i="18"/>
  <c r="FY20" i="18"/>
  <c r="FZ20" i="18"/>
  <c r="GA20" i="18"/>
  <c r="GB20" i="18"/>
  <c r="GC20" i="18"/>
  <c r="GE20" i="18"/>
  <c r="GF20" i="18"/>
  <c r="GG20" i="18"/>
  <c r="GJ20" i="18"/>
  <c r="GK20" i="18"/>
  <c r="GL20" i="18"/>
  <c r="GM20" i="18"/>
  <c r="GN20" i="18"/>
  <c r="GO20" i="18"/>
  <c r="GP20" i="18"/>
  <c r="GQ20" i="18"/>
  <c r="GS20" i="18"/>
  <c r="GT20" i="18"/>
  <c r="GU20" i="18"/>
  <c r="GX20" i="18"/>
  <c r="GY20" i="18"/>
  <c r="GZ20" i="18"/>
  <c r="HA20" i="18"/>
  <c r="HB20" i="18"/>
  <c r="HC20" i="18"/>
  <c r="HD20" i="18"/>
  <c r="HE20" i="18"/>
  <c r="HG20" i="18"/>
  <c r="HH20" i="18"/>
  <c r="HI20" i="18"/>
  <c r="HL20" i="18"/>
  <c r="HM20" i="18"/>
  <c r="HN20" i="18"/>
  <c r="HO20" i="18"/>
  <c r="HP20" i="18"/>
  <c r="HQ20" i="18"/>
  <c r="HR20" i="18"/>
  <c r="HS20" i="18"/>
  <c r="HU20" i="18"/>
  <c r="HV20" i="18"/>
  <c r="HW20" i="18"/>
  <c r="D21" i="18"/>
  <c r="E21" i="18"/>
  <c r="G21" i="18"/>
  <c r="H21" i="18"/>
  <c r="I21" i="18"/>
  <c r="J21" i="18"/>
  <c r="K21" i="18"/>
  <c r="M21" i="18"/>
  <c r="N21" i="18"/>
  <c r="O21" i="18"/>
  <c r="R21" i="18"/>
  <c r="S21" i="18"/>
  <c r="T21" i="18"/>
  <c r="U21" i="18"/>
  <c r="V21" i="18"/>
  <c r="W21" i="18"/>
  <c r="X21" i="18"/>
  <c r="Y21" i="18"/>
  <c r="AA21" i="18"/>
  <c r="AB21" i="18"/>
  <c r="AC21" i="18"/>
  <c r="AF21" i="18"/>
  <c r="AG21" i="18"/>
  <c r="AH21" i="18"/>
  <c r="AI21" i="18"/>
  <c r="AJ21" i="18"/>
  <c r="AK21" i="18"/>
  <c r="AL21" i="18"/>
  <c r="AM21" i="18"/>
  <c r="AO21" i="18"/>
  <c r="AP21" i="18"/>
  <c r="AQ21" i="18"/>
  <c r="AT21" i="18"/>
  <c r="AU21" i="18"/>
  <c r="AV21" i="18"/>
  <c r="AW21" i="18"/>
  <c r="AX21" i="18"/>
  <c r="AY21" i="18"/>
  <c r="AZ21" i="18"/>
  <c r="BA21" i="18"/>
  <c r="BC21" i="18"/>
  <c r="BD21" i="18"/>
  <c r="BE21" i="18"/>
  <c r="BJ21" i="18"/>
  <c r="BK21" i="18"/>
  <c r="BL21" i="18"/>
  <c r="BM21" i="18"/>
  <c r="BN21" i="18"/>
  <c r="BO21" i="18"/>
  <c r="BP21" i="18"/>
  <c r="BQ21" i="18"/>
  <c r="BS21" i="18"/>
  <c r="BT21" i="18"/>
  <c r="BU21" i="18"/>
  <c r="BX21" i="18"/>
  <c r="BY21" i="18"/>
  <c r="BZ21" i="18"/>
  <c r="CA21" i="18"/>
  <c r="CB21" i="18"/>
  <c r="CC21" i="18"/>
  <c r="CD21" i="18"/>
  <c r="CE21" i="18"/>
  <c r="CG21" i="18"/>
  <c r="CH21" i="18"/>
  <c r="CI21" i="18"/>
  <c r="CL21" i="18"/>
  <c r="CM21" i="18"/>
  <c r="CN21" i="18"/>
  <c r="CO21" i="18"/>
  <c r="CP21" i="18"/>
  <c r="CQ21" i="18"/>
  <c r="CR21" i="18"/>
  <c r="CS21" i="18"/>
  <c r="CU21" i="18"/>
  <c r="CV21" i="18"/>
  <c r="CW21" i="18"/>
  <c r="CZ21" i="18"/>
  <c r="DA21" i="18"/>
  <c r="DB21" i="18"/>
  <c r="DC21" i="18"/>
  <c r="DD21" i="18"/>
  <c r="DE21" i="18"/>
  <c r="DF21" i="18"/>
  <c r="DG21" i="18"/>
  <c r="DI21" i="18"/>
  <c r="DJ21" i="18"/>
  <c r="DK21" i="18"/>
  <c r="DP21" i="18"/>
  <c r="DQ21" i="18"/>
  <c r="DR21" i="18"/>
  <c r="DS21" i="18"/>
  <c r="DT21" i="18"/>
  <c r="DU21" i="18"/>
  <c r="DV21" i="18"/>
  <c r="DW21" i="18"/>
  <c r="DY21" i="18"/>
  <c r="DZ21" i="18"/>
  <c r="EA21" i="18"/>
  <c r="ED21" i="18"/>
  <c r="EE21" i="18"/>
  <c r="EF21" i="18"/>
  <c r="EG21" i="18"/>
  <c r="EH21" i="18"/>
  <c r="EI21" i="18"/>
  <c r="EJ21" i="18"/>
  <c r="EK21" i="18"/>
  <c r="EM21" i="18"/>
  <c r="EN21" i="18"/>
  <c r="EO21" i="18"/>
  <c r="ER21" i="18"/>
  <c r="ES21" i="18"/>
  <c r="ET21" i="18"/>
  <c r="EU21" i="18"/>
  <c r="EV21" i="18"/>
  <c r="EW21" i="18"/>
  <c r="EX21" i="18"/>
  <c r="EY21" i="18"/>
  <c r="FA21" i="18"/>
  <c r="FB21" i="18"/>
  <c r="FC21" i="18"/>
  <c r="FF21" i="18"/>
  <c r="FG21" i="18"/>
  <c r="FH21" i="18"/>
  <c r="FI21" i="18"/>
  <c r="FJ21" i="18"/>
  <c r="FK21" i="18"/>
  <c r="FL21" i="18"/>
  <c r="FM21" i="18"/>
  <c r="FO21" i="18"/>
  <c r="FP21" i="18"/>
  <c r="FQ21" i="18"/>
  <c r="FV21" i="18"/>
  <c r="FW21" i="18"/>
  <c r="FX21" i="18"/>
  <c r="FY21" i="18"/>
  <c r="FZ21" i="18"/>
  <c r="GA21" i="18"/>
  <c r="GB21" i="18"/>
  <c r="GC21" i="18"/>
  <c r="GE21" i="18"/>
  <c r="GF21" i="18"/>
  <c r="GG21" i="18"/>
  <c r="GJ21" i="18"/>
  <c r="GK21" i="18"/>
  <c r="GL21" i="18"/>
  <c r="GM21" i="18"/>
  <c r="GN21" i="18"/>
  <c r="GO21" i="18"/>
  <c r="GP21" i="18"/>
  <c r="GQ21" i="18"/>
  <c r="GS21" i="18"/>
  <c r="GT21" i="18"/>
  <c r="GU21" i="18"/>
  <c r="GX21" i="18"/>
  <c r="GY21" i="18"/>
  <c r="GZ21" i="18"/>
  <c r="HA21" i="18"/>
  <c r="HB21" i="18"/>
  <c r="HC21" i="18"/>
  <c r="HD21" i="18"/>
  <c r="HE21" i="18"/>
  <c r="HG21" i="18"/>
  <c r="HH21" i="18"/>
  <c r="HI21" i="18"/>
  <c r="HL21" i="18"/>
  <c r="HM21" i="18"/>
  <c r="HN21" i="18"/>
  <c r="HO21" i="18"/>
  <c r="HP21" i="18"/>
  <c r="HQ21" i="18"/>
  <c r="HR21" i="18"/>
  <c r="HS21" i="18"/>
  <c r="HU21" i="18"/>
  <c r="HV21" i="18"/>
  <c r="HW21" i="18"/>
  <c r="D22" i="18"/>
  <c r="E22" i="18"/>
  <c r="G22" i="18"/>
  <c r="H22" i="18"/>
  <c r="I22" i="18"/>
  <c r="J22" i="18"/>
  <c r="K22" i="18"/>
  <c r="M22" i="18"/>
  <c r="N22" i="18"/>
  <c r="O22" i="18"/>
  <c r="R22" i="18"/>
  <c r="S22" i="18"/>
  <c r="T22" i="18"/>
  <c r="U22" i="18"/>
  <c r="V22" i="18"/>
  <c r="W22" i="18"/>
  <c r="X22" i="18"/>
  <c r="Y22" i="18"/>
  <c r="AA22" i="18"/>
  <c r="AB22" i="18"/>
  <c r="AC22" i="18"/>
  <c r="AF22" i="18"/>
  <c r="AG22" i="18"/>
  <c r="AH22" i="18"/>
  <c r="AI22" i="18"/>
  <c r="AJ22" i="18"/>
  <c r="AK22" i="18"/>
  <c r="AL22" i="18"/>
  <c r="AM22" i="18"/>
  <c r="AO22" i="18"/>
  <c r="AP22" i="18"/>
  <c r="AQ22" i="18"/>
  <c r="AT22" i="18"/>
  <c r="AU22" i="18"/>
  <c r="AV22" i="18"/>
  <c r="AW22" i="18"/>
  <c r="AX22" i="18"/>
  <c r="AY22" i="18"/>
  <c r="AZ22" i="18"/>
  <c r="BA22" i="18"/>
  <c r="BC22" i="18"/>
  <c r="BD22" i="18"/>
  <c r="BE22" i="18"/>
  <c r="BJ22" i="18"/>
  <c r="BK22" i="18"/>
  <c r="BL22" i="18"/>
  <c r="BM22" i="18"/>
  <c r="BN22" i="18"/>
  <c r="BO22" i="18"/>
  <c r="BP22" i="18"/>
  <c r="BQ22" i="18"/>
  <c r="BS22" i="18"/>
  <c r="BT22" i="18"/>
  <c r="BU22" i="18"/>
  <c r="BX22" i="18"/>
  <c r="BY22" i="18"/>
  <c r="BZ22" i="18"/>
  <c r="CA22" i="18"/>
  <c r="CB22" i="18"/>
  <c r="CC22" i="18"/>
  <c r="CD22" i="18"/>
  <c r="CE22" i="18"/>
  <c r="CG22" i="18"/>
  <c r="CH22" i="18"/>
  <c r="CI22" i="18"/>
  <c r="CL22" i="18"/>
  <c r="CM22" i="18"/>
  <c r="CN22" i="18"/>
  <c r="CO22" i="18"/>
  <c r="CP22" i="18"/>
  <c r="CQ22" i="18"/>
  <c r="CR22" i="18"/>
  <c r="CS22" i="18"/>
  <c r="CU22" i="18"/>
  <c r="CV22" i="18"/>
  <c r="CW22" i="18"/>
  <c r="CZ22" i="18"/>
  <c r="DA22" i="18"/>
  <c r="DB22" i="18"/>
  <c r="DC22" i="18"/>
  <c r="DD22" i="18"/>
  <c r="DE22" i="18"/>
  <c r="DF22" i="18"/>
  <c r="DG22" i="18"/>
  <c r="DI22" i="18"/>
  <c r="DJ22" i="18"/>
  <c r="DK22" i="18"/>
  <c r="DP22" i="18"/>
  <c r="DQ22" i="18"/>
  <c r="DR22" i="18"/>
  <c r="DS22" i="18"/>
  <c r="DT22" i="18"/>
  <c r="DU22" i="18"/>
  <c r="DV22" i="18"/>
  <c r="DW22" i="18"/>
  <c r="DY22" i="18"/>
  <c r="DZ22" i="18"/>
  <c r="EA22" i="18"/>
  <c r="ED22" i="18"/>
  <c r="EE22" i="18"/>
  <c r="EF22" i="18"/>
  <c r="EG22" i="18"/>
  <c r="EH22" i="18"/>
  <c r="EI22" i="18"/>
  <c r="EJ22" i="18"/>
  <c r="EK22" i="18"/>
  <c r="EM22" i="18"/>
  <c r="EN22" i="18"/>
  <c r="EO22" i="18"/>
  <c r="ER22" i="18"/>
  <c r="ES22" i="18"/>
  <c r="ET22" i="18"/>
  <c r="EU22" i="18"/>
  <c r="EV22" i="18"/>
  <c r="EW22" i="18"/>
  <c r="EX22" i="18"/>
  <c r="EY22" i="18"/>
  <c r="FA22" i="18"/>
  <c r="FB22" i="18"/>
  <c r="FC22" i="18"/>
  <c r="FF22" i="18"/>
  <c r="FG22" i="18"/>
  <c r="FH22" i="18"/>
  <c r="FI22" i="18"/>
  <c r="FJ22" i="18"/>
  <c r="FK22" i="18"/>
  <c r="FL22" i="18"/>
  <c r="FM22" i="18"/>
  <c r="FO22" i="18"/>
  <c r="FP22" i="18"/>
  <c r="FQ22" i="18"/>
  <c r="FV22" i="18"/>
  <c r="FW22" i="18"/>
  <c r="FX22" i="18"/>
  <c r="FY22" i="18"/>
  <c r="FZ22" i="18"/>
  <c r="GA22" i="18"/>
  <c r="GB22" i="18"/>
  <c r="GC22" i="18"/>
  <c r="GE22" i="18"/>
  <c r="GF22" i="18"/>
  <c r="GG22" i="18"/>
  <c r="GJ22" i="18"/>
  <c r="GK22" i="18"/>
  <c r="GL22" i="18"/>
  <c r="GM22" i="18"/>
  <c r="GN22" i="18"/>
  <c r="GO22" i="18"/>
  <c r="GP22" i="18"/>
  <c r="GQ22" i="18"/>
  <c r="GS22" i="18"/>
  <c r="GT22" i="18"/>
  <c r="GU22" i="18"/>
  <c r="GX22" i="18"/>
  <c r="GY22" i="18"/>
  <c r="GZ22" i="18"/>
  <c r="HA22" i="18"/>
  <c r="HB22" i="18"/>
  <c r="HC22" i="18"/>
  <c r="HD22" i="18"/>
  <c r="HE22" i="18"/>
  <c r="HG22" i="18"/>
  <c r="HH22" i="18"/>
  <c r="HI22" i="18"/>
  <c r="HL22" i="18"/>
  <c r="HM22" i="18"/>
  <c r="HN22" i="18"/>
  <c r="HO22" i="18"/>
  <c r="HP22" i="18"/>
  <c r="HQ22" i="18"/>
  <c r="HR22" i="18"/>
  <c r="HS22" i="18"/>
  <c r="HU22" i="18"/>
  <c r="HV22" i="18"/>
  <c r="HW22" i="18"/>
  <c r="D23" i="18"/>
  <c r="E23" i="18"/>
  <c r="G23" i="18"/>
  <c r="H23" i="18"/>
  <c r="I23" i="18"/>
  <c r="J23" i="18"/>
  <c r="K23" i="18"/>
  <c r="M23" i="18"/>
  <c r="N23" i="18"/>
  <c r="O23" i="18"/>
  <c r="R23" i="18"/>
  <c r="S23" i="18"/>
  <c r="T23" i="18"/>
  <c r="U23" i="18"/>
  <c r="V23" i="18"/>
  <c r="W23" i="18"/>
  <c r="X23" i="18"/>
  <c r="Y23" i="18"/>
  <c r="AA23" i="18"/>
  <c r="AB23" i="18"/>
  <c r="AC23" i="18"/>
  <c r="AF23" i="18"/>
  <c r="AG23" i="18"/>
  <c r="AH23" i="18"/>
  <c r="AI23" i="18"/>
  <c r="AJ23" i="18"/>
  <c r="AK23" i="18"/>
  <c r="AL23" i="18"/>
  <c r="AM23" i="18"/>
  <c r="AO23" i="18"/>
  <c r="AP23" i="18"/>
  <c r="AQ23" i="18"/>
  <c r="AT23" i="18"/>
  <c r="AU23" i="18"/>
  <c r="AV23" i="18"/>
  <c r="AW23" i="18"/>
  <c r="AX23" i="18"/>
  <c r="AY23" i="18"/>
  <c r="AZ23" i="18"/>
  <c r="BA23" i="18"/>
  <c r="BC23" i="18"/>
  <c r="BD23" i="18"/>
  <c r="BE23" i="18"/>
  <c r="BJ23" i="18"/>
  <c r="BK23" i="18"/>
  <c r="BL23" i="18"/>
  <c r="BM23" i="18"/>
  <c r="BN23" i="18"/>
  <c r="BO23" i="18"/>
  <c r="BP23" i="18"/>
  <c r="BQ23" i="18"/>
  <c r="BS23" i="18"/>
  <c r="BT23" i="18"/>
  <c r="BU23" i="18"/>
  <c r="BX23" i="18"/>
  <c r="BY23" i="18"/>
  <c r="BZ23" i="18"/>
  <c r="CA23" i="18"/>
  <c r="CB23" i="18"/>
  <c r="CC23" i="18"/>
  <c r="CD23" i="18"/>
  <c r="CE23" i="18"/>
  <c r="CG23" i="18"/>
  <c r="CH23" i="18"/>
  <c r="CI23" i="18"/>
  <c r="CL23" i="18"/>
  <c r="CM23" i="18"/>
  <c r="CN23" i="18"/>
  <c r="CO23" i="18"/>
  <c r="CP23" i="18"/>
  <c r="CQ23" i="18"/>
  <c r="CR23" i="18"/>
  <c r="CS23" i="18"/>
  <c r="CU23" i="18"/>
  <c r="CV23" i="18"/>
  <c r="CW23" i="18"/>
  <c r="CZ23" i="18"/>
  <c r="DA23" i="18"/>
  <c r="DB23" i="18"/>
  <c r="DC23" i="18"/>
  <c r="DD23" i="18"/>
  <c r="DE23" i="18"/>
  <c r="DF23" i="18"/>
  <c r="DG23" i="18"/>
  <c r="DI23" i="18"/>
  <c r="DJ23" i="18"/>
  <c r="DK23" i="18"/>
  <c r="DP23" i="18"/>
  <c r="DQ23" i="18"/>
  <c r="DR23" i="18"/>
  <c r="DS23" i="18"/>
  <c r="DT23" i="18"/>
  <c r="DU23" i="18"/>
  <c r="DV23" i="18"/>
  <c r="DW23" i="18"/>
  <c r="DY23" i="18"/>
  <c r="DZ23" i="18"/>
  <c r="EA23" i="18"/>
  <c r="ED23" i="18"/>
  <c r="EE23" i="18"/>
  <c r="EF23" i="18"/>
  <c r="EG23" i="18"/>
  <c r="EH23" i="18"/>
  <c r="EI23" i="18"/>
  <c r="EJ23" i="18"/>
  <c r="EK23" i="18"/>
  <c r="EM23" i="18"/>
  <c r="EN23" i="18"/>
  <c r="EO23" i="18"/>
  <c r="ER23" i="18"/>
  <c r="ES23" i="18"/>
  <c r="ET23" i="18"/>
  <c r="EU23" i="18"/>
  <c r="EV23" i="18"/>
  <c r="EW23" i="18"/>
  <c r="EX23" i="18"/>
  <c r="EY23" i="18"/>
  <c r="FA23" i="18"/>
  <c r="FB23" i="18"/>
  <c r="FC23" i="18"/>
  <c r="FF23" i="18"/>
  <c r="FG23" i="18"/>
  <c r="FH23" i="18"/>
  <c r="FI23" i="18"/>
  <c r="FJ23" i="18"/>
  <c r="FK23" i="18"/>
  <c r="FL23" i="18"/>
  <c r="FM23" i="18"/>
  <c r="FO23" i="18"/>
  <c r="FP23" i="18"/>
  <c r="FQ23" i="18"/>
  <c r="FV23" i="18"/>
  <c r="FW23" i="18"/>
  <c r="FX23" i="18"/>
  <c r="FY23" i="18"/>
  <c r="FZ23" i="18"/>
  <c r="GA23" i="18"/>
  <c r="GB23" i="18"/>
  <c r="GC23" i="18"/>
  <c r="GE23" i="18"/>
  <c r="GF23" i="18"/>
  <c r="GG23" i="18"/>
  <c r="GJ23" i="18"/>
  <c r="GK23" i="18"/>
  <c r="GL23" i="18"/>
  <c r="GM23" i="18"/>
  <c r="GN23" i="18"/>
  <c r="GO23" i="18"/>
  <c r="GP23" i="18"/>
  <c r="GQ23" i="18"/>
  <c r="GS23" i="18"/>
  <c r="GT23" i="18"/>
  <c r="GU23" i="18"/>
  <c r="GX23" i="18"/>
  <c r="GY23" i="18"/>
  <c r="GZ23" i="18"/>
  <c r="HA23" i="18"/>
  <c r="HB23" i="18"/>
  <c r="HC23" i="18"/>
  <c r="HD23" i="18"/>
  <c r="HE23" i="18"/>
  <c r="HG23" i="18"/>
  <c r="HH23" i="18"/>
  <c r="HI23" i="18"/>
  <c r="HL23" i="18"/>
  <c r="HM23" i="18"/>
  <c r="HN23" i="18"/>
  <c r="HO23" i="18"/>
  <c r="HP23" i="18"/>
  <c r="HQ23" i="18"/>
  <c r="HR23" i="18"/>
  <c r="HS23" i="18"/>
  <c r="HU23" i="18"/>
  <c r="HV23" i="18"/>
  <c r="HW23" i="18"/>
  <c r="D24" i="18"/>
  <c r="E24" i="18"/>
  <c r="G24" i="18"/>
  <c r="H24" i="18"/>
  <c r="I24" i="18"/>
  <c r="J24" i="18"/>
  <c r="K24" i="18"/>
  <c r="M24" i="18"/>
  <c r="N24" i="18"/>
  <c r="O24" i="18"/>
  <c r="R24" i="18"/>
  <c r="S24" i="18"/>
  <c r="T24" i="18"/>
  <c r="U24" i="18"/>
  <c r="V24" i="18"/>
  <c r="W24" i="18"/>
  <c r="X24" i="18"/>
  <c r="Y24" i="18"/>
  <c r="AA24" i="18"/>
  <c r="AB24" i="18"/>
  <c r="AC24" i="18"/>
  <c r="AF24" i="18"/>
  <c r="AG24" i="18"/>
  <c r="AH24" i="18"/>
  <c r="AI24" i="18"/>
  <c r="AJ24" i="18"/>
  <c r="AK24" i="18"/>
  <c r="AL24" i="18"/>
  <c r="AM24" i="18"/>
  <c r="AO24" i="18"/>
  <c r="AP24" i="18"/>
  <c r="AQ24" i="18"/>
  <c r="AT24" i="18"/>
  <c r="AU24" i="18"/>
  <c r="AV24" i="18"/>
  <c r="AW24" i="18"/>
  <c r="AX24" i="18"/>
  <c r="AY24" i="18"/>
  <c r="AZ24" i="18"/>
  <c r="BA24" i="18"/>
  <c r="BC24" i="18"/>
  <c r="BD24" i="18"/>
  <c r="BE24" i="18"/>
  <c r="BJ24" i="18"/>
  <c r="BK24" i="18"/>
  <c r="BL24" i="18"/>
  <c r="BM24" i="18"/>
  <c r="BN24" i="18"/>
  <c r="BO24" i="18"/>
  <c r="BP24" i="18"/>
  <c r="BQ24" i="18"/>
  <c r="BS24" i="18"/>
  <c r="BT24" i="18"/>
  <c r="BU24" i="18"/>
  <c r="BX24" i="18"/>
  <c r="BY24" i="18"/>
  <c r="BZ24" i="18"/>
  <c r="CA24" i="18"/>
  <c r="CB24" i="18"/>
  <c r="CC24" i="18"/>
  <c r="CD24" i="18"/>
  <c r="CE24" i="18"/>
  <c r="CG24" i="18"/>
  <c r="CH24" i="18"/>
  <c r="CI24" i="18"/>
  <c r="CL24" i="18"/>
  <c r="CM24" i="18"/>
  <c r="CN24" i="18"/>
  <c r="CO24" i="18"/>
  <c r="CP24" i="18"/>
  <c r="CQ24" i="18"/>
  <c r="CR24" i="18"/>
  <c r="CS24" i="18"/>
  <c r="CU24" i="18"/>
  <c r="CV24" i="18"/>
  <c r="CW24" i="18"/>
  <c r="CZ24" i="18"/>
  <c r="DA24" i="18"/>
  <c r="DB24" i="18"/>
  <c r="DC24" i="18"/>
  <c r="DD24" i="18"/>
  <c r="DE24" i="18"/>
  <c r="DF24" i="18"/>
  <c r="DG24" i="18"/>
  <c r="DI24" i="18"/>
  <c r="DJ24" i="18"/>
  <c r="DK24" i="18"/>
  <c r="DP24" i="18"/>
  <c r="DQ24" i="18"/>
  <c r="DR24" i="18"/>
  <c r="DS24" i="18"/>
  <c r="DT24" i="18"/>
  <c r="DU24" i="18"/>
  <c r="DV24" i="18"/>
  <c r="DW24" i="18"/>
  <c r="DY24" i="18"/>
  <c r="DZ24" i="18"/>
  <c r="EA24" i="18"/>
  <c r="ED24" i="18"/>
  <c r="EE24" i="18"/>
  <c r="EF24" i="18"/>
  <c r="EG24" i="18"/>
  <c r="EH24" i="18"/>
  <c r="EI24" i="18"/>
  <c r="EJ24" i="18"/>
  <c r="EK24" i="18"/>
  <c r="EM24" i="18"/>
  <c r="EN24" i="18"/>
  <c r="EO24" i="18"/>
  <c r="ER24" i="18"/>
  <c r="ES24" i="18"/>
  <c r="ET24" i="18"/>
  <c r="EU24" i="18"/>
  <c r="EV24" i="18"/>
  <c r="EW24" i="18"/>
  <c r="EX24" i="18"/>
  <c r="EY24" i="18"/>
  <c r="FA24" i="18"/>
  <c r="FB24" i="18"/>
  <c r="FC24" i="18"/>
  <c r="FF24" i="18"/>
  <c r="FG24" i="18"/>
  <c r="FH24" i="18"/>
  <c r="FI24" i="18"/>
  <c r="FJ24" i="18"/>
  <c r="FK24" i="18"/>
  <c r="FL24" i="18"/>
  <c r="FM24" i="18"/>
  <c r="FO24" i="18"/>
  <c r="FP24" i="18"/>
  <c r="FQ24" i="18"/>
  <c r="FV24" i="18"/>
  <c r="FW24" i="18"/>
  <c r="FX24" i="18"/>
  <c r="FY24" i="18"/>
  <c r="FZ24" i="18"/>
  <c r="GA24" i="18"/>
  <c r="GB24" i="18"/>
  <c r="GC24" i="18"/>
  <c r="GE24" i="18"/>
  <c r="GF24" i="18"/>
  <c r="GG24" i="18"/>
  <c r="GJ24" i="18"/>
  <c r="GK24" i="18"/>
  <c r="GL24" i="18"/>
  <c r="GM24" i="18"/>
  <c r="GN24" i="18"/>
  <c r="GO24" i="18"/>
  <c r="GP24" i="18"/>
  <c r="GQ24" i="18"/>
  <c r="GS24" i="18"/>
  <c r="GT24" i="18"/>
  <c r="GU24" i="18"/>
  <c r="GX24" i="18"/>
  <c r="GY24" i="18"/>
  <c r="GZ24" i="18"/>
  <c r="HA24" i="18"/>
  <c r="HB24" i="18"/>
  <c r="HC24" i="18"/>
  <c r="HD24" i="18"/>
  <c r="HE24" i="18"/>
  <c r="HG24" i="18"/>
  <c r="HH24" i="18"/>
  <c r="HI24" i="18"/>
  <c r="HL24" i="18"/>
  <c r="HM24" i="18"/>
  <c r="HN24" i="18"/>
  <c r="HO24" i="18"/>
  <c r="HP24" i="18"/>
  <c r="HQ24" i="18"/>
  <c r="HR24" i="18"/>
  <c r="HS24" i="18"/>
  <c r="HU24" i="18"/>
  <c r="HV24" i="18"/>
  <c r="HW24" i="18"/>
  <c r="D25" i="18"/>
  <c r="E25" i="18"/>
  <c r="G25" i="18"/>
  <c r="H25" i="18"/>
  <c r="I25" i="18"/>
  <c r="J25" i="18"/>
  <c r="K25" i="18"/>
  <c r="M25" i="18"/>
  <c r="N25" i="18"/>
  <c r="O25" i="18"/>
  <c r="R25" i="18"/>
  <c r="S25" i="18"/>
  <c r="T25" i="18"/>
  <c r="U25" i="18"/>
  <c r="V25" i="18"/>
  <c r="W25" i="18"/>
  <c r="X25" i="18"/>
  <c r="Y25" i="18"/>
  <c r="AA25" i="18"/>
  <c r="AB25" i="18"/>
  <c r="AC25" i="18"/>
  <c r="AF25" i="18"/>
  <c r="AG25" i="18"/>
  <c r="AH25" i="18"/>
  <c r="AI25" i="18"/>
  <c r="AJ25" i="18"/>
  <c r="AK25" i="18"/>
  <c r="AL25" i="18"/>
  <c r="AM25" i="18"/>
  <c r="AO25" i="18"/>
  <c r="AP25" i="18"/>
  <c r="AQ25" i="18"/>
  <c r="AT25" i="18"/>
  <c r="AU25" i="18"/>
  <c r="AV25" i="18"/>
  <c r="AW25" i="18"/>
  <c r="AX25" i="18"/>
  <c r="AY25" i="18"/>
  <c r="AZ25" i="18"/>
  <c r="BA25" i="18"/>
  <c r="BC25" i="18"/>
  <c r="BD25" i="18"/>
  <c r="BE25" i="18"/>
  <c r="BJ25" i="18"/>
  <c r="BK25" i="18"/>
  <c r="BL25" i="18"/>
  <c r="BM25" i="18"/>
  <c r="BN25" i="18"/>
  <c r="BO25" i="18"/>
  <c r="BP25" i="18"/>
  <c r="BQ25" i="18"/>
  <c r="BS25" i="18"/>
  <c r="BT25" i="18"/>
  <c r="BU25" i="18"/>
  <c r="BX25" i="18"/>
  <c r="BY25" i="18"/>
  <c r="BZ25" i="18"/>
  <c r="CA25" i="18"/>
  <c r="CB25" i="18"/>
  <c r="CC25" i="18"/>
  <c r="CD25" i="18"/>
  <c r="CE25" i="18"/>
  <c r="CG25" i="18"/>
  <c r="CH25" i="18"/>
  <c r="CI25" i="18"/>
  <c r="CL25" i="18"/>
  <c r="CM25" i="18"/>
  <c r="CN25" i="18"/>
  <c r="CO25" i="18"/>
  <c r="CP25" i="18"/>
  <c r="CQ25" i="18"/>
  <c r="CR25" i="18"/>
  <c r="CS25" i="18"/>
  <c r="CU25" i="18"/>
  <c r="CV25" i="18"/>
  <c r="CW25" i="18"/>
  <c r="CZ25" i="18"/>
  <c r="DA25" i="18"/>
  <c r="DB25" i="18"/>
  <c r="DC25" i="18"/>
  <c r="DD25" i="18"/>
  <c r="DE25" i="18"/>
  <c r="DF25" i="18"/>
  <c r="DG25" i="18"/>
  <c r="DI25" i="18"/>
  <c r="DJ25" i="18"/>
  <c r="DK25" i="18"/>
  <c r="DP25" i="18"/>
  <c r="DQ25" i="18"/>
  <c r="DR25" i="18"/>
  <c r="DS25" i="18"/>
  <c r="DT25" i="18"/>
  <c r="DU25" i="18"/>
  <c r="DV25" i="18"/>
  <c r="DW25" i="18"/>
  <c r="DY25" i="18"/>
  <c r="DZ25" i="18"/>
  <c r="EA25" i="18"/>
  <c r="ED25" i="18"/>
  <c r="EE25" i="18"/>
  <c r="EF25" i="18"/>
  <c r="EG25" i="18"/>
  <c r="EH25" i="18"/>
  <c r="EI25" i="18"/>
  <c r="EJ25" i="18"/>
  <c r="EK25" i="18"/>
  <c r="EM25" i="18"/>
  <c r="EN25" i="18"/>
  <c r="EO25" i="18"/>
  <c r="ER25" i="18"/>
  <c r="ES25" i="18"/>
  <c r="ET25" i="18"/>
  <c r="EU25" i="18"/>
  <c r="EV25" i="18"/>
  <c r="EW25" i="18"/>
  <c r="EX25" i="18"/>
  <c r="EY25" i="18"/>
  <c r="FA25" i="18"/>
  <c r="FB25" i="18"/>
  <c r="FC25" i="18"/>
  <c r="FF25" i="18"/>
  <c r="FG25" i="18"/>
  <c r="FH25" i="18"/>
  <c r="FI25" i="18"/>
  <c r="FJ25" i="18"/>
  <c r="FK25" i="18"/>
  <c r="FL25" i="18"/>
  <c r="FM25" i="18"/>
  <c r="FO25" i="18"/>
  <c r="FP25" i="18"/>
  <c r="FQ25" i="18"/>
  <c r="FV25" i="18"/>
  <c r="FW25" i="18"/>
  <c r="FX25" i="18"/>
  <c r="FY25" i="18"/>
  <c r="FZ25" i="18"/>
  <c r="GA25" i="18"/>
  <c r="GB25" i="18"/>
  <c r="GC25" i="18"/>
  <c r="GE25" i="18"/>
  <c r="GF25" i="18"/>
  <c r="GG25" i="18"/>
  <c r="GJ25" i="18"/>
  <c r="GK25" i="18"/>
  <c r="GL25" i="18"/>
  <c r="GM25" i="18"/>
  <c r="GN25" i="18"/>
  <c r="GO25" i="18"/>
  <c r="GP25" i="18"/>
  <c r="GQ25" i="18"/>
  <c r="GS25" i="18"/>
  <c r="GT25" i="18"/>
  <c r="GU25" i="18"/>
  <c r="GX25" i="18"/>
  <c r="GY25" i="18"/>
  <c r="GZ25" i="18"/>
  <c r="HA25" i="18"/>
  <c r="HB25" i="18"/>
  <c r="HC25" i="18"/>
  <c r="HD25" i="18"/>
  <c r="HE25" i="18"/>
  <c r="HG25" i="18"/>
  <c r="HH25" i="18"/>
  <c r="HI25" i="18"/>
  <c r="HL25" i="18"/>
  <c r="HM25" i="18"/>
  <c r="HN25" i="18"/>
  <c r="HO25" i="18"/>
  <c r="HP25" i="18"/>
  <c r="HQ25" i="18"/>
  <c r="HR25" i="18"/>
  <c r="HS25" i="18"/>
  <c r="HU25" i="18"/>
  <c r="HV25" i="18"/>
  <c r="HW25" i="18"/>
  <c r="D26" i="18"/>
  <c r="E26" i="18"/>
  <c r="G26" i="18"/>
  <c r="H26" i="18"/>
  <c r="I26" i="18"/>
  <c r="J26" i="18"/>
  <c r="K26" i="18"/>
  <c r="M26" i="18"/>
  <c r="N26" i="18"/>
  <c r="O26" i="18"/>
  <c r="R26" i="18"/>
  <c r="S26" i="18"/>
  <c r="T26" i="18"/>
  <c r="U26" i="18"/>
  <c r="V26" i="18"/>
  <c r="W26" i="18"/>
  <c r="X26" i="18"/>
  <c r="Y26" i="18"/>
  <c r="AA26" i="18"/>
  <c r="AB26" i="18"/>
  <c r="AC26" i="18"/>
  <c r="AF26" i="18"/>
  <c r="AG26" i="18"/>
  <c r="AH26" i="18"/>
  <c r="AI26" i="18"/>
  <c r="AJ26" i="18"/>
  <c r="AK26" i="18"/>
  <c r="AL26" i="18"/>
  <c r="AM26" i="18"/>
  <c r="AO26" i="18"/>
  <c r="AP26" i="18"/>
  <c r="AQ26" i="18"/>
  <c r="AT26" i="18"/>
  <c r="AU26" i="18"/>
  <c r="AV26" i="18"/>
  <c r="AW26" i="18"/>
  <c r="AX26" i="18"/>
  <c r="AY26" i="18"/>
  <c r="AZ26" i="18"/>
  <c r="BA26" i="18"/>
  <c r="BC26" i="18"/>
  <c r="BD26" i="18"/>
  <c r="BE26" i="18"/>
  <c r="BJ26" i="18"/>
  <c r="BK26" i="18"/>
  <c r="BL26" i="18"/>
  <c r="BM26" i="18"/>
  <c r="BN26" i="18"/>
  <c r="BO26" i="18"/>
  <c r="BP26" i="18"/>
  <c r="BQ26" i="18"/>
  <c r="BS26" i="18"/>
  <c r="BT26" i="18"/>
  <c r="BU26" i="18"/>
  <c r="BX26" i="18"/>
  <c r="BY26" i="18"/>
  <c r="BZ26" i="18"/>
  <c r="CA26" i="18"/>
  <c r="CB26" i="18"/>
  <c r="CC26" i="18"/>
  <c r="CD26" i="18"/>
  <c r="CE26" i="18"/>
  <c r="CG26" i="18"/>
  <c r="CH26" i="18"/>
  <c r="CI26" i="18"/>
  <c r="CL26" i="18"/>
  <c r="CM26" i="18"/>
  <c r="CN26" i="18"/>
  <c r="CO26" i="18"/>
  <c r="CP26" i="18"/>
  <c r="CQ26" i="18"/>
  <c r="CR26" i="18"/>
  <c r="CS26" i="18"/>
  <c r="CU26" i="18"/>
  <c r="CV26" i="18"/>
  <c r="CW26" i="18"/>
  <c r="CZ26" i="18"/>
  <c r="DA26" i="18"/>
  <c r="DB26" i="18"/>
  <c r="DC26" i="18"/>
  <c r="DD26" i="18"/>
  <c r="DE26" i="18"/>
  <c r="DF26" i="18"/>
  <c r="DG26" i="18"/>
  <c r="DI26" i="18"/>
  <c r="DJ26" i="18"/>
  <c r="DK26" i="18"/>
  <c r="DP26" i="18"/>
  <c r="DQ26" i="18"/>
  <c r="DR26" i="18"/>
  <c r="DS26" i="18"/>
  <c r="DT26" i="18"/>
  <c r="DU26" i="18"/>
  <c r="DV26" i="18"/>
  <c r="DW26" i="18"/>
  <c r="DY26" i="18"/>
  <c r="DZ26" i="18"/>
  <c r="EA26" i="18"/>
  <c r="ED26" i="18"/>
  <c r="EE26" i="18"/>
  <c r="EF26" i="18"/>
  <c r="EG26" i="18"/>
  <c r="EH26" i="18"/>
  <c r="EI26" i="18"/>
  <c r="EJ26" i="18"/>
  <c r="EK26" i="18"/>
  <c r="EM26" i="18"/>
  <c r="EN26" i="18"/>
  <c r="EO26" i="18"/>
  <c r="ER26" i="18"/>
  <c r="ES26" i="18"/>
  <c r="ET26" i="18"/>
  <c r="EU26" i="18"/>
  <c r="EV26" i="18"/>
  <c r="EW26" i="18"/>
  <c r="EX26" i="18"/>
  <c r="EY26" i="18"/>
  <c r="FA26" i="18"/>
  <c r="FB26" i="18"/>
  <c r="FC26" i="18"/>
  <c r="FF26" i="18"/>
  <c r="FG26" i="18"/>
  <c r="FH26" i="18"/>
  <c r="FI26" i="18"/>
  <c r="FJ26" i="18"/>
  <c r="FK26" i="18"/>
  <c r="FL26" i="18"/>
  <c r="FM26" i="18"/>
  <c r="FO26" i="18"/>
  <c r="FP26" i="18"/>
  <c r="FQ26" i="18"/>
  <c r="FV26" i="18"/>
  <c r="FW26" i="18"/>
  <c r="FX26" i="18"/>
  <c r="FY26" i="18"/>
  <c r="FZ26" i="18"/>
  <c r="GA26" i="18"/>
  <c r="GB26" i="18"/>
  <c r="GC26" i="18"/>
  <c r="GE26" i="18"/>
  <c r="GF26" i="18"/>
  <c r="GG26" i="18"/>
  <c r="GJ26" i="18"/>
  <c r="GK26" i="18"/>
  <c r="GL26" i="18"/>
  <c r="GM26" i="18"/>
  <c r="GN26" i="18"/>
  <c r="GO26" i="18"/>
  <c r="GP26" i="18"/>
  <c r="GQ26" i="18"/>
  <c r="GS26" i="18"/>
  <c r="GT26" i="18"/>
  <c r="GU26" i="18"/>
  <c r="GX26" i="18"/>
  <c r="GY26" i="18"/>
  <c r="GZ26" i="18"/>
  <c r="HA26" i="18"/>
  <c r="HB26" i="18"/>
  <c r="HC26" i="18"/>
  <c r="HD26" i="18"/>
  <c r="HE26" i="18"/>
  <c r="HG26" i="18"/>
  <c r="HH26" i="18"/>
  <c r="HI26" i="18"/>
  <c r="HL26" i="18"/>
  <c r="HM26" i="18"/>
  <c r="HN26" i="18"/>
  <c r="HO26" i="18"/>
  <c r="HP26" i="18"/>
  <c r="HQ26" i="18"/>
  <c r="HR26" i="18"/>
  <c r="HS26" i="18"/>
  <c r="HU26" i="18"/>
  <c r="HV26" i="18"/>
  <c r="HW26" i="18"/>
  <c r="D27" i="18"/>
  <c r="E27" i="18"/>
  <c r="G27" i="18"/>
  <c r="H27" i="18"/>
  <c r="I27" i="18"/>
  <c r="J27" i="18"/>
  <c r="K27" i="18"/>
  <c r="M27" i="18"/>
  <c r="N27" i="18"/>
  <c r="O27" i="18"/>
  <c r="R27" i="18"/>
  <c r="S27" i="18"/>
  <c r="T27" i="18"/>
  <c r="U27" i="18"/>
  <c r="V27" i="18"/>
  <c r="W27" i="18"/>
  <c r="X27" i="18"/>
  <c r="Y27" i="18"/>
  <c r="AA27" i="18"/>
  <c r="AB27" i="18"/>
  <c r="AC27" i="18"/>
  <c r="AF27" i="18"/>
  <c r="AG27" i="18"/>
  <c r="AH27" i="18"/>
  <c r="AI27" i="18"/>
  <c r="AJ27" i="18"/>
  <c r="AK27" i="18"/>
  <c r="AL27" i="18"/>
  <c r="AM27" i="18"/>
  <c r="AO27" i="18"/>
  <c r="AP27" i="18"/>
  <c r="AQ27" i="18"/>
  <c r="AT27" i="18"/>
  <c r="AU27" i="18"/>
  <c r="AV27" i="18"/>
  <c r="AW27" i="18"/>
  <c r="AX27" i="18"/>
  <c r="AY27" i="18"/>
  <c r="AZ27" i="18"/>
  <c r="BA27" i="18"/>
  <c r="BC27" i="18"/>
  <c r="BD27" i="18"/>
  <c r="BE27" i="18"/>
  <c r="BJ27" i="18"/>
  <c r="BK27" i="18"/>
  <c r="BL27" i="18"/>
  <c r="BM27" i="18"/>
  <c r="BN27" i="18"/>
  <c r="BO27" i="18"/>
  <c r="BP27" i="18"/>
  <c r="BQ27" i="18"/>
  <c r="BS27" i="18"/>
  <c r="BT27" i="18"/>
  <c r="BU27" i="18"/>
  <c r="BX27" i="18"/>
  <c r="BY27" i="18"/>
  <c r="BZ27" i="18"/>
  <c r="CA27" i="18"/>
  <c r="CB27" i="18"/>
  <c r="CC27" i="18"/>
  <c r="CD27" i="18"/>
  <c r="CE27" i="18"/>
  <c r="CG27" i="18"/>
  <c r="CH27" i="18"/>
  <c r="CI27" i="18"/>
  <c r="CL27" i="18"/>
  <c r="CM27" i="18"/>
  <c r="CN27" i="18"/>
  <c r="CO27" i="18"/>
  <c r="CP27" i="18"/>
  <c r="CQ27" i="18"/>
  <c r="CR27" i="18"/>
  <c r="CS27" i="18"/>
  <c r="CU27" i="18"/>
  <c r="CV27" i="18"/>
  <c r="CW27" i="18"/>
  <c r="CZ27" i="18"/>
  <c r="DA27" i="18"/>
  <c r="DB27" i="18"/>
  <c r="DC27" i="18"/>
  <c r="DD27" i="18"/>
  <c r="DE27" i="18"/>
  <c r="DF27" i="18"/>
  <c r="DG27" i="18"/>
  <c r="DI27" i="18"/>
  <c r="DJ27" i="18"/>
  <c r="DK27" i="18"/>
  <c r="DP27" i="18"/>
  <c r="DQ27" i="18"/>
  <c r="DR27" i="18"/>
  <c r="DS27" i="18"/>
  <c r="DT27" i="18"/>
  <c r="DU27" i="18"/>
  <c r="DV27" i="18"/>
  <c r="DW27" i="18"/>
  <c r="DY27" i="18"/>
  <c r="DZ27" i="18"/>
  <c r="EA27" i="18"/>
  <c r="ED27" i="18"/>
  <c r="EE27" i="18"/>
  <c r="EF27" i="18"/>
  <c r="EG27" i="18"/>
  <c r="EH27" i="18"/>
  <c r="EI27" i="18"/>
  <c r="EJ27" i="18"/>
  <c r="EK27" i="18"/>
  <c r="EM27" i="18"/>
  <c r="EN27" i="18"/>
  <c r="EO27" i="18"/>
  <c r="ER27" i="18"/>
  <c r="ES27" i="18"/>
  <c r="ET27" i="18"/>
  <c r="EU27" i="18"/>
  <c r="EV27" i="18"/>
  <c r="EW27" i="18"/>
  <c r="EX27" i="18"/>
  <c r="EY27" i="18"/>
  <c r="FA27" i="18"/>
  <c r="FB27" i="18"/>
  <c r="FC27" i="18"/>
  <c r="FF27" i="18"/>
  <c r="FG27" i="18"/>
  <c r="FH27" i="18"/>
  <c r="FI27" i="18"/>
  <c r="FJ27" i="18"/>
  <c r="FK27" i="18"/>
  <c r="FL27" i="18"/>
  <c r="FM27" i="18"/>
  <c r="FO27" i="18"/>
  <c r="FP27" i="18"/>
  <c r="FQ27" i="18"/>
  <c r="FV27" i="18"/>
  <c r="FW27" i="18"/>
  <c r="FX27" i="18"/>
  <c r="FY27" i="18"/>
  <c r="FZ27" i="18"/>
  <c r="GA27" i="18"/>
  <c r="GB27" i="18"/>
  <c r="GC27" i="18"/>
  <c r="GE27" i="18"/>
  <c r="GF27" i="18"/>
  <c r="GG27" i="18"/>
  <c r="GJ27" i="18"/>
  <c r="GK27" i="18"/>
  <c r="GL27" i="18"/>
  <c r="GM27" i="18"/>
  <c r="GN27" i="18"/>
  <c r="GO27" i="18"/>
  <c r="GP27" i="18"/>
  <c r="GQ27" i="18"/>
  <c r="GS27" i="18"/>
  <c r="GT27" i="18"/>
  <c r="GU27" i="18"/>
  <c r="GX27" i="18"/>
  <c r="GY27" i="18"/>
  <c r="GZ27" i="18"/>
  <c r="HA27" i="18"/>
  <c r="HB27" i="18"/>
  <c r="HC27" i="18"/>
  <c r="HD27" i="18"/>
  <c r="HE27" i="18"/>
  <c r="HG27" i="18"/>
  <c r="HH27" i="18"/>
  <c r="HI27" i="18"/>
  <c r="HL27" i="18"/>
  <c r="HM27" i="18"/>
  <c r="HN27" i="18"/>
  <c r="HO27" i="18"/>
  <c r="HP27" i="18"/>
  <c r="HQ27" i="18"/>
  <c r="HR27" i="18"/>
  <c r="HS27" i="18"/>
  <c r="HU27" i="18"/>
  <c r="HV27" i="18"/>
  <c r="HW27" i="18"/>
  <c r="D28" i="18"/>
  <c r="E28" i="18"/>
  <c r="G28" i="18"/>
  <c r="H28" i="18"/>
  <c r="I28" i="18"/>
  <c r="J28" i="18"/>
  <c r="K28" i="18"/>
  <c r="M28" i="18"/>
  <c r="N28" i="18"/>
  <c r="O28" i="18"/>
  <c r="R28" i="18"/>
  <c r="S28" i="18"/>
  <c r="T28" i="18"/>
  <c r="U28" i="18"/>
  <c r="V28" i="18"/>
  <c r="W28" i="18"/>
  <c r="X28" i="18"/>
  <c r="Y28" i="18"/>
  <c r="AA28" i="18"/>
  <c r="AB28" i="18"/>
  <c r="AC28" i="18"/>
  <c r="AF28" i="18"/>
  <c r="AG28" i="18"/>
  <c r="AH28" i="18"/>
  <c r="AI28" i="18"/>
  <c r="AJ28" i="18"/>
  <c r="AK28" i="18"/>
  <c r="AL28" i="18"/>
  <c r="AM28" i="18"/>
  <c r="AO28" i="18"/>
  <c r="AP28" i="18"/>
  <c r="AQ28" i="18"/>
  <c r="AT28" i="18"/>
  <c r="AU28" i="18"/>
  <c r="AV28" i="18"/>
  <c r="AW28" i="18"/>
  <c r="AX28" i="18"/>
  <c r="AY28" i="18"/>
  <c r="AZ28" i="18"/>
  <c r="BA28" i="18"/>
  <c r="BC28" i="18"/>
  <c r="BD28" i="18"/>
  <c r="BE28" i="18"/>
  <c r="BJ28" i="18"/>
  <c r="BK28" i="18"/>
  <c r="BL28" i="18"/>
  <c r="BM28" i="18"/>
  <c r="BN28" i="18"/>
  <c r="BO28" i="18"/>
  <c r="BP28" i="18"/>
  <c r="BQ28" i="18"/>
  <c r="BS28" i="18"/>
  <c r="BT28" i="18"/>
  <c r="BU28" i="18"/>
  <c r="BX28" i="18"/>
  <c r="BY28" i="18"/>
  <c r="BZ28" i="18"/>
  <c r="CA28" i="18"/>
  <c r="CB28" i="18"/>
  <c r="CC28" i="18"/>
  <c r="CD28" i="18"/>
  <c r="CE28" i="18"/>
  <c r="CG28" i="18"/>
  <c r="CH28" i="18"/>
  <c r="CI28" i="18"/>
  <c r="CL28" i="18"/>
  <c r="CM28" i="18"/>
  <c r="CN28" i="18"/>
  <c r="CO28" i="18"/>
  <c r="CP28" i="18"/>
  <c r="CQ28" i="18"/>
  <c r="CR28" i="18"/>
  <c r="CS28" i="18"/>
  <c r="CU28" i="18"/>
  <c r="CV28" i="18"/>
  <c r="CW28" i="18"/>
  <c r="CZ28" i="18"/>
  <c r="DA28" i="18"/>
  <c r="DB28" i="18"/>
  <c r="DC28" i="18"/>
  <c r="DD28" i="18"/>
  <c r="DE28" i="18"/>
  <c r="DF28" i="18"/>
  <c r="DG28" i="18"/>
  <c r="DI28" i="18"/>
  <c r="DJ28" i="18"/>
  <c r="DK28" i="18"/>
  <c r="DP28" i="18"/>
  <c r="DQ28" i="18"/>
  <c r="DR28" i="18"/>
  <c r="DS28" i="18"/>
  <c r="DT28" i="18"/>
  <c r="DU28" i="18"/>
  <c r="DV28" i="18"/>
  <c r="DW28" i="18"/>
  <c r="DY28" i="18"/>
  <c r="DZ28" i="18"/>
  <c r="EA28" i="18"/>
  <c r="ED28" i="18"/>
  <c r="EE28" i="18"/>
  <c r="EF28" i="18"/>
  <c r="EG28" i="18"/>
  <c r="EH28" i="18"/>
  <c r="EI28" i="18"/>
  <c r="EJ28" i="18"/>
  <c r="EK28" i="18"/>
  <c r="EM28" i="18"/>
  <c r="EN28" i="18"/>
  <c r="EO28" i="18"/>
  <c r="ER28" i="18"/>
  <c r="ES28" i="18"/>
  <c r="ET28" i="18"/>
  <c r="EU28" i="18"/>
  <c r="EV28" i="18"/>
  <c r="EW28" i="18"/>
  <c r="EX28" i="18"/>
  <c r="EY28" i="18"/>
  <c r="FA28" i="18"/>
  <c r="FB28" i="18"/>
  <c r="FC28" i="18"/>
  <c r="FF28" i="18"/>
  <c r="FG28" i="18"/>
  <c r="FH28" i="18"/>
  <c r="FI28" i="18"/>
  <c r="FJ28" i="18"/>
  <c r="FK28" i="18"/>
  <c r="FL28" i="18"/>
  <c r="FM28" i="18"/>
  <c r="FO28" i="18"/>
  <c r="FP28" i="18"/>
  <c r="FQ28" i="18"/>
  <c r="FV28" i="18"/>
  <c r="FW28" i="18"/>
  <c r="FX28" i="18"/>
  <c r="FY28" i="18"/>
  <c r="FZ28" i="18"/>
  <c r="GA28" i="18"/>
  <c r="GB28" i="18"/>
  <c r="GC28" i="18"/>
  <c r="GE28" i="18"/>
  <c r="GF28" i="18"/>
  <c r="GG28" i="18"/>
  <c r="GJ28" i="18"/>
  <c r="GK28" i="18"/>
  <c r="GL28" i="18"/>
  <c r="GM28" i="18"/>
  <c r="GN28" i="18"/>
  <c r="GO28" i="18"/>
  <c r="GP28" i="18"/>
  <c r="GQ28" i="18"/>
  <c r="GS28" i="18"/>
  <c r="GT28" i="18"/>
  <c r="GU28" i="18"/>
  <c r="GX28" i="18"/>
  <c r="GY28" i="18"/>
  <c r="GZ28" i="18"/>
  <c r="HA28" i="18"/>
  <c r="HB28" i="18"/>
  <c r="HC28" i="18"/>
  <c r="HD28" i="18"/>
  <c r="HE28" i="18"/>
  <c r="HG28" i="18"/>
  <c r="HH28" i="18"/>
  <c r="HI28" i="18"/>
  <c r="HL28" i="18"/>
  <c r="HM28" i="18"/>
  <c r="HN28" i="18"/>
  <c r="HO28" i="18"/>
  <c r="HP28" i="18"/>
  <c r="HQ28" i="18"/>
  <c r="HR28" i="18"/>
  <c r="HS28" i="18"/>
  <c r="HU28" i="18"/>
  <c r="HV28" i="18"/>
  <c r="HW28" i="18"/>
  <c r="D29" i="18"/>
  <c r="E29" i="18"/>
  <c r="G29" i="18"/>
  <c r="H29" i="18"/>
  <c r="I29" i="18"/>
  <c r="J29" i="18"/>
  <c r="K29" i="18"/>
  <c r="M29" i="18"/>
  <c r="N29" i="18"/>
  <c r="O29" i="18"/>
  <c r="R29" i="18"/>
  <c r="S29" i="18"/>
  <c r="T29" i="18"/>
  <c r="U29" i="18"/>
  <c r="V29" i="18"/>
  <c r="W29" i="18"/>
  <c r="X29" i="18"/>
  <c r="Y29" i="18"/>
  <c r="AA29" i="18"/>
  <c r="AB29" i="18"/>
  <c r="AC29" i="18"/>
  <c r="AF29" i="18"/>
  <c r="AG29" i="18"/>
  <c r="AH29" i="18"/>
  <c r="AI29" i="18"/>
  <c r="AJ29" i="18"/>
  <c r="AK29" i="18"/>
  <c r="AL29" i="18"/>
  <c r="AM29" i="18"/>
  <c r="AO29" i="18"/>
  <c r="AP29" i="18"/>
  <c r="AQ29" i="18"/>
  <c r="AT29" i="18"/>
  <c r="AU29" i="18"/>
  <c r="AV29" i="18"/>
  <c r="AW29" i="18"/>
  <c r="AX29" i="18"/>
  <c r="AY29" i="18"/>
  <c r="AZ29" i="18"/>
  <c r="BA29" i="18"/>
  <c r="BC29" i="18"/>
  <c r="BD29" i="18"/>
  <c r="BE29" i="18"/>
  <c r="BJ29" i="18"/>
  <c r="BK29" i="18"/>
  <c r="BL29" i="18"/>
  <c r="BM29" i="18"/>
  <c r="BN29" i="18"/>
  <c r="BO29" i="18"/>
  <c r="BP29" i="18"/>
  <c r="BQ29" i="18"/>
  <c r="BS29" i="18"/>
  <c r="BT29" i="18"/>
  <c r="BU29" i="18"/>
  <c r="BX29" i="18"/>
  <c r="BY29" i="18"/>
  <c r="BZ29" i="18"/>
  <c r="CA29" i="18"/>
  <c r="CB29" i="18"/>
  <c r="CC29" i="18"/>
  <c r="CD29" i="18"/>
  <c r="CE29" i="18"/>
  <c r="CG29" i="18"/>
  <c r="CH29" i="18"/>
  <c r="CI29" i="18"/>
  <c r="CL29" i="18"/>
  <c r="CM29" i="18"/>
  <c r="CN29" i="18"/>
  <c r="CO29" i="18"/>
  <c r="CP29" i="18"/>
  <c r="CQ29" i="18"/>
  <c r="CR29" i="18"/>
  <c r="CS29" i="18"/>
  <c r="CU29" i="18"/>
  <c r="CV29" i="18"/>
  <c r="CW29" i="18"/>
  <c r="CZ29" i="18"/>
  <c r="DA29" i="18"/>
  <c r="DB29" i="18"/>
  <c r="DC29" i="18"/>
  <c r="DD29" i="18"/>
  <c r="DE29" i="18"/>
  <c r="DF29" i="18"/>
  <c r="DG29" i="18"/>
  <c r="DI29" i="18"/>
  <c r="DJ29" i="18"/>
  <c r="DK29" i="18"/>
  <c r="DP29" i="18"/>
  <c r="DQ29" i="18"/>
  <c r="DR29" i="18"/>
  <c r="DS29" i="18"/>
  <c r="DT29" i="18"/>
  <c r="DU29" i="18"/>
  <c r="DV29" i="18"/>
  <c r="DW29" i="18"/>
  <c r="DY29" i="18"/>
  <c r="DZ29" i="18"/>
  <c r="EA29" i="18"/>
  <c r="ED29" i="18"/>
  <c r="EE29" i="18"/>
  <c r="EF29" i="18"/>
  <c r="EG29" i="18"/>
  <c r="EH29" i="18"/>
  <c r="EI29" i="18"/>
  <c r="EJ29" i="18"/>
  <c r="EK29" i="18"/>
  <c r="EM29" i="18"/>
  <c r="EN29" i="18"/>
  <c r="EO29" i="18"/>
  <c r="ER29" i="18"/>
  <c r="ES29" i="18"/>
  <c r="ET29" i="18"/>
  <c r="EU29" i="18"/>
  <c r="EV29" i="18"/>
  <c r="EW29" i="18"/>
  <c r="EX29" i="18"/>
  <c r="EY29" i="18"/>
  <c r="FA29" i="18"/>
  <c r="FB29" i="18"/>
  <c r="FC29" i="18"/>
  <c r="FF29" i="18"/>
  <c r="FG29" i="18"/>
  <c r="FH29" i="18"/>
  <c r="FI29" i="18"/>
  <c r="FJ29" i="18"/>
  <c r="FK29" i="18"/>
  <c r="FL29" i="18"/>
  <c r="FM29" i="18"/>
  <c r="FO29" i="18"/>
  <c r="FP29" i="18"/>
  <c r="FQ29" i="18"/>
  <c r="FV29" i="18"/>
  <c r="FW29" i="18"/>
  <c r="FX29" i="18"/>
  <c r="FY29" i="18"/>
  <c r="FZ29" i="18"/>
  <c r="GA29" i="18"/>
  <c r="GB29" i="18"/>
  <c r="GC29" i="18"/>
  <c r="GE29" i="18"/>
  <c r="GF29" i="18"/>
  <c r="GG29" i="18"/>
  <c r="GJ29" i="18"/>
  <c r="GK29" i="18"/>
  <c r="GL29" i="18"/>
  <c r="GM29" i="18"/>
  <c r="GN29" i="18"/>
  <c r="GO29" i="18"/>
  <c r="GP29" i="18"/>
  <c r="GQ29" i="18"/>
  <c r="GS29" i="18"/>
  <c r="GT29" i="18"/>
  <c r="GU29" i="18"/>
  <c r="GX29" i="18"/>
  <c r="GY29" i="18"/>
  <c r="GZ29" i="18"/>
  <c r="HA29" i="18"/>
  <c r="HB29" i="18"/>
  <c r="HC29" i="18"/>
  <c r="HD29" i="18"/>
  <c r="HE29" i="18"/>
  <c r="HG29" i="18"/>
  <c r="HH29" i="18"/>
  <c r="HI29" i="18"/>
  <c r="HL29" i="18"/>
  <c r="HM29" i="18"/>
  <c r="HN29" i="18"/>
  <c r="HO29" i="18"/>
  <c r="HP29" i="18"/>
  <c r="HQ29" i="18"/>
  <c r="HR29" i="18"/>
  <c r="HS29" i="18"/>
  <c r="HU29" i="18"/>
  <c r="HV29" i="18"/>
  <c r="HW29" i="18"/>
  <c r="D30" i="18"/>
  <c r="E30" i="18"/>
  <c r="G30" i="18"/>
  <c r="H30" i="18"/>
  <c r="I30" i="18"/>
  <c r="J30" i="18"/>
  <c r="K30" i="18"/>
  <c r="M30" i="18"/>
  <c r="N30" i="18"/>
  <c r="O30" i="18"/>
  <c r="R30" i="18"/>
  <c r="S30" i="18"/>
  <c r="T30" i="18"/>
  <c r="U30" i="18"/>
  <c r="V30" i="18"/>
  <c r="W30" i="18"/>
  <c r="X30" i="18"/>
  <c r="Y30" i="18"/>
  <c r="AA30" i="18"/>
  <c r="AB30" i="18"/>
  <c r="AC30" i="18"/>
  <c r="AF30" i="18"/>
  <c r="AG30" i="18"/>
  <c r="AH30" i="18"/>
  <c r="AI30" i="18"/>
  <c r="AJ30" i="18"/>
  <c r="AK30" i="18"/>
  <c r="AL30" i="18"/>
  <c r="AM30" i="18"/>
  <c r="AO30" i="18"/>
  <c r="AP30" i="18"/>
  <c r="AQ30" i="18"/>
  <c r="AT30" i="18"/>
  <c r="AU30" i="18"/>
  <c r="AV30" i="18"/>
  <c r="AW30" i="18"/>
  <c r="AX30" i="18"/>
  <c r="AY30" i="18"/>
  <c r="AZ30" i="18"/>
  <c r="BA30" i="18"/>
  <c r="BC30" i="18"/>
  <c r="BD30" i="18"/>
  <c r="BE30" i="18"/>
  <c r="BJ30" i="18"/>
  <c r="BK30" i="18"/>
  <c r="BL30" i="18"/>
  <c r="BM30" i="18"/>
  <c r="BN30" i="18"/>
  <c r="BO30" i="18"/>
  <c r="BP30" i="18"/>
  <c r="BQ30" i="18"/>
  <c r="BS30" i="18"/>
  <c r="BT30" i="18"/>
  <c r="BU30" i="18"/>
  <c r="BX30" i="18"/>
  <c r="BY30" i="18"/>
  <c r="BZ30" i="18"/>
  <c r="CA30" i="18"/>
  <c r="CB30" i="18"/>
  <c r="CC30" i="18"/>
  <c r="CD30" i="18"/>
  <c r="CE30" i="18"/>
  <c r="CG30" i="18"/>
  <c r="CH30" i="18"/>
  <c r="CI30" i="18"/>
  <c r="CL30" i="18"/>
  <c r="CM30" i="18"/>
  <c r="CN30" i="18"/>
  <c r="CO30" i="18"/>
  <c r="CP30" i="18"/>
  <c r="CQ30" i="18"/>
  <c r="CR30" i="18"/>
  <c r="CS30" i="18"/>
  <c r="CU30" i="18"/>
  <c r="CV30" i="18"/>
  <c r="CW30" i="18"/>
  <c r="CZ30" i="18"/>
  <c r="DA30" i="18"/>
  <c r="DB30" i="18"/>
  <c r="DC30" i="18"/>
  <c r="DD30" i="18"/>
  <c r="DE30" i="18"/>
  <c r="DF30" i="18"/>
  <c r="DG30" i="18"/>
  <c r="DI30" i="18"/>
  <c r="DJ30" i="18"/>
  <c r="DK30" i="18"/>
  <c r="DP30" i="18"/>
  <c r="DQ30" i="18"/>
  <c r="DR30" i="18"/>
  <c r="DS30" i="18"/>
  <c r="DT30" i="18"/>
  <c r="DU30" i="18"/>
  <c r="DV30" i="18"/>
  <c r="DW30" i="18"/>
  <c r="DY30" i="18"/>
  <c r="DZ30" i="18"/>
  <c r="EA30" i="18"/>
  <c r="ED30" i="18"/>
  <c r="EE30" i="18"/>
  <c r="EF30" i="18"/>
  <c r="EG30" i="18"/>
  <c r="EH30" i="18"/>
  <c r="EI30" i="18"/>
  <c r="EJ30" i="18"/>
  <c r="EK30" i="18"/>
  <c r="EM30" i="18"/>
  <c r="EN30" i="18"/>
  <c r="EO30" i="18"/>
  <c r="ER30" i="18"/>
  <c r="ES30" i="18"/>
  <c r="ET30" i="18"/>
  <c r="EU30" i="18"/>
  <c r="EV30" i="18"/>
  <c r="EW30" i="18"/>
  <c r="EX30" i="18"/>
  <c r="EY30" i="18"/>
  <c r="FA30" i="18"/>
  <c r="FB30" i="18"/>
  <c r="FC30" i="18"/>
  <c r="FF30" i="18"/>
  <c r="FG30" i="18"/>
  <c r="FH30" i="18"/>
  <c r="FI30" i="18"/>
  <c r="FJ30" i="18"/>
  <c r="FK30" i="18"/>
  <c r="FL30" i="18"/>
  <c r="FM30" i="18"/>
  <c r="FO30" i="18"/>
  <c r="FP30" i="18"/>
  <c r="FQ30" i="18"/>
  <c r="FV30" i="18"/>
  <c r="FW30" i="18"/>
  <c r="FX30" i="18"/>
  <c r="FY30" i="18"/>
  <c r="FZ30" i="18"/>
  <c r="GA30" i="18"/>
  <c r="GB30" i="18"/>
  <c r="GC30" i="18"/>
  <c r="GE30" i="18"/>
  <c r="GF30" i="18"/>
  <c r="GG30" i="18"/>
  <c r="GJ30" i="18"/>
  <c r="GK30" i="18"/>
  <c r="GL30" i="18"/>
  <c r="GM30" i="18"/>
  <c r="GN30" i="18"/>
  <c r="GO30" i="18"/>
  <c r="GP30" i="18"/>
  <c r="GQ30" i="18"/>
  <c r="GS30" i="18"/>
  <c r="GT30" i="18"/>
  <c r="GU30" i="18"/>
  <c r="GX30" i="18"/>
  <c r="GY30" i="18"/>
  <c r="GZ30" i="18"/>
  <c r="HA30" i="18"/>
  <c r="HB30" i="18"/>
  <c r="HC30" i="18"/>
  <c r="HD30" i="18"/>
  <c r="HE30" i="18"/>
  <c r="HG30" i="18"/>
  <c r="HH30" i="18"/>
  <c r="HI30" i="18"/>
  <c r="HL30" i="18"/>
  <c r="HM30" i="18"/>
  <c r="HN30" i="18"/>
  <c r="HO30" i="18"/>
  <c r="HP30" i="18"/>
  <c r="HQ30" i="18"/>
  <c r="HR30" i="18"/>
  <c r="HS30" i="18"/>
  <c r="HU30" i="18"/>
  <c r="HV30" i="18"/>
  <c r="HW30" i="18"/>
  <c r="D31" i="18"/>
  <c r="E31" i="18"/>
  <c r="G31" i="18"/>
  <c r="H31" i="18"/>
  <c r="I31" i="18"/>
  <c r="J31" i="18"/>
  <c r="K31" i="18"/>
  <c r="M31" i="18"/>
  <c r="N31" i="18"/>
  <c r="O31" i="18"/>
  <c r="R31" i="18"/>
  <c r="S31" i="18"/>
  <c r="T31" i="18"/>
  <c r="U31" i="18"/>
  <c r="V31" i="18"/>
  <c r="W31" i="18"/>
  <c r="X31" i="18"/>
  <c r="Y31" i="18"/>
  <c r="AA31" i="18"/>
  <c r="AB31" i="18"/>
  <c r="AC31" i="18"/>
  <c r="AF31" i="18"/>
  <c r="AG31" i="18"/>
  <c r="AH31" i="18"/>
  <c r="AI31" i="18"/>
  <c r="AJ31" i="18"/>
  <c r="AK31" i="18"/>
  <c r="AL31" i="18"/>
  <c r="AM31" i="18"/>
  <c r="AO31" i="18"/>
  <c r="AP31" i="18"/>
  <c r="AQ31" i="18"/>
  <c r="AT31" i="18"/>
  <c r="AU31" i="18"/>
  <c r="AV31" i="18"/>
  <c r="AW31" i="18"/>
  <c r="AX31" i="18"/>
  <c r="AY31" i="18"/>
  <c r="AZ31" i="18"/>
  <c r="BA31" i="18"/>
  <c r="BC31" i="18"/>
  <c r="BD31" i="18"/>
  <c r="BE31" i="18"/>
  <c r="BJ31" i="18"/>
  <c r="BK31" i="18"/>
  <c r="BL31" i="18"/>
  <c r="BM31" i="18"/>
  <c r="BN31" i="18"/>
  <c r="BO31" i="18"/>
  <c r="BP31" i="18"/>
  <c r="BQ31" i="18"/>
  <c r="BS31" i="18"/>
  <c r="BT31" i="18"/>
  <c r="BU31" i="18"/>
  <c r="BX31" i="18"/>
  <c r="BY31" i="18"/>
  <c r="BZ31" i="18"/>
  <c r="CA31" i="18"/>
  <c r="CB31" i="18"/>
  <c r="CC31" i="18"/>
  <c r="CD31" i="18"/>
  <c r="CE31" i="18"/>
  <c r="CG31" i="18"/>
  <c r="CH31" i="18"/>
  <c r="CI31" i="18"/>
  <c r="CL31" i="18"/>
  <c r="CM31" i="18"/>
  <c r="CN31" i="18"/>
  <c r="CO31" i="18"/>
  <c r="CP31" i="18"/>
  <c r="CQ31" i="18"/>
  <c r="CR31" i="18"/>
  <c r="CS31" i="18"/>
  <c r="CU31" i="18"/>
  <c r="CV31" i="18"/>
  <c r="CW31" i="18"/>
  <c r="CZ31" i="18"/>
  <c r="DA31" i="18"/>
  <c r="DB31" i="18"/>
  <c r="DC31" i="18"/>
  <c r="DD31" i="18"/>
  <c r="DE31" i="18"/>
  <c r="DF31" i="18"/>
  <c r="DG31" i="18"/>
  <c r="DI31" i="18"/>
  <c r="DJ31" i="18"/>
  <c r="DK31" i="18"/>
  <c r="DP31" i="18"/>
  <c r="DQ31" i="18"/>
  <c r="DR31" i="18"/>
  <c r="DS31" i="18"/>
  <c r="DT31" i="18"/>
  <c r="DU31" i="18"/>
  <c r="DV31" i="18"/>
  <c r="DW31" i="18"/>
  <c r="DY31" i="18"/>
  <c r="DZ31" i="18"/>
  <c r="EA31" i="18"/>
  <c r="ED31" i="18"/>
  <c r="EE31" i="18"/>
  <c r="EF31" i="18"/>
  <c r="EG31" i="18"/>
  <c r="EH31" i="18"/>
  <c r="EI31" i="18"/>
  <c r="EJ31" i="18"/>
  <c r="EK31" i="18"/>
  <c r="EM31" i="18"/>
  <c r="EN31" i="18"/>
  <c r="EO31" i="18"/>
  <c r="ER31" i="18"/>
  <c r="ES31" i="18"/>
  <c r="ET31" i="18"/>
  <c r="EU31" i="18"/>
  <c r="EV31" i="18"/>
  <c r="EW31" i="18"/>
  <c r="EX31" i="18"/>
  <c r="EY31" i="18"/>
  <c r="FA31" i="18"/>
  <c r="FB31" i="18"/>
  <c r="FC31" i="18"/>
  <c r="FF31" i="18"/>
  <c r="FG31" i="18"/>
  <c r="FH31" i="18"/>
  <c r="FI31" i="18"/>
  <c r="FJ31" i="18"/>
  <c r="FK31" i="18"/>
  <c r="FL31" i="18"/>
  <c r="FM31" i="18"/>
  <c r="FO31" i="18"/>
  <c r="FP31" i="18"/>
  <c r="FQ31" i="18"/>
  <c r="FV31" i="18"/>
  <c r="FW31" i="18"/>
  <c r="FX31" i="18"/>
  <c r="FY31" i="18"/>
  <c r="FZ31" i="18"/>
  <c r="GA31" i="18"/>
  <c r="GB31" i="18"/>
  <c r="GC31" i="18"/>
  <c r="GE31" i="18"/>
  <c r="GF31" i="18"/>
  <c r="GG31" i="18"/>
  <c r="GJ31" i="18"/>
  <c r="GK31" i="18"/>
  <c r="GL31" i="18"/>
  <c r="GM31" i="18"/>
  <c r="GN31" i="18"/>
  <c r="GO31" i="18"/>
  <c r="GP31" i="18"/>
  <c r="GQ31" i="18"/>
  <c r="GS31" i="18"/>
  <c r="GT31" i="18"/>
  <c r="GU31" i="18"/>
  <c r="GX31" i="18"/>
  <c r="GY31" i="18"/>
  <c r="GZ31" i="18"/>
  <c r="HA31" i="18"/>
  <c r="HB31" i="18"/>
  <c r="HC31" i="18"/>
  <c r="HD31" i="18"/>
  <c r="HE31" i="18"/>
  <c r="HG31" i="18"/>
  <c r="HH31" i="18"/>
  <c r="HI31" i="18"/>
  <c r="HL31" i="18"/>
  <c r="HM31" i="18"/>
  <c r="HN31" i="18"/>
  <c r="HO31" i="18"/>
  <c r="HP31" i="18"/>
  <c r="HQ31" i="18"/>
  <c r="HR31" i="18"/>
  <c r="HS31" i="18"/>
  <c r="HU31" i="18"/>
  <c r="HV31" i="18"/>
  <c r="HW31" i="18"/>
  <c r="D32" i="18"/>
  <c r="E32" i="18"/>
  <c r="G32" i="18"/>
  <c r="H32" i="18"/>
  <c r="I32" i="18"/>
  <c r="J32" i="18"/>
  <c r="K32" i="18"/>
  <c r="M32" i="18"/>
  <c r="N32" i="18"/>
  <c r="O32" i="18"/>
  <c r="R32" i="18"/>
  <c r="S32" i="18"/>
  <c r="T32" i="18"/>
  <c r="U32" i="18"/>
  <c r="V32" i="18"/>
  <c r="W32" i="18"/>
  <c r="X32" i="18"/>
  <c r="Y32" i="18"/>
  <c r="AA32" i="18"/>
  <c r="AB32" i="18"/>
  <c r="AC32" i="18"/>
  <c r="AF32" i="18"/>
  <c r="AG32" i="18"/>
  <c r="AH32" i="18"/>
  <c r="AI32" i="18"/>
  <c r="AJ32" i="18"/>
  <c r="AK32" i="18"/>
  <c r="AL32" i="18"/>
  <c r="AM32" i="18"/>
  <c r="AO32" i="18"/>
  <c r="AP32" i="18"/>
  <c r="AQ32" i="18"/>
  <c r="AT32" i="18"/>
  <c r="AU32" i="18"/>
  <c r="AV32" i="18"/>
  <c r="AW32" i="18"/>
  <c r="AX32" i="18"/>
  <c r="AY32" i="18"/>
  <c r="AZ32" i="18"/>
  <c r="BA32" i="18"/>
  <c r="BC32" i="18"/>
  <c r="BD32" i="18"/>
  <c r="BE32" i="18"/>
  <c r="BJ32" i="18"/>
  <c r="BK32" i="18"/>
  <c r="BL32" i="18"/>
  <c r="BM32" i="18"/>
  <c r="BN32" i="18"/>
  <c r="BO32" i="18"/>
  <c r="BP32" i="18"/>
  <c r="BQ32" i="18"/>
  <c r="BS32" i="18"/>
  <c r="BT32" i="18"/>
  <c r="BU32" i="18"/>
  <c r="BX32" i="18"/>
  <c r="BY32" i="18"/>
  <c r="BZ32" i="18"/>
  <c r="CA32" i="18"/>
  <c r="CB32" i="18"/>
  <c r="CC32" i="18"/>
  <c r="CD32" i="18"/>
  <c r="CE32" i="18"/>
  <c r="CG32" i="18"/>
  <c r="CH32" i="18"/>
  <c r="CI32" i="18"/>
  <c r="CL32" i="18"/>
  <c r="CM32" i="18"/>
  <c r="CN32" i="18"/>
  <c r="CO32" i="18"/>
  <c r="CP32" i="18"/>
  <c r="CQ32" i="18"/>
  <c r="CR32" i="18"/>
  <c r="CS32" i="18"/>
  <c r="CU32" i="18"/>
  <c r="CV32" i="18"/>
  <c r="CW32" i="18"/>
  <c r="CZ32" i="18"/>
  <c r="DA32" i="18"/>
  <c r="DB32" i="18"/>
  <c r="DC32" i="18"/>
  <c r="DD32" i="18"/>
  <c r="DE32" i="18"/>
  <c r="DF32" i="18"/>
  <c r="DG32" i="18"/>
  <c r="DI32" i="18"/>
  <c r="DJ32" i="18"/>
  <c r="DK32" i="18"/>
  <c r="DP32" i="18"/>
  <c r="DQ32" i="18"/>
  <c r="DR32" i="18"/>
  <c r="DS32" i="18"/>
  <c r="DT32" i="18"/>
  <c r="DU32" i="18"/>
  <c r="DV32" i="18"/>
  <c r="DW32" i="18"/>
  <c r="DY32" i="18"/>
  <c r="DZ32" i="18"/>
  <c r="EA32" i="18"/>
  <c r="ED32" i="18"/>
  <c r="EE32" i="18"/>
  <c r="EF32" i="18"/>
  <c r="EG32" i="18"/>
  <c r="EH32" i="18"/>
  <c r="EI32" i="18"/>
  <c r="EJ32" i="18"/>
  <c r="EK32" i="18"/>
  <c r="EM32" i="18"/>
  <c r="EN32" i="18"/>
  <c r="EO32" i="18"/>
  <c r="ER32" i="18"/>
  <c r="ES32" i="18"/>
  <c r="ET32" i="18"/>
  <c r="EU32" i="18"/>
  <c r="EV32" i="18"/>
  <c r="EW32" i="18"/>
  <c r="EX32" i="18"/>
  <c r="EY32" i="18"/>
  <c r="FA32" i="18"/>
  <c r="FB32" i="18"/>
  <c r="FC32" i="18"/>
  <c r="FF32" i="18"/>
  <c r="FG32" i="18"/>
  <c r="FH32" i="18"/>
  <c r="FI32" i="18"/>
  <c r="FJ32" i="18"/>
  <c r="FK32" i="18"/>
  <c r="FL32" i="18"/>
  <c r="FM32" i="18"/>
  <c r="FO32" i="18"/>
  <c r="FP32" i="18"/>
  <c r="FQ32" i="18"/>
  <c r="FV32" i="18"/>
  <c r="FW32" i="18"/>
  <c r="FX32" i="18"/>
  <c r="FY32" i="18"/>
  <c r="FZ32" i="18"/>
  <c r="GA32" i="18"/>
  <c r="GB32" i="18"/>
  <c r="GC32" i="18"/>
  <c r="GE32" i="18"/>
  <c r="GF32" i="18"/>
  <c r="GG32" i="18"/>
  <c r="GJ32" i="18"/>
  <c r="GK32" i="18"/>
  <c r="GL32" i="18"/>
  <c r="GM32" i="18"/>
  <c r="GN32" i="18"/>
  <c r="GO32" i="18"/>
  <c r="GP32" i="18"/>
  <c r="GQ32" i="18"/>
  <c r="GS32" i="18"/>
  <c r="GT32" i="18"/>
  <c r="GU32" i="18"/>
  <c r="GX32" i="18"/>
  <c r="GY32" i="18"/>
  <c r="GZ32" i="18"/>
  <c r="HA32" i="18"/>
  <c r="HB32" i="18"/>
  <c r="HC32" i="18"/>
  <c r="HD32" i="18"/>
  <c r="HE32" i="18"/>
  <c r="HG32" i="18"/>
  <c r="HH32" i="18"/>
  <c r="HI32" i="18"/>
  <c r="HL32" i="18"/>
  <c r="HM32" i="18"/>
  <c r="HN32" i="18"/>
  <c r="HO32" i="18"/>
  <c r="HP32" i="18"/>
  <c r="HQ32" i="18"/>
  <c r="HR32" i="18"/>
  <c r="HS32" i="18"/>
  <c r="HU32" i="18"/>
  <c r="HV32" i="18"/>
  <c r="HW32" i="18"/>
  <c r="D33" i="18"/>
  <c r="E33" i="18"/>
  <c r="G33" i="18"/>
  <c r="H33" i="18"/>
  <c r="I33" i="18"/>
  <c r="J33" i="18"/>
  <c r="K33" i="18"/>
  <c r="M33" i="18"/>
  <c r="N33" i="18"/>
  <c r="O33" i="18"/>
  <c r="R33" i="18"/>
  <c r="S33" i="18"/>
  <c r="T33" i="18"/>
  <c r="U33" i="18"/>
  <c r="V33" i="18"/>
  <c r="W33" i="18"/>
  <c r="X33" i="18"/>
  <c r="Y33" i="18"/>
  <c r="AA33" i="18"/>
  <c r="AB33" i="18"/>
  <c r="AC33" i="18"/>
  <c r="AF33" i="18"/>
  <c r="AG33" i="18"/>
  <c r="AH33" i="18"/>
  <c r="AI33" i="18"/>
  <c r="AJ33" i="18"/>
  <c r="AK33" i="18"/>
  <c r="AL33" i="18"/>
  <c r="AM33" i="18"/>
  <c r="AO33" i="18"/>
  <c r="AP33" i="18"/>
  <c r="AQ33" i="18"/>
  <c r="AT33" i="18"/>
  <c r="AU33" i="18"/>
  <c r="AV33" i="18"/>
  <c r="AW33" i="18"/>
  <c r="AX33" i="18"/>
  <c r="AY33" i="18"/>
  <c r="AZ33" i="18"/>
  <c r="BA33" i="18"/>
  <c r="BC33" i="18"/>
  <c r="BD33" i="18"/>
  <c r="BE33" i="18"/>
  <c r="BJ33" i="18"/>
  <c r="BK33" i="18"/>
  <c r="BL33" i="18"/>
  <c r="BM33" i="18"/>
  <c r="BN33" i="18"/>
  <c r="BO33" i="18"/>
  <c r="BP33" i="18"/>
  <c r="BQ33" i="18"/>
  <c r="BS33" i="18"/>
  <c r="BT33" i="18"/>
  <c r="BU33" i="18"/>
  <c r="BX33" i="18"/>
  <c r="BY33" i="18"/>
  <c r="BZ33" i="18"/>
  <c r="CA33" i="18"/>
  <c r="CB33" i="18"/>
  <c r="CC33" i="18"/>
  <c r="CD33" i="18"/>
  <c r="CE33" i="18"/>
  <c r="CG33" i="18"/>
  <c r="CH33" i="18"/>
  <c r="CI33" i="18"/>
  <c r="CL33" i="18"/>
  <c r="CM33" i="18"/>
  <c r="CN33" i="18"/>
  <c r="CO33" i="18"/>
  <c r="CP33" i="18"/>
  <c r="CQ33" i="18"/>
  <c r="CR33" i="18"/>
  <c r="CS33" i="18"/>
  <c r="CU33" i="18"/>
  <c r="CV33" i="18"/>
  <c r="CW33" i="18"/>
  <c r="CZ33" i="18"/>
  <c r="DA33" i="18"/>
  <c r="DB33" i="18"/>
  <c r="DC33" i="18"/>
  <c r="DD33" i="18"/>
  <c r="DE33" i="18"/>
  <c r="DF33" i="18"/>
  <c r="DG33" i="18"/>
  <c r="DI33" i="18"/>
  <c r="DJ33" i="18"/>
  <c r="DK33" i="18"/>
  <c r="DP33" i="18"/>
  <c r="DQ33" i="18"/>
  <c r="DR33" i="18"/>
  <c r="DS33" i="18"/>
  <c r="DT33" i="18"/>
  <c r="DU33" i="18"/>
  <c r="DV33" i="18"/>
  <c r="DW33" i="18"/>
  <c r="DY33" i="18"/>
  <c r="DZ33" i="18"/>
  <c r="EA33" i="18"/>
  <c r="ED33" i="18"/>
  <c r="EE33" i="18"/>
  <c r="EF33" i="18"/>
  <c r="EG33" i="18"/>
  <c r="EH33" i="18"/>
  <c r="EI33" i="18"/>
  <c r="EJ33" i="18"/>
  <c r="EK33" i="18"/>
  <c r="EM33" i="18"/>
  <c r="EN33" i="18"/>
  <c r="EO33" i="18"/>
  <c r="ER33" i="18"/>
  <c r="ES33" i="18"/>
  <c r="ET33" i="18"/>
  <c r="EU33" i="18"/>
  <c r="EV33" i="18"/>
  <c r="EW33" i="18"/>
  <c r="EX33" i="18"/>
  <c r="EY33" i="18"/>
  <c r="FA33" i="18"/>
  <c r="FB33" i="18"/>
  <c r="FC33" i="18"/>
  <c r="FF33" i="18"/>
  <c r="FG33" i="18"/>
  <c r="FH33" i="18"/>
  <c r="FI33" i="18"/>
  <c r="FJ33" i="18"/>
  <c r="FK33" i="18"/>
  <c r="FL33" i="18"/>
  <c r="FM33" i="18"/>
  <c r="FO33" i="18"/>
  <c r="FP33" i="18"/>
  <c r="FQ33" i="18"/>
  <c r="FV33" i="18"/>
  <c r="FW33" i="18"/>
  <c r="FX33" i="18"/>
  <c r="FY33" i="18"/>
  <c r="FZ33" i="18"/>
  <c r="GA33" i="18"/>
  <c r="GB33" i="18"/>
  <c r="GC33" i="18"/>
  <c r="GE33" i="18"/>
  <c r="GF33" i="18"/>
  <c r="GG33" i="18"/>
  <c r="GJ33" i="18"/>
  <c r="GK33" i="18"/>
  <c r="GL33" i="18"/>
  <c r="GM33" i="18"/>
  <c r="GN33" i="18"/>
  <c r="GO33" i="18"/>
  <c r="GP33" i="18"/>
  <c r="GQ33" i="18"/>
  <c r="GS33" i="18"/>
  <c r="GT33" i="18"/>
  <c r="GU33" i="18"/>
  <c r="GX33" i="18"/>
  <c r="GY33" i="18"/>
  <c r="GZ33" i="18"/>
  <c r="HA33" i="18"/>
  <c r="HB33" i="18"/>
  <c r="HC33" i="18"/>
  <c r="HD33" i="18"/>
  <c r="HE33" i="18"/>
  <c r="HG33" i="18"/>
  <c r="HH33" i="18"/>
  <c r="HI33" i="18"/>
  <c r="HL33" i="18"/>
  <c r="HM33" i="18"/>
  <c r="HN33" i="18"/>
  <c r="HO33" i="18"/>
  <c r="HP33" i="18"/>
  <c r="HQ33" i="18"/>
  <c r="HR33" i="18"/>
  <c r="HS33" i="18"/>
  <c r="HU33" i="18"/>
  <c r="HV33" i="18"/>
  <c r="HW33" i="18"/>
  <c r="D34" i="18"/>
  <c r="E34" i="18"/>
  <c r="G34" i="18"/>
  <c r="H34" i="18"/>
  <c r="I34" i="18"/>
  <c r="J34" i="18"/>
  <c r="K34" i="18"/>
  <c r="M34" i="18"/>
  <c r="N34" i="18"/>
  <c r="O34" i="18"/>
  <c r="R34" i="18"/>
  <c r="S34" i="18"/>
  <c r="T34" i="18"/>
  <c r="U34" i="18"/>
  <c r="V34" i="18"/>
  <c r="W34" i="18"/>
  <c r="X34" i="18"/>
  <c r="Y34" i="18"/>
  <c r="AA34" i="18"/>
  <c r="AB34" i="18"/>
  <c r="AC34" i="18"/>
  <c r="AF34" i="18"/>
  <c r="AG34" i="18"/>
  <c r="AH34" i="18"/>
  <c r="AI34" i="18"/>
  <c r="AJ34" i="18"/>
  <c r="AK34" i="18"/>
  <c r="AL34" i="18"/>
  <c r="AM34" i="18"/>
  <c r="AO34" i="18"/>
  <c r="AP34" i="18"/>
  <c r="AQ34" i="18"/>
  <c r="AT34" i="18"/>
  <c r="AU34" i="18"/>
  <c r="AV34" i="18"/>
  <c r="AW34" i="18"/>
  <c r="AX34" i="18"/>
  <c r="AY34" i="18"/>
  <c r="AZ34" i="18"/>
  <c r="BA34" i="18"/>
  <c r="BC34" i="18"/>
  <c r="BD34" i="18"/>
  <c r="BE34" i="18"/>
  <c r="BJ34" i="18"/>
  <c r="BK34" i="18"/>
  <c r="BL34" i="18"/>
  <c r="BM34" i="18"/>
  <c r="BN34" i="18"/>
  <c r="BO34" i="18"/>
  <c r="BP34" i="18"/>
  <c r="BQ34" i="18"/>
  <c r="BS34" i="18"/>
  <c r="BT34" i="18"/>
  <c r="BU34" i="18"/>
  <c r="BX34" i="18"/>
  <c r="BY34" i="18"/>
  <c r="BZ34" i="18"/>
  <c r="CA34" i="18"/>
  <c r="CB34" i="18"/>
  <c r="CC34" i="18"/>
  <c r="CD34" i="18"/>
  <c r="CE34" i="18"/>
  <c r="CG34" i="18"/>
  <c r="CH34" i="18"/>
  <c r="CI34" i="18"/>
  <c r="CL34" i="18"/>
  <c r="CM34" i="18"/>
  <c r="CN34" i="18"/>
  <c r="CO34" i="18"/>
  <c r="CP34" i="18"/>
  <c r="CQ34" i="18"/>
  <c r="CR34" i="18"/>
  <c r="CS34" i="18"/>
  <c r="CU34" i="18"/>
  <c r="CV34" i="18"/>
  <c r="CW34" i="18"/>
  <c r="CZ34" i="18"/>
  <c r="DA34" i="18"/>
  <c r="DB34" i="18"/>
  <c r="DC34" i="18"/>
  <c r="DD34" i="18"/>
  <c r="DE34" i="18"/>
  <c r="DF34" i="18"/>
  <c r="DG34" i="18"/>
  <c r="DI34" i="18"/>
  <c r="DJ34" i="18"/>
  <c r="DK34" i="18"/>
  <c r="DP34" i="18"/>
  <c r="DQ34" i="18"/>
  <c r="DR34" i="18"/>
  <c r="DS34" i="18"/>
  <c r="DT34" i="18"/>
  <c r="DU34" i="18"/>
  <c r="DV34" i="18"/>
  <c r="DW34" i="18"/>
  <c r="DY34" i="18"/>
  <c r="DZ34" i="18"/>
  <c r="EA34" i="18"/>
  <c r="ED34" i="18"/>
  <c r="EE34" i="18"/>
  <c r="EF34" i="18"/>
  <c r="EG34" i="18"/>
  <c r="EH34" i="18"/>
  <c r="EI34" i="18"/>
  <c r="EJ34" i="18"/>
  <c r="EK34" i="18"/>
  <c r="EM34" i="18"/>
  <c r="EN34" i="18"/>
  <c r="EO34" i="18"/>
  <c r="ER34" i="18"/>
  <c r="ES34" i="18"/>
  <c r="ET34" i="18"/>
  <c r="EU34" i="18"/>
  <c r="EV34" i="18"/>
  <c r="EW34" i="18"/>
  <c r="EX34" i="18"/>
  <c r="EY34" i="18"/>
  <c r="FA34" i="18"/>
  <c r="FB34" i="18"/>
  <c r="FC34" i="18"/>
  <c r="FF34" i="18"/>
  <c r="FG34" i="18"/>
  <c r="FH34" i="18"/>
  <c r="FI34" i="18"/>
  <c r="FJ34" i="18"/>
  <c r="FK34" i="18"/>
  <c r="FL34" i="18"/>
  <c r="FM34" i="18"/>
  <c r="FO34" i="18"/>
  <c r="FP34" i="18"/>
  <c r="FQ34" i="18"/>
  <c r="FV34" i="18"/>
  <c r="FW34" i="18"/>
  <c r="FX34" i="18"/>
  <c r="FY34" i="18"/>
  <c r="FZ34" i="18"/>
  <c r="GA34" i="18"/>
  <c r="GB34" i="18"/>
  <c r="GC34" i="18"/>
  <c r="GE34" i="18"/>
  <c r="GF34" i="18"/>
  <c r="GG34" i="18"/>
  <c r="GJ34" i="18"/>
  <c r="GK34" i="18"/>
  <c r="GL34" i="18"/>
  <c r="GM34" i="18"/>
  <c r="GN34" i="18"/>
  <c r="GO34" i="18"/>
  <c r="GP34" i="18"/>
  <c r="GQ34" i="18"/>
  <c r="GS34" i="18"/>
  <c r="GT34" i="18"/>
  <c r="GU34" i="18"/>
  <c r="GX34" i="18"/>
  <c r="GY34" i="18"/>
  <c r="GZ34" i="18"/>
  <c r="HA34" i="18"/>
  <c r="HB34" i="18"/>
  <c r="HC34" i="18"/>
  <c r="HD34" i="18"/>
  <c r="HE34" i="18"/>
  <c r="HG34" i="18"/>
  <c r="HH34" i="18"/>
  <c r="HI34" i="18"/>
  <c r="HL34" i="18"/>
  <c r="HM34" i="18"/>
  <c r="HN34" i="18"/>
  <c r="HO34" i="18"/>
  <c r="HP34" i="18"/>
  <c r="HQ34" i="18"/>
  <c r="HR34" i="18"/>
  <c r="HS34" i="18"/>
  <c r="HU34" i="18"/>
  <c r="HV34" i="18"/>
  <c r="HW34" i="18"/>
  <c r="D35" i="18"/>
  <c r="E35" i="18"/>
  <c r="G35" i="18"/>
  <c r="H35" i="18"/>
  <c r="I35" i="18"/>
  <c r="J35" i="18"/>
  <c r="K35" i="18"/>
  <c r="M35" i="18"/>
  <c r="N35" i="18"/>
  <c r="O35" i="18"/>
  <c r="R35" i="18"/>
  <c r="S35" i="18"/>
  <c r="T35" i="18"/>
  <c r="U35" i="18"/>
  <c r="V35" i="18"/>
  <c r="W35" i="18"/>
  <c r="X35" i="18"/>
  <c r="Y35" i="18"/>
  <c r="AA35" i="18"/>
  <c r="AB35" i="18"/>
  <c r="AC35" i="18"/>
  <c r="AF35" i="18"/>
  <c r="AG35" i="18"/>
  <c r="AH35" i="18"/>
  <c r="AI35" i="18"/>
  <c r="AJ35" i="18"/>
  <c r="AK35" i="18"/>
  <c r="AL35" i="18"/>
  <c r="AM35" i="18"/>
  <c r="AO35" i="18"/>
  <c r="AP35" i="18"/>
  <c r="AQ35" i="18"/>
  <c r="AT35" i="18"/>
  <c r="AU35" i="18"/>
  <c r="AV35" i="18"/>
  <c r="AW35" i="18"/>
  <c r="AX35" i="18"/>
  <c r="AY35" i="18"/>
  <c r="AZ35" i="18"/>
  <c r="BA35" i="18"/>
  <c r="BC35" i="18"/>
  <c r="BD35" i="18"/>
  <c r="BE35" i="18"/>
  <c r="BJ35" i="18"/>
  <c r="BK35" i="18"/>
  <c r="BL35" i="18"/>
  <c r="BM35" i="18"/>
  <c r="BN35" i="18"/>
  <c r="BO35" i="18"/>
  <c r="BP35" i="18"/>
  <c r="BQ35" i="18"/>
  <c r="BS35" i="18"/>
  <c r="BT35" i="18"/>
  <c r="BU35" i="18"/>
  <c r="BX35" i="18"/>
  <c r="BY35" i="18"/>
  <c r="BZ35" i="18"/>
  <c r="CA35" i="18"/>
  <c r="CB35" i="18"/>
  <c r="CC35" i="18"/>
  <c r="CD35" i="18"/>
  <c r="CE35" i="18"/>
  <c r="CG35" i="18"/>
  <c r="CH35" i="18"/>
  <c r="CI35" i="18"/>
  <c r="CL35" i="18"/>
  <c r="CM35" i="18"/>
  <c r="CN35" i="18"/>
  <c r="CO35" i="18"/>
  <c r="CP35" i="18"/>
  <c r="CQ35" i="18"/>
  <c r="CR35" i="18"/>
  <c r="CS35" i="18"/>
  <c r="CU35" i="18"/>
  <c r="CV35" i="18"/>
  <c r="CW35" i="18"/>
  <c r="CZ35" i="18"/>
  <c r="DA35" i="18"/>
  <c r="DB35" i="18"/>
  <c r="DC35" i="18"/>
  <c r="DD35" i="18"/>
  <c r="DE35" i="18"/>
  <c r="DF35" i="18"/>
  <c r="DG35" i="18"/>
  <c r="DI35" i="18"/>
  <c r="DJ35" i="18"/>
  <c r="DK35" i="18"/>
  <c r="DP35" i="18"/>
  <c r="DQ35" i="18"/>
  <c r="DR35" i="18"/>
  <c r="DS35" i="18"/>
  <c r="DT35" i="18"/>
  <c r="DU35" i="18"/>
  <c r="DV35" i="18"/>
  <c r="DW35" i="18"/>
  <c r="DY35" i="18"/>
  <c r="DZ35" i="18"/>
  <c r="EA35" i="18"/>
  <c r="ED35" i="18"/>
  <c r="EE35" i="18"/>
  <c r="EF35" i="18"/>
  <c r="EG35" i="18"/>
  <c r="EH35" i="18"/>
  <c r="EI35" i="18"/>
  <c r="EJ35" i="18"/>
  <c r="EK35" i="18"/>
  <c r="EM35" i="18"/>
  <c r="EN35" i="18"/>
  <c r="EO35" i="18"/>
  <c r="ER35" i="18"/>
  <c r="ES35" i="18"/>
  <c r="ET35" i="18"/>
  <c r="EU35" i="18"/>
  <c r="EV35" i="18"/>
  <c r="EW35" i="18"/>
  <c r="EX35" i="18"/>
  <c r="EY35" i="18"/>
  <c r="FA35" i="18"/>
  <c r="FB35" i="18"/>
  <c r="FC35" i="18"/>
  <c r="FF35" i="18"/>
  <c r="FG35" i="18"/>
  <c r="FH35" i="18"/>
  <c r="FI35" i="18"/>
  <c r="FJ35" i="18"/>
  <c r="FK35" i="18"/>
  <c r="FL35" i="18"/>
  <c r="FM35" i="18"/>
  <c r="FO35" i="18"/>
  <c r="FP35" i="18"/>
  <c r="FQ35" i="18"/>
  <c r="FV35" i="18"/>
  <c r="FW35" i="18"/>
  <c r="FX35" i="18"/>
  <c r="FY35" i="18"/>
  <c r="FZ35" i="18"/>
  <c r="GA35" i="18"/>
  <c r="GB35" i="18"/>
  <c r="GC35" i="18"/>
  <c r="GE35" i="18"/>
  <c r="GF35" i="18"/>
  <c r="GG35" i="18"/>
  <c r="GJ35" i="18"/>
  <c r="GK35" i="18"/>
  <c r="GL35" i="18"/>
  <c r="GM35" i="18"/>
  <c r="GN35" i="18"/>
  <c r="GO35" i="18"/>
  <c r="GP35" i="18"/>
  <c r="GQ35" i="18"/>
  <c r="GS35" i="18"/>
  <c r="GT35" i="18"/>
  <c r="GU35" i="18"/>
  <c r="GX35" i="18"/>
  <c r="GY35" i="18"/>
  <c r="GZ35" i="18"/>
  <c r="HA35" i="18"/>
  <c r="HB35" i="18"/>
  <c r="HC35" i="18"/>
  <c r="HD35" i="18"/>
  <c r="HE35" i="18"/>
  <c r="HG35" i="18"/>
  <c r="HH35" i="18"/>
  <c r="HI35" i="18"/>
  <c r="HL35" i="18"/>
  <c r="HM35" i="18"/>
  <c r="HN35" i="18"/>
  <c r="HO35" i="18"/>
  <c r="HP35" i="18"/>
  <c r="HQ35" i="18"/>
  <c r="HR35" i="18"/>
  <c r="HS35" i="18"/>
  <c r="HU35" i="18"/>
  <c r="HV35" i="18"/>
  <c r="HW35" i="18"/>
  <c r="D36" i="18"/>
  <c r="E36" i="18"/>
  <c r="G36" i="18"/>
  <c r="H36" i="18"/>
  <c r="I36" i="18"/>
  <c r="J36" i="18"/>
  <c r="K36" i="18"/>
  <c r="M36" i="18"/>
  <c r="N36" i="18"/>
  <c r="O36" i="18"/>
  <c r="R36" i="18"/>
  <c r="S36" i="18"/>
  <c r="T36" i="18"/>
  <c r="U36" i="18"/>
  <c r="V36" i="18"/>
  <c r="W36" i="18"/>
  <c r="X36" i="18"/>
  <c r="Y36" i="18"/>
  <c r="AA36" i="18"/>
  <c r="AB36" i="18"/>
  <c r="AC36" i="18"/>
  <c r="AF36" i="18"/>
  <c r="AG36" i="18"/>
  <c r="AH36" i="18"/>
  <c r="AI36" i="18"/>
  <c r="AJ36" i="18"/>
  <c r="AK36" i="18"/>
  <c r="AL36" i="18"/>
  <c r="AM36" i="18"/>
  <c r="AO36" i="18"/>
  <c r="AP36" i="18"/>
  <c r="AQ36" i="18"/>
  <c r="AT36" i="18"/>
  <c r="AU36" i="18"/>
  <c r="AV36" i="18"/>
  <c r="AW36" i="18"/>
  <c r="AX36" i="18"/>
  <c r="AY36" i="18"/>
  <c r="AZ36" i="18"/>
  <c r="BA36" i="18"/>
  <c r="BC36" i="18"/>
  <c r="BD36" i="18"/>
  <c r="BE36" i="18"/>
  <c r="BJ36" i="18"/>
  <c r="BK36" i="18"/>
  <c r="BL36" i="18"/>
  <c r="BM36" i="18"/>
  <c r="BN36" i="18"/>
  <c r="BO36" i="18"/>
  <c r="BP36" i="18"/>
  <c r="BQ36" i="18"/>
  <c r="BS36" i="18"/>
  <c r="BT36" i="18"/>
  <c r="BU36" i="18"/>
  <c r="BX36" i="18"/>
  <c r="BY36" i="18"/>
  <c r="BZ36" i="18"/>
  <c r="CA36" i="18"/>
  <c r="CB36" i="18"/>
  <c r="CC36" i="18"/>
  <c r="CD36" i="18"/>
  <c r="CE36" i="18"/>
  <c r="CG36" i="18"/>
  <c r="CH36" i="18"/>
  <c r="CI36" i="18"/>
  <c r="CL36" i="18"/>
  <c r="CM36" i="18"/>
  <c r="CN36" i="18"/>
  <c r="CO36" i="18"/>
  <c r="CP36" i="18"/>
  <c r="CQ36" i="18"/>
  <c r="CR36" i="18"/>
  <c r="CS36" i="18"/>
  <c r="CU36" i="18"/>
  <c r="CV36" i="18"/>
  <c r="CW36" i="18"/>
  <c r="CZ36" i="18"/>
  <c r="DA36" i="18"/>
  <c r="DB36" i="18"/>
  <c r="DC36" i="18"/>
  <c r="DD36" i="18"/>
  <c r="DE36" i="18"/>
  <c r="DF36" i="18"/>
  <c r="DG36" i="18"/>
  <c r="DI36" i="18"/>
  <c r="DJ36" i="18"/>
  <c r="DK36" i="18"/>
  <c r="DP36" i="18"/>
  <c r="DQ36" i="18"/>
  <c r="DR36" i="18"/>
  <c r="DS36" i="18"/>
  <c r="DT36" i="18"/>
  <c r="DU36" i="18"/>
  <c r="DV36" i="18"/>
  <c r="DW36" i="18"/>
  <c r="DY36" i="18"/>
  <c r="DZ36" i="18"/>
  <c r="EA36" i="18"/>
  <c r="ED36" i="18"/>
  <c r="EE36" i="18"/>
  <c r="EF36" i="18"/>
  <c r="EG36" i="18"/>
  <c r="EH36" i="18"/>
  <c r="EI36" i="18"/>
  <c r="EJ36" i="18"/>
  <c r="EK36" i="18"/>
  <c r="EM36" i="18"/>
  <c r="EN36" i="18"/>
  <c r="EO36" i="18"/>
  <c r="ER36" i="18"/>
  <c r="ES36" i="18"/>
  <c r="ET36" i="18"/>
  <c r="EU36" i="18"/>
  <c r="EV36" i="18"/>
  <c r="EW36" i="18"/>
  <c r="EX36" i="18"/>
  <c r="EY36" i="18"/>
  <c r="FA36" i="18"/>
  <c r="FB36" i="18"/>
  <c r="FC36" i="18"/>
  <c r="FF36" i="18"/>
  <c r="FG36" i="18"/>
  <c r="FH36" i="18"/>
  <c r="FI36" i="18"/>
  <c r="FJ36" i="18"/>
  <c r="FK36" i="18"/>
  <c r="FL36" i="18"/>
  <c r="FM36" i="18"/>
  <c r="FO36" i="18"/>
  <c r="FP36" i="18"/>
  <c r="FQ36" i="18"/>
  <c r="FV36" i="18"/>
  <c r="FW36" i="18"/>
  <c r="FX36" i="18"/>
  <c r="FY36" i="18"/>
  <c r="FZ36" i="18"/>
  <c r="GA36" i="18"/>
  <c r="GB36" i="18"/>
  <c r="GC36" i="18"/>
  <c r="GE36" i="18"/>
  <c r="GF36" i="18"/>
  <c r="GG36" i="18"/>
  <c r="GJ36" i="18"/>
  <c r="GK36" i="18"/>
  <c r="GL36" i="18"/>
  <c r="GM36" i="18"/>
  <c r="GN36" i="18"/>
  <c r="GO36" i="18"/>
  <c r="GP36" i="18"/>
  <c r="GQ36" i="18"/>
  <c r="GS36" i="18"/>
  <c r="GT36" i="18"/>
  <c r="GU36" i="18"/>
  <c r="GX36" i="18"/>
  <c r="GY36" i="18"/>
  <c r="GZ36" i="18"/>
  <c r="HA36" i="18"/>
  <c r="HB36" i="18"/>
  <c r="HC36" i="18"/>
  <c r="HD36" i="18"/>
  <c r="HE36" i="18"/>
  <c r="HG36" i="18"/>
  <c r="HH36" i="18"/>
  <c r="HI36" i="18"/>
  <c r="HL36" i="18"/>
  <c r="HM36" i="18"/>
  <c r="HN36" i="18"/>
  <c r="HO36" i="18"/>
  <c r="HP36" i="18"/>
  <c r="HQ36" i="18"/>
  <c r="HR36" i="18"/>
  <c r="HS36" i="18"/>
  <c r="HU36" i="18"/>
  <c r="HV36" i="18"/>
  <c r="HW36" i="18"/>
  <c r="D37" i="18"/>
  <c r="E37" i="18"/>
  <c r="G37" i="18"/>
  <c r="H37" i="18"/>
  <c r="I37" i="18"/>
  <c r="J37" i="18"/>
  <c r="K37" i="18"/>
  <c r="M37" i="18"/>
  <c r="N37" i="18"/>
  <c r="O37" i="18"/>
  <c r="R37" i="18"/>
  <c r="S37" i="18"/>
  <c r="T37" i="18"/>
  <c r="U37" i="18"/>
  <c r="V37" i="18"/>
  <c r="W37" i="18"/>
  <c r="X37" i="18"/>
  <c r="Y37" i="18"/>
  <c r="AA37" i="18"/>
  <c r="AB37" i="18"/>
  <c r="AC37" i="18"/>
  <c r="AF37" i="18"/>
  <c r="AG37" i="18"/>
  <c r="AH37" i="18"/>
  <c r="AI37" i="18"/>
  <c r="AJ37" i="18"/>
  <c r="AK37" i="18"/>
  <c r="AL37" i="18"/>
  <c r="AM37" i="18"/>
  <c r="AO37" i="18"/>
  <c r="AP37" i="18"/>
  <c r="AQ37" i="18"/>
  <c r="AT37" i="18"/>
  <c r="AU37" i="18"/>
  <c r="AV37" i="18"/>
  <c r="AW37" i="18"/>
  <c r="AX37" i="18"/>
  <c r="AY37" i="18"/>
  <c r="AZ37" i="18"/>
  <c r="BA37" i="18"/>
  <c r="BC37" i="18"/>
  <c r="BD37" i="18"/>
  <c r="BE37" i="18"/>
  <c r="BJ37" i="18"/>
  <c r="BK37" i="18"/>
  <c r="BL37" i="18"/>
  <c r="BM37" i="18"/>
  <c r="BN37" i="18"/>
  <c r="BO37" i="18"/>
  <c r="BP37" i="18"/>
  <c r="BQ37" i="18"/>
  <c r="BS37" i="18"/>
  <c r="BT37" i="18"/>
  <c r="BU37" i="18"/>
  <c r="BX37" i="18"/>
  <c r="BY37" i="18"/>
  <c r="BZ37" i="18"/>
  <c r="CA37" i="18"/>
  <c r="CB37" i="18"/>
  <c r="CC37" i="18"/>
  <c r="CD37" i="18"/>
  <c r="CE37" i="18"/>
  <c r="CG37" i="18"/>
  <c r="CH37" i="18"/>
  <c r="CI37" i="18"/>
  <c r="CL37" i="18"/>
  <c r="CM37" i="18"/>
  <c r="CN37" i="18"/>
  <c r="CO37" i="18"/>
  <c r="CP37" i="18"/>
  <c r="CQ37" i="18"/>
  <c r="CR37" i="18"/>
  <c r="CS37" i="18"/>
  <c r="CU37" i="18"/>
  <c r="CV37" i="18"/>
  <c r="CW37" i="18"/>
  <c r="CZ37" i="18"/>
  <c r="DA37" i="18"/>
  <c r="DB37" i="18"/>
  <c r="DC37" i="18"/>
  <c r="DD37" i="18"/>
  <c r="DE37" i="18"/>
  <c r="DF37" i="18"/>
  <c r="DG37" i="18"/>
  <c r="DI37" i="18"/>
  <c r="DJ37" i="18"/>
  <c r="DK37" i="18"/>
  <c r="DP37" i="18"/>
  <c r="DQ37" i="18"/>
  <c r="DR37" i="18"/>
  <c r="DS37" i="18"/>
  <c r="DT37" i="18"/>
  <c r="DU37" i="18"/>
  <c r="DV37" i="18"/>
  <c r="DW37" i="18"/>
  <c r="DY37" i="18"/>
  <c r="DZ37" i="18"/>
  <c r="EA37" i="18"/>
  <c r="ED37" i="18"/>
  <c r="EE37" i="18"/>
  <c r="EF37" i="18"/>
  <c r="EG37" i="18"/>
  <c r="EH37" i="18"/>
  <c r="EI37" i="18"/>
  <c r="EJ37" i="18"/>
  <c r="EK37" i="18"/>
  <c r="EM37" i="18"/>
  <c r="EN37" i="18"/>
  <c r="EO37" i="18"/>
  <c r="ER37" i="18"/>
  <c r="ES37" i="18"/>
  <c r="ET37" i="18"/>
  <c r="EU37" i="18"/>
  <c r="EV37" i="18"/>
  <c r="EW37" i="18"/>
  <c r="EX37" i="18"/>
  <c r="EY37" i="18"/>
  <c r="FA37" i="18"/>
  <c r="FB37" i="18"/>
  <c r="FC37" i="18"/>
  <c r="FF37" i="18"/>
  <c r="FG37" i="18"/>
  <c r="FH37" i="18"/>
  <c r="FI37" i="18"/>
  <c r="FJ37" i="18"/>
  <c r="FK37" i="18"/>
  <c r="FL37" i="18"/>
  <c r="FM37" i="18"/>
  <c r="FO37" i="18"/>
  <c r="FP37" i="18"/>
  <c r="FQ37" i="18"/>
  <c r="FV37" i="18"/>
  <c r="FW37" i="18"/>
  <c r="FX37" i="18"/>
  <c r="FY37" i="18"/>
  <c r="FZ37" i="18"/>
  <c r="GA37" i="18"/>
  <c r="GB37" i="18"/>
  <c r="GC37" i="18"/>
  <c r="GE37" i="18"/>
  <c r="GF37" i="18"/>
  <c r="GG37" i="18"/>
  <c r="GJ37" i="18"/>
  <c r="GK37" i="18"/>
  <c r="GL37" i="18"/>
  <c r="GM37" i="18"/>
  <c r="GN37" i="18"/>
  <c r="GO37" i="18"/>
  <c r="GP37" i="18"/>
  <c r="GQ37" i="18"/>
  <c r="GS37" i="18"/>
  <c r="GT37" i="18"/>
  <c r="GU37" i="18"/>
  <c r="GX37" i="18"/>
  <c r="GY37" i="18"/>
  <c r="GZ37" i="18"/>
  <c r="HA37" i="18"/>
  <c r="HB37" i="18"/>
  <c r="HC37" i="18"/>
  <c r="HD37" i="18"/>
  <c r="HE37" i="18"/>
  <c r="HG37" i="18"/>
  <c r="HH37" i="18"/>
  <c r="HI37" i="18"/>
  <c r="HL37" i="18"/>
  <c r="HM37" i="18"/>
  <c r="HN37" i="18"/>
  <c r="HO37" i="18"/>
  <c r="HP37" i="18"/>
  <c r="HQ37" i="18"/>
  <c r="HR37" i="18"/>
  <c r="HS37" i="18"/>
  <c r="HU37" i="18"/>
  <c r="HV37" i="18"/>
  <c r="HW37" i="18"/>
  <c r="D38" i="18"/>
  <c r="E38" i="18"/>
  <c r="G38" i="18"/>
  <c r="H38" i="18"/>
  <c r="I38" i="18"/>
  <c r="J38" i="18"/>
  <c r="K38" i="18"/>
  <c r="M38" i="18"/>
  <c r="N38" i="18"/>
  <c r="O38" i="18"/>
  <c r="R38" i="18"/>
  <c r="S38" i="18"/>
  <c r="T38" i="18"/>
  <c r="U38" i="18"/>
  <c r="V38" i="18"/>
  <c r="W38" i="18"/>
  <c r="X38" i="18"/>
  <c r="Y38" i="18"/>
  <c r="AA38" i="18"/>
  <c r="AB38" i="18"/>
  <c r="AC38" i="18"/>
  <c r="AF38" i="18"/>
  <c r="AG38" i="18"/>
  <c r="AH38" i="18"/>
  <c r="AI38" i="18"/>
  <c r="AJ38" i="18"/>
  <c r="AK38" i="18"/>
  <c r="AL38" i="18"/>
  <c r="AM38" i="18"/>
  <c r="AO38" i="18"/>
  <c r="AP38" i="18"/>
  <c r="AQ38" i="18"/>
  <c r="AT38" i="18"/>
  <c r="AU38" i="18"/>
  <c r="AV38" i="18"/>
  <c r="AW38" i="18"/>
  <c r="AX38" i="18"/>
  <c r="AY38" i="18"/>
  <c r="AZ38" i="18"/>
  <c r="BA38" i="18"/>
  <c r="BC38" i="18"/>
  <c r="BD38" i="18"/>
  <c r="BE38" i="18"/>
  <c r="BJ38" i="18"/>
  <c r="BK38" i="18"/>
  <c r="BL38" i="18"/>
  <c r="BM38" i="18"/>
  <c r="BN38" i="18"/>
  <c r="BO38" i="18"/>
  <c r="BP38" i="18"/>
  <c r="BQ38" i="18"/>
  <c r="BS38" i="18"/>
  <c r="BT38" i="18"/>
  <c r="BU38" i="18"/>
  <c r="BX38" i="18"/>
  <c r="BY38" i="18"/>
  <c r="BZ38" i="18"/>
  <c r="CA38" i="18"/>
  <c r="CB38" i="18"/>
  <c r="CC38" i="18"/>
  <c r="CD38" i="18"/>
  <c r="CE38" i="18"/>
  <c r="CG38" i="18"/>
  <c r="CH38" i="18"/>
  <c r="CI38" i="18"/>
  <c r="CL38" i="18"/>
  <c r="CM38" i="18"/>
  <c r="CN38" i="18"/>
  <c r="CO38" i="18"/>
  <c r="CP38" i="18"/>
  <c r="CQ38" i="18"/>
  <c r="CR38" i="18"/>
  <c r="CS38" i="18"/>
  <c r="CU38" i="18"/>
  <c r="CV38" i="18"/>
  <c r="CW38" i="18"/>
  <c r="CZ38" i="18"/>
  <c r="DA38" i="18"/>
  <c r="DB38" i="18"/>
  <c r="DC38" i="18"/>
  <c r="DD38" i="18"/>
  <c r="DE38" i="18"/>
  <c r="DF38" i="18"/>
  <c r="DG38" i="18"/>
  <c r="DI38" i="18"/>
  <c r="DJ38" i="18"/>
  <c r="DK38" i="18"/>
  <c r="DP38" i="18"/>
  <c r="DQ38" i="18"/>
  <c r="DR38" i="18"/>
  <c r="DS38" i="18"/>
  <c r="DT38" i="18"/>
  <c r="DU38" i="18"/>
  <c r="DV38" i="18"/>
  <c r="DW38" i="18"/>
  <c r="DY38" i="18"/>
  <c r="DZ38" i="18"/>
  <c r="EA38" i="18"/>
  <c r="ED38" i="18"/>
  <c r="EE38" i="18"/>
  <c r="EF38" i="18"/>
  <c r="EG38" i="18"/>
  <c r="EH38" i="18"/>
  <c r="EI38" i="18"/>
  <c r="EJ38" i="18"/>
  <c r="EK38" i="18"/>
  <c r="EM38" i="18"/>
  <c r="EN38" i="18"/>
  <c r="EO38" i="18"/>
  <c r="ER38" i="18"/>
  <c r="ES38" i="18"/>
  <c r="ET38" i="18"/>
  <c r="EU38" i="18"/>
  <c r="EV38" i="18"/>
  <c r="EW38" i="18"/>
  <c r="EX38" i="18"/>
  <c r="EY38" i="18"/>
  <c r="FA38" i="18"/>
  <c r="FB38" i="18"/>
  <c r="FC38" i="18"/>
  <c r="FF38" i="18"/>
  <c r="FG38" i="18"/>
  <c r="FH38" i="18"/>
  <c r="FI38" i="18"/>
  <c r="FJ38" i="18"/>
  <c r="FK38" i="18"/>
  <c r="FL38" i="18"/>
  <c r="FM38" i="18"/>
  <c r="FO38" i="18"/>
  <c r="FP38" i="18"/>
  <c r="FQ38" i="18"/>
  <c r="FV38" i="18"/>
  <c r="FW38" i="18"/>
  <c r="FX38" i="18"/>
  <c r="FY38" i="18"/>
  <c r="FZ38" i="18"/>
  <c r="GA38" i="18"/>
  <c r="GB38" i="18"/>
  <c r="GC38" i="18"/>
  <c r="GE38" i="18"/>
  <c r="GF38" i="18"/>
  <c r="GG38" i="18"/>
  <c r="GJ38" i="18"/>
  <c r="GK38" i="18"/>
  <c r="GL38" i="18"/>
  <c r="GM38" i="18"/>
  <c r="GN38" i="18"/>
  <c r="GO38" i="18"/>
  <c r="GP38" i="18"/>
  <c r="GQ38" i="18"/>
  <c r="GS38" i="18"/>
  <c r="GT38" i="18"/>
  <c r="GU38" i="18"/>
  <c r="GX38" i="18"/>
  <c r="GY38" i="18"/>
  <c r="GZ38" i="18"/>
  <c r="HA38" i="18"/>
  <c r="HB38" i="18"/>
  <c r="HC38" i="18"/>
  <c r="HD38" i="18"/>
  <c r="HE38" i="18"/>
  <c r="HG38" i="18"/>
  <c r="HH38" i="18"/>
  <c r="HI38" i="18"/>
  <c r="HL38" i="18"/>
  <c r="HM38" i="18"/>
  <c r="HN38" i="18"/>
  <c r="HO38" i="18"/>
  <c r="HP38" i="18"/>
  <c r="HQ38" i="18"/>
  <c r="HR38" i="18"/>
  <c r="HS38" i="18"/>
  <c r="HU38" i="18"/>
  <c r="HV38" i="18"/>
  <c r="HW38" i="18"/>
  <c r="D39" i="18"/>
  <c r="E39" i="18"/>
  <c r="G39" i="18"/>
  <c r="H39" i="18"/>
  <c r="I39" i="18"/>
  <c r="J39" i="18"/>
  <c r="K39" i="18"/>
  <c r="M39" i="18"/>
  <c r="N39" i="18"/>
  <c r="O39" i="18"/>
  <c r="R39" i="18"/>
  <c r="S39" i="18"/>
  <c r="T39" i="18"/>
  <c r="U39" i="18"/>
  <c r="V39" i="18"/>
  <c r="W39" i="18"/>
  <c r="X39" i="18"/>
  <c r="Y39" i="18"/>
  <c r="AA39" i="18"/>
  <c r="AB39" i="18"/>
  <c r="AC39" i="18"/>
  <c r="AF39" i="18"/>
  <c r="AG39" i="18"/>
  <c r="AH39" i="18"/>
  <c r="AI39" i="18"/>
  <c r="AJ39" i="18"/>
  <c r="AK39" i="18"/>
  <c r="AL39" i="18"/>
  <c r="AM39" i="18"/>
  <c r="AO39" i="18"/>
  <c r="AP39" i="18"/>
  <c r="AQ39" i="18"/>
  <c r="AT39" i="18"/>
  <c r="AU39" i="18"/>
  <c r="AV39" i="18"/>
  <c r="AW39" i="18"/>
  <c r="AX39" i="18"/>
  <c r="AY39" i="18"/>
  <c r="AZ39" i="18"/>
  <c r="BA39" i="18"/>
  <c r="BC39" i="18"/>
  <c r="BD39" i="18"/>
  <c r="BE39" i="18"/>
  <c r="BJ39" i="18"/>
  <c r="BK39" i="18"/>
  <c r="BL39" i="18"/>
  <c r="BM39" i="18"/>
  <c r="BN39" i="18"/>
  <c r="BO39" i="18"/>
  <c r="BP39" i="18"/>
  <c r="BQ39" i="18"/>
  <c r="BS39" i="18"/>
  <c r="BT39" i="18"/>
  <c r="BU39" i="18"/>
  <c r="BX39" i="18"/>
  <c r="BY39" i="18"/>
  <c r="BZ39" i="18"/>
  <c r="CA39" i="18"/>
  <c r="CB39" i="18"/>
  <c r="CC39" i="18"/>
  <c r="CD39" i="18"/>
  <c r="CE39" i="18"/>
  <c r="CG39" i="18"/>
  <c r="CH39" i="18"/>
  <c r="CI39" i="18"/>
  <c r="CL39" i="18"/>
  <c r="CM39" i="18"/>
  <c r="CN39" i="18"/>
  <c r="CO39" i="18"/>
  <c r="CP39" i="18"/>
  <c r="CQ39" i="18"/>
  <c r="CR39" i="18"/>
  <c r="CS39" i="18"/>
  <c r="CU39" i="18"/>
  <c r="CV39" i="18"/>
  <c r="CW39" i="18"/>
  <c r="CZ39" i="18"/>
  <c r="DA39" i="18"/>
  <c r="DB39" i="18"/>
  <c r="DC39" i="18"/>
  <c r="DD39" i="18"/>
  <c r="DE39" i="18"/>
  <c r="DF39" i="18"/>
  <c r="DG39" i="18"/>
  <c r="DI39" i="18"/>
  <c r="DJ39" i="18"/>
  <c r="DK39" i="18"/>
  <c r="DP39" i="18"/>
  <c r="DQ39" i="18"/>
  <c r="DR39" i="18"/>
  <c r="DS39" i="18"/>
  <c r="DT39" i="18"/>
  <c r="DU39" i="18"/>
  <c r="DV39" i="18"/>
  <c r="DW39" i="18"/>
  <c r="DY39" i="18"/>
  <c r="DZ39" i="18"/>
  <c r="EA39" i="18"/>
  <c r="ED39" i="18"/>
  <c r="EE39" i="18"/>
  <c r="EF39" i="18"/>
  <c r="EG39" i="18"/>
  <c r="EH39" i="18"/>
  <c r="EI39" i="18"/>
  <c r="EJ39" i="18"/>
  <c r="EK39" i="18"/>
  <c r="EM39" i="18"/>
  <c r="EN39" i="18"/>
  <c r="EO39" i="18"/>
  <c r="ER39" i="18"/>
  <c r="ES39" i="18"/>
  <c r="ET39" i="18"/>
  <c r="EU39" i="18"/>
  <c r="EV39" i="18"/>
  <c r="EW39" i="18"/>
  <c r="EX39" i="18"/>
  <c r="EY39" i="18"/>
  <c r="FA39" i="18"/>
  <c r="FB39" i="18"/>
  <c r="FC39" i="18"/>
  <c r="FF39" i="18"/>
  <c r="FG39" i="18"/>
  <c r="FH39" i="18"/>
  <c r="FI39" i="18"/>
  <c r="FJ39" i="18"/>
  <c r="FK39" i="18"/>
  <c r="FL39" i="18"/>
  <c r="FM39" i="18"/>
  <c r="FO39" i="18"/>
  <c r="FP39" i="18"/>
  <c r="FQ39" i="18"/>
  <c r="FV39" i="18"/>
  <c r="FW39" i="18"/>
  <c r="FX39" i="18"/>
  <c r="FY39" i="18"/>
  <c r="FZ39" i="18"/>
  <c r="GA39" i="18"/>
  <c r="GB39" i="18"/>
  <c r="GC39" i="18"/>
  <c r="GE39" i="18"/>
  <c r="GF39" i="18"/>
  <c r="GG39" i="18"/>
  <c r="GJ39" i="18"/>
  <c r="GK39" i="18"/>
  <c r="GL39" i="18"/>
  <c r="GM39" i="18"/>
  <c r="GN39" i="18"/>
  <c r="GO39" i="18"/>
  <c r="GP39" i="18"/>
  <c r="GQ39" i="18"/>
  <c r="GS39" i="18"/>
  <c r="GT39" i="18"/>
  <c r="GU39" i="18"/>
  <c r="GX39" i="18"/>
  <c r="GY39" i="18"/>
  <c r="GZ39" i="18"/>
  <c r="HA39" i="18"/>
  <c r="HB39" i="18"/>
  <c r="HC39" i="18"/>
  <c r="HD39" i="18"/>
  <c r="HE39" i="18"/>
  <c r="HG39" i="18"/>
  <c r="HH39" i="18"/>
  <c r="HI39" i="18"/>
  <c r="HL39" i="18"/>
  <c r="HM39" i="18"/>
  <c r="HN39" i="18"/>
  <c r="HO39" i="18"/>
  <c r="HP39" i="18"/>
  <c r="HQ39" i="18"/>
  <c r="HR39" i="18"/>
  <c r="HS39" i="18"/>
  <c r="HU39" i="18"/>
  <c r="HV39" i="18"/>
  <c r="HW39" i="18"/>
  <c r="D40" i="18"/>
  <c r="E40" i="18"/>
  <c r="G40" i="18"/>
  <c r="H40" i="18"/>
  <c r="I40" i="18"/>
  <c r="J40" i="18"/>
  <c r="K40" i="18"/>
  <c r="M40" i="18"/>
  <c r="N40" i="18"/>
  <c r="O40" i="18"/>
  <c r="R40" i="18"/>
  <c r="S40" i="18"/>
  <c r="T40" i="18"/>
  <c r="U40" i="18"/>
  <c r="V40" i="18"/>
  <c r="W40" i="18"/>
  <c r="X40" i="18"/>
  <c r="Y40" i="18"/>
  <c r="AA40" i="18"/>
  <c r="AB40" i="18"/>
  <c r="AC40" i="18"/>
  <c r="AF40" i="18"/>
  <c r="AG40" i="18"/>
  <c r="AH40" i="18"/>
  <c r="AI40" i="18"/>
  <c r="AJ40" i="18"/>
  <c r="AK40" i="18"/>
  <c r="AL40" i="18"/>
  <c r="AM40" i="18"/>
  <c r="AO40" i="18"/>
  <c r="AP40" i="18"/>
  <c r="AQ40" i="18"/>
  <c r="AT40" i="18"/>
  <c r="AU40" i="18"/>
  <c r="AV40" i="18"/>
  <c r="AW40" i="18"/>
  <c r="AX40" i="18"/>
  <c r="AY40" i="18"/>
  <c r="AZ40" i="18"/>
  <c r="BA40" i="18"/>
  <c r="BC40" i="18"/>
  <c r="BD40" i="18"/>
  <c r="BE40" i="18"/>
  <c r="BJ40" i="18"/>
  <c r="BK40" i="18"/>
  <c r="BL40" i="18"/>
  <c r="BM40" i="18"/>
  <c r="BN40" i="18"/>
  <c r="BO40" i="18"/>
  <c r="BP40" i="18"/>
  <c r="BQ40" i="18"/>
  <c r="BS40" i="18"/>
  <c r="BT40" i="18"/>
  <c r="BU40" i="18"/>
  <c r="BX40" i="18"/>
  <c r="BY40" i="18"/>
  <c r="BZ40" i="18"/>
  <c r="CA40" i="18"/>
  <c r="CB40" i="18"/>
  <c r="CC40" i="18"/>
  <c r="CD40" i="18"/>
  <c r="CE40" i="18"/>
  <c r="CG40" i="18"/>
  <c r="CH40" i="18"/>
  <c r="CI40" i="18"/>
  <c r="CL40" i="18"/>
  <c r="CM40" i="18"/>
  <c r="CN40" i="18"/>
  <c r="CO40" i="18"/>
  <c r="CP40" i="18"/>
  <c r="CQ40" i="18"/>
  <c r="CR40" i="18"/>
  <c r="CS40" i="18"/>
  <c r="CU40" i="18"/>
  <c r="CV40" i="18"/>
  <c r="CW40" i="18"/>
  <c r="CZ40" i="18"/>
  <c r="DA40" i="18"/>
  <c r="DB40" i="18"/>
  <c r="DC40" i="18"/>
  <c r="DD40" i="18"/>
  <c r="DE40" i="18"/>
  <c r="DF40" i="18"/>
  <c r="DG40" i="18"/>
  <c r="DI40" i="18"/>
  <c r="DJ40" i="18"/>
  <c r="DK40" i="18"/>
  <c r="DP40" i="18"/>
  <c r="DQ40" i="18"/>
  <c r="DR40" i="18"/>
  <c r="DS40" i="18"/>
  <c r="DT40" i="18"/>
  <c r="DU40" i="18"/>
  <c r="DV40" i="18"/>
  <c r="DW40" i="18"/>
  <c r="DY40" i="18"/>
  <c r="DZ40" i="18"/>
  <c r="EA40" i="18"/>
  <c r="ED40" i="18"/>
  <c r="EE40" i="18"/>
  <c r="EF40" i="18"/>
  <c r="EG40" i="18"/>
  <c r="EH40" i="18"/>
  <c r="EI40" i="18"/>
  <c r="EJ40" i="18"/>
  <c r="EK40" i="18"/>
  <c r="EM40" i="18"/>
  <c r="EN40" i="18"/>
  <c r="EO40" i="18"/>
  <c r="ER40" i="18"/>
  <c r="ES40" i="18"/>
  <c r="ET40" i="18"/>
  <c r="EU40" i="18"/>
  <c r="EV40" i="18"/>
  <c r="EW40" i="18"/>
  <c r="EX40" i="18"/>
  <c r="EY40" i="18"/>
  <c r="FA40" i="18"/>
  <c r="FB40" i="18"/>
  <c r="FC40" i="18"/>
  <c r="FF40" i="18"/>
  <c r="FG40" i="18"/>
  <c r="FH40" i="18"/>
  <c r="FI40" i="18"/>
  <c r="FJ40" i="18"/>
  <c r="FK40" i="18"/>
  <c r="FL40" i="18"/>
  <c r="FM40" i="18"/>
  <c r="FO40" i="18"/>
  <c r="FP40" i="18"/>
  <c r="FQ40" i="18"/>
  <c r="FV40" i="18"/>
  <c r="FW40" i="18"/>
  <c r="FX40" i="18"/>
  <c r="FY40" i="18"/>
  <c r="FZ40" i="18"/>
  <c r="GA40" i="18"/>
  <c r="GB40" i="18"/>
  <c r="GC40" i="18"/>
  <c r="GE40" i="18"/>
  <c r="GF40" i="18"/>
  <c r="GG40" i="18"/>
  <c r="GJ40" i="18"/>
  <c r="GK40" i="18"/>
  <c r="GL40" i="18"/>
  <c r="GM40" i="18"/>
  <c r="GN40" i="18"/>
  <c r="GO40" i="18"/>
  <c r="GP40" i="18"/>
  <c r="GQ40" i="18"/>
  <c r="GS40" i="18"/>
  <c r="GT40" i="18"/>
  <c r="GU40" i="18"/>
  <c r="GX40" i="18"/>
  <c r="GY40" i="18"/>
  <c r="GZ40" i="18"/>
  <c r="HA40" i="18"/>
  <c r="HB40" i="18"/>
  <c r="HC40" i="18"/>
  <c r="HD40" i="18"/>
  <c r="HE40" i="18"/>
  <c r="HG40" i="18"/>
  <c r="HH40" i="18"/>
  <c r="HI40" i="18"/>
  <c r="HL40" i="18"/>
  <c r="HM40" i="18"/>
  <c r="HN40" i="18"/>
  <c r="HO40" i="18"/>
  <c r="HP40" i="18"/>
  <c r="HQ40" i="18"/>
  <c r="HR40" i="18"/>
  <c r="HS40" i="18"/>
  <c r="HU40" i="18"/>
  <c r="HV40" i="18"/>
  <c r="HW40" i="18"/>
  <c r="D41" i="18"/>
  <c r="E41" i="18"/>
  <c r="G41" i="18"/>
  <c r="H41" i="18"/>
  <c r="I41" i="18"/>
  <c r="J41" i="18"/>
  <c r="K41" i="18"/>
  <c r="M41" i="18"/>
  <c r="N41" i="18"/>
  <c r="O41" i="18"/>
  <c r="R41" i="18"/>
  <c r="S41" i="18"/>
  <c r="T41" i="18"/>
  <c r="U41" i="18"/>
  <c r="V41" i="18"/>
  <c r="W41" i="18"/>
  <c r="X41" i="18"/>
  <c r="Y41" i="18"/>
  <c r="AA41" i="18"/>
  <c r="AB41" i="18"/>
  <c r="AC41" i="18"/>
  <c r="AF41" i="18"/>
  <c r="AG41" i="18"/>
  <c r="AH41" i="18"/>
  <c r="AI41" i="18"/>
  <c r="AJ41" i="18"/>
  <c r="AK41" i="18"/>
  <c r="AL41" i="18"/>
  <c r="AM41" i="18"/>
  <c r="AO41" i="18"/>
  <c r="AP41" i="18"/>
  <c r="AQ41" i="18"/>
  <c r="AT41" i="18"/>
  <c r="AU41" i="18"/>
  <c r="AV41" i="18"/>
  <c r="AW41" i="18"/>
  <c r="AX41" i="18"/>
  <c r="AY41" i="18"/>
  <c r="AZ41" i="18"/>
  <c r="BA41" i="18"/>
  <c r="BC41" i="18"/>
  <c r="BD41" i="18"/>
  <c r="BE41" i="18"/>
  <c r="BJ41" i="18"/>
  <c r="BK41" i="18"/>
  <c r="BL41" i="18"/>
  <c r="BM41" i="18"/>
  <c r="BN41" i="18"/>
  <c r="BO41" i="18"/>
  <c r="BP41" i="18"/>
  <c r="BQ41" i="18"/>
  <c r="BS41" i="18"/>
  <c r="BT41" i="18"/>
  <c r="BU41" i="18"/>
  <c r="BX41" i="18"/>
  <c r="BY41" i="18"/>
  <c r="BZ41" i="18"/>
  <c r="CA41" i="18"/>
  <c r="CB41" i="18"/>
  <c r="CC41" i="18"/>
  <c r="CD41" i="18"/>
  <c r="CE41" i="18"/>
  <c r="CG41" i="18"/>
  <c r="CH41" i="18"/>
  <c r="CI41" i="18"/>
  <c r="CL41" i="18"/>
  <c r="CM41" i="18"/>
  <c r="CN41" i="18"/>
  <c r="CO41" i="18"/>
  <c r="CP41" i="18"/>
  <c r="CQ41" i="18"/>
  <c r="CR41" i="18"/>
  <c r="CS41" i="18"/>
  <c r="CU41" i="18"/>
  <c r="CV41" i="18"/>
  <c r="CW41" i="18"/>
  <c r="CZ41" i="18"/>
  <c r="DA41" i="18"/>
  <c r="DB41" i="18"/>
  <c r="DC41" i="18"/>
  <c r="DD41" i="18"/>
  <c r="DE41" i="18"/>
  <c r="DF41" i="18"/>
  <c r="DG41" i="18"/>
  <c r="DI41" i="18"/>
  <c r="DJ41" i="18"/>
  <c r="DK41" i="18"/>
  <c r="DP41" i="18"/>
  <c r="DQ41" i="18"/>
  <c r="DR41" i="18"/>
  <c r="DS41" i="18"/>
  <c r="DT41" i="18"/>
  <c r="DU41" i="18"/>
  <c r="DV41" i="18"/>
  <c r="DW41" i="18"/>
  <c r="DY41" i="18"/>
  <c r="DZ41" i="18"/>
  <c r="EA41" i="18"/>
  <c r="ED41" i="18"/>
  <c r="EE41" i="18"/>
  <c r="EF41" i="18"/>
  <c r="EG41" i="18"/>
  <c r="EH41" i="18"/>
  <c r="EI41" i="18"/>
  <c r="EJ41" i="18"/>
  <c r="EK41" i="18"/>
  <c r="EM41" i="18"/>
  <c r="EN41" i="18"/>
  <c r="EO41" i="18"/>
  <c r="ER41" i="18"/>
  <c r="ES41" i="18"/>
  <c r="ET41" i="18"/>
  <c r="EU41" i="18"/>
  <c r="EV41" i="18"/>
  <c r="EW41" i="18"/>
  <c r="EX41" i="18"/>
  <c r="EY41" i="18"/>
  <c r="FA41" i="18"/>
  <c r="FB41" i="18"/>
  <c r="FC41" i="18"/>
  <c r="FF41" i="18"/>
  <c r="FG41" i="18"/>
  <c r="FH41" i="18"/>
  <c r="FI41" i="18"/>
  <c r="FJ41" i="18"/>
  <c r="FK41" i="18"/>
  <c r="FL41" i="18"/>
  <c r="FM41" i="18"/>
  <c r="FO41" i="18"/>
  <c r="FP41" i="18"/>
  <c r="FQ41" i="18"/>
  <c r="FV41" i="18"/>
  <c r="FW41" i="18"/>
  <c r="FX41" i="18"/>
  <c r="FY41" i="18"/>
  <c r="FZ41" i="18"/>
  <c r="GA41" i="18"/>
  <c r="GB41" i="18"/>
  <c r="GC41" i="18"/>
  <c r="GE41" i="18"/>
  <c r="GF41" i="18"/>
  <c r="GG41" i="18"/>
  <c r="GJ41" i="18"/>
  <c r="GK41" i="18"/>
  <c r="GL41" i="18"/>
  <c r="GM41" i="18"/>
  <c r="GN41" i="18"/>
  <c r="GO41" i="18"/>
  <c r="GP41" i="18"/>
  <c r="GQ41" i="18"/>
  <c r="GS41" i="18"/>
  <c r="GT41" i="18"/>
  <c r="GU41" i="18"/>
  <c r="GX41" i="18"/>
  <c r="GY41" i="18"/>
  <c r="GZ41" i="18"/>
  <c r="HA41" i="18"/>
  <c r="HB41" i="18"/>
  <c r="HC41" i="18"/>
  <c r="HD41" i="18"/>
  <c r="HE41" i="18"/>
  <c r="HG41" i="18"/>
  <c r="HH41" i="18"/>
  <c r="HI41" i="18"/>
  <c r="HL41" i="18"/>
  <c r="HM41" i="18"/>
  <c r="HN41" i="18"/>
  <c r="HO41" i="18"/>
  <c r="HP41" i="18"/>
  <c r="HQ41" i="18"/>
  <c r="HR41" i="18"/>
  <c r="HS41" i="18"/>
  <c r="HU41" i="18"/>
  <c r="HV41" i="18"/>
  <c r="HW41" i="18"/>
  <c r="D42" i="18"/>
  <c r="E42" i="18"/>
  <c r="G42" i="18"/>
  <c r="H42" i="18"/>
  <c r="I42" i="18"/>
  <c r="J42" i="18"/>
  <c r="K42" i="18"/>
  <c r="M42" i="18"/>
  <c r="N42" i="18"/>
  <c r="O42" i="18"/>
  <c r="R42" i="18"/>
  <c r="S42" i="18"/>
  <c r="T42" i="18"/>
  <c r="U42" i="18"/>
  <c r="V42" i="18"/>
  <c r="W42" i="18"/>
  <c r="X42" i="18"/>
  <c r="Y42" i="18"/>
  <c r="AA42" i="18"/>
  <c r="AB42" i="18"/>
  <c r="AC42" i="18"/>
  <c r="AF42" i="18"/>
  <c r="AG42" i="18"/>
  <c r="AH42" i="18"/>
  <c r="AI42" i="18"/>
  <c r="AJ42" i="18"/>
  <c r="AK42" i="18"/>
  <c r="AL42" i="18"/>
  <c r="AM42" i="18"/>
  <c r="AO42" i="18"/>
  <c r="AP42" i="18"/>
  <c r="AQ42" i="18"/>
  <c r="AT42" i="18"/>
  <c r="AU42" i="18"/>
  <c r="AV42" i="18"/>
  <c r="AW42" i="18"/>
  <c r="AX42" i="18"/>
  <c r="AY42" i="18"/>
  <c r="AZ42" i="18"/>
  <c r="BA42" i="18"/>
  <c r="BC42" i="18"/>
  <c r="BD42" i="18"/>
  <c r="BE42" i="18"/>
  <c r="BJ42" i="18"/>
  <c r="BK42" i="18"/>
  <c r="BL42" i="18"/>
  <c r="BM42" i="18"/>
  <c r="BN42" i="18"/>
  <c r="BO42" i="18"/>
  <c r="BP42" i="18"/>
  <c r="BQ42" i="18"/>
  <c r="BS42" i="18"/>
  <c r="BT42" i="18"/>
  <c r="BU42" i="18"/>
  <c r="BX42" i="18"/>
  <c r="BY42" i="18"/>
  <c r="BZ42" i="18"/>
  <c r="CA42" i="18"/>
  <c r="CB42" i="18"/>
  <c r="CC42" i="18"/>
  <c r="CD42" i="18"/>
  <c r="CE42" i="18"/>
  <c r="CG42" i="18"/>
  <c r="CH42" i="18"/>
  <c r="CI42" i="18"/>
  <c r="CL42" i="18"/>
  <c r="CM42" i="18"/>
  <c r="CN42" i="18"/>
  <c r="CO42" i="18"/>
  <c r="CP42" i="18"/>
  <c r="CQ42" i="18"/>
  <c r="CR42" i="18"/>
  <c r="CS42" i="18"/>
  <c r="CU42" i="18"/>
  <c r="CV42" i="18"/>
  <c r="CW42" i="18"/>
  <c r="CZ42" i="18"/>
  <c r="DA42" i="18"/>
  <c r="DB42" i="18"/>
  <c r="DC42" i="18"/>
  <c r="DD42" i="18"/>
  <c r="DE42" i="18"/>
  <c r="DF42" i="18"/>
  <c r="DG42" i="18"/>
  <c r="DI42" i="18"/>
  <c r="DJ42" i="18"/>
  <c r="DK42" i="18"/>
  <c r="DP42" i="18"/>
  <c r="DQ42" i="18"/>
  <c r="DR42" i="18"/>
  <c r="DS42" i="18"/>
  <c r="DT42" i="18"/>
  <c r="DU42" i="18"/>
  <c r="DV42" i="18"/>
  <c r="DW42" i="18"/>
  <c r="DY42" i="18"/>
  <c r="DZ42" i="18"/>
  <c r="EA42" i="18"/>
  <c r="ED42" i="18"/>
  <c r="EE42" i="18"/>
  <c r="EF42" i="18"/>
  <c r="EG42" i="18"/>
  <c r="EH42" i="18"/>
  <c r="EI42" i="18"/>
  <c r="EJ42" i="18"/>
  <c r="EK42" i="18"/>
  <c r="EM42" i="18"/>
  <c r="EN42" i="18"/>
  <c r="EO42" i="18"/>
  <c r="ER42" i="18"/>
  <c r="ES42" i="18"/>
  <c r="ET42" i="18"/>
  <c r="EU42" i="18"/>
  <c r="EV42" i="18"/>
  <c r="EW42" i="18"/>
  <c r="EX42" i="18"/>
  <c r="EY42" i="18"/>
  <c r="FA42" i="18"/>
  <c r="FB42" i="18"/>
  <c r="FC42" i="18"/>
  <c r="FF42" i="18"/>
  <c r="FG42" i="18"/>
  <c r="FH42" i="18"/>
  <c r="FI42" i="18"/>
  <c r="FJ42" i="18"/>
  <c r="FK42" i="18"/>
  <c r="FL42" i="18"/>
  <c r="FM42" i="18"/>
  <c r="FO42" i="18"/>
  <c r="FP42" i="18"/>
  <c r="FQ42" i="18"/>
  <c r="FV42" i="18"/>
  <c r="FW42" i="18"/>
  <c r="FX42" i="18"/>
  <c r="FY42" i="18"/>
  <c r="FZ42" i="18"/>
  <c r="GA42" i="18"/>
  <c r="GB42" i="18"/>
  <c r="GC42" i="18"/>
  <c r="GE42" i="18"/>
  <c r="GF42" i="18"/>
  <c r="GG42" i="18"/>
  <c r="GJ42" i="18"/>
  <c r="GK42" i="18"/>
  <c r="GL42" i="18"/>
  <c r="GM42" i="18"/>
  <c r="GN42" i="18"/>
  <c r="GO42" i="18"/>
  <c r="GP42" i="18"/>
  <c r="GQ42" i="18"/>
  <c r="GS42" i="18"/>
  <c r="GT42" i="18"/>
  <c r="GU42" i="18"/>
  <c r="GX42" i="18"/>
  <c r="GY42" i="18"/>
  <c r="GZ42" i="18"/>
  <c r="HA42" i="18"/>
  <c r="HB42" i="18"/>
  <c r="HC42" i="18"/>
  <c r="HD42" i="18"/>
  <c r="HE42" i="18"/>
  <c r="HG42" i="18"/>
  <c r="HH42" i="18"/>
  <c r="HI42" i="18"/>
  <c r="HL42" i="18"/>
  <c r="HM42" i="18"/>
  <c r="HN42" i="18"/>
  <c r="HO42" i="18"/>
  <c r="HP42" i="18"/>
  <c r="HQ42" i="18"/>
  <c r="HR42" i="18"/>
  <c r="HS42" i="18"/>
  <c r="HU42" i="18"/>
  <c r="HV42" i="18"/>
  <c r="HW42" i="18"/>
  <c r="D43" i="18"/>
  <c r="E43" i="18"/>
  <c r="G43" i="18"/>
  <c r="H43" i="18"/>
  <c r="I43" i="18"/>
  <c r="J43" i="18"/>
  <c r="K43" i="18"/>
  <c r="M43" i="18"/>
  <c r="N43" i="18"/>
  <c r="O43" i="18"/>
  <c r="R43" i="18"/>
  <c r="S43" i="18"/>
  <c r="T43" i="18"/>
  <c r="U43" i="18"/>
  <c r="V43" i="18"/>
  <c r="W43" i="18"/>
  <c r="X43" i="18"/>
  <c r="Y43" i="18"/>
  <c r="AA43" i="18"/>
  <c r="AB43" i="18"/>
  <c r="AC43" i="18"/>
  <c r="AF43" i="18"/>
  <c r="AG43" i="18"/>
  <c r="AH43" i="18"/>
  <c r="AI43" i="18"/>
  <c r="AJ43" i="18"/>
  <c r="AK43" i="18"/>
  <c r="AL43" i="18"/>
  <c r="AM43" i="18"/>
  <c r="AO43" i="18"/>
  <c r="AP43" i="18"/>
  <c r="AQ43" i="18"/>
  <c r="AT43" i="18"/>
  <c r="AU43" i="18"/>
  <c r="AV43" i="18"/>
  <c r="AW43" i="18"/>
  <c r="AX43" i="18"/>
  <c r="AY43" i="18"/>
  <c r="AZ43" i="18"/>
  <c r="BA43" i="18"/>
  <c r="BC43" i="18"/>
  <c r="BD43" i="18"/>
  <c r="BE43" i="18"/>
  <c r="BJ43" i="18"/>
  <c r="BK43" i="18"/>
  <c r="BL43" i="18"/>
  <c r="BM43" i="18"/>
  <c r="BN43" i="18"/>
  <c r="BO43" i="18"/>
  <c r="BP43" i="18"/>
  <c r="BQ43" i="18"/>
  <c r="BS43" i="18"/>
  <c r="BT43" i="18"/>
  <c r="BU43" i="18"/>
  <c r="BX43" i="18"/>
  <c r="BY43" i="18"/>
  <c r="BZ43" i="18"/>
  <c r="CA43" i="18"/>
  <c r="CB43" i="18"/>
  <c r="CC43" i="18"/>
  <c r="CD43" i="18"/>
  <c r="CE43" i="18"/>
  <c r="CG43" i="18"/>
  <c r="CH43" i="18"/>
  <c r="CI43" i="18"/>
  <c r="CL43" i="18"/>
  <c r="CM43" i="18"/>
  <c r="CN43" i="18"/>
  <c r="CO43" i="18"/>
  <c r="CP43" i="18"/>
  <c r="CQ43" i="18"/>
  <c r="CR43" i="18"/>
  <c r="CS43" i="18"/>
  <c r="CU43" i="18"/>
  <c r="CV43" i="18"/>
  <c r="CW43" i="18"/>
  <c r="CZ43" i="18"/>
  <c r="DA43" i="18"/>
  <c r="DB43" i="18"/>
  <c r="DC43" i="18"/>
  <c r="DD43" i="18"/>
  <c r="DE43" i="18"/>
  <c r="DF43" i="18"/>
  <c r="DG43" i="18"/>
  <c r="DI43" i="18"/>
  <c r="DJ43" i="18"/>
  <c r="DK43" i="18"/>
  <c r="DP43" i="18"/>
  <c r="DQ43" i="18"/>
  <c r="DR43" i="18"/>
  <c r="DS43" i="18"/>
  <c r="DT43" i="18"/>
  <c r="DU43" i="18"/>
  <c r="DV43" i="18"/>
  <c r="DW43" i="18"/>
  <c r="DY43" i="18"/>
  <c r="DZ43" i="18"/>
  <c r="EA43" i="18"/>
  <c r="ED43" i="18"/>
  <c r="EE43" i="18"/>
  <c r="EF43" i="18"/>
  <c r="EG43" i="18"/>
  <c r="EH43" i="18"/>
  <c r="EI43" i="18"/>
  <c r="EJ43" i="18"/>
  <c r="EK43" i="18"/>
  <c r="EM43" i="18"/>
  <c r="EN43" i="18"/>
  <c r="EO43" i="18"/>
  <c r="ER43" i="18"/>
  <c r="ES43" i="18"/>
  <c r="ET43" i="18"/>
  <c r="EU43" i="18"/>
  <c r="EV43" i="18"/>
  <c r="EW43" i="18"/>
  <c r="EX43" i="18"/>
  <c r="EY43" i="18"/>
  <c r="FA43" i="18"/>
  <c r="FB43" i="18"/>
  <c r="FC43" i="18"/>
  <c r="FF43" i="18"/>
  <c r="FG43" i="18"/>
  <c r="FH43" i="18"/>
  <c r="FI43" i="18"/>
  <c r="FJ43" i="18"/>
  <c r="FK43" i="18"/>
  <c r="FL43" i="18"/>
  <c r="FM43" i="18"/>
  <c r="FO43" i="18"/>
  <c r="FP43" i="18"/>
  <c r="FQ43" i="18"/>
  <c r="FV43" i="18"/>
  <c r="FW43" i="18"/>
  <c r="FX43" i="18"/>
  <c r="FY43" i="18"/>
  <c r="FZ43" i="18"/>
  <c r="GA43" i="18"/>
  <c r="GB43" i="18"/>
  <c r="GC43" i="18"/>
  <c r="GE43" i="18"/>
  <c r="GF43" i="18"/>
  <c r="GG43" i="18"/>
  <c r="GJ43" i="18"/>
  <c r="GK43" i="18"/>
  <c r="GL43" i="18"/>
  <c r="GM43" i="18"/>
  <c r="GN43" i="18"/>
  <c r="GO43" i="18"/>
  <c r="GP43" i="18"/>
  <c r="GQ43" i="18"/>
  <c r="GS43" i="18"/>
  <c r="GT43" i="18"/>
  <c r="GU43" i="18"/>
  <c r="GX43" i="18"/>
  <c r="GY43" i="18"/>
  <c r="GZ43" i="18"/>
  <c r="HA43" i="18"/>
  <c r="HB43" i="18"/>
  <c r="HC43" i="18"/>
  <c r="HD43" i="18"/>
  <c r="HE43" i="18"/>
  <c r="HG43" i="18"/>
  <c r="HH43" i="18"/>
  <c r="HI43" i="18"/>
  <c r="HL43" i="18"/>
  <c r="HM43" i="18"/>
  <c r="HN43" i="18"/>
  <c r="HO43" i="18"/>
  <c r="HP43" i="18"/>
  <c r="HQ43" i="18"/>
  <c r="HR43" i="18"/>
  <c r="HS43" i="18"/>
  <c r="HU43" i="18"/>
  <c r="HV43" i="18"/>
  <c r="HW43" i="18"/>
  <c r="D44" i="18"/>
  <c r="E44" i="18"/>
  <c r="G44" i="18"/>
  <c r="H44" i="18"/>
  <c r="I44" i="18"/>
  <c r="J44" i="18"/>
  <c r="K44" i="18"/>
  <c r="M44" i="18"/>
  <c r="N44" i="18"/>
  <c r="O44" i="18"/>
  <c r="R44" i="18"/>
  <c r="S44" i="18"/>
  <c r="T44" i="18"/>
  <c r="U44" i="18"/>
  <c r="V44" i="18"/>
  <c r="W44" i="18"/>
  <c r="X44" i="18"/>
  <c r="Y44" i="18"/>
  <c r="AA44" i="18"/>
  <c r="AB44" i="18"/>
  <c r="AC44" i="18"/>
  <c r="AF44" i="18"/>
  <c r="AG44" i="18"/>
  <c r="AH44" i="18"/>
  <c r="AI44" i="18"/>
  <c r="AJ44" i="18"/>
  <c r="AK44" i="18"/>
  <c r="AL44" i="18"/>
  <c r="AM44" i="18"/>
  <c r="AO44" i="18"/>
  <c r="AP44" i="18"/>
  <c r="AQ44" i="18"/>
  <c r="AT44" i="18"/>
  <c r="AU44" i="18"/>
  <c r="AV44" i="18"/>
  <c r="AW44" i="18"/>
  <c r="AX44" i="18"/>
  <c r="AY44" i="18"/>
  <c r="AZ44" i="18"/>
  <c r="BA44" i="18"/>
  <c r="BC44" i="18"/>
  <c r="BD44" i="18"/>
  <c r="BE44" i="18"/>
  <c r="BJ44" i="18"/>
  <c r="BK44" i="18"/>
  <c r="BL44" i="18"/>
  <c r="BM44" i="18"/>
  <c r="BN44" i="18"/>
  <c r="BO44" i="18"/>
  <c r="BP44" i="18"/>
  <c r="BQ44" i="18"/>
  <c r="BS44" i="18"/>
  <c r="BT44" i="18"/>
  <c r="BU44" i="18"/>
  <c r="BX44" i="18"/>
  <c r="BY44" i="18"/>
  <c r="BZ44" i="18"/>
  <c r="CA44" i="18"/>
  <c r="CB44" i="18"/>
  <c r="CC44" i="18"/>
  <c r="CD44" i="18"/>
  <c r="CE44" i="18"/>
  <c r="CG44" i="18"/>
  <c r="CH44" i="18"/>
  <c r="CI44" i="18"/>
  <c r="CL44" i="18"/>
  <c r="CM44" i="18"/>
  <c r="CN44" i="18"/>
  <c r="CO44" i="18"/>
  <c r="CP44" i="18"/>
  <c r="CQ44" i="18"/>
  <c r="CR44" i="18"/>
  <c r="CS44" i="18"/>
  <c r="CU44" i="18"/>
  <c r="CV44" i="18"/>
  <c r="CW44" i="18"/>
  <c r="CZ44" i="18"/>
  <c r="DA44" i="18"/>
  <c r="DB44" i="18"/>
  <c r="DC44" i="18"/>
  <c r="DD44" i="18"/>
  <c r="DE44" i="18"/>
  <c r="DF44" i="18"/>
  <c r="DG44" i="18"/>
  <c r="DI44" i="18"/>
  <c r="DJ44" i="18"/>
  <c r="DK44" i="18"/>
  <c r="DP44" i="18"/>
  <c r="DQ44" i="18"/>
  <c r="DR44" i="18"/>
  <c r="DS44" i="18"/>
  <c r="DT44" i="18"/>
  <c r="DU44" i="18"/>
  <c r="DV44" i="18"/>
  <c r="DW44" i="18"/>
  <c r="DY44" i="18"/>
  <c r="DZ44" i="18"/>
  <c r="EA44" i="18"/>
  <c r="ED44" i="18"/>
  <c r="EE44" i="18"/>
  <c r="EF44" i="18"/>
  <c r="EG44" i="18"/>
  <c r="EH44" i="18"/>
  <c r="EI44" i="18"/>
  <c r="EJ44" i="18"/>
  <c r="EK44" i="18"/>
  <c r="EM44" i="18"/>
  <c r="EN44" i="18"/>
  <c r="EO44" i="18"/>
  <c r="ER44" i="18"/>
  <c r="ES44" i="18"/>
  <c r="ET44" i="18"/>
  <c r="EU44" i="18"/>
  <c r="EV44" i="18"/>
  <c r="EW44" i="18"/>
  <c r="EX44" i="18"/>
  <c r="EY44" i="18"/>
  <c r="FA44" i="18"/>
  <c r="FB44" i="18"/>
  <c r="FC44" i="18"/>
  <c r="FF44" i="18"/>
  <c r="FG44" i="18"/>
  <c r="FH44" i="18"/>
  <c r="FI44" i="18"/>
  <c r="FJ44" i="18"/>
  <c r="FK44" i="18"/>
  <c r="FL44" i="18"/>
  <c r="FM44" i="18"/>
  <c r="FO44" i="18"/>
  <c r="FP44" i="18"/>
  <c r="FQ44" i="18"/>
  <c r="FV44" i="18"/>
  <c r="FW44" i="18"/>
  <c r="FX44" i="18"/>
  <c r="FY44" i="18"/>
  <c r="FZ44" i="18"/>
  <c r="GA44" i="18"/>
  <c r="GB44" i="18"/>
  <c r="GC44" i="18"/>
  <c r="GE44" i="18"/>
  <c r="GF44" i="18"/>
  <c r="GG44" i="18"/>
  <c r="GJ44" i="18"/>
  <c r="GK44" i="18"/>
  <c r="GL44" i="18"/>
  <c r="GM44" i="18"/>
  <c r="GN44" i="18"/>
  <c r="GO44" i="18"/>
  <c r="GP44" i="18"/>
  <c r="GQ44" i="18"/>
  <c r="GS44" i="18"/>
  <c r="GT44" i="18"/>
  <c r="GU44" i="18"/>
  <c r="GX44" i="18"/>
  <c r="GY44" i="18"/>
  <c r="GZ44" i="18"/>
  <c r="HA44" i="18"/>
  <c r="HB44" i="18"/>
  <c r="HC44" i="18"/>
  <c r="HD44" i="18"/>
  <c r="HE44" i="18"/>
  <c r="HG44" i="18"/>
  <c r="HH44" i="18"/>
  <c r="HI44" i="18"/>
  <c r="HL44" i="18"/>
  <c r="HM44" i="18"/>
  <c r="HN44" i="18"/>
  <c r="HO44" i="18"/>
  <c r="HP44" i="18"/>
  <c r="HQ44" i="18"/>
  <c r="HR44" i="18"/>
  <c r="HS44" i="18"/>
  <c r="HU44" i="18"/>
  <c r="HV44" i="18"/>
  <c r="HW44" i="18"/>
  <c r="D45" i="18"/>
  <c r="E45" i="18"/>
  <c r="G45" i="18"/>
  <c r="H45" i="18"/>
  <c r="I45" i="18"/>
  <c r="J45" i="18"/>
  <c r="K45" i="18"/>
  <c r="M45" i="18"/>
  <c r="N45" i="18"/>
  <c r="O45" i="18"/>
  <c r="R45" i="18"/>
  <c r="S45" i="18"/>
  <c r="T45" i="18"/>
  <c r="U45" i="18"/>
  <c r="V45" i="18"/>
  <c r="W45" i="18"/>
  <c r="X45" i="18"/>
  <c r="Y45" i="18"/>
  <c r="AA45" i="18"/>
  <c r="AB45" i="18"/>
  <c r="AC45" i="18"/>
  <c r="AF45" i="18"/>
  <c r="AG45" i="18"/>
  <c r="AH45" i="18"/>
  <c r="AI45" i="18"/>
  <c r="AJ45" i="18"/>
  <c r="AK45" i="18"/>
  <c r="AL45" i="18"/>
  <c r="AM45" i="18"/>
  <c r="AO45" i="18"/>
  <c r="AP45" i="18"/>
  <c r="AQ45" i="18"/>
  <c r="AT45" i="18"/>
  <c r="AU45" i="18"/>
  <c r="AV45" i="18"/>
  <c r="AW45" i="18"/>
  <c r="AX45" i="18"/>
  <c r="AY45" i="18"/>
  <c r="AZ45" i="18"/>
  <c r="BA45" i="18"/>
  <c r="BC45" i="18"/>
  <c r="BD45" i="18"/>
  <c r="BE45" i="18"/>
  <c r="BJ45" i="18"/>
  <c r="BK45" i="18"/>
  <c r="BL45" i="18"/>
  <c r="BM45" i="18"/>
  <c r="BN45" i="18"/>
  <c r="BO45" i="18"/>
  <c r="BP45" i="18"/>
  <c r="BQ45" i="18"/>
  <c r="BS45" i="18"/>
  <c r="BT45" i="18"/>
  <c r="BU45" i="18"/>
  <c r="BX45" i="18"/>
  <c r="BY45" i="18"/>
  <c r="BZ45" i="18"/>
  <c r="CA45" i="18"/>
  <c r="CB45" i="18"/>
  <c r="CC45" i="18"/>
  <c r="CD45" i="18"/>
  <c r="CE45" i="18"/>
  <c r="CG45" i="18"/>
  <c r="CH45" i="18"/>
  <c r="CI45" i="18"/>
  <c r="CL45" i="18"/>
  <c r="CM45" i="18"/>
  <c r="CN45" i="18"/>
  <c r="CO45" i="18"/>
  <c r="CP45" i="18"/>
  <c r="CQ45" i="18"/>
  <c r="CR45" i="18"/>
  <c r="CS45" i="18"/>
  <c r="CU45" i="18"/>
  <c r="CV45" i="18"/>
  <c r="CW45" i="18"/>
  <c r="CZ45" i="18"/>
  <c r="DA45" i="18"/>
  <c r="DB45" i="18"/>
  <c r="DC45" i="18"/>
  <c r="DD45" i="18"/>
  <c r="DE45" i="18"/>
  <c r="DF45" i="18"/>
  <c r="DG45" i="18"/>
  <c r="DI45" i="18"/>
  <c r="DJ45" i="18"/>
  <c r="DK45" i="18"/>
  <c r="DP45" i="18"/>
  <c r="DQ45" i="18"/>
  <c r="DR45" i="18"/>
  <c r="DS45" i="18"/>
  <c r="DT45" i="18"/>
  <c r="DU45" i="18"/>
  <c r="DV45" i="18"/>
  <c r="DW45" i="18"/>
  <c r="DY45" i="18"/>
  <c r="DZ45" i="18"/>
  <c r="EA45" i="18"/>
  <c r="ED45" i="18"/>
  <c r="EE45" i="18"/>
  <c r="EF45" i="18"/>
  <c r="EG45" i="18"/>
  <c r="EH45" i="18"/>
  <c r="EI45" i="18"/>
  <c r="EJ45" i="18"/>
  <c r="EK45" i="18"/>
  <c r="EM45" i="18"/>
  <c r="EN45" i="18"/>
  <c r="EO45" i="18"/>
  <c r="ER45" i="18"/>
  <c r="ES45" i="18"/>
  <c r="ET45" i="18"/>
  <c r="EU45" i="18"/>
  <c r="EV45" i="18"/>
  <c r="EW45" i="18"/>
  <c r="EX45" i="18"/>
  <c r="EY45" i="18"/>
  <c r="FA45" i="18"/>
  <c r="FB45" i="18"/>
  <c r="FC45" i="18"/>
  <c r="FF45" i="18"/>
  <c r="FG45" i="18"/>
  <c r="FH45" i="18"/>
  <c r="FI45" i="18"/>
  <c r="FJ45" i="18"/>
  <c r="FK45" i="18"/>
  <c r="FL45" i="18"/>
  <c r="FM45" i="18"/>
  <c r="FO45" i="18"/>
  <c r="FP45" i="18"/>
  <c r="FQ45" i="18"/>
  <c r="FV45" i="18"/>
  <c r="FW45" i="18"/>
  <c r="FX45" i="18"/>
  <c r="FY45" i="18"/>
  <c r="FZ45" i="18"/>
  <c r="GA45" i="18"/>
  <c r="GB45" i="18"/>
  <c r="GC45" i="18"/>
  <c r="GE45" i="18"/>
  <c r="GF45" i="18"/>
  <c r="GG45" i="18"/>
  <c r="GJ45" i="18"/>
  <c r="GK45" i="18"/>
  <c r="GL45" i="18"/>
  <c r="GM45" i="18"/>
  <c r="GN45" i="18"/>
  <c r="GO45" i="18"/>
  <c r="GP45" i="18"/>
  <c r="GQ45" i="18"/>
  <c r="GS45" i="18"/>
  <c r="GT45" i="18"/>
  <c r="GU45" i="18"/>
  <c r="GX45" i="18"/>
  <c r="GY45" i="18"/>
  <c r="GZ45" i="18"/>
  <c r="HA45" i="18"/>
  <c r="HB45" i="18"/>
  <c r="HC45" i="18"/>
  <c r="HD45" i="18"/>
  <c r="HE45" i="18"/>
  <c r="HG45" i="18"/>
  <c r="HH45" i="18"/>
  <c r="HI45" i="18"/>
  <c r="HL45" i="18"/>
  <c r="HM45" i="18"/>
  <c r="HN45" i="18"/>
  <c r="HO45" i="18"/>
  <c r="HP45" i="18"/>
  <c r="HQ45" i="18"/>
  <c r="HR45" i="18"/>
  <c r="HS45" i="18"/>
  <c r="HU45" i="18"/>
  <c r="HV45" i="18"/>
  <c r="HW45" i="18"/>
  <c r="D46" i="18"/>
  <c r="E46" i="18"/>
  <c r="G46" i="18"/>
  <c r="H46" i="18"/>
  <c r="I46" i="18"/>
  <c r="J46" i="18"/>
  <c r="K46" i="18"/>
  <c r="M46" i="18"/>
  <c r="N46" i="18"/>
  <c r="O46" i="18"/>
  <c r="R46" i="18"/>
  <c r="S46" i="18"/>
  <c r="T46" i="18"/>
  <c r="U46" i="18"/>
  <c r="V46" i="18"/>
  <c r="W46" i="18"/>
  <c r="X46" i="18"/>
  <c r="Y46" i="18"/>
  <c r="AA46" i="18"/>
  <c r="AB46" i="18"/>
  <c r="AC46" i="18"/>
  <c r="AF46" i="18"/>
  <c r="AG46" i="18"/>
  <c r="AH46" i="18"/>
  <c r="AI46" i="18"/>
  <c r="AJ46" i="18"/>
  <c r="AK46" i="18"/>
  <c r="AL46" i="18"/>
  <c r="AM46" i="18"/>
  <c r="AO46" i="18"/>
  <c r="AP46" i="18"/>
  <c r="AQ46" i="18"/>
  <c r="AT46" i="18"/>
  <c r="AU46" i="18"/>
  <c r="AV46" i="18"/>
  <c r="AW46" i="18"/>
  <c r="AX46" i="18"/>
  <c r="AY46" i="18"/>
  <c r="AZ46" i="18"/>
  <c r="BA46" i="18"/>
  <c r="BC46" i="18"/>
  <c r="BD46" i="18"/>
  <c r="BE46" i="18"/>
  <c r="BJ46" i="18"/>
  <c r="BK46" i="18"/>
  <c r="BL46" i="18"/>
  <c r="BM46" i="18"/>
  <c r="BN46" i="18"/>
  <c r="BO46" i="18"/>
  <c r="BP46" i="18"/>
  <c r="BQ46" i="18"/>
  <c r="BS46" i="18"/>
  <c r="BT46" i="18"/>
  <c r="BU46" i="18"/>
  <c r="BX46" i="18"/>
  <c r="BY46" i="18"/>
  <c r="BZ46" i="18"/>
  <c r="CA46" i="18"/>
  <c r="CB46" i="18"/>
  <c r="CC46" i="18"/>
  <c r="CD46" i="18"/>
  <c r="CE46" i="18"/>
  <c r="CG46" i="18"/>
  <c r="CH46" i="18"/>
  <c r="CI46" i="18"/>
  <c r="CL46" i="18"/>
  <c r="CM46" i="18"/>
  <c r="CN46" i="18"/>
  <c r="CO46" i="18"/>
  <c r="CP46" i="18"/>
  <c r="CQ46" i="18"/>
  <c r="CR46" i="18"/>
  <c r="CS46" i="18"/>
  <c r="CU46" i="18"/>
  <c r="CV46" i="18"/>
  <c r="CW46" i="18"/>
  <c r="CZ46" i="18"/>
  <c r="DA46" i="18"/>
  <c r="DB46" i="18"/>
  <c r="DC46" i="18"/>
  <c r="DD46" i="18"/>
  <c r="DE46" i="18"/>
  <c r="DF46" i="18"/>
  <c r="DG46" i="18"/>
  <c r="DI46" i="18"/>
  <c r="DJ46" i="18"/>
  <c r="DK46" i="18"/>
  <c r="DP46" i="18"/>
  <c r="DQ46" i="18"/>
  <c r="DR46" i="18"/>
  <c r="DS46" i="18"/>
  <c r="DT46" i="18"/>
  <c r="DU46" i="18"/>
  <c r="DV46" i="18"/>
  <c r="DW46" i="18"/>
  <c r="DY46" i="18"/>
  <c r="DZ46" i="18"/>
  <c r="EA46" i="18"/>
  <c r="ED46" i="18"/>
  <c r="EE46" i="18"/>
  <c r="EF46" i="18"/>
  <c r="EG46" i="18"/>
  <c r="EH46" i="18"/>
  <c r="EI46" i="18"/>
  <c r="EJ46" i="18"/>
  <c r="EK46" i="18"/>
  <c r="EM46" i="18"/>
  <c r="EN46" i="18"/>
  <c r="EO46" i="18"/>
  <c r="ER46" i="18"/>
  <c r="ES46" i="18"/>
  <c r="ET46" i="18"/>
  <c r="EU46" i="18"/>
  <c r="EV46" i="18"/>
  <c r="EW46" i="18"/>
  <c r="EX46" i="18"/>
  <c r="EY46" i="18"/>
  <c r="FA46" i="18"/>
  <c r="FB46" i="18"/>
  <c r="FC46" i="18"/>
  <c r="FF46" i="18"/>
  <c r="FG46" i="18"/>
  <c r="FH46" i="18"/>
  <c r="FI46" i="18"/>
  <c r="FJ46" i="18"/>
  <c r="FK46" i="18"/>
  <c r="FL46" i="18"/>
  <c r="FM46" i="18"/>
  <c r="FO46" i="18"/>
  <c r="FP46" i="18"/>
  <c r="FQ46" i="18"/>
  <c r="FV46" i="18"/>
  <c r="FW46" i="18"/>
  <c r="FX46" i="18"/>
  <c r="FY46" i="18"/>
  <c r="FZ46" i="18"/>
  <c r="GA46" i="18"/>
  <c r="GB46" i="18"/>
  <c r="GC46" i="18"/>
  <c r="GE46" i="18"/>
  <c r="GF46" i="18"/>
  <c r="GG46" i="18"/>
  <c r="GJ46" i="18"/>
  <c r="GK46" i="18"/>
  <c r="GL46" i="18"/>
  <c r="GM46" i="18"/>
  <c r="GN46" i="18"/>
  <c r="GO46" i="18"/>
  <c r="GP46" i="18"/>
  <c r="GQ46" i="18"/>
  <c r="GS46" i="18"/>
  <c r="GT46" i="18"/>
  <c r="GU46" i="18"/>
  <c r="GX46" i="18"/>
  <c r="GY46" i="18"/>
  <c r="GZ46" i="18"/>
  <c r="HA46" i="18"/>
  <c r="HB46" i="18"/>
  <c r="HC46" i="18"/>
  <c r="HD46" i="18"/>
  <c r="HE46" i="18"/>
  <c r="HG46" i="18"/>
  <c r="HH46" i="18"/>
  <c r="HI46" i="18"/>
  <c r="HL46" i="18"/>
  <c r="HM46" i="18"/>
  <c r="HN46" i="18"/>
  <c r="HO46" i="18"/>
  <c r="HP46" i="18"/>
  <c r="HQ46" i="18"/>
  <c r="HR46" i="18"/>
  <c r="HS46" i="18"/>
  <c r="HU46" i="18"/>
  <c r="HV46" i="18"/>
  <c r="HW46" i="18"/>
  <c r="D47" i="18"/>
  <c r="E47" i="18"/>
  <c r="G47" i="18"/>
  <c r="H47" i="18"/>
  <c r="I47" i="18"/>
  <c r="J47" i="18"/>
  <c r="K47" i="18"/>
  <c r="M47" i="18"/>
  <c r="N47" i="18"/>
  <c r="O47" i="18"/>
  <c r="R47" i="18"/>
  <c r="S47" i="18"/>
  <c r="T47" i="18"/>
  <c r="U47" i="18"/>
  <c r="V47" i="18"/>
  <c r="W47" i="18"/>
  <c r="X47" i="18"/>
  <c r="Y47" i="18"/>
  <c r="AA47" i="18"/>
  <c r="AB47" i="18"/>
  <c r="AC47" i="18"/>
  <c r="AF47" i="18"/>
  <c r="AG47" i="18"/>
  <c r="AH47" i="18"/>
  <c r="AI47" i="18"/>
  <c r="AJ47" i="18"/>
  <c r="AK47" i="18"/>
  <c r="AL47" i="18"/>
  <c r="AM47" i="18"/>
  <c r="AO47" i="18"/>
  <c r="AP47" i="18"/>
  <c r="AQ47" i="18"/>
  <c r="AT47" i="18"/>
  <c r="AU47" i="18"/>
  <c r="AV47" i="18"/>
  <c r="AW47" i="18"/>
  <c r="AX47" i="18"/>
  <c r="AY47" i="18"/>
  <c r="AZ47" i="18"/>
  <c r="BA47" i="18"/>
  <c r="BC47" i="18"/>
  <c r="BD47" i="18"/>
  <c r="BE47" i="18"/>
  <c r="BJ47" i="18"/>
  <c r="BK47" i="18"/>
  <c r="BL47" i="18"/>
  <c r="BM47" i="18"/>
  <c r="BN47" i="18"/>
  <c r="BO47" i="18"/>
  <c r="BP47" i="18"/>
  <c r="BQ47" i="18"/>
  <c r="BS47" i="18"/>
  <c r="BT47" i="18"/>
  <c r="BU47" i="18"/>
  <c r="BX47" i="18"/>
  <c r="BY47" i="18"/>
  <c r="BZ47" i="18"/>
  <c r="CA47" i="18"/>
  <c r="CB47" i="18"/>
  <c r="CC47" i="18"/>
  <c r="CD47" i="18"/>
  <c r="CE47" i="18"/>
  <c r="CG47" i="18"/>
  <c r="CH47" i="18"/>
  <c r="CI47" i="18"/>
  <c r="CL47" i="18"/>
  <c r="CM47" i="18"/>
  <c r="CN47" i="18"/>
  <c r="CO47" i="18"/>
  <c r="CP47" i="18"/>
  <c r="CQ47" i="18"/>
  <c r="CR47" i="18"/>
  <c r="CS47" i="18"/>
  <c r="CU47" i="18"/>
  <c r="CV47" i="18"/>
  <c r="CW47" i="18"/>
  <c r="CZ47" i="18"/>
  <c r="DA47" i="18"/>
  <c r="DB47" i="18"/>
  <c r="DC47" i="18"/>
  <c r="DD47" i="18"/>
  <c r="DE47" i="18"/>
  <c r="DF47" i="18"/>
  <c r="DG47" i="18"/>
  <c r="DI47" i="18"/>
  <c r="DJ47" i="18"/>
  <c r="DK47" i="18"/>
  <c r="DP47" i="18"/>
  <c r="DQ47" i="18"/>
  <c r="DR47" i="18"/>
  <c r="DS47" i="18"/>
  <c r="DT47" i="18"/>
  <c r="DU47" i="18"/>
  <c r="DV47" i="18"/>
  <c r="DW47" i="18"/>
  <c r="DY47" i="18"/>
  <c r="DZ47" i="18"/>
  <c r="EA47" i="18"/>
  <c r="ED47" i="18"/>
  <c r="EE47" i="18"/>
  <c r="EF47" i="18"/>
  <c r="EG47" i="18"/>
  <c r="EH47" i="18"/>
  <c r="EI47" i="18"/>
  <c r="EJ47" i="18"/>
  <c r="EK47" i="18"/>
  <c r="EM47" i="18"/>
  <c r="EN47" i="18"/>
  <c r="EO47" i="18"/>
  <c r="ER47" i="18"/>
  <c r="ES47" i="18"/>
  <c r="ET47" i="18"/>
  <c r="EU47" i="18"/>
  <c r="EV47" i="18"/>
  <c r="EW47" i="18"/>
  <c r="EX47" i="18"/>
  <c r="EY47" i="18"/>
  <c r="FA47" i="18"/>
  <c r="FB47" i="18"/>
  <c r="FC47" i="18"/>
  <c r="FF47" i="18"/>
  <c r="FG47" i="18"/>
  <c r="FH47" i="18"/>
  <c r="FI47" i="18"/>
  <c r="FJ47" i="18"/>
  <c r="FK47" i="18"/>
  <c r="FL47" i="18"/>
  <c r="FM47" i="18"/>
  <c r="FO47" i="18"/>
  <c r="FP47" i="18"/>
  <c r="FQ47" i="18"/>
  <c r="FV47" i="18"/>
  <c r="FW47" i="18"/>
  <c r="FX47" i="18"/>
  <c r="FY47" i="18"/>
  <c r="FZ47" i="18"/>
  <c r="GA47" i="18"/>
  <c r="GB47" i="18"/>
  <c r="GC47" i="18"/>
  <c r="GE47" i="18"/>
  <c r="GF47" i="18"/>
  <c r="GG47" i="18"/>
  <c r="GJ47" i="18"/>
  <c r="GK47" i="18"/>
  <c r="GL47" i="18"/>
  <c r="GM47" i="18"/>
  <c r="GN47" i="18"/>
  <c r="GO47" i="18"/>
  <c r="GP47" i="18"/>
  <c r="GQ47" i="18"/>
  <c r="GS47" i="18"/>
  <c r="GT47" i="18"/>
  <c r="GU47" i="18"/>
  <c r="GX47" i="18"/>
  <c r="GY47" i="18"/>
  <c r="GZ47" i="18"/>
  <c r="HA47" i="18"/>
  <c r="HB47" i="18"/>
  <c r="HC47" i="18"/>
  <c r="HD47" i="18"/>
  <c r="HE47" i="18"/>
  <c r="HG47" i="18"/>
  <c r="HH47" i="18"/>
  <c r="HI47" i="18"/>
  <c r="HL47" i="18"/>
  <c r="HM47" i="18"/>
  <c r="HN47" i="18"/>
  <c r="HO47" i="18"/>
  <c r="HP47" i="18"/>
  <c r="HQ47" i="18"/>
  <c r="HR47" i="18"/>
  <c r="HS47" i="18"/>
  <c r="HU47" i="18"/>
  <c r="HV47" i="18"/>
  <c r="HW47" i="18"/>
  <c r="D48" i="18"/>
  <c r="E48" i="18"/>
  <c r="G48" i="18"/>
  <c r="H48" i="18"/>
  <c r="I48" i="18"/>
  <c r="J48" i="18"/>
  <c r="K48" i="18"/>
  <c r="M48" i="18"/>
  <c r="N48" i="18"/>
  <c r="O48" i="18"/>
  <c r="R48" i="18"/>
  <c r="S48" i="18"/>
  <c r="T48" i="18"/>
  <c r="U48" i="18"/>
  <c r="V48" i="18"/>
  <c r="W48" i="18"/>
  <c r="X48" i="18"/>
  <c r="Y48" i="18"/>
  <c r="AA48" i="18"/>
  <c r="AB48" i="18"/>
  <c r="AC48" i="18"/>
  <c r="AF48" i="18"/>
  <c r="AG48" i="18"/>
  <c r="AH48" i="18"/>
  <c r="AI48" i="18"/>
  <c r="AJ48" i="18"/>
  <c r="AK48" i="18"/>
  <c r="AL48" i="18"/>
  <c r="AM48" i="18"/>
  <c r="AO48" i="18"/>
  <c r="AP48" i="18"/>
  <c r="AQ48" i="18"/>
  <c r="AT48" i="18"/>
  <c r="AU48" i="18"/>
  <c r="AV48" i="18"/>
  <c r="AW48" i="18"/>
  <c r="AX48" i="18"/>
  <c r="AY48" i="18"/>
  <c r="AZ48" i="18"/>
  <c r="BA48" i="18"/>
  <c r="BC48" i="18"/>
  <c r="BD48" i="18"/>
  <c r="BE48" i="18"/>
  <c r="BJ48" i="18"/>
  <c r="BK48" i="18"/>
  <c r="BL48" i="18"/>
  <c r="BM48" i="18"/>
  <c r="BN48" i="18"/>
  <c r="BO48" i="18"/>
  <c r="BP48" i="18"/>
  <c r="BQ48" i="18"/>
  <c r="BS48" i="18"/>
  <c r="BT48" i="18"/>
  <c r="BU48" i="18"/>
  <c r="BX48" i="18"/>
  <c r="BY48" i="18"/>
  <c r="BZ48" i="18"/>
  <c r="CA48" i="18"/>
  <c r="CB48" i="18"/>
  <c r="CC48" i="18"/>
  <c r="CD48" i="18"/>
  <c r="CE48" i="18"/>
  <c r="CG48" i="18"/>
  <c r="CH48" i="18"/>
  <c r="CI48" i="18"/>
  <c r="CL48" i="18"/>
  <c r="CM48" i="18"/>
  <c r="CN48" i="18"/>
  <c r="CO48" i="18"/>
  <c r="CP48" i="18"/>
  <c r="CQ48" i="18"/>
  <c r="CR48" i="18"/>
  <c r="CS48" i="18"/>
  <c r="CU48" i="18"/>
  <c r="CV48" i="18"/>
  <c r="CW48" i="18"/>
  <c r="CZ48" i="18"/>
  <c r="DA48" i="18"/>
  <c r="DB48" i="18"/>
  <c r="DC48" i="18"/>
  <c r="DD48" i="18"/>
  <c r="DE48" i="18"/>
  <c r="DF48" i="18"/>
  <c r="DG48" i="18"/>
  <c r="DI48" i="18"/>
  <c r="DJ48" i="18"/>
  <c r="DK48" i="18"/>
  <c r="DP48" i="18"/>
  <c r="DQ48" i="18"/>
  <c r="DR48" i="18"/>
  <c r="DS48" i="18"/>
  <c r="DT48" i="18"/>
  <c r="DU48" i="18"/>
  <c r="DV48" i="18"/>
  <c r="DW48" i="18"/>
  <c r="DY48" i="18"/>
  <c r="DZ48" i="18"/>
  <c r="EA48" i="18"/>
  <c r="ED48" i="18"/>
  <c r="EE48" i="18"/>
  <c r="EF48" i="18"/>
  <c r="EG48" i="18"/>
  <c r="EH48" i="18"/>
  <c r="EI48" i="18"/>
  <c r="EJ48" i="18"/>
  <c r="EK48" i="18"/>
  <c r="EM48" i="18"/>
  <c r="EN48" i="18"/>
  <c r="EO48" i="18"/>
  <c r="ER48" i="18"/>
  <c r="ES48" i="18"/>
  <c r="ET48" i="18"/>
  <c r="EU48" i="18"/>
  <c r="EV48" i="18"/>
  <c r="EW48" i="18"/>
  <c r="EX48" i="18"/>
  <c r="EY48" i="18"/>
  <c r="FA48" i="18"/>
  <c r="FB48" i="18"/>
  <c r="FC48" i="18"/>
  <c r="FF48" i="18"/>
  <c r="FG48" i="18"/>
  <c r="FH48" i="18"/>
  <c r="FI48" i="18"/>
  <c r="FJ48" i="18"/>
  <c r="FK48" i="18"/>
  <c r="FL48" i="18"/>
  <c r="FM48" i="18"/>
  <c r="FO48" i="18"/>
  <c r="FP48" i="18"/>
  <c r="FQ48" i="18"/>
  <c r="FV48" i="18"/>
  <c r="FW48" i="18"/>
  <c r="FX48" i="18"/>
  <c r="FY48" i="18"/>
  <c r="FZ48" i="18"/>
  <c r="GA48" i="18"/>
  <c r="GB48" i="18"/>
  <c r="GC48" i="18"/>
  <c r="GE48" i="18"/>
  <c r="GF48" i="18"/>
  <c r="GG48" i="18"/>
  <c r="GJ48" i="18"/>
  <c r="GK48" i="18"/>
  <c r="GL48" i="18"/>
  <c r="GM48" i="18"/>
  <c r="GN48" i="18"/>
  <c r="GO48" i="18"/>
  <c r="GP48" i="18"/>
  <c r="GQ48" i="18"/>
  <c r="GS48" i="18"/>
  <c r="GT48" i="18"/>
  <c r="GU48" i="18"/>
  <c r="GX48" i="18"/>
  <c r="GY48" i="18"/>
  <c r="GZ48" i="18"/>
  <c r="HA48" i="18"/>
  <c r="HB48" i="18"/>
  <c r="HC48" i="18"/>
  <c r="HD48" i="18"/>
  <c r="HE48" i="18"/>
  <c r="HG48" i="18"/>
  <c r="HH48" i="18"/>
  <c r="HI48" i="18"/>
  <c r="HL48" i="18"/>
  <c r="HM48" i="18"/>
  <c r="HN48" i="18"/>
  <c r="HO48" i="18"/>
  <c r="HP48" i="18"/>
  <c r="HQ48" i="18"/>
  <c r="HR48" i="18"/>
  <c r="HS48" i="18"/>
  <c r="HU48" i="18"/>
  <c r="HV48" i="18"/>
  <c r="HW48" i="18"/>
  <c r="D49" i="18"/>
  <c r="E49" i="18"/>
  <c r="G49" i="18"/>
  <c r="H49" i="18"/>
  <c r="I49" i="18"/>
  <c r="J49" i="18"/>
  <c r="K49" i="18"/>
  <c r="M49" i="18"/>
  <c r="N49" i="18"/>
  <c r="O49" i="18"/>
  <c r="R49" i="18"/>
  <c r="S49" i="18"/>
  <c r="T49" i="18"/>
  <c r="U49" i="18"/>
  <c r="V49" i="18"/>
  <c r="W49" i="18"/>
  <c r="X49" i="18"/>
  <c r="Y49" i="18"/>
  <c r="AA49" i="18"/>
  <c r="AB49" i="18"/>
  <c r="AC49" i="18"/>
  <c r="AF49" i="18"/>
  <c r="AG49" i="18"/>
  <c r="AH49" i="18"/>
  <c r="AI49" i="18"/>
  <c r="AJ49" i="18"/>
  <c r="AK49" i="18"/>
  <c r="AL49" i="18"/>
  <c r="AM49" i="18"/>
  <c r="AO49" i="18"/>
  <c r="AP49" i="18"/>
  <c r="AQ49" i="18"/>
  <c r="AT49" i="18"/>
  <c r="AU49" i="18"/>
  <c r="AV49" i="18"/>
  <c r="AW49" i="18"/>
  <c r="AX49" i="18"/>
  <c r="AY49" i="18"/>
  <c r="AZ49" i="18"/>
  <c r="BA49" i="18"/>
  <c r="BC49" i="18"/>
  <c r="BD49" i="18"/>
  <c r="BE49" i="18"/>
  <c r="BJ49" i="18"/>
  <c r="BK49" i="18"/>
  <c r="BL49" i="18"/>
  <c r="BM49" i="18"/>
  <c r="BN49" i="18"/>
  <c r="BO49" i="18"/>
  <c r="BP49" i="18"/>
  <c r="BQ49" i="18"/>
  <c r="BS49" i="18"/>
  <c r="BT49" i="18"/>
  <c r="BU49" i="18"/>
  <c r="BX49" i="18"/>
  <c r="BY49" i="18"/>
  <c r="BZ49" i="18"/>
  <c r="CA49" i="18"/>
  <c r="CB49" i="18"/>
  <c r="CC49" i="18"/>
  <c r="CD49" i="18"/>
  <c r="CE49" i="18"/>
  <c r="CG49" i="18"/>
  <c r="CH49" i="18"/>
  <c r="CI49" i="18"/>
  <c r="CL49" i="18"/>
  <c r="CM49" i="18"/>
  <c r="CN49" i="18"/>
  <c r="CO49" i="18"/>
  <c r="CP49" i="18"/>
  <c r="CQ49" i="18"/>
  <c r="CR49" i="18"/>
  <c r="CS49" i="18"/>
  <c r="CU49" i="18"/>
  <c r="CV49" i="18"/>
  <c r="CW49" i="18"/>
  <c r="CZ49" i="18"/>
  <c r="DA49" i="18"/>
  <c r="DB49" i="18"/>
  <c r="DC49" i="18"/>
  <c r="DD49" i="18"/>
  <c r="DE49" i="18"/>
  <c r="DF49" i="18"/>
  <c r="DG49" i="18"/>
  <c r="DI49" i="18"/>
  <c r="DJ49" i="18"/>
  <c r="DK49" i="18"/>
  <c r="DP49" i="18"/>
  <c r="DQ49" i="18"/>
  <c r="DR49" i="18"/>
  <c r="DS49" i="18"/>
  <c r="DT49" i="18"/>
  <c r="DU49" i="18"/>
  <c r="DV49" i="18"/>
  <c r="DW49" i="18"/>
  <c r="DY49" i="18"/>
  <c r="DZ49" i="18"/>
  <c r="EA49" i="18"/>
  <c r="ED49" i="18"/>
  <c r="EE49" i="18"/>
  <c r="EF49" i="18"/>
  <c r="EG49" i="18"/>
  <c r="EH49" i="18"/>
  <c r="EI49" i="18"/>
  <c r="EJ49" i="18"/>
  <c r="EK49" i="18"/>
  <c r="EM49" i="18"/>
  <c r="EN49" i="18"/>
  <c r="EO49" i="18"/>
  <c r="ER49" i="18"/>
  <c r="ES49" i="18"/>
  <c r="ET49" i="18"/>
  <c r="EU49" i="18"/>
  <c r="EV49" i="18"/>
  <c r="EW49" i="18"/>
  <c r="EX49" i="18"/>
  <c r="EY49" i="18"/>
  <c r="FA49" i="18"/>
  <c r="FB49" i="18"/>
  <c r="FC49" i="18"/>
  <c r="FF49" i="18"/>
  <c r="FG49" i="18"/>
  <c r="FH49" i="18"/>
  <c r="FI49" i="18"/>
  <c r="FJ49" i="18"/>
  <c r="FK49" i="18"/>
  <c r="FL49" i="18"/>
  <c r="FM49" i="18"/>
  <c r="FO49" i="18"/>
  <c r="FP49" i="18"/>
  <c r="FQ49" i="18"/>
  <c r="FV49" i="18"/>
  <c r="FW49" i="18"/>
  <c r="FX49" i="18"/>
  <c r="FY49" i="18"/>
  <c r="FZ49" i="18"/>
  <c r="GA49" i="18"/>
  <c r="GB49" i="18"/>
  <c r="GC49" i="18"/>
  <c r="GE49" i="18"/>
  <c r="GF49" i="18"/>
  <c r="GG49" i="18"/>
  <c r="GJ49" i="18"/>
  <c r="GK49" i="18"/>
  <c r="GL49" i="18"/>
  <c r="GM49" i="18"/>
  <c r="GN49" i="18"/>
  <c r="GO49" i="18"/>
  <c r="GP49" i="18"/>
  <c r="GQ49" i="18"/>
  <c r="GS49" i="18"/>
  <c r="GT49" i="18"/>
  <c r="GU49" i="18"/>
  <c r="GX49" i="18"/>
  <c r="GY49" i="18"/>
  <c r="GZ49" i="18"/>
  <c r="HA49" i="18"/>
  <c r="HB49" i="18"/>
  <c r="HC49" i="18"/>
  <c r="HD49" i="18"/>
  <c r="HE49" i="18"/>
  <c r="HG49" i="18"/>
  <c r="HH49" i="18"/>
  <c r="HI49" i="18"/>
  <c r="HL49" i="18"/>
  <c r="HM49" i="18"/>
  <c r="HN49" i="18"/>
  <c r="HO49" i="18"/>
  <c r="HP49" i="18"/>
  <c r="HQ49" i="18"/>
  <c r="HR49" i="18"/>
  <c r="HS49" i="18"/>
  <c r="HU49" i="18"/>
  <c r="HV49" i="18"/>
  <c r="HW49" i="18"/>
  <c r="D50" i="18"/>
  <c r="E50" i="18"/>
  <c r="G50" i="18"/>
  <c r="H50" i="18"/>
  <c r="I50" i="18"/>
  <c r="J50" i="18"/>
  <c r="K50" i="18"/>
  <c r="M50" i="18"/>
  <c r="N50" i="18"/>
  <c r="O50" i="18"/>
  <c r="R50" i="18"/>
  <c r="S50" i="18"/>
  <c r="T50" i="18"/>
  <c r="U50" i="18"/>
  <c r="V50" i="18"/>
  <c r="W50" i="18"/>
  <c r="X50" i="18"/>
  <c r="Y50" i="18"/>
  <c r="AA50" i="18"/>
  <c r="AB50" i="18"/>
  <c r="AC50" i="18"/>
  <c r="AF50" i="18"/>
  <c r="AG50" i="18"/>
  <c r="AH50" i="18"/>
  <c r="AI50" i="18"/>
  <c r="AJ50" i="18"/>
  <c r="AK50" i="18"/>
  <c r="AL50" i="18"/>
  <c r="AM50" i="18"/>
  <c r="AO50" i="18"/>
  <c r="AP50" i="18"/>
  <c r="AQ50" i="18"/>
  <c r="AT50" i="18"/>
  <c r="AU50" i="18"/>
  <c r="AV50" i="18"/>
  <c r="AW50" i="18"/>
  <c r="AX50" i="18"/>
  <c r="AY50" i="18"/>
  <c r="AZ50" i="18"/>
  <c r="BA50" i="18"/>
  <c r="BC50" i="18"/>
  <c r="BD50" i="18"/>
  <c r="BE50" i="18"/>
  <c r="BJ50" i="18"/>
  <c r="BK50" i="18"/>
  <c r="BL50" i="18"/>
  <c r="BM50" i="18"/>
  <c r="BN50" i="18"/>
  <c r="BO50" i="18"/>
  <c r="BP50" i="18"/>
  <c r="BQ50" i="18"/>
  <c r="BS50" i="18"/>
  <c r="BT50" i="18"/>
  <c r="BU50" i="18"/>
  <c r="BX50" i="18"/>
  <c r="BY50" i="18"/>
  <c r="BZ50" i="18"/>
  <c r="CA50" i="18"/>
  <c r="CB50" i="18"/>
  <c r="CC50" i="18"/>
  <c r="CD50" i="18"/>
  <c r="CE50" i="18"/>
  <c r="CG50" i="18"/>
  <c r="CH50" i="18"/>
  <c r="CI50" i="18"/>
  <c r="CL50" i="18"/>
  <c r="CM50" i="18"/>
  <c r="CN50" i="18"/>
  <c r="CO50" i="18"/>
  <c r="CP50" i="18"/>
  <c r="CQ50" i="18"/>
  <c r="CR50" i="18"/>
  <c r="CS50" i="18"/>
  <c r="CU50" i="18"/>
  <c r="CV50" i="18"/>
  <c r="CW50" i="18"/>
  <c r="CZ50" i="18"/>
  <c r="DA50" i="18"/>
  <c r="DB50" i="18"/>
  <c r="DC50" i="18"/>
  <c r="DD50" i="18"/>
  <c r="DE50" i="18"/>
  <c r="DF50" i="18"/>
  <c r="DG50" i="18"/>
  <c r="DI50" i="18"/>
  <c r="DJ50" i="18"/>
  <c r="DK50" i="18"/>
  <c r="DP50" i="18"/>
  <c r="DQ50" i="18"/>
  <c r="DR50" i="18"/>
  <c r="DS50" i="18"/>
  <c r="DT50" i="18"/>
  <c r="DU50" i="18"/>
  <c r="DV50" i="18"/>
  <c r="DW50" i="18"/>
  <c r="DY50" i="18"/>
  <c r="DZ50" i="18"/>
  <c r="EA50" i="18"/>
  <c r="ED50" i="18"/>
  <c r="EE50" i="18"/>
  <c r="EF50" i="18"/>
  <c r="EG50" i="18"/>
  <c r="EH50" i="18"/>
  <c r="EI50" i="18"/>
  <c r="EJ50" i="18"/>
  <c r="EK50" i="18"/>
  <c r="EM50" i="18"/>
  <c r="EN50" i="18"/>
  <c r="EO50" i="18"/>
  <c r="ER50" i="18"/>
  <c r="ES50" i="18"/>
  <c r="ET50" i="18"/>
  <c r="EU50" i="18"/>
  <c r="EV50" i="18"/>
  <c r="EW50" i="18"/>
  <c r="EX50" i="18"/>
  <c r="EY50" i="18"/>
  <c r="FA50" i="18"/>
  <c r="FB50" i="18"/>
  <c r="FC50" i="18"/>
  <c r="FF50" i="18"/>
  <c r="FG50" i="18"/>
  <c r="FH50" i="18"/>
  <c r="FI50" i="18"/>
  <c r="FJ50" i="18"/>
  <c r="FK50" i="18"/>
  <c r="FL50" i="18"/>
  <c r="FM50" i="18"/>
  <c r="FO50" i="18"/>
  <c r="FP50" i="18"/>
  <c r="FQ50" i="18"/>
  <c r="FV50" i="18"/>
  <c r="FW50" i="18"/>
  <c r="FX50" i="18"/>
  <c r="FY50" i="18"/>
  <c r="FZ50" i="18"/>
  <c r="GA50" i="18"/>
  <c r="GB50" i="18"/>
  <c r="GC50" i="18"/>
  <c r="GE50" i="18"/>
  <c r="GF50" i="18"/>
  <c r="GG50" i="18"/>
  <c r="GJ50" i="18"/>
  <c r="GK50" i="18"/>
  <c r="GL50" i="18"/>
  <c r="GM50" i="18"/>
  <c r="GN50" i="18"/>
  <c r="GO50" i="18"/>
  <c r="GP50" i="18"/>
  <c r="GQ50" i="18"/>
  <c r="GS50" i="18"/>
  <c r="GT50" i="18"/>
  <c r="GU50" i="18"/>
  <c r="GX50" i="18"/>
  <c r="GY50" i="18"/>
  <c r="GZ50" i="18"/>
  <c r="HA50" i="18"/>
  <c r="HB50" i="18"/>
  <c r="HC50" i="18"/>
  <c r="HD50" i="18"/>
  <c r="HE50" i="18"/>
  <c r="HG50" i="18"/>
  <c r="HH50" i="18"/>
  <c r="HI50" i="18"/>
  <c r="HL50" i="18"/>
  <c r="HM50" i="18"/>
  <c r="HN50" i="18"/>
  <c r="HO50" i="18"/>
  <c r="HP50" i="18"/>
  <c r="HQ50" i="18"/>
  <c r="HR50" i="18"/>
  <c r="HS50" i="18"/>
  <c r="HU50" i="18"/>
  <c r="HV50" i="18"/>
  <c r="HW50" i="18"/>
  <c r="D51" i="18"/>
  <c r="E51" i="18"/>
  <c r="G51" i="18"/>
  <c r="H51" i="18"/>
  <c r="I51" i="18"/>
  <c r="J51" i="18"/>
  <c r="K51" i="18"/>
  <c r="M51" i="18"/>
  <c r="N51" i="18"/>
  <c r="O51" i="18"/>
  <c r="R51" i="18"/>
  <c r="S51" i="18"/>
  <c r="T51" i="18"/>
  <c r="U51" i="18"/>
  <c r="V51" i="18"/>
  <c r="W51" i="18"/>
  <c r="X51" i="18"/>
  <c r="Y51" i="18"/>
  <c r="AA51" i="18"/>
  <c r="AB51" i="18"/>
  <c r="AC51" i="18"/>
  <c r="AF51" i="18"/>
  <c r="AG51" i="18"/>
  <c r="AH51" i="18"/>
  <c r="AI51" i="18"/>
  <c r="AJ51" i="18"/>
  <c r="AK51" i="18"/>
  <c r="AL51" i="18"/>
  <c r="AM51" i="18"/>
  <c r="AO51" i="18"/>
  <c r="AP51" i="18"/>
  <c r="AQ51" i="18"/>
  <c r="AT51" i="18"/>
  <c r="AU51" i="18"/>
  <c r="AV51" i="18"/>
  <c r="AW51" i="18"/>
  <c r="AX51" i="18"/>
  <c r="AY51" i="18"/>
  <c r="AZ51" i="18"/>
  <c r="BA51" i="18"/>
  <c r="BC51" i="18"/>
  <c r="BD51" i="18"/>
  <c r="BE51" i="18"/>
  <c r="BJ51" i="18"/>
  <c r="BK51" i="18"/>
  <c r="BL51" i="18"/>
  <c r="BM51" i="18"/>
  <c r="BN51" i="18"/>
  <c r="BO51" i="18"/>
  <c r="BP51" i="18"/>
  <c r="BQ51" i="18"/>
  <c r="BS51" i="18"/>
  <c r="BT51" i="18"/>
  <c r="BU51" i="18"/>
  <c r="BX51" i="18"/>
  <c r="BY51" i="18"/>
  <c r="BZ51" i="18"/>
  <c r="CA51" i="18"/>
  <c r="CB51" i="18"/>
  <c r="CC51" i="18"/>
  <c r="CD51" i="18"/>
  <c r="CE51" i="18"/>
  <c r="CG51" i="18"/>
  <c r="CH51" i="18"/>
  <c r="CI51" i="18"/>
  <c r="CL51" i="18"/>
  <c r="CM51" i="18"/>
  <c r="CN51" i="18"/>
  <c r="CO51" i="18"/>
  <c r="CP51" i="18"/>
  <c r="CQ51" i="18"/>
  <c r="CR51" i="18"/>
  <c r="CS51" i="18"/>
  <c r="CU51" i="18"/>
  <c r="CV51" i="18"/>
  <c r="CW51" i="18"/>
  <c r="CZ51" i="18"/>
  <c r="DA51" i="18"/>
  <c r="DB51" i="18"/>
  <c r="DC51" i="18"/>
  <c r="DD51" i="18"/>
  <c r="DE51" i="18"/>
  <c r="DF51" i="18"/>
  <c r="DG51" i="18"/>
  <c r="DI51" i="18"/>
  <c r="DJ51" i="18"/>
  <c r="DK51" i="18"/>
  <c r="DP51" i="18"/>
  <c r="DQ51" i="18"/>
  <c r="DR51" i="18"/>
  <c r="DS51" i="18"/>
  <c r="DT51" i="18"/>
  <c r="DU51" i="18"/>
  <c r="DV51" i="18"/>
  <c r="DW51" i="18"/>
  <c r="DY51" i="18"/>
  <c r="DZ51" i="18"/>
  <c r="EA51" i="18"/>
  <c r="ED51" i="18"/>
  <c r="EE51" i="18"/>
  <c r="EF51" i="18"/>
  <c r="EG51" i="18"/>
  <c r="EH51" i="18"/>
  <c r="EI51" i="18"/>
  <c r="EJ51" i="18"/>
  <c r="EK51" i="18"/>
  <c r="EM51" i="18"/>
  <c r="EN51" i="18"/>
  <c r="EO51" i="18"/>
  <c r="ER51" i="18"/>
  <c r="ES51" i="18"/>
  <c r="ET51" i="18"/>
  <c r="EU51" i="18"/>
  <c r="EV51" i="18"/>
  <c r="EW51" i="18"/>
  <c r="EX51" i="18"/>
  <c r="EY51" i="18"/>
  <c r="FA51" i="18"/>
  <c r="FB51" i="18"/>
  <c r="FC51" i="18"/>
  <c r="FF51" i="18"/>
  <c r="FG51" i="18"/>
  <c r="FH51" i="18"/>
  <c r="FI51" i="18"/>
  <c r="FJ51" i="18"/>
  <c r="FK51" i="18"/>
  <c r="FL51" i="18"/>
  <c r="FM51" i="18"/>
  <c r="FO51" i="18"/>
  <c r="FP51" i="18"/>
  <c r="FQ51" i="18"/>
  <c r="FV51" i="18"/>
  <c r="FW51" i="18"/>
  <c r="FX51" i="18"/>
  <c r="FY51" i="18"/>
  <c r="FZ51" i="18"/>
  <c r="GA51" i="18"/>
  <c r="GB51" i="18"/>
  <c r="GC51" i="18"/>
  <c r="GE51" i="18"/>
  <c r="GF51" i="18"/>
  <c r="GG51" i="18"/>
  <c r="GJ51" i="18"/>
  <c r="GK51" i="18"/>
  <c r="GL51" i="18"/>
  <c r="GM51" i="18"/>
  <c r="GN51" i="18"/>
  <c r="GO51" i="18"/>
  <c r="GP51" i="18"/>
  <c r="GQ51" i="18"/>
  <c r="GS51" i="18"/>
  <c r="GT51" i="18"/>
  <c r="GU51" i="18"/>
  <c r="GX51" i="18"/>
  <c r="GY51" i="18"/>
  <c r="GZ51" i="18"/>
  <c r="HA51" i="18"/>
  <c r="HB51" i="18"/>
  <c r="HC51" i="18"/>
  <c r="HD51" i="18"/>
  <c r="HE51" i="18"/>
  <c r="HG51" i="18"/>
  <c r="HH51" i="18"/>
  <c r="HI51" i="18"/>
  <c r="HL51" i="18"/>
  <c r="HM51" i="18"/>
  <c r="HN51" i="18"/>
  <c r="HO51" i="18"/>
  <c r="HP51" i="18"/>
  <c r="HQ51" i="18"/>
  <c r="HR51" i="18"/>
  <c r="HS51" i="18"/>
  <c r="HU51" i="18"/>
  <c r="HV51" i="18"/>
  <c r="HW51" i="18"/>
  <c r="D52" i="18"/>
  <c r="E52" i="18"/>
  <c r="G52" i="18"/>
  <c r="H52" i="18"/>
  <c r="I52" i="18"/>
  <c r="J52" i="18"/>
  <c r="K52" i="18"/>
  <c r="M52" i="18"/>
  <c r="N52" i="18"/>
  <c r="O52" i="18"/>
  <c r="R52" i="18"/>
  <c r="S52" i="18"/>
  <c r="T52" i="18"/>
  <c r="U52" i="18"/>
  <c r="V52" i="18"/>
  <c r="W52" i="18"/>
  <c r="X52" i="18"/>
  <c r="Y52" i="18"/>
  <c r="AA52" i="18"/>
  <c r="AB52" i="18"/>
  <c r="AC52" i="18"/>
  <c r="AF52" i="18"/>
  <c r="AG52" i="18"/>
  <c r="AH52" i="18"/>
  <c r="AI52" i="18"/>
  <c r="AJ52" i="18"/>
  <c r="AK52" i="18"/>
  <c r="AL52" i="18"/>
  <c r="AM52" i="18"/>
  <c r="AO52" i="18"/>
  <c r="AP52" i="18"/>
  <c r="AQ52" i="18"/>
  <c r="AT52" i="18"/>
  <c r="AU52" i="18"/>
  <c r="AV52" i="18"/>
  <c r="AW52" i="18"/>
  <c r="AX52" i="18"/>
  <c r="AY52" i="18"/>
  <c r="AZ52" i="18"/>
  <c r="BA52" i="18"/>
  <c r="BC52" i="18"/>
  <c r="BD52" i="18"/>
  <c r="BE52" i="18"/>
  <c r="BJ52" i="18"/>
  <c r="BK52" i="18"/>
  <c r="BL52" i="18"/>
  <c r="BM52" i="18"/>
  <c r="BN52" i="18"/>
  <c r="BO52" i="18"/>
  <c r="BP52" i="18"/>
  <c r="BQ52" i="18"/>
  <c r="BS52" i="18"/>
  <c r="BT52" i="18"/>
  <c r="BU52" i="18"/>
  <c r="BX52" i="18"/>
  <c r="BY52" i="18"/>
  <c r="BZ52" i="18"/>
  <c r="CA52" i="18"/>
  <c r="CB52" i="18"/>
  <c r="CC52" i="18"/>
  <c r="CD52" i="18"/>
  <c r="CE52" i="18"/>
  <c r="CG52" i="18"/>
  <c r="CH52" i="18"/>
  <c r="CI52" i="18"/>
  <c r="CL52" i="18"/>
  <c r="CM52" i="18"/>
  <c r="CN52" i="18"/>
  <c r="CO52" i="18"/>
  <c r="CP52" i="18"/>
  <c r="CQ52" i="18"/>
  <c r="CR52" i="18"/>
  <c r="CS52" i="18"/>
  <c r="CU52" i="18"/>
  <c r="CV52" i="18"/>
  <c r="CW52" i="18"/>
  <c r="CZ52" i="18"/>
  <c r="DA52" i="18"/>
  <c r="DB52" i="18"/>
  <c r="DC52" i="18"/>
  <c r="DD52" i="18"/>
  <c r="DE52" i="18"/>
  <c r="DF52" i="18"/>
  <c r="DG52" i="18"/>
  <c r="DI52" i="18"/>
  <c r="DJ52" i="18"/>
  <c r="DK52" i="18"/>
  <c r="DP52" i="18"/>
  <c r="DQ52" i="18"/>
  <c r="DR52" i="18"/>
  <c r="DS52" i="18"/>
  <c r="DT52" i="18"/>
  <c r="DU52" i="18"/>
  <c r="DV52" i="18"/>
  <c r="DW52" i="18"/>
  <c r="DY52" i="18"/>
  <c r="DZ52" i="18"/>
  <c r="EA52" i="18"/>
  <c r="ED52" i="18"/>
  <c r="EE52" i="18"/>
  <c r="EF52" i="18"/>
  <c r="EG52" i="18"/>
  <c r="EH52" i="18"/>
  <c r="EI52" i="18"/>
  <c r="EJ52" i="18"/>
  <c r="EK52" i="18"/>
  <c r="EM52" i="18"/>
  <c r="EN52" i="18"/>
  <c r="EO52" i="18"/>
  <c r="ER52" i="18"/>
  <c r="ES52" i="18"/>
  <c r="ET52" i="18"/>
  <c r="EU52" i="18"/>
  <c r="EV52" i="18"/>
  <c r="EW52" i="18"/>
  <c r="EX52" i="18"/>
  <c r="EY52" i="18"/>
  <c r="FA52" i="18"/>
  <c r="FB52" i="18"/>
  <c r="FC52" i="18"/>
  <c r="FF52" i="18"/>
  <c r="FG52" i="18"/>
  <c r="FH52" i="18"/>
  <c r="FI52" i="18"/>
  <c r="FJ52" i="18"/>
  <c r="FK52" i="18"/>
  <c r="FL52" i="18"/>
  <c r="FM52" i="18"/>
  <c r="FO52" i="18"/>
  <c r="FP52" i="18"/>
  <c r="FQ52" i="18"/>
  <c r="FV52" i="18"/>
  <c r="FW52" i="18"/>
  <c r="FX52" i="18"/>
  <c r="FY52" i="18"/>
  <c r="FZ52" i="18"/>
  <c r="GA52" i="18"/>
  <c r="GB52" i="18"/>
  <c r="GC52" i="18"/>
  <c r="GE52" i="18"/>
  <c r="GF52" i="18"/>
  <c r="GG52" i="18"/>
  <c r="GJ52" i="18"/>
  <c r="GK52" i="18"/>
  <c r="GL52" i="18"/>
  <c r="GM52" i="18"/>
  <c r="GN52" i="18"/>
  <c r="GO52" i="18"/>
  <c r="GP52" i="18"/>
  <c r="GQ52" i="18"/>
  <c r="GS52" i="18"/>
  <c r="GT52" i="18"/>
  <c r="GU52" i="18"/>
  <c r="GX52" i="18"/>
  <c r="GY52" i="18"/>
  <c r="GZ52" i="18"/>
  <c r="HA52" i="18"/>
  <c r="HB52" i="18"/>
  <c r="HC52" i="18"/>
  <c r="HD52" i="18"/>
  <c r="HE52" i="18"/>
  <c r="HG52" i="18"/>
  <c r="HH52" i="18"/>
  <c r="HI52" i="18"/>
  <c r="HL52" i="18"/>
  <c r="HM52" i="18"/>
  <c r="HN52" i="18"/>
  <c r="HO52" i="18"/>
  <c r="HP52" i="18"/>
  <c r="HQ52" i="18"/>
  <c r="HR52" i="18"/>
  <c r="HS52" i="18"/>
  <c r="HU52" i="18"/>
  <c r="HV52" i="18"/>
  <c r="HW52" i="18"/>
  <c r="D53" i="18"/>
  <c r="E53" i="18"/>
  <c r="G53" i="18"/>
  <c r="H53" i="18"/>
  <c r="I53" i="18"/>
  <c r="J53" i="18"/>
  <c r="K53" i="18"/>
  <c r="M53" i="18"/>
  <c r="N53" i="18"/>
  <c r="O53" i="18"/>
  <c r="R53" i="18"/>
  <c r="S53" i="18"/>
  <c r="T53" i="18"/>
  <c r="U53" i="18"/>
  <c r="V53" i="18"/>
  <c r="W53" i="18"/>
  <c r="X53" i="18"/>
  <c r="Y53" i="18"/>
  <c r="AA53" i="18"/>
  <c r="AB53" i="18"/>
  <c r="AC53" i="18"/>
  <c r="AF53" i="18"/>
  <c r="AG53" i="18"/>
  <c r="AH53" i="18"/>
  <c r="AI53" i="18"/>
  <c r="AJ53" i="18"/>
  <c r="AK53" i="18"/>
  <c r="AL53" i="18"/>
  <c r="AM53" i="18"/>
  <c r="AO53" i="18"/>
  <c r="AP53" i="18"/>
  <c r="AQ53" i="18"/>
  <c r="AT53" i="18"/>
  <c r="AU53" i="18"/>
  <c r="AV53" i="18"/>
  <c r="AW53" i="18"/>
  <c r="AX53" i="18"/>
  <c r="AY53" i="18"/>
  <c r="AZ53" i="18"/>
  <c r="BA53" i="18"/>
  <c r="BC53" i="18"/>
  <c r="BD53" i="18"/>
  <c r="BE53" i="18"/>
  <c r="BJ53" i="18"/>
  <c r="BK53" i="18"/>
  <c r="BL53" i="18"/>
  <c r="BM53" i="18"/>
  <c r="BN53" i="18"/>
  <c r="BO53" i="18"/>
  <c r="BP53" i="18"/>
  <c r="BQ53" i="18"/>
  <c r="BS53" i="18"/>
  <c r="BT53" i="18"/>
  <c r="BU53" i="18"/>
  <c r="BX53" i="18"/>
  <c r="BY53" i="18"/>
  <c r="BZ53" i="18"/>
  <c r="CA53" i="18"/>
  <c r="CB53" i="18"/>
  <c r="CC53" i="18"/>
  <c r="CD53" i="18"/>
  <c r="CE53" i="18"/>
  <c r="CG53" i="18"/>
  <c r="CH53" i="18"/>
  <c r="CI53" i="18"/>
  <c r="CL53" i="18"/>
  <c r="CM53" i="18"/>
  <c r="CN53" i="18"/>
  <c r="CO53" i="18"/>
  <c r="CP53" i="18"/>
  <c r="CQ53" i="18"/>
  <c r="CR53" i="18"/>
  <c r="CS53" i="18"/>
  <c r="CU53" i="18"/>
  <c r="CV53" i="18"/>
  <c r="CW53" i="18"/>
  <c r="CZ53" i="18"/>
  <c r="DA53" i="18"/>
  <c r="DB53" i="18"/>
  <c r="DC53" i="18"/>
  <c r="DD53" i="18"/>
  <c r="DE53" i="18"/>
  <c r="DF53" i="18"/>
  <c r="DG53" i="18"/>
  <c r="DI53" i="18"/>
  <c r="DJ53" i="18"/>
  <c r="DK53" i="18"/>
  <c r="DP53" i="18"/>
  <c r="DQ53" i="18"/>
  <c r="DR53" i="18"/>
  <c r="DS53" i="18"/>
  <c r="DT53" i="18"/>
  <c r="DU53" i="18"/>
  <c r="DV53" i="18"/>
  <c r="DW53" i="18"/>
  <c r="DY53" i="18"/>
  <c r="DZ53" i="18"/>
  <c r="EA53" i="18"/>
  <c r="ED53" i="18"/>
  <c r="EE53" i="18"/>
  <c r="EF53" i="18"/>
  <c r="EG53" i="18"/>
  <c r="EH53" i="18"/>
  <c r="EI53" i="18"/>
  <c r="EJ53" i="18"/>
  <c r="EK53" i="18"/>
  <c r="EM53" i="18"/>
  <c r="EN53" i="18"/>
  <c r="EO53" i="18"/>
  <c r="ER53" i="18"/>
  <c r="ES53" i="18"/>
  <c r="ET53" i="18"/>
  <c r="EU53" i="18"/>
  <c r="EV53" i="18"/>
  <c r="EW53" i="18"/>
  <c r="EX53" i="18"/>
  <c r="EY53" i="18"/>
  <c r="FA53" i="18"/>
  <c r="FB53" i="18"/>
  <c r="FC53" i="18"/>
  <c r="FF53" i="18"/>
  <c r="FG53" i="18"/>
  <c r="FH53" i="18"/>
  <c r="FI53" i="18"/>
  <c r="FJ53" i="18"/>
  <c r="FK53" i="18"/>
  <c r="FL53" i="18"/>
  <c r="FM53" i="18"/>
  <c r="FO53" i="18"/>
  <c r="FP53" i="18"/>
  <c r="FQ53" i="18"/>
  <c r="FV53" i="18"/>
  <c r="FW53" i="18"/>
  <c r="FX53" i="18"/>
  <c r="FY53" i="18"/>
  <c r="FZ53" i="18"/>
  <c r="GA53" i="18"/>
  <c r="GB53" i="18"/>
  <c r="GC53" i="18"/>
  <c r="GE53" i="18"/>
  <c r="GF53" i="18"/>
  <c r="GG53" i="18"/>
  <c r="GJ53" i="18"/>
  <c r="GK53" i="18"/>
  <c r="GL53" i="18"/>
  <c r="GM53" i="18"/>
  <c r="GN53" i="18"/>
  <c r="GO53" i="18"/>
  <c r="GP53" i="18"/>
  <c r="GQ53" i="18"/>
  <c r="GS53" i="18"/>
  <c r="GT53" i="18"/>
  <c r="GU53" i="18"/>
  <c r="GX53" i="18"/>
  <c r="GY53" i="18"/>
  <c r="GZ53" i="18"/>
  <c r="HA53" i="18"/>
  <c r="HB53" i="18"/>
  <c r="HC53" i="18"/>
  <c r="HD53" i="18"/>
  <c r="HE53" i="18"/>
  <c r="HG53" i="18"/>
  <c r="HH53" i="18"/>
  <c r="HI53" i="18"/>
  <c r="HL53" i="18"/>
  <c r="HM53" i="18"/>
  <c r="HN53" i="18"/>
  <c r="HO53" i="18"/>
  <c r="HP53" i="18"/>
  <c r="HQ53" i="18"/>
  <c r="HR53" i="18"/>
  <c r="HS53" i="18"/>
  <c r="HU53" i="18"/>
  <c r="HV53" i="18"/>
  <c r="HW53" i="18"/>
  <c r="D54" i="18"/>
  <c r="E54" i="18"/>
  <c r="G54" i="18"/>
  <c r="H54" i="18"/>
  <c r="I54" i="18"/>
  <c r="J54" i="18"/>
  <c r="K54" i="18"/>
  <c r="M54" i="18"/>
  <c r="N54" i="18"/>
  <c r="O54" i="18"/>
  <c r="R54" i="18"/>
  <c r="S54" i="18"/>
  <c r="T54" i="18"/>
  <c r="U54" i="18"/>
  <c r="V54" i="18"/>
  <c r="W54" i="18"/>
  <c r="X54" i="18"/>
  <c r="Y54" i="18"/>
  <c r="AA54" i="18"/>
  <c r="AB54" i="18"/>
  <c r="AC54" i="18"/>
  <c r="AF54" i="18"/>
  <c r="AG54" i="18"/>
  <c r="AH54" i="18"/>
  <c r="AI54" i="18"/>
  <c r="AJ54" i="18"/>
  <c r="AK54" i="18"/>
  <c r="AL54" i="18"/>
  <c r="AM54" i="18"/>
  <c r="AO54" i="18"/>
  <c r="AP54" i="18"/>
  <c r="AQ54" i="18"/>
  <c r="AT54" i="18"/>
  <c r="AU54" i="18"/>
  <c r="AV54" i="18"/>
  <c r="AW54" i="18"/>
  <c r="AX54" i="18"/>
  <c r="AY54" i="18"/>
  <c r="AZ54" i="18"/>
  <c r="BA54" i="18"/>
  <c r="BC54" i="18"/>
  <c r="BD54" i="18"/>
  <c r="BE54" i="18"/>
  <c r="BJ54" i="18"/>
  <c r="BK54" i="18"/>
  <c r="BL54" i="18"/>
  <c r="BM54" i="18"/>
  <c r="BN54" i="18"/>
  <c r="BO54" i="18"/>
  <c r="BP54" i="18"/>
  <c r="BQ54" i="18"/>
  <c r="BS54" i="18"/>
  <c r="BT54" i="18"/>
  <c r="BU54" i="18"/>
  <c r="BX54" i="18"/>
  <c r="BY54" i="18"/>
  <c r="BZ54" i="18"/>
  <c r="CA54" i="18"/>
  <c r="CB54" i="18"/>
  <c r="CC54" i="18"/>
  <c r="CD54" i="18"/>
  <c r="CE54" i="18"/>
  <c r="CG54" i="18"/>
  <c r="CH54" i="18"/>
  <c r="CI54" i="18"/>
  <c r="CL54" i="18"/>
  <c r="CM54" i="18"/>
  <c r="CN54" i="18"/>
  <c r="CO54" i="18"/>
  <c r="CP54" i="18"/>
  <c r="CQ54" i="18"/>
  <c r="CR54" i="18"/>
  <c r="CS54" i="18"/>
  <c r="CU54" i="18"/>
  <c r="CV54" i="18"/>
  <c r="CW54" i="18"/>
  <c r="CZ54" i="18"/>
  <c r="DA54" i="18"/>
  <c r="DB54" i="18"/>
  <c r="DC54" i="18"/>
  <c r="DD54" i="18"/>
  <c r="DE54" i="18"/>
  <c r="DF54" i="18"/>
  <c r="DG54" i="18"/>
  <c r="DI54" i="18"/>
  <c r="DJ54" i="18"/>
  <c r="DK54" i="18"/>
  <c r="DP54" i="18"/>
  <c r="DQ54" i="18"/>
  <c r="DR54" i="18"/>
  <c r="DS54" i="18"/>
  <c r="DT54" i="18"/>
  <c r="DU54" i="18"/>
  <c r="DV54" i="18"/>
  <c r="DW54" i="18"/>
  <c r="DY54" i="18"/>
  <c r="DZ54" i="18"/>
  <c r="EA54" i="18"/>
  <c r="ED54" i="18"/>
  <c r="EE54" i="18"/>
  <c r="EF54" i="18"/>
  <c r="EG54" i="18"/>
  <c r="EH54" i="18"/>
  <c r="EI54" i="18"/>
  <c r="EJ54" i="18"/>
  <c r="EK54" i="18"/>
  <c r="EM54" i="18"/>
  <c r="EN54" i="18"/>
  <c r="EO54" i="18"/>
  <c r="ER54" i="18"/>
  <c r="ES54" i="18"/>
  <c r="ET54" i="18"/>
  <c r="EU54" i="18"/>
  <c r="EV54" i="18"/>
  <c r="EW54" i="18"/>
  <c r="EX54" i="18"/>
  <c r="EY54" i="18"/>
  <c r="FA54" i="18"/>
  <c r="FB54" i="18"/>
  <c r="FC54" i="18"/>
  <c r="FF54" i="18"/>
  <c r="FG54" i="18"/>
  <c r="FH54" i="18"/>
  <c r="FI54" i="18"/>
  <c r="FJ54" i="18"/>
  <c r="FK54" i="18"/>
  <c r="FL54" i="18"/>
  <c r="FM54" i="18"/>
  <c r="FO54" i="18"/>
  <c r="FP54" i="18"/>
  <c r="FQ54" i="18"/>
  <c r="FV54" i="18"/>
  <c r="FW54" i="18"/>
  <c r="FX54" i="18"/>
  <c r="FY54" i="18"/>
  <c r="FZ54" i="18"/>
  <c r="GA54" i="18"/>
  <c r="GB54" i="18"/>
  <c r="GC54" i="18"/>
  <c r="GE54" i="18"/>
  <c r="GF54" i="18"/>
  <c r="GG54" i="18"/>
  <c r="GJ54" i="18"/>
  <c r="GK54" i="18"/>
  <c r="GL54" i="18"/>
  <c r="GM54" i="18"/>
  <c r="GN54" i="18"/>
  <c r="GO54" i="18"/>
  <c r="GP54" i="18"/>
  <c r="GQ54" i="18"/>
  <c r="GS54" i="18"/>
  <c r="GT54" i="18"/>
  <c r="GU54" i="18"/>
  <c r="GX54" i="18"/>
  <c r="GY54" i="18"/>
  <c r="GZ54" i="18"/>
  <c r="HA54" i="18"/>
  <c r="HB54" i="18"/>
  <c r="HC54" i="18"/>
  <c r="HD54" i="18"/>
  <c r="HE54" i="18"/>
  <c r="HG54" i="18"/>
  <c r="HH54" i="18"/>
  <c r="HI54" i="18"/>
  <c r="HL54" i="18"/>
  <c r="HM54" i="18"/>
  <c r="HN54" i="18"/>
  <c r="HO54" i="18"/>
  <c r="HP54" i="18"/>
  <c r="HQ54" i="18"/>
  <c r="HR54" i="18"/>
  <c r="HS54" i="18"/>
  <c r="HU54" i="18"/>
  <c r="HV54" i="18"/>
  <c r="HW54" i="18"/>
  <c r="D55" i="18"/>
  <c r="E55" i="18"/>
  <c r="G55" i="18"/>
  <c r="H55" i="18"/>
  <c r="I55" i="18"/>
  <c r="J55" i="18"/>
  <c r="K55" i="18"/>
  <c r="M55" i="18"/>
  <c r="N55" i="18"/>
  <c r="O55" i="18"/>
  <c r="R55" i="18"/>
  <c r="S55" i="18"/>
  <c r="T55" i="18"/>
  <c r="U55" i="18"/>
  <c r="V55" i="18"/>
  <c r="W55" i="18"/>
  <c r="X55" i="18"/>
  <c r="Y55" i="18"/>
  <c r="AA55" i="18"/>
  <c r="AB55" i="18"/>
  <c r="AC55" i="18"/>
  <c r="AF55" i="18"/>
  <c r="AG55" i="18"/>
  <c r="AH55" i="18"/>
  <c r="AI55" i="18"/>
  <c r="AJ55" i="18"/>
  <c r="AK55" i="18"/>
  <c r="AL55" i="18"/>
  <c r="AM55" i="18"/>
  <c r="AO55" i="18"/>
  <c r="AP55" i="18"/>
  <c r="AQ55" i="18"/>
  <c r="AT55" i="18"/>
  <c r="AU55" i="18"/>
  <c r="AV55" i="18"/>
  <c r="AW55" i="18"/>
  <c r="AX55" i="18"/>
  <c r="AY55" i="18"/>
  <c r="AZ55" i="18"/>
  <c r="BA55" i="18"/>
  <c r="BC55" i="18"/>
  <c r="BD55" i="18"/>
  <c r="BE55" i="18"/>
  <c r="BJ55" i="18"/>
  <c r="BK55" i="18"/>
  <c r="BL55" i="18"/>
  <c r="BM55" i="18"/>
  <c r="BN55" i="18"/>
  <c r="BO55" i="18"/>
  <c r="BP55" i="18"/>
  <c r="BQ55" i="18"/>
  <c r="BS55" i="18"/>
  <c r="BT55" i="18"/>
  <c r="BU55" i="18"/>
  <c r="BX55" i="18"/>
  <c r="BY55" i="18"/>
  <c r="BZ55" i="18"/>
  <c r="CA55" i="18"/>
  <c r="CB55" i="18"/>
  <c r="CC55" i="18"/>
  <c r="CD55" i="18"/>
  <c r="CE55" i="18"/>
  <c r="CG55" i="18"/>
  <c r="CH55" i="18"/>
  <c r="CI55" i="18"/>
  <c r="CL55" i="18"/>
  <c r="CM55" i="18"/>
  <c r="CN55" i="18"/>
  <c r="CO55" i="18"/>
  <c r="CP55" i="18"/>
  <c r="CQ55" i="18"/>
  <c r="CR55" i="18"/>
  <c r="CS55" i="18"/>
  <c r="CU55" i="18"/>
  <c r="CV55" i="18"/>
  <c r="CW55" i="18"/>
  <c r="CZ55" i="18"/>
  <c r="DA55" i="18"/>
  <c r="DB55" i="18"/>
  <c r="DC55" i="18"/>
  <c r="DD55" i="18"/>
  <c r="DE55" i="18"/>
  <c r="DF55" i="18"/>
  <c r="DG55" i="18"/>
  <c r="DI55" i="18"/>
  <c r="DJ55" i="18"/>
  <c r="DK55" i="18"/>
  <c r="DP55" i="18"/>
  <c r="DQ55" i="18"/>
  <c r="DR55" i="18"/>
  <c r="DS55" i="18"/>
  <c r="DT55" i="18"/>
  <c r="DU55" i="18"/>
  <c r="DV55" i="18"/>
  <c r="DW55" i="18"/>
  <c r="DY55" i="18"/>
  <c r="DZ55" i="18"/>
  <c r="EA55" i="18"/>
  <c r="ED55" i="18"/>
  <c r="EE55" i="18"/>
  <c r="EF55" i="18"/>
  <c r="EG55" i="18"/>
  <c r="EH55" i="18"/>
  <c r="EI55" i="18"/>
  <c r="EJ55" i="18"/>
  <c r="EK55" i="18"/>
  <c r="EM55" i="18"/>
  <c r="EN55" i="18"/>
  <c r="EO55" i="18"/>
  <c r="ER55" i="18"/>
  <c r="ES55" i="18"/>
  <c r="ET55" i="18"/>
  <c r="EU55" i="18"/>
  <c r="EV55" i="18"/>
  <c r="EW55" i="18"/>
  <c r="EX55" i="18"/>
  <c r="EY55" i="18"/>
  <c r="FA55" i="18"/>
  <c r="FB55" i="18"/>
  <c r="FC55" i="18"/>
  <c r="FF55" i="18"/>
  <c r="FG55" i="18"/>
  <c r="FH55" i="18"/>
  <c r="FI55" i="18"/>
  <c r="FJ55" i="18"/>
  <c r="FK55" i="18"/>
  <c r="FL55" i="18"/>
  <c r="FM55" i="18"/>
  <c r="FO55" i="18"/>
  <c r="FP55" i="18"/>
  <c r="FQ55" i="18"/>
  <c r="FV55" i="18"/>
  <c r="FW55" i="18"/>
  <c r="FX55" i="18"/>
  <c r="FY55" i="18"/>
  <c r="FZ55" i="18"/>
  <c r="GA55" i="18"/>
  <c r="GB55" i="18"/>
  <c r="GC55" i="18"/>
  <c r="GE55" i="18"/>
  <c r="GF55" i="18"/>
  <c r="GG55" i="18"/>
  <c r="GJ55" i="18"/>
  <c r="GK55" i="18"/>
  <c r="GL55" i="18"/>
  <c r="GM55" i="18"/>
  <c r="GN55" i="18"/>
  <c r="GO55" i="18"/>
  <c r="GP55" i="18"/>
  <c r="GQ55" i="18"/>
  <c r="GS55" i="18"/>
  <c r="GT55" i="18"/>
  <c r="GU55" i="18"/>
  <c r="GX55" i="18"/>
  <c r="GY55" i="18"/>
  <c r="GZ55" i="18"/>
  <c r="HA55" i="18"/>
  <c r="HB55" i="18"/>
  <c r="HC55" i="18"/>
  <c r="HD55" i="18"/>
  <c r="HE55" i="18"/>
  <c r="HG55" i="18"/>
  <c r="HH55" i="18"/>
  <c r="HI55" i="18"/>
  <c r="HL55" i="18"/>
  <c r="HM55" i="18"/>
  <c r="HN55" i="18"/>
  <c r="HO55" i="18"/>
  <c r="HP55" i="18"/>
  <c r="HQ55" i="18"/>
  <c r="HR55" i="18"/>
  <c r="HS55" i="18"/>
  <c r="HU55" i="18"/>
  <c r="HV55" i="18"/>
  <c r="HW55" i="18"/>
  <c r="D56" i="18"/>
  <c r="E56" i="18"/>
  <c r="G56" i="18"/>
  <c r="H56" i="18"/>
  <c r="I56" i="18"/>
  <c r="J56" i="18"/>
  <c r="K56" i="18"/>
  <c r="M56" i="18"/>
  <c r="N56" i="18"/>
  <c r="O56" i="18"/>
  <c r="R56" i="18"/>
  <c r="S56" i="18"/>
  <c r="T56" i="18"/>
  <c r="U56" i="18"/>
  <c r="V56" i="18"/>
  <c r="W56" i="18"/>
  <c r="X56" i="18"/>
  <c r="Y56" i="18"/>
  <c r="AA56" i="18"/>
  <c r="AB56" i="18"/>
  <c r="AC56" i="18"/>
  <c r="AF56" i="18"/>
  <c r="AG56" i="18"/>
  <c r="AH56" i="18"/>
  <c r="AI56" i="18"/>
  <c r="AJ56" i="18"/>
  <c r="AK56" i="18"/>
  <c r="AL56" i="18"/>
  <c r="AM56" i="18"/>
  <c r="AO56" i="18"/>
  <c r="AP56" i="18"/>
  <c r="AQ56" i="18"/>
  <c r="AT56" i="18"/>
  <c r="AU56" i="18"/>
  <c r="AV56" i="18"/>
  <c r="AW56" i="18"/>
  <c r="AX56" i="18"/>
  <c r="AY56" i="18"/>
  <c r="AZ56" i="18"/>
  <c r="BA56" i="18"/>
  <c r="BC56" i="18"/>
  <c r="BD56" i="18"/>
  <c r="BE56" i="18"/>
  <c r="BJ56" i="18"/>
  <c r="BK56" i="18"/>
  <c r="BL56" i="18"/>
  <c r="BM56" i="18"/>
  <c r="BN56" i="18"/>
  <c r="BO56" i="18"/>
  <c r="BP56" i="18"/>
  <c r="BQ56" i="18"/>
  <c r="BS56" i="18"/>
  <c r="BT56" i="18"/>
  <c r="BU56" i="18"/>
  <c r="BX56" i="18"/>
  <c r="BY56" i="18"/>
  <c r="BZ56" i="18"/>
  <c r="CA56" i="18"/>
  <c r="CB56" i="18"/>
  <c r="CC56" i="18"/>
  <c r="CD56" i="18"/>
  <c r="CE56" i="18"/>
  <c r="CG56" i="18"/>
  <c r="CH56" i="18"/>
  <c r="CI56" i="18"/>
  <c r="CL56" i="18"/>
  <c r="CM56" i="18"/>
  <c r="CN56" i="18"/>
  <c r="CO56" i="18"/>
  <c r="CP56" i="18"/>
  <c r="CQ56" i="18"/>
  <c r="CR56" i="18"/>
  <c r="CS56" i="18"/>
  <c r="CU56" i="18"/>
  <c r="CV56" i="18"/>
  <c r="CW56" i="18"/>
  <c r="CZ56" i="18"/>
  <c r="DA56" i="18"/>
  <c r="DB56" i="18"/>
  <c r="DC56" i="18"/>
  <c r="DD56" i="18"/>
  <c r="DE56" i="18"/>
  <c r="DF56" i="18"/>
  <c r="DG56" i="18"/>
  <c r="DI56" i="18"/>
  <c r="DJ56" i="18"/>
  <c r="DK56" i="18"/>
  <c r="DP56" i="18"/>
  <c r="DQ56" i="18"/>
  <c r="DR56" i="18"/>
  <c r="DS56" i="18"/>
  <c r="DT56" i="18"/>
  <c r="DU56" i="18"/>
  <c r="DV56" i="18"/>
  <c r="DW56" i="18"/>
  <c r="DY56" i="18"/>
  <c r="DZ56" i="18"/>
  <c r="EA56" i="18"/>
  <c r="ED56" i="18"/>
  <c r="EE56" i="18"/>
  <c r="EF56" i="18"/>
  <c r="EG56" i="18"/>
  <c r="EH56" i="18"/>
  <c r="EI56" i="18"/>
  <c r="EJ56" i="18"/>
  <c r="EK56" i="18"/>
  <c r="EM56" i="18"/>
  <c r="EN56" i="18"/>
  <c r="EO56" i="18"/>
  <c r="ER56" i="18"/>
  <c r="ES56" i="18"/>
  <c r="ET56" i="18"/>
  <c r="EU56" i="18"/>
  <c r="EV56" i="18"/>
  <c r="EW56" i="18"/>
  <c r="EX56" i="18"/>
  <c r="EY56" i="18"/>
  <c r="FA56" i="18"/>
  <c r="FB56" i="18"/>
  <c r="FC56" i="18"/>
  <c r="FF56" i="18"/>
  <c r="FG56" i="18"/>
  <c r="FH56" i="18"/>
  <c r="FI56" i="18"/>
  <c r="FJ56" i="18"/>
  <c r="FK56" i="18"/>
  <c r="FL56" i="18"/>
  <c r="FM56" i="18"/>
  <c r="FO56" i="18"/>
  <c r="FP56" i="18"/>
  <c r="FQ56" i="18"/>
  <c r="FV56" i="18"/>
  <c r="FW56" i="18"/>
  <c r="FX56" i="18"/>
  <c r="FY56" i="18"/>
  <c r="FZ56" i="18"/>
  <c r="GA56" i="18"/>
  <c r="GB56" i="18"/>
  <c r="GC56" i="18"/>
  <c r="GE56" i="18"/>
  <c r="GF56" i="18"/>
  <c r="GG56" i="18"/>
  <c r="GJ56" i="18"/>
  <c r="GK56" i="18"/>
  <c r="GL56" i="18"/>
  <c r="GM56" i="18"/>
  <c r="GN56" i="18"/>
  <c r="GO56" i="18"/>
  <c r="GP56" i="18"/>
  <c r="GQ56" i="18"/>
  <c r="GS56" i="18"/>
  <c r="GT56" i="18"/>
  <c r="GU56" i="18"/>
  <c r="GX56" i="18"/>
  <c r="GY56" i="18"/>
  <c r="GZ56" i="18"/>
  <c r="HA56" i="18"/>
  <c r="HB56" i="18"/>
  <c r="HC56" i="18"/>
  <c r="HD56" i="18"/>
  <c r="HE56" i="18"/>
  <c r="HG56" i="18"/>
  <c r="HH56" i="18"/>
  <c r="HI56" i="18"/>
  <c r="HL56" i="18"/>
  <c r="HM56" i="18"/>
  <c r="HN56" i="18"/>
  <c r="HO56" i="18"/>
  <c r="HP56" i="18"/>
  <c r="HQ56" i="18"/>
  <c r="HR56" i="18"/>
  <c r="HS56" i="18"/>
  <c r="HU56" i="18"/>
  <c r="HV56" i="18"/>
  <c r="HW56" i="18"/>
  <c r="D57" i="18"/>
  <c r="E57" i="18"/>
  <c r="G57" i="18"/>
  <c r="H57" i="18"/>
  <c r="I57" i="18"/>
  <c r="J57" i="18"/>
  <c r="K57" i="18"/>
  <c r="M57" i="18"/>
  <c r="N57" i="18"/>
  <c r="O57" i="18"/>
  <c r="R57" i="18"/>
  <c r="S57" i="18"/>
  <c r="T57" i="18"/>
  <c r="U57" i="18"/>
  <c r="V57" i="18"/>
  <c r="W57" i="18"/>
  <c r="X57" i="18"/>
  <c r="Y57" i="18"/>
  <c r="AA57" i="18"/>
  <c r="AB57" i="18"/>
  <c r="AC57" i="18"/>
  <c r="AF57" i="18"/>
  <c r="AG57" i="18"/>
  <c r="AH57" i="18"/>
  <c r="AI57" i="18"/>
  <c r="AJ57" i="18"/>
  <c r="AK57" i="18"/>
  <c r="AL57" i="18"/>
  <c r="AM57" i="18"/>
  <c r="AO57" i="18"/>
  <c r="AP57" i="18"/>
  <c r="AQ57" i="18"/>
  <c r="AT57" i="18"/>
  <c r="AU57" i="18"/>
  <c r="AV57" i="18"/>
  <c r="AW57" i="18"/>
  <c r="AX57" i="18"/>
  <c r="AY57" i="18"/>
  <c r="AZ57" i="18"/>
  <c r="BA57" i="18"/>
  <c r="BC57" i="18"/>
  <c r="BD57" i="18"/>
  <c r="BE57" i="18"/>
  <c r="BJ57" i="18"/>
  <c r="BK57" i="18"/>
  <c r="BL57" i="18"/>
  <c r="BM57" i="18"/>
  <c r="BN57" i="18"/>
  <c r="BO57" i="18"/>
  <c r="BP57" i="18"/>
  <c r="BQ57" i="18"/>
  <c r="BS57" i="18"/>
  <c r="BT57" i="18"/>
  <c r="BU57" i="18"/>
  <c r="BX57" i="18"/>
  <c r="BY57" i="18"/>
  <c r="BZ57" i="18"/>
  <c r="CA57" i="18"/>
  <c r="CB57" i="18"/>
  <c r="CC57" i="18"/>
  <c r="CD57" i="18"/>
  <c r="CE57" i="18"/>
  <c r="CG57" i="18"/>
  <c r="CH57" i="18"/>
  <c r="CI57" i="18"/>
  <c r="CL57" i="18"/>
  <c r="CM57" i="18"/>
  <c r="CN57" i="18"/>
  <c r="CO57" i="18"/>
  <c r="CP57" i="18"/>
  <c r="CQ57" i="18"/>
  <c r="CR57" i="18"/>
  <c r="CS57" i="18"/>
  <c r="CU57" i="18"/>
  <c r="CV57" i="18"/>
  <c r="CW57" i="18"/>
  <c r="CZ57" i="18"/>
  <c r="DA57" i="18"/>
  <c r="DB57" i="18"/>
  <c r="DC57" i="18"/>
  <c r="DD57" i="18"/>
  <c r="DE57" i="18"/>
  <c r="DF57" i="18"/>
  <c r="DG57" i="18"/>
  <c r="DI57" i="18"/>
  <c r="DJ57" i="18"/>
  <c r="DK57" i="18"/>
  <c r="DP57" i="18"/>
  <c r="DQ57" i="18"/>
  <c r="DR57" i="18"/>
  <c r="DS57" i="18"/>
  <c r="DT57" i="18"/>
  <c r="DU57" i="18"/>
  <c r="DV57" i="18"/>
  <c r="DW57" i="18"/>
  <c r="DY57" i="18"/>
  <c r="DZ57" i="18"/>
  <c r="EA57" i="18"/>
  <c r="ED57" i="18"/>
  <c r="EE57" i="18"/>
  <c r="EF57" i="18"/>
  <c r="EG57" i="18"/>
  <c r="EH57" i="18"/>
  <c r="EI57" i="18"/>
  <c r="EJ57" i="18"/>
  <c r="EK57" i="18"/>
  <c r="EM57" i="18"/>
  <c r="EN57" i="18"/>
  <c r="EO57" i="18"/>
  <c r="ER57" i="18"/>
  <c r="ES57" i="18"/>
  <c r="ET57" i="18"/>
  <c r="EU57" i="18"/>
  <c r="EV57" i="18"/>
  <c r="EW57" i="18"/>
  <c r="EX57" i="18"/>
  <c r="EY57" i="18"/>
  <c r="FA57" i="18"/>
  <c r="FB57" i="18"/>
  <c r="FC57" i="18"/>
  <c r="FF57" i="18"/>
  <c r="FG57" i="18"/>
  <c r="FH57" i="18"/>
  <c r="FI57" i="18"/>
  <c r="FJ57" i="18"/>
  <c r="FK57" i="18"/>
  <c r="FL57" i="18"/>
  <c r="FM57" i="18"/>
  <c r="FO57" i="18"/>
  <c r="FP57" i="18"/>
  <c r="FQ57" i="18"/>
  <c r="FV57" i="18"/>
  <c r="FW57" i="18"/>
  <c r="FX57" i="18"/>
  <c r="FY57" i="18"/>
  <c r="FZ57" i="18"/>
  <c r="GA57" i="18"/>
  <c r="GB57" i="18"/>
  <c r="GC57" i="18"/>
  <c r="GE57" i="18"/>
  <c r="GF57" i="18"/>
  <c r="GG57" i="18"/>
  <c r="GJ57" i="18"/>
  <c r="GK57" i="18"/>
  <c r="GL57" i="18"/>
  <c r="GM57" i="18"/>
  <c r="GN57" i="18"/>
  <c r="GO57" i="18"/>
  <c r="GP57" i="18"/>
  <c r="GQ57" i="18"/>
  <c r="GS57" i="18"/>
  <c r="GT57" i="18"/>
  <c r="GU57" i="18"/>
  <c r="GX57" i="18"/>
  <c r="GY57" i="18"/>
  <c r="GZ57" i="18"/>
  <c r="HA57" i="18"/>
  <c r="HB57" i="18"/>
  <c r="HC57" i="18"/>
  <c r="HD57" i="18"/>
  <c r="HE57" i="18"/>
  <c r="HG57" i="18"/>
  <c r="HH57" i="18"/>
  <c r="HI57" i="18"/>
  <c r="HL57" i="18"/>
  <c r="HM57" i="18"/>
  <c r="HN57" i="18"/>
  <c r="HO57" i="18"/>
  <c r="HP57" i="18"/>
  <c r="HQ57" i="18"/>
  <c r="HR57" i="18"/>
  <c r="HS57" i="18"/>
  <c r="HU57" i="18"/>
  <c r="HV57" i="18"/>
  <c r="HW57" i="18"/>
  <c r="D58" i="18"/>
  <c r="E58" i="18"/>
  <c r="G58" i="18"/>
  <c r="H58" i="18"/>
  <c r="I58" i="18"/>
  <c r="J58" i="18"/>
  <c r="K58" i="18"/>
  <c r="M58" i="18"/>
  <c r="N58" i="18"/>
  <c r="O58" i="18"/>
  <c r="R58" i="18"/>
  <c r="S58" i="18"/>
  <c r="T58" i="18"/>
  <c r="U58" i="18"/>
  <c r="V58" i="18"/>
  <c r="W58" i="18"/>
  <c r="X58" i="18"/>
  <c r="Y58" i="18"/>
  <c r="AA58" i="18"/>
  <c r="AB58" i="18"/>
  <c r="AC58" i="18"/>
  <c r="AF58" i="18"/>
  <c r="AG58" i="18"/>
  <c r="AH58" i="18"/>
  <c r="AI58" i="18"/>
  <c r="AJ58" i="18"/>
  <c r="AK58" i="18"/>
  <c r="AL58" i="18"/>
  <c r="AM58" i="18"/>
  <c r="AO58" i="18"/>
  <c r="AP58" i="18"/>
  <c r="AQ58" i="18"/>
  <c r="AT58" i="18"/>
  <c r="AU58" i="18"/>
  <c r="AV58" i="18"/>
  <c r="AW58" i="18"/>
  <c r="AX58" i="18"/>
  <c r="AY58" i="18"/>
  <c r="AZ58" i="18"/>
  <c r="BA58" i="18"/>
  <c r="BC58" i="18"/>
  <c r="BD58" i="18"/>
  <c r="BE58" i="18"/>
  <c r="BJ58" i="18"/>
  <c r="BK58" i="18"/>
  <c r="BL58" i="18"/>
  <c r="BM58" i="18"/>
  <c r="BN58" i="18"/>
  <c r="BO58" i="18"/>
  <c r="BP58" i="18"/>
  <c r="BQ58" i="18"/>
  <c r="BS58" i="18"/>
  <c r="BT58" i="18"/>
  <c r="BU58" i="18"/>
  <c r="BX58" i="18"/>
  <c r="BY58" i="18"/>
  <c r="BZ58" i="18"/>
  <c r="CA58" i="18"/>
  <c r="CB58" i="18"/>
  <c r="CC58" i="18"/>
  <c r="CD58" i="18"/>
  <c r="CE58" i="18"/>
  <c r="CG58" i="18"/>
  <c r="CH58" i="18"/>
  <c r="CI58" i="18"/>
  <c r="CL58" i="18"/>
  <c r="CM58" i="18"/>
  <c r="CN58" i="18"/>
  <c r="CO58" i="18"/>
  <c r="CP58" i="18"/>
  <c r="CQ58" i="18"/>
  <c r="CR58" i="18"/>
  <c r="CS58" i="18"/>
  <c r="CU58" i="18"/>
  <c r="CV58" i="18"/>
  <c r="CW58" i="18"/>
  <c r="CZ58" i="18"/>
  <c r="DA58" i="18"/>
  <c r="DB58" i="18"/>
  <c r="DC58" i="18"/>
  <c r="DD58" i="18"/>
  <c r="DE58" i="18"/>
  <c r="DF58" i="18"/>
  <c r="DG58" i="18"/>
  <c r="DI58" i="18"/>
  <c r="DJ58" i="18"/>
  <c r="DK58" i="18"/>
  <c r="DP58" i="18"/>
  <c r="DQ58" i="18"/>
  <c r="DR58" i="18"/>
  <c r="DS58" i="18"/>
  <c r="DT58" i="18"/>
  <c r="DU58" i="18"/>
  <c r="DV58" i="18"/>
  <c r="DW58" i="18"/>
  <c r="DY58" i="18"/>
  <c r="DZ58" i="18"/>
  <c r="EA58" i="18"/>
  <c r="ED58" i="18"/>
  <c r="EE58" i="18"/>
  <c r="EF58" i="18"/>
  <c r="EG58" i="18"/>
  <c r="EH58" i="18"/>
  <c r="EI58" i="18"/>
  <c r="EJ58" i="18"/>
  <c r="EK58" i="18"/>
  <c r="EM58" i="18"/>
  <c r="EN58" i="18"/>
  <c r="EO58" i="18"/>
  <c r="ER58" i="18"/>
  <c r="ES58" i="18"/>
  <c r="ET58" i="18"/>
  <c r="EU58" i="18"/>
  <c r="EV58" i="18"/>
  <c r="EW58" i="18"/>
  <c r="EX58" i="18"/>
  <c r="EY58" i="18"/>
  <c r="FA58" i="18"/>
  <c r="FB58" i="18"/>
  <c r="FC58" i="18"/>
  <c r="FF58" i="18"/>
  <c r="FG58" i="18"/>
  <c r="FH58" i="18"/>
  <c r="FI58" i="18"/>
  <c r="FJ58" i="18"/>
  <c r="FK58" i="18"/>
  <c r="FL58" i="18"/>
  <c r="FM58" i="18"/>
  <c r="FO58" i="18"/>
  <c r="FP58" i="18"/>
  <c r="FQ58" i="18"/>
  <c r="FV58" i="18"/>
  <c r="FW58" i="18"/>
  <c r="FX58" i="18"/>
  <c r="FY58" i="18"/>
  <c r="FZ58" i="18"/>
  <c r="GA58" i="18"/>
  <c r="GB58" i="18"/>
  <c r="GC58" i="18"/>
  <c r="GE58" i="18"/>
  <c r="GF58" i="18"/>
  <c r="GG58" i="18"/>
  <c r="GJ58" i="18"/>
  <c r="GK58" i="18"/>
  <c r="GL58" i="18"/>
  <c r="GM58" i="18"/>
  <c r="GN58" i="18"/>
  <c r="GO58" i="18"/>
  <c r="GP58" i="18"/>
  <c r="GQ58" i="18"/>
  <c r="GS58" i="18"/>
  <c r="GT58" i="18"/>
  <c r="GU58" i="18"/>
  <c r="GX58" i="18"/>
  <c r="GY58" i="18"/>
  <c r="GZ58" i="18"/>
  <c r="HA58" i="18"/>
  <c r="HB58" i="18"/>
  <c r="HC58" i="18"/>
  <c r="HD58" i="18"/>
  <c r="HE58" i="18"/>
  <c r="HG58" i="18"/>
  <c r="HH58" i="18"/>
  <c r="HI58" i="18"/>
  <c r="HL58" i="18"/>
  <c r="HM58" i="18"/>
  <c r="HN58" i="18"/>
  <c r="HO58" i="18"/>
  <c r="HP58" i="18"/>
  <c r="HQ58" i="18"/>
  <c r="HR58" i="18"/>
  <c r="HS58" i="18"/>
  <c r="HU58" i="18"/>
  <c r="HV58" i="18"/>
  <c r="HW58" i="18"/>
  <c r="D59" i="18"/>
  <c r="E59" i="18"/>
  <c r="G59" i="18"/>
  <c r="H59" i="18"/>
  <c r="I59" i="18"/>
  <c r="J59" i="18"/>
  <c r="K59" i="18"/>
  <c r="M59" i="18"/>
  <c r="N59" i="18"/>
  <c r="O59" i="18"/>
  <c r="R59" i="18"/>
  <c r="S59" i="18"/>
  <c r="T59" i="18"/>
  <c r="U59" i="18"/>
  <c r="V59" i="18"/>
  <c r="W59" i="18"/>
  <c r="X59" i="18"/>
  <c r="Y59" i="18"/>
  <c r="AA59" i="18"/>
  <c r="AB59" i="18"/>
  <c r="AC59" i="18"/>
  <c r="AF59" i="18"/>
  <c r="AG59" i="18"/>
  <c r="AH59" i="18"/>
  <c r="AI59" i="18"/>
  <c r="AJ59" i="18"/>
  <c r="AK59" i="18"/>
  <c r="AL59" i="18"/>
  <c r="AM59" i="18"/>
  <c r="AO59" i="18"/>
  <c r="AP59" i="18"/>
  <c r="AQ59" i="18"/>
  <c r="AT59" i="18"/>
  <c r="AU59" i="18"/>
  <c r="AV59" i="18"/>
  <c r="AW59" i="18"/>
  <c r="AX59" i="18"/>
  <c r="AY59" i="18"/>
  <c r="AZ59" i="18"/>
  <c r="BA59" i="18"/>
  <c r="BC59" i="18"/>
  <c r="BD59" i="18"/>
  <c r="BE59" i="18"/>
  <c r="BJ59" i="18"/>
  <c r="BK59" i="18"/>
  <c r="BL59" i="18"/>
  <c r="BM59" i="18"/>
  <c r="BN59" i="18"/>
  <c r="BO59" i="18"/>
  <c r="BP59" i="18"/>
  <c r="BQ59" i="18"/>
  <c r="BS59" i="18"/>
  <c r="BT59" i="18"/>
  <c r="BU59" i="18"/>
  <c r="BX59" i="18"/>
  <c r="BY59" i="18"/>
  <c r="BZ59" i="18"/>
  <c r="CA59" i="18"/>
  <c r="CB59" i="18"/>
  <c r="CC59" i="18"/>
  <c r="CD59" i="18"/>
  <c r="CE59" i="18"/>
  <c r="CG59" i="18"/>
  <c r="CH59" i="18"/>
  <c r="CI59" i="18"/>
  <c r="CL59" i="18"/>
  <c r="CM59" i="18"/>
  <c r="CN59" i="18"/>
  <c r="CO59" i="18"/>
  <c r="CP59" i="18"/>
  <c r="CQ59" i="18"/>
  <c r="CR59" i="18"/>
  <c r="CS59" i="18"/>
  <c r="CU59" i="18"/>
  <c r="CV59" i="18"/>
  <c r="CW59" i="18"/>
  <c r="CZ59" i="18"/>
  <c r="DA59" i="18"/>
  <c r="DB59" i="18"/>
  <c r="DC59" i="18"/>
  <c r="DD59" i="18"/>
  <c r="DE59" i="18"/>
  <c r="DF59" i="18"/>
  <c r="DG59" i="18"/>
  <c r="DI59" i="18"/>
  <c r="DJ59" i="18"/>
  <c r="DK59" i="18"/>
  <c r="DP59" i="18"/>
  <c r="DQ59" i="18"/>
  <c r="DR59" i="18"/>
  <c r="DS59" i="18"/>
  <c r="DT59" i="18"/>
  <c r="DU59" i="18"/>
  <c r="DV59" i="18"/>
  <c r="DW59" i="18"/>
  <c r="DY59" i="18"/>
  <c r="DZ59" i="18"/>
  <c r="EA59" i="18"/>
  <c r="ED59" i="18"/>
  <c r="EE59" i="18"/>
  <c r="EF59" i="18"/>
  <c r="EG59" i="18"/>
  <c r="EH59" i="18"/>
  <c r="EI59" i="18"/>
  <c r="EJ59" i="18"/>
  <c r="EK59" i="18"/>
  <c r="EM59" i="18"/>
  <c r="EN59" i="18"/>
  <c r="EO59" i="18"/>
  <c r="ER59" i="18"/>
  <c r="ES59" i="18"/>
  <c r="ET59" i="18"/>
  <c r="EU59" i="18"/>
  <c r="EV59" i="18"/>
  <c r="EW59" i="18"/>
  <c r="EX59" i="18"/>
  <c r="EY59" i="18"/>
  <c r="FA59" i="18"/>
  <c r="FB59" i="18"/>
  <c r="FC59" i="18"/>
  <c r="FF59" i="18"/>
  <c r="FG59" i="18"/>
  <c r="FH59" i="18"/>
  <c r="FI59" i="18"/>
  <c r="FJ59" i="18"/>
  <c r="FK59" i="18"/>
  <c r="FL59" i="18"/>
  <c r="FM59" i="18"/>
  <c r="FO59" i="18"/>
  <c r="FP59" i="18"/>
  <c r="FQ59" i="18"/>
  <c r="FV59" i="18"/>
  <c r="FW59" i="18"/>
  <c r="FX59" i="18"/>
  <c r="FY59" i="18"/>
  <c r="FZ59" i="18"/>
  <c r="GA59" i="18"/>
  <c r="GB59" i="18"/>
  <c r="GC59" i="18"/>
  <c r="GE59" i="18"/>
  <c r="GF59" i="18"/>
  <c r="GG59" i="18"/>
  <c r="GJ59" i="18"/>
  <c r="GK59" i="18"/>
  <c r="GL59" i="18"/>
  <c r="GM59" i="18"/>
  <c r="GN59" i="18"/>
  <c r="GO59" i="18"/>
  <c r="GP59" i="18"/>
  <c r="GQ59" i="18"/>
  <c r="GS59" i="18"/>
  <c r="GT59" i="18"/>
  <c r="GU59" i="18"/>
  <c r="GX59" i="18"/>
  <c r="GY59" i="18"/>
  <c r="GZ59" i="18"/>
  <c r="HA59" i="18"/>
  <c r="HB59" i="18"/>
  <c r="HC59" i="18"/>
  <c r="HD59" i="18"/>
  <c r="HE59" i="18"/>
  <c r="HG59" i="18"/>
  <c r="HH59" i="18"/>
  <c r="HI59" i="18"/>
  <c r="HL59" i="18"/>
  <c r="HM59" i="18"/>
  <c r="HN59" i="18"/>
  <c r="HO59" i="18"/>
  <c r="HP59" i="18"/>
  <c r="HQ59" i="18"/>
  <c r="HR59" i="18"/>
  <c r="HS59" i="18"/>
  <c r="HU59" i="18"/>
  <c r="HV59" i="18"/>
  <c r="HW59" i="18"/>
  <c r="D60" i="18"/>
  <c r="E60" i="18"/>
  <c r="G60" i="18"/>
  <c r="H60" i="18"/>
  <c r="I60" i="18"/>
  <c r="J60" i="18"/>
  <c r="K60" i="18"/>
  <c r="M60" i="18"/>
  <c r="N60" i="18"/>
  <c r="O60" i="18"/>
  <c r="R60" i="18"/>
  <c r="S60" i="18"/>
  <c r="T60" i="18"/>
  <c r="U60" i="18"/>
  <c r="V60" i="18"/>
  <c r="W60" i="18"/>
  <c r="X60" i="18"/>
  <c r="Y60" i="18"/>
  <c r="AA60" i="18"/>
  <c r="AB60" i="18"/>
  <c r="AC60" i="18"/>
  <c r="AF60" i="18"/>
  <c r="AG60" i="18"/>
  <c r="AH60" i="18"/>
  <c r="AI60" i="18"/>
  <c r="AJ60" i="18"/>
  <c r="AK60" i="18"/>
  <c r="AL60" i="18"/>
  <c r="AM60" i="18"/>
  <c r="AO60" i="18"/>
  <c r="AP60" i="18"/>
  <c r="AQ60" i="18"/>
  <c r="AT60" i="18"/>
  <c r="AU60" i="18"/>
  <c r="AV60" i="18"/>
  <c r="AW60" i="18"/>
  <c r="AX60" i="18"/>
  <c r="AY60" i="18"/>
  <c r="AZ60" i="18"/>
  <c r="BA60" i="18"/>
  <c r="BC60" i="18"/>
  <c r="BD60" i="18"/>
  <c r="BE60" i="18"/>
  <c r="BJ60" i="18"/>
  <c r="BK60" i="18"/>
  <c r="BL60" i="18"/>
  <c r="BM60" i="18"/>
  <c r="BN60" i="18"/>
  <c r="BO60" i="18"/>
  <c r="BP60" i="18"/>
  <c r="BQ60" i="18"/>
  <c r="BS60" i="18"/>
  <c r="BT60" i="18"/>
  <c r="BU60" i="18"/>
  <c r="BX60" i="18"/>
  <c r="BY60" i="18"/>
  <c r="BZ60" i="18"/>
  <c r="CA60" i="18"/>
  <c r="CB60" i="18"/>
  <c r="CC60" i="18"/>
  <c r="CD60" i="18"/>
  <c r="CE60" i="18"/>
  <c r="CG60" i="18"/>
  <c r="CH60" i="18"/>
  <c r="CI60" i="18"/>
  <c r="CL60" i="18"/>
  <c r="CM60" i="18"/>
  <c r="CN60" i="18"/>
  <c r="CO60" i="18"/>
  <c r="CP60" i="18"/>
  <c r="CQ60" i="18"/>
  <c r="CR60" i="18"/>
  <c r="CS60" i="18"/>
  <c r="CU60" i="18"/>
  <c r="CV60" i="18"/>
  <c r="CW60" i="18"/>
  <c r="CZ60" i="18"/>
  <c r="DA60" i="18"/>
  <c r="DB60" i="18"/>
  <c r="DC60" i="18"/>
  <c r="DD60" i="18"/>
  <c r="DE60" i="18"/>
  <c r="DF60" i="18"/>
  <c r="DG60" i="18"/>
  <c r="DI60" i="18"/>
  <c r="DJ60" i="18"/>
  <c r="DK60" i="18"/>
  <c r="DP60" i="18"/>
  <c r="DQ60" i="18"/>
  <c r="DR60" i="18"/>
  <c r="DS60" i="18"/>
  <c r="DT60" i="18"/>
  <c r="DU60" i="18"/>
  <c r="DV60" i="18"/>
  <c r="DW60" i="18"/>
  <c r="DY60" i="18"/>
  <c r="DZ60" i="18"/>
  <c r="EA60" i="18"/>
  <c r="ED60" i="18"/>
  <c r="EE60" i="18"/>
  <c r="EF60" i="18"/>
  <c r="EG60" i="18"/>
  <c r="EH60" i="18"/>
  <c r="EI60" i="18"/>
  <c r="EJ60" i="18"/>
  <c r="EK60" i="18"/>
  <c r="EM60" i="18"/>
  <c r="EN60" i="18"/>
  <c r="EO60" i="18"/>
  <c r="ER60" i="18"/>
  <c r="ES60" i="18"/>
  <c r="ET60" i="18"/>
  <c r="EU60" i="18"/>
  <c r="EV60" i="18"/>
  <c r="EW60" i="18"/>
  <c r="EX60" i="18"/>
  <c r="EY60" i="18"/>
  <c r="FA60" i="18"/>
  <c r="FB60" i="18"/>
  <c r="FC60" i="18"/>
  <c r="FF60" i="18"/>
  <c r="FG60" i="18"/>
  <c r="FH60" i="18"/>
  <c r="FI60" i="18"/>
  <c r="FJ60" i="18"/>
  <c r="FK60" i="18"/>
  <c r="FL60" i="18"/>
  <c r="FM60" i="18"/>
  <c r="FO60" i="18"/>
  <c r="FP60" i="18"/>
  <c r="FQ60" i="18"/>
  <c r="FV60" i="18"/>
  <c r="FW60" i="18"/>
  <c r="FX60" i="18"/>
  <c r="FY60" i="18"/>
  <c r="FZ60" i="18"/>
  <c r="GA60" i="18"/>
  <c r="GB60" i="18"/>
  <c r="GC60" i="18"/>
  <c r="GE60" i="18"/>
  <c r="GF60" i="18"/>
  <c r="GG60" i="18"/>
  <c r="GJ60" i="18"/>
  <c r="GK60" i="18"/>
  <c r="GL60" i="18"/>
  <c r="GM60" i="18"/>
  <c r="GN60" i="18"/>
  <c r="GO60" i="18"/>
  <c r="GP60" i="18"/>
  <c r="GQ60" i="18"/>
  <c r="GS60" i="18"/>
  <c r="GT60" i="18"/>
  <c r="GU60" i="18"/>
  <c r="GX60" i="18"/>
  <c r="GY60" i="18"/>
  <c r="GZ60" i="18"/>
  <c r="HA60" i="18"/>
  <c r="HB60" i="18"/>
  <c r="HC60" i="18"/>
  <c r="HD60" i="18"/>
  <c r="HE60" i="18"/>
  <c r="HG60" i="18"/>
  <c r="HH60" i="18"/>
  <c r="HI60" i="18"/>
  <c r="HL60" i="18"/>
  <c r="HM60" i="18"/>
  <c r="HN60" i="18"/>
  <c r="HO60" i="18"/>
  <c r="HP60" i="18"/>
  <c r="HQ60" i="18"/>
  <c r="HR60" i="18"/>
  <c r="HS60" i="18"/>
  <c r="HU60" i="18"/>
  <c r="HV60" i="18"/>
  <c r="HW60" i="18"/>
  <c r="D61" i="18"/>
  <c r="E61" i="18"/>
  <c r="G61" i="18"/>
  <c r="H61" i="18"/>
  <c r="I61" i="18"/>
  <c r="J61" i="18"/>
  <c r="K61" i="18"/>
  <c r="M61" i="18"/>
  <c r="N61" i="18"/>
  <c r="O61" i="18"/>
  <c r="R61" i="18"/>
  <c r="S61" i="18"/>
  <c r="T61" i="18"/>
  <c r="U61" i="18"/>
  <c r="V61" i="18"/>
  <c r="W61" i="18"/>
  <c r="X61" i="18"/>
  <c r="Y61" i="18"/>
  <c r="AA61" i="18"/>
  <c r="AB61" i="18"/>
  <c r="AC61" i="18"/>
  <c r="AF61" i="18"/>
  <c r="AG61" i="18"/>
  <c r="AH61" i="18"/>
  <c r="AI61" i="18"/>
  <c r="AJ61" i="18"/>
  <c r="AK61" i="18"/>
  <c r="AL61" i="18"/>
  <c r="AM61" i="18"/>
  <c r="AO61" i="18"/>
  <c r="AP61" i="18"/>
  <c r="AQ61" i="18"/>
  <c r="AT61" i="18"/>
  <c r="AU61" i="18"/>
  <c r="AV61" i="18"/>
  <c r="AW61" i="18"/>
  <c r="AX61" i="18"/>
  <c r="AY61" i="18"/>
  <c r="AZ61" i="18"/>
  <c r="BA61" i="18"/>
  <c r="BC61" i="18"/>
  <c r="BD61" i="18"/>
  <c r="BE61" i="18"/>
  <c r="BJ61" i="18"/>
  <c r="BK61" i="18"/>
  <c r="BL61" i="18"/>
  <c r="BM61" i="18"/>
  <c r="BN61" i="18"/>
  <c r="BO61" i="18"/>
  <c r="BP61" i="18"/>
  <c r="BQ61" i="18"/>
  <c r="BS61" i="18"/>
  <c r="BT61" i="18"/>
  <c r="BU61" i="18"/>
  <c r="BX61" i="18"/>
  <c r="BY61" i="18"/>
  <c r="BZ61" i="18"/>
  <c r="CA61" i="18"/>
  <c r="CB61" i="18"/>
  <c r="CC61" i="18"/>
  <c r="CD61" i="18"/>
  <c r="CE61" i="18"/>
  <c r="CG61" i="18"/>
  <c r="CH61" i="18"/>
  <c r="CI61" i="18"/>
  <c r="CL61" i="18"/>
  <c r="CM61" i="18"/>
  <c r="CN61" i="18"/>
  <c r="CO61" i="18"/>
  <c r="CP61" i="18"/>
  <c r="CQ61" i="18"/>
  <c r="CR61" i="18"/>
  <c r="CS61" i="18"/>
  <c r="CU61" i="18"/>
  <c r="CV61" i="18"/>
  <c r="CW61" i="18"/>
  <c r="CZ61" i="18"/>
  <c r="DA61" i="18"/>
  <c r="DB61" i="18"/>
  <c r="DC61" i="18"/>
  <c r="DD61" i="18"/>
  <c r="DE61" i="18"/>
  <c r="DF61" i="18"/>
  <c r="DG61" i="18"/>
  <c r="DI61" i="18"/>
  <c r="DJ61" i="18"/>
  <c r="DK61" i="18"/>
  <c r="DP61" i="18"/>
  <c r="DQ61" i="18"/>
  <c r="DR61" i="18"/>
  <c r="DS61" i="18"/>
  <c r="DT61" i="18"/>
  <c r="DU61" i="18"/>
  <c r="DV61" i="18"/>
  <c r="DW61" i="18"/>
  <c r="DY61" i="18"/>
  <c r="DZ61" i="18"/>
  <c r="EA61" i="18"/>
  <c r="ED61" i="18"/>
  <c r="EE61" i="18"/>
  <c r="EF61" i="18"/>
  <c r="EG61" i="18"/>
  <c r="EH61" i="18"/>
  <c r="EI61" i="18"/>
  <c r="EJ61" i="18"/>
  <c r="EK61" i="18"/>
  <c r="EM61" i="18"/>
  <c r="EN61" i="18"/>
  <c r="EO61" i="18"/>
  <c r="ER61" i="18"/>
  <c r="ES61" i="18"/>
  <c r="ET61" i="18"/>
  <c r="EU61" i="18"/>
  <c r="EV61" i="18"/>
  <c r="EW61" i="18"/>
  <c r="EX61" i="18"/>
  <c r="EY61" i="18"/>
  <c r="FA61" i="18"/>
  <c r="FB61" i="18"/>
  <c r="FC61" i="18"/>
  <c r="FF61" i="18"/>
  <c r="FG61" i="18"/>
  <c r="FH61" i="18"/>
  <c r="FI61" i="18"/>
  <c r="FJ61" i="18"/>
  <c r="FK61" i="18"/>
  <c r="FL61" i="18"/>
  <c r="FM61" i="18"/>
  <c r="FO61" i="18"/>
  <c r="FP61" i="18"/>
  <c r="FQ61" i="18"/>
  <c r="FV61" i="18"/>
  <c r="FW61" i="18"/>
  <c r="FX61" i="18"/>
  <c r="FY61" i="18"/>
  <c r="FZ61" i="18"/>
  <c r="GA61" i="18"/>
  <c r="GB61" i="18"/>
  <c r="GC61" i="18"/>
  <c r="GE61" i="18"/>
  <c r="GF61" i="18"/>
  <c r="GG61" i="18"/>
  <c r="GJ61" i="18"/>
  <c r="GK61" i="18"/>
  <c r="GL61" i="18"/>
  <c r="GM61" i="18"/>
  <c r="GN61" i="18"/>
  <c r="GO61" i="18"/>
  <c r="GP61" i="18"/>
  <c r="GQ61" i="18"/>
  <c r="GS61" i="18"/>
  <c r="GT61" i="18"/>
  <c r="GU61" i="18"/>
  <c r="GX61" i="18"/>
  <c r="GY61" i="18"/>
  <c r="GZ61" i="18"/>
  <c r="HA61" i="18"/>
  <c r="HB61" i="18"/>
  <c r="HC61" i="18"/>
  <c r="HD61" i="18"/>
  <c r="HE61" i="18"/>
  <c r="HG61" i="18"/>
  <c r="HH61" i="18"/>
  <c r="HI61" i="18"/>
  <c r="HL61" i="18"/>
  <c r="HM61" i="18"/>
  <c r="HN61" i="18"/>
  <c r="HO61" i="18"/>
  <c r="HP61" i="18"/>
  <c r="HQ61" i="18"/>
  <c r="HR61" i="18"/>
  <c r="HS61" i="18"/>
  <c r="HU61" i="18"/>
  <c r="HV61" i="18"/>
  <c r="HW61" i="18"/>
  <c r="D62" i="18"/>
  <c r="E62" i="18"/>
  <c r="G62" i="18"/>
  <c r="H62" i="18"/>
  <c r="I62" i="18"/>
  <c r="J62" i="18"/>
  <c r="K62" i="18"/>
  <c r="M62" i="18"/>
  <c r="N62" i="18"/>
  <c r="O62" i="18"/>
  <c r="R62" i="18"/>
  <c r="S62" i="18"/>
  <c r="T62" i="18"/>
  <c r="U62" i="18"/>
  <c r="V62" i="18"/>
  <c r="W62" i="18"/>
  <c r="X62" i="18"/>
  <c r="Y62" i="18"/>
  <c r="AA62" i="18"/>
  <c r="AB62" i="18"/>
  <c r="AC62" i="18"/>
  <c r="AF62" i="18"/>
  <c r="AG62" i="18"/>
  <c r="AH62" i="18"/>
  <c r="AI62" i="18"/>
  <c r="AJ62" i="18"/>
  <c r="AK62" i="18"/>
  <c r="AL62" i="18"/>
  <c r="AM62" i="18"/>
  <c r="AO62" i="18"/>
  <c r="AP62" i="18"/>
  <c r="AQ62" i="18"/>
  <c r="AT62" i="18"/>
  <c r="AU62" i="18"/>
  <c r="AV62" i="18"/>
  <c r="AW62" i="18"/>
  <c r="AX62" i="18"/>
  <c r="AY62" i="18"/>
  <c r="AZ62" i="18"/>
  <c r="BA62" i="18"/>
  <c r="BC62" i="18"/>
  <c r="BD62" i="18"/>
  <c r="BE62" i="18"/>
  <c r="BJ62" i="18"/>
  <c r="BK62" i="18"/>
  <c r="BL62" i="18"/>
  <c r="BM62" i="18"/>
  <c r="BN62" i="18"/>
  <c r="BO62" i="18"/>
  <c r="BP62" i="18"/>
  <c r="BQ62" i="18"/>
  <c r="BS62" i="18"/>
  <c r="BT62" i="18"/>
  <c r="BU62" i="18"/>
  <c r="BX62" i="18"/>
  <c r="BY62" i="18"/>
  <c r="BZ62" i="18"/>
  <c r="CA62" i="18"/>
  <c r="CB62" i="18"/>
  <c r="CC62" i="18"/>
  <c r="CD62" i="18"/>
  <c r="CE62" i="18"/>
  <c r="CG62" i="18"/>
  <c r="CH62" i="18"/>
  <c r="CI62" i="18"/>
  <c r="CL62" i="18"/>
  <c r="CM62" i="18"/>
  <c r="CN62" i="18"/>
  <c r="CO62" i="18"/>
  <c r="CP62" i="18"/>
  <c r="CQ62" i="18"/>
  <c r="CR62" i="18"/>
  <c r="CS62" i="18"/>
  <c r="CU62" i="18"/>
  <c r="CV62" i="18"/>
  <c r="CW62" i="18"/>
  <c r="CZ62" i="18"/>
  <c r="DA62" i="18"/>
  <c r="DB62" i="18"/>
  <c r="DC62" i="18"/>
  <c r="DD62" i="18"/>
  <c r="DE62" i="18"/>
  <c r="DF62" i="18"/>
  <c r="DG62" i="18"/>
  <c r="DI62" i="18"/>
  <c r="DJ62" i="18"/>
  <c r="DK62" i="18"/>
  <c r="DP62" i="18"/>
  <c r="DQ62" i="18"/>
  <c r="DR62" i="18"/>
  <c r="DS62" i="18"/>
  <c r="DT62" i="18"/>
  <c r="DU62" i="18"/>
  <c r="DV62" i="18"/>
  <c r="DW62" i="18"/>
  <c r="DY62" i="18"/>
  <c r="DZ62" i="18"/>
  <c r="EA62" i="18"/>
  <c r="ED62" i="18"/>
  <c r="EE62" i="18"/>
  <c r="EF62" i="18"/>
  <c r="EG62" i="18"/>
  <c r="EH62" i="18"/>
  <c r="EI62" i="18"/>
  <c r="EJ62" i="18"/>
  <c r="EK62" i="18"/>
  <c r="EM62" i="18"/>
  <c r="EN62" i="18"/>
  <c r="EO62" i="18"/>
  <c r="ER62" i="18"/>
  <c r="ES62" i="18"/>
  <c r="ET62" i="18"/>
  <c r="EU62" i="18"/>
  <c r="EV62" i="18"/>
  <c r="EW62" i="18"/>
  <c r="EX62" i="18"/>
  <c r="EY62" i="18"/>
  <c r="FA62" i="18"/>
  <c r="FB62" i="18"/>
  <c r="FC62" i="18"/>
  <c r="FF62" i="18"/>
  <c r="FG62" i="18"/>
  <c r="FH62" i="18"/>
  <c r="FI62" i="18"/>
  <c r="FJ62" i="18"/>
  <c r="FK62" i="18"/>
  <c r="FL62" i="18"/>
  <c r="FM62" i="18"/>
  <c r="FO62" i="18"/>
  <c r="FP62" i="18"/>
  <c r="FQ62" i="18"/>
  <c r="FV62" i="18"/>
  <c r="FW62" i="18"/>
  <c r="FX62" i="18"/>
  <c r="FY62" i="18"/>
  <c r="FZ62" i="18"/>
  <c r="GA62" i="18"/>
  <c r="GB62" i="18"/>
  <c r="GC62" i="18"/>
  <c r="GE62" i="18"/>
  <c r="GF62" i="18"/>
  <c r="GG62" i="18"/>
  <c r="GJ62" i="18"/>
  <c r="GK62" i="18"/>
  <c r="GL62" i="18"/>
  <c r="GM62" i="18"/>
  <c r="GN62" i="18"/>
  <c r="GO62" i="18"/>
  <c r="GP62" i="18"/>
  <c r="GQ62" i="18"/>
  <c r="GS62" i="18"/>
  <c r="GT62" i="18"/>
  <c r="GU62" i="18"/>
  <c r="GX62" i="18"/>
  <c r="GY62" i="18"/>
  <c r="GZ62" i="18"/>
  <c r="HA62" i="18"/>
  <c r="HB62" i="18"/>
  <c r="HC62" i="18"/>
  <c r="HD62" i="18"/>
  <c r="HE62" i="18"/>
  <c r="HG62" i="18"/>
  <c r="HH62" i="18"/>
  <c r="HI62" i="18"/>
  <c r="HL62" i="18"/>
  <c r="HM62" i="18"/>
  <c r="HN62" i="18"/>
  <c r="HO62" i="18"/>
  <c r="HP62" i="18"/>
  <c r="HQ62" i="18"/>
  <c r="HR62" i="18"/>
  <c r="HS62" i="18"/>
  <c r="HU62" i="18"/>
  <c r="HV62" i="18"/>
  <c r="HW62" i="18"/>
  <c r="D63" i="18"/>
  <c r="E63" i="18"/>
  <c r="G63" i="18"/>
  <c r="H63" i="18"/>
  <c r="I63" i="18"/>
  <c r="J63" i="18"/>
  <c r="K63" i="18"/>
  <c r="M63" i="18"/>
  <c r="N63" i="18"/>
  <c r="O63" i="18"/>
  <c r="R63" i="18"/>
  <c r="S63" i="18"/>
  <c r="T63" i="18"/>
  <c r="U63" i="18"/>
  <c r="V63" i="18"/>
  <c r="W63" i="18"/>
  <c r="X63" i="18"/>
  <c r="Y63" i="18"/>
  <c r="AA63" i="18"/>
  <c r="AB63" i="18"/>
  <c r="AC63" i="18"/>
  <c r="AF63" i="18"/>
  <c r="AG63" i="18"/>
  <c r="AH63" i="18"/>
  <c r="AI63" i="18"/>
  <c r="AJ63" i="18"/>
  <c r="AK63" i="18"/>
  <c r="AL63" i="18"/>
  <c r="AM63" i="18"/>
  <c r="AO63" i="18"/>
  <c r="AP63" i="18"/>
  <c r="AQ63" i="18"/>
  <c r="AT63" i="18"/>
  <c r="AU63" i="18"/>
  <c r="AV63" i="18"/>
  <c r="AW63" i="18"/>
  <c r="AX63" i="18"/>
  <c r="AY63" i="18"/>
  <c r="AZ63" i="18"/>
  <c r="BA63" i="18"/>
  <c r="BC63" i="18"/>
  <c r="BD63" i="18"/>
  <c r="BE63" i="18"/>
  <c r="BJ63" i="18"/>
  <c r="BK63" i="18"/>
  <c r="BL63" i="18"/>
  <c r="BM63" i="18"/>
  <c r="BN63" i="18"/>
  <c r="BO63" i="18"/>
  <c r="BP63" i="18"/>
  <c r="BQ63" i="18"/>
  <c r="BS63" i="18"/>
  <c r="BT63" i="18"/>
  <c r="BU63" i="18"/>
  <c r="BX63" i="18"/>
  <c r="BY63" i="18"/>
  <c r="BZ63" i="18"/>
  <c r="CA63" i="18"/>
  <c r="CB63" i="18"/>
  <c r="CC63" i="18"/>
  <c r="CD63" i="18"/>
  <c r="CE63" i="18"/>
  <c r="CG63" i="18"/>
  <c r="CH63" i="18"/>
  <c r="CI63" i="18"/>
  <c r="CL63" i="18"/>
  <c r="CM63" i="18"/>
  <c r="CN63" i="18"/>
  <c r="CO63" i="18"/>
  <c r="CP63" i="18"/>
  <c r="CQ63" i="18"/>
  <c r="CR63" i="18"/>
  <c r="CS63" i="18"/>
  <c r="CU63" i="18"/>
  <c r="CV63" i="18"/>
  <c r="CW63" i="18"/>
  <c r="CZ63" i="18"/>
  <c r="DA63" i="18"/>
  <c r="DB63" i="18"/>
  <c r="DC63" i="18"/>
  <c r="DD63" i="18"/>
  <c r="DE63" i="18"/>
  <c r="DF63" i="18"/>
  <c r="DG63" i="18"/>
  <c r="DI63" i="18"/>
  <c r="DJ63" i="18"/>
  <c r="DK63" i="18"/>
  <c r="DP63" i="18"/>
  <c r="DQ63" i="18"/>
  <c r="DR63" i="18"/>
  <c r="DS63" i="18"/>
  <c r="DT63" i="18"/>
  <c r="DU63" i="18"/>
  <c r="DV63" i="18"/>
  <c r="DW63" i="18"/>
  <c r="DY63" i="18"/>
  <c r="DZ63" i="18"/>
  <c r="EA63" i="18"/>
  <c r="ED63" i="18"/>
  <c r="EE63" i="18"/>
  <c r="EF63" i="18"/>
  <c r="EG63" i="18"/>
  <c r="EH63" i="18"/>
  <c r="EI63" i="18"/>
  <c r="EJ63" i="18"/>
  <c r="EK63" i="18"/>
  <c r="EM63" i="18"/>
  <c r="EN63" i="18"/>
  <c r="EO63" i="18"/>
  <c r="ER63" i="18"/>
  <c r="ES63" i="18"/>
  <c r="ET63" i="18"/>
  <c r="EU63" i="18"/>
  <c r="EV63" i="18"/>
  <c r="EW63" i="18"/>
  <c r="EX63" i="18"/>
  <c r="EY63" i="18"/>
  <c r="FA63" i="18"/>
  <c r="FB63" i="18"/>
  <c r="FC63" i="18"/>
  <c r="FF63" i="18"/>
  <c r="FG63" i="18"/>
  <c r="FH63" i="18"/>
  <c r="FI63" i="18"/>
  <c r="FJ63" i="18"/>
  <c r="FK63" i="18"/>
  <c r="FL63" i="18"/>
  <c r="FM63" i="18"/>
  <c r="FO63" i="18"/>
  <c r="FP63" i="18"/>
  <c r="FQ63" i="18"/>
  <c r="FV63" i="18"/>
  <c r="FW63" i="18"/>
  <c r="FX63" i="18"/>
  <c r="FY63" i="18"/>
  <c r="FZ63" i="18"/>
  <c r="GA63" i="18"/>
  <c r="GB63" i="18"/>
  <c r="GC63" i="18"/>
  <c r="GE63" i="18"/>
  <c r="GF63" i="18"/>
  <c r="GG63" i="18"/>
  <c r="GJ63" i="18"/>
  <c r="GK63" i="18"/>
  <c r="GL63" i="18"/>
  <c r="GM63" i="18"/>
  <c r="GN63" i="18"/>
  <c r="GO63" i="18"/>
  <c r="GP63" i="18"/>
  <c r="GQ63" i="18"/>
  <c r="GS63" i="18"/>
  <c r="GT63" i="18"/>
  <c r="GU63" i="18"/>
  <c r="GX63" i="18"/>
  <c r="GY63" i="18"/>
  <c r="GZ63" i="18"/>
  <c r="HA63" i="18"/>
  <c r="HB63" i="18"/>
  <c r="HC63" i="18"/>
  <c r="HD63" i="18"/>
  <c r="HE63" i="18"/>
  <c r="HG63" i="18"/>
  <c r="HH63" i="18"/>
  <c r="HI63" i="18"/>
  <c r="HL63" i="18"/>
  <c r="HM63" i="18"/>
  <c r="HN63" i="18"/>
  <c r="HO63" i="18"/>
  <c r="HP63" i="18"/>
  <c r="HQ63" i="18"/>
  <c r="HR63" i="18"/>
  <c r="HS63" i="18"/>
  <c r="HU63" i="18"/>
  <c r="HV63" i="18"/>
  <c r="HW63" i="18"/>
  <c r="D64" i="18"/>
  <c r="E64" i="18"/>
  <c r="G64" i="18"/>
  <c r="H64" i="18"/>
  <c r="I64" i="18"/>
  <c r="J64" i="18"/>
  <c r="K64" i="18"/>
  <c r="M64" i="18"/>
  <c r="N64" i="18"/>
  <c r="O64" i="18"/>
  <c r="R64" i="18"/>
  <c r="S64" i="18"/>
  <c r="T64" i="18"/>
  <c r="U64" i="18"/>
  <c r="V64" i="18"/>
  <c r="W64" i="18"/>
  <c r="X64" i="18"/>
  <c r="Y64" i="18"/>
  <c r="AA64" i="18"/>
  <c r="AB64" i="18"/>
  <c r="AC64" i="18"/>
  <c r="AF64" i="18"/>
  <c r="AG64" i="18"/>
  <c r="AH64" i="18"/>
  <c r="AI64" i="18"/>
  <c r="AJ64" i="18"/>
  <c r="AK64" i="18"/>
  <c r="AL64" i="18"/>
  <c r="AM64" i="18"/>
  <c r="AO64" i="18"/>
  <c r="AP64" i="18"/>
  <c r="AQ64" i="18"/>
  <c r="AT64" i="18"/>
  <c r="AU64" i="18"/>
  <c r="AV64" i="18"/>
  <c r="AW64" i="18"/>
  <c r="AX64" i="18"/>
  <c r="AY64" i="18"/>
  <c r="AZ64" i="18"/>
  <c r="BA64" i="18"/>
  <c r="BC64" i="18"/>
  <c r="BD64" i="18"/>
  <c r="BE64" i="18"/>
  <c r="BJ64" i="18"/>
  <c r="BK64" i="18"/>
  <c r="BL64" i="18"/>
  <c r="BM64" i="18"/>
  <c r="BN64" i="18"/>
  <c r="BO64" i="18"/>
  <c r="BP64" i="18"/>
  <c r="BQ64" i="18"/>
  <c r="BS64" i="18"/>
  <c r="BT64" i="18"/>
  <c r="BU64" i="18"/>
  <c r="BX64" i="18"/>
  <c r="BY64" i="18"/>
  <c r="BZ64" i="18"/>
  <c r="CA64" i="18"/>
  <c r="CB64" i="18"/>
  <c r="CC64" i="18"/>
  <c r="CD64" i="18"/>
  <c r="CE64" i="18"/>
  <c r="CG64" i="18"/>
  <c r="CH64" i="18"/>
  <c r="CI64" i="18"/>
  <c r="CL64" i="18"/>
  <c r="CM64" i="18"/>
  <c r="CN64" i="18"/>
  <c r="CO64" i="18"/>
  <c r="CP64" i="18"/>
  <c r="CQ64" i="18"/>
  <c r="CR64" i="18"/>
  <c r="CS64" i="18"/>
  <c r="CU64" i="18"/>
  <c r="CV64" i="18"/>
  <c r="CW64" i="18"/>
  <c r="CZ64" i="18"/>
  <c r="DA64" i="18"/>
  <c r="DB64" i="18"/>
  <c r="DC64" i="18"/>
  <c r="DD64" i="18"/>
  <c r="DE64" i="18"/>
  <c r="DF64" i="18"/>
  <c r="DG64" i="18"/>
  <c r="DI64" i="18"/>
  <c r="DJ64" i="18"/>
  <c r="DK64" i="18"/>
  <c r="DP64" i="18"/>
  <c r="DQ64" i="18"/>
  <c r="DR64" i="18"/>
  <c r="DS64" i="18"/>
  <c r="DT64" i="18"/>
  <c r="DU64" i="18"/>
  <c r="DV64" i="18"/>
  <c r="DW64" i="18"/>
  <c r="DY64" i="18"/>
  <c r="DZ64" i="18"/>
  <c r="EA64" i="18"/>
  <c r="ED64" i="18"/>
  <c r="EE64" i="18"/>
  <c r="EF64" i="18"/>
  <c r="EG64" i="18"/>
  <c r="EH64" i="18"/>
  <c r="EI64" i="18"/>
  <c r="EJ64" i="18"/>
  <c r="EK64" i="18"/>
  <c r="EM64" i="18"/>
  <c r="EN64" i="18"/>
  <c r="EO64" i="18"/>
  <c r="ER64" i="18"/>
  <c r="ES64" i="18"/>
  <c r="ET64" i="18"/>
  <c r="EU64" i="18"/>
  <c r="EV64" i="18"/>
  <c r="EW64" i="18"/>
  <c r="EX64" i="18"/>
  <c r="EY64" i="18"/>
  <c r="FA64" i="18"/>
  <c r="FB64" i="18"/>
  <c r="FC64" i="18"/>
  <c r="FF64" i="18"/>
  <c r="FG64" i="18"/>
  <c r="FH64" i="18"/>
  <c r="FI64" i="18"/>
  <c r="FJ64" i="18"/>
  <c r="FK64" i="18"/>
  <c r="FL64" i="18"/>
  <c r="FM64" i="18"/>
  <c r="FO64" i="18"/>
  <c r="FP64" i="18"/>
  <c r="FQ64" i="18"/>
  <c r="FV64" i="18"/>
  <c r="FW64" i="18"/>
  <c r="FX64" i="18"/>
  <c r="FY64" i="18"/>
  <c r="FZ64" i="18"/>
  <c r="GA64" i="18"/>
  <c r="GB64" i="18"/>
  <c r="GC64" i="18"/>
  <c r="GE64" i="18"/>
  <c r="GF64" i="18"/>
  <c r="GG64" i="18"/>
  <c r="GJ64" i="18"/>
  <c r="GK64" i="18"/>
  <c r="GL64" i="18"/>
  <c r="GM64" i="18"/>
  <c r="GN64" i="18"/>
  <c r="GO64" i="18"/>
  <c r="GP64" i="18"/>
  <c r="GQ64" i="18"/>
  <c r="GS64" i="18"/>
  <c r="GT64" i="18"/>
  <c r="GU64" i="18"/>
  <c r="GX64" i="18"/>
  <c r="GY64" i="18"/>
  <c r="GZ64" i="18"/>
  <c r="HA64" i="18"/>
  <c r="HB64" i="18"/>
  <c r="HC64" i="18"/>
  <c r="HD64" i="18"/>
  <c r="HE64" i="18"/>
  <c r="HG64" i="18"/>
  <c r="HH64" i="18"/>
  <c r="HI64" i="18"/>
  <c r="HL64" i="18"/>
  <c r="HM64" i="18"/>
  <c r="HN64" i="18"/>
  <c r="HO64" i="18"/>
  <c r="HP64" i="18"/>
  <c r="HQ64" i="18"/>
  <c r="HR64" i="18"/>
  <c r="HS64" i="18"/>
  <c r="HU64" i="18"/>
  <c r="HV64" i="18"/>
  <c r="HW64" i="18"/>
  <c r="D65" i="18"/>
  <c r="E65" i="18"/>
  <c r="G65" i="18"/>
  <c r="H65" i="18"/>
  <c r="I65" i="18"/>
  <c r="J65" i="18"/>
  <c r="K65" i="18"/>
  <c r="M65" i="18"/>
  <c r="N65" i="18"/>
  <c r="O65" i="18"/>
  <c r="R65" i="18"/>
  <c r="S65" i="18"/>
  <c r="T65" i="18"/>
  <c r="U65" i="18"/>
  <c r="V65" i="18"/>
  <c r="W65" i="18"/>
  <c r="X65" i="18"/>
  <c r="Y65" i="18"/>
  <c r="AA65" i="18"/>
  <c r="AB65" i="18"/>
  <c r="AC65" i="18"/>
  <c r="AF65" i="18"/>
  <c r="AG65" i="18"/>
  <c r="AH65" i="18"/>
  <c r="AI65" i="18"/>
  <c r="AJ65" i="18"/>
  <c r="AK65" i="18"/>
  <c r="AL65" i="18"/>
  <c r="AM65" i="18"/>
  <c r="AO65" i="18"/>
  <c r="AP65" i="18"/>
  <c r="AQ65" i="18"/>
  <c r="AT65" i="18"/>
  <c r="AU65" i="18"/>
  <c r="AV65" i="18"/>
  <c r="AW65" i="18"/>
  <c r="AX65" i="18"/>
  <c r="AY65" i="18"/>
  <c r="AZ65" i="18"/>
  <c r="BA65" i="18"/>
  <c r="BC65" i="18"/>
  <c r="BD65" i="18"/>
  <c r="BE65" i="18"/>
  <c r="BJ65" i="18"/>
  <c r="BK65" i="18"/>
  <c r="BL65" i="18"/>
  <c r="BM65" i="18"/>
  <c r="BN65" i="18"/>
  <c r="BO65" i="18"/>
  <c r="BP65" i="18"/>
  <c r="BQ65" i="18"/>
  <c r="BS65" i="18"/>
  <c r="BT65" i="18"/>
  <c r="BU65" i="18"/>
  <c r="BX65" i="18"/>
  <c r="BY65" i="18"/>
  <c r="BZ65" i="18"/>
  <c r="CA65" i="18"/>
  <c r="CB65" i="18"/>
  <c r="CC65" i="18"/>
  <c r="CD65" i="18"/>
  <c r="CE65" i="18"/>
  <c r="CG65" i="18"/>
  <c r="CH65" i="18"/>
  <c r="CI65" i="18"/>
  <c r="CL65" i="18"/>
  <c r="CM65" i="18"/>
  <c r="CN65" i="18"/>
  <c r="CO65" i="18"/>
  <c r="CP65" i="18"/>
  <c r="CQ65" i="18"/>
  <c r="CR65" i="18"/>
  <c r="CS65" i="18"/>
  <c r="CU65" i="18"/>
  <c r="CV65" i="18"/>
  <c r="CW65" i="18"/>
  <c r="CZ65" i="18"/>
  <c r="DA65" i="18"/>
  <c r="DB65" i="18"/>
  <c r="DC65" i="18"/>
  <c r="DD65" i="18"/>
  <c r="DE65" i="18"/>
  <c r="DF65" i="18"/>
  <c r="DG65" i="18"/>
  <c r="DI65" i="18"/>
  <c r="DJ65" i="18"/>
  <c r="DK65" i="18"/>
  <c r="DP65" i="18"/>
  <c r="DQ65" i="18"/>
  <c r="DR65" i="18"/>
  <c r="DS65" i="18"/>
  <c r="DT65" i="18"/>
  <c r="DU65" i="18"/>
  <c r="DV65" i="18"/>
  <c r="DW65" i="18"/>
  <c r="DY65" i="18"/>
  <c r="DZ65" i="18"/>
  <c r="EA65" i="18"/>
  <c r="ED65" i="18"/>
  <c r="EE65" i="18"/>
  <c r="EF65" i="18"/>
  <c r="EG65" i="18"/>
  <c r="EH65" i="18"/>
  <c r="EI65" i="18"/>
  <c r="EJ65" i="18"/>
  <c r="EK65" i="18"/>
  <c r="EM65" i="18"/>
  <c r="EN65" i="18"/>
  <c r="EO65" i="18"/>
  <c r="ER65" i="18"/>
  <c r="ES65" i="18"/>
  <c r="ET65" i="18"/>
  <c r="EU65" i="18"/>
  <c r="EV65" i="18"/>
  <c r="EW65" i="18"/>
  <c r="EX65" i="18"/>
  <c r="EY65" i="18"/>
  <c r="FA65" i="18"/>
  <c r="FB65" i="18"/>
  <c r="FC65" i="18"/>
  <c r="FF65" i="18"/>
  <c r="FG65" i="18"/>
  <c r="FH65" i="18"/>
  <c r="FI65" i="18"/>
  <c r="FJ65" i="18"/>
  <c r="FK65" i="18"/>
  <c r="FL65" i="18"/>
  <c r="FM65" i="18"/>
  <c r="FO65" i="18"/>
  <c r="FP65" i="18"/>
  <c r="FQ65" i="18"/>
  <c r="FV65" i="18"/>
  <c r="FW65" i="18"/>
  <c r="FX65" i="18"/>
  <c r="FY65" i="18"/>
  <c r="FZ65" i="18"/>
  <c r="GA65" i="18"/>
  <c r="GB65" i="18"/>
  <c r="GC65" i="18"/>
  <c r="GE65" i="18"/>
  <c r="GF65" i="18"/>
  <c r="GG65" i="18"/>
  <c r="GJ65" i="18"/>
  <c r="GK65" i="18"/>
  <c r="GL65" i="18"/>
  <c r="GM65" i="18"/>
  <c r="GN65" i="18"/>
  <c r="GO65" i="18"/>
  <c r="GP65" i="18"/>
  <c r="GQ65" i="18"/>
  <c r="GS65" i="18"/>
  <c r="GT65" i="18"/>
  <c r="GU65" i="18"/>
  <c r="GX65" i="18"/>
  <c r="GY65" i="18"/>
  <c r="GZ65" i="18"/>
  <c r="HA65" i="18"/>
  <c r="HB65" i="18"/>
  <c r="HC65" i="18"/>
  <c r="HD65" i="18"/>
  <c r="HE65" i="18"/>
  <c r="HG65" i="18"/>
  <c r="HH65" i="18"/>
  <c r="HI65" i="18"/>
  <c r="HL65" i="18"/>
  <c r="HM65" i="18"/>
  <c r="HN65" i="18"/>
  <c r="HO65" i="18"/>
  <c r="HP65" i="18"/>
  <c r="HQ65" i="18"/>
  <c r="HR65" i="18"/>
  <c r="HS65" i="18"/>
  <c r="HU65" i="18"/>
  <c r="HV65" i="18"/>
  <c r="HW65" i="18"/>
  <c r="S2" i="18"/>
  <c r="T2" i="18"/>
  <c r="U2" i="18"/>
  <c r="V2" i="18"/>
  <c r="W2" i="18"/>
  <c r="X2" i="18"/>
  <c r="Y2" i="18"/>
  <c r="AA2" i="18"/>
  <c r="AB2" i="18"/>
  <c r="AC2" i="18"/>
  <c r="AG2" i="18"/>
  <c r="AH2" i="18"/>
  <c r="AI2" i="18"/>
  <c r="AJ2" i="18"/>
  <c r="AK2" i="18"/>
  <c r="AL2" i="18"/>
  <c r="AM2" i="18"/>
  <c r="AO2" i="18"/>
  <c r="AP2" i="18"/>
  <c r="AQ2" i="18"/>
  <c r="AU2" i="18"/>
  <c r="AV2" i="18"/>
  <c r="AW2" i="18"/>
  <c r="AX2" i="18"/>
  <c r="AZ2" i="18"/>
  <c r="BA2" i="18"/>
  <c r="BC2" i="18"/>
  <c r="BD2" i="18"/>
  <c r="BE2" i="18"/>
  <c r="HW2" i="18"/>
  <c r="HV2" i="18"/>
  <c r="HU2" i="18"/>
  <c r="HS2" i="18"/>
  <c r="HR2" i="18"/>
  <c r="HP2" i="18"/>
  <c r="HO2" i="18"/>
  <c r="HN2" i="18"/>
  <c r="HM2" i="18"/>
  <c r="HI2" i="18"/>
  <c r="HH2" i="18"/>
  <c r="HG2" i="18"/>
  <c r="HE2" i="18"/>
  <c r="HD2" i="18"/>
  <c r="HC2" i="18"/>
  <c r="HB2" i="18"/>
  <c r="HA2" i="18"/>
  <c r="GZ2" i="18"/>
  <c r="GY2" i="18"/>
  <c r="GU2" i="18"/>
  <c r="GT2" i="18"/>
  <c r="GS2" i="18"/>
  <c r="GQ2" i="18"/>
  <c r="GP2" i="18"/>
  <c r="GO2" i="18"/>
  <c r="GN2" i="18"/>
  <c r="GM2" i="18"/>
  <c r="GL2" i="18"/>
  <c r="GK2" i="18"/>
  <c r="GG2" i="18"/>
  <c r="GF2" i="18"/>
  <c r="GE2" i="18"/>
  <c r="GC2" i="18"/>
  <c r="GB2" i="18"/>
  <c r="GA2" i="18"/>
  <c r="FZ2" i="18"/>
  <c r="FY2" i="18"/>
  <c r="FX2" i="18"/>
  <c r="FW2" i="18"/>
  <c r="FQ2" i="18"/>
  <c r="FP2" i="18"/>
  <c r="FO2" i="18"/>
  <c r="FM2" i="18"/>
  <c r="FL2" i="18"/>
  <c r="FJ2" i="18"/>
  <c r="FI2" i="18"/>
  <c r="FH2" i="18"/>
  <c r="FG2" i="18"/>
  <c r="FC2" i="18"/>
  <c r="FB2" i="18"/>
  <c r="FA2" i="18"/>
  <c r="EY2" i="18"/>
  <c r="EX2" i="18"/>
  <c r="EW2" i="18"/>
  <c r="EV2" i="18"/>
  <c r="EU2" i="18"/>
  <c r="ET2" i="18"/>
  <c r="ES2" i="18"/>
  <c r="EO2" i="18"/>
  <c r="EN2" i="18"/>
  <c r="EM2" i="18"/>
  <c r="EK2" i="18"/>
  <c r="EJ2" i="18"/>
  <c r="EI2" i="18"/>
  <c r="EH2" i="18"/>
  <c r="EG2" i="18"/>
  <c r="EF2" i="18"/>
  <c r="EE2" i="18"/>
  <c r="DZ2" i="18"/>
  <c r="DY2" i="18"/>
  <c r="DW2" i="18"/>
  <c r="DV2" i="18"/>
  <c r="DU2" i="18"/>
  <c r="DT2" i="18"/>
  <c r="DS2" i="18"/>
  <c r="DR2" i="18"/>
  <c r="DQ2" i="18"/>
  <c r="DK2" i="18"/>
  <c r="DJ2" i="18"/>
  <c r="DI2" i="18"/>
  <c r="DG2" i="18"/>
  <c r="DF2" i="18"/>
  <c r="DD2" i="18"/>
  <c r="DC2" i="18"/>
  <c r="DB2" i="18"/>
  <c r="DA2" i="18"/>
  <c r="CW2" i="18"/>
  <c r="CV2" i="18"/>
  <c r="CU2" i="18"/>
  <c r="CS2" i="18"/>
  <c r="CR2" i="18"/>
  <c r="CQ2" i="18"/>
  <c r="CP2" i="18"/>
  <c r="CO2" i="18"/>
  <c r="CN2" i="18"/>
  <c r="CM2" i="18"/>
  <c r="CL2" i="18"/>
  <c r="CI2" i="18"/>
  <c r="CH2" i="18"/>
  <c r="CG2" i="18"/>
  <c r="CE2" i="18"/>
  <c r="CD2" i="18"/>
  <c r="CC2" i="18"/>
  <c r="CB2" i="18"/>
  <c r="CA2" i="18"/>
  <c r="BZ2" i="18"/>
  <c r="BY2" i="18"/>
  <c r="BU2" i="18"/>
  <c r="BT2" i="18"/>
  <c r="BS2" i="18"/>
  <c r="BQ2" i="18"/>
  <c r="BP2" i="18"/>
  <c r="BO2" i="18"/>
  <c r="BN2" i="18"/>
  <c r="BM2" i="18"/>
  <c r="BL2" i="18"/>
  <c r="BK2" i="18"/>
  <c r="G2" i="18"/>
  <c r="HL2" i="18"/>
  <c r="GX2" i="18"/>
  <c r="GJ2" i="18"/>
  <c r="FV2" i="18"/>
  <c r="FF2" i="18"/>
  <c r="ER2" i="18"/>
  <c r="ED2" i="18"/>
  <c r="DP2" i="18"/>
  <c r="CZ2" i="18"/>
  <c r="BX2" i="18"/>
  <c r="BJ2" i="18"/>
  <c r="AT2" i="18"/>
  <c r="AF2" i="18"/>
  <c r="R2" i="18"/>
  <c r="Y10" i="25"/>
  <c r="Y11" i="25"/>
  <c r="Y12" i="25"/>
  <c r="Y13" i="25"/>
  <c r="Y14" i="25"/>
  <c r="Y15" i="25"/>
  <c r="Y16" i="25"/>
  <c r="Y17" i="25"/>
  <c r="Y18" i="25"/>
  <c r="Y19" i="25"/>
  <c r="Y20" i="25"/>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M10" i="25"/>
  <c r="M11" i="25"/>
  <c r="M12"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F2" i="25" a="1"/>
  <c r="F2" i="25" s="1"/>
  <c r="BA32" i="20"/>
  <c r="BB32" i="20"/>
  <c r="BA33" i="20"/>
  <c r="BB33" i="20"/>
  <c r="BA34" i="20"/>
  <c r="BB34" i="20"/>
  <c r="BA35" i="20"/>
  <c r="BB35" i="20"/>
  <c r="BA36" i="20"/>
  <c r="BB36" i="20"/>
  <c r="BA37" i="20"/>
  <c r="BB37" i="20"/>
  <c r="BA38" i="20"/>
  <c r="BB38" i="20"/>
  <c r="BA39" i="20"/>
  <c r="BB39" i="20"/>
  <c r="BA40" i="20"/>
  <c r="BB40" i="20"/>
  <c r="BA41" i="20"/>
  <c r="BB41" i="20"/>
  <c r="BA42" i="20"/>
  <c r="BB42" i="20"/>
  <c r="BA43" i="20"/>
  <c r="BB43" i="20"/>
  <c r="BA44" i="20"/>
  <c r="BB44" i="20"/>
  <c r="BA45" i="20"/>
  <c r="BB45" i="20"/>
  <c r="BA46" i="20"/>
  <c r="BB46" i="20"/>
  <c r="BA47" i="20"/>
  <c r="BB47" i="20"/>
  <c r="BA48" i="20"/>
  <c r="BB48" i="20"/>
  <c r="BA49" i="20"/>
  <c r="BB49" i="20"/>
  <c r="BA50" i="20"/>
  <c r="BB50" i="20"/>
  <c r="BA51" i="20"/>
  <c r="BB51" i="20"/>
  <c r="BA52" i="20"/>
  <c r="BB52" i="20"/>
  <c r="BA53" i="20"/>
  <c r="BB53" i="20"/>
  <c r="BA54" i="20"/>
  <c r="BB54" i="20"/>
  <c r="BA55" i="20"/>
  <c r="BB55" i="20"/>
  <c r="BA56" i="20"/>
  <c r="BB56" i="20"/>
  <c r="BA57" i="20"/>
  <c r="BB57" i="20"/>
  <c r="BA58" i="20"/>
  <c r="BB58" i="20"/>
  <c r="BA59" i="20"/>
  <c r="BB59" i="20"/>
  <c r="BA60" i="20"/>
  <c r="BB60" i="20"/>
  <c r="BA61" i="20"/>
  <c r="BB61" i="20"/>
  <c r="BA62" i="20"/>
  <c r="BB62" i="20"/>
  <c r="BA63" i="20"/>
  <c r="BB63" i="20"/>
  <c r="BA64" i="20"/>
  <c r="BB64" i="20"/>
  <c r="BA65" i="20"/>
  <c r="BB65" i="20"/>
  <c r="BA66" i="20"/>
  <c r="BB66" i="20"/>
  <c r="BA67" i="20"/>
  <c r="BB67" i="20"/>
  <c r="BA68" i="20"/>
  <c r="BB68" i="20"/>
  <c r="BA69" i="20"/>
  <c r="BB69" i="20"/>
  <c r="BA70" i="20"/>
  <c r="BB70" i="20"/>
  <c r="BA71" i="20"/>
  <c r="BB71" i="20"/>
  <c r="BA72" i="20"/>
  <c r="BB72" i="20"/>
  <c r="BA73" i="20"/>
  <c r="BB73" i="20"/>
  <c r="BA74" i="20"/>
  <c r="BB74" i="20"/>
  <c r="BA75" i="20"/>
  <c r="BB75" i="20"/>
  <c r="BA76" i="20"/>
  <c r="BB76" i="20"/>
  <c r="BA77" i="20"/>
  <c r="BB77" i="20"/>
  <c r="BA78" i="20"/>
  <c r="BB78" i="20"/>
  <c r="BA79" i="20"/>
  <c r="BB79" i="20"/>
  <c r="BA80" i="20"/>
  <c r="BB80" i="20"/>
  <c r="BA81" i="20"/>
  <c r="BB81" i="20"/>
  <c r="BA82" i="20"/>
  <c r="BB82" i="20"/>
  <c r="BA83" i="20"/>
  <c r="BB83" i="20"/>
  <c r="BA84" i="20"/>
  <c r="BB84" i="20"/>
  <c r="BA85" i="20"/>
  <c r="BB85" i="20"/>
  <c r="BA86" i="20"/>
  <c r="BB86" i="20"/>
  <c r="BA87" i="20"/>
  <c r="BB87" i="20"/>
  <c r="BA88" i="20"/>
  <c r="BB88" i="20"/>
  <c r="BA89" i="20"/>
  <c r="BB89" i="20"/>
  <c r="BA90" i="20"/>
  <c r="BB90" i="20"/>
  <c r="BA91" i="20"/>
  <c r="BB91" i="20"/>
  <c r="BA92" i="20"/>
  <c r="BB92" i="20"/>
  <c r="BA93" i="20"/>
  <c r="BB93" i="20"/>
  <c r="BA94" i="20"/>
  <c r="BB94" i="20"/>
  <c r="BA95" i="20"/>
  <c r="BB95" i="20"/>
  <c r="BA96" i="20"/>
  <c r="BB96" i="20"/>
  <c r="BA97" i="20"/>
  <c r="BB97" i="20"/>
  <c r="BA98" i="20"/>
  <c r="BB98" i="20"/>
  <c r="BA99" i="20"/>
  <c r="BB99" i="20"/>
  <c r="R2" i="25" l="1"/>
  <c r="AD2" i="25"/>
  <c r="L2" i="25"/>
  <c r="X2" i="25"/>
  <c r="GH59" i="18"/>
  <c r="FD37" i="18"/>
  <c r="GH35" i="18"/>
  <c r="HJ62" i="18"/>
  <c r="HJ39" i="18"/>
  <c r="GH33" i="18"/>
  <c r="BV33" i="18"/>
  <c r="AD32" i="18"/>
  <c r="HJ31" i="18"/>
  <c r="BF30" i="18"/>
  <c r="CJ28" i="18"/>
  <c r="FD27" i="18"/>
  <c r="DL26" i="18"/>
  <c r="HJ23" i="18"/>
  <c r="BF22" i="18"/>
  <c r="FR55" i="18"/>
  <c r="HJ42" i="18"/>
  <c r="BF41" i="18"/>
  <c r="HX38" i="18"/>
  <c r="GV15" i="18"/>
  <c r="HJ63" i="18"/>
  <c r="BF58" i="18"/>
  <c r="GH52" i="18"/>
  <c r="BV62" i="18"/>
  <c r="CX52" i="18"/>
  <c r="AR64" i="18"/>
  <c r="EP62" i="18"/>
  <c r="AD53" i="18"/>
  <c r="FR51" i="18"/>
  <c r="BF51" i="18"/>
  <c r="CX44" i="18"/>
  <c r="EP38" i="18"/>
  <c r="FD33" i="18"/>
  <c r="EP63" i="18"/>
  <c r="GV50" i="18"/>
  <c r="AN50" i="18"/>
  <c r="BF44" i="18"/>
  <c r="AD40" i="18"/>
  <c r="AD55" i="18"/>
  <c r="FR53" i="18"/>
  <c r="CX65" i="18"/>
  <c r="CX55" i="18"/>
  <c r="GH51" i="18"/>
  <c r="EL12" i="18"/>
  <c r="FR65" i="18"/>
  <c r="HX52" i="18"/>
  <c r="HX51" i="18"/>
  <c r="AN44" i="18"/>
  <c r="HJ36" i="18"/>
  <c r="HK36" i="18" s="1"/>
  <c r="BF35" i="18"/>
  <c r="EB27" i="18"/>
  <c r="GV25" i="18"/>
  <c r="CX62" i="18"/>
  <c r="AD62" i="18"/>
  <c r="CX61" i="18"/>
  <c r="FR60" i="18"/>
  <c r="AR56" i="18"/>
  <c r="FD42" i="18"/>
  <c r="DL40" i="18"/>
  <c r="FD8" i="18"/>
  <c r="GV51" i="18"/>
  <c r="EB51" i="18"/>
  <c r="P64" i="18"/>
  <c r="AR57" i="18"/>
  <c r="DL56" i="18"/>
  <c r="HJ51" i="18"/>
  <c r="BV43" i="18"/>
  <c r="AD42" i="18"/>
  <c r="BV40" i="18"/>
  <c r="CJ35" i="18"/>
  <c r="CX21" i="18"/>
  <c r="BF20" i="18"/>
  <c r="CJ18" i="18"/>
  <c r="DL10" i="18"/>
  <c r="HX8" i="18"/>
  <c r="GV64" i="18"/>
  <c r="GV62" i="18"/>
  <c r="FD62" i="18"/>
  <c r="Z62" i="18"/>
  <c r="GR61" i="18"/>
  <c r="FN61" i="18"/>
  <c r="EZ61" i="18"/>
  <c r="EB61" i="18"/>
  <c r="CJ61" i="18"/>
  <c r="GV60" i="18"/>
  <c r="FD60" i="18"/>
  <c r="HX59" i="18"/>
  <c r="HX58" i="18"/>
  <c r="BV58" i="18"/>
  <c r="AR58" i="18"/>
  <c r="EP57" i="18"/>
  <c r="DL57" i="18"/>
  <c r="GH56" i="18"/>
  <c r="BB56" i="18"/>
  <c r="GD55" i="18"/>
  <c r="HF54" i="18"/>
  <c r="EP54" i="18"/>
  <c r="DL54" i="18"/>
  <c r="HJ53" i="18"/>
  <c r="CX51" i="18"/>
  <c r="GH43" i="18"/>
  <c r="EP43" i="18"/>
  <c r="CX43" i="18"/>
  <c r="Z42" i="18"/>
  <c r="AE42" i="18" s="1"/>
  <c r="HJ41" i="18"/>
  <c r="FR40" i="18"/>
  <c r="FR29" i="18"/>
  <c r="CJ27" i="18"/>
  <c r="AR26" i="18"/>
  <c r="DL25" i="18"/>
  <c r="EP23" i="18"/>
  <c r="HJ22" i="18"/>
  <c r="BV16" i="18"/>
  <c r="BF52" i="18"/>
  <c r="FR43" i="18"/>
  <c r="BF43" i="18"/>
  <c r="GH27" i="18"/>
  <c r="AN24" i="18"/>
  <c r="DH23" i="18"/>
  <c r="DL12" i="18"/>
  <c r="GH64" i="18"/>
  <c r="BV63" i="18"/>
  <c r="EP59" i="18"/>
  <c r="CX57" i="18"/>
  <c r="BF57" i="18"/>
  <c r="BF55" i="18"/>
  <c r="CX53" i="18"/>
  <c r="BF40" i="18"/>
  <c r="GV37" i="18"/>
  <c r="CJ37" i="18"/>
  <c r="FD36" i="18"/>
  <c r="HX35" i="18"/>
  <c r="BF31" i="18"/>
  <c r="AR30" i="18"/>
  <c r="GV29" i="18"/>
  <c r="AR14" i="18"/>
  <c r="HJ65" i="18"/>
  <c r="HF65" i="18"/>
  <c r="GR65" i="18"/>
  <c r="FR64" i="18"/>
  <c r="GH61" i="18"/>
  <c r="CX59" i="18"/>
  <c r="AD50" i="18"/>
  <c r="EB47" i="18"/>
  <c r="GV46" i="18"/>
  <c r="CJ46" i="18"/>
  <c r="FD45" i="18"/>
  <c r="AR45" i="18"/>
  <c r="HX44" i="18"/>
  <c r="L43" i="27"/>
  <c r="BF42" i="18"/>
  <c r="BB41" i="18"/>
  <c r="M41" i="27"/>
  <c r="L41" i="23" s="1"/>
  <c r="EZ39" i="18"/>
  <c r="GR38" i="18"/>
  <c r="L33" i="27"/>
  <c r="HT30" i="18"/>
  <c r="BV30" i="18"/>
  <c r="EL29" i="18"/>
  <c r="AN28" i="18"/>
  <c r="HJ27" i="18"/>
  <c r="BF26" i="18"/>
  <c r="BF8" i="18"/>
  <c r="BV65" i="18"/>
  <c r="BF63" i="18"/>
  <c r="AD61" i="18"/>
  <c r="CX60" i="18"/>
  <c r="FR59" i="18"/>
  <c r="FD56" i="18"/>
  <c r="HX55" i="18"/>
  <c r="GV53" i="18"/>
  <c r="EB53" i="18"/>
  <c r="FR52" i="18"/>
  <c r="HJ50" i="18"/>
  <c r="CX50" i="18"/>
  <c r="FR49" i="18"/>
  <c r="EB48" i="18"/>
  <c r="CF48" i="18"/>
  <c r="GV47" i="18"/>
  <c r="EZ47" i="18"/>
  <c r="CJ47" i="18"/>
  <c r="FD46" i="18"/>
  <c r="DH46" i="18"/>
  <c r="AR46" i="18"/>
  <c r="HX45" i="18"/>
  <c r="DL45" i="18"/>
  <c r="BR45" i="18"/>
  <c r="GH44" i="18"/>
  <c r="EP44" i="18"/>
  <c r="EL44" i="18"/>
  <c r="BB43" i="18"/>
  <c r="BG43" i="18" s="1"/>
  <c r="K43" i="27"/>
  <c r="J43" i="23" s="1"/>
  <c r="EB37" i="18"/>
  <c r="FD35" i="18"/>
  <c r="CJ34" i="18"/>
  <c r="BV32" i="18"/>
  <c r="EP12" i="18"/>
  <c r="HT64" i="18"/>
  <c r="CT59" i="18"/>
  <c r="HX56" i="18"/>
  <c r="GH55" i="18"/>
  <c r="GV54" i="18"/>
  <c r="FD54" i="18"/>
  <c r="BR54" i="18"/>
  <c r="AN54" i="18"/>
  <c r="HX53" i="18"/>
  <c r="GR52" i="18"/>
  <c r="FR50" i="18"/>
  <c r="GR49" i="18"/>
  <c r="EB49" i="18"/>
  <c r="GV48" i="18"/>
  <c r="Z44" i="18"/>
  <c r="HX43" i="18"/>
  <c r="GD43" i="18"/>
  <c r="DH42" i="18"/>
  <c r="CJ42" i="18"/>
  <c r="GV41" i="18"/>
  <c r="HF39" i="18"/>
  <c r="DL36" i="18"/>
  <c r="CJ36" i="18"/>
  <c r="E35" i="27"/>
  <c r="E35" i="23" s="1"/>
  <c r="HX34" i="18"/>
  <c r="HF34" i="18"/>
  <c r="HX33" i="18"/>
  <c r="HT32" i="18"/>
  <c r="GH32" i="18"/>
  <c r="EP32" i="18"/>
  <c r="GD20" i="18"/>
  <c r="GV19" i="18"/>
  <c r="DL18" i="18"/>
  <c r="EL14" i="18"/>
  <c r="DX14" i="18"/>
  <c r="BB14" i="18"/>
  <c r="FR13" i="18"/>
  <c r="EP13" i="18"/>
  <c r="FR12" i="18"/>
  <c r="FN12" i="18"/>
  <c r="DX12" i="18"/>
  <c r="CJ60" i="18"/>
  <c r="BV57" i="18"/>
  <c r="GH53" i="18"/>
  <c r="EL53" i="18"/>
  <c r="DH53" i="18"/>
  <c r="BR53" i="18"/>
  <c r="AN53" i="18"/>
  <c r="CJ51" i="18"/>
  <c r="CT44" i="18"/>
  <c r="BR44" i="18"/>
  <c r="GH42" i="18"/>
  <c r="GH40" i="18"/>
  <c r="DL38" i="18"/>
  <c r="HF36" i="18"/>
  <c r="H36" i="27"/>
  <c r="H36" i="23" s="1"/>
  <c r="HT34" i="18"/>
  <c r="BV34" i="18"/>
  <c r="AD16" i="18"/>
  <c r="GD65" i="18"/>
  <c r="AD65" i="18"/>
  <c r="CT62" i="18"/>
  <c r="CJ62" i="18"/>
  <c r="BV60" i="18"/>
  <c r="BV59" i="18"/>
  <c r="AR59" i="18"/>
  <c r="AD57" i="18"/>
  <c r="F57" i="27"/>
  <c r="F57" i="23" s="1"/>
  <c r="AD56" i="18"/>
  <c r="HJ54" i="18"/>
  <c r="AR52" i="18"/>
  <c r="HX49" i="18"/>
  <c r="DL49" i="18"/>
  <c r="AD47" i="18"/>
  <c r="CX46" i="18"/>
  <c r="FR45" i="18"/>
  <c r="BF45" i="18"/>
  <c r="GV44" i="18"/>
  <c r="AD43" i="18"/>
  <c r="GH41" i="18"/>
  <c r="BV41" i="18"/>
  <c r="AD41" i="18"/>
  <c r="EP40" i="18"/>
  <c r="HX39" i="18"/>
  <c r="EP36" i="18"/>
  <c r="HJ34" i="18"/>
  <c r="AD34" i="18"/>
  <c r="BF33" i="18"/>
  <c r="BF32" i="18"/>
  <c r="DL30" i="18"/>
  <c r="GH28" i="18"/>
  <c r="FR25" i="18"/>
  <c r="DH24" i="18"/>
  <c r="BF16" i="18"/>
  <c r="EB15" i="18"/>
  <c r="DX15" i="18"/>
  <c r="GV14" i="18"/>
  <c r="GV3" i="18"/>
  <c r="Z64" i="18"/>
  <c r="G64" i="27"/>
  <c r="HF63" i="18"/>
  <c r="GD63" i="18"/>
  <c r="EL63" i="18"/>
  <c r="EQ63" i="18" s="1"/>
  <c r="AR63" i="18"/>
  <c r="EL62" i="18"/>
  <c r="EQ62" i="18" s="1"/>
  <c r="DH62" i="18"/>
  <c r="DL59" i="18"/>
  <c r="DL52" i="18"/>
  <c r="Z51" i="18"/>
  <c r="EP42" i="18"/>
  <c r="EP41" i="18"/>
  <c r="CT39" i="18"/>
  <c r="GH38" i="18"/>
  <c r="BV38" i="18"/>
  <c r="AD36" i="18"/>
  <c r="HJ35" i="18"/>
  <c r="FN35" i="18"/>
  <c r="CX7" i="18"/>
  <c r="BF6" i="18"/>
  <c r="K61" i="27"/>
  <c r="J61" i="23" s="1"/>
  <c r="EP65" i="18"/>
  <c r="E65" i="27"/>
  <c r="E65" i="23" s="1"/>
  <c r="CX64" i="18"/>
  <c r="F64" i="27"/>
  <c r="F64" i="23" s="1"/>
  <c r="AD59" i="18"/>
  <c r="GD58" i="18"/>
  <c r="AD58" i="18"/>
  <c r="AD52" i="18"/>
  <c r="DL51" i="18"/>
  <c r="GH50" i="18"/>
  <c r="DL44" i="18"/>
  <c r="G44" i="27"/>
  <c r="CJ44" i="18"/>
  <c r="E42" i="27"/>
  <c r="HJ40" i="18"/>
  <c r="DX40" i="18"/>
  <c r="CX40" i="18"/>
  <c r="BR40" i="18"/>
  <c r="CX39" i="18"/>
  <c r="FR38" i="18"/>
  <c r="CT38" i="18"/>
  <c r="BF37" i="18"/>
  <c r="AD37" i="18"/>
  <c r="E37" i="27"/>
  <c r="E37" i="23" s="1"/>
  <c r="GV24" i="18"/>
  <c r="EP21" i="18"/>
  <c r="FR7" i="18"/>
  <c r="GV5" i="18"/>
  <c r="CJ5" i="18"/>
  <c r="AR5" i="18"/>
  <c r="AR4" i="18"/>
  <c r="Z63" i="18"/>
  <c r="M56" i="27"/>
  <c r="P48" i="18"/>
  <c r="K48" i="27"/>
  <c r="J48" i="23" s="1"/>
  <c r="H46" i="27"/>
  <c r="H46" i="23" s="1"/>
  <c r="EB40" i="18"/>
  <c r="K65" i="27"/>
  <c r="J65" i="23" s="1"/>
  <c r="EZ64" i="18"/>
  <c r="EB64" i="18"/>
  <c r="DH64" i="18"/>
  <c r="CJ64" i="18"/>
  <c r="M64" i="27"/>
  <c r="L64" i="23" s="1"/>
  <c r="C64" i="27"/>
  <c r="F59" i="27"/>
  <c r="F59" i="23" s="1"/>
  <c r="E58" i="27"/>
  <c r="Z57" i="18"/>
  <c r="M57" i="27"/>
  <c r="L57" i="23" s="1"/>
  <c r="C57" i="27"/>
  <c r="L50" i="27"/>
  <c r="K50" i="23" s="1"/>
  <c r="B50" i="27"/>
  <c r="B50" i="23" s="1"/>
  <c r="P49" i="18"/>
  <c r="K49" i="27"/>
  <c r="J49" i="23" s="1"/>
  <c r="H44" i="27"/>
  <c r="H44" i="23" s="1"/>
  <c r="CX56" i="18"/>
  <c r="I47" i="27"/>
  <c r="I47" i="23" s="1"/>
  <c r="G45" i="27"/>
  <c r="GH65" i="18"/>
  <c r="DL65" i="18"/>
  <c r="AR65" i="18"/>
  <c r="I65" i="27"/>
  <c r="I65" i="23" s="1"/>
  <c r="HX64" i="18"/>
  <c r="FD64" i="18"/>
  <c r="BF59" i="18"/>
  <c r="CT57" i="18"/>
  <c r="F46" i="27"/>
  <c r="F46" i="23" s="1"/>
  <c r="L62" i="18"/>
  <c r="B62" i="27"/>
  <c r="I60" i="27"/>
  <c r="I60" i="23" s="1"/>
  <c r="H55" i="27"/>
  <c r="H55" i="23" s="1"/>
  <c r="M54" i="27"/>
  <c r="K53" i="27"/>
  <c r="J53" i="23" s="1"/>
  <c r="CF64" i="18"/>
  <c r="H65" i="27"/>
  <c r="H65" i="23" s="1"/>
  <c r="DX62" i="18"/>
  <c r="BF62" i="18"/>
  <c r="F62" i="27"/>
  <c r="F62" i="23" s="1"/>
  <c r="GD61" i="18"/>
  <c r="BF61" i="18"/>
  <c r="E61" i="27"/>
  <c r="E61" i="23" s="1"/>
  <c r="Z59" i="18"/>
  <c r="M59" i="27"/>
  <c r="L59" i="23" s="1"/>
  <c r="C59" i="27"/>
  <c r="C59" i="23" s="1"/>
  <c r="FR58" i="18"/>
  <c r="DX58" i="18"/>
  <c r="CT58" i="18"/>
  <c r="CF58" i="18"/>
  <c r="P58" i="18"/>
  <c r="L58" i="27"/>
  <c r="B58" i="27"/>
  <c r="B58" i="23" s="1"/>
  <c r="GR57" i="18"/>
  <c r="FN57" i="18"/>
  <c r="EB57" i="18"/>
  <c r="L62" i="27"/>
  <c r="G54" i="27"/>
  <c r="F52" i="27"/>
  <c r="F52" i="23" s="1"/>
  <c r="GH62" i="18"/>
  <c r="E56" i="27"/>
  <c r="E56" i="23" s="1"/>
  <c r="BB55" i="18"/>
  <c r="E64" i="27"/>
  <c r="C56" i="27"/>
  <c r="EL65" i="18"/>
  <c r="DX65" i="18"/>
  <c r="BR65" i="18"/>
  <c r="G65" i="27"/>
  <c r="G65" i="23" s="1"/>
  <c r="GD64" i="18"/>
  <c r="K63" i="27"/>
  <c r="J63" i="23" s="1"/>
  <c r="E62" i="27"/>
  <c r="Z61" i="18"/>
  <c r="M61" i="27"/>
  <c r="L61" i="23" s="1"/>
  <c r="C61" i="27"/>
  <c r="C61" i="23" s="1"/>
  <c r="DX60" i="18"/>
  <c r="P60" i="18"/>
  <c r="L60" i="27"/>
  <c r="K60" i="23" s="1"/>
  <c r="B60" i="27"/>
  <c r="GR59" i="18"/>
  <c r="EL55" i="18"/>
  <c r="DH55" i="18"/>
  <c r="BR55" i="18"/>
  <c r="AN55" i="18"/>
  <c r="K55" i="27"/>
  <c r="J55" i="23" s="1"/>
  <c r="I54" i="27"/>
  <c r="I54" i="23" s="1"/>
  <c r="M53" i="27"/>
  <c r="L53" i="23" s="1"/>
  <c r="C53" i="27"/>
  <c r="H52" i="27"/>
  <c r="H52" i="23" s="1"/>
  <c r="H63" i="27"/>
  <c r="H63" i="23" s="1"/>
  <c r="D54" i="27"/>
  <c r="AD64" i="18"/>
  <c r="GH63" i="18"/>
  <c r="GI63" i="18" s="1"/>
  <c r="DL63" i="18"/>
  <c r="D63" i="27"/>
  <c r="D63" i="23" s="1"/>
  <c r="G63" i="27"/>
  <c r="G63" i="23" s="1"/>
  <c r="FN62" i="18"/>
  <c r="B43" i="27"/>
  <c r="B43" i="23" s="1"/>
  <c r="L43" i="18"/>
  <c r="C41" i="27"/>
  <c r="C41" i="23" s="1"/>
  <c r="BF64" i="18"/>
  <c r="Z56" i="18"/>
  <c r="I63" i="27"/>
  <c r="I63" i="23" s="1"/>
  <c r="HX62" i="18"/>
  <c r="FN59" i="18"/>
  <c r="EB59" i="18"/>
  <c r="EP56" i="18"/>
  <c r="G56" i="27"/>
  <c r="G56" i="23" s="1"/>
  <c r="HJ55" i="18"/>
  <c r="EL54" i="18"/>
  <c r="DH54" i="18"/>
  <c r="CT54" i="18"/>
  <c r="AR54" i="18"/>
  <c r="D39" i="27"/>
  <c r="D39" i="23" s="1"/>
  <c r="L40" i="27"/>
  <c r="EP37" i="18"/>
  <c r="FN65" i="18"/>
  <c r="CT65" i="18"/>
  <c r="Z65" i="18"/>
  <c r="F65" i="27"/>
  <c r="F65" i="23" s="1"/>
  <c r="DL64" i="18"/>
  <c r="L64" i="27"/>
  <c r="B64" i="27"/>
  <c r="CT63" i="18"/>
  <c r="AD63" i="18"/>
  <c r="F63" i="27"/>
  <c r="F63" i="23" s="1"/>
  <c r="GD62" i="18"/>
  <c r="BR62" i="18"/>
  <c r="P62" i="18"/>
  <c r="K62" i="27"/>
  <c r="J62" i="23" s="1"/>
  <c r="GV61" i="18"/>
  <c r="FD61" i="18"/>
  <c r="FE61" i="18" s="1"/>
  <c r="BR61" i="18"/>
  <c r="AN61" i="18"/>
  <c r="I61" i="27"/>
  <c r="I61" i="23" s="1"/>
  <c r="HX60" i="18"/>
  <c r="AR60" i="18"/>
  <c r="FR56" i="18"/>
  <c r="DX56" i="18"/>
  <c r="CT56" i="18"/>
  <c r="P56" i="18"/>
  <c r="L56" i="27"/>
  <c r="K56" i="23" s="1"/>
  <c r="B56" i="27"/>
  <c r="GR55" i="18"/>
  <c r="F55" i="27"/>
  <c r="F55" i="23" s="1"/>
  <c r="AD54" i="18"/>
  <c r="E54" i="27"/>
  <c r="H53" i="27"/>
  <c r="H53" i="23" s="1"/>
  <c r="EB52" i="18"/>
  <c r="M52" i="27"/>
  <c r="L52" i="23" s="1"/>
  <c r="C52" i="27"/>
  <c r="BR51" i="18"/>
  <c r="AR50" i="18"/>
  <c r="H50" i="27"/>
  <c r="H50" i="23" s="1"/>
  <c r="BR49" i="18"/>
  <c r="G49" i="27"/>
  <c r="G49" i="23" s="1"/>
  <c r="F48" i="27"/>
  <c r="F48" i="23" s="1"/>
  <c r="E47" i="27"/>
  <c r="E47" i="23" s="1"/>
  <c r="BB46" i="18"/>
  <c r="M46" i="27"/>
  <c r="C46" i="27"/>
  <c r="DX45" i="18"/>
  <c r="L45" i="27"/>
  <c r="L45" i="18"/>
  <c r="B45" i="27"/>
  <c r="B45" i="23" s="1"/>
  <c r="Z43" i="18"/>
  <c r="AE43" i="18" s="1"/>
  <c r="G43" i="27"/>
  <c r="G43" i="23" s="1"/>
  <c r="I41" i="27"/>
  <c r="I41" i="23" s="1"/>
  <c r="HT40" i="18"/>
  <c r="BB40" i="18"/>
  <c r="M38" i="27"/>
  <c r="C38" i="27"/>
  <c r="C38" i="23" s="1"/>
  <c r="M37" i="27"/>
  <c r="L37" i="23" s="1"/>
  <c r="GV65" i="18"/>
  <c r="GW65" i="18" s="1"/>
  <c r="HJ64" i="18"/>
  <c r="HF64" i="18"/>
  <c r="GR64" i="18"/>
  <c r="AN64" i="18"/>
  <c r="K64" i="27"/>
  <c r="FR63" i="18"/>
  <c r="FN63" i="18"/>
  <c r="CX63" i="18"/>
  <c r="E63" i="27"/>
  <c r="E63" i="23" s="1"/>
  <c r="I62" i="27"/>
  <c r="I62" i="23" s="1"/>
  <c r="EL61" i="18"/>
  <c r="DH61" i="18"/>
  <c r="BV61" i="18"/>
  <c r="AR61" i="18"/>
  <c r="H61" i="27"/>
  <c r="H61" i="23" s="1"/>
  <c r="HF60" i="18"/>
  <c r="EP60" i="18"/>
  <c r="DL60" i="18"/>
  <c r="G60" i="27"/>
  <c r="HJ59" i="18"/>
  <c r="EL59" i="18"/>
  <c r="DH59" i="18"/>
  <c r="BR59" i="18"/>
  <c r="AN59" i="18"/>
  <c r="K59" i="27"/>
  <c r="J59" i="23" s="1"/>
  <c r="HT58" i="18"/>
  <c r="GV58" i="18"/>
  <c r="FD58" i="18"/>
  <c r="BR58" i="18"/>
  <c r="AN58" i="18"/>
  <c r="AS58" i="18" s="1"/>
  <c r="I58" i="27"/>
  <c r="I58" i="23" s="1"/>
  <c r="HX57" i="18"/>
  <c r="EL57" i="18"/>
  <c r="DH57" i="18"/>
  <c r="BR57" i="18"/>
  <c r="AN57" i="18"/>
  <c r="K57" i="27"/>
  <c r="J57" i="23" s="1"/>
  <c r="GV56" i="18"/>
  <c r="FN56" i="18"/>
  <c r="EB56" i="18"/>
  <c r="EC56" i="18" s="1"/>
  <c r="CJ56" i="18"/>
  <c r="CX54" i="18"/>
  <c r="HF50" i="18"/>
  <c r="EP50" i="18"/>
  <c r="BR50" i="18"/>
  <c r="G50" i="27"/>
  <c r="G50" i="23" s="1"/>
  <c r="EL49" i="18"/>
  <c r="DH49" i="18"/>
  <c r="DM49" i="18" s="1"/>
  <c r="F49" i="27"/>
  <c r="F49" i="23" s="1"/>
  <c r="H42" i="27"/>
  <c r="H42" i="23" s="1"/>
  <c r="HX41" i="18"/>
  <c r="BR41" i="18"/>
  <c r="AR41" i="18"/>
  <c r="H41" i="27"/>
  <c r="H41" i="23" s="1"/>
  <c r="BF38" i="18"/>
  <c r="P38" i="18"/>
  <c r="L38" i="27"/>
  <c r="B38" i="27"/>
  <c r="L38" i="18"/>
  <c r="HT37" i="18"/>
  <c r="G55" i="27"/>
  <c r="HX50" i="18"/>
  <c r="K42" i="27"/>
  <c r="J42" i="23" s="1"/>
  <c r="GV40" i="18"/>
  <c r="EZ40" i="18"/>
  <c r="M39" i="27"/>
  <c r="L39" i="23" s="1"/>
  <c r="P39" i="18"/>
  <c r="E2" i="27"/>
  <c r="HX65" i="18"/>
  <c r="HT65" i="18"/>
  <c r="EB65" i="18"/>
  <c r="EC65" i="18" s="1"/>
  <c r="DH65" i="18"/>
  <c r="BF65" i="18"/>
  <c r="BB65" i="18"/>
  <c r="AN65" i="18"/>
  <c r="M65" i="27"/>
  <c r="L65" i="23" s="1"/>
  <c r="C65" i="27"/>
  <c r="EP64" i="18"/>
  <c r="EL64" i="18"/>
  <c r="DX64" i="18"/>
  <c r="BV64" i="18"/>
  <c r="BR64" i="18"/>
  <c r="BB64" i="18"/>
  <c r="I64" i="27"/>
  <c r="I64" i="23" s="1"/>
  <c r="HX63" i="18"/>
  <c r="CF63" i="18"/>
  <c r="M63" i="27"/>
  <c r="L63" i="23" s="1"/>
  <c r="C63" i="27"/>
  <c r="C63" i="23" s="1"/>
  <c r="FR62" i="18"/>
  <c r="G61" i="27"/>
  <c r="G61" i="23" s="1"/>
  <c r="BB60" i="18"/>
  <c r="F60" i="27"/>
  <c r="F60" i="23" s="1"/>
  <c r="EQ59" i="18"/>
  <c r="I59" i="27"/>
  <c r="I59" i="23" s="1"/>
  <c r="EL58" i="18"/>
  <c r="DH58" i="18"/>
  <c r="H58" i="27"/>
  <c r="H58" i="23" s="1"/>
  <c r="HF57" i="18"/>
  <c r="I57" i="27"/>
  <c r="I57" i="23" s="1"/>
  <c r="I56" i="27"/>
  <c r="I56" i="23" s="1"/>
  <c r="FN55" i="18"/>
  <c r="EB55" i="18"/>
  <c r="CT55" i="18"/>
  <c r="CY55" i="18" s="1"/>
  <c r="M55" i="27"/>
  <c r="L55" i="23" s="1"/>
  <c r="C55" i="27"/>
  <c r="FR54" i="18"/>
  <c r="DX54" i="18"/>
  <c r="P54" i="18"/>
  <c r="L54" i="27"/>
  <c r="K54" i="23" s="1"/>
  <c r="L54" i="18"/>
  <c r="B54" i="27"/>
  <c r="B54" i="23" s="1"/>
  <c r="GR53" i="18"/>
  <c r="BF53" i="18"/>
  <c r="F53" i="27"/>
  <c r="F53" i="23" s="1"/>
  <c r="HJ52" i="18"/>
  <c r="EL52" i="18"/>
  <c r="DH52" i="18"/>
  <c r="BR52" i="18"/>
  <c r="AN52" i="18"/>
  <c r="AS52" i="18" s="1"/>
  <c r="K52" i="27"/>
  <c r="GR51" i="18"/>
  <c r="E51" i="27"/>
  <c r="E51" i="23" s="1"/>
  <c r="BB44" i="18"/>
  <c r="M44" i="27"/>
  <c r="L44" i="23" s="1"/>
  <c r="C44" i="27"/>
  <c r="C44" i="23" s="1"/>
  <c r="FR42" i="18"/>
  <c r="BR42" i="18"/>
  <c r="H40" i="27"/>
  <c r="H40" i="23" s="1"/>
  <c r="DH38" i="18"/>
  <c r="DM38" i="18" s="1"/>
  <c r="CJ38" i="18"/>
  <c r="K38" i="27"/>
  <c r="K45" i="27"/>
  <c r="J45" i="23" s="1"/>
  <c r="GH54" i="18"/>
  <c r="BB54" i="18"/>
  <c r="H51" i="27"/>
  <c r="H51" i="23" s="1"/>
  <c r="H49" i="27"/>
  <c r="H49" i="23" s="1"/>
  <c r="B40" i="27"/>
  <c r="C39" i="27"/>
  <c r="FD65" i="18"/>
  <c r="EZ65" i="18"/>
  <c r="CJ65" i="18"/>
  <c r="CF65" i="18"/>
  <c r="P65" i="18"/>
  <c r="L65" i="27"/>
  <c r="K65" i="23" s="1"/>
  <c r="L65" i="18"/>
  <c r="B65" i="27"/>
  <c r="B65" i="23" s="1"/>
  <c r="FN64" i="18"/>
  <c r="FS64" i="18" s="1"/>
  <c r="CT64" i="18"/>
  <c r="H64" i="27"/>
  <c r="H64" i="23" s="1"/>
  <c r="FD63" i="18"/>
  <c r="CJ63" i="18"/>
  <c r="P63" i="18"/>
  <c r="L63" i="27"/>
  <c r="K63" i="23" s="1"/>
  <c r="B63" i="27"/>
  <c r="B63" i="23" s="1"/>
  <c r="L63" i="18"/>
  <c r="D62" i="27"/>
  <c r="D62" i="23" s="1"/>
  <c r="G62" i="27"/>
  <c r="G62" i="23" s="1"/>
  <c r="HJ61" i="18"/>
  <c r="BB61" i="18"/>
  <c r="F61" i="27"/>
  <c r="F61" i="23" s="1"/>
  <c r="GD60" i="18"/>
  <c r="BF60" i="18"/>
  <c r="AD60" i="18"/>
  <c r="E60" i="27"/>
  <c r="GD59" i="18"/>
  <c r="H59" i="27"/>
  <c r="H59" i="23" s="1"/>
  <c r="HF58" i="18"/>
  <c r="EP58" i="18"/>
  <c r="DL58" i="18"/>
  <c r="G58" i="27"/>
  <c r="G58" i="23" s="1"/>
  <c r="HJ57" i="18"/>
  <c r="GH57" i="18"/>
  <c r="H57" i="27"/>
  <c r="H57" i="23" s="1"/>
  <c r="HF56" i="18"/>
  <c r="BV56" i="18"/>
  <c r="CJ54" i="18"/>
  <c r="K54" i="27"/>
  <c r="DX53" i="18"/>
  <c r="EC53" i="18" s="1"/>
  <c r="E53" i="27"/>
  <c r="E53" i="23" s="1"/>
  <c r="EP52" i="18"/>
  <c r="EQ52" i="18" s="1"/>
  <c r="BV52" i="18"/>
  <c r="Z52" i="18"/>
  <c r="AE52" i="18" s="1"/>
  <c r="I52" i="27"/>
  <c r="I52" i="23" s="1"/>
  <c r="HT51" i="18"/>
  <c r="GD51" i="18"/>
  <c r="DX51" i="18"/>
  <c r="BB51" i="18"/>
  <c r="M51" i="27"/>
  <c r="L51" i="23" s="1"/>
  <c r="C51" i="27"/>
  <c r="C51" i="23" s="1"/>
  <c r="G40" i="27"/>
  <c r="G40" i="23" s="1"/>
  <c r="DH39" i="18"/>
  <c r="H39" i="27"/>
  <c r="H39" i="23" s="1"/>
  <c r="I37" i="27"/>
  <c r="I37" i="23" s="1"/>
  <c r="G35" i="27"/>
  <c r="G35" i="23" s="1"/>
  <c r="G34" i="27"/>
  <c r="M62" i="27"/>
  <c r="L62" i="23" s="1"/>
  <c r="C62" i="27"/>
  <c r="C62" i="23" s="1"/>
  <c r="FR61" i="18"/>
  <c r="FS61" i="18" s="1"/>
  <c r="DX61" i="18"/>
  <c r="EC61" i="18" s="1"/>
  <c r="CT61" i="18"/>
  <c r="CF61" i="18"/>
  <c r="CK61" i="18" s="1"/>
  <c r="P61" i="18"/>
  <c r="L61" i="27"/>
  <c r="L61" i="18"/>
  <c r="B61" i="27"/>
  <c r="B61" i="23" s="1"/>
  <c r="GR60" i="18"/>
  <c r="GW60" i="18" s="1"/>
  <c r="FN60" i="18"/>
  <c r="EB60" i="18"/>
  <c r="CT60" i="18"/>
  <c r="Z60" i="18"/>
  <c r="M60" i="27"/>
  <c r="C60" i="27"/>
  <c r="C60" i="23" s="1"/>
  <c r="BB59" i="18"/>
  <c r="G59" i="27"/>
  <c r="G59" i="23" s="1"/>
  <c r="HJ58" i="18"/>
  <c r="GH58" i="18"/>
  <c r="BB58" i="18"/>
  <c r="F58" i="27"/>
  <c r="F58" i="23" s="1"/>
  <c r="GD57" i="18"/>
  <c r="BB57" i="18"/>
  <c r="G57" i="27"/>
  <c r="G57" i="23" s="1"/>
  <c r="HJ56" i="18"/>
  <c r="HK56" i="18" s="1"/>
  <c r="EL56" i="18"/>
  <c r="EQ56" i="18" s="1"/>
  <c r="DH56" i="18"/>
  <c r="BR56" i="18"/>
  <c r="AN56" i="18"/>
  <c r="AS56" i="18" s="1"/>
  <c r="K56" i="27"/>
  <c r="GV55" i="18"/>
  <c r="DX55" i="18"/>
  <c r="E55" i="27"/>
  <c r="E55" i="23" s="1"/>
  <c r="H54" i="27"/>
  <c r="H54" i="23" s="1"/>
  <c r="HF53" i="18"/>
  <c r="FD53" i="18"/>
  <c r="CJ53" i="18"/>
  <c r="P53" i="18"/>
  <c r="L53" i="27"/>
  <c r="K53" i="23" s="1"/>
  <c r="B53" i="27"/>
  <c r="B53" i="23" s="1"/>
  <c r="L53" i="18"/>
  <c r="BB52" i="18"/>
  <c r="BG52" i="18" s="1"/>
  <c r="G52" i="27"/>
  <c r="G52" i="23" s="1"/>
  <c r="HF51" i="18"/>
  <c r="HK51" i="18" s="1"/>
  <c r="FD51" i="18"/>
  <c r="L51" i="27"/>
  <c r="B51" i="27"/>
  <c r="B51" i="23" s="1"/>
  <c r="L51" i="18"/>
  <c r="GR50" i="18"/>
  <c r="GW50" i="18" s="1"/>
  <c r="F50" i="27"/>
  <c r="F50" i="23" s="1"/>
  <c r="HF49" i="18"/>
  <c r="E49" i="27"/>
  <c r="E49" i="23" s="1"/>
  <c r="E44" i="27"/>
  <c r="E44" i="23" s="1"/>
  <c r="HJ43" i="18"/>
  <c r="FN43" i="18"/>
  <c r="FS43" i="18" s="1"/>
  <c r="DL43" i="18"/>
  <c r="CT43" i="18"/>
  <c r="FR41" i="18"/>
  <c r="EL41" i="18"/>
  <c r="G41" i="27"/>
  <c r="G41" i="23" s="1"/>
  <c r="EL40" i="18"/>
  <c r="E39" i="27"/>
  <c r="E39" i="23" s="1"/>
  <c r="EL38" i="18"/>
  <c r="I38" i="27"/>
  <c r="I38" i="23" s="1"/>
  <c r="K37" i="27"/>
  <c r="J37" i="23" s="1"/>
  <c r="I36" i="27"/>
  <c r="I36" i="23" s="1"/>
  <c r="H35" i="27"/>
  <c r="H35" i="23" s="1"/>
  <c r="H34" i="27"/>
  <c r="H34" i="23" s="1"/>
  <c r="G33" i="27"/>
  <c r="G33" i="23" s="1"/>
  <c r="AD13" i="18"/>
  <c r="EL60" i="18"/>
  <c r="DH60" i="18"/>
  <c r="BR60" i="18"/>
  <c r="AN60" i="18"/>
  <c r="K60" i="27"/>
  <c r="J60" i="23" s="1"/>
  <c r="HT59" i="18"/>
  <c r="GV59" i="18"/>
  <c r="DX59" i="18"/>
  <c r="E59" i="27"/>
  <c r="E59" i="23" s="1"/>
  <c r="CX58" i="18"/>
  <c r="CY58" i="18" s="1"/>
  <c r="Z58" i="18"/>
  <c r="AE58" i="18" s="1"/>
  <c r="M58" i="27"/>
  <c r="L58" i="23" s="1"/>
  <c r="C58" i="27"/>
  <c r="FR57" i="18"/>
  <c r="DX57" i="18"/>
  <c r="E57" i="27"/>
  <c r="E57" i="23" s="1"/>
  <c r="GD56" i="18"/>
  <c r="H56" i="27"/>
  <c r="H56" i="23" s="1"/>
  <c r="HF55" i="18"/>
  <c r="FD55" i="18"/>
  <c r="CJ55" i="18"/>
  <c r="P55" i="18"/>
  <c r="L55" i="27"/>
  <c r="K55" i="23" s="1"/>
  <c r="B55" i="27"/>
  <c r="B55" i="23" s="1"/>
  <c r="L55" i="18"/>
  <c r="GR54" i="18"/>
  <c r="GW54" i="18" s="1"/>
  <c r="BF54" i="18"/>
  <c r="BG54" i="18" s="1"/>
  <c r="Z54" i="18"/>
  <c r="F54" i="27"/>
  <c r="F54" i="23" s="1"/>
  <c r="EP53" i="18"/>
  <c r="EQ53" i="18" s="1"/>
  <c r="DL53" i="18"/>
  <c r="CT53" i="18"/>
  <c r="BV53" i="18"/>
  <c r="BW53" i="18" s="1"/>
  <c r="AR53" i="18"/>
  <c r="Z53" i="18"/>
  <c r="AE53" i="18" s="1"/>
  <c r="I53" i="27"/>
  <c r="I53" i="23" s="1"/>
  <c r="HT52" i="18"/>
  <c r="GV52" i="18"/>
  <c r="GD52" i="18"/>
  <c r="DX52" i="18"/>
  <c r="E52" i="27"/>
  <c r="E52" i="23" s="1"/>
  <c r="FN51" i="18"/>
  <c r="EP51" i="18"/>
  <c r="DH51" i="18"/>
  <c r="DM51" i="18" s="1"/>
  <c r="CT51" i="18"/>
  <c r="CY51" i="18" s="1"/>
  <c r="I51" i="27"/>
  <c r="I51" i="23" s="1"/>
  <c r="BB50" i="18"/>
  <c r="M50" i="27"/>
  <c r="L50" i="23" s="1"/>
  <c r="C50" i="27"/>
  <c r="C50" i="23" s="1"/>
  <c r="DX49" i="18"/>
  <c r="EC49" i="18" s="1"/>
  <c r="L49" i="27"/>
  <c r="K49" i="23" s="1"/>
  <c r="B49" i="27"/>
  <c r="B49" i="23" s="1"/>
  <c r="L49" i="18"/>
  <c r="L48" i="27"/>
  <c r="K48" i="23" s="1"/>
  <c r="B48" i="27"/>
  <c r="B48" i="23" s="1"/>
  <c r="P47" i="18"/>
  <c r="K47" i="27"/>
  <c r="J47" i="23" s="1"/>
  <c r="AN46" i="18"/>
  <c r="I46" i="27"/>
  <c r="I46" i="23" s="1"/>
  <c r="DH45" i="18"/>
  <c r="DM45" i="18" s="1"/>
  <c r="H45" i="27"/>
  <c r="H45" i="23" s="1"/>
  <c r="GD44" i="18"/>
  <c r="GI44" i="18" s="1"/>
  <c r="P44" i="18"/>
  <c r="L44" i="27"/>
  <c r="K44" i="23" s="1"/>
  <c r="B44" i="27"/>
  <c r="B44" i="23" s="1"/>
  <c r="CX42" i="18"/>
  <c r="BV42" i="18"/>
  <c r="BB42" i="18"/>
  <c r="I42" i="27"/>
  <c r="I42" i="23" s="1"/>
  <c r="GD41" i="18"/>
  <c r="HF40" i="18"/>
  <c r="HK40" i="18" s="1"/>
  <c r="Z40" i="18"/>
  <c r="FD39" i="18"/>
  <c r="FE39" i="18" s="1"/>
  <c r="L39" i="27"/>
  <c r="K39" i="23" s="1"/>
  <c r="B39" i="27"/>
  <c r="B39" i="23" s="1"/>
  <c r="L39" i="18"/>
  <c r="Q39" i="18" s="1"/>
  <c r="G38" i="27"/>
  <c r="DL37" i="18"/>
  <c r="H37" i="27"/>
  <c r="H37" i="23" s="1"/>
  <c r="HX36" i="18"/>
  <c r="E33" i="27"/>
  <c r="E33" i="23" s="1"/>
  <c r="H62" i="27"/>
  <c r="H62" i="23" s="1"/>
  <c r="HX61" i="18"/>
  <c r="EP61" i="18"/>
  <c r="EQ61" i="18" s="1"/>
  <c r="DL61" i="18"/>
  <c r="D61" i="27"/>
  <c r="D61" i="23" s="1"/>
  <c r="HJ60" i="18"/>
  <c r="GH60" i="18"/>
  <c r="H60" i="27"/>
  <c r="H60" i="23" s="1"/>
  <c r="HF59" i="18"/>
  <c r="FD59" i="18"/>
  <c r="CJ59" i="18"/>
  <c r="P59" i="18"/>
  <c r="L59" i="27"/>
  <c r="K59" i="23" s="1"/>
  <c r="B59" i="27"/>
  <c r="B59" i="23" s="1"/>
  <c r="L59" i="18"/>
  <c r="GR58" i="18"/>
  <c r="GW58" i="18" s="1"/>
  <c r="FN58" i="18"/>
  <c r="EZ58" i="18"/>
  <c r="EB58" i="18"/>
  <c r="CJ58" i="18"/>
  <c r="K58" i="27"/>
  <c r="J58" i="23" s="1"/>
  <c r="GV57" i="18"/>
  <c r="FD57" i="18"/>
  <c r="CJ57" i="18"/>
  <c r="P57" i="18"/>
  <c r="L57" i="27"/>
  <c r="K57" i="23" s="1"/>
  <c r="B57" i="27"/>
  <c r="B57" i="23" s="1"/>
  <c r="L57" i="18"/>
  <c r="GR56" i="18"/>
  <c r="BF56" i="18"/>
  <c r="F56" i="27"/>
  <c r="F56" i="23" s="1"/>
  <c r="EP55" i="18"/>
  <c r="DL55" i="18"/>
  <c r="DM55" i="18" s="1"/>
  <c r="BV55" i="18"/>
  <c r="AR55" i="18"/>
  <c r="Z55" i="18"/>
  <c r="I55" i="27"/>
  <c r="I55" i="23" s="1"/>
  <c r="HX54" i="18"/>
  <c r="EB54" i="18"/>
  <c r="EC54" i="18" s="1"/>
  <c r="C54" i="27"/>
  <c r="BB53" i="18"/>
  <c r="G53" i="27"/>
  <c r="G53" i="23" s="1"/>
  <c r="HF52" i="18"/>
  <c r="HK52" i="18" s="1"/>
  <c r="FD52" i="18"/>
  <c r="CJ52" i="18"/>
  <c r="P52" i="18"/>
  <c r="L52" i="27"/>
  <c r="K52" i="23" s="1"/>
  <c r="B52" i="27"/>
  <c r="B52" i="23" s="1"/>
  <c r="BV51" i="18"/>
  <c r="AD51" i="18"/>
  <c r="AE51" i="18" s="1"/>
  <c r="G51" i="27"/>
  <c r="G51" i="23" s="1"/>
  <c r="DH50" i="18"/>
  <c r="K50" i="27"/>
  <c r="J50" i="23" s="1"/>
  <c r="P50" i="18"/>
  <c r="GV49" i="18"/>
  <c r="CJ49" i="18"/>
  <c r="AN49" i="18"/>
  <c r="I49" i="27"/>
  <c r="I49" i="23" s="1"/>
  <c r="EZ48" i="18"/>
  <c r="CJ48" i="18"/>
  <c r="CK48" i="18" s="1"/>
  <c r="AN48" i="18"/>
  <c r="I48" i="27"/>
  <c r="I48" i="23" s="1"/>
  <c r="FD47" i="18"/>
  <c r="FE47" i="18" s="1"/>
  <c r="H47" i="27"/>
  <c r="H47" i="23" s="1"/>
  <c r="HX46" i="18"/>
  <c r="DL46" i="18"/>
  <c r="D46" i="27"/>
  <c r="D46" i="23" s="1"/>
  <c r="G46" i="27"/>
  <c r="G46" i="23" s="1"/>
  <c r="GH45" i="18"/>
  <c r="EL45" i="18"/>
  <c r="F45" i="27"/>
  <c r="F45" i="23" s="1"/>
  <c r="HF44" i="18"/>
  <c r="HF43" i="18"/>
  <c r="M43" i="27"/>
  <c r="L43" i="23" s="1"/>
  <c r="C43" i="27"/>
  <c r="C43" i="23" s="1"/>
  <c r="EL42" i="18"/>
  <c r="EQ42" i="18" s="1"/>
  <c r="L41" i="27"/>
  <c r="K41" i="23" s="1"/>
  <c r="F40" i="27"/>
  <c r="F40" i="23" s="1"/>
  <c r="G36" i="27"/>
  <c r="G36" i="23" s="1"/>
  <c r="E36" i="27"/>
  <c r="E36" i="23" s="1"/>
  <c r="M35" i="27"/>
  <c r="L35" i="23" s="1"/>
  <c r="C35" i="27"/>
  <c r="C35" i="23" s="1"/>
  <c r="M34" i="27"/>
  <c r="C34" i="27"/>
  <c r="C34" i="23" s="1"/>
  <c r="P32" i="18"/>
  <c r="L32" i="27"/>
  <c r="K32" i="23" s="1"/>
  <c r="B32" i="27"/>
  <c r="B32" i="23" s="1"/>
  <c r="EL51" i="18"/>
  <c r="P51" i="18"/>
  <c r="K51" i="27"/>
  <c r="J51" i="23" s="1"/>
  <c r="I50" i="27"/>
  <c r="I50" i="23" s="1"/>
  <c r="FD49" i="18"/>
  <c r="HX48" i="18"/>
  <c r="FD48" i="18"/>
  <c r="H48" i="27"/>
  <c r="H48" i="23" s="1"/>
  <c r="HX47" i="18"/>
  <c r="GD47" i="18"/>
  <c r="DL47" i="18"/>
  <c r="G47" i="27"/>
  <c r="G47" i="23" s="1"/>
  <c r="GH46" i="18"/>
  <c r="HF45" i="18"/>
  <c r="AD45" i="18"/>
  <c r="E45" i="27"/>
  <c r="E45" i="23" s="1"/>
  <c r="HJ44" i="18"/>
  <c r="GR44" i="18"/>
  <c r="GW44" i="18" s="1"/>
  <c r="FR44" i="18"/>
  <c r="BV44" i="18"/>
  <c r="AR44" i="18"/>
  <c r="K44" i="27"/>
  <c r="J44" i="23" s="1"/>
  <c r="GV43" i="18"/>
  <c r="I43" i="27"/>
  <c r="I43" i="23" s="1"/>
  <c r="GD42" i="18"/>
  <c r="G42" i="27"/>
  <c r="G42" i="23" s="1"/>
  <c r="EB41" i="18"/>
  <c r="CF41" i="18"/>
  <c r="F41" i="27"/>
  <c r="F41" i="23" s="1"/>
  <c r="E40" i="27"/>
  <c r="E40" i="23" s="1"/>
  <c r="CJ39" i="18"/>
  <c r="AN39" i="18"/>
  <c r="K39" i="27"/>
  <c r="J39" i="23" s="1"/>
  <c r="AN38" i="18"/>
  <c r="HX37" i="18"/>
  <c r="HF37" i="18"/>
  <c r="GR37" i="18"/>
  <c r="BV37" i="18"/>
  <c r="D37" i="27"/>
  <c r="D37" i="23" s="1"/>
  <c r="G37" i="27"/>
  <c r="G37" i="23" s="1"/>
  <c r="HT36" i="18"/>
  <c r="BV36" i="18"/>
  <c r="BV35" i="18"/>
  <c r="GH34" i="18"/>
  <c r="EP34" i="18"/>
  <c r="EP33" i="18"/>
  <c r="CT33" i="18"/>
  <c r="AD33" i="18"/>
  <c r="HJ32" i="18"/>
  <c r="E32" i="27"/>
  <c r="E32" i="23" s="1"/>
  <c r="FN31" i="18"/>
  <c r="EB31" i="18"/>
  <c r="EB29" i="18"/>
  <c r="GV28" i="18"/>
  <c r="DX25" i="18"/>
  <c r="FR23" i="18"/>
  <c r="AN23" i="18"/>
  <c r="FR21" i="18"/>
  <c r="BF21" i="18"/>
  <c r="GV20" i="18"/>
  <c r="CF20" i="18"/>
  <c r="EZ19" i="18"/>
  <c r="HF18" i="18"/>
  <c r="CX15" i="18"/>
  <c r="CT15" i="18"/>
  <c r="HT8" i="18"/>
  <c r="HY8" i="18" s="1"/>
  <c r="AR8" i="18"/>
  <c r="GH48" i="18"/>
  <c r="G48" i="27"/>
  <c r="G48" i="23" s="1"/>
  <c r="GH47" i="18"/>
  <c r="BV47" i="18"/>
  <c r="Z47" i="18"/>
  <c r="F47" i="27"/>
  <c r="F47" i="23" s="1"/>
  <c r="HF46" i="18"/>
  <c r="AD46" i="18"/>
  <c r="E46" i="27"/>
  <c r="HJ45" i="18"/>
  <c r="CX45" i="18"/>
  <c r="BB45" i="18"/>
  <c r="M45" i="27"/>
  <c r="L45" i="23" s="1"/>
  <c r="C45" i="27"/>
  <c r="C45" i="23" s="1"/>
  <c r="I44" i="27"/>
  <c r="I44" i="23" s="1"/>
  <c r="BR43" i="18"/>
  <c r="BW43" i="18" s="1"/>
  <c r="H43" i="27"/>
  <c r="H43" i="23" s="1"/>
  <c r="HX42" i="18"/>
  <c r="HF42" i="18"/>
  <c r="HK42" i="18" s="1"/>
  <c r="F42" i="27"/>
  <c r="F42" i="23" s="1"/>
  <c r="FD41" i="18"/>
  <c r="E41" i="27"/>
  <c r="E41" i="23" s="1"/>
  <c r="CJ40" i="18"/>
  <c r="M40" i="27"/>
  <c r="L40" i="23" s="1"/>
  <c r="C40" i="27"/>
  <c r="FN39" i="18"/>
  <c r="EP39" i="18"/>
  <c r="BV39" i="18"/>
  <c r="I39" i="27"/>
  <c r="I39" i="23" s="1"/>
  <c r="GV38" i="18"/>
  <c r="GW38" i="18" s="1"/>
  <c r="AR38" i="18"/>
  <c r="AS38" i="18" s="1"/>
  <c r="H38" i="27"/>
  <c r="H38" i="23" s="1"/>
  <c r="Z37" i="18"/>
  <c r="AE37" i="18" s="1"/>
  <c r="GH36" i="18"/>
  <c r="EP35" i="18"/>
  <c r="CT35" i="18"/>
  <c r="AD35" i="18"/>
  <c r="E34" i="27"/>
  <c r="E34" i="23" s="1"/>
  <c r="HJ33" i="18"/>
  <c r="FN33" i="18"/>
  <c r="M33" i="27"/>
  <c r="L33" i="23" s="1"/>
  <c r="C33" i="27"/>
  <c r="C33" i="23" s="1"/>
  <c r="M32" i="27"/>
  <c r="L32" i="23" s="1"/>
  <c r="C32" i="27"/>
  <c r="C32" i="23" s="1"/>
  <c r="GV31" i="18"/>
  <c r="GR25" i="18"/>
  <c r="GW25" i="18" s="1"/>
  <c r="EL25" i="18"/>
  <c r="BB23" i="18"/>
  <c r="GD21" i="18"/>
  <c r="CJ20" i="18"/>
  <c r="CK20" i="18" s="1"/>
  <c r="BV17" i="18"/>
  <c r="CX14" i="18"/>
  <c r="EB11" i="18"/>
  <c r="GV10" i="18"/>
  <c r="CJ10" i="18"/>
  <c r="AN10" i="18"/>
  <c r="I10" i="27"/>
  <c r="AR9" i="18"/>
  <c r="H9" i="27"/>
  <c r="L33" i="18"/>
  <c r="D59" i="27"/>
  <c r="D59" i="23" s="1"/>
  <c r="D51" i="27"/>
  <c r="D51" i="23" s="1"/>
  <c r="D43" i="27"/>
  <c r="D43" i="23" s="1"/>
  <c r="D35" i="27"/>
  <c r="D35" i="23" s="1"/>
  <c r="K31" i="27"/>
  <c r="AR29" i="18"/>
  <c r="FD28" i="18"/>
  <c r="EB23" i="18"/>
  <c r="AD48" i="18"/>
  <c r="E48" i="27"/>
  <c r="E48" i="23" s="1"/>
  <c r="HJ47" i="18"/>
  <c r="CX47" i="18"/>
  <c r="M47" i="27"/>
  <c r="L47" i="23" s="1"/>
  <c r="C47" i="27"/>
  <c r="C47" i="23" s="1"/>
  <c r="FR46" i="18"/>
  <c r="DX46" i="18"/>
  <c r="BF46" i="18"/>
  <c r="L46" i="27"/>
  <c r="K46" i="23" s="1"/>
  <c r="B46" i="27"/>
  <c r="B46" i="23" s="1"/>
  <c r="L46" i="18"/>
  <c r="GR45" i="18"/>
  <c r="EB45" i="18"/>
  <c r="P45" i="18"/>
  <c r="FN44" i="18"/>
  <c r="AD44" i="18"/>
  <c r="AE44" i="18" s="1"/>
  <c r="F43" i="27"/>
  <c r="F43" i="23" s="1"/>
  <c r="M42" i="27"/>
  <c r="L42" i="23" s="1"/>
  <c r="C42" i="27"/>
  <c r="C42" i="23" s="1"/>
  <c r="FN41" i="18"/>
  <c r="DL41" i="18"/>
  <c r="L41" i="18"/>
  <c r="B41" i="27"/>
  <c r="B41" i="23" s="1"/>
  <c r="CT40" i="18"/>
  <c r="P40" i="18"/>
  <c r="K40" i="27"/>
  <c r="J40" i="23" s="1"/>
  <c r="EB39" i="18"/>
  <c r="G39" i="27"/>
  <c r="G39" i="23" s="1"/>
  <c r="EZ38" i="18"/>
  <c r="DX38" i="18"/>
  <c r="CX38" i="18"/>
  <c r="CY38" i="18" s="1"/>
  <c r="BB38" i="18"/>
  <c r="Z38" i="18"/>
  <c r="F38" i="27"/>
  <c r="F38" i="23" s="1"/>
  <c r="HJ37" i="18"/>
  <c r="EZ37" i="18"/>
  <c r="EL37" i="18"/>
  <c r="C37" i="27"/>
  <c r="C37" i="23" s="1"/>
  <c r="M36" i="27"/>
  <c r="L36" i="23" s="1"/>
  <c r="C36" i="27"/>
  <c r="C36" i="23" s="1"/>
  <c r="L35" i="27"/>
  <c r="K35" i="23" s="1"/>
  <c r="BF34" i="18"/>
  <c r="L34" i="27"/>
  <c r="K34" i="23" s="1"/>
  <c r="B34" i="27"/>
  <c r="B34" i="23" s="1"/>
  <c r="CJ32" i="18"/>
  <c r="HX20" i="18"/>
  <c r="BV19" i="18"/>
  <c r="EP18" i="18"/>
  <c r="HJ17" i="18"/>
  <c r="FN17" i="18"/>
  <c r="DX16" i="18"/>
  <c r="D65" i="27"/>
  <c r="D65" i="23" s="1"/>
  <c r="D57" i="27"/>
  <c r="D57" i="23" s="1"/>
  <c r="D49" i="27"/>
  <c r="D49" i="23" s="1"/>
  <c r="D41" i="27"/>
  <c r="D41" i="23" s="1"/>
  <c r="D33" i="27"/>
  <c r="D33" i="23" s="1"/>
  <c r="F51" i="27"/>
  <c r="F51" i="23" s="1"/>
  <c r="FD50" i="18"/>
  <c r="DX50" i="18"/>
  <c r="CJ50" i="18"/>
  <c r="CF50" i="18"/>
  <c r="BF50" i="18"/>
  <c r="E50" i="27"/>
  <c r="E50" i="23" s="1"/>
  <c r="CX49" i="18"/>
  <c r="BB49" i="18"/>
  <c r="M49" i="27"/>
  <c r="L49" i="23" s="1"/>
  <c r="C49" i="27"/>
  <c r="C49" i="23" s="1"/>
  <c r="BB48" i="18"/>
  <c r="M48" i="27"/>
  <c r="L48" i="23" s="1"/>
  <c r="C48" i="27"/>
  <c r="C48" i="23" s="1"/>
  <c r="FR47" i="18"/>
  <c r="DX47" i="18"/>
  <c r="L47" i="27"/>
  <c r="K47" i="23" s="1"/>
  <c r="B47" i="27"/>
  <c r="B47" i="23" s="1"/>
  <c r="L47" i="18"/>
  <c r="GR46" i="18"/>
  <c r="GW46" i="18" s="1"/>
  <c r="EB46" i="18"/>
  <c r="P46" i="18"/>
  <c r="K46" i="27"/>
  <c r="J46" i="23" s="1"/>
  <c r="GV45" i="18"/>
  <c r="CJ45" i="18"/>
  <c r="AN45" i="18"/>
  <c r="AS45" i="18" s="1"/>
  <c r="I45" i="27"/>
  <c r="I45" i="23" s="1"/>
  <c r="HT44" i="18"/>
  <c r="HY44" i="18" s="1"/>
  <c r="DH44" i="18"/>
  <c r="F44" i="27"/>
  <c r="F44" i="23" s="1"/>
  <c r="FD43" i="18"/>
  <c r="EL43" i="18"/>
  <c r="CJ43" i="18"/>
  <c r="E43" i="27"/>
  <c r="E43" i="23" s="1"/>
  <c r="FN42" i="18"/>
  <c r="DL42" i="18"/>
  <c r="CT42" i="18"/>
  <c r="L42" i="27"/>
  <c r="K42" i="23" s="1"/>
  <c r="B42" i="27"/>
  <c r="B42" i="23" s="1"/>
  <c r="HF41" i="18"/>
  <c r="CX41" i="18"/>
  <c r="K41" i="27"/>
  <c r="J41" i="23" s="1"/>
  <c r="AR40" i="18"/>
  <c r="I40" i="27"/>
  <c r="I40" i="23" s="1"/>
  <c r="GV39" i="18"/>
  <c r="BF39" i="18"/>
  <c r="AD39" i="18"/>
  <c r="F39" i="27"/>
  <c r="F39" i="23" s="1"/>
  <c r="HF38" i="18"/>
  <c r="GD38" i="18"/>
  <c r="GI38" i="18" s="1"/>
  <c r="EB38" i="18"/>
  <c r="CF38" i="18"/>
  <c r="AD38" i="18"/>
  <c r="E38" i="27"/>
  <c r="E38" i="23" s="1"/>
  <c r="GH37" i="18"/>
  <c r="BF36" i="18"/>
  <c r="L36" i="27"/>
  <c r="K36" i="23" s="1"/>
  <c r="B36" i="27"/>
  <c r="B36" i="23" s="1"/>
  <c r="I33" i="27"/>
  <c r="I33" i="23" s="1"/>
  <c r="HX32" i="18"/>
  <c r="FD32" i="18"/>
  <c r="DL32" i="18"/>
  <c r="I32" i="27"/>
  <c r="I32" i="23" s="1"/>
  <c r="DL29" i="18"/>
  <c r="EB25" i="18"/>
  <c r="GV23" i="18"/>
  <c r="EZ23" i="18"/>
  <c r="GH21" i="18"/>
  <c r="GI21" i="18" s="1"/>
  <c r="CF4" i="18"/>
  <c r="I35" i="27"/>
  <c r="I35" i="23" s="1"/>
  <c r="FD34" i="18"/>
  <c r="DL34" i="18"/>
  <c r="I34" i="27"/>
  <c r="I34" i="23" s="1"/>
  <c r="H33" i="27"/>
  <c r="H33" i="23" s="1"/>
  <c r="HF32" i="18"/>
  <c r="H32" i="27"/>
  <c r="H32" i="23" s="1"/>
  <c r="D55" i="27"/>
  <c r="D55" i="23" s="1"/>
  <c r="D47" i="27"/>
  <c r="D47" i="23" s="1"/>
  <c r="F37" i="27"/>
  <c r="F37" i="23" s="1"/>
  <c r="GD36" i="18"/>
  <c r="EZ36" i="18"/>
  <c r="FE36" i="18" s="1"/>
  <c r="CF36" i="18"/>
  <c r="CK36" i="18" s="1"/>
  <c r="AR36" i="18"/>
  <c r="AN36" i="18"/>
  <c r="P36" i="18"/>
  <c r="K36" i="27"/>
  <c r="J36" i="23" s="1"/>
  <c r="GV35" i="18"/>
  <c r="FR35" i="18"/>
  <c r="FS35" i="18" s="1"/>
  <c r="EB35" i="18"/>
  <c r="CX35" i="18"/>
  <c r="Z35" i="18"/>
  <c r="F35" i="27"/>
  <c r="F35" i="23" s="1"/>
  <c r="GD34" i="18"/>
  <c r="EZ34" i="18"/>
  <c r="CF34" i="18"/>
  <c r="CK34" i="18" s="1"/>
  <c r="AR34" i="18"/>
  <c r="AN34" i="18"/>
  <c r="P34" i="18"/>
  <c r="K34" i="27"/>
  <c r="J34" i="23" s="1"/>
  <c r="GV33" i="18"/>
  <c r="FR33" i="18"/>
  <c r="EB33" i="18"/>
  <c r="CX33" i="18"/>
  <c r="Z33" i="18"/>
  <c r="F33" i="27"/>
  <c r="F33" i="23" s="1"/>
  <c r="GD32" i="18"/>
  <c r="EZ32" i="18"/>
  <c r="CF32" i="18"/>
  <c r="AR32" i="18"/>
  <c r="AN32" i="18"/>
  <c r="K32" i="27"/>
  <c r="J32" i="23" s="1"/>
  <c r="DL31" i="18"/>
  <c r="HX30" i="18"/>
  <c r="HF30" i="18"/>
  <c r="GH29" i="18"/>
  <c r="AN26" i="18"/>
  <c r="HJ25" i="18"/>
  <c r="EB24" i="18"/>
  <c r="GV22" i="18"/>
  <c r="Z22" i="18"/>
  <c r="HF21" i="18"/>
  <c r="CJ21" i="18"/>
  <c r="DL19" i="18"/>
  <c r="HT18" i="18"/>
  <c r="BV18" i="18"/>
  <c r="EP17" i="18"/>
  <c r="CT17" i="18"/>
  <c r="HJ16" i="18"/>
  <c r="EP15" i="18"/>
  <c r="AD15" i="18"/>
  <c r="FR14" i="18"/>
  <c r="AD14" i="18"/>
  <c r="CX13" i="18"/>
  <c r="HT9" i="18"/>
  <c r="GV9" i="18"/>
  <c r="EZ9" i="18"/>
  <c r="GV8" i="18"/>
  <c r="DL8" i="18"/>
  <c r="CJ8" i="18"/>
  <c r="AR24" i="18"/>
  <c r="HT23" i="18"/>
  <c r="AR23" i="18"/>
  <c r="BV22" i="18"/>
  <c r="EP19" i="18"/>
  <c r="HJ18" i="18"/>
  <c r="BF17" i="18"/>
  <c r="B16" i="27"/>
  <c r="FR15" i="18"/>
  <c r="EL15" i="18"/>
  <c r="HF14" i="18"/>
  <c r="L14" i="27"/>
  <c r="FD10" i="18"/>
  <c r="EL10" i="18"/>
  <c r="D38" i="27"/>
  <c r="D38" i="23" s="1"/>
  <c r="B60" i="23"/>
  <c r="CF37" i="18"/>
  <c r="BR37" i="18"/>
  <c r="L37" i="27"/>
  <c r="K37" i="23" s="1"/>
  <c r="L37" i="18"/>
  <c r="FN36" i="18"/>
  <c r="CT36" i="18"/>
  <c r="HT35" i="18"/>
  <c r="HY35" i="18" s="1"/>
  <c r="HF35" i="18"/>
  <c r="DL35" i="18"/>
  <c r="B35" i="27"/>
  <c r="B35" i="23" s="1"/>
  <c r="L35" i="18"/>
  <c r="FN34" i="18"/>
  <c r="CT34" i="18"/>
  <c r="HT33" i="18"/>
  <c r="HF33" i="18"/>
  <c r="DL33" i="18"/>
  <c r="CJ33" i="18"/>
  <c r="B33" i="27"/>
  <c r="B33" i="23" s="1"/>
  <c r="FN32" i="18"/>
  <c r="CT32" i="18"/>
  <c r="G32" i="27"/>
  <c r="G32" i="23" s="1"/>
  <c r="BV31" i="18"/>
  <c r="EP30" i="18"/>
  <c r="HJ29" i="18"/>
  <c r="HJ28" i="18"/>
  <c r="GV26" i="18"/>
  <c r="CJ25" i="18"/>
  <c r="AR25" i="18"/>
  <c r="DL23" i="18"/>
  <c r="EP22" i="18"/>
  <c r="AD22" i="18"/>
  <c r="EP20" i="18"/>
  <c r="HJ19" i="18"/>
  <c r="EB19" i="18"/>
  <c r="DX19" i="18"/>
  <c r="BF18" i="18"/>
  <c r="L18" i="27"/>
  <c r="CF16" i="18"/>
  <c r="EZ15" i="18"/>
  <c r="EB14" i="18"/>
  <c r="FD13" i="18"/>
  <c r="FD12" i="18"/>
  <c r="AR11" i="18"/>
  <c r="H11" i="27"/>
  <c r="HX10" i="18"/>
  <c r="D53" i="27"/>
  <c r="D53" i="23" s="1"/>
  <c r="D45" i="27"/>
  <c r="D45" i="23" s="1"/>
  <c r="AR37" i="18"/>
  <c r="AN37" i="18"/>
  <c r="P37" i="18"/>
  <c r="GV36" i="18"/>
  <c r="FR36" i="18"/>
  <c r="EB36" i="18"/>
  <c r="CX36" i="18"/>
  <c r="Z36" i="18"/>
  <c r="F36" i="27"/>
  <c r="F36" i="23" s="1"/>
  <c r="GD35" i="18"/>
  <c r="GI35" i="18" s="1"/>
  <c r="EZ35" i="18"/>
  <c r="FE35" i="18" s="1"/>
  <c r="CF35" i="18"/>
  <c r="AR35" i="18"/>
  <c r="AN35" i="18"/>
  <c r="P35" i="18"/>
  <c r="K35" i="27"/>
  <c r="J35" i="23" s="1"/>
  <c r="GV34" i="18"/>
  <c r="FR34" i="18"/>
  <c r="EB34" i="18"/>
  <c r="CX34" i="18"/>
  <c r="Z34" i="18"/>
  <c r="AE34" i="18" s="1"/>
  <c r="F34" i="27"/>
  <c r="F34" i="23" s="1"/>
  <c r="GD33" i="18"/>
  <c r="GI33" i="18" s="1"/>
  <c r="EZ33" i="18"/>
  <c r="CF33" i="18"/>
  <c r="AR33" i="18"/>
  <c r="AN33" i="18"/>
  <c r="P33" i="18"/>
  <c r="K33" i="27"/>
  <c r="J33" i="23" s="1"/>
  <c r="GV32" i="18"/>
  <c r="FR32" i="18"/>
  <c r="EB32" i="18"/>
  <c r="CX32" i="18"/>
  <c r="Z32" i="18"/>
  <c r="F32" i="27"/>
  <c r="F32" i="23" s="1"/>
  <c r="EP31" i="18"/>
  <c r="CT31" i="18"/>
  <c r="HJ30" i="18"/>
  <c r="CX29" i="18"/>
  <c r="EB28" i="18"/>
  <c r="GV27" i="18"/>
  <c r="HJ21" i="18"/>
  <c r="FN20" i="18"/>
  <c r="EB20" i="18"/>
  <c r="BF19" i="18"/>
  <c r="DL17" i="18"/>
  <c r="AR15" i="18"/>
  <c r="CJ14" i="18"/>
  <c r="I14" i="27"/>
  <c r="B37" i="27"/>
  <c r="B37" i="23" s="1"/>
  <c r="EB8" i="18"/>
  <c r="CF8" i="18"/>
  <c r="L8" i="27"/>
  <c r="GV6" i="18"/>
  <c r="HT5" i="18"/>
  <c r="L58" i="18"/>
  <c r="L50" i="18"/>
  <c r="L42" i="18"/>
  <c r="L34" i="18"/>
  <c r="D50" i="27"/>
  <c r="D50" i="23" s="1"/>
  <c r="B56" i="23"/>
  <c r="DL7" i="18"/>
  <c r="L64" i="18"/>
  <c r="D64" i="27"/>
  <c r="D64" i="23" s="1"/>
  <c r="L56" i="18"/>
  <c r="D56" i="27"/>
  <c r="D56" i="23" s="1"/>
  <c r="L48" i="18"/>
  <c r="D48" i="27"/>
  <c r="D48" i="23" s="1"/>
  <c r="L40" i="18"/>
  <c r="D40" i="27"/>
  <c r="D40" i="23" s="1"/>
  <c r="L32" i="18"/>
  <c r="D32" i="27"/>
  <c r="D32" i="23" s="1"/>
  <c r="D42" i="27"/>
  <c r="D42" i="23" s="1"/>
  <c r="B64" i="23"/>
  <c r="GH6" i="18"/>
  <c r="AD5" i="18"/>
  <c r="BV9" i="18"/>
  <c r="BV8" i="18"/>
  <c r="D34" i="27"/>
  <c r="D34" i="23" s="1"/>
  <c r="HX16" i="18"/>
  <c r="GD16" i="18"/>
  <c r="AR16" i="18"/>
  <c r="GD15" i="18"/>
  <c r="HF13" i="18"/>
  <c r="BR13" i="18"/>
  <c r="GH12" i="18"/>
  <c r="AR12" i="18"/>
  <c r="CF9" i="18"/>
  <c r="G17" i="27"/>
  <c r="HJ15" i="18"/>
  <c r="DL15" i="18"/>
  <c r="BR15" i="18"/>
  <c r="GH14" i="18"/>
  <c r="DL14" i="18"/>
  <c r="BR14" i="18"/>
  <c r="GH13" i="18"/>
  <c r="EL13" i="18"/>
  <c r="EQ13" i="18" s="1"/>
  <c r="HF12" i="18"/>
  <c r="D12" i="27"/>
  <c r="G12" i="27"/>
  <c r="HJ11" i="18"/>
  <c r="BV11" i="18"/>
  <c r="EB9" i="18"/>
  <c r="L60" i="18"/>
  <c r="D60" i="27"/>
  <c r="D60" i="23" s="1"/>
  <c r="L52" i="18"/>
  <c r="D52" i="27"/>
  <c r="D52" i="23" s="1"/>
  <c r="L44" i="18"/>
  <c r="D44" i="27"/>
  <c r="D44" i="23" s="1"/>
  <c r="L36" i="18"/>
  <c r="D36" i="27"/>
  <c r="D36" i="23" s="1"/>
  <c r="D58" i="27"/>
  <c r="D58" i="23" s="1"/>
  <c r="B62" i="23"/>
  <c r="B38" i="23"/>
  <c r="B40" i="23"/>
  <c r="G55" i="23"/>
  <c r="G45" i="23"/>
  <c r="EZ7" i="18"/>
  <c r="HX5" i="18"/>
  <c r="FD5" i="18"/>
  <c r="HX6" i="18"/>
  <c r="DL6" i="18"/>
  <c r="EB4" i="18"/>
  <c r="HJ6" i="18"/>
  <c r="M7" i="27"/>
  <c r="DX7" i="18"/>
  <c r="HT4" i="18"/>
  <c r="HX31" i="18"/>
  <c r="AD31" i="18"/>
  <c r="E31" i="27"/>
  <c r="GH30" i="18"/>
  <c r="I30" i="27"/>
  <c r="HX29" i="18"/>
  <c r="GR29" i="18"/>
  <c r="CT29" i="18"/>
  <c r="BR29" i="18"/>
  <c r="AD29" i="18"/>
  <c r="G29" i="27"/>
  <c r="FN28" i="18"/>
  <c r="DX28" i="18"/>
  <c r="CT28" i="18"/>
  <c r="AD28" i="18"/>
  <c r="D28" i="27"/>
  <c r="G28" i="27"/>
  <c r="GR27" i="18"/>
  <c r="EL27" i="18"/>
  <c r="CT27" i="18"/>
  <c r="BR27" i="18"/>
  <c r="Z27" i="18"/>
  <c r="H27" i="27"/>
  <c r="HX26" i="18"/>
  <c r="GH26" i="18"/>
  <c r="FD26" i="18"/>
  <c r="CJ26" i="18"/>
  <c r="L26" i="27"/>
  <c r="B26" i="27"/>
  <c r="CX25" i="18"/>
  <c r="BV25" i="18"/>
  <c r="H25" i="27"/>
  <c r="HX24" i="18"/>
  <c r="EZ24" i="18"/>
  <c r="CF24" i="18"/>
  <c r="L24" i="27"/>
  <c r="B24" i="27"/>
  <c r="CX23" i="18"/>
  <c r="CT23" i="18"/>
  <c r="BV23" i="18"/>
  <c r="AD23" i="18"/>
  <c r="G23" i="27"/>
  <c r="DL22" i="18"/>
  <c r="L22" i="27"/>
  <c r="B22" i="27"/>
  <c r="L22" i="18"/>
  <c r="GV21" i="18"/>
  <c r="CT21" i="18"/>
  <c r="HJ20" i="18"/>
  <c r="DL20" i="18"/>
  <c r="BV20" i="18"/>
  <c r="F18" i="27"/>
  <c r="E15" i="27"/>
  <c r="BB13" i="18"/>
  <c r="E12" i="27"/>
  <c r="B8" i="27"/>
  <c r="FD31" i="18"/>
  <c r="CJ31" i="18"/>
  <c r="M31" i="27"/>
  <c r="C31" i="27"/>
  <c r="H30" i="27"/>
  <c r="HF29" i="18"/>
  <c r="BV29" i="18"/>
  <c r="F29" i="27"/>
  <c r="FR28" i="18"/>
  <c r="EP28" i="18"/>
  <c r="CX28" i="18"/>
  <c r="BV28" i="18"/>
  <c r="F28" i="27"/>
  <c r="HF27" i="18"/>
  <c r="HK27" i="18" s="1"/>
  <c r="FR27" i="18"/>
  <c r="EP27" i="18"/>
  <c r="CX27" i="18"/>
  <c r="BV27" i="18"/>
  <c r="AD27" i="18"/>
  <c r="D27" i="27"/>
  <c r="G27" i="27"/>
  <c r="DX26" i="18"/>
  <c r="P26" i="18"/>
  <c r="K26" i="27"/>
  <c r="AD25" i="18"/>
  <c r="G25" i="27"/>
  <c r="GH24" i="18"/>
  <c r="FD24" i="18"/>
  <c r="CJ24" i="18"/>
  <c r="P24" i="18"/>
  <c r="K24" i="27"/>
  <c r="F23" i="27"/>
  <c r="HF22" i="18"/>
  <c r="EZ22" i="18"/>
  <c r="CF22" i="18"/>
  <c r="AR22" i="18"/>
  <c r="K22" i="27"/>
  <c r="M21" i="27"/>
  <c r="C21" i="27"/>
  <c r="CT19" i="18"/>
  <c r="C19" i="27"/>
  <c r="M16" i="27"/>
  <c r="BB15" i="18"/>
  <c r="HT6" i="18"/>
  <c r="HT31" i="18"/>
  <c r="HF31" i="18"/>
  <c r="HK31" i="18" s="1"/>
  <c r="P31" i="18"/>
  <c r="L31" i="27"/>
  <c r="L31" i="18"/>
  <c r="B31" i="27"/>
  <c r="FN30" i="18"/>
  <c r="CT30" i="18"/>
  <c r="G30" i="27"/>
  <c r="HT29" i="18"/>
  <c r="E29" i="27"/>
  <c r="E28" i="27"/>
  <c r="F27" i="27"/>
  <c r="GR26" i="18"/>
  <c r="BR26" i="18"/>
  <c r="I26" i="27"/>
  <c r="HT25" i="18"/>
  <c r="DH25" i="18"/>
  <c r="F25" i="27"/>
  <c r="I24" i="27"/>
  <c r="E23" i="27"/>
  <c r="I22" i="27"/>
  <c r="M19" i="27"/>
  <c r="B14" i="27"/>
  <c r="L14" i="18"/>
  <c r="L13" i="27"/>
  <c r="I8" i="27"/>
  <c r="G6" i="27"/>
  <c r="D25" i="27"/>
  <c r="GD31" i="18"/>
  <c r="EZ31" i="18"/>
  <c r="CF31" i="18"/>
  <c r="AR31" i="18"/>
  <c r="AN31" i="18"/>
  <c r="GV30" i="18"/>
  <c r="FR30" i="18"/>
  <c r="EB30" i="18"/>
  <c r="DX30" i="18"/>
  <c r="CX30" i="18"/>
  <c r="Z30" i="18"/>
  <c r="F30" i="27"/>
  <c r="GD29" i="18"/>
  <c r="M29" i="27"/>
  <c r="C29" i="27"/>
  <c r="DH28" i="18"/>
  <c r="BB28" i="18"/>
  <c r="M28" i="27"/>
  <c r="C28" i="27"/>
  <c r="DH27" i="18"/>
  <c r="AN27" i="18"/>
  <c r="E27" i="27"/>
  <c r="HJ26" i="18"/>
  <c r="FR26" i="18"/>
  <c r="EP26" i="18"/>
  <c r="CX26" i="18"/>
  <c r="BV26" i="18"/>
  <c r="H26" i="27"/>
  <c r="HX25" i="18"/>
  <c r="EZ25" i="18"/>
  <c r="BF25" i="18"/>
  <c r="AN25" i="18"/>
  <c r="E25" i="27"/>
  <c r="HJ24" i="18"/>
  <c r="GR24" i="18"/>
  <c r="DX24" i="18"/>
  <c r="DL24" i="18"/>
  <c r="DM24" i="18" s="1"/>
  <c r="H24" i="27"/>
  <c r="HX23" i="18"/>
  <c r="GH23" i="18"/>
  <c r="FD23" i="18"/>
  <c r="BF23" i="18"/>
  <c r="M23" i="27"/>
  <c r="C23" i="27"/>
  <c r="FR22" i="18"/>
  <c r="FN22" i="18"/>
  <c r="CX22" i="18"/>
  <c r="CT22" i="18"/>
  <c r="BB22" i="18"/>
  <c r="H22" i="27"/>
  <c r="HX21" i="18"/>
  <c r="B18" i="27"/>
  <c r="K15" i="27"/>
  <c r="K13" i="27"/>
  <c r="CF12" i="18"/>
  <c r="H10" i="27"/>
  <c r="G9" i="27"/>
  <c r="GH31" i="18"/>
  <c r="I31" i="27"/>
  <c r="AD30" i="18"/>
  <c r="E30" i="27"/>
  <c r="FD29" i="18"/>
  <c r="BF29" i="18"/>
  <c r="L29" i="27"/>
  <c r="B29" i="27"/>
  <c r="L29" i="18"/>
  <c r="BF28" i="18"/>
  <c r="L28" i="27"/>
  <c r="B28" i="27"/>
  <c r="BF27" i="18"/>
  <c r="M27" i="27"/>
  <c r="C27" i="27"/>
  <c r="FN26" i="18"/>
  <c r="EB26" i="18"/>
  <c r="AD26" i="18"/>
  <c r="G26" i="27"/>
  <c r="GH25" i="18"/>
  <c r="FD25" i="18"/>
  <c r="FE25" i="18" s="1"/>
  <c r="CF25" i="18"/>
  <c r="M25" i="27"/>
  <c r="C25" i="27"/>
  <c r="FR24" i="18"/>
  <c r="EP24" i="18"/>
  <c r="CX24" i="18"/>
  <c r="BV24" i="18"/>
  <c r="AD24" i="18"/>
  <c r="D24" i="27"/>
  <c r="G24" i="27"/>
  <c r="CF23" i="18"/>
  <c r="L23" i="27"/>
  <c r="B23" i="27"/>
  <c r="L23" i="18"/>
  <c r="DX22" i="18"/>
  <c r="I21" i="27"/>
  <c r="I17" i="27"/>
  <c r="HT14" i="18"/>
  <c r="K6" i="27"/>
  <c r="D31" i="27"/>
  <c r="D23" i="27"/>
  <c r="H31" i="27"/>
  <c r="FD30" i="18"/>
  <c r="CJ30" i="18"/>
  <c r="M30" i="27"/>
  <c r="C30" i="27"/>
  <c r="CF29" i="18"/>
  <c r="P29" i="18"/>
  <c r="K29" i="27"/>
  <c r="EZ28" i="18"/>
  <c r="CF28" i="18"/>
  <c r="CK28" i="18" s="1"/>
  <c r="P28" i="18"/>
  <c r="K28" i="27"/>
  <c r="EZ27" i="18"/>
  <c r="FE27" i="18" s="1"/>
  <c r="CF27" i="18"/>
  <c r="CK27" i="18" s="1"/>
  <c r="L27" i="27"/>
  <c r="B27" i="27"/>
  <c r="L27" i="18"/>
  <c r="DH26" i="18"/>
  <c r="F26" i="27"/>
  <c r="L25" i="27"/>
  <c r="B25" i="27"/>
  <c r="L25" i="18"/>
  <c r="CT24" i="18"/>
  <c r="F24" i="27"/>
  <c r="GR23" i="18"/>
  <c r="CJ23" i="18"/>
  <c r="P23" i="18"/>
  <c r="K23" i="27"/>
  <c r="EB22" i="18"/>
  <c r="H21" i="27"/>
  <c r="D11" i="27"/>
  <c r="D30" i="27"/>
  <c r="G31" i="27"/>
  <c r="P30" i="18"/>
  <c r="L30" i="27"/>
  <c r="L30" i="18"/>
  <c r="B30" i="27"/>
  <c r="I29" i="27"/>
  <c r="I28" i="27"/>
  <c r="HT27" i="18"/>
  <c r="P27" i="18"/>
  <c r="K27" i="27"/>
  <c r="E26" i="27"/>
  <c r="P25" i="18"/>
  <c r="K25" i="27"/>
  <c r="E24" i="27"/>
  <c r="DX23" i="18"/>
  <c r="EC23" i="18" s="1"/>
  <c r="I23" i="27"/>
  <c r="HT22" i="18"/>
  <c r="EZ21" i="18"/>
  <c r="G21" i="27"/>
  <c r="C7" i="27"/>
  <c r="CF6" i="18"/>
  <c r="FR31" i="18"/>
  <c r="DX31" i="18"/>
  <c r="EC31" i="18" s="1"/>
  <c r="CX31" i="18"/>
  <c r="Z31" i="18"/>
  <c r="F31" i="27"/>
  <c r="GD30" i="18"/>
  <c r="EZ30" i="18"/>
  <c r="CF30" i="18"/>
  <c r="AN30" i="18"/>
  <c r="K30" i="27"/>
  <c r="EP29" i="18"/>
  <c r="H29" i="27"/>
  <c r="DL28" i="18"/>
  <c r="AR28" i="18"/>
  <c r="Z28" i="18"/>
  <c r="H28" i="27"/>
  <c r="HX27" i="18"/>
  <c r="GD27" i="18"/>
  <c r="GI27" i="18" s="1"/>
  <c r="DX27" i="18"/>
  <c r="EC27" i="18" s="1"/>
  <c r="DL27" i="18"/>
  <c r="AR27" i="18"/>
  <c r="I27" i="27"/>
  <c r="HT26" i="18"/>
  <c r="EZ26" i="18"/>
  <c r="CF26" i="18"/>
  <c r="M26" i="27"/>
  <c r="C26" i="27"/>
  <c r="EP25" i="18"/>
  <c r="BR25" i="18"/>
  <c r="I25" i="27"/>
  <c r="HT24" i="18"/>
  <c r="BF24" i="18"/>
  <c r="M24" i="27"/>
  <c r="C24" i="27"/>
  <c r="H23" i="27"/>
  <c r="HX22" i="18"/>
  <c r="GH22" i="18"/>
  <c r="FD22" i="18"/>
  <c r="EL22" i="18"/>
  <c r="CJ22" i="18"/>
  <c r="BR22" i="18"/>
  <c r="M22" i="27"/>
  <c r="C22" i="27"/>
  <c r="BV21" i="18"/>
  <c r="Z21" i="18"/>
  <c r="H20" i="27"/>
  <c r="G19" i="27"/>
  <c r="F16" i="27"/>
  <c r="HF15" i="18"/>
  <c r="E11" i="27"/>
  <c r="G22" i="27"/>
  <c r="EB21" i="18"/>
  <c r="DX21" i="18"/>
  <c r="HT20" i="18"/>
  <c r="HF20" i="18"/>
  <c r="CX20" i="18"/>
  <c r="G20" i="27"/>
  <c r="HT19" i="18"/>
  <c r="HF19" i="18"/>
  <c r="FD19" i="18"/>
  <c r="CX19" i="18"/>
  <c r="Z19" i="18"/>
  <c r="F19" i="27"/>
  <c r="GD18" i="18"/>
  <c r="EZ18" i="18"/>
  <c r="CF18" i="18"/>
  <c r="CK18" i="18" s="1"/>
  <c r="AR18" i="18"/>
  <c r="P18" i="18"/>
  <c r="K18" i="27"/>
  <c r="GV17" i="18"/>
  <c r="FR17" i="18"/>
  <c r="EB17" i="18"/>
  <c r="CX17" i="18"/>
  <c r="Z17" i="18"/>
  <c r="F17" i="27"/>
  <c r="GH16" i="18"/>
  <c r="DL16" i="18"/>
  <c r="CJ16" i="18"/>
  <c r="E16" i="27"/>
  <c r="GH15" i="18"/>
  <c r="FD15" i="18"/>
  <c r="I15" i="27"/>
  <c r="K14" i="27"/>
  <c r="FN13" i="18"/>
  <c r="FS13" i="18" s="1"/>
  <c r="DX13" i="18"/>
  <c r="BV13" i="18"/>
  <c r="I13" i="27"/>
  <c r="EB12" i="18"/>
  <c r="BF12" i="18"/>
  <c r="Z12" i="18"/>
  <c r="F12" i="27"/>
  <c r="G11" i="27"/>
  <c r="AR10" i="18"/>
  <c r="HX9" i="18"/>
  <c r="F9" i="27"/>
  <c r="HJ8" i="18"/>
  <c r="EZ8" i="18"/>
  <c r="FE8" i="18" s="1"/>
  <c r="P8" i="18"/>
  <c r="K8" i="27"/>
  <c r="EL7" i="18"/>
  <c r="BF7" i="18"/>
  <c r="L7" i="27"/>
  <c r="B7" i="27"/>
  <c r="L7" i="18"/>
  <c r="EB6" i="18"/>
  <c r="CT6" i="18"/>
  <c r="BV6" i="18"/>
  <c r="G5" i="27"/>
  <c r="G4" i="27"/>
  <c r="D22" i="27"/>
  <c r="D14" i="27"/>
  <c r="D6" i="27"/>
  <c r="F22" i="27"/>
  <c r="HT21" i="18"/>
  <c r="FD21" i="18"/>
  <c r="AD21" i="18"/>
  <c r="F21" i="27"/>
  <c r="F20" i="27"/>
  <c r="AD19" i="18"/>
  <c r="E19" i="27"/>
  <c r="GH18" i="18"/>
  <c r="AN18" i="18"/>
  <c r="I18" i="27"/>
  <c r="GR17" i="18"/>
  <c r="DX17" i="18"/>
  <c r="AD17" i="18"/>
  <c r="E17" i="27"/>
  <c r="EL16" i="18"/>
  <c r="BB16" i="18"/>
  <c r="BG16" i="18" s="1"/>
  <c r="C16" i="27"/>
  <c r="H15" i="27"/>
  <c r="EZ14" i="18"/>
  <c r="BV14" i="18"/>
  <c r="GV13" i="18"/>
  <c r="EB13" i="18"/>
  <c r="H13" i="27"/>
  <c r="HX12" i="18"/>
  <c r="AD12" i="18"/>
  <c r="AE12" i="18" s="1"/>
  <c r="CX11" i="18"/>
  <c r="F11" i="27"/>
  <c r="GH10" i="18"/>
  <c r="G10" i="27"/>
  <c r="HF9" i="18"/>
  <c r="FD9" i="18"/>
  <c r="AD9" i="18"/>
  <c r="E9" i="27"/>
  <c r="FD7" i="18"/>
  <c r="AR7" i="18"/>
  <c r="P7" i="18"/>
  <c r="DX6" i="18"/>
  <c r="E6" i="27"/>
  <c r="F5" i="27"/>
  <c r="Z4" i="18"/>
  <c r="F4" i="27"/>
  <c r="E3" i="27"/>
  <c r="D29" i="27"/>
  <c r="D21" i="27"/>
  <c r="D13" i="27"/>
  <c r="E22" i="27"/>
  <c r="EL21" i="18"/>
  <c r="DL21" i="18"/>
  <c r="E21" i="27"/>
  <c r="GH20" i="18"/>
  <c r="GI20" i="18" s="1"/>
  <c r="FD20" i="18"/>
  <c r="EL20" i="18"/>
  <c r="E20" i="27"/>
  <c r="GD19" i="18"/>
  <c r="CJ19" i="18"/>
  <c r="H18" i="27"/>
  <c r="HX17" i="18"/>
  <c r="FD17" i="18"/>
  <c r="CJ17" i="18"/>
  <c r="M17" i="27"/>
  <c r="C17" i="27"/>
  <c r="HF16" i="18"/>
  <c r="EP16" i="18"/>
  <c r="EQ16" i="18" s="1"/>
  <c r="L16" i="27"/>
  <c r="CF15" i="18"/>
  <c r="BF15" i="18"/>
  <c r="Z15" i="18"/>
  <c r="D15" i="27"/>
  <c r="G15" i="27"/>
  <c r="H14" i="27"/>
  <c r="G13" i="27"/>
  <c r="EZ12" i="18"/>
  <c r="M12" i="27"/>
  <c r="C12" i="27"/>
  <c r="BF11" i="18"/>
  <c r="HJ10" i="18"/>
  <c r="BV10" i="18"/>
  <c r="F10" i="27"/>
  <c r="CJ9" i="18"/>
  <c r="BF9" i="18"/>
  <c r="M9" i="27"/>
  <c r="C9" i="27"/>
  <c r="EP8" i="18"/>
  <c r="H8" i="27"/>
  <c r="HX7" i="18"/>
  <c r="CJ7" i="18"/>
  <c r="AN7" i="18"/>
  <c r="I7" i="27"/>
  <c r="M6" i="27"/>
  <c r="C6" i="27"/>
  <c r="HJ5" i="18"/>
  <c r="E5" i="27"/>
  <c r="HJ4" i="18"/>
  <c r="E4" i="27"/>
  <c r="C3" i="27"/>
  <c r="M20" i="27"/>
  <c r="C20" i="27"/>
  <c r="L19" i="27"/>
  <c r="B19" i="27"/>
  <c r="L19" i="18"/>
  <c r="FN18" i="18"/>
  <c r="CT18" i="18"/>
  <c r="G18" i="27"/>
  <c r="HT17" i="18"/>
  <c r="HF17" i="18"/>
  <c r="L17" i="27"/>
  <c r="B17" i="27"/>
  <c r="L17" i="18"/>
  <c r="HT16" i="18"/>
  <c r="CT16" i="18"/>
  <c r="K16" i="27"/>
  <c r="HT15" i="18"/>
  <c r="F15" i="27"/>
  <c r="G14" i="27"/>
  <c r="DH13" i="18"/>
  <c r="Z13" i="18"/>
  <c r="F13" i="27"/>
  <c r="GD12" i="18"/>
  <c r="L12" i="27"/>
  <c r="B12" i="27"/>
  <c r="CF11" i="18"/>
  <c r="M11" i="27"/>
  <c r="C11" i="27"/>
  <c r="E10" i="27"/>
  <c r="L9" i="27"/>
  <c r="B9" i="27"/>
  <c r="FN8" i="18"/>
  <c r="G8" i="27"/>
  <c r="HT7" i="18"/>
  <c r="CF7" i="18"/>
  <c r="BB7" i="18"/>
  <c r="H7" i="27"/>
  <c r="B6" i="27"/>
  <c r="M5" i="27"/>
  <c r="C5" i="27"/>
  <c r="M4" i="27"/>
  <c r="L3" i="27"/>
  <c r="L9" i="18"/>
  <c r="D19" i="27"/>
  <c r="L21" i="27"/>
  <c r="B21" i="27"/>
  <c r="L21" i="18"/>
  <c r="EZ20" i="18"/>
  <c r="L20" i="27"/>
  <c r="B20" i="27"/>
  <c r="CF19" i="18"/>
  <c r="AR19" i="18"/>
  <c r="AN19" i="18"/>
  <c r="P19" i="18"/>
  <c r="K19" i="27"/>
  <c r="GV18" i="18"/>
  <c r="GR18" i="18"/>
  <c r="FR18" i="18"/>
  <c r="EB18" i="18"/>
  <c r="DX18" i="18"/>
  <c r="CX18" i="18"/>
  <c r="Z18" i="18"/>
  <c r="GD17" i="18"/>
  <c r="EZ17" i="18"/>
  <c r="CF17" i="18"/>
  <c r="AR17" i="18"/>
  <c r="P17" i="18"/>
  <c r="K17" i="27"/>
  <c r="GR16" i="18"/>
  <c r="FN16" i="18"/>
  <c r="CX16" i="18"/>
  <c r="CY16" i="18" s="1"/>
  <c r="I16" i="27"/>
  <c r="CJ15" i="18"/>
  <c r="AN15" i="18"/>
  <c r="HJ14" i="18"/>
  <c r="AN14" i="18"/>
  <c r="Z14" i="18"/>
  <c r="F14" i="27"/>
  <c r="GR13" i="18"/>
  <c r="GD13" i="18"/>
  <c r="DL13" i="18"/>
  <c r="BF13" i="18"/>
  <c r="E13" i="27"/>
  <c r="HJ12" i="18"/>
  <c r="BR12" i="18"/>
  <c r="K12" i="27"/>
  <c r="GV11" i="18"/>
  <c r="EZ11" i="18"/>
  <c r="DL11" i="18"/>
  <c r="CJ11" i="18"/>
  <c r="L11" i="27"/>
  <c r="B11" i="27"/>
  <c r="L11" i="18"/>
  <c r="CX10" i="18"/>
  <c r="M10" i="27"/>
  <c r="C10" i="27"/>
  <c r="DL9" i="18"/>
  <c r="BR9" i="18"/>
  <c r="P9" i="18"/>
  <c r="K9" i="27"/>
  <c r="Z8" i="18"/>
  <c r="F8" i="27"/>
  <c r="D7" i="27"/>
  <c r="G7" i="27"/>
  <c r="FD6" i="18"/>
  <c r="CJ6" i="18"/>
  <c r="CF5" i="18"/>
  <c r="CK5" i="18" s="1"/>
  <c r="BF5" i="18"/>
  <c r="GR4" i="18"/>
  <c r="L4" i="27"/>
  <c r="CF3" i="18"/>
  <c r="K3" i="27"/>
  <c r="D2" i="27"/>
  <c r="FN21" i="18"/>
  <c r="CF21" i="18"/>
  <c r="AR21" i="18"/>
  <c r="AN21" i="18"/>
  <c r="P21" i="18"/>
  <c r="K21" i="27"/>
  <c r="AR20" i="18"/>
  <c r="AN20" i="18"/>
  <c r="P20" i="18"/>
  <c r="K20" i="27"/>
  <c r="I19" i="27"/>
  <c r="HX18" i="18"/>
  <c r="AD18" i="18"/>
  <c r="AE18" i="18" s="1"/>
  <c r="E18" i="27"/>
  <c r="GH17" i="18"/>
  <c r="AN17" i="18"/>
  <c r="GV16" i="18"/>
  <c r="FR16" i="18"/>
  <c r="EB16" i="18"/>
  <c r="H16" i="27"/>
  <c r="M15" i="27"/>
  <c r="C15" i="27"/>
  <c r="EP14" i="18"/>
  <c r="BF14" i="18"/>
  <c r="BG14" i="18" s="1"/>
  <c r="E14" i="27"/>
  <c r="HJ13" i="18"/>
  <c r="CJ13" i="18"/>
  <c r="AN13" i="18"/>
  <c r="M13" i="27"/>
  <c r="C13" i="27"/>
  <c r="GR12" i="18"/>
  <c r="CT12" i="18"/>
  <c r="BV12" i="18"/>
  <c r="I12" i="27"/>
  <c r="FD11" i="18"/>
  <c r="EL11" i="18"/>
  <c r="P11" i="18"/>
  <c r="K11" i="27"/>
  <c r="EB10" i="18"/>
  <c r="L10" i="27"/>
  <c r="B10" i="27"/>
  <c r="EP9" i="18"/>
  <c r="I9" i="27"/>
  <c r="GR8" i="18"/>
  <c r="E8" i="27"/>
  <c r="HJ7" i="18"/>
  <c r="GR7" i="18"/>
  <c r="EP7" i="18"/>
  <c r="BV7" i="18"/>
  <c r="F7" i="27"/>
  <c r="EZ6" i="18"/>
  <c r="EP6" i="18"/>
  <c r="I6" i="27"/>
  <c r="EZ5" i="18"/>
  <c r="DL5" i="18"/>
  <c r="P5" i="18"/>
  <c r="K5" i="27"/>
  <c r="GV4" i="18"/>
  <c r="EZ4" i="18"/>
  <c r="EZ3" i="18"/>
  <c r="D17" i="27"/>
  <c r="D9" i="27"/>
  <c r="K7" i="27"/>
  <c r="B2" i="27"/>
  <c r="I20" i="27"/>
  <c r="HX19" i="18"/>
  <c r="H19" i="27"/>
  <c r="FD18" i="18"/>
  <c r="M18" i="27"/>
  <c r="C18" i="27"/>
  <c r="H17" i="27"/>
  <c r="FD16" i="18"/>
  <c r="EZ16" i="18"/>
  <c r="BR16" i="18"/>
  <c r="BW16" i="18" s="1"/>
  <c r="G16" i="27"/>
  <c r="BV15" i="18"/>
  <c r="L15" i="27"/>
  <c r="L15" i="18"/>
  <c r="B15" i="27"/>
  <c r="FN14" i="18"/>
  <c r="M14" i="27"/>
  <c r="C14" i="27"/>
  <c r="AR13" i="18"/>
  <c r="B13" i="27"/>
  <c r="L13" i="18"/>
  <c r="GV12" i="18"/>
  <c r="H12" i="27"/>
  <c r="HF11" i="18"/>
  <c r="GH11" i="18"/>
  <c r="I11" i="27"/>
  <c r="HT10" i="18"/>
  <c r="CF10" i="18"/>
  <c r="P10" i="18"/>
  <c r="K10" i="27"/>
  <c r="M8" i="27"/>
  <c r="C8" i="27"/>
  <c r="GV7" i="18"/>
  <c r="EB7" i="18"/>
  <c r="CT7" i="18"/>
  <c r="CY7" i="18" s="1"/>
  <c r="E7" i="27"/>
  <c r="H6" i="27"/>
  <c r="BR5" i="18"/>
  <c r="H5" i="27"/>
  <c r="I5" i="27"/>
  <c r="I4" i="27"/>
  <c r="I3" i="27"/>
  <c r="H3" i="27"/>
  <c r="D16" i="27"/>
  <c r="D8" i="27"/>
  <c r="F6" i="27"/>
  <c r="GD5" i="18"/>
  <c r="DH5" i="18"/>
  <c r="L5" i="27"/>
  <c r="B5" i="27"/>
  <c r="EP4" i="18"/>
  <c r="BV4" i="18"/>
  <c r="HT3" i="18"/>
  <c r="AN3" i="18"/>
  <c r="HJ3" i="18"/>
  <c r="BV3" i="18"/>
  <c r="BR3" i="18"/>
  <c r="G3" i="27"/>
  <c r="D5" i="27"/>
  <c r="L6" i="27"/>
  <c r="FN5" i="18"/>
  <c r="EP5" i="18"/>
  <c r="HX4" i="18"/>
  <c r="BF4" i="18"/>
  <c r="C4" i="27"/>
  <c r="FN3" i="18"/>
  <c r="EP3" i="18"/>
  <c r="CT3" i="18"/>
  <c r="Z3" i="18"/>
  <c r="F3" i="27"/>
  <c r="L6" i="18"/>
  <c r="L28" i="18"/>
  <c r="L20" i="18"/>
  <c r="L12" i="18"/>
  <c r="L4" i="18"/>
  <c r="D20" i="27"/>
  <c r="AR6" i="18"/>
  <c r="P6" i="18"/>
  <c r="EB5" i="18"/>
  <c r="CX5" i="18"/>
  <c r="BV5" i="18"/>
  <c r="FD4" i="18"/>
  <c r="B4" i="27"/>
  <c r="EB3" i="18"/>
  <c r="CX3" i="18"/>
  <c r="BF3" i="18"/>
  <c r="L5" i="18"/>
  <c r="D3" i="27"/>
  <c r="DL4" i="18"/>
  <c r="CJ4" i="18"/>
  <c r="P4" i="18"/>
  <c r="Q4" i="18" s="1"/>
  <c r="K4" i="27"/>
  <c r="DX3" i="18"/>
  <c r="M3" i="27"/>
  <c r="L26" i="18"/>
  <c r="D26" i="27"/>
  <c r="L18" i="18"/>
  <c r="D18" i="27"/>
  <c r="L10" i="18"/>
  <c r="D10" i="27"/>
  <c r="D4" i="27"/>
  <c r="BR4" i="18"/>
  <c r="H4" i="27"/>
  <c r="HX3" i="18"/>
  <c r="FD3" i="18"/>
  <c r="DL3" i="18"/>
  <c r="CJ3" i="18"/>
  <c r="AR3" i="18"/>
  <c r="P3" i="18"/>
  <c r="L24" i="18"/>
  <c r="L16" i="18"/>
  <c r="L8" i="18"/>
  <c r="B3" i="27"/>
  <c r="L3" i="18"/>
  <c r="G70" i="23"/>
  <c r="K69" i="23"/>
  <c r="C69" i="23"/>
  <c r="G68" i="23"/>
  <c r="K67" i="23"/>
  <c r="C67" i="23"/>
  <c r="G66" i="23"/>
  <c r="C65" i="23"/>
  <c r="G64" i="23"/>
  <c r="K61" i="23"/>
  <c r="G60" i="23"/>
  <c r="C57" i="23"/>
  <c r="C55" i="23"/>
  <c r="G54" i="23"/>
  <c r="C53" i="23"/>
  <c r="K51" i="23"/>
  <c r="K45" i="23"/>
  <c r="G44" i="23"/>
  <c r="K43" i="23"/>
  <c r="C39" i="23"/>
  <c r="G38" i="23"/>
  <c r="G34" i="23"/>
  <c r="K33" i="23"/>
  <c r="E70" i="23"/>
  <c r="E68" i="23"/>
  <c r="E66" i="23"/>
  <c r="E62" i="23"/>
  <c r="E60" i="23"/>
  <c r="E58" i="23"/>
  <c r="E54" i="23"/>
  <c r="E46" i="23"/>
  <c r="E42" i="23"/>
  <c r="L60" i="23"/>
  <c r="L56" i="23"/>
  <c r="L54" i="23"/>
  <c r="D54" i="23"/>
  <c r="L46" i="23"/>
  <c r="L38" i="23"/>
  <c r="L34" i="23"/>
  <c r="E64" i="23"/>
  <c r="L70" i="23"/>
  <c r="D70" i="23"/>
  <c r="H69" i="23"/>
  <c r="L68" i="23"/>
  <c r="D68" i="23"/>
  <c r="H67" i="23"/>
  <c r="L66" i="23"/>
  <c r="D66" i="23"/>
  <c r="K70" i="23"/>
  <c r="C70" i="23"/>
  <c r="G69" i="23"/>
  <c r="K68" i="23"/>
  <c r="C68" i="23"/>
  <c r="G67" i="23"/>
  <c r="K66" i="23"/>
  <c r="C66" i="23"/>
  <c r="K64" i="23"/>
  <c r="C64" i="23"/>
  <c r="K62" i="23"/>
  <c r="K58" i="23"/>
  <c r="C58" i="23"/>
  <c r="C56" i="23"/>
  <c r="C54" i="23"/>
  <c r="C52" i="23"/>
  <c r="C46" i="23"/>
  <c r="K40" i="23"/>
  <c r="C40" i="23"/>
  <c r="K38" i="23"/>
  <c r="J70" i="23"/>
  <c r="J68" i="23"/>
  <c r="J66" i="23"/>
  <c r="J64" i="23"/>
  <c r="J56" i="23"/>
  <c r="J54" i="23"/>
  <c r="J52" i="23"/>
  <c r="J38" i="23"/>
  <c r="GW64" i="18"/>
  <c r="AE65" i="18"/>
  <c r="FE64" i="18"/>
  <c r="AN62" i="18"/>
  <c r="DM61" i="18"/>
  <c r="HT60" i="18"/>
  <c r="HY60" i="18" s="1"/>
  <c r="BG60" i="18"/>
  <c r="HT56" i="18"/>
  <c r="HT55" i="18"/>
  <c r="HY55" i="18" s="1"/>
  <c r="HT54" i="18"/>
  <c r="GD54" i="18"/>
  <c r="HT53" i="18"/>
  <c r="HY53" i="18" s="1"/>
  <c r="GW53" i="18"/>
  <c r="GW51" i="18"/>
  <c r="EL50" i="18"/>
  <c r="EQ50" i="18" s="1"/>
  <c r="AS64" i="18"/>
  <c r="HT63" i="18"/>
  <c r="HY63" i="18" s="1"/>
  <c r="EZ63" i="18"/>
  <c r="FE63" i="18" s="1"/>
  <c r="BR63" i="18"/>
  <c r="BW63" i="18" s="1"/>
  <c r="HF62" i="18"/>
  <c r="HK62" i="18" s="1"/>
  <c r="CY62" i="18"/>
  <c r="AR62" i="18"/>
  <c r="EZ60" i="18"/>
  <c r="FE60" i="18" s="1"/>
  <c r="EZ59" i="18"/>
  <c r="GI58" i="18"/>
  <c r="FS57" i="18"/>
  <c r="BV54" i="18"/>
  <c r="BW54" i="18" s="1"/>
  <c r="GI51" i="18"/>
  <c r="GD50" i="18"/>
  <c r="AS50" i="18"/>
  <c r="Q63" i="18"/>
  <c r="EZ62" i="18"/>
  <c r="FE62" i="18" s="1"/>
  <c r="CF60" i="18"/>
  <c r="CF59" i="18"/>
  <c r="HT57" i="18"/>
  <c r="HY57" i="18" s="1"/>
  <c r="GD53" i="18"/>
  <c r="GI53" i="18" s="1"/>
  <c r="GR63" i="18"/>
  <c r="DX63" i="18"/>
  <c r="AN63" i="18"/>
  <c r="AS63" i="18" s="1"/>
  <c r="EB62" i="18"/>
  <c r="BB62" i="18"/>
  <c r="BG62" i="18" s="1"/>
  <c r="HT61" i="18"/>
  <c r="BG61" i="18"/>
  <c r="AE61" i="18"/>
  <c r="EZ57" i="18"/>
  <c r="EC57" i="18"/>
  <c r="EZ56" i="18"/>
  <c r="FE56" i="18" s="1"/>
  <c r="EZ55" i="18"/>
  <c r="EZ54" i="18"/>
  <c r="FE54" i="18" s="1"/>
  <c r="HK53" i="18"/>
  <c r="EZ53" i="18"/>
  <c r="FE53" i="18" s="1"/>
  <c r="EZ52" i="18"/>
  <c r="EZ51" i="18"/>
  <c r="CT50" i="18"/>
  <c r="GV63" i="18"/>
  <c r="EB63" i="18"/>
  <c r="CF62" i="18"/>
  <c r="CK62" i="18" s="1"/>
  <c r="CF57" i="18"/>
  <c r="CK57" i="18" s="1"/>
  <c r="CF56" i="18"/>
  <c r="CK56" i="18" s="1"/>
  <c r="CF55" i="18"/>
  <c r="CF54" i="18"/>
  <c r="CF53" i="18"/>
  <c r="CK53" i="18" s="1"/>
  <c r="CF52" i="18"/>
  <c r="BG51" i="18"/>
  <c r="FN54" i="18"/>
  <c r="FN53" i="18"/>
  <c r="FN52" i="18"/>
  <c r="FS52" i="18" s="1"/>
  <c r="DH63" i="18"/>
  <c r="BB63" i="18"/>
  <c r="BG63" i="18" s="1"/>
  <c r="HT62" i="18"/>
  <c r="HY62" i="18" s="1"/>
  <c r="GR62" i="18"/>
  <c r="GW62" i="18" s="1"/>
  <c r="DL62" i="18"/>
  <c r="HF61" i="18"/>
  <c r="GW59" i="18"/>
  <c r="EQ57" i="18"/>
  <c r="EQ55" i="18"/>
  <c r="DM54" i="18"/>
  <c r="DM53" i="18"/>
  <c r="CT52" i="18"/>
  <c r="CY52" i="18" s="1"/>
  <c r="AN51" i="18"/>
  <c r="FN50" i="18"/>
  <c r="BF49" i="18"/>
  <c r="Z49" i="18"/>
  <c r="FN48" i="18"/>
  <c r="EL48" i="18"/>
  <c r="DH48" i="18"/>
  <c r="BF48" i="18"/>
  <c r="BG48" i="18" s="1"/>
  <c r="CF47" i="18"/>
  <c r="CK47" i="18" s="1"/>
  <c r="BB47" i="18"/>
  <c r="GD46" i="18"/>
  <c r="EZ46" i="18"/>
  <c r="FE46" i="18" s="1"/>
  <c r="CF46" i="18"/>
  <c r="CK46" i="18" s="1"/>
  <c r="FN45" i="18"/>
  <c r="FS45" i="18" s="1"/>
  <c r="EP45" i="18"/>
  <c r="CT45" i="18"/>
  <c r="BV45" i="18"/>
  <c r="BW45" i="18" s="1"/>
  <c r="Z45" i="18"/>
  <c r="FD44" i="18"/>
  <c r="CF51" i="18"/>
  <c r="CK51" i="18" s="1"/>
  <c r="FN49" i="18"/>
  <c r="CT49" i="18"/>
  <c r="AD49" i="18"/>
  <c r="HT48" i="18"/>
  <c r="GR48" i="18"/>
  <c r="GW48" i="18" s="1"/>
  <c r="FR48" i="18"/>
  <c r="EP48" i="18"/>
  <c r="DL48" i="18"/>
  <c r="HF47" i="18"/>
  <c r="DH47" i="18"/>
  <c r="BF47" i="18"/>
  <c r="EZ50" i="18"/>
  <c r="AR51" i="18"/>
  <c r="HJ49" i="18"/>
  <c r="GD49" i="18"/>
  <c r="EP49" i="18"/>
  <c r="BV49" i="18"/>
  <c r="BW49" i="18" s="1"/>
  <c r="CT48" i="18"/>
  <c r="BR48" i="18"/>
  <c r="AR48" i="18"/>
  <c r="FN47" i="18"/>
  <c r="EL47" i="18"/>
  <c r="AN47" i="18"/>
  <c r="HJ46" i="18"/>
  <c r="EL46" i="18"/>
  <c r="BR46" i="18"/>
  <c r="HT45" i="18"/>
  <c r="HY45" i="18" s="1"/>
  <c r="BG45" i="18"/>
  <c r="HT50" i="18"/>
  <c r="DL50" i="18"/>
  <c r="DM50" i="18" s="1"/>
  <c r="BV50" i="18"/>
  <c r="BW50" i="18" s="1"/>
  <c r="Z50" i="18"/>
  <c r="GH49" i="18"/>
  <c r="AR49" i="18"/>
  <c r="GD48" i="18"/>
  <c r="GI48" i="18" s="1"/>
  <c r="DX48" i="18"/>
  <c r="EC48" i="18" s="1"/>
  <c r="CX48" i="18"/>
  <c r="BV48" i="18"/>
  <c r="GR47" i="18"/>
  <c r="GW47" i="18" s="1"/>
  <c r="EP47" i="18"/>
  <c r="CT47" i="18"/>
  <c r="BR47" i="18"/>
  <c r="BW47" i="18" s="1"/>
  <c r="AR47" i="18"/>
  <c r="FN46" i="18"/>
  <c r="EP46" i="18"/>
  <c r="CT46" i="18"/>
  <c r="BV46" i="18"/>
  <c r="Z46" i="18"/>
  <c r="GD45" i="18"/>
  <c r="EZ45" i="18"/>
  <c r="FE45" i="18" s="1"/>
  <c r="CF45" i="18"/>
  <c r="EB50" i="18"/>
  <c r="Q49" i="18"/>
  <c r="HF48" i="18"/>
  <c r="Z48" i="18"/>
  <c r="HT47" i="18"/>
  <c r="DX44" i="18"/>
  <c r="HT49" i="18"/>
  <c r="HY49" i="18" s="1"/>
  <c r="EZ49" i="18"/>
  <c r="CF49" i="18"/>
  <c r="HJ48" i="18"/>
  <c r="HT46" i="18"/>
  <c r="EC40" i="18"/>
  <c r="HT43" i="18"/>
  <c r="HY43" i="18" s="1"/>
  <c r="GR43" i="18"/>
  <c r="EB43" i="18"/>
  <c r="GV42" i="18"/>
  <c r="AN42" i="18"/>
  <c r="EZ41" i="18"/>
  <c r="DX41" i="18"/>
  <c r="CT41" i="18"/>
  <c r="GD40" i="18"/>
  <c r="GI40" i="18" s="1"/>
  <c r="HK39" i="18"/>
  <c r="DX39" i="18"/>
  <c r="BR39" i="18"/>
  <c r="HJ38" i="18"/>
  <c r="FD38" i="18"/>
  <c r="EZ44" i="18"/>
  <c r="AN43" i="18"/>
  <c r="CF42" i="18"/>
  <c r="AR42" i="18"/>
  <c r="P42" i="18"/>
  <c r="EQ41" i="18"/>
  <c r="FD40" i="18"/>
  <c r="FE40" i="18" s="1"/>
  <c r="GD39" i="18"/>
  <c r="AR39" i="18"/>
  <c r="GI43" i="18"/>
  <c r="DH43" i="18"/>
  <c r="AN41" i="18"/>
  <c r="AS41" i="18" s="1"/>
  <c r="GH39" i="18"/>
  <c r="EB44" i="18"/>
  <c r="CF44" i="18"/>
  <c r="CK44" i="18" s="1"/>
  <c r="BG44" i="18"/>
  <c r="CF43" i="18"/>
  <c r="AR43" i="18"/>
  <c r="P43" i="18"/>
  <c r="EZ42" i="18"/>
  <c r="FE42" i="18" s="1"/>
  <c r="DX42" i="18"/>
  <c r="HT41" i="18"/>
  <c r="HY41" i="18" s="1"/>
  <c r="GR41" i="18"/>
  <c r="GW41" i="18" s="1"/>
  <c r="P41" i="18"/>
  <c r="FN40" i="18"/>
  <c r="FS40" i="18" s="1"/>
  <c r="AN40" i="18"/>
  <c r="BB39" i="18"/>
  <c r="Z39" i="18"/>
  <c r="FN38" i="18"/>
  <c r="FS38" i="18" s="1"/>
  <c r="BR38" i="18"/>
  <c r="DH41" i="18"/>
  <c r="GR40" i="18"/>
  <c r="EL39" i="18"/>
  <c r="HT38" i="18"/>
  <c r="HY38" i="18" s="1"/>
  <c r="EZ43" i="18"/>
  <c r="DX43" i="18"/>
  <c r="HT42" i="18"/>
  <c r="GR42" i="18"/>
  <c r="EB42" i="18"/>
  <c r="HK41" i="18"/>
  <c r="CJ41" i="18"/>
  <c r="CK41" i="18" s="1"/>
  <c r="Z41" i="18"/>
  <c r="HX40" i="18"/>
  <c r="HY40" i="18" s="1"/>
  <c r="DH40" i="18"/>
  <c r="DM40" i="18" s="1"/>
  <c r="CF40" i="18"/>
  <c r="HT39" i="18"/>
  <c r="HY39" i="18" s="1"/>
  <c r="GR39" i="18"/>
  <c r="FR39" i="18"/>
  <c r="DL39" i="18"/>
  <c r="CF39" i="18"/>
  <c r="EL36" i="18"/>
  <c r="EQ36" i="18" s="1"/>
  <c r="DH36" i="18"/>
  <c r="DM36" i="18" s="1"/>
  <c r="EL35" i="18"/>
  <c r="DH35" i="18"/>
  <c r="EL34" i="18"/>
  <c r="DH34" i="18"/>
  <c r="EL33" i="18"/>
  <c r="DH33" i="18"/>
  <c r="EL32" i="18"/>
  <c r="EQ32" i="18" s="1"/>
  <c r="DH32" i="18"/>
  <c r="EL31" i="18"/>
  <c r="DH31" i="18"/>
  <c r="EL30" i="18"/>
  <c r="DH30" i="18"/>
  <c r="FE37" i="18"/>
  <c r="DX37" i="18"/>
  <c r="EC37" i="18" s="1"/>
  <c r="CT37" i="18"/>
  <c r="BR36" i="18"/>
  <c r="BR35" i="18"/>
  <c r="BR34" i="18"/>
  <c r="BR33" i="18"/>
  <c r="BR32" i="18"/>
  <c r="BW32" i="18" s="1"/>
  <c r="BR31" i="18"/>
  <c r="BR30" i="18"/>
  <c r="BW30" i="18" s="1"/>
  <c r="GD37" i="18"/>
  <c r="CX37" i="18"/>
  <c r="CY39" i="18"/>
  <c r="GR36" i="18"/>
  <c r="GR35" i="18"/>
  <c r="GR34" i="18"/>
  <c r="GR33" i="18"/>
  <c r="GW33" i="18" s="1"/>
  <c r="GR32" i="18"/>
  <c r="GR31" i="18"/>
  <c r="GW31" i="18" s="1"/>
  <c r="GR30" i="18"/>
  <c r="FN37" i="18"/>
  <c r="DH37" i="18"/>
  <c r="DM37" i="18" s="1"/>
  <c r="CK37" i="18"/>
  <c r="BB37" i="18"/>
  <c r="BG37" i="18" s="1"/>
  <c r="DX36" i="18"/>
  <c r="DX35" i="18"/>
  <c r="DX34" i="18"/>
  <c r="DX33" i="18"/>
  <c r="DX32" i="18"/>
  <c r="FR37" i="18"/>
  <c r="BB36" i="18"/>
  <c r="BB35" i="18"/>
  <c r="BG35" i="18" s="1"/>
  <c r="HY34" i="18"/>
  <c r="BB34" i="18"/>
  <c r="BB33" i="18"/>
  <c r="BG33" i="18" s="1"/>
  <c r="BB32" i="18"/>
  <c r="BG32" i="18" s="1"/>
  <c r="BB31" i="18"/>
  <c r="BB30" i="18"/>
  <c r="BG30" i="18" s="1"/>
  <c r="DH29" i="18"/>
  <c r="HT28" i="18"/>
  <c r="CT26" i="18"/>
  <c r="CT25" i="18"/>
  <c r="GD23" i="18"/>
  <c r="Z23" i="18"/>
  <c r="FN29" i="18"/>
  <c r="FS29" i="18" s="1"/>
  <c r="DX29" i="18"/>
  <c r="Z29" i="18"/>
  <c r="HX28" i="18"/>
  <c r="GD28" i="18"/>
  <c r="Z26" i="18"/>
  <c r="AE26" i="18" s="1"/>
  <c r="BB24" i="18"/>
  <c r="Z24" i="18"/>
  <c r="HF23" i="18"/>
  <c r="GD22" i="18"/>
  <c r="FN27" i="18"/>
  <c r="BB26" i="18"/>
  <c r="BG26" i="18" s="1"/>
  <c r="HF25" i="18"/>
  <c r="GD25" i="18"/>
  <c r="BB25" i="18"/>
  <c r="Z25" i="18"/>
  <c r="HF24" i="18"/>
  <c r="GD24" i="18"/>
  <c r="EL23" i="18"/>
  <c r="BB29" i="18"/>
  <c r="AN29" i="18"/>
  <c r="HF28" i="18"/>
  <c r="GR28" i="18"/>
  <c r="GD26" i="18"/>
  <c r="EL24" i="18"/>
  <c r="FN23" i="18"/>
  <c r="GR22" i="18"/>
  <c r="EL28" i="18"/>
  <c r="HF26" i="18"/>
  <c r="EL26" i="18"/>
  <c r="EZ29" i="18"/>
  <c r="CJ29" i="18"/>
  <c r="BR28" i="18"/>
  <c r="BB27" i="18"/>
  <c r="FN25" i="18"/>
  <c r="FS25" i="18" s="1"/>
  <c r="FN24" i="18"/>
  <c r="BR24" i="18"/>
  <c r="BR23" i="18"/>
  <c r="DH21" i="18"/>
  <c r="BB21" i="18"/>
  <c r="BR20" i="18"/>
  <c r="Z20" i="18"/>
  <c r="FN19" i="18"/>
  <c r="DH19" i="18"/>
  <c r="EL18" i="18"/>
  <c r="DH18" i="18"/>
  <c r="EL17" i="18"/>
  <c r="AD20" i="18"/>
  <c r="GR19" i="18"/>
  <c r="FR19" i="18"/>
  <c r="BR19" i="18"/>
  <c r="BR18" i="18"/>
  <c r="DH17" i="18"/>
  <c r="BR17" i="18"/>
  <c r="DH22" i="18"/>
  <c r="BR21" i="18"/>
  <c r="CT20" i="18"/>
  <c r="DX20" i="18"/>
  <c r="AN22" i="18"/>
  <c r="P22" i="18"/>
  <c r="GR21" i="18"/>
  <c r="GR20" i="18"/>
  <c r="FR20" i="18"/>
  <c r="DH20" i="18"/>
  <c r="BB20" i="18"/>
  <c r="GH19" i="18"/>
  <c r="EL19" i="18"/>
  <c r="EQ19" i="18" s="1"/>
  <c r="BB19" i="18"/>
  <c r="BB18" i="18"/>
  <c r="BB17" i="18"/>
  <c r="Z16" i="18"/>
  <c r="GD14" i="18"/>
  <c r="P14" i="18"/>
  <c r="P13" i="18"/>
  <c r="HX15" i="18"/>
  <c r="GR15" i="18"/>
  <c r="GW15" i="18" s="1"/>
  <c r="FN15" i="18"/>
  <c r="P15" i="18"/>
  <c r="FD14" i="18"/>
  <c r="HT13" i="18"/>
  <c r="HT12" i="18"/>
  <c r="HT11" i="18"/>
  <c r="DH16" i="18"/>
  <c r="GR14" i="18"/>
  <c r="GW14" i="18" s="1"/>
  <c r="DH14" i="18"/>
  <c r="CT14" i="18"/>
  <c r="HX13" i="18"/>
  <c r="CT13" i="18"/>
  <c r="CX12" i="18"/>
  <c r="BB12" i="18"/>
  <c r="DH15" i="18"/>
  <c r="EZ13" i="18"/>
  <c r="AN16" i="18"/>
  <c r="EZ10" i="18"/>
  <c r="P16" i="18"/>
  <c r="HX14" i="18"/>
  <c r="CF14" i="18"/>
  <c r="CF13" i="18"/>
  <c r="FR11" i="18"/>
  <c r="FN11" i="18"/>
  <c r="FN10" i="18"/>
  <c r="CT8" i="18"/>
  <c r="AN8" i="18"/>
  <c r="GD7" i="18"/>
  <c r="BR6" i="18"/>
  <c r="Z6" i="18"/>
  <c r="FR5" i="18"/>
  <c r="CT4" i="18"/>
  <c r="GD3" i="18"/>
  <c r="AN12" i="18"/>
  <c r="GR10" i="18"/>
  <c r="FR10" i="18"/>
  <c r="GD9" i="18"/>
  <c r="CT9" i="18"/>
  <c r="HF8" i="18"/>
  <c r="DX8" i="18"/>
  <c r="CX8" i="18"/>
  <c r="BB8" i="18"/>
  <c r="BG8" i="18" s="1"/>
  <c r="GH7" i="18"/>
  <c r="FN6" i="18"/>
  <c r="DH6" i="18"/>
  <c r="AD6" i="18"/>
  <c r="GR5" i="18"/>
  <c r="GW5" i="18" s="1"/>
  <c r="HF4" i="18"/>
  <c r="DX4" i="18"/>
  <c r="CX4" i="18"/>
  <c r="AN4" i="18"/>
  <c r="AS4" i="18" s="1"/>
  <c r="HF3" i="18"/>
  <c r="GH3" i="18"/>
  <c r="EP11" i="18"/>
  <c r="AN11" i="18"/>
  <c r="HF10" i="18"/>
  <c r="EP10" i="18"/>
  <c r="BB10" i="18"/>
  <c r="GH9" i="18"/>
  <c r="DX9" i="18"/>
  <c r="CX9" i="18"/>
  <c r="GD8" i="18"/>
  <c r="BR7" i="18"/>
  <c r="Z7" i="18"/>
  <c r="FR6" i="18"/>
  <c r="CT5" i="18"/>
  <c r="GD4" i="18"/>
  <c r="DH12" i="18"/>
  <c r="HX11" i="18"/>
  <c r="GD11" i="18"/>
  <c r="DH11" i="18"/>
  <c r="BB11" i="18"/>
  <c r="DH10" i="18"/>
  <c r="DM10" i="18" s="1"/>
  <c r="Z10" i="18"/>
  <c r="HJ9" i="18"/>
  <c r="AN9" i="18"/>
  <c r="GH8" i="18"/>
  <c r="EL8" i="18"/>
  <c r="FN7" i="18"/>
  <c r="DH7" i="18"/>
  <c r="AD7" i="18"/>
  <c r="HF6" i="18"/>
  <c r="GR6" i="18"/>
  <c r="HF5" i="18"/>
  <c r="DX5" i="18"/>
  <c r="AN5" i="18"/>
  <c r="AS5" i="18" s="1"/>
  <c r="GH4" i="18"/>
  <c r="BB4" i="18"/>
  <c r="EL3" i="18"/>
  <c r="DH3" i="18"/>
  <c r="BB3" i="18"/>
  <c r="AD3" i="18"/>
  <c r="P12" i="18"/>
  <c r="GD10" i="18"/>
  <c r="AD10" i="18"/>
  <c r="EL9" i="18"/>
  <c r="DH8" i="18"/>
  <c r="BR8" i="18"/>
  <c r="FR3" i="18"/>
  <c r="BR11" i="18"/>
  <c r="Z11" i="18"/>
  <c r="BR10" i="18"/>
  <c r="BF10" i="18"/>
  <c r="FN9" i="18"/>
  <c r="BB9" i="18"/>
  <c r="AD8" i="18"/>
  <c r="HF7" i="18"/>
  <c r="EL6" i="18"/>
  <c r="CX6" i="18"/>
  <c r="BB6" i="18"/>
  <c r="BG6" i="18" s="1"/>
  <c r="AN6" i="18"/>
  <c r="GH5" i="18"/>
  <c r="EL5" i="18"/>
  <c r="BB5" i="18"/>
  <c r="FN4" i="18"/>
  <c r="EL4" i="18"/>
  <c r="DH4" i="18"/>
  <c r="AD4" i="18"/>
  <c r="GR3" i="18"/>
  <c r="CJ12" i="18"/>
  <c r="GR11" i="18"/>
  <c r="DX11" i="18"/>
  <c r="CT11" i="18"/>
  <c r="AD11" i="18"/>
  <c r="DX10" i="18"/>
  <c r="CT10" i="18"/>
  <c r="GR9" i="18"/>
  <c r="FR9" i="18"/>
  <c r="DH9" i="18"/>
  <c r="Z9" i="18"/>
  <c r="FR8" i="18"/>
  <c r="GD6" i="18"/>
  <c r="Z5" i="18"/>
  <c r="FR4" i="18"/>
  <c r="Z2" i="18"/>
  <c r="AD2" i="18"/>
  <c r="R9" i="25"/>
  <c r="R8" i="25"/>
  <c r="R7" i="25"/>
  <c r="R6" i="25"/>
  <c r="R5" i="25"/>
  <c r="R4" i="25"/>
  <c r="R3" i="25"/>
  <c r="AE2" i="25" l="1"/>
  <c r="AF2" i="25" s="1"/>
  <c r="HY30" i="18"/>
  <c r="GW37" i="18"/>
  <c r="GI42" i="18"/>
  <c r="BW51" i="18"/>
  <c r="GI41" i="18"/>
  <c r="FS51" i="18"/>
  <c r="BG59" i="18"/>
  <c r="GI59" i="18"/>
  <c r="DM52" i="18"/>
  <c r="BW58" i="18"/>
  <c r="AE57" i="18"/>
  <c r="GI56" i="18"/>
  <c r="GW55" i="18"/>
  <c r="DM56" i="18"/>
  <c r="CY65" i="18"/>
  <c r="EQ54" i="18"/>
  <c r="GI64" i="18"/>
  <c r="GI65" i="18"/>
  <c r="BW40" i="18"/>
  <c r="HK35" i="18"/>
  <c r="GW49" i="18"/>
  <c r="FS56" i="18"/>
  <c r="FS65" i="18"/>
  <c r="HY32" i="18"/>
  <c r="FE33" i="18"/>
  <c r="GI32" i="18"/>
  <c r="Q38" i="18"/>
  <c r="CK64" i="18"/>
  <c r="Q65" i="18"/>
  <c r="GI62" i="18"/>
  <c r="BW59" i="18"/>
  <c r="HY36" i="18"/>
  <c r="HK61" i="18"/>
  <c r="HY52" i="18"/>
  <c r="BG55" i="18"/>
  <c r="FE55" i="18"/>
  <c r="EC55" i="18"/>
  <c r="AS61" i="18"/>
  <c r="CY63" i="18"/>
  <c r="HK58" i="18"/>
  <c r="DM39" i="18"/>
  <c r="GW24" i="18"/>
  <c r="EQ43" i="18"/>
  <c r="CY40" i="18"/>
  <c r="CY47" i="18"/>
  <c r="CK59" i="18"/>
  <c r="AE46" i="18"/>
  <c r="DM63" i="18"/>
  <c r="AE40" i="18"/>
  <c r="BW41" i="18"/>
  <c r="HY64" i="18"/>
  <c r="CK35" i="18"/>
  <c r="BG56" i="18"/>
  <c r="HK60" i="18"/>
  <c r="EC51" i="18"/>
  <c r="HK50" i="18"/>
  <c r="BG58" i="18"/>
  <c r="GW40" i="18"/>
  <c r="AS40" i="18"/>
  <c r="BW42" i="18"/>
  <c r="FS27" i="18"/>
  <c r="EC41" i="18"/>
  <c r="BW35" i="18"/>
  <c r="BG21" i="18"/>
  <c r="HK15" i="18"/>
  <c r="BG41" i="18"/>
  <c r="HK54" i="18"/>
  <c r="BW62" i="18"/>
  <c r="Q34" i="18"/>
  <c r="BW61" i="18"/>
  <c r="BG42" i="18"/>
  <c r="GI55" i="18"/>
  <c r="AE62" i="18"/>
  <c r="AE55" i="18"/>
  <c r="BG40" i="18"/>
  <c r="AE15" i="18"/>
  <c r="CY25" i="18"/>
  <c r="BW36" i="18"/>
  <c r="AS10" i="18"/>
  <c r="AS8" i="18"/>
  <c r="Q8" i="18"/>
  <c r="HK55" i="18"/>
  <c r="AE36" i="18"/>
  <c r="DM59" i="18"/>
  <c r="HY33" i="18"/>
  <c r="AE32" i="18"/>
  <c r="EQ51" i="18"/>
  <c r="FE59" i="18"/>
  <c r="AE33" i="18"/>
  <c r="Q54" i="18"/>
  <c r="BW65" i="18"/>
  <c r="CY57" i="18"/>
  <c r="CY44" i="18"/>
  <c r="EC15" i="18"/>
  <c r="EQ12" i="18"/>
  <c r="Q51" i="18"/>
  <c r="GI50" i="18"/>
  <c r="DM57" i="18"/>
  <c r="HK47" i="18"/>
  <c r="FS62" i="18"/>
  <c r="FE50" i="18"/>
  <c r="CY43" i="18"/>
  <c r="BG34" i="18"/>
  <c r="CK45" i="18"/>
  <c r="DM62" i="18"/>
  <c r="HK46" i="18"/>
  <c r="CK40" i="18"/>
  <c r="DN40" i="18" s="1"/>
  <c r="DO40" i="18" s="1"/>
  <c r="HY61" i="18"/>
  <c r="AE13" i="18"/>
  <c r="AS30" i="18"/>
  <c r="GW19" i="18"/>
  <c r="EQ30" i="18"/>
  <c r="EC12" i="18"/>
  <c r="HK22" i="18"/>
  <c r="EQ23" i="18"/>
  <c r="DM29" i="18"/>
  <c r="HK23" i="18"/>
  <c r="BG31" i="18"/>
  <c r="CY21" i="18"/>
  <c r="CK10" i="18"/>
  <c r="CK16" i="18"/>
  <c r="AS28" i="18"/>
  <c r="AS24" i="18"/>
  <c r="AS26" i="18"/>
  <c r="DM18" i="18"/>
  <c r="DM26" i="18"/>
  <c r="DM25" i="18"/>
  <c r="DM21" i="18"/>
  <c r="CY36" i="18"/>
  <c r="GW8" i="18"/>
  <c r="EC47" i="18"/>
  <c r="HY46" i="18"/>
  <c r="AE48" i="18"/>
  <c r="EC62" i="18"/>
  <c r="CK60" i="18"/>
  <c r="AS14" i="18"/>
  <c r="GW29" i="18"/>
  <c r="EC52" i="18"/>
  <c r="BG20" i="18"/>
  <c r="BG36" i="18"/>
  <c r="HK38" i="18"/>
  <c r="HZ38" i="18" s="1"/>
  <c r="IA38" i="18" s="1"/>
  <c r="AE50" i="18"/>
  <c r="AS23" i="18"/>
  <c r="Q45" i="18"/>
  <c r="GW57" i="18"/>
  <c r="GI52" i="18"/>
  <c r="EQ40" i="18"/>
  <c r="FT40" i="18" s="1"/>
  <c r="FU40" i="18" s="1"/>
  <c r="GW32" i="18"/>
  <c r="EC36" i="18"/>
  <c r="FS49" i="18"/>
  <c r="EC11" i="18"/>
  <c r="AE16" i="18"/>
  <c r="CK49" i="18"/>
  <c r="EQ49" i="18"/>
  <c r="GI34" i="18"/>
  <c r="DM44" i="18"/>
  <c r="AS44" i="18"/>
  <c r="HY47" i="18"/>
  <c r="DM30" i="18"/>
  <c r="BG49" i="18"/>
  <c r="Q56" i="18"/>
  <c r="BW44" i="18"/>
  <c r="AS49" i="18"/>
  <c r="CY46" i="18"/>
  <c r="CY50" i="18"/>
  <c r="DM7" i="18"/>
  <c r="DM17" i="18"/>
  <c r="EQ18" i="18"/>
  <c r="HK26" i="18"/>
  <c r="BW33" i="18"/>
  <c r="DM43" i="18"/>
  <c r="HY50" i="18"/>
  <c r="FS50" i="18"/>
  <c r="FS53" i="18"/>
  <c r="FT53" i="18" s="1"/>
  <c r="FU53" i="18" s="1"/>
  <c r="EQ14" i="18"/>
  <c r="EQ21" i="18"/>
  <c r="GI18" i="18"/>
  <c r="EC14" i="18"/>
  <c r="CY41" i="18"/>
  <c r="GI54" i="18"/>
  <c r="DM12" i="18"/>
  <c r="GW3" i="18"/>
  <c r="FS7" i="18"/>
  <c r="GI28" i="18"/>
  <c r="BW34" i="18"/>
  <c r="DM31" i="18"/>
  <c r="DM34" i="18"/>
  <c r="AE41" i="18"/>
  <c r="BW38" i="18"/>
  <c r="CK43" i="18"/>
  <c r="CK42" i="18"/>
  <c r="HY56" i="18"/>
  <c r="GI12" i="18"/>
  <c r="HK16" i="18"/>
  <c r="EQ22" i="18"/>
  <c r="BG11" i="18"/>
  <c r="AS59" i="18"/>
  <c r="Q23" i="18"/>
  <c r="EQ8" i="18"/>
  <c r="CK25" i="18"/>
  <c r="GI47" i="18"/>
  <c r="AE60" i="18"/>
  <c r="AE59" i="18"/>
  <c r="HK5" i="18"/>
  <c r="FE6" i="18"/>
  <c r="DM13" i="18"/>
  <c r="HY17" i="18"/>
  <c r="DM64" i="18"/>
  <c r="BW21" i="18"/>
  <c r="FS44" i="18"/>
  <c r="CY35" i="18"/>
  <c r="CY53" i="18"/>
  <c r="FE51" i="18"/>
  <c r="AE19" i="18"/>
  <c r="FS17" i="18"/>
  <c r="BG22" i="18"/>
  <c r="Q60" i="18"/>
  <c r="GW56" i="18"/>
  <c r="GW52" i="18"/>
  <c r="HZ52" i="18" s="1"/>
  <c r="IA52" i="18" s="1"/>
  <c r="HY59" i="18"/>
  <c r="CY60" i="18"/>
  <c r="GW17" i="18"/>
  <c r="CK38" i="18"/>
  <c r="DM42" i="18"/>
  <c r="CY61" i="18"/>
  <c r="HY51" i="18"/>
  <c r="HZ51" i="18" s="1"/>
  <c r="IA51" i="18" s="1"/>
  <c r="DM46" i="18"/>
  <c r="DM6" i="18"/>
  <c r="GW21" i="18"/>
  <c r="CK21" i="18"/>
  <c r="EQ29" i="18"/>
  <c r="DM23" i="18"/>
  <c r="AE47" i="18"/>
  <c r="Q33" i="18"/>
  <c r="FE34" i="18"/>
  <c r="HY58" i="18"/>
  <c r="CY26" i="18"/>
  <c r="BG12" i="18"/>
  <c r="GW35" i="18"/>
  <c r="HZ35" i="18" s="1"/>
  <c r="IA35" i="18" s="1"/>
  <c r="FE43" i="18"/>
  <c r="HY10" i="18"/>
  <c r="BG18" i="18"/>
  <c r="BW39" i="18"/>
  <c r="CY12" i="18"/>
  <c r="EC58" i="18"/>
  <c r="AE9" i="18"/>
  <c r="EQ5" i="18"/>
  <c r="HY12" i="18"/>
  <c r="AE4" i="18"/>
  <c r="DM11" i="18"/>
  <c r="FE10" i="18"/>
  <c r="GI24" i="18"/>
  <c r="GW43" i="18"/>
  <c r="HY19" i="18"/>
  <c r="DM9" i="18"/>
  <c r="Q50" i="18"/>
  <c r="EQ45" i="18"/>
  <c r="CK29" i="18"/>
  <c r="FS60" i="18"/>
  <c r="GW61" i="18"/>
  <c r="AE29" i="18"/>
  <c r="HY54" i="18"/>
  <c r="GI29" i="18"/>
  <c r="AS57" i="18"/>
  <c r="FS20" i="18"/>
  <c r="AE23" i="18"/>
  <c r="EQ26" i="18"/>
  <c r="EQ34" i="18"/>
  <c r="FS39" i="18"/>
  <c r="GI46" i="18"/>
  <c r="AS17" i="18"/>
  <c r="CK15" i="18"/>
  <c r="AS46" i="18"/>
  <c r="FS55" i="18"/>
  <c r="BW57" i="18"/>
  <c r="FS59" i="18"/>
  <c r="EC33" i="18"/>
  <c r="Q26" i="18"/>
  <c r="FE24" i="18"/>
  <c r="Q52" i="18"/>
  <c r="BH52" i="18" s="1"/>
  <c r="BI52" i="18" s="1"/>
  <c r="HK12" i="18"/>
  <c r="CY34" i="18"/>
  <c r="EQ38" i="18"/>
  <c r="CY64" i="18"/>
  <c r="FE22" i="18"/>
  <c r="EQ28" i="18"/>
  <c r="AS29" i="18"/>
  <c r="HK25" i="18"/>
  <c r="GI13" i="18"/>
  <c r="AS7" i="18"/>
  <c r="GI31" i="18"/>
  <c r="BG23" i="18"/>
  <c r="AE27" i="18"/>
  <c r="BW22" i="18"/>
  <c r="HY24" i="18"/>
  <c r="AS35" i="18"/>
  <c r="FS36" i="18"/>
  <c r="CY15" i="18"/>
  <c r="EQ65" i="18"/>
  <c r="HK34" i="18"/>
  <c r="HK63" i="18"/>
  <c r="FS19" i="18"/>
  <c r="AE38" i="18"/>
  <c r="EQ24" i="18"/>
  <c r="HK14" i="18"/>
  <c r="FE17" i="18"/>
  <c r="AS18" i="18"/>
  <c r="Q32" i="18"/>
  <c r="Q57" i="18"/>
  <c r="EQ58" i="18"/>
  <c r="EC9" i="18"/>
  <c r="GI26" i="18"/>
  <c r="HY3" i="18"/>
  <c r="DM5" i="18"/>
  <c r="HK17" i="18"/>
  <c r="GW10" i="18"/>
  <c r="DM22" i="18"/>
  <c r="GW36" i="18"/>
  <c r="Q6" i="18"/>
  <c r="FE28" i="18"/>
  <c r="HY31" i="18"/>
  <c r="Q40" i="18"/>
  <c r="AE54" i="18"/>
  <c r="FE58" i="18"/>
  <c r="AE64" i="18"/>
  <c r="GI19" i="18"/>
  <c r="BW24" i="18"/>
  <c r="BW31" i="18"/>
  <c r="AS39" i="18"/>
  <c r="CY49" i="18"/>
  <c r="EQ25" i="18"/>
  <c r="FS30" i="18"/>
  <c r="HK13" i="18"/>
  <c r="BG15" i="18"/>
  <c r="AE31" i="18"/>
  <c r="CK23" i="18"/>
  <c r="FS34" i="18"/>
  <c r="EC45" i="18"/>
  <c r="Q55" i="18"/>
  <c r="HK9" i="18"/>
  <c r="GI9" i="18"/>
  <c r="FS24" i="18"/>
  <c r="FS21" i="18"/>
  <c r="AS15" i="18"/>
  <c r="GW23" i="18"/>
  <c r="EQ3" i="18"/>
  <c r="EQ10" i="18"/>
  <c r="EC4" i="18"/>
  <c r="FS23" i="18"/>
  <c r="EC35" i="18"/>
  <c r="J64" i="27"/>
  <c r="GW27" i="18"/>
  <c r="Q59" i="18"/>
  <c r="EC60" i="18"/>
  <c r="GW6" i="18"/>
  <c r="HY14" i="18"/>
  <c r="DM20" i="18"/>
  <c r="GI39" i="18"/>
  <c r="HK10" i="18"/>
  <c r="BW20" i="18"/>
  <c r="EQ46" i="18"/>
  <c r="FE9" i="18"/>
  <c r="CK22" i="18"/>
  <c r="AE22" i="18"/>
  <c r="AS55" i="18"/>
  <c r="FE13" i="18"/>
  <c r="FE29" i="18"/>
  <c r="DM35" i="18"/>
  <c r="GW39" i="18"/>
  <c r="FE49" i="18"/>
  <c r="AS48" i="18"/>
  <c r="Q58" i="18"/>
  <c r="BH58" i="18" s="1"/>
  <c r="BI58" i="18" s="1"/>
  <c r="CY32" i="18"/>
  <c r="CK8" i="18"/>
  <c r="FE32" i="18"/>
  <c r="GW30" i="18"/>
  <c r="HY16" i="18"/>
  <c r="BG28" i="18"/>
  <c r="GI61" i="18"/>
  <c r="GW9" i="18"/>
  <c r="AS6" i="18"/>
  <c r="DM14" i="18"/>
  <c r="FS15" i="18"/>
  <c r="DM41" i="18"/>
  <c r="CK4" i="18"/>
  <c r="AS25" i="18"/>
  <c r="BW60" i="18"/>
  <c r="AE63" i="18"/>
  <c r="BH63" i="18" s="1"/>
  <c r="BI63" i="18" s="1"/>
  <c r="GI45" i="18"/>
  <c r="HK28" i="18"/>
  <c r="EC29" i="18"/>
  <c r="HY42" i="18"/>
  <c r="CY27" i="18"/>
  <c r="FS28" i="18"/>
  <c r="FE31" i="18"/>
  <c r="AS53" i="18"/>
  <c r="CK65" i="18"/>
  <c r="BG46" i="18"/>
  <c r="BG57" i="18"/>
  <c r="BG19" i="18"/>
  <c r="GW22" i="18"/>
  <c r="BG24" i="18"/>
  <c r="DM48" i="18"/>
  <c r="CK52" i="18"/>
  <c r="HY4" i="18"/>
  <c r="CY31" i="18"/>
  <c r="HY25" i="18"/>
  <c r="FS47" i="18"/>
  <c r="CY33" i="18"/>
  <c r="AE45" i="18"/>
  <c r="GI60" i="18"/>
  <c r="HZ60" i="18" s="1"/>
  <c r="IA60" i="18" s="1"/>
  <c r="HK57" i="18"/>
  <c r="FE65" i="18"/>
  <c r="FE21" i="18"/>
  <c r="GI6" i="18"/>
  <c r="BW11" i="18"/>
  <c r="AE3" i="18"/>
  <c r="AS9" i="18"/>
  <c r="EQ48" i="18"/>
  <c r="CY17" i="18"/>
  <c r="Q27" i="18"/>
  <c r="CY24" i="18"/>
  <c r="AE30" i="18"/>
  <c r="EQ15" i="18"/>
  <c r="Q36" i="18"/>
  <c r="Q46" i="18"/>
  <c r="HY20" i="18"/>
  <c r="EC38" i="18"/>
  <c r="FS46" i="18"/>
  <c r="FE19" i="18"/>
  <c r="AS54" i="18"/>
  <c r="BH54" i="18" s="1"/>
  <c r="BI54" i="18" s="1"/>
  <c r="CY59" i="18"/>
  <c r="CK12" i="18"/>
  <c r="HK6" i="18"/>
  <c r="AS12" i="18"/>
  <c r="AS16" i="18"/>
  <c r="GW20" i="18"/>
  <c r="BW17" i="18"/>
  <c r="EQ17" i="18"/>
  <c r="GI23" i="18"/>
  <c r="EC34" i="18"/>
  <c r="EQ35" i="18"/>
  <c r="EQ39" i="18"/>
  <c r="AS42" i="18"/>
  <c r="HK49" i="18"/>
  <c r="FS54" i="18"/>
  <c r="FT54" i="18" s="1"/>
  <c r="FU54" i="18" s="1"/>
  <c r="CK54" i="18"/>
  <c r="FS14" i="18"/>
  <c r="HK21" i="18"/>
  <c r="AS33" i="18"/>
  <c r="CK33" i="18"/>
  <c r="GI36" i="18"/>
  <c r="HK45" i="18"/>
  <c r="DM58" i="18"/>
  <c r="GW34" i="18"/>
  <c r="DM33" i="18"/>
  <c r="AE39" i="18"/>
  <c r="FE57" i="18"/>
  <c r="FT57" i="18" s="1"/>
  <c r="FU57" i="18" s="1"/>
  <c r="AS62" i="18"/>
  <c r="EC3" i="18"/>
  <c r="CK3" i="18"/>
  <c r="GI17" i="18"/>
  <c r="EC24" i="18"/>
  <c r="EQ27" i="18"/>
  <c r="CY29" i="18"/>
  <c r="Q47" i="18"/>
  <c r="EC8" i="18"/>
  <c r="BW18" i="18"/>
  <c r="BG27" i="18"/>
  <c r="CY6" i="18"/>
  <c r="GI4" i="18"/>
  <c r="AS11" i="18"/>
  <c r="HK8" i="18"/>
  <c r="EC20" i="18"/>
  <c r="AE25" i="18"/>
  <c r="EQ33" i="18"/>
  <c r="FE52" i="18"/>
  <c r="HY9" i="18"/>
  <c r="Q31" i="18"/>
  <c r="BW29" i="18"/>
  <c r="BW13" i="18"/>
  <c r="BW55" i="18"/>
  <c r="GI14" i="18"/>
  <c r="EC10" i="18"/>
  <c r="BW28" i="18"/>
  <c r="BG39" i="18"/>
  <c r="GI11" i="18"/>
  <c r="DM19" i="18"/>
  <c r="BG25" i="18"/>
  <c r="EC43" i="18"/>
  <c r="HK48" i="18"/>
  <c r="HY48" i="18"/>
  <c r="Q3" i="18"/>
  <c r="EQ20" i="18"/>
  <c r="BW14" i="18"/>
  <c r="AS27" i="18"/>
  <c r="DM28" i="18"/>
  <c r="GI30" i="18"/>
  <c r="FS26" i="18"/>
  <c r="HK29" i="18"/>
  <c r="HY29" i="18"/>
  <c r="AE56" i="18"/>
  <c r="Q9" i="18"/>
  <c r="FS8" i="18"/>
  <c r="EC5" i="18"/>
  <c r="CY20" i="18"/>
  <c r="EQ31" i="18"/>
  <c r="CK39" i="18"/>
  <c r="CY45" i="18"/>
  <c r="Q20" i="18"/>
  <c r="GW7" i="18"/>
  <c r="FE20" i="18"/>
  <c r="GI16" i="18"/>
  <c r="HY22" i="18"/>
  <c r="Q30" i="18"/>
  <c r="CK24" i="18"/>
  <c r="EQ64" i="18"/>
  <c r="FS63" i="18"/>
  <c r="FS37" i="18"/>
  <c r="BG47" i="18"/>
  <c r="HK11" i="18"/>
  <c r="GI5" i="18"/>
  <c r="EQ11" i="18"/>
  <c r="HK24" i="18"/>
  <c r="DM47" i="18"/>
  <c r="DN47" i="18" s="1"/>
  <c r="DO47" i="18" s="1"/>
  <c r="Q24" i="18"/>
  <c r="BW4" i="18"/>
  <c r="FE30" i="18"/>
  <c r="EC25" i="18"/>
  <c r="HK44" i="18"/>
  <c r="HZ44" i="18" s="1"/>
  <c r="IA44" i="18" s="1"/>
  <c r="GW4" i="18"/>
  <c r="DM8" i="18"/>
  <c r="AE8" i="18"/>
  <c r="BG17" i="18"/>
  <c r="GI22" i="18"/>
  <c r="EC39" i="18"/>
  <c r="FE26" i="18"/>
  <c r="GW45" i="18"/>
  <c r="AE35" i="18"/>
  <c r="FE41" i="18"/>
  <c r="HK43" i="18"/>
  <c r="N57" i="27"/>
  <c r="CY42" i="18"/>
  <c r="CK7" i="18"/>
  <c r="EC13" i="18"/>
  <c r="HY26" i="18"/>
  <c r="FS31" i="18"/>
  <c r="CK63" i="18"/>
  <c r="CY56" i="18"/>
  <c r="CY5" i="18"/>
  <c r="HY28" i="18"/>
  <c r="EC50" i="18"/>
  <c r="FS16" i="18"/>
  <c r="HY7" i="18"/>
  <c r="BW10" i="18"/>
  <c r="GW13" i="18"/>
  <c r="AE17" i="18"/>
  <c r="EC19" i="18"/>
  <c r="FT19" i="18" s="1"/>
  <c r="FU19" i="18" s="1"/>
  <c r="AS32" i="18"/>
  <c r="FS33" i="18"/>
  <c r="N36" i="27"/>
  <c r="BG50" i="18"/>
  <c r="EQ44" i="18"/>
  <c r="FE5" i="18"/>
  <c r="Q62" i="18"/>
  <c r="FS12" i="18"/>
  <c r="FE3" i="18"/>
  <c r="EC16" i="18"/>
  <c r="HY21" i="18"/>
  <c r="AS65" i="18"/>
  <c r="CY11" i="18"/>
  <c r="CK55" i="18"/>
  <c r="DM65" i="18"/>
  <c r="HZ62" i="18"/>
  <c r="IA62" i="18" s="1"/>
  <c r="BW48" i="18"/>
  <c r="BW7" i="18"/>
  <c r="BW12" i="18"/>
  <c r="GW16" i="18"/>
  <c r="BW9" i="18"/>
  <c r="BG13" i="18"/>
  <c r="N30" i="27"/>
  <c r="FE23" i="18"/>
  <c r="BW27" i="18"/>
  <c r="EC28" i="18"/>
  <c r="FS32" i="18"/>
  <c r="BW64" i="18"/>
  <c r="BG65" i="18"/>
  <c r="HK64" i="18"/>
  <c r="HZ64" i="18" s="1"/>
  <c r="IA64" i="18" s="1"/>
  <c r="HK65" i="18"/>
  <c r="Q19" i="18"/>
  <c r="FS18" i="18"/>
  <c r="HY23" i="18"/>
  <c r="CY28" i="18"/>
  <c r="Q48" i="18"/>
  <c r="J48" i="27"/>
  <c r="HK30" i="18"/>
  <c r="AS34" i="18"/>
  <c r="J47" i="27"/>
  <c r="J46" i="27"/>
  <c r="HK37" i="18"/>
  <c r="N47" i="27"/>
  <c r="J55" i="27"/>
  <c r="J53" i="27"/>
  <c r="FS42" i="18"/>
  <c r="BG38" i="18"/>
  <c r="N62" i="27"/>
  <c r="EC59" i="18"/>
  <c r="J62" i="27"/>
  <c r="FE12" i="18"/>
  <c r="FE15" i="18"/>
  <c r="N25" i="27"/>
  <c r="GW26" i="18"/>
  <c r="CK31" i="18"/>
  <c r="J36" i="27"/>
  <c r="J37" i="27"/>
  <c r="HK33" i="18"/>
  <c r="J57" i="27"/>
  <c r="N59" i="27"/>
  <c r="J51" i="27"/>
  <c r="J63" i="27"/>
  <c r="J54" i="27"/>
  <c r="J45" i="27"/>
  <c r="FS58" i="18"/>
  <c r="EC42" i="18"/>
  <c r="Q43" i="18"/>
  <c r="N43" i="27"/>
  <c r="GW42" i="18"/>
  <c r="AE5" i="18"/>
  <c r="CY10" i="18"/>
  <c r="BW8" i="18"/>
  <c r="HY11" i="18"/>
  <c r="CK13" i="18"/>
  <c r="CY13" i="18"/>
  <c r="FE14" i="18"/>
  <c r="AS22" i="18"/>
  <c r="BW23" i="18"/>
  <c r="GW28" i="18"/>
  <c r="AE24" i="18"/>
  <c r="EC32" i="18"/>
  <c r="AS43" i="18"/>
  <c r="AS47" i="18"/>
  <c r="FS48" i="18"/>
  <c r="Q64" i="18"/>
  <c r="Q25" i="18"/>
  <c r="CY3" i="18"/>
  <c r="AS20" i="18"/>
  <c r="CK9" i="18"/>
  <c r="GI15" i="18"/>
  <c r="EC26" i="18"/>
  <c r="J56" i="27"/>
  <c r="J34" i="27"/>
  <c r="N33" i="27"/>
  <c r="J35" i="27"/>
  <c r="N40" i="27"/>
  <c r="N51" i="27"/>
  <c r="J39" i="27"/>
  <c r="J61" i="27"/>
  <c r="HY65" i="18"/>
  <c r="N60" i="27"/>
  <c r="N48" i="27"/>
  <c r="Q41" i="18"/>
  <c r="N41" i="27"/>
  <c r="FT61" i="18"/>
  <c r="FU61" i="18" s="1"/>
  <c r="J44" i="27"/>
  <c r="J42" i="27"/>
  <c r="Q37" i="18"/>
  <c r="N37" i="27"/>
  <c r="HK32" i="18"/>
  <c r="HZ32" i="18" s="1"/>
  <c r="IA32" i="18" s="1"/>
  <c r="N55" i="27"/>
  <c r="Q53" i="18"/>
  <c r="N53" i="27"/>
  <c r="J65" i="27"/>
  <c r="N54" i="27"/>
  <c r="HY37" i="18"/>
  <c r="HK59" i="18"/>
  <c r="HZ59" i="18" s="1"/>
  <c r="IA59" i="18" s="1"/>
  <c r="N56" i="27"/>
  <c r="J50" i="27"/>
  <c r="J33" i="27"/>
  <c r="J49" i="27"/>
  <c r="Q61" i="18"/>
  <c r="N61" i="27"/>
  <c r="BW56" i="18"/>
  <c r="N63" i="27"/>
  <c r="N39" i="27"/>
  <c r="J38" i="27"/>
  <c r="EC64" i="18"/>
  <c r="J32" i="27"/>
  <c r="EQ4" i="18"/>
  <c r="EQ9" i="18"/>
  <c r="BG4" i="18"/>
  <c r="CK14" i="18"/>
  <c r="DM15" i="18"/>
  <c r="CY14" i="18"/>
  <c r="BW19" i="18"/>
  <c r="BG29" i="18"/>
  <c r="GI25" i="18"/>
  <c r="GI37" i="18"/>
  <c r="DM32" i="18"/>
  <c r="Q42" i="18"/>
  <c r="N42" i="27"/>
  <c r="FE38" i="18"/>
  <c r="GI49" i="18"/>
  <c r="AE49" i="18"/>
  <c r="Q44" i="18"/>
  <c r="FE4" i="18"/>
  <c r="EC7" i="18"/>
  <c r="BW15" i="18"/>
  <c r="FE18" i="18"/>
  <c r="HY18" i="18"/>
  <c r="AE14" i="18"/>
  <c r="CY18" i="18"/>
  <c r="GI10" i="18"/>
  <c r="CY19" i="18"/>
  <c r="CY30" i="18"/>
  <c r="CY23" i="18"/>
  <c r="HY5" i="18"/>
  <c r="J52" i="27"/>
  <c r="J58" i="27"/>
  <c r="AS37" i="18"/>
  <c r="AS36" i="18"/>
  <c r="N46" i="27"/>
  <c r="J41" i="27"/>
  <c r="N45" i="27"/>
  <c r="FE48" i="18"/>
  <c r="BW52" i="18"/>
  <c r="N65" i="27"/>
  <c r="CY54" i="18"/>
  <c r="DM60" i="18"/>
  <c r="EQ37" i="18"/>
  <c r="BG64" i="18"/>
  <c r="N58" i="27"/>
  <c r="N64" i="27"/>
  <c r="J18" i="27"/>
  <c r="AE21" i="18"/>
  <c r="J40" i="27"/>
  <c r="N34" i="27"/>
  <c r="EC46" i="18"/>
  <c r="CK32" i="18"/>
  <c r="BW37" i="18"/>
  <c r="N32" i="27"/>
  <c r="J59" i="27"/>
  <c r="FS41" i="18"/>
  <c r="BG53" i="18"/>
  <c r="EQ60" i="18"/>
  <c r="CK58" i="18"/>
  <c r="N49" i="27"/>
  <c r="GW11" i="18"/>
  <c r="HK7" i="18"/>
  <c r="Q28" i="18"/>
  <c r="FE7" i="18"/>
  <c r="BW6" i="18"/>
  <c r="HK19" i="18"/>
  <c r="DM27" i="18"/>
  <c r="EC30" i="18"/>
  <c r="HY6" i="18"/>
  <c r="J60" i="27"/>
  <c r="Q35" i="18"/>
  <c r="N35" i="27"/>
  <c r="HK18" i="18"/>
  <c r="CK50" i="18"/>
  <c r="N50" i="27"/>
  <c r="N52" i="27"/>
  <c r="N44" i="27"/>
  <c r="GI57" i="18"/>
  <c r="N38" i="27"/>
  <c r="AS60" i="18"/>
  <c r="J43" i="27"/>
  <c r="HK4" i="18"/>
  <c r="EQ6" i="18"/>
  <c r="AS3" i="18"/>
  <c r="CK6" i="18"/>
  <c r="Q5" i="18"/>
  <c r="EC6" i="18"/>
  <c r="FS5" i="18"/>
  <c r="HK3" i="18"/>
  <c r="BG7" i="18"/>
  <c r="Q15" i="18"/>
  <c r="N15" i="27"/>
  <c r="J24" i="27"/>
  <c r="Q13" i="18"/>
  <c r="N13" i="27"/>
  <c r="DM3" i="18"/>
  <c r="CY4" i="18"/>
  <c r="HY13" i="18"/>
  <c r="Q14" i="18"/>
  <c r="N14" i="27"/>
  <c r="FE11" i="18"/>
  <c r="GW18" i="18"/>
  <c r="FS4" i="18"/>
  <c r="FS9" i="18"/>
  <c r="BG5" i="18"/>
  <c r="GI7" i="18"/>
  <c r="FS10" i="18"/>
  <c r="J10" i="27"/>
  <c r="N4" i="27"/>
  <c r="J4" i="27"/>
  <c r="N10" i="27"/>
  <c r="GW12" i="18"/>
  <c r="J15" i="27"/>
  <c r="J21" i="27"/>
  <c r="CK19" i="18"/>
  <c r="J7" i="27"/>
  <c r="EC17" i="18"/>
  <c r="EC22" i="18"/>
  <c r="CY22" i="18"/>
  <c r="BW25" i="18"/>
  <c r="AE28" i="18"/>
  <c r="J3" i="27"/>
  <c r="J12" i="27"/>
  <c r="J13" i="27"/>
  <c r="N11" i="27"/>
  <c r="Q11" i="18"/>
  <c r="Q21" i="18"/>
  <c r="N21" i="27"/>
  <c r="N19" i="27"/>
  <c r="HY27" i="18"/>
  <c r="J22" i="27"/>
  <c r="BW5" i="18"/>
  <c r="J20" i="27"/>
  <c r="J11" i="27"/>
  <c r="N23" i="27"/>
  <c r="J29" i="27"/>
  <c r="FS22" i="18"/>
  <c r="J8" i="27"/>
  <c r="J28" i="27"/>
  <c r="BW3" i="18"/>
  <c r="AS19" i="18"/>
  <c r="J17" i="27"/>
  <c r="N7" i="27"/>
  <c r="N28" i="27"/>
  <c r="CK30" i="18"/>
  <c r="AS31" i="18"/>
  <c r="J14" i="27"/>
  <c r="J31" i="27"/>
  <c r="FS3" i="18"/>
  <c r="AS13" i="18"/>
  <c r="AS21" i="18"/>
  <c r="J19" i="27"/>
  <c r="Q7" i="18"/>
  <c r="AE11" i="18"/>
  <c r="DM4" i="18"/>
  <c r="BG9" i="18"/>
  <c r="Q12" i="18"/>
  <c r="N12" i="27"/>
  <c r="Q16" i="18"/>
  <c r="N16" i="27"/>
  <c r="DM16" i="18"/>
  <c r="HY15" i="18"/>
  <c r="Q17" i="18"/>
  <c r="Q10" i="18"/>
  <c r="J16" i="27"/>
  <c r="J26" i="27"/>
  <c r="J5" i="27"/>
  <c r="J6" i="27"/>
  <c r="N9" i="27"/>
  <c r="N17" i="27"/>
  <c r="EC18" i="18"/>
  <c r="J9" i="27"/>
  <c r="CK17" i="18"/>
  <c r="EQ7" i="18"/>
  <c r="N18" i="27"/>
  <c r="EC21" i="18"/>
  <c r="BW26" i="18"/>
  <c r="CK26" i="18"/>
  <c r="N6" i="27"/>
  <c r="N20" i="27"/>
  <c r="CK11" i="18"/>
  <c r="J27" i="27"/>
  <c r="N31" i="27"/>
  <c r="Q22" i="18"/>
  <c r="N22" i="27"/>
  <c r="BG3" i="18"/>
  <c r="Q18" i="18"/>
  <c r="N3" i="27"/>
  <c r="FE16" i="18"/>
  <c r="N5" i="27"/>
  <c r="N8" i="27"/>
  <c r="N26" i="27"/>
  <c r="HK20" i="18"/>
  <c r="N27" i="27"/>
  <c r="J30" i="27"/>
  <c r="J25" i="27"/>
  <c r="Q29" i="18"/>
  <c r="N29" i="27"/>
  <c r="J23" i="27"/>
  <c r="N24" i="27"/>
  <c r="GI8" i="18"/>
  <c r="CY37" i="18"/>
  <c r="EC44" i="18"/>
  <c r="EQ47" i="18"/>
  <c r="AE10" i="18"/>
  <c r="FE44" i="18"/>
  <c r="DN51" i="18"/>
  <c r="DO51" i="18" s="1"/>
  <c r="AE7" i="18"/>
  <c r="CY9" i="18"/>
  <c r="GI3" i="18"/>
  <c r="CY8" i="18"/>
  <c r="HZ40" i="18"/>
  <c r="IA40" i="18" s="1"/>
  <c r="CY48" i="18"/>
  <c r="AS51" i="18"/>
  <c r="FT56" i="18"/>
  <c r="FU56" i="18" s="1"/>
  <c r="DN62" i="18"/>
  <c r="DO62" i="18" s="1"/>
  <c r="BG10" i="18"/>
  <c r="AE6" i="18"/>
  <c r="DN57" i="18"/>
  <c r="DO57" i="18" s="1"/>
  <c r="EC63" i="18"/>
  <c r="AE20" i="18"/>
  <c r="BW46" i="18"/>
  <c r="DN53" i="18"/>
  <c r="DO53" i="18" s="1"/>
  <c r="FS6" i="18"/>
  <c r="FS11" i="18"/>
  <c r="HZ41" i="18"/>
  <c r="IA41" i="18" s="1"/>
  <c r="GW63" i="18"/>
  <c r="HZ63" i="18" s="1"/>
  <c r="IA63" i="18" s="1"/>
  <c r="HZ53" i="18"/>
  <c r="IA53" i="18" s="1"/>
  <c r="DN61" i="18"/>
  <c r="DO61" i="18" s="1"/>
  <c r="AE2" i="18"/>
  <c r="EA2"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M32" i="20"/>
  <c r="AM33" i="20"/>
  <c r="AM34" i="20"/>
  <c r="AM35" i="20"/>
  <c r="AM36" i="20"/>
  <c r="AM37" i="20"/>
  <c r="AM38" i="20"/>
  <c r="AM39" i="20"/>
  <c r="AM40" i="20"/>
  <c r="AM41" i="20"/>
  <c r="AM42" i="20"/>
  <c r="AM43" i="20"/>
  <c r="AM44" i="20"/>
  <c r="AM45" i="20"/>
  <c r="AM46" i="20"/>
  <c r="AM47" i="20"/>
  <c r="AM48" i="20"/>
  <c r="AM49" i="20"/>
  <c r="AM50" i="20"/>
  <c r="AM51" i="20"/>
  <c r="AM52" i="20"/>
  <c r="AM53" i="20"/>
  <c r="AM54" i="20"/>
  <c r="AM55" i="20"/>
  <c r="AM56" i="20"/>
  <c r="AM57" i="20"/>
  <c r="AM58" i="20"/>
  <c r="AM59" i="20"/>
  <c r="AM60" i="20"/>
  <c r="AM61" i="20"/>
  <c r="AM62" i="20"/>
  <c r="AM63" i="20"/>
  <c r="AM64" i="20"/>
  <c r="AM65" i="20"/>
  <c r="AM66" i="20"/>
  <c r="AM67" i="20"/>
  <c r="AM68" i="20"/>
  <c r="AM69" i="20"/>
  <c r="AM70" i="20"/>
  <c r="AM71" i="20"/>
  <c r="AM72" i="20"/>
  <c r="AM73" i="20"/>
  <c r="AM74" i="20"/>
  <c r="AM75" i="20"/>
  <c r="AM76" i="20"/>
  <c r="AM77" i="20"/>
  <c r="AM78" i="20"/>
  <c r="AM79" i="20"/>
  <c r="AM80" i="20"/>
  <c r="AM81" i="20"/>
  <c r="AM82" i="20"/>
  <c r="AM83" i="20"/>
  <c r="AM84" i="20"/>
  <c r="AM85" i="20"/>
  <c r="AM86" i="20"/>
  <c r="AM87" i="20"/>
  <c r="AM88" i="20"/>
  <c r="AM89" i="20"/>
  <c r="AM90" i="20"/>
  <c r="AM91" i="20"/>
  <c r="AM92" i="20"/>
  <c r="AM93" i="20"/>
  <c r="AM94" i="20"/>
  <c r="AM95" i="20"/>
  <c r="AM96" i="20"/>
  <c r="AM97" i="20"/>
  <c r="AM98" i="20"/>
  <c r="AM99"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A32" i="20"/>
  <c r="AA33" i="20"/>
  <c r="AA34" i="20"/>
  <c r="AA35" i="20"/>
  <c r="AA36" i="20"/>
  <c r="AA37" i="20"/>
  <c r="AA38" i="20"/>
  <c r="AA39" i="20"/>
  <c r="AA40" i="20"/>
  <c r="AA41" i="20"/>
  <c r="AA42" i="20"/>
  <c r="AA43" i="20"/>
  <c r="AA44" i="20"/>
  <c r="AA45" i="20"/>
  <c r="AA46" i="20"/>
  <c r="AA47" i="20"/>
  <c r="AA48" i="20"/>
  <c r="AA49" i="20"/>
  <c r="AA50" i="20"/>
  <c r="AA51" i="20"/>
  <c r="AA52" i="20"/>
  <c r="AA53" i="20"/>
  <c r="AA54" i="20"/>
  <c r="AA55" i="20"/>
  <c r="AA56" i="20"/>
  <c r="AA57" i="20"/>
  <c r="AA58" i="20"/>
  <c r="AA59" i="20"/>
  <c r="AA60" i="20"/>
  <c r="AA61" i="20"/>
  <c r="AA62" i="20"/>
  <c r="AA63" i="20"/>
  <c r="AA64" i="20"/>
  <c r="AA65" i="20"/>
  <c r="AA66" i="20"/>
  <c r="AA67" i="20"/>
  <c r="AA68" i="20"/>
  <c r="AA69" i="20"/>
  <c r="AA70" i="20"/>
  <c r="AA71" i="20"/>
  <c r="AA72" i="20"/>
  <c r="AA73" i="20"/>
  <c r="AA74" i="20"/>
  <c r="AA75" i="20"/>
  <c r="AA76" i="20"/>
  <c r="AA77" i="20"/>
  <c r="AA78" i="20"/>
  <c r="AA79" i="20"/>
  <c r="AA80" i="20"/>
  <c r="AA81" i="20"/>
  <c r="AA82" i="20"/>
  <c r="AA83" i="20"/>
  <c r="AA84" i="20"/>
  <c r="AA85" i="20"/>
  <c r="AA86" i="20"/>
  <c r="AA87" i="20"/>
  <c r="AA88" i="20"/>
  <c r="AA89" i="20"/>
  <c r="AA90" i="20"/>
  <c r="AA91" i="20"/>
  <c r="AA92" i="20"/>
  <c r="AA93" i="20"/>
  <c r="AA94" i="20"/>
  <c r="AA95" i="20"/>
  <c r="AA96" i="20"/>
  <c r="AA97" i="20"/>
  <c r="AA98" i="20"/>
  <c r="AA99" i="20"/>
  <c r="FT62" i="18" l="1"/>
  <c r="FU62" i="18" s="1"/>
  <c r="HZ33" i="18"/>
  <c r="IA33" i="18" s="1"/>
  <c r="FT27" i="18"/>
  <c r="FU27" i="18" s="1"/>
  <c r="HZ55" i="18"/>
  <c r="IA55" i="18" s="1"/>
  <c r="DN63" i="18"/>
  <c r="DO63" i="18" s="1"/>
  <c r="BH56" i="18"/>
  <c r="BI56" i="18" s="1"/>
  <c r="HZ58" i="18"/>
  <c r="IA58" i="18" s="1"/>
  <c r="HZ50" i="18"/>
  <c r="IA50" i="18" s="1"/>
  <c r="DN44" i="18"/>
  <c r="DO44" i="18" s="1"/>
  <c r="HZ61" i="18"/>
  <c r="IA61" i="18" s="1"/>
  <c r="FT55" i="18"/>
  <c r="FU55" i="18" s="1"/>
  <c r="DN36" i="18"/>
  <c r="DO36" i="18" s="1"/>
  <c r="BH4" i="18"/>
  <c r="BI4" i="18" s="1"/>
  <c r="FT39" i="18"/>
  <c r="FU39" i="18" s="1"/>
  <c r="FT36" i="18"/>
  <c r="FU36" i="18" s="1"/>
  <c r="DN16" i="18"/>
  <c r="DO16" i="18" s="1"/>
  <c r="DN38" i="18"/>
  <c r="DO38" i="18" s="1"/>
  <c r="FT50" i="18"/>
  <c r="FU50" i="18" s="1"/>
  <c r="DN48" i="18"/>
  <c r="DO48" i="18" s="1"/>
  <c r="DN50" i="18"/>
  <c r="DO50" i="18" s="1"/>
  <c r="BH32" i="18"/>
  <c r="BI32" i="18" s="1"/>
  <c r="DN59" i="18"/>
  <c r="DO59" i="18" s="1"/>
  <c r="FT51" i="18"/>
  <c r="FU51" i="18" s="1"/>
  <c r="O62" i="27"/>
  <c r="HZ43" i="18"/>
  <c r="IA43" i="18" s="1"/>
  <c r="HZ46" i="18"/>
  <c r="IA46" i="18" s="1"/>
  <c r="HZ54" i="18"/>
  <c r="IA54" i="18" s="1"/>
  <c r="DN43" i="18"/>
  <c r="DO43" i="18" s="1"/>
  <c r="HZ47" i="18"/>
  <c r="IA47" i="18" s="1"/>
  <c r="O40" i="27"/>
  <c r="FT35" i="18"/>
  <c r="FU35" i="18" s="1"/>
  <c r="HZ36" i="18"/>
  <c r="IA36" i="18" s="1"/>
  <c r="BH8" i="18"/>
  <c r="BI8" i="18" s="1"/>
  <c r="DN21" i="18"/>
  <c r="DO21" i="18" s="1"/>
  <c r="BH34" i="18"/>
  <c r="BI34" i="18" s="1"/>
  <c r="DN64" i="18"/>
  <c r="DO64" i="18" s="1"/>
  <c r="DN45" i="18"/>
  <c r="DO45" i="18" s="1"/>
  <c r="O51" i="27"/>
  <c r="FT59" i="18"/>
  <c r="FU59" i="18" s="1"/>
  <c r="DN39" i="18"/>
  <c r="DO39" i="18" s="1"/>
  <c r="BH33" i="18"/>
  <c r="BI33" i="18" s="1"/>
  <c r="BH45" i="18"/>
  <c r="BI45" i="18" s="1"/>
  <c r="DN49" i="18"/>
  <c r="DO49" i="18" s="1"/>
  <c r="DN34" i="18"/>
  <c r="DO34" i="18" s="1"/>
  <c r="HZ56" i="18"/>
  <c r="IA56" i="18" s="1"/>
  <c r="FT25" i="18"/>
  <c r="FU25" i="18" s="1"/>
  <c r="HZ20" i="18"/>
  <c r="IA20" i="18" s="1"/>
  <c r="BH30" i="18"/>
  <c r="BI30" i="18" s="1"/>
  <c r="HZ17" i="18"/>
  <c r="IA17" i="18" s="1"/>
  <c r="DN10" i="18"/>
  <c r="DO10" i="18" s="1"/>
  <c r="BH26" i="18"/>
  <c r="BI26" i="18" s="1"/>
  <c r="HZ19" i="18"/>
  <c r="IA19" i="18" s="1"/>
  <c r="FT29" i="18"/>
  <c r="FU29" i="18" s="1"/>
  <c r="FT10" i="18"/>
  <c r="FU10" i="18" s="1"/>
  <c r="DN42" i="18"/>
  <c r="DO42" i="18" s="1"/>
  <c r="DN41" i="18"/>
  <c r="DO41" i="18" s="1"/>
  <c r="DN35" i="18"/>
  <c r="DO35" i="18" s="1"/>
  <c r="DN24" i="18"/>
  <c r="DO24" i="18" s="1"/>
  <c r="DN46" i="18"/>
  <c r="DO46" i="18" s="1"/>
  <c r="BH60" i="18"/>
  <c r="BI60" i="18" s="1"/>
  <c r="FT52" i="18"/>
  <c r="FU52" i="18" s="1"/>
  <c r="FT21" i="18"/>
  <c r="FU21" i="18" s="1"/>
  <c r="BH23" i="18"/>
  <c r="BI23" i="18" s="1"/>
  <c r="DN60" i="18"/>
  <c r="DO60" i="18" s="1"/>
  <c r="FT49" i="18"/>
  <c r="FU49" i="18" s="1"/>
  <c r="HZ21" i="18"/>
  <c r="IA21" i="18" s="1"/>
  <c r="BH59" i="18"/>
  <c r="BI59" i="18" s="1"/>
  <c r="HZ6" i="18"/>
  <c r="IA6" i="18" s="1"/>
  <c r="FT41" i="18"/>
  <c r="FU41" i="18" s="1"/>
  <c r="BH38" i="18"/>
  <c r="BI38" i="18" s="1"/>
  <c r="HZ49" i="18"/>
  <c r="IA49" i="18" s="1"/>
  <c r="FT13" i="18"/>
  <c r="FU13" i="18" s="1"/>
  <c r="BH24" i="18"/>
  <c r="BI24" i="18" s="1"/>
  <c r="HZ28" i="18"/>
  <c r="IA28" i="18" s="1"/>
  <c r="FT12" i="18"/>
  <c r="FU12" i="18" s="1"/>
  <c r="FT24" i="18"/>
  <c r="FU24" i="18" s="1"/>
  <c r="HZ25" i="18"/>
  <c r="IA25" i="18" s="1"/>
  <c r="DN31" i="18"/>
  <c r="DO31" i="18" s="1"/>
  <c r="HZ30" i="18"/>
  <c r="IA30" i="18" s="1"/>
  <c r="FT43" i="18"/>
  <c r="FU43" i="18" s="1"/>
  <c r="DN55" i="18"/>
  <c r="DO55" i="18" s="1"/>
  <c r="DN12" i="18"/>
  <c r="DO12" i="18" s="1"/>
  <c r="HZ16" i="18"/>
  <c r="IA16" i="18" s="1"/>
  <c r="HZ39" i="18"/>
  <c r="IA39" i="18" s="1"/>
  <c r="HZ31" i="18"/>
  <c r="IA31" i="18" s="1"/>
  <c r="BH46" i="18"/>
  <c r="BI46" i="18" s="1"/>
  <c r="FT8" i="18"/>
  <c r="FU8" i="18" s="1"/>
  <c r="BH9" i="18"/>
  <c r="BI9" i="18" s="1"/>
  <c r="DN58" i="18"/>
  <c r="DO58" i="18" s="1"/>
  <c r="HZ24" i="18"/>
  <c r="IA24" i="18" s="1"/>
  <c r="HZ29" i="18"/>
  <c r="IA29" i="18" s="1"/>
  <c r="BH55" i="18"/>
  <c r="BI55" i="18" s="1"/>
  <c r="BH57" i="18"/>
  <c r="BI57" i="18" s="1"/>
  <c r="FT60" i="18"/>
  <c r="FU60" i="18" s="1"/>
  <c r="HZ23" i="18"/>
  <c r="IA23" i="18" s="1"/>
  <c r="DN52" i="18"/>
  <c r="DO52" i="18" s="1"/>
  <c r="HZ12" i="18"/>
  <c r="IA12" i="18" s="1"/>
  <c r="FT23" i="18"/>
  <c r="FU23" i="18" s="1"/>
  <c r="HZ26" i="18"/>
  <c r="IA26" i="18" s="1"/>
  <c r="FT31" i="18"/>
  <c r="FU31" i="18" s="1"/>
  <c r="FT26" i="18"/>
  <c r="FU26" i="18" s="1"/>
  <c r="HZ48" i="18"/>
  <c r="IA48" i="18" s="1"/>
  <c r="BH62" i="18"/>
  <c r="BI62" i="18" s="1"/>
  <c r="FT65" i="18"/>
  <c r="FU65" i="18" s="1"/>
  <c r="HZ8" i="18"/>
  <c r="IA8" i="18" s="1"/>
  <c r="DN22" i="18"/>
  <c r="DO22" i="18" s="1"/>
  <c r="FT45" i="18"/>
  <c r="FU45" i="18" s="1"/>
  <c r="DN14" i="18"/>
  <c r="DO14" i="18" s="1"/>
  <c r="BH27" i="18"/>
  <c r="BI27" i="18" s="1"/>
  <c r="DN29" i="18"/>
  <c r="DO29" i="18" s="1"/>
  <c r="DN33" i="18"/>
  <c r="DO33" i="18" s="1"/>
  <c r="BH28" i="18"/>
  <c r="BI28" i="18" s="1"/>
  <c r="FT14" i="18"/>
  <c r="FU14" i="18" s="1"/>
  <c r="FT42" i="18"/>
  <c r="FU42" i="18" s="1"/>
  <c r="BH40" i="18"/>
  <c r="BI40" i="18" s="1"/>
  <c r="FT28" i="18"/>
  <c r="FU28" i="18" s="1"/>
  <c r="DN7" i="18"/>
  <c r="DO7" i="18" s="1"/>
  <c r="FT18" i="18"/>
  <c r="FU18" i="18" s="1"/>
  <c r="BH36" i="18"/>
  <c r="BI36" i="18" s="1"/>
  <c r="HZ10" i="18"/>
  <c r="IA10" i="18" s="1"/>
  <c r="FT9" i="18"/>
  <c r="FU9" i="18" s="1"/>
  <c r="DN13" i="18"/>
  <c r="DO13" i="18" s="1"/>
  <c r="FT33" i="18"/>
  <c r="FU33" i="18" s="1"/>
  <c r="O55" i="27"/>
  <c r="DN20" i="18"/>
  <c r="DO20" i="18" s="1"/>
  <c r="HZ9" i="18"/>
  <c r="IA9" i="18" s="1"/>
  <c r="HZ5" i="18"/>
  <c r="IA5" i="18" s="1"/>
  <c r="HZ22" i="18"/>
  <c r="IA22" i="18" s="1"/>
  <c r="HZ14" i="18"/>
  <c r="IA14" i="18" s="1"/>
  <c r="FT5" i="18"/>
  <c r="FU5" i="18" s="1"/>
  <c r="DN37" i="18"/>
  <c r="DO37" i="18" s="1"/>
  <c r="O49" i="27"/>
  <c r="DN28" i="18"/>
  <c r="DO28" i="18" s="1"/>
  <c r="FT34" i="18"/>
  <c r="FU34" i="18" s="1"/>
  <c r="DN15" i="18"/>
  <c r="DO15" i="18" s="1"/>
  <c r="FT30" i="18"/>
  <c r="FU30" i="18" s="1"/>
  <c r="FT32" i="18"/>
  <c r="FU32" i="18" s="1"/>
  <c r="FT20" i="18"/>
  <c r="FU20" i="18" s="1"/>
  <c r="BH39" i="18"/>
  <c r="BI39" i="18" s="1"/>
  <c r="HZ42" i="18"/>
  <c r="IA42" i="18" s="1"/>
  <c r="FT58" i="18"/>
  <c r="FU58" i="18" s="1"/>
  <c r="HZ27" i="18"/>
  <c r="IA27" i="18" s="1"/>
  <c r="FT4" i="18"/>
  <c r="FU4" i="18" s="1"/>
  <c r="FT63" i="18"/>
  <c r="FU63" i="18" s="1"/>
  <c r="HZ3" i="18"/>
  <c r="IA3" i="18" s="1"/>
  <c r="BH19" i="18"/>
  <c r="BI19" i="18" s="1"/>
  <c r="O52" i="27"/>
  <c r="O59" i="27"/>
  <c r="DN9" i="18"/>
  <c r="DO9" i="18" s="1"/>
  <c r="DN11" i="18"/>
  <c r="DO11" i="18" s="1"/>
  <c r="DN5" i="18"/>
  <c r="DO5" i="18" s="1"/>
  <c r="FT46" i="18"/>
  <c r="FU46" i="18" s="1"/>
  <c r="FT15" i="18"/>
  <c r="FU15" i="18" s="1"/>
  <c r="DN18" i="18"/>
  <c r="DO18" i="18" s="1"/>
  <c r="FT38" i="18"/>
  <c r="FU38" i="18" s="1"/>
  <c r="O45" i="27"/>
  <c r="O32" i="27"/>
  <c r="DN65" i="18"/>
  <c r="DO65" i="18" s="1"/>
  <c r="BH47" i="18"/>
  <c r="BI47" i="18" s="1"/>
  <c r="FT16" i="18"/>
  <c r="FU16" i="18" s="1"/>
  <c r="O38" i="27"/>
  <c r="O30" i="27"/>
  <c r="FT22" i="18"/>
  <c r="FU22" i="18" s="1"/>
  <c r="BH6" i="18"/>
  <c r="BI6" i="18" s="1"/>
  <c r="DN56" i="18"/>
  <c r="DO56" i="18" s="1"/>
  <c r="O34" i="27"/>
  <c r="FT3" i="18"/>
  <c r="FU3" i="18" s="1"/>
  <c r="HZ57" i="18"/>
  <c r="IA57" i="18" s="1"/>
  <c r="HZ13" i="18"/>
  <c r="IA13" i="18" s="1"/>
  <c r="BH3" i="18"/>
  <c r="BI3" i="18" s="1"/>
  <c r="DN17" i="18"/>
  <c r="DO17" i="18" s="1"/>
  <c r="O25" i="27"/>
  <c r="HZ7" i="18"/>
  <c r="IA7" i="18" s="1"/>
  <c r="O20" i="27"/>
  <c r="O56" i="27"/>
  <c r="HZ34" i="18"/>
  <c r="IA34" i="18" s="1"/>
  <c r="O47" i="27"/>
  <c r="O50" i="27"/>
  <c r="FT64" i="18"/>
  <c r="FU64" i="18" s="1"/>
  <c r="BH50" i="18"/>
  <c r="BI50" i="18" s="1"/>
  <c r="HZ45" i="18"/>
  <c r="IA45" i="18" s="1"/>
  <c r="O31" i="27"/>
  <c r="FT17" i="18"/>
  <c r="FU17" i="18" s="1"/>
  <c r="BH25" i="18"/>
  <c r="BI25" i="18" s="1"/>
  <c r="O33" i="27"/>
  <c r="O54" i="27"/>
  <c r="BH65" i="18"/>
  <c r="BI65" i="18" s="1"/>
  <c r="O39" i="27"/>
  <c r="DN19" i="18"/>
  <c r="DO19" i="18" s="1"/>
  <c r="HZ4" i="18"/>
  <c r="IA4" i="18" s="1"/>
  <c r="FT48" i="18"/>
  <c r="FU48" i="18" s="1"/>
  <c r="FT37" i="18"/>
  <c r="FU37" i="18" s="1"/>
  <c r="FT7" i="18"/>
  <c r="FU7" i="18" s="1"/>
  <c r="DN30" i="18"/>
  <c r="DO30" i="18" s="1"/>
  <c r="O65" i="27"/>
  <c r="HZ11" i="18"/>
  <c r="IA11" i="18" s="1"/>
  <c r="DN54" i="18"/>
  <c r="DO54" i="18" s="1"/>
  <c r="DN25" i="18"/>
  <c r="DO25" i="18" s="1"/>
  <c r="DN6" i="18"/>
  <c r="DO6" i="18" s="1"/>
  <c r="HZ65" i="18"/>
  <c r="IA65" i="18" s="1"/>
  <c r="HZ18" i="18"/>
  <c r="IA18" i="18" s="1"/>
  <c r="O27" i="27"/>
  <c r="BH51" i="18"/>
  <c r="BI51" i="18" s="1"/>
  <c r="O8" i="27"/>
  <c r="O26" i="27"/>
  <c r="DN23" i="18"/>
  <c r="DO23" i="18" s="1"/>
  <c r="FT44" i="18"/>
  <c r="FU44" i="18" s="1"/>
  <c r="BH49" i="18"/>
  <c r="BI49" i="18" s="1"/>
  <c r="HZ15" i="18"/>
  <c r="IA15" i="18" s="1"/>
  <c r="FT47" i="18"/>
  <c r="FU47" i="18" s="1"/>
  <c r="BH44" i="18"/>
  <c r="BI44" i="18" s="1"/>
  <c r="O44" i="27"/>
  <c r="BH41" i="18"/>
  <c r="BI41" i="18" s="1"/>
  <c r="O41" i="27"/>
  <c r="BH48" i="18"/>
  <c r="BI48" i="18" s="1"/>
  <c r="O48" i="27"/>
  <c r="O23" i="27"/>
  <c r="BH43" i="18"/>
  <c r="BI43" i="18" s="1"/>
  <c r="O43" i="27"/>
  <c r="O24" i="27"/>
  <c r="DN8" i="18"/>
  <c r="DO8" i="18" s="1"/>
  <c r="DN27" i="18"/>
  <c r="DO27" i="18" s="1"/>
  <c r="BH61" i="18"/>
  <c r="BI61" i="18" s="1"/>
  <c r="O61" i="27"/>
  <c r="O63" i="27"/>
  <c r="O36" i="27"/>
  <c r="BH5" i="18"/>
  <c r="BI5" i="18" s="1"/>
  <c r="BH42" i="18"/>
  <c r="O42" i="27"/>
  <c r="O58" i="27"/>
  <c r="BH37" i="18"/>
  <c r="BI37" i="18" s="1"/>
  <c r="O37" i="27"/>
  <c r="O46" i="27"/>
  <c r="FT6" i="18"/>
  <c r="FU6" i="18" s="1"/>
  <c r="BH31" i="18"/>
  <c r="BI31" i="18" s="1"/>
  <c r="BH35" i="18"/>
  <c r="BI35" i="18" s="1"/>
  <c r="O35" i="27"/>
  <c r="DN32" i="18"/>
  <c r="DO32" i="18" s="1"/>
  <c r="BH53" i="18"/>
  <c r="BI53" i="18" s="1"/>
  <c r="O53" i="27"/>
  <c r="BH64" i="18"/>
  <c r="BI64" i="18" s="1"/>
  <c r="O64" i="27"/>
  <c r="O57" i="27"/>
  <c r="O60" i="27"/>
  <c r="O4" i="27"/>
  <c r="HZ37" i="18"/>
  <c r="IA37" i="18" s="1"/>
  <c r="DN4" i="18"/>
  <c r="DO4" i="18" s="1"/>
  <c r="O3" i="27"/>
  <c r="BH18" i="18"/>
  <c r="BI18" i="18" s="1"/>
  <c r="O18" i="27"/>
  <c r="BH22" i="18"/>
  <c r="BI22" i="18" s="1"/>
  <c r="O22" i="27"/>
  <c r="BH12" i="18"/>
  <c r="BI12" i="18" s="1"/>
  <c r="O12" i="27"/>
  <c r="DN3" i="18"/>
  <c r="DO3" i="18" s="1"/>
  <c r="O28" i="27"/>
  <c r="DN26" i="18"/>
  <c r="DO26" i="18" s="1"/>
  <c r="O9" i="27"/>
  <c r="BH15" i="18"/>
  <c r="BI15" i="18" s="1"/>
  <c r="O15" i="27"/>
  <c r="BH21" i="18"/>
  <c r="BI21" i="18" s="1"/>
  <c r="O21" i="27"/>
  <c r="O19" i="27"/>
  <c r="BH29" i="18"/>
  <c r="BI29" i="18" s="1"/>
  <c r="O29" i="27"/>
  <c r="FT11" i="18"/>
  <c r="FU11" i="18" s="1"/>
  <c r="BH16" i="18"/>
  <c r="BI16" i="18" s="1"/>
  <c r="O16" i="27"/>
  <c r="BH7" i="18"/>
  <c r="BI7" i="18" s="1"/>
  <c r="O7" i="27"/>
  <c r="BH11" i="18"/>
  <c r="BI11" i="18" s="1"/>
  <c r="O11" i="27"/>
  <c r="BH13" i="18"/>
  <c r="BI13" i="18" s="1"/>
  <c r="O13" i="27"/>
  <c r="O5" i="27"/>
  <c r="BH14" i="18"/>
  <c r="BI14" i="18" s="1"/>
  <c r="O14" i="27"/>
  <c r="BH20" i="18"/>
  <c r="BI20" i="18" s="1"/>
  <c r="BH10" i="18"/>
  <c r="BI10" i="18" s="1"/>
  <c r="O10" i="27"/>
  <c r="O6" i="27"/>
  <c r="BH17" i="18"/>
  <c r="BI17" i="18" s="1"/>
  <c r="O17" i="27"/>
  <c r="IB62" i="18"/>
  <c r="C33" i="18"/>
  <c r="B33" i="18"/>
  <c r="C64" i="18"/>
  <c r="B64" i="18"/>
  <c r="C56" i="18"/>
  <c r="B56" i="18"/>
  <c r="C48" i="18"/>
  <c r="B48" i="18"/>
  <c r="C40" i="18"/>
  <c r="B40" i="18"/>
  <c r="C32" i="18"/>
  <c r="B32" i="18"/>
  <c r="B57" i="18"/>
  <c r="C57" i="18"/>
  <c r="B39" i="18"/>
  <c r="C39" i="18"/>
  <c r="B46" i="18"/>
  <c r="C46" i="18"/>
  <c r="C65" i="18"/>
  <c r="B65" i="18"/>
  <c r="B55" i="18"/>
  <c r="C55" i="18"/>
  <c r="B38" i="18"/>
  <c r="C38" i="18"/>
  <c r="B61" i="18"/>
  <c r="C61" i="18"/>
  <c r="B53" i="18"/>
  <c r="C53" i="18"/>
  <c r="C45" i="18"/>
  <c r="B45" i="18"/>
  <c r="B37" i="18"/>
  <c r="C37" i="18"/>
  <c r="C49" i="18"/>
  <c r="B49" i="18"/>
  <c r="C47" i="18"/>
  <c r="B47" i="18"/>
  <c r="B54" i="18"/>
  <c r="C54" i="18"/>
  <c r="C60" i="18"/>
  <c r="B60" i="18"/>
  <c r="C52" i="18"/>
  <c r="B52" i="18"/>
  <c r="C44" i="18"/>
  <c r="B44" i="18"/>
  <c r="C36" i="18"/>
  <c r="B36" i="18"/>
  <c r="B63" i="18"/>
  <c r="C63" i="18"/>
  <c r="B62" i="18"/>
  <c r="C62" i="18"/>
  <c r="B59" i="18"/>
  <c r="C59" i="18"/>
  <c r="B51" i="18"/>
  <c r="C51" i="18"/>
  <c r="B43" i="18"/>
  <c r="C43" i="18"/>
  <c r="B35" i="18"/>
  <c r="C35" i="18"/>
  <c r="B41" i="18"/>
  <c r="C41" i="18"/>
  <c r="B58" i="18"/>
  <c r="C58" i="18"/>
  <c r="B50" i="18"/>
  <c r="C50" i="18"/>
  <c r="B42" i="18"/>
  <c r="C42" i="18"/>
  <c r="B34" i="18"/>
  <c r="C34" i="18"/>
  <c r="HX2" i="18"/>
  <c r="HT2" i="18"/>
  <c r="HJ2" i="18"/>
  <c r="HF2" i="18"/>
  <c r="GV2" i="18"/>
  <c r="GR2" i="18"/>
  <c r="GH2" i="18"/>
  <c r="GD2" i="18"/>
  <c r="FR2" i="18"/>
  <c r="FN2" i="18"/>
  <c r="FD2" i="18"/>
  <c r="EZ2" i="18"/>
  <c r="EP2" i="18"/>
  <c r="EL2" i="18"/>
  <c r="EB2" i="18"/>
  <c r="DX2" i="18"/>
  <c r="BV2" i="18"/>
  <c r="DL2" i="18"/>
  <c r="DH2" i="18"/>
  <c r="CX2" i="18"/>
  <c r="CT2" i="18"/>
  <c r="CJ2" i="18"/>
  <c r="CF2" i="18"/>
  <c r="BR2" i="18"/>
  <c r="IB59" i="18" l="1"/>
  <c r="IB8" i="18"/>
  <c r="IB43" i="18"/>
  <c r="IB55" i="18"/>
  <c r="IB24" i="18"/>
  <c r="IB28" i="18"/>
  <c r="IB56" i="18"/>
  <c r="IB52" i="18"/>
  <c r="IB33" i="18"/>
  <c r="IB40" i="18"/>
  <c r="IB54" i="18"/>
  <c r="IB60" i="18"/>
  <c r="IB46" i="18"/>
  <c r="IB39" i="18"/>
  <c r="IB47" i="18"/>
  <c r="IB45" i="18"/>
  <c r="IB36" i="18"/>
  <c r="IB34" i="18"/>
  <c r="IB41" i="18"/>
  <c r="IB58" i="18"/>
  <c r="IB38" i="18"/>
  <c r="IB15" i="18"/>
  <c r="IB23" i="18"/>
  <c r="IB57" i="18"/>
  <c r="IB63" i="18"/>
  <c r="IB9" i="18"/>
  <c r="IB32" i="18"/>
  <c r="IB30" i="18"/>
  <c r="IB19" i="18"/>
  <c r="IB65" i="18"/>
  <c r="IB50" i="18"/>
  <c r="IB53" i="18"/>
  <c r="IB51" i="18"/>
  <c r="IB6" i="18"/>
  <c r="IB25" i="18"/>
  <c r="IB61" i="18"/>
  <c r="IB35" i="18"/>
  <c r="IB49" i="18"/>
  <c r="IB14" i="18"/>
  <c r="IB48" i="18"/>
  <c r="IB13" i="18"/>
  <c r="IB29" i="18"/>
  <c r="IB31" i="18"/>
  <c r="IB5" i="18"/>
  <c r="IB44" i="18"/>
  <c r="IB7" i="18"/>
  <c r="IB37" i="18"/>
  <c r="IB21" i="18"/>
  <c r="BI42" i="18"/>
  <c r="IB42" i="18"/>
  <c r="IB64" i="18"/>
  <c r="IB4" i="18"/>
  <c r="IB12" i="18"/>
  <c r="IB3" i="18"/>
  <c r="IB18" i="18"/>
  <c r="IB27" i="18"/>
  <c r="IB11" i="18"/>
  <c r="IB10" i="18"/>
  <c r="IB26" i="18"/>
  <c r="IB16" i="18"/>
  <c r="IB20" i="18"/>
  <c r="IB22" i="18"/>
  <c r="IB17" i="18"/>
  <c r="CY2" i="18"/>
  <c r="BW2" i="18"/>
  <c r="HY2" i="18"/>
  <c r="HK2" i="18"/>
  <c r="GW2" i="18"/>
  <c r="GI2" i="18"/>
  <c r="FS2" i="18"/>
  <c r="FE2" i="18"/>
  <c r="EQ2" i="18"/>
  <c r="EC2" i="18"/>
  <c r="DM2" i="18"/>
  <c r="CK2" i="18"/>
  <c r="HZ2" i="18" l="1"/>
  <c r="IA2" i="18" s="1"/>
  <c r="FT2" i="18"/>
  <c r="FU2" i="18" s="1"/>
  <c r="DN2" i="18"/>
  <c r="DO2" i="18" s="1"/>
  <c r="AX3" i="20" l="1"/>
  <c r="AX4" i="20"/>
  <c r="AX5" i="20"/>
  <c r="AX6" i="20"/>
  <c r="AX7" i="20"/>
  <c r="AX8" i="20"/>
  <c r="AX9" i="20"/>
  <c r="AX10" i="20"/>
  <c r="AX11" i="20"/>
  <c r="AX12" i="20"/>
  <c r="AX13" i="20"/>
  <c r="AX14" i="20"/>
  <c r="AX15" i="20"/>
  <c r="AX16" i="20"/>
  <c r="AX17" i="20"/>
  <c r="AX18" i="20"/>
  <c r="AX19" i="20"/>
  <c r="AX20" i="20"/>
  <c r="AX21" i="20"/>
  <c r="AX22" i="20"/>
  <c r="AX23" i="20"/>
  <c r="AX24" i="20"/>
  <c r="AX25" i="20"/>
  <c r="AX26" i="20"/>
  <c r="AX27" i="20"/>
  <c r="AX28" i="20"/>
  <c r="AX29" i="20"/>
  <c r="AX30" i="20"/>
  <c r="AX31" i="20"/>
  <c r="AX32" i="20"/>
  <c r="AX33" i="20"/>
  <c r="AX34" i="20"/>
  <c r="AX35" i="20"/>
  <c r="AX36" i="20"/>
  <c r="AX37" i="20"/>
  <c r="AX38" i="20"/>
  <c r="AX39" i="20"/>
  <c r="AX40" i="20"/>
  <c r="AX41" i="20"/>
  <c r="AX42" i="20"/>
  <c r="AX43" i="20"/>
  <c r="AX44" i="20"/>
  <c r="AX45" i="20"/>
  <c r="AX46" i="20"/>
  <c r="AX47" i="20"/>
  <c r="AX48" i="20"/>
  <c r="AX49" i="20"/>
  <c r="AX50" i="20"/>
  <c r="AX51" i="20"/>
  <c r="AX52" i="20"/>
  <c r="AX53" i="20"/>
  <c r="AX54" i="20"/>
  <c r="AX55" i="20"/>
  <c r="AX56" i="20"/>
  <c r="AX57" i="20"/>
  <c r="AX58" i="20"/>
  <c r="AX59" i="20"/>
  <c r="AX60" i="20"/>
  <c r="AX61" i="20"/>
  <c r="AX62" i="20"/>
  <c r="AX63" i="20"/>
  <c r="AX64" i="20"/>
  <c r="AX65" i="20"/>
  <c r="AX66" i="20"/>
  <c r="AX67" i="20"/>
  <c r="AX68" i="20"/>
  <c r="AX69" i="20"/>
  <c r="AX70" i="20"/>
  <c r="AX71" i="20"/>
  <c r="AX72" i="20"/>
  <c r="AX73" i="20"/>
  <c r="AX74" i="20"/>
  <c r="AX75" i="20"/>
  <c r="AX76" i="20"/>
  <c r="AX77" i="20"/>
  <c r="AX78" i="20"/>
  <c r="AX79" i="20"/>
  <c r="AX80" i="20"/>
  <c r="AX81" i="20"/>
  <c r="AX82" i="20"/>
  <c r="AX83" i="20"/>
  <c r="AX84" i="20"/>
  <c r="AX85" i="20"/>
  <c r="AX86" i="20"/>
  <c r="AX87" i="20"/>
  <c r="AX88" i="20"/>
  <c r="AX89" i="20"/>
  <c r="AX90" i="20"/>
  <c r="AX91" i="20"/>
  <c r="AX92" i="20"/>
  <c r="AX93" i="20"/>
  <c r="AX94" i="20"/>
  <c r="AX95" i="20"/>
  <c r="AX96" i="20"/>
  <c r="AX97" i="20"/>
  <c r="AX98" i="20"/>
  <c r="AX99" i="20"/>
  <c r="AX2" i="20"/>
  <c r="AR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2" i="20"/>
  <c r="AL3" i="20"/>
  <c r="AL4" i="20"/>
  <c r="AL5" i="20"/>
  <c r="AL6" i="20"/>
  <c r="AL7" i="20"/>
  <c r="AL8" i="20"/>
  <c r="AL9" i="20"/>
  <c r="AL10" i="20"/>
  <c r="AL11" i="20"/>
  <c r="AL12" i="20"/>
  <c r="AL13" i="20"/>
  <c r="AL14" i="20"/>
  <c r="AL15" i="20"/>
  <c r="AL16" i="20"/>
  <c r="AL17" i="20"/>
  <c r="AL18" i="20"/>
  <c r="AL19" i="20"/>
  <c r="AL20" i="20"/>
  <c r="AL21" i="20"/>
  <c r="AL22" i="20"/>
  <c r="AL23" i="20"/>
  <c r="AL24" i="20"/>
  <c r="AL25" i="20"/>
  <c r="AL26" i="20"/>
  <c r="AL27" i="20"/>
  <c r="AL28" i="20"/>
  <c r="AL29" i="20"/>
  <c r="AL30" i="20"/>
  <c r="AL31" i="20"/>
  <c r="AL32" i="20"/>
  <c r="AL33" i="20"/>
  <c r="AL34" i="20"/>
  <c r="AL35" i="20"/>
  <c r="AL36" i="20"/>
  <c r="AL37" i="20"/>
  <c r="AL38" i="20"/>
  <c r="AL39" i="20"/>
  <c r="AL40" i="20"/>
  <c r="AL41" i="20"/>
  <c r="AL42" i="20"/>
  <c r="AL43" i="20"/>
  <c r="AL44" i="20"/>
  <c r="AL45" i="20"/>
  <c r="AL46" i="20"/>
  <c r="AL47" i="20"/>
  <c r="AL48" i="20"/>
  <c r="AL49" i="20"/>
  <c r="AL50" i="20"/>
  <c r="AL51" i="20"/>
  <c r="AL52" i="20"/>
  <c r="AL53" i="20"/>
  <c r="AL54" i="20"/>
  <c r="AL55" i="20"/>
  <c r="AL56" i="20"/>
  <c r="AL57" i="20"/>
  <c r="AL58" i="20"/>
  <c r="AL59" i="20"/>
  <c r="AL60" i="20"/>
  <c r="AL61" i="20"/>
  <c r="AL62" i="20"/>
  <c r="AL63" i="20"/>
  <c r="AL64" i="20"/>
  <c r="AL65" i="20"/>
  <c r="AL66" i="20"/>
  <c r="AL67" i="20"/>
  <c r="AL68" i="20"/>
  <c r="AL69" i="20"/>
  <c r="AL70" i="20"/>
  <c r="AL71" i="20"/>
  <c r="AL72" i="20"/>
  <c r="AL73" i="20"/>
  <c r="AL74" i="20"/>
  <c r="AL75" i="20"/>
  <c r="AL76" i="20"/>
  <c r="AL77" i="20"/>
  <c r="AL78" i="20"/>
  <c r="AL79" i="20"/>
  <c r="AL80" i="20"/>
  <c r="AL81" i="20"/>
  <c r="AL82" i="20"/>
  <c r="AL83" i="20"/>
  <c r="AL84" i="20"/>
  <c r="AL85" i="20"/>
  <c r="AL86" i="20"/>
  <c r="AL87" i="20"/>
  <c r="AL88" i="20"/>
  <c r="AL89" i="20"/>
  <c r="AL90" i="20"/>
  <c r="AL91" i="20"/>
  <c r="AL92" i="20"/>
  <c r="AL93" i="20"/>
  <c r="AL94" i="20"/>
  <c r="AL95" i="20"/>
  <c r="AL96" i="20"/>
  <c r="AL97" i="20"/>
  <c r="AL98" i="20"/>
  <c r="AL99" i="20"/>
  <c r="AL2" i="20"/>
  <c r="AF3" i="20"/>
  <c r="AF4" i="20"/>
  <c r="AF5" i="20"/>
  <c r="AF6" i="20"/>
  <c r="AF7" i="20"/>
  <c r="AF8" i="20"/>
  <c r="AF9" i="20"/>
  <c r="AF10" i="20"/>
  <c r="AF11" i="20"/>
  <c r="AF12" i="20"/>
  <c r="AF13" i="20"/>
  <c r="AF14" i="20"/>
  <c r="AF15" i="20"/>
  <c r="AF16" i="20"/>
  <c r="AF17" i="20"/>
  <c r="AF18" i="20"/>
  <c r="AF19" i="20"/>
  <c r="AF20" i="20"/>
  <c r="AF21" i="20"/>
  <c r="AF22" i="20"/>
  <c r="AF23" i="20"/>
  <c r="AF24" i="20"/>
  <c r="AF25" i="20"/>
  <c r="AF26" i="20"/>
  <c r="AF27" i="20"/>
  <c r="AF28" i="20"/>
  <c r="AF29" i="20"/>
  <c r="AF30" i="20"/>
  <c r="AF31" i="20"/>
  <c r="AF32" i="20"/>
  <c r="AF33" i="20"/>
  <c r="AF34" i="20"/>
  <c r="AF35" i="20"/>
  <c r="AF36" i="20"/>
  <c r="AF37" i="20"/>
  <c r="AF38" i="20"/>
  <c r="AF39" i="20"/>
  <c r="AF40" i="20"/>
  <c r="AF41" i="20"/>
  <c r="AF42" i="20"/>
  <c r="AF43" i="20"/>
  <c r="AF44" i="20"/>
  <c r="AF45" i="20"/>
  <c r="AF46" i="20"/>
  <c r="AF47" i="20"/>
  <c r="AF48" i="20"/>
  <c r="AF49" i="20"/>
  <c r="AF50" i="20"/>
  <c r="AF51" i="20"/>
  <c r="AF52" i="20"/>
  <c r="AF53" i="20"/>
  <c r="AF54" i="20"/>
  <c r="AF55" i="20"/>
  <c r="AF56" i="20"/>
  <c r="AF57" i="20"/>
  <c r="AF58" i="20"/>
  <c r="AF59" i="20"/>
  <c r="AF60" i="20"/>
  <c r="AF61" i="20"/>
  <c r="AF62" i="20"/>
  <c r="AF63" i="20"/>
  <c r="AF64" i="20"/>
  <c r="AF65" i="20"/>
  <c r="AF66" i="20"/>
  <c r="AF67" i="20"/>
  <c r="AF68" i="20"/>
  <c r="AF69" i="20"/>
  <c r="AF70" i="20"/>
  <c r="AF71" i="20"/>
  <c r="AF72" i="20"/>
  <c r="AF73" i="20"/>
  <c r="AF74" i="20"/>
  <c r="AF75" i="20"/>
  <c r="AF76" i="20"/>
  <c r="AF77" i="20"/>
  <c r="AF78" i="20"/>
  <c r="AF79" i="20"/>
  <c r="AF80" i="20"/>
  <c r="AF81" i="20"/>
  <c r="AF82" i="20"/>
  <c r="AF83" i="20"/>
  <c r="AF84" i="20"/>
  <c r="AF85" i="20"/>
  <c r="AF86" i="20"/>
  <c r="AF87" i="20"/>
  <c r="AF88" i="20"/>
  <c r="AF89" i="20"/>
  <c r="AF90" i="20"/>
  <c r="AF91" i="20"/>
  <c r="AF92" i="20"/>
  <c r="AF93" i="20"/>
  <c r="AF94" i="20"/>
  <c r="AF95" i="20"/>
  <c r="AF96" i="20"/>
  <c r="AF97" i="20"/>
  <c r="AF98" i="20"/>
  <c r="AF99" i="20"/>
  <c r="AF2" i="20"/>
  <c r="AY6" i="20" l="1"/>
  <c r="AZ6" i="20" s="1"/>
  <c r="AY5" i="20"/>
  <c r="AZ5" i="20" s="1"/>
  <c r="AY4" i="20"/>
  <c r="AZ4" i="20" s="1"/>
  <c r="AY3" i="20"/>
  <c r="AZ3" i="20" s="1"/>
  <c r="AY2" i="20"/>
  <c r="AZ2" i="20" s="1"/>
  <c r="BE2" i="20"/>
  <c r="BE3" i="20"/>
  <c r="BE4" i="20"/>
  <c r="BE5" i="20"/>
  <c r="BE6" i="20"/>
  <c r="BE7" i="20"/>
  <c r="BE8" i="20"/>
  <c r="BE9" i="20"/>
  <c r="BE10" i="20"/>
  <c r="BE11" i="20"/>
  <c r="BE12" i="20"/>
  <c r="BE13" i="20"/>
  <c r="BE14" i="20"/>
  <c r="BE15" i="20"/>
  <c r="BE16" i="20"/>
  <c r="BE17" i="20"/>
  <c r="BE18" i="20"/>
  <c r="BE19" i="20"/>
  <c r="BE20" i="20"/>
  <c r="BE21" i="20"/>
  <c r="BE22" i="20"/>
  <c r="BE23" i="20"/>
  <c r="BE24" i="20"/>
  <c r="BE25" i="20"/>
  <c r="BE26" i="20"/>
  <c r="BE27" i="20"/>
  <c r="BE28" i="20"/>
  <c r="BE29" i="20"/>
  <c r="BE30" i="20"/>
  <c r="BE31" i="20"/>
  <c r="BE32" i="20"/>
  <c r="BE33" i="20"/>
  <c r="BE34" i="20"/>
  <c r="BE35" i="20"/>
  <c r="BE36" i="20"/>
  <c r="BE37" i="20"/>
  <c r="BE38" i="20"/>
  <c r="BE39" i="20"/>
  <c r="BE40" i="20"/>
  <c r="BE41" i="20"/>
  <c r="BE42" i="20"/>
  <c r="BE43" i="20"/>
  <c r="BE44" i="20"/>
  <c r="BE45" i="20"/>
  <c r="BE46" i="20"/>
  <c r="BE47" i="20"/>
  <c r="BE48" i="20"/>
  <c r="BE49" i="20"/>
  <c r="BE50" i="20"/>
  <c r="BE51" i="20"/>
  <c r="BE52" i="20"/>
  <c r="BE53" i="20"/>
  <c r="BE54" i="20"/>
  <c r="BE55" i="20"/>
  <c r="BE56" i="20"/>
  <c r="BE57" i="20"/>
  <c r="BE58" i="20"/>
  <c r="BE59" i="20"/>
  <c r="BE60" i="20"/>
  <c r="BE61" i="20"/>
  <c r="BE62" i="20"/>
  <c r="BE63" i="20"/>
  <c r="BE64" i="20"/>
  <c r="BE65" i="20"/>
  <c r="BE66" i="20"/>
  <c r="BE67" i="20"/>
  <c r="BE68" i="20"/>
  <c r="BE69" i="20"/>
  <c r="BE70" i="20"/>
  <c r="BE71" i="20"/>
  <c r="BE72" i="20"/>
  <c r="BE73" i="20"/>
  <c r="BE74" i="20"/>
  <c r="BE75" i="20"/>
  <c r="BE76" i="20"/>
  <c r="BE77" i="20"/>
  <c r="BE78" i="20"/>
  <c r="BE79" i="20"/>
  <c r="BE80" i="20"/>
  <c r="BE81" i="20"/>
  <c r="BE82" i="20"/>
  <c r="BE83" i="20"/>
  <c r="BE84" i="20"/>
  <c r="BE85" i="20"/>
  <c r="BE86" i="20"/>
  <c r="BE87" i="20"/>
  <c r="BE88" i="20"/>
  <c r="BE89" i="20"/>
  <c r="BE90" i="20"/>
  <c r="BE91" i="20"/>
  <c r="BE92" i="20"/>
  <c r="BE93" i="20"/>
  <c r="BE94" i="20"/>
  <c r="BE95" i="20"/>
  <c r="BE96" i="20"/>
  <c r="BE97" i="20"/>
  <c r="BE98" i="20"/>
  <c r="BE99" i="20"/>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3" i="19"/>
  <c r="CO578" i="19"/>
  <c r="CN578" i="19"/>
  <c r="CM578" i="19"/>
  <c r="CL578" i="19"/>
  <c r="CK578" i="19"/>
  <c r="CJ578" i="19"/>
  <c r="CI578" i="19"/>
  <c r="CH578" i="19"/>
  <c r="CG578" i="19"/>
  <c r="CF578" i="19"/>
  <c r="CE578" i="19"/>
  <c r="CO577" i="19"/>
  <c r="CN577" i="19"/>
  <c r="CM577" i="19"/>
  <c r="CL577" i="19"/>
  <c r="CK577" i="19"/>
  <c r="CJ577" i="19"/>
  <c r="CI577" i="19"/>
  <c r="CH577" i="19"/>
  <c r="CG577" i="19"/>
  <c r="CF577" i="19"/>
  <c r="CE577" i="19"/>
  <c r="CO576" i="19"/>
  <c r="CN576" i="19"/>
  <c r="CM576" i="19"/>
  <c r="CL576" i="19"/>
  <c r="CK576" i="19"/>
  <c r="CJ576" i="19"/>
  <c r="CI576" i="19"/>
  <c r="CH576" i="19"/>
  <c r="CG576" i="19"/>
  <c r="CF576" i="19"/>
  <c r="CE576" i="19"/>
  <c r="CO575" i="19"/>
  <c r="CN575" i="19"/>
  <c r="CM575" i="19"/>
  <c r="CL575" i="19"/>
  <c r="CK575" i="19"/>
  <c r="CJ575" i="19"/>
  <c r="CI575" i="19"/>
  <c r="CH575" i="19"/>
  <c r="CG575" i="19"/>
  <c r="CF575" i="19"/>
  <c r="CE575" i="19"/>
  <c r="CO574" i="19"/>
  <c r="CN574" i="19"/>
  <c r="CM574" i="19"/>
  <c r="CL574" i="19"/>
  <c r="CK574" i="19"/>
  <c r="CJ574" i="19"/>
  <c r="CI574" i="19"/>
  <c r="CH574" i="19"/>
  <c r="CG574" i="19"/>
  <c r="CF574" i="19"/>
  <c r="CE574" i="19"/>
  <c r="CO573" i="19"/>
  <c r="CN573" i="19"/>
  <c r="CM573" i="19"/>
  <c r="CL573" i="19"/>
  <c r="CK573" i="19"/>
  <c r="CJ573" i="19"/>
  <c r="CI573" i="19"/>
  <c r="CH573" i="19"/>
  <c r="CG573" i="19"/>
  <c r="CF573" i="19"/>
  <c r="CE573" i="19"/>
  <c r="CO572" i="19"/>
  <c r="CN572" i="19"/>
  <c r="CM572" i="19"/>
  <c r="CL572" i="19"/>
  <c r="CK572" i="19"/>
  <c r="CJ572" i="19"/>
  <c r="CI572" i="19"/>
  <c r="CH572" i="19"/>
  <c r="CG572" i="19"/>
  <c r="CF572" i="19"/>
  <c r="CE572" i="19"/>
  <c r="CO571" i="19"/>
  <c r="CN571" i="19"/>
  <c r="CM571" i="19"/>
  <c r="CL571" i="19"/>
  <c r="CK571" i="19"/>
  <c r="CJ571" i="19"/>
  <c r="CI571" i="19"/>
  <c r="CH571" i="19"/>
  <c r="CG571" i="19"/>
  <c r="CF571" i="19"/>
  <c r="CE571" i="19"/>
  <c r="CO570" i="19"/>
  <c r="CN570" i="19"/>
  <c r="CM570" i="19"/>
  <c r="CL570" i="19"/>
  <c r="CK570" i="19"/>
  <c r="CJ570" i="19"/>
  <c r="CI570" i="19"/>
  <c r="CH570" i="19"/>
  <c r="CG570" i="19"/>
  <c r="CF570" i="19"/>
  <c r="CE570" i="19"/>
  <c r="CO569" i="19"/>
  <c r="CN569" i="19"/>
  <c r="CM569" i="19"/>
  <c r="CL569" i="19"/>
  <c r="CK569" i="19"/>
  <c r="CJ569" i="19"/>
  <c r="CI569" i="19"/>
  <c r="CH569" i="19"/>
  <c r="CG569" i="19"/>
  <c r="CF569" i="19"/>
  <c r="CE569" i="19"/>
  <c r="CO568" i="19"/>
  <c r="CN568" i="19"/>
  <c r="CM568" i="19"/>
  <c r="CL568" i="19"/>
  <c r="CK568" i="19"/>
  <c r="CJ568" i="19"/>
  <c r="CI568" i="19"/>
  <c r="CH568" i="19"/>
  <c r="CG568" i="19"/>
  <c r="CF568" i="19"/>
  <c r="CE568" i="19"/>
  <c r="CO567" i="19"/>
  <c r="CN567" i="19"/>
  <c r="CM567" i="19"/>
  <c r="CL567" i="19"/>
  <c r="CK567" i="19"/>
  <c r="CJ567" i="19"/>
  <c r="CI567" i="19"/>
  <c r="CH567" i="19"/>
  <c r="CG567" i="19"/>
  <c r="CF567" i="19"/>
  <c r="CE567" i="19"/>
  <c r="CO566" i="19"/>
  <c r="CN566" i="19"/>
  <c r="CM566" i="19"/>
  <c r="CL566" i="19"/>
  <c r="CK566" i="19"/>
  <c r="CJ566" i="19"/>
  <c r="CI566" i="19"/>
  <c r="CH566" i="19"/>
  <c r="CG566" i="19"/>
  <c r="CF566" i="19"/>
  <c r="CE566" i="19"/>
  <c r="CO565" i="19"/>
  <c r="CN565" i="19"/>
  <c r="CM565" i="19"/>
  <c r="CL565" i="19"/>
  <c r="CK565" i="19"/>
  <c r="CJ565" i="19"/>
  <c r="CI565" i="19"/>
  <c r="CH565" i="19"/>
  <c r="CG565" i="19"/>
  <c r="CF565" i="19"/>
  <c r="CE565" i="19"/>
  <c r="CO564" i="19"/>
  <c r="CN564" i="19"/>
  <c r="CM564" i="19"/>
  <c r="CL564" i="19"/>
  <c r="CK564" i="19"/>
  <c r="CJ564" i="19"/>
  <c r="CI564" i="19"/>
  <c r="CH564" i="19"/>
  <c r="CG564" i="19"/>
  <c r="CF564" i="19"/>
  <c r="CE564" i="19"/>
  <c r="CO563" i="19"/>
  <c r="CN563" i="19"/>
  <c r="CM563" i="19"/>
  <c r="CL563" i="19"/>
  <c r="CK563" i="19"/>
  <c r="CJ563" i="19"/>
  <c r="CI563" i="19"/>
  <c r="CH563" i="19"/>
  <c r="CG563" i="19"/>
  <c r="CF563" i="19"/>
  <c r="CE563" i="19"/>
  <c r="CO562" i="19"/>
  <c r="CN562" i="19"/>
  <c r="CM562" i="19"/>
  <c r="CL562" i="19"/>
  <c r="CK562" i="19"/>
  <c r="CJ562" i="19"/>
  <c r="CI562" i="19"/>
  <c r="CH562" i="19"/>
  <c r="CG562" i="19"/>
  <c r="CF562" i="19"/>
  <c r="CE562" i="19"/>
  <c r="CO561" i="19"/>
  <c r="CN561" i="19"/>
  <c r="CM561" i="19"/>
  <c r="CL561" i="19"/>
  <c r="CK561" i="19"/>
  <c r="CJ561" i="19"/>
  <c r="CI561" i="19"/>
  <c r="CH561" i="19"/>
  <c r="CG561" i="19"/>
  <c r="CF561" i="19"/>
  <c r="CE561" i="19"/>
  <c r="CO560" i="19"/>
  <c r="CN560" i="19"/>
  <c r="CM560" i="19"/>
  <c r="CL560" i="19"/>
  <c r="CK560" i="19"/>
  <c r="CJ560" i="19"/>
  <c r="CI560" i="19"/>
  <c r="CH560" i="19"/>
  <c r="CG560" i="19"/>
  <c r="CF560" i="19"/>
  <c r="CE560" i="19"/>
  <c r="CO559" i="19"/>
  <c r="CN559" i="19"/>
  <c r="CM559" i="19"/>
  <c r="CL559" i="19"/>
  <c r="CK559" i="19"/>
  <c r="CJ559" i="19"/>
  <c r="CI559" i="19"/>
  <c r="CH559" i="19"/>
  <c r="CG559" i="19"/>
  <c r="CF559" i="19"/>
  <c r="CE559" i="19"/>
  <c r="CO558" i="19"/>
  <c r="CN558" i="19"/>
  <c r="CM558" i="19"/>
  <c r="CL558" i="19"/>
  <c r="CK558" i="19"/>
  <c r="CJ558" i="19"/>
  <c r="CI558" i="19"/>
  <c r="CH558" i="19"/>
  <c r="CG558" i="19"/>
  <c r="CF558" i="19"/>
  <c r="CE558" i="19"/>
  <c r="CO557" i="19"/>
  <c r="CN557" i="19"/>
  <c r="CM557" i="19"/>
  <c r="CL557" i="19"/>
  <c r="CK557" i="19"/>
  <c r="CJ557" i="19"/>
  <c r="CI557" i="19"/>
  <c r="CH557" i="19"/>
  <c r="CG557" i="19"/>
  <c r="CF557" i="19"/>
  <c r="CE557" i="19"/>
  <c r="CO556" i="19"/>
  <c r="CN556" i="19"/>
  <c r="CM556" i="19"/>
  <c r="CL556" i="19"/>
  <c r="CK556" i="19"/>
  <c r="CJ556" i="19"/>
  <c r="CI556" i="19"/>
  <c r="CH556" i="19"/>
  <c r="CG556" i="19"/>
  <c r="CF556" i="19"/>
  <c r="CE556" i="19"/>
  <c r="CO555" i="19"/>
  <c r="CN555" i="19"/>
  <c r="CM555" i="19"/>
  <c r="CL555" i="19"/>
  <c r="CK555" i="19"/>
  <c r="CJ555" i="19"/>
  <c r="CI555" i="19"/>
  <c r="CH555" i="19"/>
  <c r="CG555" i="19"/>
  <c r="CF555" i="19"/>
  <c r="CE555" i="19"/>
  <c r="CO554" i="19"/>
  <c r="CN554" i="19"/>
  <c r="CM554" i="19"/>
  <c r="CL554" i="19"/>
  <c r="CK554" i="19"/>
  <c r="CJ554" i="19"/>
  <c r="CI554" i="19"/>
  <c r="CH554" i="19"/>
  <c r="CG554" i="19"/>
  <c r="CF554" i="19"/>
  <c r="CE554" i="19"/>
  <c r="CO553" i="19"/>
  <c r="CN553" i="19"/>
  <c r="CM553" i="19"/>
  <c r="CL553" i="19"/>
  <c r="CK553" i="19"/>
  <c r="CJ553" i="19"/>
  <c r="CI553" i="19"/>
  <c r="CH553" i="19"/>
  <c r="CG553" i="19"/>
  <c r="CF553" i="19"/>
  <c r="CE553" i="19"/>
  <c r="CO552" i="19"/>
  <c r="CN552" i="19"/>
  <c r="CM552" i="19"/>
  <c r="CL552" i="19"/>
  <c r="CK552" i="19"/>
  <c r="CJ552" i="19"/>
  <c r="CI552" i="19"/>
  <c r="CH552" i="19"/>
  <c r="CG552" i="19"/>
  <c r="CF552" i="19"/>
  <c r="CE552" i="19"/>
  <c r="CO551" i="19"/>
  <c r="CN551" i="19"/>
  <c r="CM551" i="19"/>
  <c r="CL551" i="19"/>
  <c r="CK551" i="19"/>
  <c r="CJ551" i="19"/>
  <c r="CI551" i="19"/>
  <c r="CH551" i="19"/>
  <c r="CG551" i="19"/>
  <c r="CF551" i="19"/>
  <c r="CE551" i="19"/>
  <c r="CO550" i="19"/>
  <c r="CN550" i="19"/>
  <c r="CM550" i="19"/>
  <c r="CL550" i="19"/>
  <c r="CK550" i="19"/>
  <c r="CJ550" i="19"/>
  <c r="CI550" i="19"/>
  <c r="CH550" i="19"/>
  <c r="CG550" i="19"/>
  <c r="CF550" i="19"/>
  <c r="CE550" i="19"/>
  <c r="CO549" i="19"/>
  <c r="CN549" i="19"/>
  <c r="CM549" i="19"/>
  <c r="CL549" i="19"/>
  <c r="CK549" i="19"/>
  <c r="CJ549" i="19"/>
  <c r="CI549" i="19"/>
  <c r="CH549" i="19"/>
  <c r="CG549" i="19"/>
  <c r="CF549" i="19"/>
  <c r="CE549" i="19"/>
  <c r="CO548" i="19"/>
  <c r="CN548" i="19"/>
  <c r="CM548" i="19"/>
  <c r="CL548" i="19"/>
  <c r="CK548" i="19"/>
  <c r="CJ548" i="19"/>
  <c r="CI548" i="19"/>
  <c r="CH548" i="19"/>
  <c r="CG548" i="19"/>
  <c r="CF548" i="19"/>
  <c r="CE548" i="19"/>
  <c r="CO547" i="19"/>
  <c r="CN547" i="19"/>
  <c r="CM547" i="19"/>
  <c r="CL547" i="19"/>
  <c r="CK547" i="19"/>
  <c r="CJ547" i="19"/>
  <c r="CI547" i="19"/>
  <c r="CH547" i="19"/>
  <c r="CG547" i="19"/>
  <c r="CF547" i="19"/>
  <c r="CE547" i="19"/>
  <c r="CO546" i="19"/>
  <c r="CN546" i="19"/>
  <c r="CM546" i="19"/>
  <c r="CL546" i="19"/>
  <c r="CK546" i="19"/>
  <c r="CJ546" i="19"/>
  <c r="CI546" i="19"/>
  <c r="CH546" i="19"/>
  <c r="CG546" i="19"/>
  <c r="CF546" i="19"/>
  <c r="CE546" i="19"/>
  <c r="CO545" i="19"/>
  <c r="CN545" i="19"/>
  <c r="CM545" i="19"/>
  <c r="CL545" i="19"/>
  <c r="CK545" i="19"/>
  <c r="CJ545" i="19"/>
  <c r="CI545" i="19"/>
  <c r="CH545" i="19"/>
  <c r="CG545" i="19"/>
  <c r="CF545" i="19"/>
  <c r="CE545" i="19"/>
  <c r="CO544" i="19"/>
  <c r="CN544" i="19"/>
  <c r="CM544" i="19"/>
  <c r="CL544" i="19"/>
  <c r="CK544" i="19"/>
  <c r="CJ544" i="19"/>
  <c r="CI544" i="19"/>
  <c r="CH544" i="19"/>
  <c r="CG544" i="19"/>
  <c r="CF544" i="19"/>
  <c r="CE544" i="19"/>
  <c r="CO543" i="19"/>
  <c r="CN543" i="19"/>
  <c r="CM543" i="19"/>
  <c r="CL543" i="19"/>
  <c r="CK543" i="19"/>
  <c r="CJ543" i="19"/>
  <c r="CI543" i="19"/>
  <c r="CH543" i="19"/>
  <c r="CG543" i="19"/>
  <c r="CF543" i="19"/>
  <c r="CE543" i="19"/>
  <c r="CO542" i="19"/>
  <c r="CN542" i="19"/>
  <c r="CM542" i="19"/>
  <c r="CL542" i="19"/>
  <c r="CK542" i="19"/>
  <c r="CJ542" i="19"/>
  <c r="CI542" i="19"/>
  <c r="CH542" i="19"/>
  <c r="CG542" i="19"/>
  <c r="CF542" i="19"/>
  <c r="CE542" i="19"/>
  <c r="CO541" i="19"/>
  <c r="CN541" i="19"/>
  <c r="CM541" i="19"/>
  <c r="CL541" i="19"/>
  <c r="CK541" i="19"/>
  <c r="CJ541" i="19"/>
  <c r="CI541" i="19"/>
  <c r="CH541" i="19"/>
  <c r="CG541" i="19"/>
  <c r="CF541" i="19"/>
  <c r="CE541" i="19"/>
  <c r="CO540" i="19"/>
  <c r="CN540" i="19"/>
  <c r="CM540" i="19"/>
  <c r="CL540" i="19"/>
  <c r="CK540" i="19"/>
  <c r="CJ540" i="19"/>
  <c r="CI540" i="19"/>
  <c r="CH540" i="19"/>
  <c r="CG540" i="19"/>
  <c r="CF540" i="19"/>
  <c r="CE540" i="19"/>
  <c r="CO539" i="19"/>
  <c r="CN539" i="19"/>
  <c r="CM539" i="19"/>
  <c r="CL539" i="19"/>
  <c r="CK539" i="19"/>
  <c r="CJ539" i="19"/>
  <c r="CI539" i="19"/>
  <c r="CH539" i="19"/>
  <c r="CG539" i="19"/>
  <c r="CF539" i="19"/>
  <c r="CE539" i="19"/>
  <c r="CO538" i="19"/>
  <c r="CN538" i="19"/>
  <c r="CM538" i="19"/>
  <c r="CL538" i="19"/>
  <c r="CK538" i="19"/>
  <c r="CJ538" i="19"/>
  <c r="CI538" i="19"/>
  <c r="CH538" i="19"/>
  <c r="CG538" i="19"/>
  <c r="CF538" i="19"/>
  <c r="CE538" i="19"/>
  <c r="CO537" i="19"/>
  <c r="CN537" i="19"/>
  <c r="CM537" i="19"/>
  <c r="CL537" i="19"/>
  <c r="CK537" i="19"/>
  <c r="CJ537" i="19"/>
  <c r="CI537" i="19"/>
  <c r="CH537" i="19"/>
  <c r="CG537" i="19"/>
  <c r="CF537" i="19"/>
  <c r="CE537" i="19"/>
  <c r="CO536" i="19"/>
  <c r="CN536" i="19"/>
  <c r="CM536" i="19"/>
  <c r="CL536" i="19"/>
  <c r="CK536" i="19"/>
  <c r="CJ536" i="19"/>
  <c r="CI536" i="19"/>
  <c r="CH536" i="19"/>
  <c r="CG536" i="19"/>
  <c r="CF536" i="19"/>
  <c r="CE536" i="19"/>
  <c r="CO535" i="19"/>
  <c r="CN535" i="19"/>
  <c r="CM535" i="19"/>
  <c r="CL535" i="19"/>
  <c r="CK535" i="19"/>
  <c r="CJ535" i="19"/>
  <c r="CI535" i="19"/>
  <c r="CH535" i="19"/>
  <c r="CG535" i="19"/>
  <c r="CF535" i="19"/>
  <c r="CE535" i="19"/>
  <c r="CO534" i="19"/>
  <c r="CN534" i="19"/>
  <c r="CM534" i="19"/>
  <c r="CL534" i="19"/>
  <c r="CK534" i="19"/>
  <c r="CJ534" i="19"/>
  <c r="CI534" i="19"/>
  <c r="CH534" i="19"/>
  <c r="CG534" i="19"/>
  <c r="CF534" i="19"/>
  <c r="CE534" i="19"/>
  <c r="CO533" i="19"/>
  <c r="CN533" i="19"/>
  <c r="CM533" i="19"/>
  <c r="CL533" i="19"/>
  <c r="CK533" i="19"/>
  <c r="CJ533" i="19"/>
  <c r="CI533" i="19"/>
  <c r="CH533" i="19"/>
  <c r="CG533" i="19"/>
  <c r="CF533" i="19"/>
  <c r="CE533" i="19"/>
  <c r="CO532" i="19"/>
  <c r="CN532" i="19"/>
  <c r="CM532" i="19"/>
  <c r="CL532" i="19"/>
  <c r="CK532" i="19"/>
  <c r="CJ532" i="19"/>
  <c r="CI532" i="19"/>
  <c r="CH532" i="19"/>
  <c r="CG532" i="19"/>
  <c r="CF532" i="19"/>
  <c r="CE532" i="19"/>
  <c r="CO531" i="19"/>
  <c r="CN531" i="19"/>
  <c r="CM531" i="19"/>
  <c r="CL531" i="19"/>
  <c r="CK531" i="19"/>
  <c r="CJ531" i="19"/>
  <c r="CI531" i="19"/>
  <c r="CH531" i="19"/>
  <c r="CG531" i="19"/>
  <c r="CF531" i="19"/>
  <c r="CE531" i="19"/>
  <c r="CO530" i="19"/>
  <c r="CN530" i="19"/>
  <c r="CM530" i="19"/>
  <c r="CL530" i="19"/>
  <c r="CK530" i="19"/>
  <c r="CJ530" i="19"/>
  <c r="CI530" i="19"/>
  <c r="CH530" i="19"/>
  <c r="CG530" i="19"/>
  <c r="CF530" i="19"/>
  <c r="CE530" i="19"/>
  <c r="CO529" i="19"/>
  <c r="CN529" i="19"/>
  <c r="CM529" i="19"/>
  <c r="CL529" i="19"/>
  <c r="CK529" i="19"/>
  <c r="CJ529" i="19"/>
  <c r="CI529" i="19"/>
  <c r="CH529" i="19"/>
  <c r="CG529" i="19"/>
  <c r="CF529" i="19"/>
  <c r="CE529" i="19"/>
  <c r="CO528" i="19"/>
  <c r="CN528" i="19"/>
  <c r="CM528" i="19"/>
  <c r="CL528" i="19"/>
  <c r="CK528" i="19"/>
  <c r="CJ528" i="19"/>
  <c r="CI528" i="19"/>
  <c r="CH528" i="19"/>
  <c r="CG528" i="19"/>
  <c r="CF528" i="19"/>
  <c r="CE528" i="19"/>
  <c r="CO527" i="19"/>
  <c r="CN527" i="19"/>
  <c r="CM527" i="19"/>
  <c r="CL527" i="19"/>
  <c r="CK527" i="19"/>
  <c r="CJ527" i="19"/>
  <c r="CI527" i="19"/>
  <c r="CH527" i="19"/>
  <c r="CG527" i="19"/>
  <c r="CF527" i="19"/>
  <c r="CE527" i="19"/>
  <c r="CO526" i="19"/>
  <c r="CN526" i="19"/>
  <c r="CM526" i="19"/>
  <c r="CL526" i="19"/>
  <c r="CK526" i="19"/>
  <c r="CJ526" i="19"/>
  <c r="CI526" i="19"/>
  <c r="CH526" i="19"/>
  <c r="CG526" i="19"/>
  <c r="CF526" i="19"/>
  <c r="CE526" i="19"/>
  <c r="CO525" i="19"/>
  <c r="CN525" i="19"/>
  <c r="CM525" i="19"/>
  <c r="CL525" i="19"/>
  <c r="CK525" i="19"/>
  <c r="CJ525" i="19"/>
  <c r="CI525" i="19"/>
  <c r="CH525" i="19"/>
  <c r="CG525" i="19"/>
  <c r="CF525" i="19"/>
  <c r="CE525" i="19"/>
  <c r="CO524" i="19"/>
  <c r="CN524" i="19"/>
  <c r="CM524" i="19"/>
  <c r="CL524" i="19"/>
  <c r="CK524" i="19"/>
  <c r="CJ524" i="19"/>
  <c r="CI524" i="19"/>
  <c r="CH524" i="19"/>
  <c r="CG524" i="19"/>
  <c r="CF524" i="19"/>
  <c r="CE524" i="19"/>
  <c r="CO523" i="19"/>
  <c r="CN523" i="19"/>
  <c r="CM523" i="19"/>
  <c r="CL523" i="19"/>
  <c r="CK523" i="19"/>
  <c r="CJ523" i="19"/>
  <c r="CI523" i="19"/>
  <c r="CH523" i="19"/>
  <c r="CG523" i="19"/>
  <c r="CF523" i="19"/>
  <c r="CE523" i="19"/>
  <c r="CO522" i="19"/>
  <c r="CN522" i="19"/>
  <c r="CM522" i="19"/>
  <c r="CL522" i="19"/>
  <c r="CK522" i="19"/>
  <c r="CJ522" i="19"/>
  <c r="CI522" i="19"/>
  <c r="CH522" i="19"/>
  <c r="CG522" i="19"/>
  <c r="CF522" i="19"/>
  <c r="CE522" i="19"/>
  <c r="CO521" i="19"/>
  <c r="CN521" i="19"/>
  <c r="CM521" i="19"/>
  <c r="CL521" i="19"/>
  <c r="CK521" i="19"/>
  <c r="CJ521" i="19"/>
  <c r="CI521" i="19"/>
  <c r="CH521" i="19"/>
  <c r="CG521" i="19"/>
  <c r="CF521" i="19"/>
  <c r="CE521" i="19"/>
  <c r="CO520" i="19"/>
  <c r="CN520" i="19"/>
  <c r="CM520" i="19"/>
  <c r="CL520" i="19"/>
  <c r="CK520" i="19"/>
  <c r="CJ520" i="19"/>
  <c r="CI520" i="19"/>
  <c r="CH520" i="19"/>
  <c r="CG520" i="19"/>
  <c r="CF520" i="19"/>
  <c r="CE520" i="19"/>
  <c r="CO519" i="19"/>
  <c r="CN519" i="19"/>
  <c r="CM519" i="19"/>
  <c r="CL519" i="19"/>
  <c r="CK519" i="19"/>
  <c r="CJ519" i="19"/>
  <c r="CI519" i="19"/>
  <c r="CH519" i="19"/>
  <c r="CG519" i="19"/>
  <c r="CF519" i="19"/>
  <c r="CE519" i="19"/>
  <c r="CO518" i="19"/>
  <c r="CN518" i="19"/>
  <c r="CM518" i="19"/>
  <c r="CL518" i="19"/>
  <c r="CK518" i="19"/>
  <c r="CJ518" i="19"/>
  <c r="CI518" i="19"/>
  <c r="CH518" i="19"/>
  <c r="CG518" i="19"/>
  <c r="CF518" i="19"/>
  <c r="CE518" i="19"/>
  <c r="CO517" i="19"/>
  <c r="CN517" i="19"/>
  <c r="CM517" i="19"/>
  <c r="CL517" i="19"/>
  <c r="CK517" i="19"/>
  <c r="CJ517" i="19"/>
  <c r="CI517" i="19"/>
  <c r="CH517" i="19"/>
  <c r="CG517" i="19"/>
  <c r="CF517" i="19"/>
  <c r="CE517" i="19"/>
  <c r="CO516" i="19"/>
  <c r="CN516" i="19"/>
  <c r="CM516" i="19"/>
  <c r="CL516" i="19"/>
  <c r="CK516" i="19"/>
  <c r="CJ516" i="19"/>
  <c r="CI516" i="19"/>
  <c r="CH516" i="19"/>
  <c r="CG516" i="19"/>
  <c r="CF516" i="19"/>
  <c r="CE516" i="19"/>
  <c r="CO515" i="19"/>
  <c r="CN515" i="19"/>
  <c r="CM515" i="19"/>
  <c r="CL515" i="19"/>
  <c r="CK515" i="19"/>
  <c r="CJ515" i="19"/>
  <c r="CI515" i="19"/>
  <c r="CH515" i="19"/>
  <c r="CG515" i="19"/>
  <c r="CF515" i="19"/>
  <c r="CE515" i="19"/>
  <c r="CO514" i="19"/>
  <c r="CN514" i="19"/>
  <c r="CM514" i="19"/>
  <c r="CL514" i="19"/>
  <c r="CK514" i="19"/>
  <c r="CJ514" i="19"/>
  <c r="CI514" i="19"/>
  <c r="CH514" i="19"/>
  <c r="CG514" i="19"/>
  <c r="CF514" i="19"/>
  <c r="CE514" i="19"/>
  <c r="CO513" i="19"/>
  <c r="CN513" i="19"/>
  <c r="CM513" i="19"/>
  <c r="CL513" i="19"/>
  <c r="CK513" i="19"/>
  <c r="CJ513" i="19"/>
  <c r="CI513" i="19"/>
  <c r="CH513" i="19"/>
  <c r="CG513" i="19"/>
  <c r="CF513" i="19"/>
  <c r="CE513" i="19"/>
  <c r="CO512" i="19"/>
  <c r="CN512" i="19"/>
  <c r="CM512" i="19"/>
  <c r="CL512" i="19"/>
  <c r="CK512" i="19"/>
  <c r="CJ512" i="19"/>
  <c r="CI512" i="19"/>
  <c r="CH512" i="19"/>
  <c r="CG512" i="19"/>
  <c r="CF512" i="19"/>
  <c r="CE512" i="19"/>
  <c r="CO511" i="19"/>
  <c r="CN511" i="19"/>
  <c r="CM511" i="19"/>
  <c r="CL511" i="19"/>
  <c r="CK511" i="19"/>
  <c r="CJ511" i="19"/>
  <c r="CI511" i="19"/>
  <c r="CH511" i="19"/>
  <c r="CG511" i="19"/>
  <c r="CF511" i="19"/>
  <c r="CE511" i="19"/>
  <c r="CO510" i="19"/>
  <c r="CN510" i="19"/>
  <c r="CM510" i="19"/>
  <c r="CL510" i="19"/>
  <c r="CK510" i="19"/>
  <c r="CJ510" i="19"/>
  <c r="CI510" i="19"/>
  <c r="CH510" i="19"/>
  <c r="CG510" i="19"/>
  <c r="CF510" i="19"/>
  <c r="CE510" i="19"/>
  <c r="CO509" i="19"/>
  <c r="CN509" i="19"/>
  <c r="CM509" i="19"/>
  <c r="CL509" i="19"/>
  <c r="CK509" i="19"/>
  <c r="CJ509" i="19"/>
  <c r="CI509" i="19"/>
  <c r="CH509" i="19"/>
  <c r="CG509" i="19"/>
  <c r="CF509" i="19"/>
  <c r="CE509" i="19"/>
  <c r="CO508" i="19"/>
  <c r="CN508" i="19"/>
  <c r="CM508" i="19"/>
  <c r="CL508" i="19"/>
  <c r="CK508" i="19"/>
  <c r="CJ508" i="19"/>
  <c r="CI508" i="19"/>
  <c r="CH508" i="19"/>
  <c r="CG508" i="19"/>
  <c r="CF508" i="19"/>
  <c r="CE508" i="19"/>
  <c r="CO507" i="19"/>
  <c r="CN507" i="19"/>
  <c r="CM507" i="19"/>
  <c r="CL507" i="19"/>
  <c r="CK507" i="19"/>
  <c r="CJ507" i="19"/>
  <c r="CI507" i="19"/>
  <c r="CH507" i="19"/>
  <c r="CG507" i="19"/>
  <c r="CF507" i="19"/>
  <c r="CE507" i="19"/>
  <c r="CO506" i="19"/>
  <c r="CN506" i="19"/>
  <c r="CM506" i="19"/>
  <c r="CL506" i="19"/>
  <c r="CK506" i="19"/>
  <c r="CJ506" i="19"/>
  <c r="CI506" i="19"/>
  <c r="CH506" i="19"/>
  <c r="CG506" i="19"/>
  <c r="CF506" i="19"/>
  <c r="CE506" i="19"/>
  <c r="CO505" i="19"/>
  <c r="CN505" i="19"/>
  <c r="CM505" i="19"/>
  <c r="CL505" i="19"/>
  <c r="CK505" i="19"/>
  <c r="CJ505" i="19"/>
  <c r="CI505" i="19"/>
  <c r="CH505" i="19"/>
  <c r="CG505" i="19"/>
  <c r="CF505" i="19"/>
  <c r="CE505" i="19"/>
  <c r="CO504" i="19"/>
  <c r="CN504" i="19"/>
  <c r="CM504" i="19"/>
  <c r="CL504" i="19"/>
  <c r="CK504" i="19"/>
  <c r="CJ504" i="19"/>
  <c r="CI504" i="19"/>
  <c r="CH504" i="19"/>
  <c r="CG504" i="19"/>
  <c r="CF504" i="19"/>
  <c r="CE504" i="19"/>
  <c r="CO503" i="19"/>
  <c r="CN503" i="19"/>
  <c r="CM503" i="19"/>
  <c r="CL503" i="19"/>
  <c r="CK503" i="19"/>
  <c r="CJ503" i="19"/>
  <c r="CI503" i="19"/>
  <c r="CH503" i="19"/>
  <c r="CG503" i="19"/>
  <c r="CF503" i="19"/>
  <c r="CE503" i="19"/>
  <c r="CO502" i="19"/>
  <c r="CN502" i="19"/>
  <c r="CM502" i="19"/>
  <c r="CL502" i="19"/>
  <c r="CK502" i="19"/>
  <c r="CJ502" i="19"/>
  <c r="CI502" i="19"/>
  <c r="CH502" i="19"/>
  <c r="CG502" i="19"/>
  <c r="CF502" i="19"/>
  <c r="CE502" i="19"/>
  <c r="CO501" i="19"/>
  <c r="CN501" i="19"/>
  <c r="CM501" i="19"/>
  <c r="CL501" i="19"/>
  <c r="CK501" i="19"/>
  <c r="CJ501" i="19"/>
  <c r="CI501" i="19"/>
  <c r="CH501" i="19"/>
  <c r="CG501" i="19"/>
  <c r="CF501" i="19"/>
  <c r="CE501" i="19"/>
  <c r="CO500" i="19"/>
  <c r="CN500" i="19"/>
  <c r="CM500" i="19"/>
  <c r="CL500" i="19"/>
  <c r="CK500" i="19"/>
  <c r="CJ500" i="19"/>
  <c r="CI500" i="19"/>
  <c r="CH500" i="19"/>
  <c r="CG500" i="19"/>
  <c r="CF500" i="19"/>
  <c r="CE500" i="19"/>
  <c r="CO499" i="19"/>
  <c r="CN499" i="19"/>
  <c r="CM499" i="19"/>
  <c r="CL499" i="19"/>
  <c r="CK499" i="19"/>
  <c r="CJ499" i="19"/>
  <c r="CI499" i="19"/>
  <c r="CH499" i="19"/>
  <c r="CG499" i="19"/>
  <c r="CF499" i="19"/>
  <c r="CE499" i="19"/>
  <c r="CO498" i="19"/>
  <c r="CN498" i="19"/>
  <c r="CM498" i="19"/>
  <c r="CL498" i="19"/>
  <c r="CK498" i="19"/>
  <c r="CJ498" i="19"/>
  <c r="CI498" i="19"/>
  <c r="CH498" i="19"/>
  <c r="CG498" i="19"/>
  <c r="CF498" i="19"/>
  <c r="CE498" i="19"/>
  <c r="CO497" i="19"/>
  <c r="CN497" i="19"/>
  <c r="CM497" i="19"/>
  <c r="CL497" i="19"/>
  <c r="CK497" i="19"/>
  <c r="CJ497" i="19"/>
  <c r="CI497" i="19"/>
  <c r="CH497" i="19"/>
  <c r="CG497" i="19"/>
  <c r="CF497" i="19"/>
  <c r="CE497" i="19"/>
  <c r="CO496" i="19"/>
  <c r="CN496" i="19"/>
  <c r="CM496" i="19"/>
  <c r="CL496" i="19"/>
  <c r="CK496" i="19"/>
  <c r="CJ496" i="19"/>
  <c r="CI496" i="19"/>
  <c r="CH496" i="19"/>
  <c r="CG496" i="19"/>
  <c r="CF496" i="19"/>
  <c r="CE496" i="19"/>
  <c r="CO495" i="19"/>
  <c r="CN495" i="19"/>
  <c r="CM495" i="19"/>
  <c r="CL495" i="19"/>
  <c r="CK495" i="19"/>
  <c r="CJ495" i="19"/>
  <c r="CI495" i="19"/>
  <c r="CH495" i="19"/>
  <c r="CG495" i="19"/>
  <c r="CF495" i="19"/>
  <c r="CE495" i="19"/>
  <c r="CO494" i="19"/>
  <c r="CN494" i="19"/>
  <c r="CM494" i="19"/>
  <c r="CL494" i="19"/>
  <c r="CK494" i="19"/>
  <c r="CJ494" i="19"/>
  <c r="CI494" i="19"/>
  <c r="CH494" i="19"/>
  <c r="CG494" i="19"/>
  <c r="CF494" i="19"/>
  <c r="CE494" i="19"/>
  <c r="CO493" i="19"/>
  <c r="CN493" i="19"/>
  <c r="CM493" i="19"/>
  <c r="CL493" i="19"/>
  <c r="CK493" i="19"/>
  <c r="CJ493" i="19"/>
  <c r="CI493" i="19"/>
  <c r="CH493" i="19"/>
  <c r="CG493" i="19"/>
  <c r="CF493" i="19"/>
  <c r="CE493" i="19"/>
  <c r="CO492" i="19"/>
  <c r="CN492" i="19"/>
  <c r="CM492" i="19"/>
  <c r="CL492" i="19"/>
  <c r="CK492" i="19"/>
  <c r="CJ492" i="19"/>
  <c r="CI492" i="19"/>
  <c r="CH492" i="19"/>
  <c r="CG492" i="19"/>
  <c r="CF492" i="19"/>
  <c r="CE492" i="19"/>
  <c r="CO491" i="19"/>
  <c r="CN491" i="19"/>
  <c r="CM491" i="19"/>
  <c r="CL491" i="19"/>
  <c r="CK491" i="19"/>
  <c r="CJ491" i="19"/>
  <c r="CI491" i="19"/>
  <c r="CH491" i="19"/>
  <c r="CG491" i="19"/>
  <c r="CF491" i="19"/>
  <c r="CE491" i="19"/>
  <c r="CO490" i="19"/>
  <c r="CN490" i="19"/>
  <c r="CM490" i="19"/>
  <c r="CL490" i="19"/>
  <c r="CK490" i="19"/>
  <c r="CJ490" i="19"/>
  <c r="CI490" i="19"/>
  <c r="CH490" i="19"/>
  <c r="CG490" i="19"/>
  <c r="CF490" i="19"/>
  <c r="CE490" i="19"/>
  <c r="CO489" i="19"/>
  <c r="CN489" i="19"/>
  <c r="CM489" i="19"/>
  <c r="CL489" i="19"/>
  <c r="CK489" i="19"/>
  <c r="CJ489" i="19"/>
  <c r="CI489" i="19"/>
  <c r="CH489" i="19"/>
  <c r="CG489" i="19"/>
  <c r="CF489" i="19"/>
  <c r="CE489" i="19"/>
  <c r="CO488" i="19"/>
  <c r="CN488" i="19"/>
  <c r="CM488" i="19"/>
  <c r="CL488" i="19"/>
  <c r="CK488" i="19"/>
  <c r="CJ488" i="19"/>
  <c r="CI488" i="19"/>
  <c r="CH488" i="19"/>
  <c r="CG488" i="19"/>
  <c r="CF488" i="19"/>
  <c r="CE488" i="19"/>
  <c r="CO487" i="19"/>
  <c r="CN487" i="19"/>
  <c r="CM487" i="19"/>
  <c r="CL487" i="19"/>
  <c r="CK487" i="19"/>
  <c r="CJ487" i="19"/>
  <c r="CI487" i="19"/>
  <c r="CH487" i="19"/>
  <c r="CG487" i="19"/>
  <c r="CF487" i="19"/>
  <c r="CE487" i="19"/>
  <c r="CO486" i="19"/>
  <c r="CN486" i="19"/>
  <c r="CM486" i="19"/>
  <c r="CL486" i="19"/>
  <c r="CK486" i="19"/>
  <c r="CJ486" i="19"/>
  <c r="CI486" i="19"/>
  <c r="CH486" i="19"/>
  <c r="CG486" i="19"/>
  <c r="CF486" i="19"/>
  <c r="CE486" i="19"/>
  <c r="CO485" i="19"/>
  <c r="CN485" i="19"/>
  <c r="CM485" i="19"/>
  <c r="CL485" i="19"/>
  <c r="CK485" i="19"/>
  <c r="CJ485" i="19"/>
  <c r="CI485" i="19"/>
  <c r="CH485" i="19"/>
  <c r="CG485" i="19"/>
  <c r="CF485" i="19"/>
  <c r="CE485" i="19"/>
  <c r="CO484" i="19"/>
  <c r="CN484" i="19"/>
  <c r="CM484" i="19"/>
  <c r="CL484" i="19"/>
  <c r="CK484" i="19"/>
  <c r="CJ484" i="19"/>
  <c r="CI484" i="19"/>
  <c r="CH484" i="19"/>
  <c r="CG484" i="19"/>
  <c r="CF484" i="19"/>
  <c r="CE484" i="19"/>
  <c r="CO483" i="19"/>
  <c r="CN483" i="19"/>
  <c r="CM483" i="19"/>
  <c r="CL483" i="19"/>
  <c r="CK483" i="19"/>
  <c r="CJ483" i="19"/>
  <c r="CI483" i="19"/>
  <c r="CH483" i="19"/>
  <c r="CG483" i="19"/>
  <c r="CF483" i="19"/>
  <c r="CE483" i="19"/>
  <c r="CO482" i="19"/>
  <c r="CN482" i="19"/>
  <c r="CM482" i="19"/>
  <c r="CL482" i="19"/>
  <c r="CK482" i="19"/>
  <c r="CJ482" i="19"/>
  <c r="CI482" i="19"/>
  <c r="CH482" i="19"/>
  <c r="CG482" i="19"/>
  <c r="CF482" i="19"/>
  <c r="CE482" i="19"/>
  <c r="CO481" i="19"/>
  <c r="CN481" i="19"/>
  <c r="CM481" i="19"/>
  <c r="CL481" i="19"/>
  <c r="CK481" i="19"/>
  <c r="CJ481" i="19"/>
  <c r="CI481" i="19"/>
  <c r="CH481" i="19"/>
  <c r="CG481" i="19"/>
  <c r="CF481" i="19"/>
  <c r="CE481" i="19"/>
  <c r="CO480" i="19"/>
  <c r="CN480" i="19"/>
  <c r="CM480" i="19"/>
  <c r="CL480" i="19"/>
  <c r="CK480" i="19"/>
  <c r="CJ480" i="19"/>
  <c r="CI480" i="19"/>
  <c r="CH480" i="19"/>
  <c r="CG480" i="19"/>
  <c r="CF480" i="19"/>
  <c r="CE480" i="19"/>
  <c r="CO479" i="19"/>
  <c r="CN479" i="19"/>
  <c r="CM479" i="19"/>
  <c r="CL479" i="19"/>
  <c r="CK479" i="19"/>
  <c r="CJ479" i="19"/>
  <c r="CI479" i="19"/>
  <c r="CH479" i="19"/>
  <c r="CG479" i="19"/>
  <c r="CF479" i="19"/>
  <c r="CE479" i="19"/>
  <c r="CO478" i="19"/>
  <c r="CN478" i="19"/>
  <c r="CM478" i="19"/>
  <c r="CL478" i="19"/>
  <c r="CK478" i="19"/>
  <c r="CJ478" i="19"/>
  <c r="CI478" i="19"/>
  <c r="CH478" i="19"/>
  <c r="CG478" i="19"/>
  <c r="CF478" i="19"/>
  <c r="CE478" i="19"/>
  <c r="CO477" i="19"/>
  <c r="CN477" i="19"/>
  <c r="CM477" i="19"/>
  <c r="CL477" i="19"/>
  <c r="CJ477" i="19"/>
  <c r="CI477" i="19"/>
  <c r="CH477" i="19"/>
  <c r="CG477" i="19"/>
  <c r="CF477" i="19"/>
  <c r="CE477" i="19"/>
  <c r="CK477" i="19"/>
  <c r="CO476" i="19"/>
  <c r="CN476" i="19"/>
  <c r="CM476" i="19"/>
  <c r="CL476" i="19"/>
  <c r="CK476" i="19"/>
  <c r="CJ476" i="19"/>
  <c r="CI476" i="19"/>
  <c r="CH476" i="19"/>
  <c r="CG476" i="19"/>
  <c r="CF476" i="19"/>
  <c r="CE476" i="19"/>
  <c r="CO475" i="19"/>
  <c r="CN475" i="19"/>
  <c r="CM475" i="19"/>
  <c r="CL475" i="19"/>
  <c r="CK475" i="19"/>
  <c r="CJ475" i="19"/>
  <c r="CI475" i="19"/>
  <c r="CH475" i="19"/>
  <c r="CG475" i="19"/>
  <c r="CF475" i="19"/>
  <c r="CE475" i="19"/>
  <c r="CO474" i="19"/>
  <c r="CN474" i="19"/>
  <c r="CM474" i="19"/>
  <c r="CL474" i="19"/>
  <c r="CK474" i="19"/>
  <c r="CJ474" i="19"/>
  <c r="CI474" i="19"/>
  <c r="CH474" i="19"/>
  <c r="CG474" i="19"/>
  <c r="CF474" i="19"/>
  <c r="CE474" i="19"/>
  <c r="CO473" i="19"/>
  <c r="CN473" i="19"/>
  <c r="CM473" i="19"/>
  <c r="CL473" i="19"/>
  <c r="CK473" i="19"/>
  <c r="CJ473" i="19"/>
  <c r="CI473" i="19"/>
  <c r="CH473" i="19"/>
  <c r="CG473" i="19"/>
  <c r="CF473" i="19"/>
  <c r="CE473" i="19"/>
  <c r="CO472" i="19"/>
  <c r="CN472" i="19"/>
  <c r="CM472" i="19"/>
  <c r="CL472" i="19"/>
  <c r="CK472" i="19"/>
  <c r="CJ472" i="19"/>
  <c r="CI472" i="19"/>
  <c r="CH472" i="19"/>
  <c r="CG472" i="19"/>
  <c r="CF472" i="19"/>
  <c r="CE472" i="19"/>
  <c r="CO471" i="19"/>
  <c r="CN471" i="19"/>
  <c r="CM471" i="19"/>
  <c r="CL471" i="19"/>
  <c r="CK471" i="19"/>
  <c r="CJ471" i="19"/>
  <c r="CI471" i="19"/>
  <c r="CH471" i="19"/>
  <c r="CG471" i="19"/>
  <c r="CF471" i="19"/>
  <c r="CE471" i="19"/>
  <c r="CO470" i="19"/>
  <c r="CN470" i="19"/>
  <c r="CM470" i="19"/>
  <c r="CL470" i="19"/>
  <c r="CK470" i="19"/>
  <c r="CJ470" i="19"/>
  <c r="CI470" i="19"/>
  <c r="CH470" i="19"/>
  <c r="CG470" i="19"/>
  <c r="CF470" i="19"/>
  <c r="CE470" i="19"/>
  <c r="CO469" i="19"/>
  <c r="CN469" i="19"/>
  <c r="CM469" i="19"/>
  <c r="CL469" i="19"/>
  <c r="CK469" i="19"/>
  <c r="CJ469" i="19"/>
  <c r="CI469" i="19"/>
  <c r="CH469" i="19"/>
  <c r="CG469" i="19"/>
  <c r="CF469" i="19"/>
  <c r="CE469" i="19"/>
  <c r="CO468" i="19"/>
  <c r="CN468" i="19"/>
  <c r="CM468" i="19"/>
  <c r="CL468" i="19"/>
  <c r="CK468" i="19"/>
  <c r="CJ468" i="19"/>
  <c r="CI468" i="19"/>
  <c r="CH468" i="19"/>
  <c r="CG468" i="19"/>
  <c r="CF468" i="19"/>
  <c r="CE468" i="19"/>
  <c r="CO467" i="19"/>
  <c r="CN467" i="19"/>
  <c r="CM467" i="19"/>
  <c r="CL467" i="19"/>
  <c r="CK467" i="19"/>
  <c r="CJ467" i="19"/>
  <c r="CI467" i="19"/>
  <c r="CH467" i="19"/>
  <c r="CG467" i="19"/>
  <c r="CF467" i="19"/>
  <c r="CE467" i="19"/>
  <c r="CO466" i="19"/>
  <c r="CN466" i="19"/>
  <c r="CM466" i="19"/>
  <c r="CL466" i="19"/>
  <c r="CK466" i="19"/>
  <c r="CJ466" i="19"/>
  <c r="CI466" i="19"/>
  <c r="CH466" i="19"/>
  <c r="CG466" i="19"/>
  <c r="CF466" i="19"/>
  <c r="CE466" i="19"/>
  <c r="CO465" i="19"/>
  <c r="CN465" i="19"/>
  <c r="CM465" i="19"/>
  <c r="CL465" i="19"/>
  <c r="CK465" i="19"/>
  <c r="CJ465" i="19"/>
  <c r="CI465" i="19"/>
  <c r="CH465" i="19"/>
  <c r="CG465" i="19"/>
  <c r="CF465" i="19"/>
  <c r="CE465" i="19"/>
  <c r="CO464" i="19"/>
  <c r="CN464" i="19"/>
  <c r="CM464" i="19"/>
  <c r="CL464" i="19"/>
  <c r="CK464" i="19"/>
  <c r="CJ464" i="19"/>
  <c r="CI464" i="19"/>
  <c r="CH464" i="19"/>
  <c r="CG464" i="19"/>
  <c r="CF464" i="19"/>
  <c r="CE464" i="19"/>
  <c r="CO463" i="19"/>
  <c r="CN463" i="19"/>
  <c r="CM463" i="19"/>
  <c r="CL463" i="19"/>
  <c r="CK463" i="19"/>
  <c r="CJ463" i="19"/>
  <c r="CI463" i="19"/>
  <c r="CH463" i="19"/>
  <c r="CG463" i="19"/>
  <c r="CF463" i="19"/>
  <c r="CE463" i="19"/>
  <c r="CO462" i="19"/>
  <c r="CN462" i="19"/>
  <c r="CM462" i="19"/>
  <c r="CL462" i="19"/>
  <c r="CK462" i="19"/>
  <c r="CJ462" i="19"/>
  <c r="CI462" i="19"/>
  <c r="CH462" i="19"/>
  <c r="CG462" i="19"/>
  <c r="CF462" i="19"/>
  <c r="CE462" i="19"/>
  <c r="CO461" i="19"/>
  <c r="CN461" i="19"/>
  <c r="CM461" i="19"/>
  <c r="CL461" i="19"/>
  <c r="CK461" i="19"/>
  <c r="CJ461" i="19"/>
  <c r="CI461" i="19"/>
  <c r="CH461" i="19"/>
  <c r="CG461" i="19"/>
  <c r="CF461" i="19"/>
  <c r="CE461" i="19"/>
  <c r="CO460" i="19"/>
  <c r="CN460" i="19"/>
  <c r="CM460" i="19"/>
  <c r="CL460" i="19"/>
  <c r="CK460" i="19"/>
  <c r="CJ460" i="19"/>
  <c r="CI460" i="19"/>
  <c r="CH460" i="19"/>
  <c r="CG460" i="19"/>
  <c r="CF460" i="19"/>
  <c r="CE460" i="19"/>
  <c r="CO459" i="19"/>
  <c r="CN459" i="19"/>
  <c r="CM459" i="19"/>
  <c r="CL459" i="19"/>
  <c r="CK459" i="19"/>
  <c r="CJ459" i="19"/>
  <c r="CI459" i="19"/>
  <c r="CH459" i="19"/>
  <c r="CG459" i="19"/>
  <c r="CF459" i="19"/>
  <c r="CE459" i="19"/>
  <c r="CO458" i="19"/>
  <c r="CN458" i="19"/>
  <c r="CM458" i="19"/>
  <c r="CL458" i="19"/>
  <c r="CK458" i="19"/>
  <c r="CJ458" i="19"/>
  <c r="CI458" i="19"/>
  <c r="CH458" i="19"/>
  <c r="CG458" i="19"/>
  <c r="CF458" i="19"/>
  <c r="CE458" i="19"/>
  <c r="CO457" i="19"/>
  <c r="CN457" i="19"/>
  <c r="CM457" i="19"/>
  <c r="CL457" i="19"/>
  <c r="CK457" i="19"/>
  <c r="CJ457" i="19"/>
  <c r="CI457" i="19"/>
  <c r="CH457" i="19"/>
  <c r="CG457" i="19"/>
  <c r="CF457" i="19"/>
  <c r="CE457" i="19"/>
  <c r="CO456" i="19"/>
  <c r="CN456" i="19"/>
  <c r="CM456" i="19"/>
  <c r="CL456" i="19"/>
  <c r="CK456" i="19"/>
  <c r="CJ456" i="19"/>
  <c r="CI456" i="19"/>
  <c r="CH456" i="19"/>
  <c r="CG456" i="19"/>
  <c r="CF456" i="19"/>
  <c r="CE456" i="19"/>
  <c r="CO455" i="19"/>
  <c r="CN455" i="19"/>
  <c r="CM455" i="19"/>
  <c r="CL455" i="19"/>
  <c r="CK455" i="19"/>
  <c r="CJ455" i="19"/>
  <c r="CI455" i="19"/>
  <c r="CH455" i="19"/>
  <c r="CG455" i="19"/>
  <c r="CF455" i="19"/>
  <c r="CE455" i="19"/>
  <c r="CO454" i="19"/>
  <c r="CN454" i="19"/>
  <c r="CM454" i="19"/>
  <c r="CL454" i="19"/>
  <c r="CK454" i="19"/>
  <c r="CJ454" i="19"/>
  <c r="CI454" i="19"/>
  <c r="CH454" i="19"/>
  <c r="CG454" i="19"/>
  <c r="CF454" i="19"/>
  <c r="CE454" i="19"/>
  <c r="CO453" i="19"/>
  <c r="CN453" i="19"/>
  <c r="CM453" i="19"/>
  <c r="CL453" i="19"/>
  <c r="CK453" i="19"/>
  <c r="CJ453" i="19"/>
  <c r="CI453" i="19"/>
  <c r="CH453" i="19"/>
  <c r="CG453" i="19"/>
  <c r="CF453" i="19"/>
  <c r="CE453" i="19"/>
  <c r="CO452" i="19"/>
  <c r="CN452" i="19"/>
  <c r="CM452" i="19"/>
  <c r="CL452" i="19"/>
  <c r="CK452" i="19"/>
  <c r="CJ452" i="19"/>
  <c r="CI452" i="19"/>
  <c r="CH452" i="19"/>
  <c r="CG452" i="19"/>
  <c r="CF452" i="19"/>
  <c r="CE452" i="19"/>
  <c r="CO451" i="19"/>
  <c r="CN451" i="19"/>
  <c r="CM451" i="19"/>
  <c r="CL451" i="19"/>
  <c r="CK451" i="19"/>
  <c r="CJ451" i="19"/>
  <c r="CI451" i="19"/>
  <c r="CH451" i="19"/>
  <c r="CG451" i="19"/>
  <c r="CF451" i="19"/>
  <c r="CE451" i="19"/>
  <c r="CO450" i="19"/>
  <c r="CN450" i="19"/>
  <c r="CM450" i="19"/>
  <c r="CL450" i="19"/>
  <c r="CK450" i="19"/>
  <c r="CJ450" i="19"/>
  <c r="CI450" i="19"/>
  <c r="CH450" i="19"/>
  <c r="CG450" i="19"/>
  <c r="CF450" i="19"/>
  <c r="CE450" i="19"/>
  <c r="CO449" i="19"/>
  <c r="CN449" i="19"/>
  <c r="CM449" i="19"/>
  <c r="CL449" i="19"/>
  <c r="CK449" i="19"/>
  <c r="CJ449" i="19"/>
  <c r="CI449" i="19"/>
  <c r="CH449" i="19"/>
  <c r="CG449" i="19"/>
  <c r="CF449" i="19"/>
  <c r="CE449" i="19"/>
  <c r="CO448" i="19"/>
  <c r="CN448" i="19"/>
  <c r="CM448" i="19"/>
  <c r="CL448" i="19"/>
  <c r="CK448" i="19"/>
  <c r="CJ448" i="19"/>
  <c r="CI448" i="19"/>
  <c r="CH448" i="19"/>
  <c r="CG448" i="19"/>
  <c r="CF448" i="19"/>
  <c r="CE448" i="19"/>
  <c r="CO447" i="19"/>
  <c r="CN447" i="19"/>
  <c r="CM447" i="19"/>
  <c r="CL447" i="19"/>
  <c r="CK447" i="19"/>
  <c r="CJ447" i="19"/>
  <c r="CI447" i="19"/>
  <c r="CH447" i="19"/>
  <c r="CG447" i="19"/>
  <c r="CF447" i="19"/>
  <c r="CE447" i="19"/>
  <c r="CO446" i="19"/>
  <c r="CN446" i="19"/>
  <c r="CM446" i="19"/>
  <c r="CL446" i="19"/>
  <c r="CK446" i="19"/>
  <c r="CJ446" i="19"/>
  <c r="CI446" i="19"/>
  <c r="CH446" i="19"/>
  <c r="CG446" i="19"/>
  <c r="CF446" i="19"/>
  <c r="CE446" i="19"/>
  <c r="CO445" i="19"/>
  <c r="CN445" i="19"/>
  <c r="CM445" i="19"/>
  <c r="CL445" i="19"/>
  <c r="CK445" i="19"/>
  <c r="CJ445" i="19"/>
  <c r="CI445" i="19"/>
  <c r="CH445" i="19"/>
  <c r="CG445" i="19"/>
  <c r="CF445" i="19"/>
  <c r="CE445" i="19"/>
  <c r="CO444" i="19"/>
  <c r="CN444" i="19"/>
  <c r="CM444" i="19"/>
  <c r="CL444" i="19"/>
  <c r="CK444" i="19"/>
  <c r="CJ444" i="19"/>
  <c r="CI444" i="19"/>
  <c r="CH444" i="19"/>
  <c r="CG444" i="19"/>
  <c r="CF444" i="19"/>
  <c r="CE444" i="19"/>
  <c r="CO443" i="19"/>
  <c r="CN443" i="19"/>
  <c r="CM443" i="19"/>
  <c r="CL443" i="19"/>
  <c r="CK443" i="19"/>
  <c r="CJ443" i="19"/>
  <c r="CI443" i="19"/>
  <c r="CH443" i="19"/>
  <c r="CG443" i="19"/>
  <c r="CF443" i="19"/>
  <c r="CE443" i="19"/>
  <c r="CO442" i="19"/>
  <c r="CN442" i="19"/>
  <c r="CM442" i="19"/>
  <c r="CL442" i="19"/>
  <c r="CK442" i="19"/>
  <c r="CJ442" i="19"/>
  <c r="CI442" i="19"/>
  <c r="CH442" i="19"/>
  <c r="CG442" i="19"/>
  <c r="CF442" i="19"/>
  <c r="CE442" i="19"/>
  <c r="CO441" i="19"/>
  <c r="CN441" i="19"/>
  <c r="CM441" i="19"/>
  <c r="CL441" i="19"/>
  <c r="CK441" i="19"/>
  <c r="CJ441" i="19"/>
  <c r="CI441" i="19"/>
  <c r="CH441" i="19"/>
  <c r="CG441" i="19"/>
  <c r="CF441" i="19"/>
  <c r="CE441" i="19"/>
  <c r="CO440" i="19"/>
  <c r="CN440" i="19"/>
  <c r="CM440" i="19"/>
  <c r="CL440" i="19"/>
  <c r="CK440" i="19"/>
  <c r="CJ440" i="19"/>
  <c r="CI440" i="19"/>
  <c r="CH440" i="19"/>
  <c r="CG440" i="19"/>
  <c r="CF440" i="19"/>
  <c r="CE440" i="19"/>
  <c r="CO439" i="19"/>
  <c r="CN439" i="19"/>
  <c r="CM439" i="19"/>
  <c r="CL439" i="19"/>
  <c r="CK439" i="19"/>
  <c r="CJ439" i="19"/>
  <c r="CI439" i="19"/>
  <c r="CH439" i="19"/>
  <c r="CG439" i="19"/>
  <c r="CF439" i="19"/>
  <c r="CE439" i="19"/>
  <c r="CO438" i="19"/>
  <c r="CN438" i="19"/>
  <c r="CM438" i="19"/>
  <c r="CL438" i="19"/>
  <c r="CK438" i="19"/>
  <c r="CJ438" i="19"/>
  <c r="CI438" i="19"/>
  <c r="CH438" i="19"/>
  <c r="CG438" i="19"/>
  <c r="CF438" i="19"/>
  <c r="CE438" i="19"/>
  <c r="CO437" i="19"/>
  <c r="CN437" i="19"/>
  <c r="CM437" i="19"/>
  <c r="CL437" i="19"/>
  <c r="CK437" i="19"/>
  <c r="CJ437" i="19"/>
  <c r="CI437" i="19"/>
  <c r="CH437" i="19"/>
  <c r="CG437" i="19"/>
  <c r="CF437" i="19"/>
  <c r="CE437" i="19"/>
  <c r="CO436" i="19"/>
  <c r="CN436" i="19"/>
  <c r="CM436" i="19"/>
  <c r="CL436" i="19"/>
  <c r="CK436" i="19"/>
  <c r="CJ436" i="19"/>
  <c r="CI436" i="19"/>
  <c r="CH436" i="19"/>
  <c r="CG436" i="19"/>
  <c r="CF436" i="19"/>
  <c r="CE436" i="19"/>
  <c r="CO435" i="19"/>
  <c r="CN435" i="19"/>
  <c r="CM435" i="19"/>
  <c r="CL435" i="19"/>
  <c r="CK435" i="19"/>
  <c r="CJ435" i="19"/>
  <c r="CI435" i="19"/>
  <c r="CH435" i="19"/>
  <c r="CG435" i="19"/>
  <c r="CF435" i="19"/>
  <c r="CE435" i="19"/>
  <c r="CO434" i="19"/>
  <c r="CN434" i="19"/>
  <c r="CM434" i="19"/>
  <c r="CL434" i="19"/>
  <c r="CK434" i="19"/>
  <c r="CJ434" i="19"/>
  <c r="CI434" i="19"/>
  <c r="CH434" i="19"/>
  <c r="CG434" i="19"/>
  <c r="CF434" i="19"/>
  <c r="CE434" i="19"/>
  <c r="CO433" i="19"/>
  <c r="CN433" i="19"/>
  <c r="CM433" i="19"/>
  <c r="CL433" i="19"/>
  <c r="CK433" i="19"/>
  <c r="CJ433" i="19"/>
  <c r="CI433" i="19"/>
  <c r="CH433" i="19"/>
  <c r="CG433" i="19"/>
  <c r="CF433" i="19"/>
  <c r="CE433" i="19"/>
  <c r="CO432" i="19"/>
  <c r="CN432" i="19"/>
  <c r="CM432" i="19"/>
  <c r="CL432" i="19"/>
  <c r="CK432" i="19"/>
  <c r="CJ432" i="19"/>
  <c r="CI432" i="19"/>
  <c r="CH432" i="19"/>
  <c r="CG432" i="19"/>
  <c r="CF432" i="19"/>
  <c r="CE432" i="19"/>
  <c r="CO431" i="19"/>
  <c r="CN431" i="19"/>
  <c r="CM431" i="19"/>
  <c r="CL431" i="19"/>
  <c r="CK431" i="19"/>
  <c r="CJ431" i="19"/>
  <c r="CI431" i="19"/>
  <c r="CH431" i="19"/>
  <c r="CG431" i="19"/>
  <c r="CF431" i="19"/>
  <c r="CE431" i="19"/>
  <c r="CO430" i="19"/>
  <c r="CN430" i="19"/>
  <c r="CM430" i="19"/>
  <c r="CL430" i="19"/>
  <c r="CK430" i="19"/>
  <c r="CJ430" i="19"/>
  <c r="CI430" i="19"/>
  <c r="CH430" i="19"/>
  <c r="CG430" i="19"/>
  <c r="CF430" i="19"/>
  <c r="CE430" i="19"/>
  <c r="CO429" i="19"/>
  <c r="CN429" i="19"/>
  <c r="CM429" i="19"/>
  <c r="CL429" i="19"/>
  <c r="CK429" i="19"/>
  <c r="CJ429" i="19"/>
  <c r="CI429" i="19"/>
  <c r="CH429" i="19"/>
  <c r="CG429" i="19"/>
  <c r="CF429" i="19"/>
  <c r="CE429" i="19"/>
  <c r="CO428" i="19"/>
  <c r="CN428" i="19"/>
  <c r="CM428" i="19"/>
  <c r="CL428" i="19"/>
  <c r="CK428" i="19"/>
  <c r="CJ428" i="19"/>
  <c r="CI428" i="19"/>
  <c r="CH428" i="19"/>
  <c r="CG428" i="19"/>
  <c r="CF428" i="19"/>
  <c r="CE428" i="19"/>
  <c r="CO427" i="19"/>
  <c r="CN427" i="19"/>
  <c r="CM427" i="19"/>
  <c r="CL427" i="19"/>
  <c r="CK427" i="19"/>
  <c r="CJ427" i="19"/>
  <c r="CI427" i="19"/>
  <c r="CH427" i="19"/>
  <c r="CG427" i="19"/>
  <c r="CF427" i="19"/>
  <c r="CE427" i="19"/>
  <c r="CO426" i="19"/>
  <c r="CN426" i="19"/>
  <c r="CM426" i="19"/>
  <c r="CL426" i="19"/>
  <c r="CK426" i="19"/>
  <c r="CJ426" i="19"/>
  <c r="CI426" i="19"/>
  <c r="CH426" i="19"/>
  <c r="CG426" i="19"/>
  <c r="CF426" i="19"/>
  <c r="CE426" i="19"/>
  <c r="CO425" i="19"/>
  <c r="CN425" i="19"/>
  <c r="CM425" i="19"/>
  <c r="CL425" i="19"/>
  <c r="CK425" i="19"/>
  <c r="CJ425" i="19"/>
  <c r="CI425" i="19"/>
  <c r="CH425" i="19"/>
  <c r="CG425" i="19"/>
  <c r="CF425" i="19"/>
  <c r="CE425" i="19"/>
  <c r="CO424" i="19"/>
  <c r="CN424" i="19"/>
  <c r="CM424" i="19"/>
  <c r="CL424" i="19"/>
  <c r="CK424" i="19"/>
  <c r="CJ424" i="19"/>
  <c r="CI424" i="19"/>
  <c r="CH424" i="19"/>
  <c r="CG424" i="19"/>
  <c r="CF424" i="19"/>
  <c r="CE424" i="19"/>
  <c r="CO423" i="19"/>
  <c r="CN423" i="19"/>
  <c r="CM423" i="19"/>
  <c r="CL423" i="19"/>
  <c r="CK423" i="19"/>
  <c r="CJ423" i="19"/>
  <c r="CI423" i="19"/>
  <c r="CH423" i="19"/>
  <c r="CG423" i="19"/>
  <c r="CF423" i="19"/>
  <c r="CE423" i="19"/>
  <c r="CO422" i="19"/>
  <c r="CN422" i="19"/>
  <c r="CM422" i="19"/>
  <c r="CL422" i="19"/>
  <c r="CK422" i="19"/>
  <c r="CJ422" i="19"/>
  <c r="CI422" i="19"/>
  <c r="CH422" i="19"/>
  <c r="CG422" i="19"/>
  <c r="CF422" i="19"/>
  <c r="CE422" i="19"/>
  <c r="CO421" i="19"/>
  <c r="CN421" i="19"/>
  <c r="CM421" i="19"/>
  <c r="CL421" i="19"/>
  <c r="CK421" i="19"/>
  <c r="CJ421" i="19"/>
  <c r="CI421" i="19"/>
  <c r="CH421" i="19"/>
  <c r="CG421" i="19"/>
  <c r="CF421" i="19"/>
  <c r="CE421" i="19"/>
  <c r="CO420" i="19"/>
  <c r="CN420" i="19"/>
  <c r="CM420" i="19"/>
  <c r="CL420" i="19"/>
  <c r="CK420" i="19"/>
  <c r="CJ420" i="19"/>
  <c r="CI420" i="19"/>
  <c r="CH420" i="19"/>
  <c r="CG420" i="19"/>
  <c r="CF420" i="19"/>
  <c r="CE420" i="19"/>
  <c r="CO419" i="19"/>
  <c r="CN419" i="19"/>
  <c r="CM419" i="19"/>
  <c r="CL419" i="19"/>
  <c r="CK419" i="19"/>
  <c r="CJ419" i="19"/>
  <c r="CI419" i="19"/>
  <c r="CH419" i="19"/>
  <c r="CG419" i="19"/>
  <c r="CF419" i="19"/>
  <c r="CE419" i="19"/>
  <c r="CO418" i="19"/>
  <c r="CN418" i="19"/>
  <c r="CM418" i="19"/>
  <c r="CL418" i="19"/>
  <c r="CK418" i="19"/>
  <c r="CJ418" i="19"/>
  <c r="CI418" i="19"/>
  <c r="CH418" i="19"/>
  <c r="CG418" i="19"/>
  <c r="CF418" i="19"/>
  <c r="CE418" i="19"/>
  <c r="CO417" i="19"/>
  <c r="CN417" i="19"/>
  <c r="CM417" i="19"/>
  <c r="CL417" i="19"/>
  <c r="CK417" i="19"/>
  <c r="CJ417" i="19"/>
  <c r="CI417" i="19"/>
  <c r="CH417" i="19"/>
  <c r="CG417" i="19"/>
  <c r="CF417" i="19"/>
  <c r="CE417" i="19"/>
  <c r="CO416" i="19"/>
  <c r="CN416" i="19"/>
  <c r="CM416" i="19"/>
  <c r="CL416" i="19"/>
  <c r="CK416" i="19"/>
  <c r="CJ416" i="19"/>
  <c r="CI416" i="19"/>
  <c r="CH416" i="19"/>
  <c r="CG416" i="19"/>
  <c r="CF416" i="19"/>
  <c r="CE416" i="19"/>
  <c r="CO415" i="19"/>
  <c r="CN415" i="19"/>
  <c r="CM415" i="19"/>
  <c r="CL415" i="19"/>
  <c r="CK415" i="19"/>
  <c r="CJ415" i="19"/>
  <c r="CI415" i="19"/>
  <c r="CH415" i="19"/>
  <c r="CG415" i="19"/>
  <c r="CF415" i="19"/>
  <c r="CE415" i="19"/>
  <c r="CO414" i="19"/>
  <c r="CN414" i="19"/>
  <c r="CM414" i="19"/>
  <c r="CL414" i="19"/>
  <c r="CK414" i="19"/>
  <c r="CJ414" i="19"/>
  <c r="CI414" i="19"/>
  <c r="CH414" i="19"/>
  <c r="CG414" i="19"/>
  <c r="CF414" i="19"/>
  <c r="CE414" i="19"/>
  <c r="CO413" i="19"/>
  <c r="CN413" i="19"/>
  <c r="CM413" i="19"/>
  <c r="CL413" i="19"/>
  <c r="CK413" i="19"/>
  <c r="CJ413" i="19"/>
  <c r="CI413" i="19"/>
  <c r="CH413" i="19"/>
  <c r="CG413" i="19"/>
  <c r="CF413" i="19"/>
  <c r="CE413" i="19"/>
  <c r="CO412" i="19"/>
  <c r="CN412" i="19"/>
  <c r="CM412" i="19"/>
  <c r="CL412" i="19"/>
  <c r="CK412" i="19"/>
  <c r="CJ412" i="19"/>
  <c r="CI412" i="19"/>
  <c r="CH412" i="19"/>
  <c r="CG412" i="19"/>
  <c r="CF412" i="19"/>
  <c r="CE412" i="19"/>
  <c r="CO411" i="19"/>
  <c r="CN411" i="19"/>
  <c r="CM411" i="19"/>
  <c r="CL411" i="19"/>
  <c r="CK411" i="19"/>
  <c r="CJ411" i="19"/>
  <c r="CI411" i="19"/>
  <c r="CH411" i="19"/>
  <c r="CG411" i="19"/>
  <c r="CF411" i="19"/>
  <c r="CE411" i="19"/>
  <c r="CO410" i="19"/>
  <c r="CN410" i="19"/>
  <c r="CM410" i="19"/>
  <c r="CL410" i="19"/>
  <c r="CK410" i="19"/>
  <c r="CJ410" i="19"/>
  <c r="CI410" i="19"/>
  <c r="CH410" i="19"/>
  <c r="CG410" i="19"/>
  <c r="CF410" i="19"/>
  <c r="CE410" i="19"/>
  <c r="CO409" i="19"/>
  <c r="CN409" i="19"/>
  <c r="CM409" i="19"/>
  <c r="CL409" i="19"/>
  <c r="CK409" i="19"/>
  <c r="CJ409" i="19"/>
  <c r="CI409" i="19"/>
  <c r="CH409" i="19"/>
  <c r="CG409" i="19"/>
  <c r="CF409" i="19"/>
  <c r="CE409" i="19"/>
  <c r="CO408" i="19"/>
  <c r="CN408" i="19"/>
  <c r="CM408" i="19"/>
  <c r="CL408" i="19"/>
  <c r="CK408" i="19"/>
  <c r="CJ408" i="19"/>
  <c r="CI408" i="19"/>
  <c r="CH408" i="19"/>
  <c r="CG408" i="19"/>
  <c r="CF408" i="19"/>
  <c r="CE408" i="19"/>
  <c r="CO407" i="19"/>
  <c r="CN407" i="19"/>
  <c r="CM407" i="19"/>
  <c r="CL407" i="19"/>
  <c r="CK407" i="19"/>
  <c r="CJ407" i="19"/>
  <c r="CI407" i="19"/>
  <c r="CH407" i="19"/>
  <c r="CG407" i="19"/>
  <c r="CF407" i="19"/>
  <c r="CE407" i="19"/>
  <c r="CO406" i="19"/>
  <c r="CN406" i="19"/>
  <c r="CM406" i="19"/>
  <c r="CL406" i="19"/>
  <c r="CK406" i="19"/>
  <c r="CJ406" i="19"/>
  <c r="CI406" i="19"/>
  <c r="CH406" i="19"/>
  <c r="CG406" i="19"/>
  <c r="CF406" i="19"/>
  <c r="CE406" i="19"/>
  <c r="CO405" i="19"/>
  <c r="CN405" i="19"/>
  <c r="CM405" i="19"/>
  <c r="CL405" i="19"/>
  <c r="CK405" i="19"/>
  <c r="CJ405" i="19"/>
  <c r="CI405" i="19"/>
  <c r="CH405" i="19"/>
  <c r="CG405" i="19"/>
  <c r="CF405" i="19"/>
  <c r="CE405" i="19"/>
  <c r="CO404" i="19"/>
  <c r="CN404" i="19"/>
  <c r="CM404" i="19"/>
  <c r="CL404" i="19"/>
  <c r="CK404" i="19"/>
  <c r="CJ404" i="19"/>
  <c r="CI404" i="19"/>
  <c r="CH404" i="19"/>
  <c r="CG404" i="19"/>
  <c r="CF404" i="19"/>
  <c r="CE404" i="19"/>
  <c r="CO403" i="19"/>
  <c r="CN403" i="19"/>
  <c r="CM403" i="19"/>
  <c r="CL403" i="19"/>
  <c r="CK403" i="19"/>
  <c r="CJ403" i="19"/>
  <c r="CI403" i="19"/>
  <c r="CH403" i="19"/>
  <c r="CG403" i="19"/>
  <c r="CF403" i="19"/>
  <c r="CE403" i="19"/>
  <c r="CO402" i="19"/>
  <c r="CN402" i="19"/>
  <c r="CM402" i="19"/>
  <c r="CL402" i="19"/>
  <c r="CK402" i="19"/>
  <c r="CJ402" i="19"/>
  <c r="CI402" i="19"/>
  <c r="CH402" i="19"/>
  <c r="CG402" i="19"/>
  <c r="CF402" i="19"/>
  <c r="CE402" i="19"/>
  <c r="CO401" i="19"/>
  <c r="CN401" i="19"/>
  <c r="CM401" i="19"/>
  <c r="CL401" i="19"/>
  <c r="CK401" i="19"/>
  <c r="CJ401" i="19"/>
  <c r="CI401" i="19"/>
  <c r="CH401" i="19"/>
  <c r="CG401" i="19"/>
  <c r="CF401" i="19"/>
  <c r="CE401" i="19"/>
  <c r="CO400" i="19"/>
  <c r="CN400" i="19"/>
  <c r="CM400" i="19"/>
  <c r="CL400" i="19"/>
  <c r="CK400" i="19"/>
  <c r="CJ400" i="19"/>
  <c r="CI400" i="19"/>
  <c r="CH400" i="19"/>
  <c r="CG400" i="19"/>
  <c r="CF400" i="19"/>
  <c r="CE400" i="19"/>
  <c r="CO399" i="19"/>
  <c r="CN399" i="19"/>
  <c r="CM399" i="19"/>
  <c r="CL399" i="19"/>
  <c r="CK399" i="19"/>
  <c r="CJ399" i="19"/>
  <c r="CI399" i="19"/>
  <c r="CH399" i="19"/>
  <c r="CG399" i="19"/>
  <c r="CF399" i="19"/>
  <c r="CE399" i="19"/>
  <c r="CO398" i="19"/>
  <c r="CN398" i="19"/>
  <c r="CM398" i="19"/>
  <c r="CL398" i="19"/>
  <c r="CK398" i="19"/>
  <c r="CJ398" i="19"/>
  <c r="CI398" i="19"/>
  <c r="CH398" i="19"/>
  <c r="CG398" i="19"/>
  <c r="CF398" i="19"/>
  <c r="CE398" i="19"/>
  <c r="CO397" i="19"/>
  <c r="CN397" i="19"/>
  <c r="CM397" i="19"/>
  <c r="CL397" i="19"/>
  <c r="CK397" i="19"/>
  <c r="CJ397" i="19"/>
  <c r="CI397" i="19"/>
  <c r="CH397" i="19"/>
  <c r="CG397" i="19"/>
  <c r="CF397" i="19"/>
  <c r="CE397" i="19"/>
  <c r="CO396" i="19"/>
  <c r="CN396" i="19"/>
  <c r="CM396" i="19"/>
  <c r="CL396" i="19"/>
  <c r="CK396" i="19"/>
  <c r="CJ396" i="19"/>
  <c r="CI396" i="19"/>
  <c r="CH396" i="19"/>
  <c r="CG396" i="19"/>
  <c r="CF396" i="19"/>
  <c r="CE396" i="19"/>
  <c r="CO395" i="19"/>
  <c r="CN395" i="19"/>
  <c r="CM395" i="19"/>
  <c r="CL395" i="19"/>
  <c r="CK395" i="19"/>
  <c r="CJ395" i="19"/>
  <c r="CI395" i="19"/>
  <c r="CH395" i="19"/>
  <c r="CG395" i="19"/>
  <c r="CF395" i="19"/>
  <c r="CE395" i="19"/>
  <c r="CO394" i="19"/>
  <c r="CN394" i="19"/>
  <c r="CM394" i="19"/>
  <c r="CL394" i="19"/>
  <c r="CK394" i="19"/>
  <c r="CJ394" i="19"/>
  <c r="CI394" i="19"/>
  <c r="CH394" i="19"/>
  <c r="CG394" i="19"/>
  <c r="CF394" i="19"/>
  <c r="CE394" i="19"/>
  <c r="CO393" i="19"/>
  <c r="CN393" i="19"/>
  <c r="CM393" i="19"/>
  <c r="CL393" i="19"/>
  <c r="CK393" i="19"/>
  <c r="CJ393" i="19"/>
  <c r="CI393" i="19"/>
  <c r="CH393" i="19"/>
  <c r="CG393" i="19"/>
  <c r="CF393" i="19"/>
  <c r="CE393" i="19"/>
  <c r="CO392" i="19"/>
  <c r="CN392" i="19"/>
  <c r="CM392" i="19"/>
  <c r="CL392" i="19"/>
  <c r="CK392" i="19"/>
  <c r="CJ392" i="19"/>
  <c r="CI392" i="19"/>
  <c r="CH392" i="19"/>
  <c r="CG392" i="19"/>
  <c r="CF392" i="19"/>
  <c r="CE392" i="19"/>
  <c r="CO391" i="19"/>
  <c r="CN391" i="19"/>
  <c r="CM391" i="19"/>
  <c r="CL391" i="19"/>
  <c r="CK391" i="19"/>
  <c r="CJ391" i="19"/>
  <c r="CI391" i="19"/>
  <c r="CH391" i="19"/>
  <c r="CG391" i="19"/>
  <c r="CF391" i="19"/>
  <c r="CE391" i="19"/>
  <c r="CO390" i="19"/>
  <c r="CN390" i="19"/>
  <c r="CM390" i="19"/>
  <c r="CL390" i="19"/>
  <c r="CK390" i="19"/>
  <c r="CJ390" i="19"/>
  <c r="CI390" i="19"/>
  <c r="CH390" i="19"/>
  <c r="CG390" i="19"/>
  <c r="CF390" i="19"/>
  <c r="CE390" i="19"/>
  <c r="CO389" i="19"/>
  <c r="CN389" i="19"/>
  <c r="CM389" i="19"/>
  <c r="CL389" i="19"/>
  <c r="CK389" i="19"/>
  <c r="CJ389" i="19"/>
  <c r="CI389" i="19"/>
  <c r="CH389" i="19"/>
  <c r="CG389" i="19"/>
  <c r="CF389" i="19"/>
  <c r="CE389" i="19"/>
  <c r="CO388" i="19"/>
  <c r="CN388" i="19"/>
  <c r="CM388" i="19"/>
  <c r="CL388" i="19"/>
  <c r="CK388" i="19"/>
  <c r="CJ388" i="19"/>
  <c r="CI388" i="19"/>
  <c r="CH388" i="19"/>
  <c r="CG388" i="19"/>
  <c r="CF388" i="19"/>
  <c r="CE388" i="19"/>
  <c r="CO387" i="19"/>
  <c r="CN387" i="19"/>
  <c r="CM387" i="19"/>
  <c r="CL387" i="19"/>
  <c r="CK387" i="19"/>
  <c r="CJ387" i="19"/>
  <c r="CI387" i="19"/>
  <c r="CH387" i="19"/>
  <c r="CG387" i="19"/>
  <c r="CF387" i="19"/>
  <c r="CE387" i="19"/>
  <c r="CO386" i="19"/>
  <c r="CN386" i="19"/>
  <c r="CM386" i="19"/>
  <c r="CL386" i="19"/>
  <c r="CK386" i="19"/>
  <c r="CJ386" i="19"/>
  <c r="CI386" i="19"/>
  <c r="CH386" i="19"/>
  <c r="CG386" i="19"/>
  <c r="CF386" i="19"/>
  <c r="CE386" i="19"/>
  <c r="CO385" i="19"/>
  <c r="CN385" i="19"/>
  <c r="CM385" i="19"/>
  <c r="CL385" i="19"/>
  <c r="CK385" i="19"/>
  <c r="CJ385" i="19"/>
  <c r="CI385" i="19"/>
  <c r="CH385" i="19"/>
  <c r="CG385" i="19"/>
  <c r="CF385" i="19"/>
  <c r="CE385" i="19"/>
  <c r="CO384" i="19"/>
  <c r="CN384" i="19"/>
  <c r="CM384" i="19"/>
  <c r="CL384" i="19"/>
  <c r="CK384" i="19"/>
  <c r="CJ384" i="19"/>
  <c r="CI384" i="19"/>
  <c r="CH384" i="19"/>
  <c r="CG384" i="19"/>
  <c r="CF384" i="19"/>
  <c r="CE384" i="19"/>
  <c r="CO383" i="19"/>
  <c r="CN383" i="19"/>
  <c r="CM383" i="19"/>
  <c r="CL383" i="19"/>
  <c r="CK383" i="19"/>
  <c r="CJ383" i="19"/>
  <c r="CI383" i="19"/>
  <c r="CH383" i="19"/>
  <c r="CG383" i="19"/>
  <c r="CF383" i="19"/>
  <c r="CE383" i="19"/>
  <c r="CO382" i="19"/>
  <c r="CN382" i="19"/>
  <c r="CM382" i="19"/>
  <c r="CL382" i="19"/>
  <c r="CK382" i="19"/>
  <c r="CJ382" i="19"/>
  <c r="CI382" i="19"/>
  <c r="CH382" i="19"/>
  <c r="CG382" i="19"/>
  <c r="CF382" i="19"/>
  <c r="CE382" i="19"/>
  <c r="CO381" i="19"/>
  <c r="CN381" i="19"/>
  <c r="CM381" i="19"/>
  <c r="CL381" i="19"/>
  <c r="CK381" i="19"/>
  <c r="CJ381" i="19"/>
  <c r="CI381" i="19"/>
  <c r="CH381" i="19"/>
  <c r="CG381" i="19"/>
  <c r="CF381" i="19"/>
  <c r="CE381" i="19"/>
  <c r="CO380" i="19"/>
  <c r="CN380" i="19"/>
  <c r="CM380" i="19"/>
  <c r="CL380" i="19"/>
  <c r="CK380" i="19"/>
  <c r="CJ380" i="19"/>
  <c r="CI380" i="19"/>
  <c r="CH380" i="19"/>
  <c r="CG380" i="19"/>
  <c r="CF380" i="19"/>
  <c r="CE380" i="19"/>
  <c r="CO379" i="19"/>
  <c r="CN379" i="19"/>
  <c r="CM379" i="19"/>
  <c r="CL379" i="19"/>
  <c r="CK379" i="19"/>
  <c r="CJ379" i="19"/>
  <c r="CI379" i="19"/>
  <c r="CH379" i="19"/>
  <c r="CG379" i="19"/>
  <c r="CF379" i="19"/>
  <c r="CE379" i="19"/>
  <c r="CO378" i="19"/>
  <c r="CN378" i="19"/>
  <c r="CM378" i="19"/>
  <c r="CL378" i="19"/>
  <c r="CK378" i="19"/>
  <c r="CJ378" i="19"/>
  <c r="CI378" i="19"/>
  <c r="CH378" i="19"/>
  <c r="CG378" i="19"/>
  <c r="CF378" i="19"/>
  <c r="CE378" i="19"/>
  <c r="CO377" i="19"/>
  <c r="CN377" i="19"/>
  <c r="CM377" i="19"/>
  <c r="CL377" i="19"/>
  <c r="CK377" i="19"/>
  <c r="CJ377" i="19"/>
  <c r="CI377" i="19"/>
  <c r="CH377" i="19"/>
  <c r="CG377" i="19"/>
  <c r="CF377" i="19"/>
  <c r="CE377" i="19"/>
  <c r="CO376" i="19"/>
  <c r="CN376" i="19"/>
  <c r="CM376" i="19"/>
  <c r="CL376" i="19"/>
  <c r="CK376" i="19"/>
  <c r="CJ376" i="19"/>
  <c r="CI376" i="19"/>
  <c r="CH376" i="19"/>
  <c r="CG376" i="19"/>
  <c r="CF376" i="19"/>
  <c r="CE376" i="19"/>
  <c r="CO375" i="19"/>
  <c r="CN375" i="19"/>
  <c r="CM375" i="19"/>
  <c r="CL375" i="19"/>
  <c r="CK375" i="19"/>
  <c r="CJ375" i="19"/>
  <c r="CI375" i="19"/>
  <c r="CH375" i="19"/>
  <c r="CG375" i="19"/>
  <c r="CF375" i="19"/>
  <c r="CE375" i="19"/>
  <c r="CO374" i="19"/>
  <c r="CN374" i="19"/>
  <c r="CM374" i="19"/>
  <c r="CL374" i="19"/>
  <c r="CK374" i="19"/>
  <c r="CJ374" i="19"/>
  <c r="CI374" i="19"/>
  <c r="CH374" i="19"/>
  <c r="CG374" i="19"/>
  <c r="CF374" i="19"/>
  <c r="CE374" i="19"/>
  <c r="CO373" i="19"/>
  <c r="CN373" i="19"/>
  <c r="CM373" i="19"/>
  <c r="CL373" i="19"/>
  <c r="CK373" i="19"/>
  <c r="CJ373" i="19"/>
  <c r="CI373" i="19"/>
  <c r="CH373" i="19"/>
  <c r="CG373" i="19"/>
  <c r="CF373" i="19"/>
  <c r="CE373" i="19"/>
  <c r="CO372" i="19"/>
  <c r="CN372" i="19"/>
  <c r="CM372" i="19"/>
  <c r="CL372" i="19"/>
  <c r="CK372" i="19"/>
  <c r="CJ372" i="19"/>
  <c r="CI372" i="19"/>
  <c r="CH372" i="19"/>
  <c r="CG372" i="19"/>
  <c r="CF372" i="19"/>
  <c r="CE372" i="19"/>
  <c r="CO371" i="19"/>
  <c r="CN371" i="19"/>
  <c r="CM371" i="19"/>
  <c r="CL371" i="19"/>
  <c r="CK371" i="19"/>
  <c r="CJ371" i="19"/>
  <c r="CI371" i="19"/>
  <c r="CH371" i="19"/>
  <c r="CG371" i="19"/>
  <c r="CF371" i="19"/>
  <c r="CE371" i="19"/>
  <c r="CO370" i="19"/>
  <c r="CN370" i="19"/>
  <c r="CM370" i="19"/>
  <c r="CL370" i="19"/>
  <c r="CK370" i="19"/>
  <c r="CJ370" i="19"/>
  <c r="CI370" i="19"/>
  <c r="CH370" i="19"/>
  <c r="CG370" i="19"/>
  <c r="CF370" i="19"/>
  <c r="CE370" i="19"/>
  <c r="CO369" i="19"/>
  <c r="CN369" i="19"/>
  <c r="CM369" i="19"/>
  <c r="CL369" i="19"/>
  <c r="CK369" i="19"/>
  <c r="CJ369" i="19"/>
  <c r="CI369" i="19"/>
  <c r="CH369" i="19"/>
  <c r="CG369" i="19"/>
  <c r="CF369" i="19"/>
  <c r="CE369" i="19"/>
  <c r="CO368" i="19"/>
  <c r="CN368" i="19"/>
  <c r="CM368" i="19"/>
  <c r="CL368" i="19"/>
  <c r="CK368" i="19"/>
  <c r="CJ368" i="19"/>
  <c r="CI368" i="19"/>
  <c r="CH368" i="19"/>
  <c r="CG368" i="19"/>
  <c r="CF368" i="19"/>
  <c r="CE368" i="19"/>
  <c r="CO367" i="19"/>
  <c r="CN367" i="19"/>
  <c r="CM367" i="19"/>
  <c r="CL367" i="19"/>
  <c r="CK367" i="19"/>
  <c r="CJ367" i="19"/>
  <c r="CI367" i="19"/>
  <c r="CH367" i="19"/>
  <c r="CG367" i="19"/>
  <c r="CF367" i="19"/>
  <c r="CE367" i="19"/>
  <c r="CO366" i="19"/>
  <c r="CN366" i="19"/>
  <c r="CM366" i="19"/>
  <c r="CL366" i="19"/>
  <c r="CK366" i="19"/>
  <c r="CJ366" i="19"/>
  <c r="CI366" i="19"/>
  <c r="CH366" i="19"/>
  <c r="CG366" i="19"/>
  <c r="CF366" i="19"/>
  <c r="CE366" i="19"/>
  <c r="CO365" i="19"/>
  <c r="CN365" i="19"/>
  <c r="CM365" i="19"/>
  <c r="CL365" i="19"/>
  <c r="CK365" i="19"/>
  <c r="CJ365" i="19"/>
  <c r="CI365" i="19"/>
  <c r="CH365" i="19"/>
  <c r="CG365" i="19"/>
  <c r="CF365" i="19"/>
  <c r="CE365" i="19"/>
  <c r="CO364" i="19"/>
  <c r="CN364" i="19"/>
  <c r="CM364" i="19"/>
  <c r="CL364" i="19"/>
  <c r="CK364" i="19"/>
  <c r="CJ364" i="19"/>
  <c r="CI364" i="19"/>
  <c r="CH364" i="19"/>
  <c r="CG364" i="19"/>
  <c r="CF364" i="19"/>
  <c r="CE364" i="19"/>
  <c r="CO363" i="19"/>
  <c r="CN363" i="19"/>
  <c r="CM363" i="19"/>
  <c r="CL363" i="19"/>
  <c r="CK363" i="19"/>
  <c r="CJ363" i="19"/>
  <c r="CI363" i="19"/>
  <c r="CH363" i="19"/>
  <c r="CG363" i="19"/>
  <c r="CF363" i="19"/>
  <c r="CE363" i="19"/>
  <c r="CO362" i="19"/>
  <c r="CN362" i="19"/>
  <c r="CM362" i="19"/>
  <c r="CL362" i="19"/>
  <c r="CK362" i="19"/>
  <c r="CJ362" i="19"/>
  <c r="CI362" i="19"/>
  <c r="CH362" i="19"/>
  <c r="CG362" i="19"/>
  <c r="CF362" i="19"/>
  <c r="CE362" i="19"/>
  <c r="CO361" i="19"/>
  <c r="CN361" i="19"/>
  <c r="CM361" i="19"/>
  <c r="CL361" i="19"/>
  <c r="CK361" i="19"/>
  <c r="CJ361" i="19"/>
  <c r="CI361" i="19"/>
  <c r="CH361" i="19"/>
  <c r="CG361" i="19"/>
  <c r="CF361" i="19"/>
  <c r="CE361" i="19"/>
  <c r="CO360" i="19"/>
  <c r="CN360" i="19"/>
  <c r="CM360" i="19"/>
  <c r="CL360" i="19"/>
  <c r="CK360" i="19"/>
  <c r="CJ360" i="19"/>
  <c r="CI360" i="19"/>
  <c r="CH360" i="19"/>
  <c r="CG360" i="19"/>
  <c r="CF360" i="19"/>
  <c r="CE360" i="19"/>
  <c r="CO359" i="19"/>
  <c r="CN359" i="19"/>
  <c r="CM359" i="19"/>
  <c r="CL359" i="19"/>
  <c r="CK359" i="19"/>
  <c r="CJ359" i="19"/>
  <c r="CI359" i="19"/>
  <c r="CH359" i="19"/>
  <c r="CG359" i="19"/>
  <c r="CF359" i="19"/>
  <c r="CE359" i="19"/>
  <c r="CO358" i="19"/>
  <c r="CN358" i="19"/>
  <c r="CM358" i="19"/>
  <c r="CL358" i="19"/>
  <c r="CK358" i="19"/>
  <c r="CJ358" i="19"/>
  <c r="CI358" i="19"/>
  <c r="CH358" i="19"/>
  <c r="CG358" i="19"/>
  <c r="CF358" i="19"/>
  <c r="CE358" i="19"/>
  <c r="CO357" i="19"/>
  <c r="CN357" i="19"/>
  <c r="CM357" i="19"/>
  <c r="CL357" i="19"/>
  <c r="CK357" i="19"/>
  <c r="CJ357" i="19"/>
  <c r="CI357" i="19"/>
  <c r="CH357" i="19"/>
  <c r="CG357" i="19"/>
  <c r="CF357" i="19"/>
  <c r="CE357" i="19"/>
  <c r="CO356" i="19"/>
  <c r="CN356" i="19"/>
  <c r="CM356" i="19"/>
  <c r="CL356" i="19"/>
  <c r="CK356" i="19"/>
  <c r="CJ356" i="19"/>
  <c r="CI356" i="19"/>
  <c r="CH356" i="19"/>
  <c r="CG356" i="19"/>
  <c r="CF356" i="19"/>
  <c r="CE356" i="19"/>
  <c r="CO355" i="19"/>
  <c r="CN355" i="19"/>
  <c r="CM355" i="19"/>
  <c r="CL355" i="19"/>
  <c r="CK355" i="19"/>
  <c r="CJ355" i="19"/>
  <c r="CI355" i="19"/>
  <c r="CH355" i="19"/>
  <c r="CG355" i="19"/>
  <c r="CF355" i="19"/>
  <c r="CE355" i="19"/>
  <c r="CO354" i="19"/>
  <c r="CN354" i="19"/>
  <c r="CM354" i="19"/>
  <c r="CL354" i="19"/>
  <c r="CK354" i="19"/>
  <c r="CJ354" i="19"/>
  <c r="CI354" i="19"/>
  <c r="CH354" i="19"/>
  <c r="CG354" i="19"/>
  <c r="CF354" i="19"/>
  <c r="CE354" i="19"/>
  <c r="CO353" i="19"/>
  <c r="CN353" i="19"/>
  <c r="CM353" i="19"/>
  <c r="CL353" i="19"/>
  <c r="CK353" i="19"/>
  <c r="CJ353" i="19"/>
  <c r="CI353" i="19"/>
  <c r="CH353" i="19"/>
  <c r="CG353" i="19"/>
  <c r="CF353" i="19"/>
  <c r="CE353" i="19"/>
  <c r="CO352" i="19"/>
  <c r="CN352" i="19"/>
  <c r="CM352" i="19"/>
  <c r="CL352" i="19"/>
  <c r="CK352" i="19"/>
  <c r="CJ352" i="19"/>
  <c r="CI352" i="19"/>
  <c r="CH352" i="19"/>
  <c r="CG352" i="19"/>
  <c r="CF352" i="19"/>
  <c r="CE352" i="19"/>
  <c r="CO351" i="19"/>
  <c r="CN351" i="19"/>
  <c r="CM351" i="19"/>
  <c r="CL351" i="19"/>
  <c r="CK351" i="19"/>
  <c r="CJ351" i="19"/>
  <c r="CI351" i="19"/>
  <c r="CH351" i="19"/>
  <c r="CG351" i="19"/>
  <c r="CF351" i="19"/>
  <c r="CE351" i="19"/>
  <c r="CO350" i="19"/>
  <c r="CN350" i="19"/>
  <c r="CM350" i="19"/>
  <c r="CL350" i="19"/>
  <c r="CK350" i="19"/>
  <c r="CJ350" i="19"/>
  <c r="CI350" i="19"/>
  <c r="CH350" i="19"/>
  <c r="CG350" i="19"/>
  <c r="CF350" i="19"/>
  <c r="CE350" i="19"/>
  <c r="CO349" i="19"/>
  <c r="CN349" i="19"/>
  <c r="CM349" i="19"/>
  <c r="CL349" i="19"/>
  <c r="CK349" i="19"/>
  <c r="CJ349" i="19"/>
  <c r="CI349" i="19"/>
  <c r="CH349" i="19"/>
  <c r="CG349" i="19"/>
  <c r="CF349" i="19"/>
  <c r="CE349" i="19"/>
  <c r="CO348" i="19"/>
  <c r="CN348" i="19"/>
  <c r="CM348" i="19"/>
  <c r="CL348" i="19"/>
  <c r="CK348" i="19"/>
  <c r="CJ348" i="19"/>
  <c r="CI348" i="19"/>
  <c r="CH348" i="19"/>
  <c r="CG348" i="19"/>
  <c r="CF348" i="19"/>
  <c r="CE348" i="19"/>
  <c r="CO347" i="19"/>
  <c r="CN347" i="19"/>
  <c r="CM347" i="19"/>
  <c r="CL347" i="19"/>
  <c r="CK347" i="19"/>
  <c r="CJ347" i="19"/>
  <c r="CI347" i="19"/>
  <c r="CH347" i="19"/>
  <c r="CG347" i="19"/>
  <c r="CF347" i="19"/>
  <c r="CE347" i="19"/>
  <c r="CO346" i="19"/>
  <c r="CN346" i="19"/>
  <c r="CM346" i="19"/>
  <c r="CL346" i="19"/>
  <c r="CK346" i="19"/>
  <c r="CJ346" i="19"/>
  <c r="CI346" i="19"/>
  <c r="CH346" i="19"/>
  <c r="CG346" i="19"/>
  <c r="CF346" i="19"/>
  <c r="CE346" i="19"/>
  <c r="CO345" i="19"/>
  <c r="CN345" i="19"/>
  <c r="CM345" i="19"/>
  <c r="CL345" i="19"/>
  <c r="CK345" i="19"/>
  <c r="CJ345" i="19"/>
  <c r="CI345" i="19"/>
  <c r="CH345" i="19"/>
  <c r="CG345" i="19"/>
  <c r="CF345" i="19"/>
  <c r="CE345" i="19"/>
  <c r="CO344" i="19"/>
  <c r="CN344" i="19"/>
  <c r="CM344" i="19"/>
  <c r="CL344" i="19"/>
  <c r="CK344" i="19"/>
  <c r="CJ344" i="19"/>
  <c r="CI344" i="19"/>
  <c r="CH344" i="19"/>
  <c r="CG344" i="19"/>
  <c r="CF344" i="19"/>
  <c r="CE344" i="19"/>
  <c r="CO343" i="19"/>
  <c r="CN343" i="19"/>
  <c r="CM343" i="19"/>
  <c r="CL343" i="19"/>
  <c r="CK343" i="19"/>
  <c r="CJ343" i="19"/>
  <c r="CI343" i="19"/>
  <c r="CH343" i="19"/>
  <c r="CG343" i="19"/>
  <c r="CF343" i="19"/>
  <c r="CE343" i="19"/>
  <c r="CO342" i="19"/>
  <c r="CN342" i="19"/>
  <c r="CM342" i="19"/>
  <c r="CL342" i="19"/>
  <c r="CK342" i="19"/>
  <c r="CJ342" i="19"/>
  <c r="CI342" i="19"/>
  <c r="CH342" i="19"/>
  <c r="CG342" i="19"/>
  <c r="CF342" i="19"/>
  <c r="CE342" i="19"/>
  <c r="CO341" i="19"/>
  <c r="CN341" i="19"/>
  <c r="CM341" i="19"/>
  <c r="CL341" i="19"/>
  <c r="CK341" i="19"/>
  <c r="CJ341" i="19"/>
  <c r="CI341" i="19"/>
  <c r="CH341" i="19"/>
  <c r="CG341" i="19"/>
  <c r="CF341" i="19"/>
  <c r="CE341" i="19"/>
  <c r="CO340" i="19"/>
  <c r="CN340" i="19"/>
  <c r="CM340" i="19"/>
  <c r="CL340" i="19"/>
  <c r="CK340" i="19"/>
  <c r="CJ340" i="19"/>
  <c r="CI340" i="19"/>
  <c r="CH340" i="19"/>
  <c r="CG340" i="19"/>
  <c r="CF340" i="19"/>
  <c r="CE340" i="19"/>
  <c r="CO339" i="19"/>
  <c r="CN339" i="19"/>
  <c r="CM339" i="19"/>
  <c r="CL339" i="19"/>
  <c r="CK339" i="19"/>
  <c r="CJ339" i="19"/>
  <c r="CI339" i="19"/>
  <c r="CH339" i="19"/>
  <c r="CG339" i="19"/>
  <c r="CF339" i="19"/>
  <c r="CE339" i="19"/>
  <c r="CO338" i="19"/>
  <c r="CN338" i="19"/>
  <c r="CM338" i="19"/>
  <c r="CL338" i="19"/>
  <c r="CK338" i="19"/>
  <c r="CJ338" i="19"/>
  <c r="CI338" i="19"/>
  <c r="CH338" i="19"/>
  <c r="CG338" i="19"/>
  <c r="CF338" i="19"/>
  <c r="CE338" i="19"/>
  <c r="CO337" i="19"/>
  <c r="CN337" i="19"/>
  <c r="CM337" i="19"/>
  <c r="CL337" i="19"/>
  <c r="CK337" i="19"/>
  <c r="CJ337" i="19"/>
  <c r="CI337" i="19"/>
  <c r="CH337" i="19"/>
  <c r="CG337" i="19"/>
  <c r="CF337" i="19"/>
  <c r="CE337" i="19"/>
  <c r="CO336" i="19"/>
  <c r="CN336" i="19"/>
  <c r="CM336" i="19"/>
  <c r="CL336" i="19"/>
  <c r="CK336" i="19"/>
  <c r="CJ336" i="19"/>
  <c r="CI336" i="19"/>
  <c r="CH336" i="19"/>
  <c r="CG336" i="19"/>
  <c r="CF336" i="19"/>
  <c r="CE336" i="19"/>
  <c r="CO335" i="19"/>
  <c r="CN335" i="19"/>
  <c r="CM335" i="19"/>
  <c r="CL335" i="19"/>
  <c r="CK335" i="19"/>
  <c r="CJ335" i="19"/>
  <c r="CI335" i="19"/>
  <c r="CH335" i="19"/>
  <c r="CG335" i="19"/>
  <c r="CF335" i="19"/>
  <c r="CE335" i="19"/>
  <c r="CO334" i="19"/>
  <c r="CN334" i="19"/>
  <c r="CM334" i="19"/>
  <c r="CL334" i="19"/>
  <c r="CK334" i="19"/>
  <c r="CJ334" i="19"/>
  <c r="CI334" i="19"/>
  <c r="CH334" i="19"/>
  <c r="CG334" i="19"/>
  <c r="CF334" i="19"/>
  <c r="CE334" i="19"/>
  <c r="CO333" i="19"/>
  <c r="CN333" i="19"/>
  <c r="CM333" i="19"/>
  <c r="CL333" i="19"/>
  <c r="CK333" i="19"/>
  <c r="CJ333" i="19"/>
  <c r="CI333" i="19"/>
  <c r="CH333" i="19"/>
  <c r="CG333" i="19"/>
  <c r="CF333" i="19"/>
  <c r="CE333" i="19"/>
  <c r="CO332" i="19"/>
  <c r="CN332" i="19"/>
  <c r="CM332" i="19"/>
  <c r="CL332" i="19"/>
  <c r="CK332" i="19"/>
  <c r="CJ332" i="19"/>
  <c r="CI332" i="19"/>
  <c r="CH332" i="19"/>
  <c r="CG332" i="19"/>
  <c r="CF332" i="19"/>
  <c r="CE332" i="19"/>
  <c r="CO331" i="19"/>
  <c r="CN331" i="19"/>
  <c r="CM331" i="19"/>
  <c r="CL331" i="19"/>
  <c r="CK331" i="19"/>
  <c r="CJ331" i="19"/>
  <c r="CI331" i="19"/>
  <c r="CH331" i="19"/>
  <c r="CG331" i="19"/>
  <c r="CF331" i="19"/>
  <c r="CE331" i="19"/>
  <c r="CO330" i="19"/>
  <c r="CN330" i="19"/>
  <c r="CM330" i="19"/>
  <c r="CL330" i="19"/>
  <c r="CK330" i="19"/>
  <c r="CJ330" i="19"/>
  <c r="CI330" i="19"/>
  <c r="CH330" i="19"/>
  <c r="CG330" i="19"/>
  <c r="CF330" i="19"/>
  <c r="CE330" i="19"/>
  <c r="CO329" i="19"/>
  <c r="CN329" i="19"/>
  <c r="CM329" i="19"/>
  <c r="CL329" i="19"/>
  <c r="CK329" i="19"/>
  <c r="CJ329" i="19"/>
  <c r="CI329" i="19"/>
  <c r="CH329" i="19"/>
  <c r="CG329" i="19"/>
  <c r="CF329" i="19"/>
  <c r="CE329" i="19"/>
  <c r="CO328" i="19"/>
  <c r="CN328" i="19"/>
  <c r="CM328" i="19"/>
  <c r="CL328" i="19"/>
  <c r="CK328" i="19"/>
  <c r="CJ328" i="19"/>
  <c r="CI328" i="19"/>
  <c r="CH328" i="19"/>
  <c r="CG328" i="19"/>
  <c r="CF328" i="19"/>
  <c r="CE328" i="19"/>
  <c r="CO327" i="19"/>
  <c r="CN327" i="19"/>
  <c r="CM327" i="19"/>
  <c r="CL327" i="19"/>
  <c r="CK327" i="19"/>
  <c r="CJ327" i="19"/>
  <c r="CI327" i="19"/>
  <c r="CH327" i="19"/>
  <c r="CG327" i="19"/>
  <c r="CF327" i="19"/>
  <c r="CE327" i="19"/>
  <c r="CO326" i="19"/>
  <c r="CN326" i="19"/>
  <c r="CM326" i="19"/>
  <c r="CL326" i="19"/>
  <c r="CK326" i="19"/>
  <c r="CJ326" i="19"/>
  <c r="CI326" i="19"/>
  <c r="CH326" i="19"/>
  <c r="CG326" i="19"/>
  <c r="CF326" i="19"/>
  <c r="CE326" i="19"/>
  <c r="CO325" i="19"/>
  <c r="CN325" i="19"/>
  <c r="CM325" i="19"/>
  <c r="CL325" i="19"/>
  <c r="CK325" i="19"/>
  <c r="CJ325" i="19"/>
  <c r="CI325" i="19"/>
  <c r="CH325" i="19"/>
  <c r="CG325" i="19"/>
  <c r="CF325" i="19"/>
  <c r="CE325" i="19"/>
  <c r="CO324" i="19"/>
  <c r="CN324" i="19"/>
  <c r="CM324" i="19"/>
  <c r="CL324" i="19"/>
  <c r="CK324" i="19"/>
  <c r="CJ324" i="19"/>
  <c r="CI324" i="19"/>
  <c r="CH324" i="19"/>
  <c r="CG324" i="19"/>
  <c r="CF324" i="19"/>
  <c r="CE324" i="19"/>
  <c r="CO323" i="19"/>
  <c r="CN323" i="19"/>
  <c r="CM323" i="19"/>
  <c r="CL323" i="19"/>
  <c r="CK323" i="19"/>
  <c r="CJ323" i="19"/>
  <c r="CI323" i="19"/>
  <c r="CH323" i="19"/>
  <c r="CG323" i="19"/>
  <c r="CF323" i="19"/>
  <c r="CE323" i="19"/>
  <c r="CO322" i="19"/>
  <c r="CN322" i="19"/>
  <c r="CM322" i="19"/>
  <c r="CL322" i="19"/>
  <c r="CK322" i="19"/>
  <c r="CJ322" i="19"/>
  <c r="CI322" i="19"/>
  <c r="CH322" i="19"/>
  <c r="CG322" i="19"/>
  <c r="CF322" i="19"/>
  <c r="CE322" i="19"/>
  <c r="CO321" i="19"/>
  <c r="CN321" i="19"/>
  <c r="CM321" i="19"/>
  <c r="CL321" i="19"/>
  <c r="CK321" i="19"/>
  <c r="CJ321" i="19"/>
  <c r="CI321" i="19"/>
  <c r="CH321" i="19"/>
  <c r="CG321" i="19"/>
  <c r="CF321" i="19"/>
  <c r="CE321" i="19"/>
  <c r="CO320" i="19"/>
  <c r="CN320" i="19"/>
  <c r="CM320" i="19"/>
  <c r="CL320" i="19"/>
  <c r="CK320" i="19"/>
  <c r="CJ320" i="19"/>
  <c r="CI320" i="19"/>
  <c r="CH320" i="19"/>
  <c r="CG320" i="19"/>
  <c r="CF320" i="19"/>
  <c r="CE320" i="19"/>
  <c r="CO319" i="19"/>
  <c r="CN319" i="19"/>
  <c r="CM319" i="19"/>
  <c r="CL319" i="19"/>
  <c r="CK319" i="19"/>
  <c r="CJ319" i="19"/>
  <c r="CI319" i="19"/>
  <c r="CH319" i="19"/>
  <c r="CG319" i="19"/>
  <c r="CF319" i="19"/>
  <c r="CE319" i="19"/>
  <c r="CO318" i="19"/>
  <c r="CN318" i="19"/>
  <c r="CM318" i="19"/>
  <c r="CL318" i="19"/>
  <c r="CK318" i="19"/>
  <c r="CJ318" i="19"/>
  <c r="CI318" i="19"/>
  <c r="CH318" i="19"/>
  <c r="CG318" i="19"/>
  <c r="CF318" i="19"/>
  <c r="CE318" i="19"/>
  <c r="CO317" i="19"/>
  <c r="CN317" i="19"/>
  <c r="CM317" i="19"/>
  <c r="CL317" i="19"/>
  <c r="CK317" i="19"/>
  <c r="CJ317" i="19"/>
  <c r="CI317" i="19"/>
  <c r="CH317" i="19"/>
  <c r="CG317" i="19"/>
  <c r="CF317" i="19"/>
  <c r="CE317" i="19"/>
  <c r="CO316" i="19"/>
  <c r="CN316" i="19"/>
  <c r="CM316" i="19"/>
  <c r="CL316" i="19"/>
  <c r="CK316" i="19"/>
  <c r="CJ316" i="19"/>
  <c r="CI316" i="19"/>
  <c r="CH316" i="19"/>
  <c r="CG316" i="19"/>
  <c r="CF316" i="19"/>
  <c r="CE316" i="19"/>
  <c r="CO315" i="19"/>
  <c r="CN315" i="19"/>
  <c r="CM315" i="19"/>
  <c r="CL315" i="19"/>
  <c r="CK315" i="19"/>
  <c r="CJ315" i="19"/>
  <c r="CI315" i="19"/>
  <c r="CH315" i="19"/>
  <c r="CG315" i="19"/>
  <c r="CF315" i="19"/>
  <c r="CE315" i="19"/>
  <c r="CO314" i="19"/>
  <c r="CN314" i="19"/>
  <c r="CM314" i="19"/>
  <c r="CL314" i="19"/>
  <c r="CK314" i="19"/>
  <c r="CJ314" i="19"/>
  <c r="CI314" i="19"/>
  <c r="CH314" i="19"/>
  <c r="CG314" i="19"/>
  <c r="CF314" i="19"/>
  <c r="CE314" i="19"/>
  <c r="CO313" i="19"/>
  <c r="CN313" i="19"/>
  <c r="CM313" i="19"/>
  <c r="CL313" i="19"/>
  <c r="CK313" i="19"/>
  <c r="CJ313" i="19"/>
  <c r="CI313" i="19"/>
  <c r="CH313" i="19"/>
  <c r="CG313" i="19"/>
  <c r="CF313" i="19"/>
  <c r="CE313" i="19"/>
  <c r="CO312" i="19"/>
  <c r="CN312" i="19"/>
  <c r="CM312" i="19"/>
  <c r="CL312" i="19"/>
  <c r="CK312" i="19"/>
  <c r="CJ312" i="19"/>
  <c r="CI312" i="19"/>
  <c r="CH312" i="19"/>
  <c r="CG312" i="19"/>
  <c r="CF312" i="19"/>
  <c r="CE312" i="19"/>
  <c r="CO311" i="19"/>
  <c r="CN311" i="19"/>
  <c r="CM311" i="19"/>
  <c r="CL311" i="19"/>
  <c r="CK311" i="19"/>
  <c r="CJ311" i="19"/>
  <c r="CI311" i="19"/>
  <c r="CH311" i="19"/>
  <c r="CG311" i="19"/>
  <c r="CF311" i="19"/>
  <c r="CE311" i="19"/>
  <c r="CO310" i="19"/>
  <c r="CN310" i="19"/>
  <c r="CM310" i="19"/>
  <c r="CL310" i="19"/>
  <c r="CK310" i="19"/>
  <c r="CJ310" i="19"/>
  <c r="CI310" i="19"/>
  <c r="CH310" i="19"/>
  <c r="CG310" i="19"/>
  <c r="CF310" i="19"/>
  <c r="CE310" i="19"/>
  <c r="CO309" i="19"/>
  <c r="CN309" i="19"/>
  <c r="CM309" i="19"/>
  <c r="CL309" i="19"/>
  <c r="CK309" i="19"/>
  <c r="CJ309" i="19"/>
  <c r="CI309" i="19"/>
  <c r="CH309" i="19"/>
  <c r="CG309" i="19"/>
  <c r="CF309" i="19"/>
  <c r="CE309" i="19"/>
  <c r="CO308" i="19"/>
  <c r="CN308" i="19"/>
  <c r="CM308" i="19"/>
  <c r="CL308" i="19"/>
  <c r="CK308" i="19"/>
  <c r="CJ308" i="19"/>
  <c r="CI308" i="19"/>
  <c r="CH308" i="19"/>
  <c r="CG308" i="19"/>
  <c r="CF308" i="19"/>
  <c r="CE308" i="19"/>
  <c r="CO307" i="19"/>
  <c r="CN307" i="19"/>
  <c r="CM307" i="19"/>
  <c r="CL307" i="19"/>
  <c r="CK307" i="19"/>
  <c r="CJ307" i="19"/>
  <c r="CI307" i="19"/>
  <c r="CH307" i="19"/>
  <c r="CG307" i="19"/>
  <c r="CF307" i="19"/>
  <c r="CE307" i="19"/>
  <c r="CO306" i="19"/>
  <c r="CN306" i="19"/>
  <c r="CM306" i="19"/>
  <c r="CL306" i="19"/>
  <c r="CK306" i="19"/>
  <c r="CJ306" i="19"/>
  <c r="CI306" i="19"/>
  <c r="CH306" i="19"/>
  <c r="CG306" i="19"/>
  <c r="CF306" i="19"/>
  <c r="CE306" i="19"/>
  <c r="CO305" i="19"/>
  <c r="CN305" i="19"/>
  <c r="CM305" i="19"/>
  <c r="CL305" i="19"/>
  <c r="CK305" i="19"/>
  <c r="CJ305" i="19"/>
  <c r="CI305" i="19"/>
  <c r="CH305" i="19"/>
  <c r="CG305" i="19"/>
  <c r="CF305" i="19"/>
  <c r="CE305" i="19"/>
  <c r="CO304" i="19"/>
  <c r="CN304" i="19"/>
  <c r="CM304" i="19"/>
  <c r="CL304" i="19"/>
  <c r="CK304" i="19"/>
  <c r="CJ304" i="19"/>
  <c r="CI304" i="19"/>
  <c r="CH304" i="19"/>
  <c r="CG304" i="19"/>
  <c r="CF304" i="19"/>
  <c r="CE304" i="19"/>
  <c r="CO303" i="19"/>
  <c r="CN303" i="19"/>
  <c r="CM303" i="19"/>
  <c r="CL303" i="19"/>
  <c r="CK303" i="19"/>
  <c r="CJ303" i="19"/>
  <c r="CI303" i="19"/>
  <c r="CH303" i="19"/>
  <c r="CG303" i="19"/>
  <c r="CF303" i="19"/>
  <c r="CE303" i="19"/>
  <c r="CO302" i="19"/>
  <c r="CN302" i="19"/>
  <c r="CM302" i="19"/>
  <c r="CL302" i="19"/>
  <c r="CK302" i="19"/>
  <c r="CJ302" i="19"/>
  <c r="CI302" i="19"/>
  <c r="CH302" i="19"/>
  <c r="CG302" i="19"/>
  <c r="CF302" i="19"/>
  <c r="CE302" i="19"/>
  <c r="CO301" i="19"/>
  <c r="CN301" i="19"/>
  <c r="CM301" i="19"/>
  <c r="CL301" i="19"/>
  <c r="CK301" i="19"/>
  <c r="CJ301" i="19"/>
  <c r="CI301" i="19"/>
  <c r="CH301" i="19"/>
  <c r="CG301" i="19"/>
  <c r="CF301" i="19"/>
  <c r="CE301" i="19"/>
  <c r="CO300" i="19"/>
  <c r="CN300" i="19"/>
  <c r="CM300" i="19"/>
  <c r="CL300" i="19"/>
  <c r="CK300" i="19"/>
  <c r="CJ300" i="19"/>
  <c r="CI300" i="19"/>
  <c r="CH300" i="19"/>
  <c r="CG300" i="19"/>
  <c r="CF300" i="19"/>
  <c r="CE300" i="19"/>
  <c r="CO299" i="19"/>
  <c r="CN299" i="19"/>
  <c r="CM299" i="19"/>
  <c r="CL299" i="19"/>
  <c r="CK299" i="19"/>
  <c r="CJ299" i="19"/>
  <c r="CI299" i="19"/>
  <c r="CH299" i="19"/>
  <c r="CG299" i="19"/>
  <c r="CF299" i="19"/>
  <c r="CE299" i="19"/>
  <c r="CO298" i="19"/>
  <c r="CN298" i="19"/>
  <c r="CM298" i="19"/>
  <c r="CL298" i="19"/>
  <c r="CK298" i="19"/>
  <c r="CJ298" i="19"/>
  <c r="CI298" i="19"/>
  <c r="CH298" i="19"/>
  <c r="CG298" i="19"/>
  <c r="CF298" i="19"/>
  <c r="CE298" i="19"/>
  <c r="CO297" i="19"/>
  <c r="CN297" i="19"/>
  <c r="CM297" i="19"/>
  <c r="CL297" i="19"/>
  <c r="CK297" i="19"/>
  <c r="CJ297" i="19"/>
  <c r="CI297" i="19"/>
  <c r="CH297" i="19"/>
  <c r="CG297" i="19"/>
  <c r="CF297" i="19"/>
  <c r="CE297" i="19"/>
  <c r="CO296" i="19"/>
  <c r="CN296" i="19"/>
  <c r="CM296" i="19"/>
  <c r="CL296" i="19"/>
  <c r="CK296" i="19"/>
  <c r="CJ296" i="19"/>
  <c r="CI296" i="19"/>
  <c r="CH296" i="19"/>
  <c r="CG296" i="19"/>
  <c r="CF296" i="19"/>
  <c r="CE296" i="19"/>
  <c r="CO295" i="19"/>
  <c r="CN295" i="19"/>
  <c r="CM295" i="19"/>
  <c r="CL295" i="19"/>
  <c r="CK295" i="19"/>
  <c r="CJ295" i="19"/>
  <c r="CI295" i="19"/>
  <c r="CH295" i="19"/>
  <c r="CG295" i="19"/>
  <c r="CF295" i="19"/>
  <c r="CE295" i="19"/>
  <c r="CO294" i="19"/>
  <c r="CN294" i="19"/>
  <c r="CM294" i="19"/>
  <c r="CL294" i="19"/>
  <c r="CK294" i="19"/>
  <c r="CJ294" i="19"/>
  <c r="CI294" i="19"/>
  <c r="CH294" i="19"/>
  <c r="CG294" i="19"/>
  <c r="CF294" i="19"/>
  <c r="CE294" i="19"/>
  <c r="CO293" i="19"/>
  <c r="CN293" i="19"/>
  <c r="CM293" i="19"/>
  <c r="CL293" i="19"/>
  <c r="CK293" i="19"/>
  <c r="CJ293" i="19"/>
  <c r="CI293" i="19"/>
  <c r="CH293" i="19"/>
  <c r="CG293" i="19"/>
  <c r="CF293" i="19"/>
  <c r="CE293" i="19"/>
  <c r="CO292" i="19"/>
  <c r="CN292" i="19"/>
  <c r="CM292" i="19"/>
  <c r="CL292" i="19"/>
  <c r="CK292" i="19"/>
  <c r="CJ292" i="19"/>
  <c r="CI292" i="19"/>
  <c r="CH292" i="19"/>
  <c r="CG292" i="19"/>
  <c r="CF292" i="19"/>
  <c r="CE292" i="19"/>
  <c r="CO291" i="19"/>
  <c r="CN291" i="19"/>
  <c r="CM291" i="19"/>
  <c r="CL291" i="19"/>
  <c r="CK291" i="19"/>
  <c r="CJ291" i="19"/>
  <c r="CI291" i="19"/>
  <c r="CH291" i="19"/>
  <c r="CG291" i="19"/>
  <c r="CF291" i="19"/>
  <c r="CE291" i="19"/>
  <c r="CO290" i="19"/>
  <c r="CN290" i="19"/>
  <c r="CM290" i="19"/>
  <c r="CL290" i="19"/>
  <c r="CK290" i="19"/>
  <c r="CJ290" i="19"/>
  <c r="CI290" i="19"/>
  <c r="CH290" i="19"/>
  <c r="CG290" i="19"/>
  <c r="CF290" i="19"/>
  <c r="CE290" i="19"/>
  <c r="CO289" i="19"/>
  <c r="CN289" i="19"/>
  <c r="CM289" i="19"/>
  <c r="CL289" i="19"/>
  <c r="CK289" i="19"/>
  <c r="CJ289" i="19"/>
  <c r="CI289" i="19"/>
  <c r="CH289" i="19"/>
  <c r="CG289" i="19"/>
  <c r="CF289" i="19"/>
  <c r="CE289" i="19"/>
  <c r="CO288" i="19"/>
  <c r="CN288" i="19"/>
  <c r="CM288" i="19"/>
  <c r="CL288" i="19"/>
  <c r="CK288" i="19"/>
  <c r="CJ288" i="19"/>
  <c r="CI288" i="19"/>
  <c r="CH288" i="19"/>
  <c r="CG288" i="19"/>
  <c r="CF288" i="19"/>
  <c r="CE288" i="19"/>
  <c r="CO287" i="19"/>
  <c r="CN287" i="19"/>
  <c r="CM287" i="19"/>
  <c r="CL287" i="19"/>
  <c r="CK287" i="19"/>
  <c r="CJ287" i="19"/>
  <c r="CI287" i="19"/>
  <c r="CH287" i="19"/>
  <c r="CG287" i="19"/>
  <c r="CF287" i="19"/>
  <c r="CE287" i="19"/>
  <c r="CO286" i="19"/>
  <c r="CN286" i="19"/>
  <c r="CM286" i="19"/>
  <c r="CL286" i="19"/>
  <c r="CK286" i="19"/>
  <c r="CJ286" i="19"/>
  <c r="CI286" i="19"/>
  <c r="CH286" i="19"/>
  <c r="CG286" i="19"/>
  <c r="CF286" i="19"/>
  <c r="CE286" i="19"/>
  <c r="CO285" i="19"/>
  <c r="CN285" i="19"/>
  <c r="CM285" i="19"/>
  <c r="CL285" i="19"/>
  <c r="CK285" i="19"/>
  <c r="CJ285" i="19"/>
  <c r="CI285" i="19"/>
  <c r="CH285" i="19"/>
  <c r="CG285" i="19"/>
  <c r="CF285" i="19"/>
  <c r="CE285" i="19"/>
  <c r="CO284" i="19"/>
  <c r="CN284" i="19"/>
  <c r="CM284" i="19"/>
  <c r="CL284" i="19"/>
  <c r="CK284" i="19"/>
  <c r="CJ284" i="19"/>
  <c r="CI284" i="19"/>
  <c r="CH284" i="19"/>
  <c r="CG284" i="19"/>
  <c r="CF284" i="19"/>
  <c r="CE284" i="19"/>
  <c r="CO283" i="19"/>
  <c r="CN283" i="19"/>
  <c r="CM283" i="19"/>
  <c r="CL283" i="19"/>
  <c r="CK283" i="19"/>
  <c r="CJ283" i="19"/>
  <c r="CI283" i="19"/>
  <c r="CH283" i="19"/>
  <c r="CG283" i="19"/>
  <c r="CF283" i="19"/>
  <c r="CE283" i="19"/>
  <c r="CO282" i="19"/>
  <c r="CN282" i="19"/>
  <c r="CM282" i="19"/>
  <c r="CL282" i="19"/>
  <c r="CK282" i="19"/>
  <c r="CJ282" i="19"/>
  <c r="CI282" i="19"/>
  <c r="CH282" i="19"/>
  <c r="CG282" i="19"/>
  <c r="CF282" i="19"/>
  <c r="CE282" i="19"/>
  <c r="CO281" i="19"/>
  <c r="CN281" i="19"/>
  <c r="CM281" i="19"/>
  <c r="CL281" i="19"/>
  <c r="CK281" i="19"/>
  <c r="CJ281" i="19"/>
  <c r="CI281" i="19"/>
  <c r="CH281" i="19"/>
  <c r="CG281" i="19"/>
  <c r="CF281" i="19"/>
  <c r="CE281" i="19"/>
  <c r="CO280" i="19"/>
  <c r="CN280" i="19"/>
  <c r="CM280" i="19"/>
  <c r="CL280" i="19"/>
  <c r="CK280" i="19"/>
  <c r="CJ280" i="19"/>
  <c r="CI280" i="19"/>
  <c r="CH280" i="19"/>
  <c r="CG280" i="19"/>
  <c r="CF280" i="19"/>
  <c r="CE280" i="19"/>
  <c r="CO279" i="19"/>
  <c r="CN279" i="19"/>
  <c r="CM279" i="19"/>
  <c r="CL279" i="19"/>
  <c r="CK279" i="19"/>
  <c r="CJ279" i="19"/>
  <c r="CI279" i="19"/>
  <c r="CH279" i="19"/>
  <c r="CG279" i="19"/>
  <c r="CF279" i="19"/>
  <c r="CE279" i="19"/>
  <c r="CO278" i="19"/>
  <c r="CN278" i="19"/>
  <c r="CM278" i="19"/>
  <c r="CL278" i="19"/>
  <c r="CK278" i="19"/>
  <c r="CJ278" i="19"/>
  <c r="CI278" i="19"/>
  <c r="CH278" i="19"/>
  <c r="CG278" i="19"/>
  <c r="CF278" i="19"/>
  <c r="CE278" i="19"/>
  <c r="CO277" i="19"/>
  <c r="CN277" i="19"/>
  <c r="CM277" i="19"/>
  <c r="CL277" i="19"/>
  <c r="CK277" i="19"/>
  <c r="CJ277" i="19"/>
  <c r="CI277" i="19"/>
  <c r="CH277" i="19"/>
  <c r="CG277" i="19"/>
  <c r="CF277" i="19"/>
  <c r="CE277" i="19"/>
  <c r="CO276" i="19"/>
  <c r="CN276" i="19"/>
  <c r="CM276" i="19"/>
  <c r="CL276" i="19"/>
  <c r="CK276" i="19"/>
  <c r="CJ276" i="19"/>
  <c r="CI276" i="19"/>
  <c r="CH276" i="19"/>
  <c r="CG276" i="19"/>
  <c r="CF276" i="19"/>
  <c r="CE276" i="19"/>
  <c r="CO275" i="19"/>
  <c r="CN275" i="19"/>
  <c r="CM275" i="19"/>
  <c r="CL275" i="19"/>
  <c r="CK275" i="19"/>
  <c r="CJ275" i="19"/>
  <c r="CI275" i="19"/>
  <c r="CH275" i="19"/>
  <c r="CG275" i="19"/>
  <c r="CF275" i="19"/>
  <c r="CE275" i="19"/>
  <c r="CO274" i="19"/>
  <c r="CN274" i="19"/>
  <c r="CM274" i="19"/>
  <c r="CL274" i="19"/>
  <c r="CK274" i="19"/>
  <c r="CJ274" i="19"/>
  <c r="CI274" i="19"/>
  <c r="CH274" i="19"/>
  <c r="CG274" i="19"/>
  <c r="CF274" i="19"/>
  <c r="CE274" i="19"/>
  <c r="CO273" i="19"/>
  <c r="CN273" i="19"/>
  <c r="CM273" i="19"/>
  <c r="CL273" i="19"/>
  <c r="CK273" i="19"/>
  <c r="CJ273" i="19"/>
  <c r="CI273" i="19"/>
  <c r="CH273" i="19"/>
  <c r="CG273" i="19"/>
  <c r="CF273" i="19"/>
  <c r="CE273" i="19"/>
  <c r="CO272" i="19"/>
  <c r="CN272" i="19"/>
  <c r="CM272" i="19"/>
  <c r="CL272" i="19"/>
  <c r="CK272" i="19"/>
  <c r="CJ272" i="19"/>
  <c r="CI272" i="19"/>
  <c r="CH272" i="19"/>
  <c r="CG272" i="19"/>
  <c r="CF272" i="19"/>
  <c r="CE272" i="19"/>
  <c r="CO271" i="19"/>
  <c r="CN271" i="19"/>
  <c r="CM271" i="19"/>
  <c r="CL271" i="19"/>
  <c r="CK271" i="19"/>
  <c r="CJ271" i="19"/>
  <c r="CI271" i="19"/>
  <c r="CH271" i="19"/>
  <c r="CG271" i="19"/>
  <c r="CF271" i="19"/>
  <c r="CE271" i="19"/>
  <c r="CO270" i="19"/>
  <c r="CN270" i="19"/>
  <c r="CM270" i="19"/>
  <c r="CL270" i="19"/>
  <c r="CK270" i="19"/>
  <c r="CJ270" i="19"/>
  <c r="CI270" i="19"/>
  <c r="CH270" i="19"/>
  <c r="CG270" i="19"/>
  <c r="CF270" i="19"/>
  <c r="CE270" i="19"/>
  <c r="CO269" i="19"/>
  <c r="CN269" i="19"/>
  <c r="CM269" i="19"/>
  <c r="CL269" i="19"/>
  <c r="CK269" i="19"/>
  <c r="CJ269" i="19"/>
  <c r="CI269" i="19"/>
  <c r="CH269" i="19"/>
  <c r="CG269" i="19"/>
  <c r="CF269" i="19"/>
  <c r="CE269" i="19"/>
  <c r="CO268" i="19"/>
  <c r="CN268" i="19"/>
  <c r="CM268" i="19"/>
  <c r="CL268" i="19"/>
  <c r="CK268" i="19"/>
  <c r="CJ268" i="19"/>
  <c r="CI268" i="19"/>
  <c r="CH268" i="19"/>
  <c r="CG268" i="19"/>
  <c r="CF268" i="19"/>
  <c r="CE268" i="19"/>
  <c r="CO267" i="19"/>
  <c r="CN267" i="19"/>
  <c r="CM267" i="19"/>
  <c r="CL267" i="19"/>
  <c r="CK267" i="19"/>
  <c r="CJ267" i="19"/>
  <c r="CI267" i="19"/>
  <c r="CH267" i="19"/>
  <c r="CG267" i="19"/>
  <c r="CF267" i="19"/>
  <c r="CE267" i="19"/>
  <c r="CO266" i="19"/>
  <c r="CN266" i="19"/>
  <c r="CM266" i="19"/>
  <c r="CL266" i="19"/>
  <c r="CK266" i="19"/>
  <c r="CJ266" i="19"/>
  <c r="CI266" i="19"/>
  <c r="CH266" i="19"/>
  <c r="CG266" i="19"/>
  <c r="CF266" i="19"/>
  <c r="CE266" i="19"/>
  <c r="CO265" i="19"/>
  <c r="CN265" i="19"/>
  <c r="CM265" i="19"/>
  <c r="CL265" i="19"/>
  <c r="CK265" i="19"/>
  <c r="CJ265" i="19"/>
  <c r="CI265" i="19"/>
  <c r="CH265" i="19"/>
  <c r="CG265" i="19"/>
  <c r="CF265" i="19"/>
  <c r="CE265" i="19"/>
  <c r="CO264" i="19"/>
  <c r="CN264" i="19"/>
  <c r="CM264" i="19"/>
  <c r="CL264" i="19"/>
  <c r="CK264" i="19"/>
  <c r="CJ264" i="19"/>
  <c r="CI264" i="19"/>
  <c r="CH264" i="19"/>
  <c r="CG264" i="19"/>
  <c r="CF264" i="19"/>
  <c r="CE264" i="19"/>
  <c r="CO263" i="19"/>
  <c r="CN263" i="19"/>
  <c r="CM263" i="19"/>
  <c r="CL263" i="19"/>
  <c r="CK263" i="19"/>
  <c r="CJ263" i="19"/>
  <c r="CI263" i="19"/>
  <c r="CH263" i="19"/>
  <c r="CG263" i="19"/>
  <c r="CF263" i="19"/>
  <c r="CE263" i="19"/>
  <c r="CO262" i="19"/>
  <c r="CN262" i="19"/>
  <c r="CM262" i="19"/>
  <c r="CL262" i="19"/>
  <c r="CK262" i="19"/>
  <c r="CJ262" i="19"/>
  <c r="CI262" i="19"/>
  <c r="CH262" i="19"/>
  <c r="CG262" i="19"/>
  <c r="CF262" i="19"/>
  <c r="CE262" i="19"/>
  <c r="CO261" i="19"/>
  <c r="CN261" i="19"/>
  <c r="CM261" i="19"/>
  <c r="CL261" i="19"/>
  <c r="CK261" i="19"/>
  <c r="CJ261" i="19"/>
  <c r="CI261" i="19"/>
  <c r="CH261" i="19"/>
  <c r="CG261" i="19"/>
  <c r="CF261" i="19"/>
  <c r="CE261" i="19"/>
  <c r="CO260" i="19"/>
  <c r="CN260" i="19"/>
  <c r="CM260" i="19"/>
  <c r="CL260" i="19"/>
  <c r="CK260" i="19"/>
  <c r="CJ260" i="19"/>
  <c r="CI260" i="19"/>
  <c r="CH260" i="19"/>
  <c r="CG260" i="19"/>
  <c r="CF260" i="19"/>
  <c r="CE260" i="19"/>
  <c r="CO259" i="19"/>
  <c r="CN259" i="19"/>
  <c r="CM259" i="19"/>
  <c r="CL259" i="19"/>
  <c r="CK259" i="19"/>
  <c r="CJ259" i="19"/>
  <c r="CI259" i="19"/>
  <c r="CH259" i="19"/>
  <c r="CG259" i="19"/>
  <c r="CF259" i="19"/>
  <c r="CE259" i="19"/>
  <c r="CO258" i="19"/>
  <c r="CN258" i="19"/>
  <c r="CM258" i="19"/>
  <c r="CL258" i="19"/>
  <c r="CK258" i="19"/>
  <c r="CJ258" i="19"/>
  <c r="CI258" i="19"/>
  <c r="CH258" i="19"/>
  <c r="CG258" i="19"/>
  <c r="CF258" i="19"/>
  <c r="CE258" i="19"/>
  <c r="CO257" i="19"/>
  <c r="CN257" i="19"/>
  <c r="CM257" i="19"/>
  <c r="CL257" i="19"/>
  <c r="CK257" i="19"/>
  <c r="CJ257" i="19"/>
  <c r="CI257" i="19"/>
  <c r="CH257" i="19"/>
  <c r="CG257" i="19"/>
  <c r="CF257" i="19"/>
  <c r="CE257" i="19"/>
  <c r="CO256" i="19"/>
  <c r="CN256" i="19"/>
  <c r="CM256" i="19"/>
  <c r="CL256" i="19"/>
  <c r="CK256" i="19"/>
  <c r="CJ256" i="19"/>
  <c r="CI256" i="19"/>
  <c r="CH256" i="19"/>
  <c r="CG256" i="19"/>
  <c r="CF256" i="19"/>
  <c r="CE256" i="19"/>
  <c r="CO255" i="19"/>
  <c r="CN255" i="19"/>
  <c r="CM255" i="19"/>
  <c r="CL255" i="19"/>
  <c r="CK255" i="19"/>
  <c r="CJ255" i="19"/>
  <c r="CI255" i="19"/>
  <c r="CH255" i="19"/>
  <c r="CG255" i="19"/>
  <c r="CF255" i="19"/>
  <c r="CE255" i="19"/>
  <c r="CO254" i="19"/>
  <c r="CN254" i="19"/>
  <c r="CM254" i="19"/>
  <c r="CL254" i="19"/>
  <c r="CK254" i="19"/>
  <c r="CJ254" i="19"/>
  <c r="CI254" i="19"/>
  <c r="CH254" i="19"/>
  <c r="CG254" i="19"/>
  <c r="CF254" i="19"/>
  <c r="CE254" i="19"/>
  <c r="CO253" i="19"/>
  <c r="CN253" i="19"/>
  <c r="CM253" i="19"/>
  <c r="CL253" i="19"/>
  <c r="CK253" i="19"/>
  <c r="CJ253" i="19"/>
  <c r="CI253" i="19"/>
  <c r="CH253" i="19"/>
  <c r="CG253" i="19"/>
  <c r="CF253" i="19"/>
  <c r="CE253" i="19"/>
  <c r="CO252" i="19"/>
  <c r="CN252" i="19"/>
  <c r="CM252" i="19"/>
  <c r="CL252" i="19"/>
  <c r="CK252" i="19"/>
  <c r="CJ252" i="19"/>
  <c r="CI252" i="19"/>
  <c r="CH252" i="19"/>
  <c r="CG252" i="19"/>
  <c r="CF252" i="19"/>
  <c r="CE252" i="19"/>
  <c r="CO251" i="19"/>
  <c r="CN251" i="19"/>
  <c r="CM251" i="19"/>
  <c r="CL251" i="19"/>
  <c r="CK251" i="19"/>
  <c r="CJ251" i="19"/>
  <c r="CI251" i="19"/>
  <c r="CH251" i="19"/>
  <c r="CG251" i="19"/>
  <c r="CF251" i="19"/>
  <c r="CE251" i="19"/>
  <c r="CO250" i="19"/>
  <c r="CN250" i="19"/>
  <c r="CM250" i="19"/>
  <c r="CL250" i="19"/>
  <c r="CK250" i="19"/>
  <c r="CJ250" i="19"/>
  <c r="CI250" i="19"/>
  <c r="CH250" i="19"/>
  <c r="CG250" i="19"/>
  <c r="CF250" i="19"/>
  <c r="CE250" i="19"/>
  <c r="CO249" i="19"/>
  <c r="CN249" i="19"/>
  <c r="CM249" i="19"/>
  <c r="CL249" i="19"/>
  <c r="CK249" i="19"/>
  <c r="CJ249" i="19"/>
  <c r="CI249" i="19"/>
  <c r="CH249" i="19"/>
  <c r="CG249" i="19"/>
  <c r="CF249" i="19"/>
  <c r="CE249" i="19"/>
  <c r="CO248" i="19"/>
  <c r="CN248" i="19"/>
  <c r="CM248" i="19"/>
  <c r="CL248" i="19"/>
  <c r="CK248" i="19"/>
  <c r="CJ248" i="19"/>
  <c r="CI248" i="19"/>
  <c r="CH248" i="19"/>
  <c r="CG248" i="19"/>
  <c r="CF248" i="19"/>
  <c r="CE248" i="19"/>
  <c r="CO247" i="19"/>
  <c r="CN247" i="19"/>
  <c r="CM247" i="19"/>
  <c r="CL247" i="19"/>
  <c r="CK247" i="19"/>
  <c r="CJ247" i="19"/>
  <c r="CI247" i="19"/>
  <c r="CH247" i="19"/>
  <c r="CG247" i="19"/>
  <c r="CF247" i="19"/>
  <c r="CE247" i="19"/>
  <c r="CO246" i="19"/>
  <c r="CN246" i="19"/>
  <c r="CM246" i="19"/>
  <c r="CL246" i="19"/>
  <c r="CK246" i="19"/>
  <c r="CJ246" i="19"/>
  <c r="CI246" i="19"/>
  <c r="CH246" i="19"/>
  <c r="CG246" i="19"/>
  <c r="CF246" i="19"/>
  <c r="CE246" i="19"/>
  <c r="CO245" i="19"/>
  <c r="CN245" i="19"/>
  <c r="CM245" i="19"/>
  <c r="CL245" i="19"/>
  <c r="CK245" i="19"/>
  <c r="CJ245" i="19"/>
  <c r="CI245" i="19"/>
  <c r="CH245" i="19"/>
  <c r="CG245" i="19"/>
  <c r="CF245" i="19"/>
  <c r="CE245" i="19"/>
  <c r="CO244" i="19"/>
  <c r="CN244" i="19"/>
  <c r="CM244" i="19"/>
  <c r="CL244" i="19"/>
  <c r="CK244" i="19"/>
  <c r="CJ244" i="19"/>
  <c r="CI244" i="19"/>
  <c r="CH244" i="19"/>
  <c r="CG244" i="19"/>
  <c r="CF244" i="19"/>
  <c r="CE244" i="19"/>
  <c r="CO243" i="19"/>
  <c r="CN243" i="19"/>
  <c r="CM243" i="19"/>
  <c r="CL243" i="19"/>
  <c r="CK243" i="19"/>
  <c r="CJ243" i="19"/>
  <c r="CI243" i="19"/>
  <c r="CH243" i="19"/>
  <c r="CG243" i="19"/>
  <c r="CF243" i="19"/>
  <c r="CE243" i="19"/>
  <c r="CO242" i="19"/>
  <c r="CN242" i="19"/>
  <c r="CM242" i="19"/>
  <c r="CL242" i="19"/>
  <c r="CK242" i="19"/>
  <c r="CJ242" i="19"/>
  <c r="CI242" i="19"/>
  <c r="CH242" i="19"/>
  <c r="CG242" i="19"/>
  <c r="CF242" i="19"/>
  <c r="CE242" i="19"/>
  <c r="CO241" i="19"/>
  <c r="CN241" i="19"/>
  <c r="CM241" i="19"/>
  <c r="CL241" i="19"/>
  <c r="CK241" i="19"/>
  <c r="CJ241" i="19"/>
  <c r="CI241" i="19"/>
  <c r="CH241" i="19"/>
  <c r="CG241" i="19"/>
  <c r="CF241" i="19"/>
  <c r="CE241" i="19"/>
  <c r="CO240" i="19"/>
  <c r="CN240" i="19"/>
  <c r="CM240" i="19"/>
  <c r="CL240" i="19"/>
  <c r="CK240" i="19"/>
  <c r="CJ240" i="19"/>
  <c r="CI240" i="19"/>
  <c r="CH240" i="19"/>
  <c r="CG240" i="19"/>
  <c r="CF240" i="19"/>
  <c r="CE240" i="19"/>
  <c r="CO239" i="19"/>
  <c r="CN239" i="19"/>
  <c r="CM239" i="19"/>
  <c r="CL239" i="19"/>
  <c r="CK239" i="19"/>
  <c r="CJ239" i="19"/>
  <c r="CI239" i="19"/>
  <c r="CH239" i="19"/>
  <c r="CG239" i="19"/>
  <c r="CF239" i="19"/>
  <c r="CE239" i="19"/>
  <c r="CO238" i="19"/>
  <c r="CN238" i="19"/>
  <c r="CM238" i="19"/>
  <c r="CL238" i="19"/>
  <c r="CK238" i="19"/>
  <c r="CJ238" i="19"/>
  <c r="CI238" i="19"/>
  <c r="CH238" i="19"/>
  <c r="CG238" i="19"/>
  <c r="CF238" i="19"/>
  <c r="CE238" i="19"/>
  <c r="CO237" i="19"/>
  <c r="CN237" i="19"/>
  <c r="CM237" i="19"/>
  <c r="CL237" i="19"/>
  <c r="CK237" i="19"/>
  <c r="CJ237" i="19"/>
  <c r="CI237" i="19"/>
  <c r="CH237" i="19"/>
  <c r="CG237" i="19"/>
  <c r="CF237" i="19"/>
  <c r="CE237" i="19"/>
  <c r="CO236" i="19"/>
  <c r="CN236" i="19"/>
  <c r="CM236" i="19"/>
  <c r="CL236" i="19"/>
  <c r="CK236" i="19"/>
  <c r="CJ236" i="19"/>
  <c r="CI236" i="19"/>
  <c r="CH236" i="19"/>
  <c r="CG236" i="19"/>
  <c r="CF236" i="19"/>
  <c r="CE236" i="19"/>
  <c r="CO235" i="19"/>
  <c r="CN235" i="19"/>
  <c r="CM235" i="19"/>
  <c r="CL235" i="19"/>
  <c r="CK235" i="19"/>
  <c r="CJ235" i="19"/>
  <c r="CI235" i="19"/>
  <c r="CH235" i="19"/>
  <c r="CG235" i="19"/>
  <c r="CF235" i="19"/>
  <c r="CE235" i="19"/>
  <c r="CO234" i="19"/>
  <c r="CN234" i="19"/>
  <c r="CM234" i="19"/>
  <c r="CL234" i="19"/>
  <c r="CK234" i="19"/>
  <c r="CJ234" i="19"/>
  <c r="CI234" i="19"/>
  <c r="CH234" i="19"/>
  <c r="CG234" i="19"/>
  <c r="CF234" i="19"/>
  <c r="CE234" i="19"/>
  <c r="CO233" i="19"/>
  <c r="CN233" i="19"/>
  <c r="CM233" i="19"/>
  <c r="CL233" i="19"/>
  <c r="CK233" i="19"/>
  <c r="CJ233" i="19"/>
  <c r="CI233" i="19"/>
  <c r="CH233" i="19"/>
  <c r="CG233" i="19"/>
  <c r="CF233" i="19"/>
  <c r="CE233" i="19"/>
  <c r="CO232" i="19"/>
  <c r="CN232" i="19"/>
  <c r="CM232" i="19"/>
  <c r="CL232" i="19"/>
  <c r="CK232" i="19"/>
  <c r="CJ232" i="19"/>
  <c r="CI232" i="19"/>
  <c r="CH232" i="19"/>
  <c r="CG232" i="19"/>
  <c r="CF232" i="19"/>
  <c r="CE232" i="19"/>
  <c r="CO231" i="19"/>
  <c r="CN231" i="19"/>
  <c r="CM231" i="19"/>
  <c r="CL231" i="19"/>
  <c r="CK231" i="19"/>
  <c r="CJ231" i="19"/>
  <c r="CI231" i="19"/>
  <c r="CH231" i="19"/>
  <c r="CG231" i="19"/>
  <c r="CF231" i="19"/>
  <c r="CE231" i="19"/>
  <c r="CO230" i="19"/>
  <c r="CN230" i="19"/>
  <c r="CM230" i="19"/>
  <c r="CL230" i="19"/>
  <c r="CK230" i="19"/>
  <c r="CJ230" i="19"/>
  <c r="CI230" i="19"/>
  <c r="CH230" i="19"/>
  <c r="CG230" i="19"/>
  <c r="CF230" i="19"/>
  <c r="CE230" i="19"/>
  <c r="CO229" i="19"/>
  <c r="CN229" i="19"/>
  <c r="CM229" i="19"/>
  <c r="CL229" i="19"/>
  <c r="CK229" i="19"/>
  <c r="CJ229" i="19"/>
  <c r="CI229" i="19"/>
  <c r="CH229" i="19"/>
  <c r="CG229" i="19"/>
  <c r="CF229" i="19"/>
  <c r="CE229" i="19"/>
  <c r="CO228" i="19"/>
  <c r="CN228" i="19"/>
  <c r="CM228" i="19"/>
  <c r="CL228" i="19"/>
  <c r="CK228" i="19"/>
  <c r="CJ228" i="19"/>
  <c r="CI228" i="19"/>
  <c r="CH228" i="19"/>
  <c r="CG228" i="19"/>
  <c r="CF228" i="19"/>
  <c r="CE228" i="19"/>
  <c r="CO227" i="19"/>
  <c r="CN227" i="19"/>
  <c r="CM227" i="19"/>
  <c r="CL227" i="19"/>
  <c r="CK227" i="19"/>
  <c r="CJ227" i="19"/>
  <c r="CI227" i="19"/>
  <c r="CH227" i="19"/>
  <c r="CG227" i="19"/>
  <c r="CF227" i="19"/>
  <c r="CE227" i="19"/>
  <c r="CO226" i="19"/>
  <c r="CN226" i="19"/>
  <c r="CM226" i="19"/>
  <c r="CL226" i="19"/>
  <c r="CK226" i="19"/>
  <c r="CJ226" i="19"/>
  <c r="CI226" i="19"/>
  <c r="CH226" i="19"/>
  <c r="CG226" i="19"/>
  <c r="CF226" i="19"/>
  <c r="CE226" i="19"/>
  <c r="CO225" i="19"/>
  <c r="CN225" i="19"/>
  <c r="CM225" i="19"/>
  <c r="CL225" i="19"/>
  <c r="CK225" i="19"/>
  <c r="CJ225" i="19"/>
  <c r="CI225" i="19"/>
  <c r="CH225" i="19"/>
  <c r="CG225" i="19"/>
  <c r="CF225" i="19"/>
  <c r="CE225" i="19"/>
  <c r="CO224" i="19"/>
  <c r="CN224" i="19"/>
  <c r="CM224" i="19"/>
  <c r="CL224" i="19"/>
  <c r="CK224" i="19"/>
  <c r="CJ224" i="19"/>
  <c r="CI224" i="19"/>
  <c r="CH224" i="19"/>
  <c r="CG224" i="19"/>
  <c r="CF224" i="19"/>
  <c r="CE224" i="19"/>
  <c r="CO223" i="19"/>
  <c r="CN223" i="19"/>
  <c r="CM223" i="19"/>
  <c r="CL223" i="19"/>
  <c r="CK223" i="19"/>
  <c r="CJ223" i="19"/>
  <c r="CI223" i="19"/>
  <c r="CH223" i="19"/>
  <c r="CG223" i="19"/>
  <c r="CF223" i="19"/>
  <c r="CE223" i="19"/>
  <c r="CO222" i="19"/>
  <c r="CN222" i="19"/>
  <c r="CM222" i="19"/>
  <c r="CL222" i="19"/>
  <c r="CK222" i="19"/>
  <c r="CJ222" i="19"/>
  <c r="CI222" i="19"/>
  <c r="CH222" i="19"/>
  <c r="CG222" i="19"/>
  <c r="CF222" i="19"/>
  <c r="CE222" i="19"/>
  <c r="CO221" i="19"/>
  <c r="CN221" i="19"/>
  <c r="CM221" i="19"/>
  <c r="CL221" i="19"/>
  <c r="CK221" i="19"/>
  <c r="CJ221" i="19"/>
  <c r="CI221" i="19"/>
  <c r="CH221" i="19"/>
  <c r="CG221" i="19"/>
  <c r="CF221" i="19"/>
  <c r="CE221" i="19"/>
  <c r="CO220" i="19"/>
  <c r="CN220" i="19"/>
  <c r="CM220" i="19"/>
  <c r="CL220" i="19"/>
  <c r="CK220" i="19"/>
  <c r="CJ220" i="19"/>
  <c r="CI220" i="19"/>
  <c r="CH220" i="19"/>
  <c r="CG220" i="19"/>
  <c r="CF220" i="19"/>
  <c r="CE220" i="19"/>
  <c r="CO219" i="19"/>
  <c r="CN219" i="19"/>
  <c r="CM219" i="19"/>
  <c r="CL219" i="19"/>
  <c r="CK219" i="19"/>
  <c r="CJ219" i="19"/>
  <c r="CI219" i="19"/>
  <c r="CH219" i="19"/>
  <c r="CG219" i="19"/>
  <c r="CF219" i="19"/>
  <c r="CE219" i="19"/>
  <c r="CO218" i="19"/>
  <c r="CN218" i="19"/>
  <c r="CM218" i="19"/>
  <c r="CL218" i="19"/>
  <c r="CK218" i="19"/>
  <c r="CJ218" i="19"/>
  <c r="CI218" i="19"/>
  <c r="CH218" i="19"/>
  <c r="CG218" i="19"/>
  <c r="CF218" i="19"/>
  <c r="CE218" i="19"/>
  <c r="CO217" i="19"/>
  <c r="CN217" i="19"/>
  <c r="CM217" i="19"/>
  <c r="CL217" i="19"/>
  <c r="CK217" i="19"/>
  <c r="CJ217" i="19"/>
  <c r="CI217" i="19"/>
  <c r="CH217" i="19"/>
  <c r="CG217" i="19"/>
  <c r="CF217" i="19"/>
  <c r="CE217" i="19"/>
  <c r="CO216" i="19"/>
  <c r="CN216" i="19"/>
  <c r="CM216" i="19"/>
  <c r="CL216" i="19"/>
  <c r="CK216" i="19"/>
  <c r="CJ216" i="19"/>
  <c r="CI216" i="19"/>
  <c r="CH216" i="19"/>
  <c r="CG216" i="19"/>
  <c r="CF216" i="19"/>
  <c r="CE216" i="19"/>
  <c r="CO215" i="19"/>
  <c r="CN215" i="19"/>
  <c r="CM215" i="19"/>
  <c r="CL215" i="19"/>
  <c r="CK215" i="19"/>
  <c r="CJ215" i="19"/>
  <c r="CI215" i="19"/>
  <c r="CH215" i="19"/>
  <c r="CG215" i="19"/>
  <c r="CF215" i="19"/>
  <c r="CE215" i="19"/>
  <c r="CO214" i="19"/>
  <c r="CN214" i="19"/>
  <c r="CM214" i="19"/>
  <c r="CL214" i="19"/>
  <c r="CK214" i="19"/>
  <c r="CJ214" i="19"/>
  <c r="CI214" i="19"/>
  <c r="CH214" i="19"/>
  <c r="CG214" i="19"/>
  <c r="CF214" i="19"/>
  <c r="CE214" i="19"/>
  <c r="CO213" i="19"/>
  <c r="CN213" i="19"/>
  <c r="CM213" i="19"/>
  <c r="CL213" i="19"/>
  <c r="CK213" i="19"/>
  <c r="CJ213" i="19"/>
  <c r="CI213" i="19"/>
  <c r="CH213" i="19"/>
  <c r="CG213" i="19"/>
  <c r="CF213" i="19"/>
  <c r="CE213" i="19"/>
  <c r="CO212" i="19"/>
  <c r="CN212" i="19"/>
  <c r="CM212" i="19"/>
  <c r="CL212" i="19"/>
  <c r="CK212" i="19"/>
  <c r="CJ212" i="19"/>
  <c r="CI212" i="19"/>
  <c r="CH212" i="19"/>
  <c r="CG212" i="19"/>
  <c r="CF212" i="19"/>
  <c r="CE212" i="19"/>
  <c r="CO211" i="19"/>
  <c r="CN211" i="19"/>
  <c r="CM211" i="19"/>
  <c r="CL211" i="19"/>
  <c r="CJ211" i="19"/>
  <c r="CI211" i="19"/>
  <c r="CH211" i="19"/>
  <c r="CG211" i="19"/>
  <c r="CF211" i="19"/>
  <c r="CE211" i="19"/>
  <c r="CO210" i="19"/>
  <c r="CN210" i="19"/>
  <c r="CM210" i="19"/>
  <c r="CL210" i="19"/>
  <c r="CJ210" i="19"/>
  <c r="CI210" i="19"/>
  <c r="CH210" i="19"/>
  <c r="CG210" i="19"/>
  <c r="CF210" i="19"/>
  <c r="CE210" i="19"/>
  <c r="CO209" i="19"/>
  <c r="CN209" i="19"/>
  <c r="CM209" i="19"/>
  <c r="CL209" i="19"/>
  <c r="CK209" i="19"/>
  <c r="CJ209" i="19"/>
  <c r="CI209" i="19"/>
  <c r="CH209" i="19"/>
  <c r="CG209" i="19"/>
  <c r="CF209" i="19"/>
  <c r="CE209" i="19"/>
  <c r="CO208" i="19"/>
  <c r="CN208" i="19"/>
  <c r="CM208" i="19"/>
  <c r="CL208" i="19"/>
  <c r="CK208" i="19"/>
  <c r="CJ208" i="19"/>
  <c r="CI208" i="19"/>
  <c r="CH208" i="19"/>
  <c r="CG208" i="19"/>
  <c r="CF208" i="19"/>
  <c r="CE208" i="19"/>
  <c r="CO207" i="19"/>
  <c r="CN207" i="19"/>
  <c r="CM207" i="19"/>
  <c r="CL207" i="19"/>
  <c r="CK207" i="19"/>
  <c r="CJ207" i="19"/>
  <c r="CI207" i="19"/>
  <c r="CH207" i="19"/>
  <c r="CG207" i="19"/>
  <c r="CF207" i="19"/>
  <c r="CE207" i="19"/>
  <c r="CO206" i="19"/>
  <c r="CN206" i="19"/>
  <c r="CM206" i="19"/>
  <c r="CL206" i="19"/>
  <c r="CK206" i="19"/>
  <c r="CJ206" i="19"/>
  <c r="CI206" i="19"/>
  <c r="CH206" i="19"/>
  <c r="CG206" i="19"/>
  <c r="CF206" i="19"/>
  <c r="CE206" i="19"/>
  <c r="CO205" i="19"/>
  <c r="CN205" i="19"/>
  <c r="CM205" i="19"/>
  <c r="CL205" i="19"/>
  <c r="CK205" i="19"/>
  <c r="CJ205" i="19"/>
  <c r="CI205" i="19"/>
  <c r="CH205" i="19"/>
  <c r="CG205" i="19"/>
  <c r="CF205" i="19"/>
  <c r="CE205" i="19"/>
  <c r="CO204" i="19"/>
  <c r="CN204" i="19"/>
  <c r="CM204" i="19"/>
  <c r="CL204" i="19"/>
  <c r="CK204" i="19"/>
  <c r="CJ204" i="19"/>
  <c r="CI204" i="19"/>
  <c r="CH204" i="19"/>
  <c r="CG204" i="19"/>
  <c r="CF204" i="19"/>
  <c r="CE204" i="19"/>
  <c r="CO203" i="19"/>
  <c r="CN203" i="19"/>
  <c r="CM203" i="19"/>
  <c r="CL203" i="19"/>
  <c r="CK203" i="19"/>
  <c r="CJ203" i="19"/>
  <c r="CI203" i="19"/>
  <c r="CH203" i="19"/>
  <c r="CG203" i="19"/>
  <c r="CF203" i="19"/>
  <c r="CE203" i="19"/>
  <c r="CO202" i="19"/>
  <c r="CN202" i="19"/>
  <c r="CM202" i="19"/>
  <c r="CL202" i="19"/>
  <c r="CK202" i="19"/>
  <c r="CJ202" i="19"/>
  <c r="CI202" i="19"/>
  <c r="CH202" i="19"/>
  <c r="CG202" i="19"/>
  <c r="CF202" i="19"/>
  <c r="CE202" i="19"/>
  <c r="CO201" i="19"/>
  <c r="CN201" i="19"/>
  <c r="CM201" i="19"/>
  <c r="CL201" i="19"/>
  <c r="CK201" i="19"/>
  <c r="CJ201" i="19"/>
  <c r="CI201" i="19"/>
  <c r="CH201" i="19"/>
  <c r="CG201" i="19"/>
  <c r="CF201" i="19"/>
  <c r="CE201" i="19"/>
  <c r="CO200" i="19"/>
  <c r="CN200" i="19"/>
  <c r="CM200" i="19"/>
  <c r="CL200" i="19"/>
  <c r="CK200" i="19"/>
  <c r="CJ200" i="19"/>
  <c r="CI200" i="19"/>
  <c r="CH200" i="19"/>
  <c r="CG200" i="19"/>
  <c r="CF200" i="19"/>
  <c r="CE200" i="19"/>
  <c r="CO199" i="19"/>
  <c r="CN199" i="19"/>
  <c r="CM199" i="19"/>
  <c r="CL199" i="19"/>
  <c r="CK199" i="19"/>
  <c r="CJ199" i="19"/>
  <c r="CI199" i="19"/>
  <c r="CH199" i="19"/>
  <c r="CG199" i="19"/>
  <c r="CF199" i="19"/>
  <c r="CE199" i="19"/>
  <c r="CO198" i="19"/>
  <c r="CN198" i="19"/>
  <c r="CM198" i="19"/>
  <c r="CL198" i="19"/>
  <c r="CK198" i="19"/>
  <c r="CJ198" i="19"/>
  <c r="CI198" i="19"/>
  <c r="CH198" i="19"/>
  <c r="CG198" i="19"/>
  <c r="CF198" i="19"/>
  <c r="CE198" i="19"/>
  <c r="CO197" i="19"/>
  <c r="CN197" i="19"/>
  <c r="CM197" i="19"/>
  <c r="CL197" i="19"/>
  <c r="CK197" i="19"/>
  <c r="CJ197" i="19"/>
  <c r="CI197" i="19"/>
  <c r="CH197" i="19"/>
  <c r="CG197" i="19"/>
  <c r="CF197" i="19"/>
  <c r="CE197" i="19"/>
  <c r="CO196" i="19"/>
  <c r="CN196" i="19"/>
  <c r="CM196" i="19"/>
  <c r="CL196" i="19"/>
  <c r="CK196" i="19"/>
  <c r="CJ196" i="19"/>
  <c r="CI196" i="19"/>
  <c r="CH196" i="19"/>
  <c r="CG196" i="19"/>
  <c r="CF196" i="19"/>
  <c r="CE196" i="19"/>
  <c r="CO195" i="19"/>
  <c r="CN195" i="19"/>
  <c r="CM195" i="19"/>
  <c r="CL195" i="19"/>
  <c r="CK195" i="19"/>
  <c r="CJ195" i="19"/>
  <c r="CI195" i="19"/>
  <c r="CH195" i="19"/>
  <c r="CG195" i="19"/>
  <c r="CF195" i="19"/>
  <c r="CE195" i="19"/>
  <c r="CO194" i="19"/>
  <c r="CN194" i="19"/>
  <c r="CM194" i="19"/>
  <c r="CL194" i="19"/>
  <c r="CK194" i="19"/>
  <c r="CJ194" i="19"/>
  <c r="CI194" i="19"/>
  <c r="CH194" i="19"/>
  <c r="CG194" i="19"/>
  <c r="CF194" i="19"/>
  <c r="CE194" i="19"/>
  <c r="CO193" i="19"/>
  <c r="CN193" i="19"/>
  <c r="CM193" i="19"/>
  <c r="CL193" i="19"/>
  <c r="CK193" i="19"/>
  <c r="CJ193" i="19"/>
  <c r="CI193" i="19"/>
  <c r="CH193" i="19"/>
  <c r="CG193" i="19"/>
  <c r="CF193" i="19"/>
  <c r="CE193" i="19"/>
  <c r="CO192" i="19"/>
  <c r="CN192" i="19"/>
  <c r="CM192" i="19"/>
  <c r="CL192" i="19"/>
  <c r="CK192" i="19"/>
  <c r="CJ192" i="19"/>
  <c r="CI192" i="19"/>
  <c r="CH192" i="19"/>
  <c r="CG192" i="19"/>
  <c r="CF192" i="19"/>
  <c r="CE192" i="19"/>
  <c r="CO191" i="19"/>
  <c r="CN191" i="19"/>
  <c r="CM191" i="19"/>
  <c r="CL191" i="19"/>
  <c r="CK191" i="19"/>
  <c r="CJ191" i="19"/>
  <c r="CI191" i="19"/>
  <c r="CH191" i="19"/>
  <c r="CG191" i="19"/>
  <c r="CF191" i="19"/>
  <c r="CE191" i="19"/>
  <c r="CO190" i="19"/>
  <c r="CN190" i="19"/>
  <c r="CM190" i="19"/>
  <c r="CL190" i="19"/>
  <c r="CK190" i="19"/>
  <c r="CJ190" i="19"/>
  <c r="CI190" i="19"/>
  <c r="CH190" i="19"/>
  <c r="CG190" i="19"/>
  <c r="CF190" i="19"/>
  <c r="CE190" i="19"/>
  <c r="CO189" i="19"/>
  <c r="CN189" i="19"/>
  <c r="CM189" i="19"/>
  <c r="CL189" i="19"/>
  <c r="CK189" i="19"/>
  <c r="CJ189" i="19"/>
  <c r="CI189" i="19"/>
  <c r="CH189" i="19"/>
  <c r="CG189" i="19"/>
  <c r="CF189" i="19"/>
  <c r="CE189" i="19"/>
  <c r="CO188" i="19"/>
  <c r="CN188" i="19"/>
  <c r="CM188" i="19"/>
  <c r="CL188" i="19"/>
  <c r="CK188" i="19"/>
  <c r="CJ188" i="19"/>
  <c r="CI188" i="19"/>
  <c r="CH188" i="19"/>
  <c r="CG188" i="19"/>
  <c r="CF188" i="19"/>
  <c r="CE188" i="19"/>
  <c r="CO187" i="19"/>
  <c r="CN187" i="19"/>
  <c r="CM187" i="19"/>
  <c r="CL187" i="19"/>
  <c r="CK187" i="19"/>
  <c r="CJ187" i="19"/>
  <c r="CI187" i="19"/>
  <c r="CH187" i="19"/>
  <c r="CG187" i="19"/>
  <c r="CF187" i="19"/>
  <c r="CE187" i="19"/>
  <c r="CO186" i="19"/>
  <c r="CN186" i="19"/>
  <c r="CM186" i="19"/>
  <c r="CL186" i="19"/>
  <c r="CK186" i="19"/>
  <c r="CJ186" i="19"/>
  <c r="CI186" i="19"/>
  <c r="CH186" i="19"/>
  <c r="CG186" i="19"/>
  <c r="CF186" i="19"/>
  <c r="CE186" i="19"/>
  <c r="CO185" i="19"/>
  <c r="CN185" i="19"/>
  <c r="CM185" i="19"/>
  <c r="CL185" i="19"/>
  <c r="CK185" i="19"/>
  <c r="CJ185" i="19"/>
  <c r="CI185" i="19"/>
  <c r="CH185" i="19"/>
  <c r="CG185" i="19"/>
  <c r="CF185" i="19"/>
  <c r="CE185" i="19"/>
  <c r="CO184" i="19"/>
  <c r="CN184" i="19"/>
  <c r="CM184" i="19"/>
  <c r="CL184" i="19"/>
  <c r="CK184" i="19"/>
  <c r="CJ184" i="19"/>
  <c r="CI184" i="19"/>
  <c r="CH184" i="19"/>
  <c r="CG184" i="19"/>
  <c r="CF184" i="19"/>
  <c r="CE184" i="19"/>
  <c r="CO183" i="19"/>
  <c r="CN183" i="19"/>
  <c r="CM183" i="19"/>
  <c r="CL183" i="19"/>
  <c r="CK183" i="19"/>
  <c r="CJ183" i="19"/>
  <c r="CI183" i="19"/>
  <c r="CH183" i="19"/>
  <c r="CG183" i="19"/>
  <c r="CF183" i="19"/>
  <c r="CE183" i="19"/>
  <c r="CO182" i="19"/>
  <c r="CN182" i="19"/>
  <c r="CM182" i="19"/>
  <c r="CL182" i="19"/>
  <c r="CK182" i="19"/>
  <c r="CJ182" i="19"/>
  <c r="CI182" i="19"/>
  <c r="CH182" i="19"/>
  <c r="CG182" i="19"/>
  <c r="CF182" i="19"/>
  <c r="CE182" i="19"/>
  <c r="CO181" i="19"/>
  <c r="CN181" i="19"/>
  <c r="CM181" i="19"/>
  <c r="CL181" i="19"/>
  <c r="CK181" i="19"/>
  <c r="CJ181" i="19"/>
  <c r="CI181" i="19"/>
  <c r="CH181" i="19"/>
  <c r="CG181" i="19"/>
  <c r="CF181" i="19"/>
  <c r="CE181" i="19"/>
  <c r="CO180" i="19"/>
  <c r="CN180" i="19"/>
  <c r="CM180" i="19"/>
  <c r="CL180" i="19"/>
  <c r="CK180" i="19"/>
  <c r="CJ180" i="19"/>
  <c r="CI180" i="19"/>
  <c r="CH180" i="19"/>
  <c r="CG180" i="19"/>
  <c r="CF180" i="19"/>
  <c r="CE180" i="19"/>
  <c r="CO179" i="19"/>
  <c r="CN179" i="19"/>
  <c r="CM179" i="19"/>
  <c r="CL179" i="19"/>
  <c r="CK179" i="19"/>
  <c r="CJ179" i="19"/>
  <c r="CI179" i="19"/>
  <c r="CH179" i="19"/>
  <c r="CG179" i="19"/>
  <c r="CF179" i="19"/>
  <c r="CE179" i="19"/>
  <c r="CO178" i="19"/>
  <c r="CN178" i="19"/>
  <c r="CM178" i="19"/>
  <c r="CL178" i="19"/>
  <c r="CK178" i="19"/>
  <c r="CJ178" i="19"/>
  <c r="CI178" i="19"/>
  <c r="CH178" i="19"/>
  <c r="CG178" i="19"/>
  <c r="CF178" i="19"/>
  <c r="CE178" i="19"/>
  <c r="CO177" i="19"/>
  <c r="CN177" i="19"/>
  <c r="CM177" i="19"/>
  <c r="CL177" i="19"/>
  <c r="CK177" i="19"/>
  <c r="CJ177" i="19"/>
  <c r="CI177" i="19"/>
  <c r="CH177" i="19"/>
  <c r="CG177" i="19"/>
  <c r="CF177" i="19"/>
  <c r="CE177" i="19"/>
  <c r="CO176" i="19"/>
  <c r="CN176" i="19"/>
  <c r="CM176" i="19"/>
  <c r="CL176" i="19"/>
  <c r="CK176" i="19"/>
  <c r="CJ176" i="19"/>
  <c r="CI176" i="19"/>
  <c r="CH176" i="19"/>
  <c r="CG176" i="19"/>
  <c r="CF176" i="19"/>
  <c r="CE176" i="19"/>
  <c r="CO175" i="19"/>
  <c r="CN175" i="19"/>
  <c r="CM175" i="19"/>
  <c r="CL175" i="19"/>
  <c r="CK175" i="19"/>
  <c r="CJ175" i="19"/>
  <c r="CI175" i="19"/>
  <c r="CH175" i="19"/>
  <c r="CG175" i="19"/>
  <c r="CF175" i="19"/>
  <c r="CE175" i="19"/>
  <c r="CO174" i="19"/>
  <c r="CN174" i="19"/>
  <c r="CM174" i="19"/>
  <c r="CL174" i="19"/>
  <c r="CK174" i="19"/>
  <c r="CJ174" i="19"/>
  <c r="CI174" i="19"/>
  <c r="CH174" i="19"/>
  <c r="CG174" i="19"/>
  <c r="CF174" i="19"/>
  <c r="CE174" i="19"/>
  <c r="CO173" i="19"/>
  <c r="CN173" i="19"/>
  <c r="CM173" i="19"/>
  <c r="CL173" i="19"/>
  <c r="CK173" i="19"/>
  <c r="CJ173" i="19"/>
  <c r="CI173" i="19"/>
  <c r="CH173" i="19"/>
  <c r="CG173" i="19"/>
  <c r="CF173" i="19"/>
  <c r="CE173" i="19"/>
  <c r="CO172" i="19"/>
  <c r="CN172" i="19"/>
  <c r="CM172" i="19"/>
  <c r="CL172" i="19"/>
  <c r="CK172" i="19"/>
  <c r="CJ172" i="19"/>
  <c r="CI172" i="19"/>
  <c r="CH172" i="19"/>
  <c r="CG172" i="19"/>
  <c r="CF172" i="19"/>
  <c r="CE172" i="19"/>
  <c r="CO171" i="19"/>
  <c r="CN171" i="19"/>
  <c r="CM171" i="19"/>
  <c r="CL171" i="19"/>
  <c r="CK171" i="19"/>
  <c r="CJ171" i="19"/>
  <c r="CI171" i="19"/>
  <c r="CH171" i="19"/>
  <c r="CG171" i="19"/>
  <c r="CF171" i="19"/>
  <c r="CE171" i="19"/>
  <c r="CO170" i="19"/>
  <c r="CN170" i="19"/>
  <c r="CM170" i="19"/>
  <c r="CL170" i="19"/>
  <c r="CK170" i="19"/>
  <c r="CJ170" i="19"/>
  <c r="CI170" i="19"/>
  <c r="CH170" i="19"/>
  <c r="CG170" i="19"/>
  <c r="CF170" i="19"/>
  <c r="CE170" i="19"/>
  <c r="CO169" i="19"/>
  <c r="CN169" i="19"/>
  <c r="CM169" i="19"/>
  <c r="CL169" i="19"/>
  <c r="CK169" i="19"/>
  <c r="CJ169" i="19"/>
  <c r="CI169" i="19"/>
  <c r="CH169" i="19"/>
  <c r="CG169" i="19"/>
  <c r="CF169" i="19"/>
  <c r="CE169" i="19"/>
  <c r="CO168" i="19"/>
  <c r="CN168" i="19"/>
  <c r="CM168" i="19"/>
  <c r="CL168" i="19"/>
  <c r="CK168" i="19"/>
  <c r="CJ168" i="19"/>
  <c r="CI168" i="19"/>
  <c r="CH168" i="19"/>
  <c r="CG168" i="19"/>
  <c r="CF168" i="19"/>
  <c r="CE168" i="19"/>
  <c r="CO167" i="19"/>
  <c r="CN167" i="19"/>
  <c r="CM167" i="19"/>
  <c r="CL167" i="19"/>
  <c r="CK167" i="19"/>
  <c r="CJ167" i="19"/>
  <c r="CI167" i="19"/>
  <c r="CH167" i="19"/>
  <c r="CG167" i="19"/>
  <c r="CF167" i="19"/>
  <c r="CE167" i="19"/>
  <c r="CO166" i="19"/>
  <c r="CN166" i="19"/>
  <c r="CM166" i="19"/>
  <c r="CL166" i="19"/>
  <c r="CK166" i="19"/>
  <c r="CJ166" i="19"/>
  <c r="CI166" i="19"/>
  <c r="CH166" i="19"/>
  <c r="CG166" i="19"/>
  <c r="CF166" i="19"/>
  <c r="CE166" i="19"/>
  <c r="CO165" i="19"/>
  <c r="CN165" i="19"/>
  <c r="CM165" i="19"/>
  <c r="CL165" i="19"/>
  <c r="CK165" i="19"/>
  <c r="CJ165" i="19"/>
  <c r="CI165" i="19"/>
  <c r="CH165" i="19"/>
  <c r="CG165" i="19"/>
  <c r="CF165" i="19"/>
  <c r="CE165" i="19"/>
  <c r="CO164" i="19"/>
  <c r="CN164" i="19"/>
  <c r="CM164" i="19"/>
  <c r="CL164" i="19"/>
  <c r="CK164" i="19"/>
  <c r="CJ164" i="19"/>
  <c r="CI164" i="19"/>
  <c r="CH164" i="19"/>
  <c r="CG164" i="19"/>
  <c r="CF164" i="19"/>
  <c r="CE164" i="19"/>
  <c r="CO163" i="19"/>
  <c r="CN163" i="19"/>
  <c r="CM163" i="19"/>
  <c r="CL163" i="19"/>
  <c r="CK163" i="19"/>
  <c r="CJ163" i="19"/>
  <c r="CI163" i="19"/>
  <c r="CH163" i="19"/>
  <c r="CG163" i="19"/>
  <c r="CF163" i="19"/>
  <c r="CE163" i="19"/>
  <c r="CO162" i="19"/>
  <c r="CN162" i="19"/>
  <c r="CM162" i="19"/>
  <c r="CL162" i="19"/>
  <c r="CJ162" i="19"/>
  <c r="CI162" i="19"/>
  <c r="CH162" i="19"/>
  <c r="CG162" i="19"/>
  <c r="CF162" i="19"/>
  <c r="CE162" i="19"/>
  <c r="CO161" i="19"/>
  <c r="CN161" i="19"/>
  <c r="CM161" i="19"/>
  <c r="CL161" i="19"/>
  <c r="CK161" i="19"/>
  <c r="CJ161" i="19"/>
  <c r="CI161" i="19"/>
  <c r="CH161" i="19"/>
  <c r="CG161" i="19"/>
  <c r="CF161" i="19"/>
  <c r="CE161" i="19"/>
  <c r="CO160" i="19"/>
  <c r="CN160" i="19"/>
  <c r="CM160" i="19"/>
  <c r="CL160" i="19"/>
  <c r="CK160" i="19"/>
  <c r="CJ160" i="19"/>
  <c r="CI160" i="19"/>
  <c r="CH160" i="19"/>
  <c r="CG160" i="19"/>
  <c r="CF160" i="19"/>
  <c r="CE160" i="19"/>
  <c r="CO159" i="19"/>
  <c r="CN159" i="19"/>
  <c r="CM159" i="19"/>
  <c r="CL159" i="19"/>
  <c r="CK159" i="19"/>
  <c r="CJ159" i="19"/>
  <c r="CI159" i="19"/>
  <c r="CH159" i="19"/>
  <c r="CG159" i="19"/>
  <c r="CF159" i="19"/>
  <c r="CE159" i="19"/>
  <c r="CO158" i="19"/>
  <c r="CN158" i="19"/>
  <c r="CM158" i="19"/>
  <c r="CL158" i="19"/>
  <c r="CK158" i="19"/>
  <c r="CJ158" i="19"/>
  <c r="CI158" i="19"/>
  <c r="CH158" i="19"/>
  <c r="CG158" i="19"/>
  <c r="CF158" i="19"/>
  <c r="CE158" i="19"/>
  <c r="CO157" i="19"/>
  <c r="CN157" i="19"/>
  <c r="CM157" i="19"/>
  <c r="CL157" i="19"/>
  <c r="CK157" i="19"/>
  <c r="CJ157" i="19"/>
  <c r="CI157" i="19"/>
  <c r="CH157" i="19"/>
  <c r="CG157" i="19"/>
  <c r="CF157" i="19"/>
  <c r="CE157" i="19"/>
  <c r="CO156" i="19"/>
  <c r="CN156" i="19"/>
  <c r="CM156" i="19"/>
  <c r="CL156" i="19"/>
  <c r="CK156" i="19"/>
  <c r="CJ156" i="19"/>
  <c r="CI156" i="19"/>
  <c r="CH156" i="19"/>
  <c r="CG156" i="19"/>
  <c r="CF156" i="19"/>
  <c r="CE156" i="19"/>
  <c r="CO155" i="19"/>
  <c r="CN155" i="19"/>
  <c r="CM155" i="19"/>
  <c r="CL155" i="19"/>
  <c r="CK155" i="19"/>
  <c r="CJ155" i="19"/>
  <c r="CI155" i="19"/>
  <c r="CH155" i="19"/>
  <c r="CG155" i="19"/>
  <c r="CF155" i="19"/>
  <c r="CE155" i="19"/>
  <c r="CO154" i="19"/>
  <c r="CN154" i="19"/>
  <c r="CM154" i="19"/>
  <c r="CL154" i="19"/>
  <c r="CK154" i="19"/>
  <c r="CJ154" i="19"/>
  <c r="CI154" i="19"/>
  <c r="CH154" i="19"/>
  <c r="CG154" i="19"/>
  <c r="CF154" i="19"/>
  <c r="CE154" i="19"/>
  <c r="CO153" i="19"/>
  <c r="CN153" i="19"/>
  <c r="CM153" i="19"/>
  <c r="CL153" i="19"/>
  <c r="CK153" i="19"/>
  <c r="CJ153" i="19"/>
  <c r="CI153" i="19"/>
  <c r="CH153" i="19"/>
  <c r="CG153" i="19"/>
  <c r="CF153" i="19"/>
  <c r="CE153" i="19"/>
  <c r="CO152" i="19"/>
  <c r="CN152" i="19"/>
  <c r="CM152" i="19"/>
  <c r="CL152" i="19"/>
  <c r="CK152" i="19"/>
  <c r="CJ152" i="19"/>
  <c r="CI152" i="19"/>
  <c r="CH152" i="19"/>
  <c r="CG152" i="19"/>
  <c r="CF152" i="19"/>
  <c r="CE152" i="19"/>
  <c r="CO151" i="19"/>
  <c r="CN151" i="19"/>
  <c r="CM151" i="19"/>
  <c r="CL151" i="19"/>
  <c r="CK151" i="19"/>
  <c r="CJ151" i="19"/>
  <c r="CI151" i="19"/>
  <c r="CH151" i="19"/>
  <c r="CG151" i="19"/>
  <c r="CF151" i="19"/>
  <c r="CE151" i="19"/>
  <c r="CO150" i="19"/>
  <c r="CN150" i="19"/>
  <c r="CM150" i="19"/>
  <c r="CL150" i="19"/>
  <c r="CK150" i="19"/>
  <c r="CJ150" i="19"/>
  <c r="CI150" i="19"/>
  <c r="CH150" i="19"/>
  <c r="CG150" i="19"/>
  <c r="CF150" i="19"/>
  <c r="CE150" i="19"/>
  <c r="CO149" i="19"/>
  <c r="CN149" i="19"/>
  <c r="CM149" i="19"/>
  <c r="CL149" i="19"/>
  <c r="CK149" i="19"/>
  <c r="CJ149" i="19"/>
  <c r="CI149" i="19"/>
  <c r="CH149" i="19"/>
  <c r="CG149" i="19"/>
  <c r="CF149" i="19"/>
  <c r="CE149" i="19"/>
  <c r="CO148" i="19"/>
  <c r="CN148" i="19"/>
  <c r="CM148" i="19"/>
  <c r="CL148" i="19"/>
  <c r="CK148" i="19"/>
  <c r="CJ148" i="19"/>
  <c r="CI148" i="19"/>
  <c r="CH148" i="19"/>
  <c r="CG148" i="19"/>
  <c r="CF148" i="19"/>
  <c r="CE148" i="19"/>
  <c r="CO147" i="19"/>
  <c r="CN147" i="19"/>
  <c r="CM147" i="19"/>
  <c r="CL147" i="19"/>
  <c r="CK147" i="19"/>
  <c r="CJ147" i="19"/>
  <c r="CI147" i="19"/>
  <c r="CH147" i="19"/>
  <c r="CG147" i="19"/>
  <c r="CF147" i="19"/>
  <c r="CE147" i="19"/>
  <c r="CO146" i="19"/>
  <c r="CN146" i="19"/>
  <c r="CM146" i="19"/>
  <c r="CL146" i="19"/>
  <c r="CK146" i="19"/>
  <c r="CJ146" i="19"/>
  <c r="CI146" i="19"/>
  <c r="CH146" i="19"/>
  <c r="CG146" i="19"/>
  <c r="CF146" i="19"/>
  <c r="CE146" i="19"/>
  <c r="CO145" i="19"/>
  <c r="CN145" i="19"/>
  <c r="CM145" i="19"/>
  <c r="CL145" i="19"/>
  <c r="CK145" i="19"/>
  <c r="CJ145" i="19"/>
  <c r="CI145" i="19"/>
  <c r="CH145" i="19"/>
  <c r="CG145" i="19"/>
  <c r="CF145" i="19"/>
  <c r="CE145" i="19"/>
  <c r="CO144" i="19"/>
  <c r="CN144" i="19"/>
  <c r="CM144" i="19"/>
  <c r="CL144" i="19"/>
  <c r="CK144" i="19"/>
  <c r="CJ144" i="19"/>
  <c r="CI144" i="19"/>
  <c r="CH144" i="19"/>
  <c r="CG144" i="19"/>
  <c r="CF144" i="19"/>
  <c r="CE144" i="19"/>
  <c r="CO143" i="19"/>
  <c r="CN143" i="19"/>
  <c r="CM143" i="19"/>
  <c r="CL143" i="19"/>
  <c r="CK143" i="19"/>
  <c r="CJ143" i="19"/>
  <c r="CI143" i="19"/>
  <c r="CH143" i="19"/>
  <c r="CG143" i="19"/>
  <c r="CF143" i="19"/>
  <c r="CE143" i="19"/>
  <c r="CO142" i="19"/>
  <c r="CN142" i="19"/>
  <c r="CM142" i="19"/>
  <c r="CL142" i="19"/>
  <c r="CK142" i="19"/>
  <c r="CJ142" i="19"/>
  <c r="CI142" i="19"/>
  <c r="CH142" i="19"/>
  <c r="CG142" i="19"/>
  <c r="CF142" i="19"/>
  <c r="CE142" i="19"/>
  <c r="CO141" i="19"/>
  <c r="CN141" i="19"/>
  <c r="CM141" i="19"/>
  <c r="CL141" i="19"/>
  <c r="CK141" i="19"/>
  <c r="CJ141" i="19"/>
  <c r="CI141" i="19"/>
  <c r="CH141" i="19"/>
  <c r="CG141" i="19"/>
  <c r="CF141" i="19"/>
  <c r="CE141" i="19"/>
  <c r="CO140" i="19"/>
  <c r="CN140" i="19"/>
  <c r="CM140" i="19"/>
  <c r="CL140" i="19"/>
  <c r="CK140" i="19"/>
  <c r="CJ140" i="19"/>
  <c r="CI140" i="19"/>
  <c r="CH140" i="19"/>
  <c r="CG140" i="19"/>
  <c r="CF140" i="19"/>
  <c r="CE140" i="19"/>
  <c r="CO139" i="19"/>
  <c r="CN139" i="19"/>
  <c r="CM139" i="19"/>
  <c r="CL139" i="19"/>
  <c r="CK139" i="19"/>
  <c r="CJ139" i="19"/>
  <c r="CI139" i="19"/>
  <c r="CH139" i="19"/>
  <c r="CG139" i="19"/>
  <c r="CF139" i="19"/>
  <c r="CE139" i="19"/>
  <c r="CO138" i="19"/>
  <c r="CN138" i="19"/>
  <c r="CM138" i="19"/>
  <c r="CL138" i="19"/>
  <c r="CK138" i="19"/>
  <c r="CJ138" i="19"/>
  <c r="CI138" i="19"/>
  <c r="CH138" i="19"/>
  <c r="CG138" i="19"/>
  <c r="CF138" i="19"/>
  <c r="CE138" i="19"/>
  <c r="CO137" i="19"/>
  <c r="CN137" i="19"/>
  <c r="CM137" i="19"/>
  <c r="CL137" i="19"/>
  <c r="CK137" i="19"/>
  <c r="CJ137" i="19"/>
  <c r="CI137" i="19"/>
  <c r="CH137" i="19"/>
  <c r="CG137" i="19"/>
  <c r="CF137" i="19"/>
  <c r="CE137" i="19"/>
  <c r="CO136" i="19"/>
  <c r="CN136" i="19"/>
  <c r="CM136" i="19"/>
  <c r="CL136" i="19"/>
  <c r="CK136" i="19"/>
  <c r="CJ136" i="19"/>
  <c r="CI136" i="19"/>
  <c r="CH136" i="19"/>
  <c r="CG136" i="19"/>
  <c r="CF136" i="19"/>
  <c r="CE136" i="19"/>
  <c r="CO135" i="19"/>
  <c r="CN135" i="19"/>
  <c r="CM135" i="19"/>
  <c r="CL135" i="19"/>
  <c r="CK135" i="19"/>
  <c r="CJ135" i="19"/>
  <c r="CI135" i="19"/>
  <c r="CH135" i="19"/>
  <c r="CG135" i="19"/>
  <c r="CF135" i="19"/>
  <c r="CE135" i="19"/>
  <c r="CO134" i="19"/>
  <c r="CN134" i="19"/>
  <c r="CM134" i="19"/>
  <c r="CL134" i="19"/>
  <c r="CK134" i="19"/>
  <c r="CJ134" i="19"/>
  <c r="CI134" i="19"/>
  <c r="CH134" i="19"/>
  <c r="CG134" i="19"/>
  <c r="CF134" i="19"/>
  <c r="CE134" i="19"/>
  <c r="CO133" i="19"/>
  <c r="CN133" i="19"/>
  <c r="CM133" i="19"/>
  <c r="CL133" i="19"/>
  <c r="CK133" i="19"/>
  <c r="CJ133" i="19"/>
  <c r="CI133" i="19"/>
  <c r="CH133" i="19"/>
  <c r="CG133" i="19"/>
  <c r="CF133" i="19"/>
  <c r="CE133" i="19"/>
  <c r="CO132" i="19"/>
  <c r="CN132" i="19"/>
  <c r="CM132" i="19"/>
  <c r="CL132" i="19"/>
  <c r="CK132" i="19"/>
  <c r="CJ132" i="19"/>
  <c r="CI132" i="19"/>
  <c r="CH132" i="19"/>
  <c r="CG132" i="19"/>
  <c r="CF132" i="19"/>
  <c r="CE132" i="19"/>
  <c r="CO131" i="19"/>
  <c r="CN131" i="19"/>
  <c r="CM131" i="19"/>
  <c r="CL131" i="19"/>
  <c r="CK131" i="19"/>
  <c r="CJ131" i="19"/>
  <c r="CI131" i="19"/>
  <c r="CH131" i="19"/>
  <c r="CG131" i="19"/>
  <c r="CF131" i="19"/>
  <c r="CE131" i="19"/>
  <c r="CO130" i="19"/>
  <c r="CN130" i="19"/>
  <c r="CM130" i="19"/>
  <c r="CL130" i="19"/>
  <c r="CK130" i="19"/>
  <c r="CJ130" i="19"/>
  <c r="CI130" i="19"/>
  <c r="CH130" i="19"/>
  <c r="CG130" i="19"/>
  <c r="CF130" i="19"/>
  <c r="CE130" i="19"/>
  <c r="CO129" i="19"/>
  <c r="CN129" i="19"/>
  <c r="CM129" i="19"/>
  <c r="CL129" i="19"/>
  <c r="CK129" i="19"/>
  <c r="CJ129" i="19"/>
  <c r="CI129" i="19"/>
  <c r="CH129" i="19"/>
  <c r="CG129" i="19"/>
  <c r="CF129" i="19"/>
  <c r="CE129" i="19"/>
  <c r="CO128" i="19"/>
  <c r="CN128" i="19"/>
  <c r="CM128" i="19"/>
  <c r="CL128" i="19"/>
  <c r="CK128" i="19"/>
  <c r="CJ128" i="19"/>
  <c r="CI128" i="19"/>
  <c r="CH128" i="19"/>
  <c r="CG128" i="19"/>
  <c r="CF128" i="19"/>
  <c r="CE128" i="19"/>
  <c r="CO127" i="19"/>
  <c r="CN127" i="19"/>
  <c r="CM127" i="19"/>
  <c r="CL127" i="19"/>
  <c r="CK127" i="19"/>
  <c r="CJ127" i="19"/>
  <c r="CI127" i="19"/>
  <c r="CH127" i="19"/>
  <c r="CG127" i="19"/>
  <c r="CF127" i="19"/>
  <c r="CE127" i="19"/>
  <c r="CO126" i="19"/>
  <c r="CN126" i="19"/>
  <c r="CM126" i="19"/>
  <c r="CL126" i="19"/>
  <c r="CK126" i="19"/>
  <c r="CJ126" i="19"/>
  <c r="CI126" i="19"/>
  <c r="CH126" i="19"/>
  <c r="CG126" i="19"/>
  <c r="CF126" i="19"/>
  <c r="CE126" i="19"/>
  <c r="CO125" i="19"/>
  <c r="CN125" i="19"/>
  <c r="CM125" i="19"/>
  <c r="CL125" i="19"/>
  <c r="CK125" i="19"/>
  <c r="CJ125" i="19"/>
  <c r="CI125" i="19"/>
  <c r="CH125" i="19"/>
  <c r="CG125" i="19"/>
  <c r="CF125" i="19"/>
  <c r="CE125" i="19"/>
  <c r="CO124" i="19"/>
  <c r="CN124" i="19"/>
  <c r="CM124" i="19"/>
  <c r="CL124" i="19"/>
  <c r="CK124" i="19"/>
  <c r="CJ124" i="19"/>
  <c r="CI124" i="19"/>
  <c r="CH124" i="19"/>
  <c r="CG124" i="19"/>
  <c r="CF124" i="19"/>
  <c r="CE124" i="19"/>
  <c r="CO123" i="19"/>
  <c r="CN123" i="19"/>
  <c r="CM123" i="19"/>
  <c r="CL123" i="19"/>
  <c r="CK123" i="19"/>
  <c r="CJ123" i="19"/>
  <c r="CI123" i="19"/>
  <c r="CH123" i="19"/>
  <c r="CG123" i="19"/>
  <c r="CF123" i="19"/>
  <c r="CE123" i="19"/>
  <c r="CO122" i="19"/>
  <c r="CN122" i="19"/>
  <c r="CM122" i="19"/>
  <c r="CL122" i="19"/>
  <c r="CK122" i="19"/>
  <c r="CJ122" i="19"/>
  <c r="CI122" i="19"/>
  <c r="CH122" i="19"/>
  <c r="CG122" i="19"/>
  <c r="CF122" i="19"/>
  <c r="CE122" i="19"/>
  <c r="CO121" i="19"/>
  <c r="CN121" i="19"/>
  <c r="CM121" i="19"/>
  <c r="CL121" i="19"/>
  <c r="CK121" i="19"/>
  <c r="CJ121" i="19"/>
  <c r="CI121" i="19"/>
  <c r="CH121" i="19"/>
  <c r="CG121" i="19"/>
  <c r="CF121" i="19"/>
  <c r="CE121" i="19"/>
  <c r="CO120" i="19"/>
  <c r="CN120" i="19"/>
  <c r="CM120" i="19"/>
  <c r="CL120" i="19"/>
  <c r="CK120" i="19"/>
  <c r="CJ120" i="19"/>
  <c r="CI120" i="19"/>
  <c r="CH120" i="19"/>
  <c r="CG120" i="19"/>
  <c r="CF120" i="19"/>
  <c r="CE120" i="19"/>
  <c r="CO119" i="19"/>
  <c r="CN119" i="19"/>
  <c r="CM119" i="19"/>
  <c r="CL119" i="19"/>
  <c r="CK119" i="19"/>
  <c r="CJ119" i="19"/>
  <c r="CI119" i="19"/>
  <c r="CH119" i="19"/>
  <c r="CG119" i="19"/>
  <c r="CF119" i="19"/>
  <c r="CE119" i="19"/>
  <c r="CO118" i="19"/>
  <c r="CN118" i="19"/>
  <c r="CM118" i="19"/>
  <c r="CL118" i="19"/>
  <c r="CK118" i="19"/>
  <c r="CJ118" i="19"/>
  <c r="CI118" i="19"/>
  <c r="CH118" i="19"/>
  <c r="CG118" i="19"/>
  <c r="CF118" i="19"/>
  <c r="CE118" i="19"/>
  <c r="CO117" i="19"/>
  <c r="CN117" i="19"/>
  <c r="CM117" i="19"/>
  <c r="CL117" i="19"/>
  <c r="CK117" i="19"/>
  <c r="CJ117" i="19"/>
  <c r="CI117" i="19"/>
  <c r="CH117" i="19"/>
  <c r="CG117" i="19"/>
  <c r="CF117" i="19"/>
  <c r="CE117" i="19"/>
  <c r="CO116" i="19"/>
  <c r="CN116" i="19"/>
  <c r="CM116" i="19"/>
  <c r="CL116" i="19"/>
  <c r="CK116" i="19"/>
  <c r="CJ116" i="19"/>
  <c r="CI116" i="19"/>
  <c r="CH116" i="19"/>
  <c r="CG116" i="19"/>
  <c r="CF116" i="19"/>
  <c r="CE116" i="19"/>
  <c r="CO115" i="19"/>
  <c r="CN115" i="19"/>
  <c r="CM115" i="19"/>
  <c r="CL115" i="19"/>
  <c r="CK115" i="19"/>
  <c r="CJ115" i="19"/>
  <c r="CI115" i="19"/>
  <c r="CH115" i="19"/>
  <c r="CG115" i="19"/>
  <c r="CF115" i="19"/>
  <c r="CE115" i="19"/>
  <c r="CO114" i="19"/>
  <c r="CN114" i="19"/>
  <c r="CM114" i="19"/>
  <c r="CL114" i="19"/>
  <c r="CK114" i="19"/>
  <c r="CJ114" i="19"/>
  <c r="CI114" i="19"/>
  <c r="CH114" i="19"/>
  <c r="CG114" i="19"/>
  <c r="CF114" i="19"/>
  <c r="CE114" i="19"/>
  <c r="CO113" i="19"/>
  <c r="CN113" i="19"/>
  <c r="CM113" i="19"/>
  <c r="CL113" i="19"/>
  <c r="CK113" i="19"/>
  <c r="CJ113" i="19"/>
  <c r="CI113" i="19"/>
  <c r="CH113" i="19"/>
  <c r="CG113" i="19"/>
  <c r="CF113" i="19"/>
  <c r="CE113" i="19"/>
  <c r="CO112" i="19"/>
  <c r="CN112" i="19"/>
  <c r="CM112" i="19"/>
  <c r="CL112" i="19"/>
  <c r="CK112" i="19"/>
  <c r="CJ112" i="19"/>
  <c r="CI112" i="19"/>
  <c r="CH112" i="19"/>
  <c r="CG112" i="19"/>
  <c r="CF112" i="19"/>
  <c r="CE112" i="19"/>
  <c r="CO111" i="19"/>
  <c r="CN111" i="19"/>
  <c r="CM111" i="19"/>
  <c r="CL111" i="19"/>
  <c r="CK111" i="19"/>
  <c r="CJ111" i="19"/>
  <c r="CI111" i="19"/>
  <c r="CH111" i="19"/>
  <c r="CG111" i="19"/>
  <c r="CF111" i="19"/>
  <c r="CE111" i="19"/>
  <c r="CO110" i="19"/>
  <c r="CN110" i="19"/>
  <c r="CM110" i="19"/>
  <c r="CL110" i="19"/>
  <c r="CK110" i="19"/>
  <c r="CJ110" i="19"/>
  <c r="CI110" i="19"/>
  <c r="CH110" i="19"/>
  <c r="CG110" i="19"/>
  <c r="CF110" i="19"/>
  <c r="CE110" i="19"/>
  <c r="CO109" i="19"/>
  <c r="CN109" i="19"/>
  <c r="CM109" i="19"/>
  <c r="CL109" i="19"/>
  <c r="CK109" i="19"/>
  <c r="CJ109" i="19"/>
  <c r="CI109" i="19"/>
  <c r="CH109" i="19"/>
  <c r="CG109" i="19"/>
  <c r="CF109" i="19"/>
  <c r="CE109" i="19"/>
  <c r="CO108" i="19"/>
  <c r="CN108" i="19"/>
  <c r="CM108" i="19"/>
  <c r="CL108" i="19"/>
  <c r="CK108" i="19"/>
  <c r="CJ108" i="19"/>
  <c r="CI108" i="19"/>
  <c r="CH108" i="19"/>
  <c r="CG108" i="19"/>
  <c r="CF108" i="19"/>
  <c r="CE108" i="19"/>
  <c r="CO107" i="19"/>
  <c r="CN107" i="19"/>
  <c r="CM107" i="19"/>
  <c r="CL107" i="19"/>
  <c r="CK107" i="19"/>
  <c r="CJ107" i="19"/>
  <c r="CI107" i="19"/>
  <c r="CH107" i="19"/>
  <c r="CG107" i="19"/>
  <c r="CF107" i="19"/>
  <c r="CE107" i="19"/>
  <c r="CO106" i="19"/>
  <c r="CN106" i="19"/>
  <c r="CM106" i="19"/>
  <c r="CL106" i="19"/>
  <c r="CK106" i="19"/>
  <c r="CJ106" i="19"/>
  <c r="CI106" i="19"/>
  <c r="CH106" i="19"/>
  <c r="CG106" i="19"/>
  <c r="CF106" i="19"/>
  <c r="CE106" i="19"/>
  <c r="CO105" i="19"/>
  <c r="CN105" i="19"/>
  <c r="CM105" i="19"/>
  <c r="CL105" i="19"/>
  <c r="CK105" i="19"/>
  <c r="CJ105" i="19"/>
  <c r="CI105" i="19"/>
  <c r="CH105" i="19"/>
  <c r="CG105" i="19"/>
  <c r="CF105" i="19"/>
  <c r="CE105" i="19"/>
  <c r="CO104" i="19"/>
  <c r="CN104" i="19"/>
  <c r="CM104" i="19"/>
  <c r="CL104" i="19"/>
  <c r="CK104" i="19"/>
  <c r="CJ104" i="19"/>
  <c r="CI104" i="19"/>
  <c r="CH104" i="19"/>
  <c r="CG104" i="19"/>
  <c r="CF104" i="19"/>
  <c r="CE104" i="19"/>
  <c r="CO103" i="19"/>
  <c r="CN103" i="19"/>
  <c r="CM103" i="19"/>
  <c r="CL103" i="19"/>
  <c r="CK103" i="19"/>
  <c r="CJ103" i="19"/>
  <c r="CI103" i="19"/>
  <c r="CH103" i="19"/>
  <c r="CG103" i="19"/>
  <c r="CF103" i="19"/>
  <c r="CE103" i="19"/>
  <c r="CO102" i="19"/>
  <c r="CN102" i="19"/>
  <c r="CM102" i="19"/>
  <c r="CL102" i="19"/>
  <c r="CK102" i="19"/>
  <c r="CJ102" i="19"/>
  <c r="CI102" i="19"/>
  <c r="CH102" i="19"/>
  <c r="CG102" i="19"/>
  <c r="CF102" i="19"/>
  <c r="CE102" i="19"/>
  <c r="CO101" i="19"/>
  <c r="CN101" i="19"/>
  <c r="CM101" i="19"/>
  <c r="CL101" i="19"/>
  <c r="CK101" i="19"/>
  <c r="CJ101" i="19"/>
  <c r="CI101" i="19"/>
  <c r="CH101" i="19"/>
  <c r="CG101" i="19"/>
  <c r="CF101" i="19"/>
  <c r="CE101" i="19"/>
  <c r="CO100" i="19"/>
  <c r="CN100" i="19"/>
  <c r="CM100" i="19"/>
  <c r="CL100" i="19"/>
  <c r="CK100" i="19"/>
  <c r="CJ100" i="19"/>
  <c r="CI100" i="19"/>
  <c r="CH100" i="19"/>
  <c r="CG100" i="19"/>
  <c r="CF100" i="19"/>
  <c r="CE100" i="19"/>
  <c r="CO99" i="19"/>
  <c r="CN99" i="19"/>
  <c r="CM99" i="19"/>
  <c r="CL99" i="19"/>
  <c r="CK99" i="19"/>
  <c r="CJ99" i="19"/>
  <c r="CI99" i="19"/>
  <c r="CH99" i="19"/>
  <c r="CG99" i="19"/>
  <c r="CF99" i="19"/>
  <c r="CE99" i="19"/>
  <c r="CO98" i="19"/>
  <c r="CN98" i="19"/>
  <c r="CM98" i="19"/>
  <c r="CL98" i="19"/>
  <c r="CK98" i="19"/>
  <c r="CJ98" i="19"/>
  <c r="CI98" i="19"/>
  <c r="CH98" i="19"/>
  <c r="CG98" i="19"/>
  <c r="CF98" i="19"/>
  <c r="CE98" i="19"/>
  <c r="CO97" i="19"/>
  <c r="CN97" i="19"/>
  <c r="CM97" i="19"/>
  <c r="CL97" i="19"/>
  <c r="CK97" i="19"/>
  <c r="CJ97" i="19"/>
  <c r="CI97" i="19"/>
  <c r="CH97" i="19"/>
  <c r="CG97" i="19"/>
  <c r="CF97" i="19"/>
  <c r="CE97" i="19"/>
  <c r="CO96" i="19"/>
  <c r="CN96" i="19"/>
  <c r="CM96" i="19"/>
  <c r="CL96" i="19"/>
  <c r="CK96" i="19"/>
  <c r="CJ96" i="19"/>
  <c r="CI96" i="19"/>
  <c r="CH96" i="19"/>
  <c r="CG96" i="19"/>
  <c r="CF96" i="19"/>
  <c r="CE96" i="19"/>
  <c r="CO95" i="19"/>
  <c r="CN95" i="19"/>
  <c r="CM95" i="19"/>
  <c r="CL95" i="19"/>
  <c r="CK95" i="19"/>
  <c r="CJ95" i="19"/>
  <c r="CI95" i="19"/>
  <c r="CH95" i="19"/>
  <c r="CG95" i="19"/>
  <c r="CF95" i="19"/>
  <c r="CE95" i="19"/>
  <c r="CO94" i="19"/>
  <c r="CN94" i="19"/>
  <c r="CM94" i="19"/>
  <c r="CL94" i="19"/>
  <c r="CK94" i="19"/>
  <c r="CJ94" i="19"/>
  <c r="CI94" i="19"/>
  <c r="CH94" i="19"/>
  <c r="CG94" i="19"/>
  <c r="CF94" i="19"/>
  <c r="CE94" i="19"/>
  <c r="CO93" i="19"/>
  <c r="CN93" i="19"/>
  <c r="CM93" i="19"/>
  <c r="CL93" i="19"/>
  <c r="CK93" i="19"/>
  <c r="CJ93" i="19"/>
  <c r="CI93" i="19"/>
  <c r="CH93" i="19"/>
  <c r="CG93" i="19"/>
  <c r="CF93" i="19"/>
  <c r="CE93" i="19"/>
  <c r="CO92" i="19"/>
  <c r="CN92" i="19"/>
  <c r="CM92" i="19"/>
  <c r="CL92" i="19"/>
  <c r="CK92" i="19"/>
  <c r="CJ92" i="19"/>
  <c r="CI92" i="19"/>
  <c r="CH92" i="19"/>
  <c r="CG92" i="19"/>
  <c r="CF92" i="19"/>
  <c r="CE92" i="19"/>
  <c r="CO91" i="19"/>
  <c r="CN91" i="19"/>
  <c r="CM91" i="19"/>
  <c r="CL91" i="19"/>
  <c r="CK91" i="19"/>
  <c r="CJ91" i="19"/>
  <c r="CI91" i="19"/>
  <c r="CH91" i="19"/>
  <c r="CG91" i="19"/>
  <c r="CF91" i="19"/>
  <c r="CE91" i="19"/>
  <c r="CO90" i="19"/>
  <c r="CN90" i="19"/>
  <c r="CM90" i="19"/>
  <c r="CL90" i="19"/>
  <c r="CK90" i="19"/>
  <c r="CJ90" i="19"/>
  <c r="CI90" i="19"/>
  <c r="CH90" i="19"/>
  <c r="CG90" i="19"/>
  <c r="CF90" i="19"/>
  <c r="CE90" i="19"/>
  <c r="CO89" i="19"/>
  <c r="CN89" i="19"/>
  <c r="CM89" i="19"/>
  <c r="CL89" i="19"/>
  <c r="CK89" i="19"/>
  <c r="CJ89" i="19"/>
  <c r="CI89" i="19"/>
  <c r="CH89" i="19"/>
  <c r="CG89" i="19"/>
  <c r="CF89" i="19"/>
  <c r="CE89" i="19"/>
  <c r="CO88" i="19"/>
  <c r="CN88" i="19"/>
  <c r="CM88" i="19"/>
  <c r="CL88" i="19"/>
  <c r="CK88" i="19"/>
  <c r="CJ88" i="19"/>
  <c r="CI88" i="19"/>
  <c r="CH88" i="19"/>
  <c r="CG88" i="19"/>
  <c r="CF88" i="19"/>
  <c r="CE88" i="19"/>
  <c r="CO87" i="19"/>
  <c r="CN87" i="19"/>
  <c r="CM87" i="19"/>
  <c r="CL87" i="19"/>
  <c r="CK87" i="19"/>
  <c r="CJ87" i="19"/>
  <c r="CI87" i="19"/>
  <c r="CH87" i="19"/>
  <c r="CG87" i="19"/>
  <c r="CF87" i="19"/>
  <c r="CE87" i="19"/>
  <c r="CO86" i="19"/>
  <c r="CN86" i="19"/>
  <c r="CM86" i="19"/>
  <c r="CL86" i="19"/>
  <c r="CK86" i="19"/>
  <c r="CJ86" i="19"/>
  <c r="CI86" i="19"/>
  <c r="CH86" i="19"/>
  <c r="CG86" i="19"/>
  <c r="CF86" i="19"/>
  <c r="CE86" i="19"/>
  <c r="CO85" i="19"/>
  <c r="CN85" i="19"/>
  <c r="CM85" i="19"/>
  <c r="CL85" i="19"/>
  <c r="CK85" i="19"/>
  <c r="CJ85" i="19"/>
  <c r="CI85" i="19"/>
  <c r="CH85" i="19"/>
  <c r="CG85" i="19"/>
  <c r="CF85" i="19"/>
  <c r="CE85" i="19"/>
  <c r="CO84" i="19"/>
  <c r="CN84" i="19"/>
  <c r="CM84" i="19"/>
  <c r="CL84" i="19"/>
  <c r="CK84" i="19"/>
  <c r="CJ84" i="19"/>
  <c r="CI84" i="19"/>
  <c r="CH84" i="19"/>
  <c r="CG84" i="19"/>
  <c r="CF84" i="19"/>
  <c r="CE84" i="19"/>
  <c r="CO83" i="19"/>
  <c r="CN83" i="19"/>
  <c r="CM83" i="19"/>
  <c r="CL83" i="19"/>
  <c r="CK83" i="19"/>
  <c r="CJ83" i="19"/>
  <c r="CI83" i="19"/>
  <c r="CH83" i="19"/>
  <c r="CG83" i="19"/>
  <c r="CF83" i="19"/>
  <c r="CE83" i="19"/>
  <c r="CO82" i="19"/>
  <c r="CN82" i="19"/>
  <c r="CM82" i="19"/>
  <c r="CL82" i="19"/>
  <c r="CK82" i="19"/>
  <c r="CJ82" i="19"/>
  <c r="CI82" i="19"/>
  <c r="CH82" i="19"/>
  <c r="CG82" i="19"/>
  <c r="CF82" i="19"/>
  <c r="CE82" i="19"/>
  <c r="CO81" i="19"/>
  <c r="CN81" i="19"/>
  <c r="CM81" i="19"/>
  <c r="CL81" i="19"/>
  <c r="CK81" i="19"/>
  <c r="CJ81" i="19"/>
  <c r="CI81" i="19"/>
  <c r="CH81" i="19"/>
  <c r="CG81" i="19"/>
  <c r="CF81" i="19"/>
  <c r="CE81" i="19"/>
  <c r="CO80" i="19"/>
  <c r="CN80" i="19"/>
  <c r="CM80" i="19"/>
  <c r="CL80" i="19"/>
  <c r="CK80" i="19"/>
  <c r="CJ80" i="19"/>
  <c r="CI80" i="19"/>
  <c r="CH80" i="19"/>
  <c r="CG80" i="19"/>
  <c r="CF80" i="19"/>
  <c r="CE80" i="19"/>
  <c r="CO79" i="19"/>
  <c r="CN79" i="19"/>
  <c r="CM79" i="19"/>
  <c r="CL79" i="19"/>
  <c r="CK79" i="19"/>
  <c r="CJ79" i="19"/>
  <c r="CI79" i="19"/>
  <c r="CH79" i="19"/>
  <c r="CG79" i="19"/>
  <c r="CF79" i="19"/>
  <c r="CE79" i="19"/>
  <c r="CO78" i="19"/>
  <c r="CN78" i="19"/>
  <c r="CM78" i="19"/>
  <c r="CL78" i="19"/>
  <c r="CK78" i="19"/>
  <c r="CJ78" i="19"/>
  <c r="CI78" i="19"/>
  <c r="CH78" i="19"/>
  <c r="CG78" i="19"/>
  <c r="CF78" i="19"/>
  <c r="CE78" i="19"/>
  <c r="CO77" i="19"/>
  <c r="CN77" i="19"/>
  <c r="CM77" i="19"/>
  <c r="CL77" i="19"/>
  <c r="CK77" i="19"/>
  <c r="CJ77" i="19"/>
  <c r="CI77" i="19"/>
  <c r="CH77" i="19"/>
  <c r="CG77" i="19"/>
  <c r="CF77" i="19"/>
  <c r="CE77" i="19"/>
  <c r="CO76" i="19"/>
  <c r="CN76" i="19"/>
  <c r="CM76" i="19"/>
  <c r="CL76" i="19"/>
  <c r="CK76" i="19"/>
  <c r="CJ76" i="19"/>
  <c r="CI76" i="19"/>
  <c r="CH76" i="19"/>
  <c r="CG76" i="19"/>
  <c r="CF76" i="19"/>
  <c r="CE76" i="19"/>
  <c r="CO75" i="19"/>
  <c r="CN75" i="19"/>
  <c r="CM75" i="19"/>
  <c r="CL75" i="19"/>
  <c r="CK75" i="19"/>
  <c r="CJ75" i="19"/>
  <c r="CI75" i="19"/>
  <c r="CH75" i="19"/>
  <c r="CG75" i="19"/>
  <c r="CF75" i="19"/>
  <c r="CE75" i="19"/>
  <c r="CO74" i="19"/>
  <c r="CN74" i="19"/>
  <c r="CM74" i="19"/>
  <c r="CL74" i="19"/>
  <c r="CK74" i="19"/>
  <c r="CJ74" i="19"/>
  <c r="CI74" i="19"/>
  <c r="CH74" i="19"/>
  <c r="CG74" i="19"/>
  <c r="CF74" i="19"/>
  <c r="CE74" i="19"/>
  <c r="CO73" i="19"/>
  <c r="CN73" i="19"/>
  <c r="CM73" i="19"/>
  <c r="CL73" i="19"/>
  <c r="CK73" i="19"/>
  <c r="CJ73" i="19"/>
  <c r="CI73" i="19"/>
  <c r="CH73" i="19"/>
  <c r="CG73" i="19"/>
  <c r="CF73" i="19"/>
  <c r="CE73" i="19"/>
  <c r="CO72" i="19"/>
  <c r="CN72" i="19"/>
  <c r="CM72" i="19"/>
  <c r="CL72" i="19"/>
  <c r="CK72" i="19"/>
  <c r="CJ72" i="19"/>
  <c r="CI72" i="19"/>
  <c r="CH72" i="19"/>
  <c r="CG72" i="19"/>
  <c r="CF72" i="19"/>
  <c r="CE72" i="19"/>
  <c r="CO71" i="19"/>
  <c r="CN71" i="19"/>
  <c r="CM71" i="19"/>
  <c r="CL71" i="19"/>
  <c r="CK71" i="19"/>
  <c r="CJ71" i="19"/>
  <c r="CI71" i="19"/>
  <c r="CH71" i="19"/>
  <c r="CG71" i="19"/>
  <c r="CF71" i="19"/>
  <c r="CE71" i="19"/>
  <c r="CO70" i="19"/>
  <c r="CN70" i="19"/>
  <c r="CM70" i="19"/>
  <c r="CL70" i="19"/>
  <c r="CK70" i="19"/>
  <c r="CJ70" i="19"/>
  <c r="CI70" i="19"/>
  <c r="CH70" i="19"/>
  <c r="CG70" i="19"/>
  <c r="CF70" i="19"/>
  <c r="CE70" i="19"/>
  <c r="CO69" i="19"/>
  <c r="CN69" i="19"/>
  <c r="CM69" i="19"/>
  <c r="CL69" i="19"/>
  <c r="CK69" i="19"/>
  <c r="CJ69" i="19"/>
  <c r="CI69" i="19"/>
  <c r="CH69" i="19"/>
  <c r="CG69" i="19"/>
  <c r="CF69" i="19"/>
  <c r="CE69" i="19"/>
  <c r="CO68" i="19"/>
  <c r="CN68" i="19"/>
  <c r="CM68" i="19"/>
  <c r="CL68" i="19"/>
  <c r="CK68" i="19"/>
  <c r="CJ68" i="19"/>
  <c r="CI68" i="19"/>
  <c r="CH68" i="19"/>
  <c r="CG68" i="19"/>
  <c r="CF68" i="19"/>
  <c r="CE68" i="19"/>
  <c r="CO67" i="19"/>
  <c r="CN67" i="19"/>
  <c r="CM67" i="19"/>
  <c r="CL67" i="19"/>
  <c r="CK67" i="19"/>
  <c r="CJ67" i="19"/>
  <c r="CI67" i="19"/>
  <c r="CH67" i="19"/>
  <c r="CG67" i="19"/>
  <c r="CF67" i="19"/>
  <c r="CE67" i="19"/>
  <c r="CO66" i="19"/>
  <c r="CN66" i="19"/>
  <c r="CM66" i="19"/>
  <c r="CL66" i="19"/>
  <c r="CK66" i="19"/>
  <c r="CJ66" i="19"/>
  <c r="CI66" i="19"/>
  <c r="CH66" i="19"/>
  <c r="CG66" i="19"/>
  <c r="CF66" i="19"/>
  <c r="CE66" i="19"/>
  <c r="CO65" i="19"/>
  <c r="CN65" i="19"/>
  <c r="CM65" i="19"/>
  <c r="CL65" i="19"/>
  <c r="CK65" i="19"/>
  <c r="CJ65" i="19"/>
  <c r="CI65" i="19"/>
  <c r="CH65" i="19"/>
  <c r="CG65" i="19"/>
  <c r="CF65" i="19"/>
  <c r="CE65" i="19"/>
  <c r="CO64" i="19"/>
  <c r="CN64" i="19"/>
  <c r="CM64" i="19"/>
  <c r="CL64" i="19"/>
  <c r="CK64" i="19"/>
  <c r="CJ64" i="19"/>
  <c r="CI64" i="19"/>
  <c r="CH64" i="19"/>
  <c r="CG64" i="19"/>
  <c r="CF64" i="19"/>
  <c r="CE64" i="19"/>
  <c r="CO63" i="19"/>
  <c r="CN63" i="19"/>
  <c r="CM63" i="19"/>
  <c r="CL63" i="19"/>
  <c r="CK63" i="19"/>
  <c r="CJ63" i="19"/>
  <c r="CI63" i="19"/>
  <c r="CH63" i="19"/>
  <c r="CG63" i="19"/>
  <c r="CF63" i="19"/>
  <c r="CE63" i="19"/>
  <c r="CO62" i="19"/>
  <c r="CN62" i="19"/>
  <c r="CM62" i="19"/>
  <c r="CL62" i="19"/>
  <c r="CK62" i="19"/>
  <c r="CJ62" i="19"/>
  <c r="CI62" i="19"/>
  <c r="CH62" i="19"/>
  <c r="CG62" i="19"/>
  <c r="CF62" i="19"/>
  <c r="CE62" i="19"/>
  <c r="CO61" i="19"/>
  <c r="CN61" i="19"/>
  <c r="CM61" i="19"/>
  <c r="CL61" i="19"/>
  <c r="CK61" i="19"/>
  <c r="CJ61" i="19"/>
  <c r="CI61" i="19"/>
  <c r="CH61" i="19"/>
  <c r="CG61" i="19"/>
  <c r="CF61" i="19"/>
  <c r="CE61" i="19"/>
  <c r="CO60" i="19"/>
  <c r="CN60" i="19"/>
  <c r="CM60" i="19"/>
  <c r="CL60" i="19"/>
  <c r="CK60" i="19"/>
  <c r="CJ60" i="19"/>
  <c r="CI60" i="19"/>
  <c r="CH60" i="19"/>
  <c r="CG60" i="19"/>
  <c r="CF60" i="19"/>
  <c r="CE60" i="19"/>
  <c r="CO59" i="19"/>
  <c r="CN59" i="19"/>
  <c r="CM59" i="19"/>
  <c r="CL59" i="19"/>
  <c r="CK59" i="19"/>
  <c r="CJ59" i="19"/>
  <c r="CI59" i="19"/>
  <c r="CH59" i="19"/>
  <c r="CG59" i="19"/>
  <c r="CF59" i="19"/>
  <c r="CE59" i="19"/>
  <c r="CO58" i="19"/>
  <c r="CN58" i="19"/>
  <c r="CM58" i="19"/>
  <c r="CL58" i="19"/>
  <c r="CK58" i="19"/>
  <c r="CJ58" i="19"/>
  <c r="CI58" i="19"/>
  <c r="CH58" i="19"/>
  <c r="CG58" i="19"/>
  <c r="CF58" i="19"/>
  <c r="CE58" i="19"/>
  <c r="CO57" i="19"/>
  <c r="CN57" i="19"/>
  <c r="CM57" i="19"/>
  <c r="CL57" i="19"/>
  <c r="CK57" i="19"/>
  <c r="CJ57" i="19"/>
  <c r="CI57" i="19"/>
  <c r="CH57" i="19"/>
  <c r="CG57" i="19"/>
  <c r="CF57" i="19"/>
  <c r="CE57" i="19"/>
  <c r="CO56" i="19"/>
  <c r="CN56" i="19"/>
  <c r="CM56" i="19"/>
  <c r="CL56" i="19"/>
  <c r="CK56" i="19"/>
  <c r="CJ56" i="19"/>
  <c r="CI56" i="19"/>
  <c r="CH56" i="19"/>
  <c r="CG56" i="19"/>
  <c r="CF56" i="19"/>
  <c r="CE56" i="19"/>
  <c r="CO55" i="19"/>
  <c r="CN55" i="19"/>
  <c r="CM55" i="19"/>
  <c r="CL55" i="19"/>
  <c r="CK55" i="19"/>
  <c r="CJ55" i="19"/>
  <c r="CI55" i="19"/>
  <c r="CH55" i="19"/>
  <c r="CG55" i="19"/>
  <c r="CF55" i="19"/>
  <c r="CE55" i="19"/>
  <c r="CO54" i="19"/>
  <c r="CN54" i="19"/>
  <c r="CM54" i="19"/>
  <c r="CL54" i="19"/>
  <c r="CK54" i="19"/>
  <c r="CJ54" i="19"/>
  <c r="CI54" i="19"/>
  <c r="CH54" i="19"/>
  <c r="CG54" i="19"/>
  <c r="CF54" i="19"/>
  <c r="CE54" i="19"/>
  <c r="CO53" i="19"/>
  <c r="CN53" i="19"/>
  <c r="CM53" i="19"/>
  <c r="CL53" i="19"/>
  <c r="CK53" i="19"/>
  <c r="CJ53" i="19"/>
  <c r="CI53" i="19"/>
  <c r="CH53" i="19"/>
  <c r="CG53" i="19"/>
  <c r="CF53" i="19"/>
  <c r="CE53" i="19"/>
  <c r="CO52" i="19"/>
  <c r="CN52" i="19"/>
  <c r="CM52" i="19"/>
  <c r="CL52" i="19"/>
  <c r="CK52" i="19"/>
  <c r="CJ52" i="19"/>
  <c r="CI52" i="19"/>
  <c r="CH52" i="19"/>
  <c r="CG52" i="19"/>
  <c r="CF52" i="19"/>
  <c r="CE52" i="19"/>
  <c r="CO51" i="19"/>
  <c r="CN51" i="19"/>
  <c r="CM51" i="19"/>
  <c r="CL51" i="19"/>
  <c r="CK51" i="19"/>
  <c r="CJ51" i="19"/>
  <c r="CI51" i="19"/>
  <c r="CH51" i="19"/>
  <c r="CG51" i="19"/>
  <c r="CF51" i="19"/>
  <c r="CE51" i="19"/>
  <c r="CO50" i="19"/>
  <c r="CN50" i="19"/>
  <c r="CM50" i="19"/>
  <c r="CL50" i="19"/>
  <c r="CK50" i="19"/>
  <c r="CJ50" i="19"/>
  <c r="CI50" i="19"/>
  <c r="CH50" i="19"/>
  <c r="CG50" i="19"/>
  <c r="CF50" i="19"/>
  <c r="CE50" i="19"/>
  <c r="CO49" i="19"/>
  <c r="CN49" i="19"/>
  <c r="CM49" i="19"/>
  <c r="CL49" i="19"/>
  <c r="CK49" i="19"/>
  <c r="CJ49" i="19"/>
  <c r="CI49" i="19"/>
  <c r="CH49" i="19"/>
  <c r="CG49" i="19"/>
  <c r="CF49" i="19"/>
  <c r="CE49" i="19"/>
  <c r="CO48" i="19"/>
  <c r="CN48" i="19"/>
  <c r="CM48" i="19"/>
  <c r="CL48" i="19"/>
  <c r="CK48" i="19"/>
  <c r="CJ48" i="19"/>
  <c r="CI48" i="19"/>
  <c r="CH48" i="19"/>
  <c r="CG48" i="19"/>
  <c r="CF48" i="19"/>
  <c r="CE48" i="19"/>
  <c r="CO47" i="19"/>
  <c r="CN47" i="19"/>
  <c r="CM47" i="19"/>
  <c r="CL47" i="19"/>
  <c r="CK47" i="19"/>
  <c r="CJ47" i="19"/>
  <c r="CI47" i="19"/>
  <c r="CH47" i="19"/>
  <c r="CG47" i="19"/>
  <c r="CF47" i="19"/>
  <c r="CE47" i="19"/>
  <c r="CO46" i="19"/>
  <c r="CN46" i="19"/>
  <c r="CM46" i="19"/>
  <c r="CL46" i="19"/>
  <c r="CK46" i="19"/>
  <c r="CJ46" i="19"/>
  <c r="CI46" i="19"/>
  <c r="CH46" i="19"/>
  <c r="CG46" i="19"/>
  <c r="CF46" i="19"/>
  <c r="CE46" i="19"/>
  <c r="CO45" i="19"/>
  <c r="CN45" i="19"/>
  <c r="CM45" i="19"/>
  <c r="CL45" i="19"/>
  <c r="CK45" i="19"/>
  <c r="CJ45" i="19"/>
  <c r="CI45" i="19"/>
  <c r="CH45" i="19"/>
  <c r="CG45" i="19"/>
  <c r="CF45" i="19"/>
  <c r="CE45" i="19"/>
  <c r="CO44" i="19"/>
  <c r="CN44" i="19"/>
  <c r="CM44" i="19"/>
  <c r="CL44" i="19"/>
  <c r="CK44" i="19"/>
  <c r="CJ44" i="19"/>
  <c r="CI44" i="19"/>
  <c r="CH44" i="19"/>
  <c r="CG44" i="19"/>
  <c r="CF44" i="19"/>
  <c r="CE44" i="19"/>
  <c r="CO43" i="19"/>
  <c r="CN43" i="19"/>
  <c r="CM43" i="19"/>
  <c r="CL43" i="19"/>
  <c r="CK43" i="19"/>
  <c r="CJ43" i="19"/>
  <c r="CI43" i="19"/>
  <c r="CH43" i="19"/>
  <c r="CG43" i="19"/>
  <c r="CF43" i="19"/>
  <c r="CE43" i="19"/>
  <c r="CO42" i="19"/>
  <c r="CN42" i="19"/>
  <c r="CM42" i="19"/>
  <c r="CL42" i="19"/>
  <c r="CK42" i="19"/>
  <c r="CJ42" i="19"/>
  <c r="CI42" i="19"/>
  <c r="CH42" i="19"/>
  <c r="CG42" i="19"/>
  <c r="CF42" i="19"/>
  <c r="CE42" i="19"/>
  <c r="CO41" i="19"/>
  <c r="CN41" i="19"/>
  <c r="CM41" i="19"/>
  <c r="CL41" i="19"/>
  <c r="CK41" i="19"/>
  <c r="CJ41" i="19"/>
  <c r="CI41" i="19"/>
  <c r="CH41" i="19"/>
  <c r="CG41" i="19"/>
  <c r="CF41" i="19"/>
  <c r="CE41" i="19"/>
  <c r="CO40" i="19"/>
  <c r="CN40" i="19"/>
  <c r="CM40" i="19"/>
  <c r="CL40" i="19"/>
  <c r="CK40" i="19"/>
  <c r="CJ40" i="19"/>
  <c r="CI40" i="19"/>
  <c r="CH40" i="19"/>
  <c r="CG40" i="19"/>
  <c r="CF40" i="19"/>
  <c r="CE40" i="19"/>
  <c r="CO39" i="19"/>
  <c r="CN39" i="19"/>
  <c r="CM39" i="19"/>
  <c r="CL39" i="19"/>
  <c r="CK39" i="19"/>
  <c r="CJ39" i="19"/>
  <c r="CI39" i="19"/>
  <c r="CH39" i="19"/>
  <c r="CG39" i="19"/>
  <c r="CF39" i="19"/>
  <c r="CE39" i="19"/>
  <c r="CO38" i="19"/>
  <c r="CN38" i="19"/>
  <c r="CM38" i="19"/>
  <c r="CL38" i="19"/>
  <c r="CK38" i="19"/>
  <c r="CJ38" i="19"/>
  <c r="CI38" i="19"/>
  <c r="CH38" i="19"/>
  <c r="CG38" i="19"/>
  <c r="CF38" i="19"/>
  <c r="CE38" i="19"/>
  <c r="CO37" i="19"/>
  <c r="CN37" i="19"/>
  <c r="CM37" i="19"/>
  <c r="CL37" i="19"/>
  <c r="CK37" i="19"/>
  <c r="CJ37" i="19"/>
  <c r="CI37" i="19"/>
  <c r="CH37" i="19"/>
  <c r="CG37" i="19"/>
  <c r="CF37" i="19"/>
  <c r="CE37" i="19"/>
  <c r="CO36" i="19"/>
  <c r="CN36" i="19"/>
  <c r="CM36" i="19"/>
  <c r="CL36" i="19"/>
  <c r="CK36" i="19"/>
  <c r="CJ36" i="19"/>
  <c r="CI36" i="19"/>
  <c r="CH36" i="19"/>
  <c r="CG36" i="19"/>
  <c r="CF36" i="19"/>
  <c r="CE36" i="19"/>
  <c r="CO35" i="19"/>
  <c r="CN35" i="19"/>
  <c r="CM35" i="19"/>
  <c r="CL35" i="19"/>
  <c r="CK35" i="19"/>
  <c r="CJ35" i="19"/>
  <c r="CI35" i="19"/>
  <c r="CH35" i="19"/>
  <c r="CG35" i="19"/>
  <c r="CF35" i="19"/>
  <c r="CE35" i="19"/>
  <c r="CO34" i="19"/>
  <c r="CN34" i="19"/>
  <c r="CM34" i="19"/>
  <c r="CL34" i="19"/>
  <c r="CK34" i="19"/>
  <c r="CJ34" i="19"/>
  <c r="CI34" i="19"/>
  <c r="CH34" i="19"/>
  <c r="CG34" i="19"/>
  <c r="CF34" i="19"/>
  <c r="CE34" i="19"/>
  <c r="CO33" i="19"/>
  <c r="CN33" i="19"/>
  <c r="CM33" i="19"/>
  <c r="CL33" i="19"/>
  <c r="CK33" i="19"/>
  <c r="CJ33" i="19"/>
  <c r="CI33" i="19"/>
  <c r="CH33" i="19"/>
  <c r="CG33" i="19"/>
  <c r="CF33" i="19"/>
  <c r="CE33" i="19"/>
  <c r="CO32" i="19"/>
  <c r="CN32" i="19"/>
  <c r="CM32" i="19"/>
  <c r="CL32" i="19"/>
  <c r="CK32" i="19"/>
  <c r="CJ32" i="19"/>
  <c r="CI32" i="19"/>
  <c r="CH32" i="19"/>
  <c r="CG32" i="19"/>
  <c r="CF32" i="19"/>
  <c r="CE32" i="19"/>
  <c r="CO31" i="19"/>
  <c r="CN31" i="19"/>
  <c r="CM31" i="19"/>
  <c r="CL31" i="19"/>
  <c r="CK31" i="19"/>
  <c r="CJ31" i="19"/>
  <c r="CI31" i="19"/>
  <c r="CH31" i="19"/>
  <c r="CG31" i="19"/>
  <c r="CF31" i="19"/>
  <c r="CE31" i="19"/>
  <c r="CO30" i="19"/>
  <c r="CN30" i="19"/>
  <c r="CM30" i="19"/>
  <c r="CL30" i="19"/>
  <c r="CK30" i="19"/>
  <c r="CJ30" i="19"/>
  <c r="CI30" i="19"/>
  <c r="CH30" i="19"/>
  <c r="CG30" i="19"/>
  <c r="CF30" i="19"/>
  <c r="CE30" i="19"/>
  <c r="CO29" i="19"/>
  <c r="CN29" i="19"/>
  <c r="CM29" i="19"/>
  <c r="CL29" i="19"/>
  <c r="CK29" i="19"/>
  <c r="CJ29" i="19"/>
  <c r="CI29" i="19"/>
  <c r="CH29" i="19"/>
  <c r="CG29" i="19"/>
  <c r="CF29" i="19"/>
  <c r="CE29" i="19"/>
  <c r="CO28" i="19"/>
  <c r="CN28" i="19"/>
  <c r="CM28" i="19"/>
  <c r="CL28" i="19"/>
  <c r="CK28" i="19"/>
  <c r="CJ28" i="19"/>
  <c r="CI28" i="19"/>
  <c r="CH28" i="19"/>
  <c r="CG28" i="19"/>
  <c r="CF28" i="19"/>
  <c r="CE28" i="19"/>
  <c r="CO27" i="19"/>
  <c r="CN27" i="19"/>
  <c r="CM27" i="19"/>
  <c r="CL27" i="19"/>
  <c r="CK27" i="19"/>
  <c r="CJ27" i="19"/>
  <c r="CI27" i="19"/>
  <c r="CH27" i="19"/>
  <c r="CG27" i="19"/>
  <c r="CF27" i="19"/>
  <c r="CE27" i="19"/>
  <c r="CO26" i="19"/>
  <c r="CN26" i="19"/>
  <c r="CM26" i="19"/>
  <c r="CL26" i="19"/>
  <c r="CK26" i="19"/>
  <c r="CJ26" i="19"/>
  <c r="CI26" i="19"/>
  <c r="CH26" i="19"/>
  <c r="CG26" i="19"/>
  <c r="CF26" i="19"/>
  <c r="CE26" i="19"/>
  <c r="CO25" i="19"/>
  <c r="CN25" i="19"/>
  <c r="CM25" i="19"/>
  <c r="CL25" i="19"/>
  <c r="CK25" i="19"/>
  <c r="CJ25" i="19"/>
  <c r="CI25" i="19"/>
  <c r="CH25" i="19"/>
  <c r="CG25" i="19"/>
  <c r="CF25" i="19"/>
  <c r="CE25" i="19"/>
  <c r="CO24" i="19"/>
  <c r="CN24" i="19"/>
  <c r="CM24" i="19"/>
  <c r="CL24" i="19"/>
  <c r="CK24" i="19"/>
  <c r="CJ24" i="19"/>
  <c r="CI24" i="19"/>
  <c r="CH24" i="19"/>
  <c r="CG24" i="19"/>
  <c r="CF24" i="19"/>
  <c r="CE24" i="19"/>
  <c r="CO23" i="19"/>
  <c r="CN23" i="19"/>
  <c r="CM23" i="19"/>
  <c r="CL23" i="19"/>
  <c r="CK23" i="19"/>
  <c r="CJ23" i="19"/>
  <c r="CI23" i="19"/>
  <c r="CH23" i="19"/>
  <c r="CG23" i="19"/>
  <c r="CF23" i="19"/>
  <c r="CE23" i="19"/>
  <c r="CO22" i="19"/>
  <c r="CN22" i="19"/>
  <c r="CM22" i="19"/>
  <c r="CL22" i="19"/>
  <c r="CK22" i="19"/>
  <c r="CJ22" i="19"/>
  <c r="CI22" i="19"/>
  <c r="CH22" i="19"/>
  <c r="CG22" i="19"/>
  <c r="CF22" i="19"/>
  <c r="CE22" i="19"/>
  <c r="CO21" i="19"/>
  <c r="CN21" i="19"/>
  <c r="CM21" i="19"/>
  <c r="CL21" i="19"/>
  <c r="CK21" i="19"/>
  <c r="CJ21" i="19"/>
  <c r="CI21" i="19"/>
  <c r="CH21" i="19"/>
  <c r="CG21" i="19"/>
  <c r="CF21" i="19"/>
  <c r="CE21" i="19"/>
  <c r="CO20" i="19"/>
  <c r="CN20" i="19"/>
  <c r="CM20" i="19"/>
  <c r="CL20" i="19"/>
  <c r="CK20" i="19"/>
  <c r="CJ20" i="19"/>
  <c r="CI20" i="19"/>
  <c r="CH20" i="19"/>
  <c r="CG20" i="19"/>
  <c r="CF20" i="19"/>
  <c r="CE20" i="19"/>
  <c r="CO19" i="19"/>
  <c r="CN19" i="19"/>
  <c r="CM19" i="19"/>
  <c r="CL19" i="19"/>
  <c r="CK19" i="19"/>
  <c r="CJ19" i="19"/>
  <c r="CI19" i="19"/>
  <c r="CH19" i="19"/>
  <c r="CG19" i="19"/>
  <c r="CF19" i="19"/>
  <c r="CE19" i="19"/>
  <c r="CO18" i="19"/>
  <c r="CN18" i="19"/>
  <c r="CM18" i="19"/>
  <c r="CL18" i="19"/>
  <c r="CK18" i="19"/>
  <c r="CJ18" i="19"/>
  <c r="CI18" i="19"/>
  <c r="CH18" i="19"/>
  <c r="CG18" i="19"/>
  <c r="CF18" i="19"/>
  <c r="CE18" i="19"/>
  <c r="CO17" i="19"/>
  <c r="CN17" i="19"/>
  <c r="CM17" i="19"/>
  <c r="CL17" i="19"/>
  <c r="CK17" i="19"/>
  <c r="CJ17" i="19"/>
  <c r="CI17" i="19"/>
  <c r="CH17" i="19"/>
  <c r="CG17" i="19"/>
  <c r="CF17" i="19"/>
  <c r="CE17" i="19"/>
  <c r="CO16" i="19"/>
  <c r="CN16" i="19"/>
  <c r="CM16" i="19"/>
  <c r="CL16" i="19"/>
  <c r="CK16" i="19"/>
  <c r="CJ16" i="19"/>
  <c r="CI16" i="19"/>
  <c r="CH16" i="19"/>
  <c r="CG16" i="19"/>
  <c r="CF16" i="19"/>
  <c r="CE16" i="19"/>
  <c r="CO15" i="19"/>
  <c r="CN15" i="19"/>
  <c r="CM15" i="19"/>
  <c r="CL15" i="19"/>
  <c r="CK15" i="19"/>
  <c r="CJ15" i="19"/>
  <c r="CI15" i="19"/>
  <c r="CH15" i="19"/>
  <c r="CG15" i="19"/>
  <c r="CF15" i="19"/>
  <c r="CE15" i="19"/>
  <c r="CO14" i="19"/>
  <c r="CN14" i="19"/>
  <c r="CM14" i="19"/>
  <c r="CL14" i="19"/>
  <c r="CK14" i="19"/>
  <c r="CJ14" i="19"/>
  <c r="CI14" i="19"/>
  <c r="CH14" i="19"/>
  <c r="CG14" i="19"/>
  <c r="CF14" i="19"/>
  <c r="CE14" i="19"/>
  <c r="CO13" i="19"/>
  <c r="CN13" i="19"/>
  <c r="CM13" i="19"/>
  <c r="CL13" i="19"/>
  <c r="CK13" i="19"/>
  <c r="CJ13" i="19"/>
  <c r="CI13" i="19"/>
  <c r="CH13" i="19"/>
  <c r="CG13" i="19"/>
  <c r="CF13" i="19"/>
  <c r="CE13" i="19"/>
  <c r="CO12" i="19"/>
  <c r="CN12" i="19"/>
  <c r="CM12" i="19"/>
  <c r="CL12" i="19"/>
  <c r="CK12" i="19"/>
  <c r="CJ12" i="19"/>
  <c r="CI12" i="19"/>
  <c r="CH12" i="19"/>
  <c r="CG12" i="19"/>
  <c r="CF12" i="19"/>
  <c r="CE12" i="19"/>
  <c r="CO11" i="19"/>
  <c r="CN11" i="19"/>
  <c r="CM11" i="19"/>
  <c r="CL11" i="19"/>
  <c r="CK11" i="19"/>
  <c r="CJ11" i="19"/>
  <c r="CI11" i="19"/>
  <c r="CH11" i="19"/>
  <c r="CG11" i="19"/>
  <c r="CF11" i="19"/>
  <c r="CE11" i="19"/>
  <c r="CO10" i="19"/>
  <c r="CN10" i="19"/>
  <c r="CM10" i="19"/>
  <c r="CL10" i="19"/>
  <c r="CK10" i="19"/>
  <c r="CJ10" i="19"/>
  <c r="CI10" i="19"/>
  <c r="CH10" i="19"/>
  <c r="CG10" i="19"/>
  <c r="CF10" i="19"/>
  <c r="CE10" i="19"/>
  <c r="CO9" i="19"/>
  <c r="CN9" i="19"/>
  <c r="CM9" i="19"/>
  <c r="CL9" i="19"/>
  <c r="CK9" i="19"/>
  <c r="CJ9" i="19"/>
  <c r="CI9" i="19"/>
  <c r="CH9" i="19"/>
  <c r="CG9" i="19"/>
  <c r="CF9" i="19"/>
  <c r="CE9" i="19"/>
  <c r="CO8" i="19"/>
  <c r="CN8" i="19"/>
  <c r="CM8" i="19"/>
  <c r="CL8" i="19"/>
  <c r="CK8" i="19"/>
  <c r="CJ8" i="19"/>
  <c r="CI8" i="19"/>
  <c r="CH8" i="19"/>
  <c r="CG8" i="19"/>
  <c r="CF8" i="19"/>
  <c r="CE8" i="19"/>
  <c r="CO7" i="19"/>
  <c r="CN7" i="19"/>
  <c r="CM7" i="19"/>
  <c r="CL7" i="19"/>
  <c r="CK7" i="19"/>
  <c r="CJ7" i="19"/>
  <c r="CI7" i="19"/>
  <c r="CH7" i="19"/>
  <c r="CG7" i="19"/>
  <c r="CF7" i="19"/>
  <c r="CE7" i="19"/>
  <c r="CO6" i="19"/>
  <c r="CN6" i="19"/>
  <c r="CM6" i="19"/>
  <c r="CL6" i="19"/>
  <c r="CK6" i="19"/>
  <c r="CJ6" i="19"/>
  <c r="CI6" i="19"/>
  <c r="CH6" i="19"/>
  <c r="CG6" i="19"/>
  <c r="CF6" i="19"/>
  <c r="CE6" i="19"/>
  <c r="CO5" i="19"/>
  <c r="CN5" i="19"/>
  <c r="CM5" i="19"/>
  <c r="CL5" i="19"/>
  <c r="CK5" i="19"/>
  <c r="CJ5" i="19"/>
  <c r="CI5" i="19"/>
  <c r="CH5" i="19"/>
  <c r="CG5" i="19"/>
  <c r="CF5" i="19"/>
  <c r="CE5" i="19"/>
  <c r="CO4" i="19"/>
  <c r="CN4" i="19"/>
  <c r="CM4" i="19"/>
  <c r="CL4" i="19"/>
  <c r="CK4" i="19"/>
  <c r="CJ4" i="19"/>
  <c r="CI4" i="19"/>
  <c r="CH4" i="19"/>
  <c r="CG4" i="19"/>
  <c r="CF4" i="19"/>
  <c r="CE4" i="19"/>
  <c r="CO3" i="19"/>
  <c r="CN3" i="19"/>
  <c r="CM3" i="19"/>
  <c r="CL3" i="19"/>
  <c r="CK3" i="19"/>
  <c r="CJ3" i="19"/>
  <c r="CI3" i="19"/>
  <c r="CH3" i="19"/>
  <c r="CG3" i="19"/>
  <c r="CF3" i="19"/>
  <c r="A2" i="20" l="1" a="1"/>
  <c r="BF2" i="18"/>
  <c r="BB2" i="18"/>
  <c r="AR2" i="18"/>
  <c r="AN2" i="18"/>
  <c r="CK211" i="19"/>
  <c r="CK210" i="19"/>
  <c r="CK162" i="19"/>
  <c r="A2" i="20" l="1"/>
  <c r="AG2" i="20"/>
  <c r="A6" i="27"/>
  <c r="A14" i="27"/>
  <c r="A22" i="27"/>
  <c r="A30" i="27"/>
  <c r="A8" i="27"/>
  <c r="A16" i="27"/>
  <c r="A24" i="27"/>
  <c r="A9" i="27"/>
  <c r="A17" i="27"/>
  <c r="A25" i="27"/>
  <c r="A10" i="27"/>
  <c r="A18" i="27"/>
  <c r="A26" i="27"/>
  <c r="A3" i="27"/>
  <c r="A11" i="27"/>
  <c r="A19" i="27"/>
  <c r="A27" i="27"/>
  <c r="A5" i="27"/>
  <c r="A13" i="27"/>
  <c r="A21" i="27"/>
  <c r="A29" i="27"/>
  <c r="A23" i="27"/>
  <c r="A28" i="27"/>
  <c r="A31" i="27"/>
  <c r="A2" i="27"/>
  <c r="A4" i="27"/>
  <c r="A7" i="27"/>
  <c r="A12" i="27"/>
  <c r="A15" i="27"/>
  <c r="A20" i="27"/>
  <c r="E2" i="25" a="1"/>
  <c r="E2" i="25" s="1"/>
  <c r="D2" i="25" a="1"/>
  <c r="D2" i="25" s="1"/>
  <c r="C2" i="25" a="1"/>
  <c r="BB22" i="20"/>
  <c r="BA30" i="20"/>
  <c r="BB29" i="20"/>
  <c r="BA25" i="20"/>
  <c r="BB24" i="20"/>
  <c r="BA24" i="20"/>
  <c r="BB23" i="20"/>
  <c r="BA27" i="20"/>
  <c r="BA22" i="20"/>
  <c r="BA17" i="20"/>
  <c r="BB16" i="20"/>
  <c r="BB15" i="20"/>
  <c r="BB18" i="20"/>
  <c r="BA26" i="20"/>
  <c r="BB25" i="20"/>
  <c r="BA21" i="20"/>
  <c r="BB20" i="20"/>
  <c r="BA20" i="20"/>
  <c r="BB19" i="20"/>
  <c r="BB21" i="20"/>
  <c r="BA16" i="20"/>
  <c r="BA19" i="20"/>
  <c r="BB10" i="20"/>
  <c r="BA18" i="20"/>
  <c r="BB17" i="20"/>
  <c r="BA13" i="20"/>
  <c r="BB12" i="20"/>
  <c r="BA12" i="20"/>
  <c r="BB11" i="20"/>
  <c r="BA15" i="20"/>
  <c r="BB6" i="20"/>
  <c r="BA14" i="20"/>
  <c r="BB13" i="20"/>
  <c r="BA9" i="20"/>
  <c r="BB8" i="20"/>
  <c r="BA8" i="20"/>
  <c r="BB7" i="20"/>
  <c r="BA11" i="20"/>
  <c r="BA31" i="20"/>
  <c r="BA10" i="20"/>
  <c r="BB9" i="20"/>
  <c r="BA5" i="20"/>
  <c r="BB4" i="20"/>
  <c r="BA4" i="20"/>
  <c r="BB3" i="20"/>
  <c r="BB30" i="20"/>
  <c r="BA23" i="20"/>
  <c r="BA6" i="20"/>
  <c r="BB5" i="20"/>
  <c r="BA2" i="20"/>
  <c r="BB2" i="20"/>
  <c r="BB31" i="20"/>
  <c r="BB26" i="20"/>
  <c r="BA3" i="20"/>
  <c r="BA7" i="20"/>
  <c r="BA29" i="20"/>
  <c r="BB28" i="20"/>
  <c r="BA28" i="20"/>
  <c r="BB27" i="20"/>
  <c r="BB14" i="20"/>
  <c r="A11" i="18"/>
  <c r="A19" i="18"/>
  <c r="A27" i="18"/>
  <c r="AS17" i="20"/>
  <c r="AS25" i="20"/>
  <c r="AM19" i="20"/>
  <c r="AM27" i="20"/>
  <c r="AG21" i="20"/>
  <c r="AG29" i="20"/>
  <c r="AA15" i="20"/>
  <c r="AA23" i="20"/>
  <c r="AA31" i="20"/>
  <c r="A24" i="18"/>
  <c r="AS30" i="20"/>
  <c r="AA28" i="20"/>
  <c r="A12" i="18"/>
  <c r="A20" i="18"/>
  <c r="A28" i="18"/>
  <c r="AS18" i="20"/>
  <c r="AS26" i="20"/>
  <c r="AM20" i="20"/>
  <c r="AM28" i="20"/>
  <c r="AG14" i="20"/>
  <c r="AG22" i="20"/>
  <c r="AG30" i="20"/>
  <c r="AA16" i="20"/>
  <c r="AA24" i="20"/>
  <c r="AG26" i="20"/>
  <c r="A13" i="18"/>
  <c r="A21" i="18"/>
  <c r="A29" i="18"/>
  <c r="AS19" i="20"/>
  <c r="AS27" i="20"/>
  <c r="AM21" i="20"/>
  <c r="AM29" i="20"/>
  <c r="AG15" i="20"/>
  <c r="AG23" i="20"/>
  <c r="AG31" i="20"/>
  <c r="AA17" i="20"/>
  <c r="AA25" i="20"/>
  <c r="AG18" i="20"/>
  <c r="A14" i="18"/>
  <c r="A22" i="18"/>
  <c r="A30" i="18"/>
  <c r="AS20" i="20"/>
  <c r="AS28" i="20"/>
  <c r="AM14" i="20"/>
  <c r="AM22" i="20"/>
  <c r="AM30" i="20"/>
  <c r="AG16" i="20"/>
  <c r="AG24" i="20"/>
  <c r="AA18" i="20"/>
  <c r="AA26" i="20"/>
  <c r="A16" i="18"/>
  <c r="AS22" i="20"/>
  <c r="A15" i="18"/>
  <c r="A23" i="18"/>
  <c r="A31" i="18"/>
  <c r="AS21" i="20"/>
  <c r="AS29" i="20"/>
  <c r="AM15" i="20"/>
  <c r="AM23" i="20"/>
  <c r="AM31" i="20"/>
  <c r="AG17" i="20"/>
  <c r="AG25" i="20"/>
  <c r="AA19" i="20"/>
  <c r="AA27" i="20"/>
  <c r="AS14" i="20"/>
  <c r="AA20" i="20"/>
  <c r="A9" i="18"/>
  <c r="A17" i="18"/>
  <c r="A25" i="18"/>
  <c r="AS15" i="20"/>
  <c r="AS23" i="20"/>
  <c r="AS31" i="20"/>
  <c r="AM17" i="20"/>
  <c r="AM25" i="20"/>
  <c r="AG19" i="20"/>
  <c r="AG27" i="20"/>
  <c r="AA21" i="20"/>
  <c r="AA29" i="20"/>
  <c r="AM16" i="20"/>
  <c r="A10" i="18"/>
  <c r="A18" i="18"/>
  <c r="A26" i="18"/>
  <c r="AS16" i="20"/>
  <c r="AS24" i="20"/>
  <c r="AM18" i="20"/>
  <c r="AM26" i="20"/>
  <c r="AG20" i="20"/>
  <c r="AG28" i="20"/>
  <c r="AA14" i="20"/>
  <c r="AA22" i="20"/>
  <c r="AA30" i="20"/>
  <c r="AM24" i="20"/>
  <c r="A23" i="23"/>
  <c r="A21" i="23"/>
  <c r="A27" i="23"/>
  <c r="A26" i="23"/>
  <c r="A24" i="23"/>
  <c r="A22" i="23"/>
  <c r="A28" i="23"/>
  <c r="A31" i="23"/>
  <c r="A29" i="23"/>
  <c r="A30" i="23"/>
  <c r="A17" i="23"/>
  <c r="A19" i="23"/>
  <c r="A18" i="23"/>
  <c r="A20" i="23"/>
  <c r="A25" i="23"/>
  <c r="A16" i="23"/>
  <c r="A15" i="23"/>
  <c r="A14" i="23"/>
  <c r="A3" i="18"/>
  <c r="A4" i="18"/>
  <c r="A5" i="18"/>
  <c r="A6" i="18"/>
  <c r="A7" i="18"/>
  <c r="A8" i="18"/>
  <c r="AS4" i="20"/>
  <c r="AS12" i="20"/>
  <c r="AS3" i="20"/>
  <c r="AM10" i="20"/>
  <c r="AG8" i="20"/>
  <c r="AA6" i="20"/>
  <c r="AS5" i="20"/>
  <c r="AS13" i="20"/>
  <c r="AS2" i="20"/>
  <c r="AM11" i="20"/>
  <c r="AG9" i="20"/>
  <c r="AA7" i="20"/>
  <c r="AS6" i="20"/>
  <c r="AM4" i="20"/>
  <c r="AM12" i="20"/>
  <c r="AM3" i="20"/>
  <c r="AG10" i="20"/>
  <c r="AA8" i="20"/>
  <c r="AM7" i="20"/>
  <c r="AG13" i="20"/>
  <c r="AA11" i="20"/>
  <c r="AS7" i="20"/>
  <c r="AM5" i="20"/>
  <c r="AM13" i="20"/>
  <c r="AM2" i="20"/>
  <c r="AG11" i="20"/>
  <c r="AA9" i="20"/>
  <c r="AS8" i="20"/>
  <c r="AM6" i="20"/>
  <c r="AG4" i="20"/>
  <c r="AG12" i="20"/>
  <c r="AG3" i="20"/>
  <c r="AA10" i="20"/>
  <c r="AS9" i="20"/>
  <c r="AG5" i="20"/>
  <c r="AS10" i="20"/>
  <c r="AM8" i="20"/>
  <c r="AG6" i="20"/>
  <c r="AA4" i="20"/>
  <c r="AA12" i="20"/>
  <c r="AA3" i="20"/>
  <c r="AS11" i="20"/>
  <c r="AM9" i="20"/>
  <c r="AG7" i="20"/>
  <c r="AA5" i="20"/>
  <c r="AA13" i="20"/>
  <c r="AA2" i="20"/>
  <c r="A9" i="23"/>
  <c r="A10" i="23"/>
  <c r="A11" i="23"/>
  <c r="A12" i="23"/>
  <c r="A13" i="23"/>
  <c r="A3" i="23"/>
  <c r="A7" i="23"/>
  <c r="A6" i="23"/>
  <c r="A8" i="23"/>
  <c r="A5" i="23"/>
  <c r="A2" i="23"/>
  <c r="A4" i="23"/>
  <c r="AS2" i="18"/>
  <c r="BG2" i="18"/>
  <c r="A2" i="18"/>
  <c r="D13" i="23" l="1"/>
  <c r="L13" i="23"/>
  <c r="F13" i="23"/>
  <c r="G13" i="23"/>
  <c r="B13" i="23"/>
  <c r="E13" i="23"/>
  <c r="H13" i="23"/>
  <c r="I13" i="23"/>
  <c r="J13" i="23"/>
  <c r="K13" i="23"/>
  <c r="C13" i="23"/>
  <c r="B19" i="23"/>
  <c r="J19" i="23"/>
  <c r="D19" i="23"/>
  <c r="L19" i="23"/>
  <c r="E19" i="23"/>
  <c r="C19" i="23"/>
  <c r="F19" i="23"/>
  <c r="G19" i="23"/>
  <c r="H19" i="23"/>
  <c r="I19" i="23"/>
  <c r="K19" i="23"/>
  <c r="D5" i="23"/>
  <c r="L5" i="23"/>
  <c r="F5" i="23"/>
  <c r="G5" i="23"/>
  <c r="C5" i="23"/>
  <c r="E5" i="23"/>
  <c r="H5" i="23"/>
  <c r="I5" i="23"/>
  <c r="J5" i="23"/>
  <c r="K5" i="23"/>
  <c r="B5" i="23"/>
  <c r="E10" i="23"/>
  <c r="G10" i="23"/>
  <c r="H10" i="23"/>
  <c r="J10" i="23"/>
  <c r="L10" i="23"/>
  <c r="B10" i="23"/>
  <c r="C10" i="23"/>
  <c r="D10" i="23"/>
  <c r="F10" i="23"/>
  <c r="I10" i="23"/>
  <c r="K10" i="23"/>
  <c r="I14" i="23"/>
  <c r="C14" i="23"/>
  <c r="K14" i="23"/>
  <c r="D14" i="23"/>
  <c r="L14" i="23"/>
  <c r="E14" i="23"/>
  <c r="G14" i="23"/>
  <c r="H14" i="23"/>
  <c r="J14" i="23"/>
  <c r="B14" i="23"/>
  <c r="F14" i="23"/>
  <c r="I30" i="23"/>
  <c r="C30" i="23"/>
  <c r="K30" i="23"/>
  <c r="D30" i="23"/>
  <c r="L30" i="23"/>
  <c r="G30" i="23"/>
  <c r="J30" i="23"/>
  <c r="B30" i="23"/>
  <c r="E30" i="23"/>
  <c r="F30" i="23"/>
  <c r="H30" i="23"/>
  <c r="D21" i="23"/>
  <c r="L21" i="23"/>
  <c r="F21" i="23"/>
  <c r="G21" i="23"/>
  <c r="C21" i="23"/>
  <c r="H21" i="23"/>
  <c r="I21" i="23"/>
  <c r="J21" i="23"/>
  <c r="K21" i="23"/>
  <c r="B21" i="23"/>
  <c r="E21" i="23"/>
  <c r="G12" i="23"/>
  <c r="I12" i="23"/>
  <c r="B12" i="23"/>
  <c r="J12" i="23"/>
  <c r="D12" i="23"/>
  <c r="E12" i="23"/>
  <c r="F12" i="23"/>
  <c r="H12" i="23"/>
  <c r="K12" i="23"/>
  <c r="L12" i="23"/>
  <c r="C12" i="23"/>
  <c r="E26" i="23"/>
  <c r="G26" i="23"/>
  <c r="H26" i="23"/>
  <c r="L26" i="23"/>
  <c r="C26" i="23"/>
  <c r="D26" i="23"/>
  <c r="F26" i="23"/>
  <c r="I26" i="23"/>
  <c r="J26" i="23"/>
  <c r="K26" i="23"/>
  <c r="B26" i="23"/>
  <c r="E2" i="23"/>
  <c r="B2" i="23"/>
  <c r="D2" i="23"/>
  <c r="B11" i="23"/>
  <c r="J11" i="23"/>
  <c r="D11" i="23"/>
  <c r="L11" i="23"/>
  <c r="E11" i="23"/>
  <c r="K11" i="23"/>
  <c r="C11" i="23"/>
  <c r="F11" i="23"/>
  <c r="G11" i="23"/>
  <c r="H11" i="23"/>
  <c r="I11" i="23"/>
  <c r="H17" i="23"/>
  <c r="B17" i="23"/>
  <c r="J17" i="23"/>
  <c r="C17" i="23"/>
  <c r="K17" i="23"/>
  <c r="I17" i="23"/>
  <c r="D17" i="23"/>
  <c r="E17" i="23"/>
  <c r="F17" i="23"/>
  <c r="G17" i="23"/>
  <c r="L17" i="23"/>
  <c r="B27" i="23"/>
  <c r="J27" i="23"/>
  <c r="D27" i="23"/>
  <c r="L27" i="23"/>
  <c r="E27" i="23"/>
  <c r="F27" i="23"/>
  <c r="G27" i="23"/>
  <c r="H27" i="23"/>
  <c r="I27" i="23"/>
  <c r="K27" i="23"/>
  <c r="C27" i="23"/>
  <c r="C8" i="23"/>
  <c r="K8" i="23"/>
  <c r="E8" i="23"/>
  <c r="F8" i="23"/>
  <c r="G8" i="23"/>
  <c r="I8" i="23"/>
  <c r="J8" i="23"/>
  <c r="L8" i="23"/>
  <c r="B8" i="23"/>
  <c r="D8" i="23"/>
  <c r="H8" i="23"/>
  <c r="H9" i="23"/>
  <c r="B9" i="23"/>
  <c r="J9" i="23"/>
  <c r="C9" i="23"/>
  <c r="K9" i="23"/>
  <c r="G9" i="23"/>
  <c r="L9" i="23"/>
  <c r="D9" i="23"/>
  <c r="E9" i="23"/>
  <c r="F9" i="23"/>
  <c r="I9" i="23"/>
  <c r="F15" i="23"/>
  <c r="H15" i="23"/>
  <c r="I15" i="23"/>
  <c r="E15" i="23"/>
  <c r="J15" i="23"/>
  <c r="K15" i="23"/>
  <c r="L15" i="23"/>
  <c r="B15" i="23"/>
  <c r="C15" i="23"/>
  <c r="D15" i="23"/>
  <c r="G15" i="23"/>
  <c r="D29" i="23"/>
  <c r="L29" i="23"/>
  <c r="F29" i="23"/>
  <c r="G29" i="23"/>
  <c r="E29" i="23"/>
  <c r="I29" i="23"/>
  <c r="J29" i="23"/>
  <c r="K29" i="23"/>
  <c r="B29" i="23"/>
  <c r="C29" i="23"/>
  <c r="H29" i="23"/>
  <c r="F23" i="23"/>
  <c r="H23" i="23"/>
  <c r="I23" i="23"/>
  <c r="G23" i="23"/>
  <c r="K23" i="23"/>
  <c r="L23" i="23"/>
  <c r="B23" i="23"/>
  <c r="C23" i="23"/>
  <c r="D23" i="23"/>
  <c r="E23" i="23"/>
  <c r="J23" i="23"/>
  <c r="C16" i="23"/>
  <c r="K16" i="23"/>
  <c r="E16" i="23"/>
  <c r="F16" i="23"/>
  <c r="H16" i="23"/>
  <c r="J16" i="23"/>
  <c r="L16" i="23"/>
  <c r="B16" i="23"/>
  <c r="D16" i="23"/>
  <c r="G16" i="23"/>
  <c r="I16" i="23"/>
  <c r="F31" i="23"/>
  <c r="H31" i="23"/>
  <c r="I31" i="23"/>
  <c r="J31" i="23"/>
  <c r="L31" i="23"/>
  <c r="B31" i="23"/>
  <c r="C31" i="23"/>
  <c r="D31" i="23"/>
  <c r="E31" i="23"/>
  <c r="G31" i="23"/>
  <c r="K31" i="23"/>
  <c r="C24" i="23"/>
  <c r="K24" i="23"/>
  <c r="E24" i="23"/>
  <c r="F24" i="23"/>
  <c r="I24" i="23"/>
  <c r="L24" i="23"/>
  <c r="B24" i="23"/>
  <c r="D24" i="23"/>
  <c r="G24" i="23"/>
  <c r="H24" i="23"/>
  <c r="J24" i="23"/>
  <c r="G4" i="23"/>
  <c r="I4" i="23"/>
  <c r="B4" i="23"/>
  <c r="J4" i="23"/>
  <c r="L4" i="23"/>
  <c r="C4" i="23"/>
  <c r="D4" i="23"/>
  <c r="E4" i="23"/>
  <c r="F4" i="23"/>
  <c r="H4" i="23"/>
  <c r="K4" i="23"/>
  <c r="I6" i="23"/>
  <c r="C6" i="23"/>
  <c r="K6" i="23"/>
  <c r="D6" i="23"/>
  <c r="L6" i="23"/>
  <c r="B6" i="23"/>
  <c r="F6" i="23"/>
  <c r="G6" i="23"/>
  <c r="H6" i="23"/>
  <c r="J6" i="23"/>
  <c r="E6" i="23"/>
  <c r="F7" i="23"/>
  <c r="H7" i="23"/>
  <c r="I7" i="23"/>
  <c r="D7" i="23"/>
  <c r="G7" i="23"/>
  <c r="J7" i="23"/>
  <c r="K7" i="23"/>
  <c r="L7" i="23"/>
  <c r="B7" i="23"/>
  <c r="C7" i="23"/>
  <c r="E7" i="23"/>
  <c r="H25" i="23"/>
  <c r="B25" i="23"/>
  <c r="J25" i="23"/>
  <c r="C25" i="23"/>
  <c r="K25" i="23"/>
  <c r="L25" i="23"/>
  <c r="D25" i="23"/>
  <c r="E25" i="23"/>
  <c r="F25" i="23"/>
  <c r="G25" i="23"/>
  <c r="I25" i="23"/>
  <c r="G28" i="23"/>
  <c r="I28" i="23"/>
  <c r="B28" i="23"/>
  <c r="J28" i="23"/>
  <c r="D28" i="23"/>
  <c r="F28" i="23"/>
  <c r="H28" i="23"/>
  <c r="K28" i="23"/>
  <c r="L28" i="23"/>
  <c r="C28" i="23"/>
  <c r="E28" i="23"/>
  <c r="E18" i="23"/>
  <c r="G18" i="23"/>
  <c r="H18" i="23"/>
  <c r="K18" i="23"/>
  <c r="B18" i="23"/>
  <c r="C18" i="23"/>
  <c r="D18" i="23"/>
  <c r="F18" i="23"/>
  <c r="I18" i="23"/>
  <c r="J18" i="23"/>
  <c r="L18" i="23"/>
  <c r="J3" i="23"/>
  <c r="D3" i="23"/>
  <c r="L3" i="23"/>
  <c r="E3" i="23"/>
  <c r="I3" i="23"/>
  <c r="C3" i="23"/>
  <c r="F3" i="23"/>
  <c r="G3" i="23"/>
  <c r="H3" i="23"/>
  <c r="K3" i="23"/>
  <c r="B3" i="23"/>
  <c r="G20" i="23"/>
  <c r="I20" i="23"/>
  <c r="B20" i="23"/>
  <c r="J20" i="23"/>
  <c r="C20" i="23"/>
  <c r="E20" i="23"/>
  <c r="F20" i="23"/>
  <c r="H20" i="23"/>
  <c r="K20" i="23"/>
  <c r="L20" i="23"/>
  <c r="D20" i="23"/>
  <c r="I22" i="23"/>
  <c r="C22" i="23"/>
  <c r="K22" i="23"/>
  <c r="D22" i="23"/>
  <c r="L22" i="23"/>
  <c r="F22" i="23"/>
  <c r="H22" i="23"/>
  <c r="J22" i="23"/>
  <c r="B22" i="23"/>
  <c r="E22" i="23"/>
  <c r="G22" i="23"/>
  <c r="O2" i="18"/>
  <c r="M2" i="27" s="1"/>
  <c r="L2" i="23" s="1"/>
  <c r="N2" i="18"/>
  <c r="L2" i="27" s="1"/>
  <c r="K2" i="23" s="1"/>
  <c r="M2" i="18"/>
  <c r="J2" i="18"/>
  <c r="H2" i="27" s="1"/>
  <c r="H2" i="23" s="1"/>
  <c r="H2" i="18"/>
  <c r="F2" i="27" s="1"/>
  <c r="F2" i="23" s="1"/>
  <c r="C2" i="25"/>
  <c r="G2" i="25" s="1"/>
  <c r="S7" i="25"/>
  <c r="Y8" i="25"/>
  <c r="S4" i="25"/>
  <c r="S9" i="25"/>
  <c r="Y9" i="25"/>
  <c r="G4" i="25"/>
  <c r="Y6" i="25"/>
  <c r="G6" i="25"/>
  <c r="Y3" i="25"/>
  <c r="M8" i="25"/>
  <c r="M6" i="25"/>
  <c r="G9" i="25"/>
  <c r="S8" i="25"/>
  <c r="Y4" i="25"/>
  <c r="G7" i="25"/>
  <c r="M3" i="25"/>
  <c r="S5" i="25"/>
  <c r="M9" i="25"/>
  <c r="G3" i="25"/>
  <c r="M4" i="25"/>
  <c r="Y7" i="25"/>
  <c r="G8" i="25"/>
  <c r="S3" i="25"/>
  <c r="G5" i="25"/>
  <c r="M5" i="25"/>
  <c r="S6" i="25"/>
  <c r="Y5" i="25"/>
  <c r="M7" i="25"/>
  <c r="C2" i="18"/>
  <c r="K2" i="18"/>
  <c r="I2" i="27" s="1"/>
  <c r="I2" i="23" s="1"/>
  <c r="G2" i="27"/>
  <c r="G2" i="23" s="1"/>
  <c r="E2" i="18"/>
  <c r="B8" i="18"/>
  <c r="C8" i="18"/>
  <c r="B17" i="18"/>
  <c r="C17" i="18"/>
  <c r="B29" i="18"/>
  <c r="C29" i="18"/>
  <c r="B9" i="18"/>
  <c r="C9" i="18"/>
  <c r="B25" i="18"/>
  <c r="C25" i="18"/>
  <c r="B7" i="18"/>
  <c r="C7" i="18"/>
  <c r="B16" i="18"/>
  <c r="C16" i="18"/>
  <c r="B21" i="18"/>
  <c r="C21" i="18"/>
  <c r="B6" i="18"/>
  <c r="C6" i="18"/>
  <c r="B26" i="18"/>
  <c r="C26" i="18"/>
  <c r="B13" i="18"/>
  <c r="C13" i="18"/>
  <c r="B24" i="18"/>
  <c r="C24" i="18"/>
  <c r="B15" i="18"/>
  <c r="C15" i="18"/>
  <c r="B5" i="18"/>
  <c r="C5" i="18"/>
  <c r="B18" i="18"/>
  <c r="C18" i="18"/>
  <c r="B30" i="18"/>
  <c r="C30" i="18"/>
  <c r="B22" i="18"/>
  <c r="C22" i="18"/>
  <c r="B27" i="18"/>
  <c r="C27" i="18"/>
  <c r="B3" i="18"/>
  <c r="C3" i="18"/>
  <c r="B31" i="18"/>
  <c r="C31" i="18"/>
  <c r="B14" i="18"/>
  <c r="C14" i="18"/>
  <c r="B28" i="18"/>
  <c r="C28" i="18"/>
  <c r="B19" i="18"/>
  <c r="C19" i="18"/>
  <c r="B12" i="18"/>
  <c r="C12" i="18"/>
  <c r="B4" i="18"/>
  <c r="C4" i="18"/>
  <c r="B10" i="18"/>
  <c r="C10" i="18"/>
  <c r="B23" i="18"/>
  <c r="C23" i="18"/>
  <c r="B20" i="18"/>
  <c r="C20" i="18"/>
  <c r="B11" i="18"/>
  <c r="C11" i="18"/>
  <c r="B2" i="18"/>
  <c r="C2" i="27" l="1"/>
  <c r="C2" i="23" s="1"/>
  <c r="L2" i="18"/>
  <c r="J2" i="27" s="1"/>
  <c r="K2" i="27"/>
  <c r="J2" i="23" s="1"/>
  <c r="P2" i="18"/>
  <c r="Y2" i="25"/>
  <c r="M2" i="25"/>
  <c r="S2" i="25"/>
  <c r="DE983" i="1"/>
  <c r="DD983" i="1"/>
  <c r="DC983" i="1"/>
  <c r="DB983" i="1"/>
  <c r="DA983" i="1"/>
  <c r="CZ983" i="1"/>
  <c r="CY983" i="1"/>
  <c r="CX983" i="1"/>
  <c r="CW983" i="1"/>
  <c r="CV983" i="1"/>
  <c r="CU983" i="1"/>
  <c r="CT983" i="1"/>
  <c r="CS983" i="1"/>
  <c r="CR983" i="1"/>
  <c r="CQ983" i="1"/>
  <c r="CP983" i="1"/>
  <c r="CO983" i="1"/>
  <c r="CN983" i="1"/>
  <c r="CM983" i="1"/>
  <c r="CL983" i="1"/>
  <c r="CK983" i="1"/>
  <c r="CJ983" i="1"/>
  <c r="CI983" i="1"/>
  <c r="CH983" i="1"/>
  <c r="CG983" i="1"/>
  <c r="CF983" i="1"/>
  <c r="CE983" i="1"/>
  <c r="CD983" i="1"/>
  <c r="CC983" i="1"/>
  <c r="CB983" i="1"/>
  <c r="CA983" i="1"/>
  <c r="BZ983" i="1"/>
  <c r="BY983" i="1"/>
  <c r="BX983" i="1"/>
  <c r="BW983" i="1"/>
  <c r="BV983" i="1"/>
  <c r="BU983" i="1"/>
  <c r="BT983" i="1"/>
  <c r="BS983" i="1"/>
  <c r="BR983" i="1"/>
  <c r="BQ983" i="1"/>
  <c r="BP983" i="1"/>
  <c r="BO983" i="1"/>
  <c r="BN983" i="1"/>
  <c r="BM983" i="1"/>
  <c r="BL983" i="1"/>
  <c r="BK983" i="1"/>
  <c r="BJ983" i="1"/>
  <c r="BI983" i="1"/>
  <c r="BH983" i="1"/>
  <c r="BG983" i="1"/>
  <c r="BF983" i="1"/>
  <c r="BE983" i="1"/>
  <c r="BD983" i="1"/>
  <c r="BC983" i="1"/>
  <c r="BB983" i="1"/>
  <c r="BA983" i="1"/>
  <c r="AZ983" i="1"/>
  <c r="AY983" i="1"/>
  <c r="AX983" i="1"/>
  <c r="AW983" i="1"/>
  <c r="AV983" i="1"/>
  <c r="AU983" i="1"/>
  <c r="AT983" i="1"/>
  <c r="AS983" i="1"/>
  <c r="BH910" i="1"/>
  <c r="BX910" i="1"/>
  <c r="CN910" i="1"/>
  <c r="DD910" i="1"/>
  <c r="DD443" i="1"/>
  <c r="CN443" i="1"/>
  <c r="BX443" i="1"/>
  <c r="BH443" i="1"/>
  <c r="BH469" i="1"/>
  <c r="BH470" i="1"/>
  <c r="BH471" i="1"/>
  <c r="BH472" i="1"/>
  <c r="BH473" i="1"/>
  <c r="BH461" i="1"/>
  <c r="BH462" i="1"/>
  <c r="BH463" i="1"/>
  <c r="BH464" i="1"/>
  <c r="BH465" i="1"/>
  <c r="BH466" i="1"/>
  <c r="BH467" i="1"/>
  <c r="BH444" i="1"/>
  <c r="BH445" i="1"/>
  <c r="BH446" i="1"/>
  <c r="BH447" i="1"/>
  <c r="BH448" i="1"/>
  <c r="BH449" i="1"/>
  <c r="BH450" i="1"/>
  <c r="BH451" i="1"/>
  <c r="BH452" i="1"/>
  <c r="BH453" i="1"/>
  <c r="BH454" i="1"/>
  <c r="BH455" i="1"/>
  <c r="BH456" i="1"/>
  <c r="BH457" i="1"/>
  <c r="BH458" i="1"/>
  <c r="BH459"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802" i="1"/>
  <c r="BH803" i="1"/>
  <c r="BH804" i="1"/>
  <c r="BH805" i="1"/>
  <c r="BH806" i="1"/>
  <c r="BH807" i="1"/>
  <c r="BH808" i="1"/>
  <c r="BH809" i="1"/>
  <c r="BH810" i="1"/>
  <c r="BH811" i="1"/>
  <c r="BH812" i="1"/>
  <c r="DE812" i="1" s="1"/>
  <c r="BH813" i="1"/>
  <c r="BH814" i="1"/>
  <c r="BH815" i="1"/>
  <c r="BH816" i="1"/>
  <c r="BH817" i="1"/>
  <c r="BH818" i="1"/>
  <c r="BH819" i="1"/>
  <c r="BH820" i="1"/>
  <c r="DE820" i="1" s="1"/>
  <c r="BH821" i="1"/>
  <c r="BH822" i="1"/>
  <c r="BX817" i="1"/>
  <c r="BX802" i="1"/>
  <c r="BX803" i="1"/>
  <c r="BX804" i="1"/>
  <c r="BX805" i="1"/>
  <c r="BX806" i="1"/>
  <c r="DE806" i="1" s="1"/>
  <c r="BX807" i="1"/>
  <c r="BX808" i="1"/>
  <c r="BX809" i="1"/>
  <c r="BX810" i="1"/>
  <c r="BX811" i="1"/>
  <c r="BX812" i="1"/>
  <c r="BX813" i="1"/>
  <c r="BX814" i="1"/>
  <c r="DE814" i="1" s="1"/>
  <c r="BX815" i="1"/>
  <c r="BX816" i="1"/>
  <c r="BX818" i="1"/>
  <c r="BX819" i="1"/>
  <c r="BX820" i="1"/>
  <c r="BX821" i="1"/>
  <c r="BX822" i="1"/>
  <c r="CN802" i="1"/>
  <c r="DE802" i="1" s="1"/>
  <c r="DE823" i="1" s="1"/>
  <c r="DE824" i="1" s="1"/>
  <c r="CN803" i="1"/>
  <c r="CN804" i="1"/>
  <c r="CN805" i="1"/>
  <c r="CN806" i="1"/>
  <c r="CN807" i="1"/>
  <c r="CN808" i="1"/>
  <c r="CN809" i="1"/>
  <c r="CN810" i="1"/>
  <c r="DE810" i="1" s="1"/>
  <c r="CN811" i="1"/>
  <c r="CN812" i="1"/>
  <c r="CN813" i="1"/>
  <c r="CN814" i="1"/>
  <c r="CN815" i="1"/>
  <c r="CN816" i="1"/>
  <c r="CN817" i="1"/>
  <c r="CN818" i="1"/>
  <c r="DE818" i="1" s="1"/>
  <c r="CN819" i="1"/>
  <c r="CN820" i="1"/>
  <c r="CN821" i="1"/>
  <c r="CN822" i="1"/>
  <c r="DD802" i="1"/>
  <c r="DD803" i="1"/>
  <c r="DD804" i="1"/>
  <c r="DD805" i="1"/>
  <c r="DE805" i="1" s="1"/>
  <c r="DD806" i="1"/>
  <c r="DD807" i="1"/>
  <c r="DD808" i="1"/>
  <c r="DD809" i="1"/>
  <c r="DD810" i="1"/>
  <c r="DD811" i="1"/>
  <c r="DD812" i="1"/>
  <c r="DD813" i="1"/>
  <c r="DE813" i="1" s="1"/>
  <c r="DD814" i="1"/>
  <c r="DD815" i="1"/>
  <c r="DD816" i="1"/>
  <c r="DD817" i="1"/>
  <c r="DD818" i="1"/>
  <c r="DD819" i="1"/>
  <c r="DD820" i="1"/>
  <c r="DD821" i="1"/>
  <c r="DE821" i="1" s="1"/>
  <c r="DD822" i="1"/>
  <c r="BP474" i="1"/>
  <c r="BP468" i="1"/>
  <c r="BP460" i="1"/>
  <c r="BP443" i="1"/>
  <c r="BP412" i="1"/>
  <c r="AS468" i="1"/>
  <c r="AT1190" i="1"/>
  <c r="AT1191" i="1" s="1"/>
  <c r="AT1188" i="1"/>
  <c r="AT1178" i="1"/>
  <c r="AT1174" i="1"/>
  <c r="AT1164" i="1"/>
  <c r="AT1153" i="1"/>
  <c r="AT1134" i="1"/>
  <c r="AT1120" i="1"/>
  <c r="AT1107" i="1"/>
  <c r="AT1087" i="1"/>
  <c r="AT1067" i="1"/>
  <c r="AT1062" i="1"/>
  <c r="AT1056" i="1"/>
  <c r="AT1051" i="1"/>
  <c r="AT1038" i="1"/>
  <c r="AT1068" i="1" s="1"/>
  <c r="AT1035" i="1"/>
  <c r="AT1032" i="1"/>
  <c r="AT1029" i="1"/>
  <c r="AT1020" i="1"/>
  <c r="AT1015" i="1"/>
  <c r="AT1008" i="1"/>
  <c r="AT978" i="1"/>
  <c r="AT967" i="1"/>
  <c r="AT955" i="1"/>
  <c r="AT951" i="1"/>
  <c r="AT936" i="1"/>
  <c r="AT924" i="1"/>
  <c r="AT914" i="1"/>
  <c r="AT910" i="1"/>
  <c r="AT905" i="1"/>
  <c r="AT901" i="1"/>
  <c r="AT886" i="1"/>
  <c r="AT880" i="1"/>
  <c r="AT874" i="1"/>
  <c r="AT863" i="1"/>
  <c r="AT853" i="1"/>
  <c r="AT845" i="1"/>
  <c r="AT838" i="1"/>
  <c r="AT834" i="1"/>
  <c r="AT839" i="1" s="1"/>
  <c r="AT823" i="1"/>
  <c r="AT824" i="1" s="1"/>
  <c r="AT801" i="1"/>
  <c r="AT797" i="1"/>
  <c r="AT788" i="1"/>
  <c r="AT789" i="1" s="1"/>
  <c r="AT776" i="1"/>
  <c r="AT773" i="1"/>
  <c r="AT766" i="1"/>
  <c r="AT757" i="1"/>
  <c r="AT777" i="1" s="1"/>
  <c r="AT865" i="1" s="1"/>
  <c r="AT746" i="1"/>
  <c r="AT742" i="1"/>
  <c r="AT727" i="1"/>
  <c r="AT715" i="1"/>
  <c r="AT707" i="1"/>
  <c r="AT694" i="1"/>
  <c r="AT687" i="1"/>
  <c r="AT673" i="1"/>
  <c r="AT669" i="1"/>
  <c r="AT665" i="1"/>
  <c r="AT659" i="1"/>
  <c r="AT654" i="1"/>
  <c r="AT646" i="1"/>
  <c r="AT640" i="1"/>
  <c r="AT635" i="1"/>
  <c r="AT626" i="1"/>
  <c r="AT647" i="1" s="1"/>
  <c r="AT617" i="1"/>
  <c r="AT610" i="1"/>
  <c r="AT606" i="1"/>
  <c r="AT596" i="1"/>
  <c r="AT563" i="1"/>
  <c r="AT536" i="1"/>
  <c r="AT520" i="1"/>
  <c r="AT511" i="1"/>
  <c r="AT497" i="1"/>
  <c r="AT480" i="1"/>
  <c r="AT481" i="1" s="1"/>
  <c r="AT474" i="1"/>
  <c r="AT468" i="1"/>
  <c r="AT460" i="1"/>
  <c r="AT443" i="1"/>
  <c r="AT412" i="1"/>
  <c r="AT386" i="1"/>
  <c r="AT387" i="1" s="1"/>
  <c r="AT382" i="1"/>
  <c r="AT371" i="1"/>
  <c r="AT367" i="1"/>
  <c r="AT357" i="1"/>
  <c r="AT353" i="1"/>
  <c r="AT338" i="1"/>
  <c r="AT339" i="1" s="1"/>
  <c r="AT326" i="1"/>
  <c r="AT317" i="1"/>
  <c r="AT310" i="1"/>
  <c r="AT292" i="1"/>
  <c r="AT278" i="1"/>
  <c r="AT272" i="1"/>
  <c r="AT266" i="1"/>
  <c r="AT259" i="1"/>
  <c r="AT255" i="1"/>
  <c r="AT243" i="1"/>
  <c r="AT236" i="1"/>
  <c r="AT232" i="1"/>
  <c r="AT219" i="1"/>
  <c r="AT199" i="1"/>
  <c r="AT195" i="1"/>
  <c r="AT174" i="1"/>
  <c r="AT175" i="1" s="1"/>
  <c r="AT155" i="1"/>
  <c r="AT156" i="1" s="1"/>
  <c r="AT74" i="1"/>
  <c r="AT70" i="1"/>
  <c r="AT9" i="1"/>
  <c r="AU1190" i="1"/>
  <c r="AU1188" i="1"/>
  <c r="AU1191" i="1" s="1"/>
  <c r="AU1178" i="1"/>
  <c r="AU1174" i="1"/>
  <c r="AU1164" i="1"/>
  <c r="AU1153" i="1"/>
  <c r="AU1134" i="1"/>
  <c r="AU1120" i="1"/>
  <c r="AU1107" i="1"/>
  <c r="AU1087" i="1"/>
  <c r="AU1067" i="1"/>
  <c r="AU1062" i="1"/>
  <c r="AU1056" i="1"/>
  <c r="AU1051" i="1"/>
  <c r="AU1038" i="1"/>
  <c r="AU1035" i="1"/>
  <c r="AU1032" i="1"/>
  <c r="AU1029" i="1"/>
  <c r="AU1020" i="1"/>
  <c r="AU1015" i="1"/>
  <c r="AU1008" i="1"/>
  <c r="AU978" i="1"/>
  <c r="AU967" i="1"/>
  <c r="AU955" i="1"/>
  <c r="AU956" i="1" s="1"/>
  <c r="AU951" i="1"/>
  <c r="AU936" i="1"/>
  <c r="AU924" i="1"/>
  <c r="AU914" i="1"/>
  <c r="AU910" i="1"/>
  <c r="AU905" i="1"/>
  <c r="AU901" i="1"/>
  <c r="AU886" i="1"/>
  <c r="AU880" i="1"/>
  <c r="AU874" i="1"/>
  <c r="AU863" i="1"/>
  <c r="AU864" i="1" s="1"/>
  <c r="AU853" i="1"/>
  <c r="AU845" i="1"/>
  <c r="AU838" i="1"/>
  <c r="AU834" i="1"/>
  <c r="AU823" i="1"/>
  <c r="AU801" i="1"/>
  <c r="AU797" i="1"/>
  <c r="AU788" i="1"/>
  <c r="AU789" i="1" s="1"/>
  <c r="AU776" i="1"/>
  <c r="AU773" i="1"/>
  <c r="AU766" i="1"/>
  <c r="AU757" i="1"/>
  <c r="AU746" i="1"/>
  <c r="AU742" i="1"/>
  <c r="AU727" i="1"/>
  <c r="AU715" i="1"/>
  <c r="AU707" i="1"/>
  <c r="AU694" i="1"/>
  <c r="AU687" i="1"/>
  <c r="AU673" i="1"/>
  <c r="AU669" i="1"/>
  <c r="AU665" i="1"/>
  <c r="AU659" i="1"/>
  <c r="AU674" i="1" s="1"/>
  <c r="AU654" i="1"/>
  <c r="AU646" i="1"/>
  <c r="AU640" i="1"/>
  <c r="AU635" i="1"/>
  <c r="AU626" i="1"/>
  <c r="AU617" i="1"/>
  <c r="AU610" i="1"/>
  <c r="AU606" i="1"/>
  <c r="AU596" i="1"/>
  <c r="AU563" i="1"/>
  <c r="AU536" i="1"/>
  <c r="AU520" i="1"/>
  <c r="AU511" i="1"/>
  <c r="AU497" i="1"/>
  <c r="AU480" i="1"/>
  <c r="AU481" i="1" s="1"/>
  <c r="AU474" i="1"/>
  <c r="AU468" i="1"/>
  <c r="AU460" i="1"/>
  <c r="AU443" i="1"/>
  <c r="AU412" i="1"/>
  <c r="AU386" i="1"/>
  <c r="AU382" i="1"/>
  <c r="AU371" i="1"/>
  <c r="AU367" i="1"/>
  <c r="AU357" i="1"/>
  <c r="AU353" i="1"/>
  <c r="AU338" i="1"/>
  <c r="AU339" i="1"/>
  <c r="AU326" i="1"/>
  <c r="AU317" i="1"/>
  <c r="AU310" i="1"/>
  <c r="AU292" i="1"/>
  <c r="AU278" i="1"/>
  <c r="AU272" i="1"/>
  <c r="AU266" i="1"/>
  <c r="AU259" i="1"/>
  <c r="AU255" i="1"/>
  <c r="AU243" i="1"/>
  <c r="AU236" i="1"/>
  <c r="AU232" i="1"/>
  <c r="AU219" i="1"/>
  <c r="AU199" i="1"/>
  <c r="AU195" i="1"/>
  <c r="AU174" i="1"/>
  <c r="AU175" i="1" s="1"/>
  <c r="AU155" i="1"/>
  <c r="AU156" i="1" s="1"/>
  <c r="AU74" i="1"/>
  <c r="AU70" i="1"/>
  <c r="AU9" i="1"/>
  <c r="AU84" i="1" s="1"/>
  <c r="AU83" i="1"/>
  <c r="AV1190" i="1"/>
  <c r="AV1188" i="1"/>
  <c r="AV1178" i="1"/>
  <c r="AV1174" i="1"/>
  <c r="AV1164" i="1"/>
  <c r="AV1153" i="1"/>
  <c r="AV1125" i="1"/>
  <c r="AV1134" i="1" s="1"/>
  <c r="AV1111" i="1"/>
  <c r="AV1115" i="1"/>
  <c r="AV1120" i="1" s="1"/>
  <c r="AV1107" i="1"/>
  <c r="AV1087" i="1"/>
  <c r="AV1067" i="1"/>
  <c r="AV1062" i="1"/>
  <c r="AV1056" i="1"/>
  <c r="AV1051" i="1"/>
  <c r="AV1038" i="1"/>
  <c r="AV1035" i="1"/>
  <c r="AV1032" i="1"/>
  <c r="AV1029" i="1"/>
  <c r="AV1020" i="1"/>
  <c r="AV1015" i="1"/>
  <c r="AV1008" i="1"/>
  <c r="AV978" i="1"/>
  <c r="AV967" i="1"/>
  <c r="AV955" i="1"/>
  <c r="AV951" i="1"/>
  <c r="AV956" i="1" s="1"/>
  <c r="AV957" i="1" s="1"/>
  <c r="AV936" i="1"/>
  <c r="AV924" i="1"/>
  <c r="AV937" i="1"/>
  <c r="AV914" i="1"/>
  <c r="AV915" i="1" s="1"/>
  <c r="AV910" i="1"/>
  <c r="AV905" i="1"/>
  <c r="AV901" i="1"/>
  <c r="AV886" i="1"/>
  <c r="AV880" i="1"/>
  <c r="AV874" i="1"/>
  <c r="AV863" i="1"/>
  <c r="AV864" i="1" s="1"/>
  <c r="AV853" i="1"/>
  <c r="AV845" i="1"/>
  <c r="AV838" i="1"/>
  <c r="AV834" i="1"/>
  <c r="AV823" i="1"/>
  <c r="AV801" i="1"/>
  <c r="AV797" i="1"/>
  <c r="AV788" i="1"/>
  <c r="AV789" i="1" s="1"/>
  <c r="AV776" i="1"/>
  <c r="AV773" i="1"/>
  <c r="AV766" i="1"/>
  <c r="AV757" i="1"/>
  <c r="AV746" i="1"/>
  <c r="AV742" i="1"/>
  <c r="AV727" i="1"/>
  <c r="AV728" i="1" s="1"/>
  <c r="AV715" i="1"/>
  <c r="AV707" i="1"/>
  <c r="AV694" i="1"/>
  <c r="AV687" i="1"/>
  <c r="AV673" i="1"/>
  <c r="AV669" i="1"/>
  <c r="AV665" i="1"/>
  <c r="AV659" i="1"/>
  <c r="AV654" i="1"/>
  <c r="AV646" i="1"/>
  <c r="AV640" i="1"/>
  <c r="AV635" i="1"/>
  <c r="AV626" i="1"/>
  <c r="AV617" i="1"/>
  <c r="AV610" i="1"/>
  <c r="AV606" i="1"/>
  <c r="AV607" i="1" s="1"/>
  <c r="AV596" i="1"/>
  <c r="AV563" i="1"/>
  <c r="AV536" i="1"/>
  <c r="AV520" i="1"/>
  <c r="AV511" i="1"/>
  <c r="AV497" i="1"/>
  <c r="AV480" i="1"/>
  <c r="AV481" i="1" s="1"/>
  <c r="AV474" i="1"/>
  <c r="AV468" i="1"/>
  <c r="AV460" i="1"/>
  <c r="AV443" i="1"/>
  <c r="AV412" i="1"/>
  <c r="AV386" i="1"/>
  <c r="AV382" i="1"/>
  <c r="AV371" i="1"/>
  <c r="AV367" i="1"/>
  <c r="AV357" i="1"/>
  <c r="AV353" i="1"/>
  <c r="AV338" i="1"/>
  <c r="AV339" i="1" s="1"/>
  <c r="AV326" i="1"/>
  <c r="AV317" i="1"/>
  <c r="AV310" i="1"/>
  <c r="AV292" i="1"/>
  <c r="AV278" i="1"/>
  <c r="AV272" i="1"/>
  <c r="AV266" i="1"/>
  <c r="AV259" i="1"/>
  <c r="AV255" i="1"/>
  <c r="AV243" i="1"/>
  <c r="AV236" i="1"/>
  <c r="AV237" i="1" s="1"/>
  <c r="AV232" i="1"/>
  <c r="AV219" i="1"/>
  <c r="AV199" i="1"/>
  <c r="AV195" i="1"/>
  <c r="AV174" i="1"/>
  <c r="AV175" i="1"/>
  <c r="AV155" i="1"/>
  <c r="AV156" i="1" s="1"/>
  <c r="AV74" i="1"/>
  <c r="AV70" i="1"/>
  <c r="AV9" i="1"/>
  <c r="AV83" i="1"/>
  <c r="AW1190" i="1"/>
  <c r="AW1188" i="1"/>
  <c r="AW1178" i="1"/>
  <c r="AW1174" i="1"/>
  <c r="AW1164" i="1"/>
  <c r="AW1153" i="1"/>
  <c r="AW1134" i="1"/>
  <c r="AW1135" i="1" s="1"/>
  <c r="AW1120" i="1"/>
  <c r="AW1107" i="1"/>
  <c r="AW1087" i="1"/>
  <c r="AW1067" i="1"/>
  <c r="AW1062" i="1"/>
  <c r="AW1056" i="1"/>
  <c r="AW1051" i="1"/>
  <c r="AW1068" i="1" s="1"/>
  <c r="AW1192" i="1" s="1"/>
  <c r="AW1038" i="1"/>
  <c r="AW1035" i="1"/>
  <c r="AW1032" i="1"/>
  <c r="AW1029" i="1"/>
  <c r="AW1020" i="1"/>
  <c r="AW1015" i="1"/>
  <c r="AW1008" i="1"/>
  <c r="AW978" i="1"/>
  <c r="AW967" i="1"/>
  <c r="AW955" i="1"/>
  <c r="AW951" i="1"/>
  <c r="AW934" i="1"/>
  <c r="AW923" i="1"/>
  <c r="AW924" i="1" s="1"/>
  <c r="AW914" i="1"/>
  <c r="AW910" i="1"/>
  <c r="AW915" i="1" s="1"/>
  <c r="AW905" i="1"/>
  <c r="AW906" i="1" s="1"/>
  <c r="AW916" i="1" s="1"/>
  <c r="AW901" i="1"/>
  <c r="AW886" i="1"/>
  <c r="AW880" i="1"/>
  <c r="AW874" i="1"/>
  <c r="AW863" i="1"/>
  <c r="AW853" i="1"/>
  <c r="AW845" i="1"/>
  <c r="AW864" i="1"/>
  <c r="AW838" i="1"/>
  <c r="AW834" i="1"/>
  <c r="AW823" i="1"/>
  <c r="AW801" i="1"/>
  <c r="AW797" i="1"/>
  <c r="AW788" i="1"/>
  <c r="AW789" i="1"/>
  <c r="AW776" i="1"/>
  <c r="AW777" i="1" s="1"/>
  <c r="AW773" i="1"/>
  <c r="AW766" i="1"/>
  <c r="AW757" i="1"/>
  <c r="AW746" i="1"/>
  <c r="AW742" i="1"/>
  <c r="AW727" i="1"/>
  <c r="AW715" i="1"/>
  <c r="AW707" i="1"/>
  <c r="AW728" i="1" s="1"/>
  <c r="AW694" i="1"/>
  <c r="AW687" i="1"/>
  <c r="AW673" i="1"/>
  <c r="AW669" i="1"/>
  <c r="AW665" i="1"/>
  <c r="AW659" i="1"/>
  <c r="AW654" i="1"/>
  <c r="AW646" i="1"/>
  <c r="AW640" i="1"/>
  <c r="AW635" i="1"/>
  <c r="AW626" i="1"/>
  <c r="AW617" i="1"/>
  <c r="AW610" i="1"/>
  <c r="AW606" i="1"/>
  <c r="AW596" i="1"/>
  <c r="AW607" i="1" s="1"/>
  <c r="AW563" i="1"/>
  <c r="AW536" i="1"/>
  <c r="AW520" i="1"/>
  <c r="AW511" i="1"/>
  <c r="AW497" i="1"/>
  <c r="AW480" i="1"/>
  <c r="AW481" i="1" s="1"/>
  <c r="AW474" i="1"/>
  <c r="AW468" i="1"/>
  <c r="AW460" i="1"/>
  <c r="AW443" i="1"/>
  <c r="AW412" i="1"/>
  <c r="AW386" i="1"/>
  <c r="AW382" i="1"/>
  <c r="AW371" i="1"/>
  <c r="AW367" i="1"/>
  <c r="AW357" i="1"/>
  <c r="AW353" i="1"/>
  <c r="AW338" i="1"/>
  <c r="AW339" i="1" s="1"/>
  <c r="AW326" i="1"/>
  <c r="AW317" i="1"/>
  <c r="AW310" i="1"/>
  <c r="AW292" i="1"/>
  <c r="AW278" i="1"/>
  <c r="AW272" i="1"/>
  <c r="AW266" i="1"/>
  <c r="AW259" i="1"/>
  <c r="AW255" i="1"/>
  <c r="AW243" i="1"/>
  <c r="AW236" i="1"/>
  <c r="AW232" i="1"/>
  <c r="AW219" i="1"/>
  <c r="AW199" i="1"/>
  <c r="AW195" i="1"/>
  <c r="AW174" i="1"/>
  <c r="AW175" i="1" s="1"/>
  <c r="AW96" i="1"/>
  <c r="AW155" i="1" s="1"/>
  <c r="AW156" i="1" s="1"/>
  <c r="AW120" i="1"/>
  <c r="AW74" i="1"/>
  <c r="AW64" i="1"/>
  <c r="AW66" i="1"/>
  <c r="AW68" i="1"/>
  <c r="AW69" i="1"/>
  <c r="AW9" i="1"/>
  <c r="AW83" i="1"/>
  <c r="AX1190" i="1"/>
  <c r="AX1188" i="1"/>
  <c r="AX1178" i="1"/>
  <c r="AX1174" i="1"/>
  <c r="AX1164" i="1"/>
  <c r="AX1153" i="1"/>
  <c r="AX1134" i="1"/>
  <c r="AX1120" i="1"/>
  <c r="AX1107" i="1"/>
  <c r="AX1087" i="1"/>
  <c r="AX1067" i="1"/>
  <c r="AX1062" i="1"/>
  <c r="AX1056" i="1"/>
  <c r="AX1051" i="1"/>
  <c r="AX1038" i="1"/>
  <c r="AX1035" i="1"/>
  <c r="AX1032" i="1"/>
  <c r="AX1029" i="1"/>
  <c r="AX1020" i="1"/>
  <c r="AX1015" i="1"/>
  <c r="AX1008" i="1"/>
  <c r="AX978" i="1"/>
  <c r="AX967" i="1"/>
  <c r="AX955" i="1"/>
  <c r="AX956" i="1" s="1"/>
  <c r="AX951" i="1"/>
  <c r="AX936" i="1"/>
  <c r="AX924" i="1"/>
  <c r="AX937" i="1" s="1"/>
  <c r="AX914" i="1"/>
  <c r="AX910" i="1"/>
  <c r="AX915" i="1" s="1"/>
  <c r="AX905" i="1"/>
  <c r="AX906" i="1" s="1"/>
  <c r="AX916" i="1" s="1"/>
  <c r="AX901" i="1"/>
  <c r="AX886" i="1"/>
  <c r="AX880" i="1"/>
  <c r="AX874" i="1"/>
  <c r="AX863" i="1"/>
  <c r="AX853" i="1"/>
  <c r="AX845" i="1"/>
  <c r="AX838" i="1"/>
  <c r="AX839" i="1" s="1"/>
  <c r="AX834" i="1"/>
  <c r="AX823" i="1"/>
  <c r="AX801" i="1"/>
  <c r="AX797" i="1"/>
  <c r="AX788" i="1"/>
  <c r="AX789" i="1" s="1"/>
  <c r="AX776" i="1"/>
  <c r="AX773" i="1"/>
  <c r="AX766" i="1"/>
  <c r="AX777" i="1" s="1"/>
  <c r="AX757" i="1"/>
  <c r="AX746" i="1"/>
  <c r="AX742" i="1"/>
  <c r="AX727" i="1"/>
  <c r="AX715" i="1"/>
  <c r="AX707" i="1"/>
  <c r="AX694" i="1"/>
  <c r="AX687" i="1"/>
  <c r="AX673" i="1"/>
  <c r="AX669" i="1"/>
  <c r="AX665" i="1"/>
  <c r="AX659" i="1"/>
  <c r="AX654" i="1"/>
  <c r="AX646" i="1"/>
  <c r="AX640" i="1"/>
  <c r="AX635" i="1"/>
  <c r="AX647" i="1" s="1"/>
  <c r="AX626" i="1"/>
  <c r="AX617" i="1"/>
  <c r="AX610" i="1"/>
  <c r="AX606" i="1"/>
  <c r="AX596" i="1"/>
  <c r="AX563" i="1"/>
  <c r="AX536" i="1"/>
  <c r="AX520" i="1"/>
  <c r="AX511" i="1"/>
  <c r="AX497" i="1"/>
  <c r="AX480" i="1"/>
  <c r="AX481" i="1" s="1"/>
  <c r="AX474" i="1"/>
  <c r="AX468" i="1"/>
  <c r="AX460" i="1"/>
  <c r="AX443" i="1"/>
  <c r="AX412" i="1"/>
  <c r="AX475" i="1" s="1"/>
  <c r="AX386" i="1"/>
  <c r="AX382" i="1"/>
  <c r="AX371" i="1"/>
  <c r="AX367" i="1"/>
  <c r="AX357" i="1"/>
  <c r="AX353" i="1"/>
  <c r="AX338" i="1"/>
  <c r="AX339" i="1" s="1"/>
  <c r="AX326" i="1"/>
  <c r="AX327" i="1" s="1"/>
  <c r="AX317" i="1"/>
  <c r="AX310" i="1"/>
  <c r="AX292" i="1"/>
  <c r="AX278" i="1"/>
  <c r="AX272" i="1"/>
  <c r="AX266" i="1"/>
  <c r="AX259" i="1"/>
  <c r="AX255" i="1"/>
  <c r="AX243" i="1"/>
  <c r="AX236" i="1"/>
  <c r="AX232" i="1"/>
  <c r="AX219" i="1"/>
  <c r="AX199" i="1"/>
  <c r="AX195" i="1"/>
  <c r="AX174" i="1"/>
  <c r="AX175" i="1" s="1"/>
  <c r="AX155" i="1"/>
  <c r="AX156" i="1" s="1"/>
  <c r="AX74" i="1"/>
  <c r="AX70" i="1"/>
  <c r="AX9" i="1"/>
  <c r="AX83" i="1"/>
  <c r="AY1190" i="1"/>
  <c r="AY1188" i="1"/>
  <c r="AY1178" i="1"/>
  <c r="AY1174" i="1"/>
  <c r="AY1175" i="1" s="1"/>
  <c r="AY1164" i="1"/>
  <c r="AY1153" i="1"/>
  <c r="AY1134" i="1"/>
  <c r="AY1120" i="1"/>
  <c r="AY1107" i="1"/>
  <c r="AY1087" i="1"/>
  <c r="AY1067" i="1"/>
  <c r="AY1062" i="1"/>
  <c r="AY1068" i="1" s="1"/>
  <c r="AY1056" i="1"/>
  <c r="AY1051" i="1"/>
  <c r="AY1038" i="1"/>
  <c r="AY1035" i="1"/>
  <c r="AY1032" i="1"/>
  <c r="AY1029" i="1"/>
  <c r="AY1020" i="1"/>
  <c r="AY1015" i="1"/>
  <c r="AY1008" i="1"/>
  <c r="AY978" i="1"/>
  <c r="AY967" i="1"/>
  <c r="AY955" i="1"/>
  <c r="AY951" i="1"/>
  <c r="AY936" i="1"/>
  <c r="AY924" i="1"/>
  <c r="AY914" i="1"/>
  <c r="AY915" i="1" s="1"/>
  <c r="AY916" i="1" s="1"/>
  <c r="AY910" i="1"/>
  <c r="AY905" i="1"/>
  <c r="AY901" i="1"/>
  <c r="AY906" i="1"/>
  <c r="AY886" i="1"/>
  <c r="AY880" i="1"/>
  <c r="AY874" i="1"/>
  <c r="AY887" i="1"/>
  <c r="AY863" i="1"/>
  <c r="AY853" i="1"/>
  <c r="AY845" i="1"/>
  <c r="AY838" i="1"/>
  <c r="AY839" i="1" s="1"/>
  <c r="AY834" i="1"/>
  <c r="AY823" i="1"/>
  <c r="AY801" i="1"/>
  <c r="AY797" i="1"/>
  <c r="AY788" i="1"/>
  <c r="AY789" i="1" s="1"/>
  <c r="AY776" i="1"/>
  <c r="AY773" i="1"/>
  <c r="AY766" i="1"/>
  <c r="AY757" i="1"/>
  <c r="AY746" i="1"/>
  <c r="AY742" i="1"/>
  <c r="AY727" i="1"/>
  <c r="AY715" i="1"/>
  <c r="AY707" i="1"/>
  <c r="AY694" i="1"/>
  <c r="AY687" i="1"/>
  <c r="AY673" i="1"/>
  <c r="AY669" i="1"/>
  <c r="AY665" i="1"/>
  <c r="AY659" i="1"/>
  <c r="AY654" i="1"/>
  <c r="AY646" i="1"/>
  <c r="AY640" i="1"/>
  <c r="AY635" i="1"/>
  <c r="AY626" i="1"/>
  <c r="AY617" i="1"/>
  <c r="AY610" i="1"/>
  <c r="AY606" i="1"/>
  <c r="AY596" i="1"/>
  <c r="AY563" i="1"/>
  <c r="AY536" i="1"/>
  <c r="AY520" i="1"/>
  <c r="AY511" i="1"/>
  <c r="AY497" i="1"/>
  <c r="AY480" i="1"/>
  <c r="AY481" i="1" s="1"/>
  <c r="AY474" i="1"/>
  <c r="AY468" i="1"/>
  <c r="AY460" i="1"/>
  <c r="AY443" i="1"/>
  <c r="AY412" i="1"/>
  <c r="AY386" i="1"/>
  <c r="AY382" i="1"/>
  <c r="AY371" i="1"/>
  <c r="AY367" i="1"/>
  <c r="AY357" i="1"/>
  <c r="AY353" i="1"/>
  <c r="AY338" i="1"/>
  <c r="AY339" i="1" s="1"/>
  <c r="AY326" i="1"/>
  <c r="AY317" i="1"/>
  <c r="AY310" i="1"/>
  <c r="AY292" i="1"/>
  <c r="AY278" i="1"/>
  <c r="AY272" i="1"/>
  <c r="AY266" i="1"/>
  <c r="AY259" i="1"/>
  <c r="AY255" i="1"/>
  <c r="AY243" i="1"/>
  <c r="AY236" i="1"/>
  <c r="AY232" i="1"/>
  <c r="AY219" i="1"/>
  <c r="AY199" i="1"/>
  <c r="AY195" i="1"/>
  <c r="AY174" i="1"/>
  <c r="AY175" i="1" s="1"/>
  <c r="AY155" i="1"/>
  <c r="AY156" i="1"/>
  <c r="AY74" i="1"/>
  <c r="AY70" i="1"/>
  <c r="AY9" i="1"/>
  <c r="AY83" i="1"/>
  <c r="AZ1190" i="1"/>
  <c r="AZ1188" i="1"/>
  <c r="AZ1178" i="1"/>
  <c r="AZ1174" i="1"/>
  <c r="AZ1164" i="1"/>
  <c r="AZ1153" i="1"/>
  <c r="AZ1134" i="1"/>
  <c r="AZ1120" i="1"/>
  <c r="AZ1107" i="1"/>
  <c r="AZ1087" i="1"/>
  <c r="AZ1067" i="1"/>
  <c r="AZ1062" i="1"/>
  <c r="AZ1056" i="1"/>
  <c r="AZ1051" i="1"/>
  <c r="AZ1038" i="1"/>
  <c r="AZ1035" i="1"/>
  <c r="AZ1032" i="1"/>
  <c r="AZ1029" i="1"/>
  <c r="AZ1020" i="1"/>
  <c r="AZ1015" i="1"/>
  <c r="AZ1008" i="1"/>
  <c r="AZ978" i="1"/>
  <c r="AZ967" i="1"/>
  <c r="AZ955" i="1"/>
  <c r="AZ951" i="1"/>
  <c r="AZ936" i="1"/>
  <c r="AZ924" i="1"/>
  <c r="AZ937" i="1" s="1"/>
  <c r="AZ914" i="1"/>
  <c r="AZ910" i="1"/>
  <c r="AZ905" i="1"/>
  <c r="AZ901" i="1"/>
  <c r="AZ886" i="1"/>
  <c r="AZ887" i="1" s="1"/>
  <c r="AZ880" i="1"/>
  <c r="AZ874" i="1"/>
  <c r="AZ863" i="1"/>
  <c r="AZ864" i="1" s="1"/>
  <c r="AZ853" i="1"/>
  <c r="AZ845" i="1"/>
  <c r="AZ838" i="1"/>
  <c r="AZ834" i="1"/>
  <c r="AZ823" i="1"/>
  <c r="AZ801" i="1"/>
  <c r="AZ797" i="1"/>
  <c r="AZ788" i="1"/>
  <c r="AZ789" i="1" s="1"/>
  <c r="AZ776" i="1"/>
  <c r="AZ773" i="1"/>
  <c r="AZ766" i="1"/>
  <c r="AZ757" i="1"/>
  <c r="AZ746" i="1"/>
  <c r="AZ742" i="1"/>
  <c r="AZ727" i="1"/>
  <c r="AZ715" i="1"/>
  <c r="AZ707" i="1"/>
  <c r="AZ694" i="1"/>
  <c r="AZ695" i="1" s="1"/>
  <c r="AZ687" i="1"/>
  <c r="AZ673" i="1"/>
  <c r="AZ669" i="1"/>
  <c r="AZ665" i="1"/>
  <c r="AZ659" i="1"/>
  <c r="AZ654" i="1"/>
  <c r="AZ646" i="1"/>
  <c r="AZ640" i="1"/>
  <c r="AZ635" i="1"/>
  <c r="AZ626" i="1"/>
  <c r="AZ617" i="1"/>
  <c r="AZ610" i="1"/>
  <c r="AZ606" i="1"/>
  <c r="AZ596" i="1"/>
  <c r="AZ563" i="1"/>
  <c r="AZ536" i="1"/>
  <c r="AZ520" i="1"/>
  <c r="AZ511" i="1"/>
  <c r="AZ497" i="1"/>
  <c r="AZ480" i="1"/>
  <c r="AZ481" i="1" s="1"/>
  <c r="AZ474" i="1"/>
  <c r="AZ468" i="1"/>
  <c r="AZ460" i="1"/>
  <c r="AZ443" i="1"/>
  <c r="AZ412" i="1"/>
  <c r="AZ386" i="1"/>
  <c r="AZ382" i="1"/>
  <c r="AZ371" i="1"/>
  <c r="AZ367" i="1"/>
  <c r="AZ357" i="1"/>
  <c r="AZ353" i="1"/>
  <c r="AZ338" i="1"/>
  <c r="AZ339" i="1" s="1"/>
  <c r="AZ326" i="1"/>
  <c r="AZ317" i="1"/>
  <c r="AZ310" i="1"/>
  <c r="AZ292" i="1"/>
  <c r="AZ278" i="1"/>
  <c r="AZ272" i="1"/>
  <c r="AZ266" i="1"/>
  <c r="AZ259" i="1"/>
  <c r="AZ255" i="1"/>
  <c r="AZ243" i="1"/>
  <c r="AZ236" i="1"/>
  <c r="AZ232" i="1"/>
  <c r="AZ219" i="1"/>
  <c r="AZ199" i="1"/>
  <c r="AZ195" i="1"/>
  <c r="AZ174" i="1"/>
  <c r="AZ175" i="1"/>
  <c r="AZ155" i="1"/>
  <c r="AZ156" i="1" s="1"/>
  <c r="AZ74" i="1"/>
  <c r="AZ70" i="1"/>
  <c r="AZ9" i="1"/>
  <c r="AZ83" i="1"/>
  <c r="BA1190" i="1"/>
  <c r="BA1188" i="1"/>
  <c r="BA1178" i="1"/>
  <c r="BA1174" i="1"/>
  <c r="BA1175" i="1" s="1"/>
  <c r="BA1164" i="1"/>
  <c r="BA1153" i="1"/>
  <c r="BA1134" i="1"/>
  <c r="BA1120" i="1"/>
  <c r="BA1107" i="1"/>
  <c r="BA1087" i="1"/>
  <c r="BA1067" i="1"/>
  <c r="BA1062" i="1"/>
  <c r="BA1056" i="1"/>
  <c r="BA1051" i="1"/>
  <c r="BA1038" i="1"/>
  <c r="BA1035" i="1"/>
  <c r="BA1032" i="1"/>
  <c r="BA1029" i="1"/>
  <c r="BA1020" i="1"/>
  <c r="BA1015" i="1"/>
  <c r="BA1008" i="1"/>
  <c r="BA978" i="1"/>
  <c r="BA967" i="1"/>
  <c r="BA955" i="1"/>
  <c r="BA951" i="1"/>
  <c r="BA956" i="1" s="1"/>
  <c r="BA936" i="1"/>
  <c r="BA924" i="1"/>
  <c r="BA914" i="1"/>
  <c r="BA915" i="1" s="1"/>
  <c r="BA910" i="1"/>
  <c r="BA905" i="1"/>
  <c r="BA901" i="1"/>
  <c r="BA906" i="1" s="1"/>
  <c r="BA886" i="1"/>
  <c r="BA880" i="1"/>
  <c r="BA874" i="1"/>
  <c r="BA863" i="1"/>
  <c r="BA853" i="1"/>
  <c r="BA845" i="1"/>
  <c r="BA838" i="1"/>
  <c r="BA834" i="1"/>
  <c r="BA823" i="1"/>
  <c r="BA801" i="1"/>
  <c r="BA797" i="1"/>
  <c r="BA788" i="1"/>
  <c r="BA789" i="1" s="1"/>
  <c r="BA776" i="1"/>
  <c r="BA773" i="1"/>
  <c r="BA766" i="1"/>
  <c r="BA757" i="1"/>
  <c r="BA746" i="1"/>
  <c r="BA742" i="1"/>
  <c r="BA727" i="1"/>
  <c r="BA715" i="1"/>
  <c r="BA707" i="1"/>
  <c r="BA694" i="1"/>
  <c r="BA687" i="1"/>
  <c r="BA673" i="1"/>
  <c r="BA669" i="1"/>
  <c r="BA665" i="1"/>
  <c r="BA659" i="1"/>
  <c r="BA654" i="1"/>
  <c r="BA646" i="1"/>
  <c r="BA640" i="1"/>
  <c r="BA635" i="1"/>
  <c r="BA626" i="1"/>
  <c r="BA617" i="1"/>
  <c r="BA610" i="1"/>
  <c r="BA647" i="1" s="1"/>
  <c r="BA606" i="1"/>
  <c r="BA596" i="1"/>
  <c r="BA563" i="1"/>
  <c r="BA536" i="1"/>
  <c r="BA520" i="1"/>
  <c r="BA511" i="1"/>
  <c r="BA497" i="1"/>
  <c r="BA480" i="1"/>
  <c r="BA481" i="1" s="1"/>
  <c r="BA474" i="1"/>
  <c r="BA468" i="1"/>
  <c r="BA460" i="1"/>
  <c r="BA443" i="1"/>
  <c r="BA412" i="1"/>
  <c r="BA386" i="1"/>
  <c r="BA382" i="1"/>
  <c r="BA371" i="1"/>
  <c r="BA367" i="1"/>
  <c r="BA357" i="1"/>
  <c r="BA353" i="1"/>
  <c r="BA338" i="1"/>
  <c r="BA339" i="1" s="1"/>
  <c r="BA326" i="1"/>
  <c r="BA317" i="1"/>
  <c r="BA310" i="1"/>
  <c r="BA292" i="1"/>
  <c r="BA278" i="1"/>
  <c r="BA272" i="1"/>
  <c r="BA266" i="1"/>
  <c r="BA259" i="1"/>
  <c r="BA255" i="1"/>
  <c r="BA243" i="1"/>
  <c r="BA236" i="1"/>
  <c r="BA237" i="1" s="1"/>
  <c r="BA232" i="1"/>
  <c r="BA219" i="1"/>
  <c r="BA199" i="1"/>
  <c r="BA195" i="1"/>
  <c r="BA174" i="1"/>
  <c r="BA175" i="1"/>
  <c r="BA155" i="1"/>
  <c r="BA156" i="1" s="1"/>
  <c r="BA74" i="1"/>
  <c r="BA70" i="1"/>
  <c r="BA9" i="1"/>
  <c r="BA83" i="1"/>
  <c r="BB1190" i="1"/>
  <c r="BB1188" i="1"/>
  <c r="BB1178" i="1"/>
  <c r="BB1174" i="1"/>
  <c r="BB1164" i="1"/>
  <c r="BB1153" i="1"/>
  <c r="BB1134" i="1"/>
  <c r="BB1120" i="1"/>
  <c r="BB1107" i="1"/>
  <c r="BB1087" i="1"/>
  <c r="BB1067" i="1"/>
  <c r="BB1062" i="1"/>
  <c r="BB1056" i="1"/>
  <c r="BB1051" i="1"/>
  <c r="BB1038" i="1"/>
  <c r="BB1035" i="1"/>
  <c r="BB1032" i="1"/>
  <c r="BB1029" i="1"/>
  <c r="BB1020" i="1"/>
  <c r="BB1015" i="1"/>
  <c r="BB1008" i="1"/>
  <c r="BB978" i="1"/>
  <c r="BB967" i="1"/>
  <c r="BB955" i="1"/>
  <c r="BB951" i="1"/>
  <c r="BB956" i="1" s="1"/>
  <c r="BB936" i="1"/>
  <c r="BB937" i="1" s="1"/>
  <c r="BB924" i="1"/>
  <c r="BB914" i="1"/>
  <c r="BB915" i="1" s="1"/>
  <c r="BB910" i="1"/>
  <c r="BB905" i="1"/>
  <c r="BB906" i="1" s="1"/>
  <c r="BB901" i="1"/>
  <c r="BB886" i="1"/>
  <c r="BB880" i="1"/>
  <c r="BB874" i="1"/>
  <c r="BB863" i="1"/>
  <c r="BB853" i="1"/>
  <c r="BB845" i="1"/>
  <c r="BB838" i="1"/>
  <c r="BB839" i="1" s="1"/>
  <c r="BB834" i="1"/>
  <c r="BB823" i="1"/>
  <c r="BB801" i="1"/>
  <c r="BB797" i="1"/>
  <c r="BB788" i="1"/>
  <c r="BB789" i="1" s="1"/>
  <c r="BB776" i="1"/>
  <c r="BB773" i="1"/>
  <c r="BB766" i="1"/>
  <c r="BB757" i="1"/>
  <c r="BB746" i="1"/>
  <c r="BB742" i="1"/>
  <c r="BB727" i="1"/>
  <c r="BB715" i="1"/>
  <c r="BB707" i="1"/>
  <c r="BB694" i="1"/>
  <c r="BB687" i="1"/>
  <c r="BB673" i="1"/>
  <c r="BB669" i="1"/>
  <c r="BB665" i="1"/>
  <c r="BB659" i="1"/>
  <c r="BB654" i="1"/>
  <c r="BB646" i="1"/>
  <c r="BB640" i="1"/>
  <c r="BB635" i="1"/>
  <c r="BB626" i="1"/>
  <c r="BB617" i="1"/>
  <c r="BB610" i="1"/>
  <c r="BB606" i="1"/>
  <c r="BB596" i="1"/>
  <c r="BB563" i="1"/>
  <c r="BB536" i="1"/>
  <c r="BB520" i="1"/>
  <c r="BB511" i="1"/>
  <c r="BB497" i="1"/>
  <c r="BB480" i="1"/>
  <c r="BB481" i="1" s="1"/>
  <c r="BB474" i="1"/>
  <c r="BB468" i="1"/>
  <c r="BB460" i="1"/>
  <c r="BB443" i="1"/>
  <c r="BB412" i="1"/>
  <c r="BB386" i="1"/>
  <c r="BB382" i="1"/>
  <c r="BB387" i="1" s="1"/>
  <c r="BB371" i="1"/>
  <c r="BB367" i="1"/>
  <c r="BB357" i="1"/>
  <c r="BB353" i="1"/>
  <c r="BB338" i="1"/>
  <c r="BB339" i="1" s="1"/>
  <c r="BB326" i="1"/>
  <c r="BB317" i="1"/>
  <c r="BB310" i="1"/>
  <c r="BB292" i="1"/>
  <c r="BB278" i="1"/>
  <c r="BB272" i="1"/>
  <c r="BB266" i="1"/>
  <c r="BB259" i="1"/>
  <c r="BB255" i="1"/>
  <c r="BB243" i="1"/>
  <c r="BB236" i="1"/>
  <c r="BB232" i="1"/>
  <c r="BB219" i="1"/>
  <c r="BB199" i="1"/>
  <c r="BB195" i="1"/>
  <c r="BB174" i="1"/>
  <c r="BB175" i="1" s="1"/>
  <c r="BB155" i="1"/>
  <c r="BB156" i="1"/>
  <c r="BB74" i="1"/>
  <c r="BB62" i="1"/>
  <c r="BB66" i="1"/>
  <c r="BB67" i="1"/>
  <c r="BB69" i="1"/>
  <c r="BB9" i="1"/>
  <c r="BB83" i="1"/>
  <c r="BC1190" i="1"/>
  <c r="BC1188" i="1"/>
  <c r="BC1178" i="1"/>
  <c r="BC1174" i="1"/>
  <c r="BC1164" i="1"/>
  <c r="BC1153" i="1"/>
  <c r="BC1175" i="1" s="1"/>
  <c r="BC1134" i="1"/>
  <c r="BC1120" i="1"/>
  <c r="BC1107" i="1"/>
  <c r="BC1087" i="1"/>
  <c r="BC1067" i="1"/>
  <c r="BC1062" i="1"/>
  <c r="BC1056" i="1"/>
  <c r="BC1051" i="1"/>
  <c r="BC1038" i="1"/>
  <c r="BC1035" i="1"/>
  <c r="BC1032" i="1"/>
  <c r="BC1029" i="1"/>
  <c r="BC1020" i="1"/>
  <c r="BC1015" i="1"/>
  <c r="BC1008" i="1"/>
  <c r="BC978" i="1"/>
  <c r="BC967" i="1"/>
  <c r="BC955" i="1"/>
  <c r="BC951" i="1"/>
  <c r="BC936" i="1"/>
  <c r="BC924" i="1"/>
  <c r="BC937" i="1" s="1"/>
  <c r="BC914" i="1"/>
  <c r="BC910" i="1"/>
  <c r="BC905" i="1"/>
  <c r="BC901" i="1"/>
  <c r="BC886" i="1"/>
  <c r="BC880" i="1"/>
  <c r="BC874" i="1"/>
  <c r="BC863" i="1"/>
  <c r="BC853" i="1"/>
  <c r="BC864" i="1" s="1"/>
  <c r="BC845" i="1"/>
  <c r="BC838" i="1"/>
  <c r="BC834" i="1"/>
  <c r="BC823" i="1"/>
  <c r="BC801" i="1"/>
  <c r="BC797" i="1"/>
  <c r="BC788" i="1"/>
  <c r="BC789" i="1" s="1"/>
  <c r="BC776" i="1"/>
  <c r="BC773" i="1"/>
  <c r="BC766" i="1"/>
  <c r="BC757" i="1"/>
  <c r="BC746" i="1"/>
  <c r="BC742" i="1"/>
  <c r="BC727" i="1"/>
  <c r="BC715" i="1"/>
  <c r="BC707" i="1"/>
  <c r="BC694" i="1"/>
  <c r="BC687" i="1"/>
  <c r="BC673" i="1"/>
  <c r="BC669" i="1"/>
  <c r="BC665" i="1"/>
  <c r="BC659" i="1"/>
  <c r="BC654" i="1"/>
  <c r="BC646" i="1"/>
  <c r="BC640" i="1"/>
  <c r="BC635" i="1"/>
  <c r="BC626" i="1"/>
  <c r="BC617" i="1"/>
  <c r="BC610" i="1"/>
  <c r="BC606" i="1"/>
  <c r="BC596" i="1"/>
  <c r="BC563" i="1"/>
  <c r="BC536" i="1"/>
  <c r="BC520" i="1"/>
  <c r="BC511" i="1"/>
  <c r="BC497" i="1"/>
  <c r="BC480" i="1"/>
  <c r="BC481" i="1" s="1"/>
  <c r="BC474" i="1"/>
  <c r="BC468" i="1"/>
  <c r="BC460" i="1"/>
  <c r="BC443" i="1"/>
  <c r="BC412" i="1"/>
  <c r="BC386" i="1"/>
  <c r="BC382" i="1"/>
  <c r="BC371" i="1"/>
  <c r="BC367" i="1"/>
  <c r="BC357" i="1"/>
  <c r="BC353" i="1"/>
  <c r="BC338" i="1"/>
  <c r="BC339" i="1"/>
  <c r="BC326" i="1"/>
  <c r="BC317" i="1"/>
  <c r="BC310" i="1"/>
  <c r="BC292" i="1"/>
  <c r="BC278" i="1"/>
  <c r="BC272" i="1"/>
  <c r="BC266" i="1"/>
  <c r="BC259" i="1"/>
  <c r="BC255" i="1"/>
  <c r="BC243" i="1"/>
  <c r="BC236" i="1"/>
  <c r="BC232" i="1"/>
  <c r="BC219" i="1"/>
  <c r="BC237" i="1" s="1"/>
  <c r="BC199" i="1"/>
  <c r="BC195" i="1"/>
  <c r="BC174" i="1"/>
  <c r="BC175" i="1" s="1"/>
  <c r="BC155" i="1"/>
  <c r="BC156" i="1" s="1"/>
  <c r="BC74" i="1"/>
  <c r="BC70" i="1"/>
  <c r="BC9" i="1"/>
  <c r="BC83" i="1"/>
  <c r="BD1190" i="1"/>
  <c r="BD1191" i="1" s="1"/>
  <c r="BD1188" i="1"/>
  <c r="BD1178" i="1"/>
  <c r="BD1174" i="1"/>
  <c r="BD1164" i="1"/>
  <c r="BD1153" i="1"/>
  <c r="BD1134" i="1"/>
  <c r="BD1120" i="1"/>
  <c r="BD1107" i="1"/>
  <c r="BD1087" i="1"/>
  <c r="BD1067" i="1"/>
  <c r="BD1062" i="1"/>
  <c r="BD1056" i="1"/>
  <c r="BD1051" i="1"/>
  <c r="BD1038" i="1"/>
  <c r="BD1035" i="1"/>
  <c r="BD1032" i="1"/>
  <c r="BD1029" i="1"/>
  <c r="BD1020" i="1"/>
  <c r="BD1015" i="1"/>
  <c r="BD1008" i="1"/>
  <c r="BD978" i="1"/>
  <c r="BD967" i="1"/>
  <c r="BD955" i="1"/>
  <c r="BD951" i="1"/>
  <c r="BD936" i="1"/>
  <c r="BD924" i="1"/>
  <c r="BD914" i="1"/>
  <c r="BD910" i="1"/>
  <c r="BD905" i="1"/>
  <c r="BD901" i="1"/>
  <c r="BD906" i="1"/>
  <c r="BD886" i="1"/>
  <c r="BD887" i="1" s="1"/>
  <c r="BD880" i="1"/>
  <c r="BD874" i="1"/>
  <c r="BD863" i="1"/>
  <c r="BD853" i="1"/>
  <c r="BD845" i="1"/>
  <c r="BD838" i="1"/>
  <c r="BD839" i="1" s="1"/>
  <c r="BD834" i="1"/>
  <c r="BD823" i="1"/>
  <c r="BD801" i="1"/>
  <c r="BD797" i="1"/>
  <c r="BD788" i="1"/>
  <c r="BD789" i="1" s="1"/>
  <c r="BD776" i="1"/>
  <c r="BD773" i="1"/>
  <c r="BD766" i="1"/>
  <c r="BD757" i="1"/>
  <c r="BD746" i="1"/>
  <c r="BD742" i="1"/>
  <c r="BD727" i="1"/>
  <c r="BD715" i="1"/>
  <c r="BD707" i="1"/>
  <c r="BD694" i="1"/>
  <c r="BD687" i="1"/>
  <c r="BD673" i="1"/>
  <c r="BD669" i="1"/>
  <c r="BD665" i="1"/>
  <c r="BD659" i="1"/>
  <c r="BD654" i="1"/>
  <c r="BD646" i="1"/>
  <c r="BD640" i="1"/>
  <c r="BD635" i="1"/>
  <c r="BD626" i="1"/>
  <c r="BD617" i="1"/>
  <c r="BD610" i="1"/>
  <c r="BD606" i="1"/>
  <c r="BD596" i="1"/>
  <c r="BD563" i="1"/>
  <c r="BD536" i="1"/>
  <c r="BD520" i="1"/>
  <c r="BD511" i="1"/>
  <c r="BD497" i="1"/>
  <c r="BD480" i="1"/>
  <c r="BD481" i="1" s="1"/>
  <c r="BD474" i="1"/>
  <c r="BD468" i="1"/>
  <c r="BD460" i="1"/>
  <c r="BD443" i="1"/>
  <c r="BD412" i="1"/>
  <c r="BD386" i="1"/>
  <c r="BD382" i="1"/>
  <c r="BD371" i="1"/>
  <c r="BD367" i="1"/>
  <c r="BD357" i="1"/>
  <c r="BD353" i="1"/>
  <c r="BD338" i="1"/>
  <c r="BD339" i="1"/>
  <c r="BD326" i="1"/>
  <c r="BD317" i="1"/>
  <c r="BD310" i="1"/>
  <c r="BD292" i="1"/>
  <c r="BD278" i="1"/>
  <c r="BD272" i="1"/>
  <c r="BD266" i="1"/>
  <c r="BD259" i="1"/>
  <c r="BD255" i="1"/>
  <c r="BD243" i="1"/>
  <c r="BD236" i="1"/>
  <c r="BD232" i="1"/>
  <c r="BD219" i="1"/>
  <c r="BD237" i="1" s="1"/>
  <c r="BD199" i="1"/>
  <c r="BD195" i="1"/>
  <c r="BD174" i="1"/>
  <c r="BD175" i="1" s="1"/>
  <c r="BD155" i="1"/>
  <c r="BD156" i="1" s="1"/>
  <c r="BD74" i="1"/>
  <c r="BD70" i="1"/>
  <c r="BD9" i="1"/>
  <c r="BD83" i="1"/>
  <c r="BE1190" i="1"/>
  <c r="BE1188" i="1"/>
  <c r="BE1178" i="1"/>
  <c r="BE1174" i="1"/>
  <c r="BE1164" i="1"/>
  <c r="BE1153" i="1"/>
  <c r="BE1134" i="1"/>
  <c r="BE1120" i="1"/>
  <c r="BE1107" i="1"/>
  <c r="BE1087" i="1"/>
  <c r="BE1067" i="1"/>
  <c r="BE1062" i="1"/>
  <c r="BE1056" i="1"/>
  <c r="BE1051" i="1"/>
  <c r="BE1038" i="1"/>
  <c r="BE1035" i="1"/>
  <c r="BE1032" i="1"/>
  <c r="BE1029" i="1"/>
  <c r="BE1020" i="1"/>
  <c r="BE1015" i="1"/>
  <c r="BE1008" i="1"/>
  <c r="BE978" i="1"/>
  <c r="BE967" i="1"/>
  <c r="BE955" i="1"/>
  <c r="BE951" i="1"/>
  <c r="BE936" i="1"/>
  <c r="BE924" i="1"/>
  <c r="BE914" i="1"/>
  <c r="BE910" i="1"/>
  <c r="BE915" i="1" s="1"/>
  <c r="BE905" i="1"/>
  <c r="BE901" i="1"/>
  <c r="BE906" i="1"/>
  <c r="BE886" i="1"/>
  <c r="BE887" i="1" s="1"/>
  <c r="BE880" i="1"/>
  <c r="BE874" i="1"/>
  <c r="BE863" i="1"/>
  <c r="BE853" i="1"/>
  <c r="BE845" i="1"/>
  <c r="BE838" i="1"/>
  <c r="BE834" i="1"/>
  <c r="BE823" i="1"/>
  <c r="BE801" i="1"/>
  <c r="BE797" i="1"/>
  <c r="BE788" i="1"/>
  <c r="BE789" i="1" s="1"/>
  <c r="BE776" i="1"/>
  <c r="BE773" i="1"/>
  <c r="BE766" i="1"/>
  <c r="BE757" i="1"/>
  <c r="BE746" i="1"/>
  <c r="BE742" i="1"/>
  <c r="BE727" i="1"/>
  <c r="BE715" i="1"/>
  <c r="BE707" i="1"/>
  <c r="BE728" i="1"/>
  <c r="BE694" i="1"/>
  <c r="BE687" i="1"/>
  <c r="BE673" i="1"/>
  <c r="BE669" i="1"/>
  <c r="BE665" i="1"/>
  <c r="BE659" i="1"/>
  <c r="BE654" i="1"/>
  <c r="BE646" i="1"/>
  <c r="BE640" i="1"/>
  <c r="BE635" i="1"/>
  <c r="BE626" i="1"/>
  <c r="BE617" i="1"/>
  <c r="BE610" i="1"/>
  <c r="BE606" i="1"/>
  <c r="BE596" i="1"/>
  <c r="BE563" i="1"/>
  <c r="BE607" i="1" s="1"/>
  <c r="BE696" i="1" s="1"/>
  <c r="BE536" i="1"/>
  <c r="BE520" i="1"/>
  <c r="BE511" i="1"/>
  <c r="BE497" i="1"/>
  <c r="BE480" i="1"/>
  <c r="BE481" i="1" s="1"/>
  <c r="BE474" i="1"/>
  <c r="BE468" i="1"/>
  <c r="BE460" i="1"/>
  <c r="BE443" i="1"/>
  <c r="BE412" i="1"/>
  <c r="BE386" i="1"/>
  <c r="BE382" i="1"/>
  <c r="BE371" i="1"/>
  <c r="BE367" i="1"/>
  <c r="BE357" i="1"/>
  <c r="BE353" i="1"/>
  <c r="BE387" i="1" s="1"/>
  <c r="BE338" i="1"/>
  <c r="BE339" i="1" s="1"/>
  <c r="BE326" i="1"/>
  <c r="BE317" i="1"/>
  <c r="BE310" i="1"/>
  <c r="BE292" i="1"/>
  <c r="BE278" i="1"/>
  <c r="BE272" i="1"/>
  <c r="BE266" i="1"/>
  <c r="BE327" i="1" s="1"/>
  <c r="BE259" i="1"/>
  <c r="BE255" i="1"/>
  <c r="BE243" i="1"/>
  <c r="BE236" i="1"/>
  <c r="BE232" i="1"/>
  <c r="BE219" i="1"/>
  <c r="BE199" i="1"/>
  <c r="BE195" i="1"/>
  <c r="BE237" i="1" s="1"/>
  <c r="BE174" i="1"/>
  <c r="BE175" i="1" s="1"/>
  <c r="BE155" i="1"/>
  <c r="BE156" i="1" s="1"/>
  <c r="BE74" i="1"/>
  <c r="BE70" i="1"/>
  <c r="BE9" i="1"/>
  <c r="BE83" i="1"/>
  <c r="BF1190" i="1"/>
  <c r="BF1188" i="1"/>
  <c r="BF1178" i="1"/>
  <c r="BF1174" i="1"/>
  <c r="BF1164" i="1"/>
  <c r="BF1175" i="1" s="1"/>
  <c r="BF1153" i="1"/>
  <c r="BF1134" i="1"/>
  <c r="BF1120" i="1"/>
  <c r="BF1107" i="1"/>
  <c r="BF1087" i="1"/>
  <c r="BF1067" i="1"/>
  <c r="BF1062" i="1"/>
  <c r="BF1056" i="1"/>
  <c r="BF1051" i="1"/>
  <c r="BF1038" i="1"/>
  <c r="BF1035" i="1"/>
  <c r="BF1032" i="1"/>
  <c r="BF1029" i="1"/>
  <c r="BF1020" i="1"/>
  <c r="BF1015" i="1"/>
  <c r="BF1008" i="1"/>
  <c r="BF978" i="1"/>
  <c r="BF967" i="1"/>
  <c r="BF955" i="1"/>
  <c r="BF956" i="1" s="1"/>
  <c r="BF951" i="1"/>
  <c r="BF936" i="1"/>
  <c r="BF924" i="1"/>
  <c r="BF937" i="1" s="1"/>
  <c r="BF957" i="1" s="1"/>
  <c r="BF914" i="1"/>
  <c r="BF910" i="1"/>
  <c r="BF905" i="1"/>
  <c r="BF901" i="1"/>
  <c r="BF886" i="1"/>
  <c r="BF880" i="1"/>
  <c r="BF874" i="1"/>
  <c r="BF863" i="1"/>
  <c r="BF853" i="1"/>
  <c r="BF845" i="1"/>
  <c r="BF838" i="1"/>
  <c r="BF834" i="1"/>
  <c r="BF823" i="1"/>
  <c r="BF801" i="1"/>
  <c r="BF797" i="1"/>
  <c r="BF788" i="1"/>
  <c r="BF789" i="1" s="1"/>
  <c r="BF776" i="1"/>
  <c r="BF773" i="1"/>
  <c r="BF766" i="1"/>
  <c r="BF757" i="1"/>
  <c r="BF746" i="1"/>
  <c r="BF742" i="1"/>
  <c r="BF727" i="1"/>
  <c r="BF715" i="1"/>
  <c r="BF707" i="1"/>
  <c r="BF694" i="1"/>
  <c r="BF687" i="1"/>
  <c r="BF695" i="1" s="1"/>
  <c r="BF673" i="1"/>
  <c r="BF669" i="1"/>
  <c r="BF665" i="1"/>
  <c r="BF659" i="1"/>
  <c r="BF654" i="1"/>
  <c r="BF646" i="1"/>
  <c r="BF640" i="1"/>
  <c r="BF635" i="1"/>
  <c r="BF626" i="1"/>
  <c r="BF617" i="1"/>
  <c r="BF610" i="1"/>
  <c r="BF606" i="1"/>
  <c r="BF596" i="1"/>
  <c r="BF607" i="1" s="1"/>
  <c r="BF563" i="1"/>
  <c r="BF536" i="1"/>
  <c r="BF520" i="1"/>
  <c r="BF537" i="1" s="1"/>
  <c r="BF511" i="1"/>
  <c r="BF497" i="1"/>
  <c r="BF480" i="1"/>
  <c r="BF481" i="1" s="1"/>
  <c r="BF474" i="1"/>
  <c r="BF468" i="1"/>
  <c r="BF460" i="1"/>
  <c r="BF443" i="1"/>
  <c r="BF412" i="1"/>
  <c r="BF386" i="1"/>
  <c r="BF382" i="1"/>
  <c r="BF371" i="1"/>
  <c r="BF367" i="1"/>
  <c r="BF357" i="1"/>
  <c r="BF353" i="1"/>
  <c r="BF338" i="1"/>
  <c r="BF339" i="1" s="1"/>
  <c r="BF326" i="1"/>
  <c r="BF317" i="1"/>
  <c r="BF310" i="1"/>
  <c r="BF292" i="1"/>
  <c r="BF278" i="1"/>
  <c r="BF272" i="1"/>
  <c r="BF266" i="1"/>
  <c r="BF259" i="1"/>
  <c r="BF255" i="1"/>
  <c r="BF243" i="1"/>
  <c r="BF236" i="1"/>
  <c r="BF232" i="1"/>
  <c r="BF219" i="1"/>
  <c r="BF199" i="1"/>
  <c r="BF195" i="1"/>
  <c r="BF174" i="1"/>
  <c r="BF175" i="1" s="1"/>
  <c r="BF96" i="1"/>
  <c r="BF120" i="1"/>
  <c r="BH120" i="1" s="1"/>
  <c r="BF130" i="1"/>
  <c r="BH130" i="1" s="1"/>
  <c r="BF74" i="1"/>
  <c r="BF70" i="1"/>
  <c r="BF9" i="1"/>
  <c r="BF84" i="1" s="1"/>
  <c r="BF83" i="1"/>
  <c r="BG1190" i="1"/>
  <c r="BG1188" i="1"/>
  <c r="BG1178" i="1"/>
  <c r="BG1174" i="1"/>
  <c r="BG1164" i="1"/>
  <c r="BG1153" i="1"/>
  <c r="BG1175" i="1" s="1"/>
  <c r="BG1134" i="1"/>
  <c r="BG1120" i="1"/>
  <c r="BG1107" i="1"/>
  <c r="BG1087" i="1"/>
  <c r="BG1067" i="1"/>
  <c r="BG1062" i="1"/>
  <c r="BG1056" i="1"/>
  <c r="BG1051" i="1"/>
  <c r="BG1038" i="1"/>
  <c r="BG1035" i="1"/>
  <c r="BG1032" i="1"/>
  <c r="BG1029" i="1"/>
  <c r="BG1020" i="1"/>
  <c r="BG1015" i="1"/>
  <c r="BG1008" i="1"/>
  <c r="BG978" i="1"/>
  <c r="BG967" i="1"/>
  <c r="BG955" i="1"/>
  <c r="BG956" i="1" s="1"/>
  <c r="BG951" i="1"/>
  <c r="BG936" i="1"/>
  <c r="BG937" i="1" s="1"/>
  <c r="BG924" i="1"/>
  <c r="BG914" i="1"/>
  <c r="BG910" i="1"/>
  <c r="BG915" i="1" s="1"/>
  <c r="BG905" i="1"/>
  <c r="BG901" i="1"/>
  <c r="BG886" i="1"/>
  <c r="BG887" i="1" s="1"/>
  <c r="BG880" i="1"/>
  <c r="BG874" i="1"/>
  <c r="BG863" i="1"/>
  <c r="BG853" i="1"/>
  <c r="BG845" i="1"/>
  <c r="BG838" i="1"/>
  <c r="BG834" i="1"/>
  <c r="BG823" i="1"/>
  <c r="BG801" i="1"/>
  <c r="BG797" i="1"/>
  <c r="BG788" i="1"/>
  <c r="BG789" i="1" s="1"/>
  <c r="BG776" i="1"/>
  <c r="BG773" i="1"/>
  <c r="BG766" i="1"/>
  <c r="BG757" i="1"/>
  <c r="BG746" i="1"/>
  <c r="BG742" i="1"/>
  <c r="BG727" i="1"/>
  <c r="BG715" i="1"/>
  <c r="BG707" i="1"/>
  <c r="BG694" i="1"/>
  <c r="BG687" i="1"/>
  <c r="BG695" i="1"/>
  <c r="BG673" i="1"/>
  <c r="BG669" i="1"/>
  <c r="BG665" i="1"/>
  <c r="BG659" i="1"/>
  <c r="BG654" i="1"/>
  <c r="BG646" i="1"/>
  <c r="BG640" i="1"/>
  <c r="BG635" i="1"/>
  <c r="BG626" i="1"/>
  <c r="BG617" i="1"/>
  <c r="BG610" i="1"/>
  <c r="BG606" i="1"/>
  <c r="BG596" i="1"/>
  <c r="BG563" i="1"/>
  <c r="BG536" i="1"/>
  <c r="BG520" i="1"/>
  <c r="BG511" i="1"/>
  <c r="BG497" i="1"/>
  <c r="BG480" i="1"/>
  <c r="BG481" i="1" s="1"/>
  <c r="BG474" i="1"/>
  <c r="BG468" i="1"/>
  <c r="BG460" i="1"/>
  <c r="BG443" i="1"/>
  <c r="BG412" i="1"/>
  <c r="BG386" i="1"/>
  <c r="BG382" i="1"/>
  <c r="BG371" i="1"/>
  <c r="BG367" i="1"/>
  <c r="BG357" i="1"/>
  <c r="BG353" i="1"/>
  <c r="BG338" i="1"/>
  <c r="BG339" i="1"/>
  <c r="BG326" i="1"/>
  <c r="BG317" i="1"/>
  <c r="BG310" i="1"/>
  <c r="BG292" i="1"/>
  <c r="BG278" i="1"/>
  <c r="BG272" i="1"/>
  <c r="BG266" i="1"/>
  <c r="BG259" i="1"/>
  <c r="BG255" i="1"/>
  <c r="BG243" i="1"/>
  <c r="BG236" i="1"/>
  <c r="BG232" i="1"/>
  <c r="BG219" i="1"/>
  <c r="BG199" i="1"/>
  <c r="BG195" i="1"/>
  <c r="BG237" i="1"/>
  <c r="BG174" i="1"/>
  <c r="BG175" i="1" s="1"/>
  <c r="BG155" i="1"/>
  <c r="BG156" i="1" s="1"/>
  <c r="BG74" i="1"/>
  <c r="BG70" i="1"/>
  <c r="BG9" i="1"/>
  <c r="BG83" i="1"/>
  <c r="BH1189" i="1"/>
  <c r="BH1190" i="1" s="1"/>
  <c r="BH1179" i="1"/>
  <c r="BH1180" i="1"/>
  <c r="BH1181" i="1"/>
  <c r="BH1188" i="1" s="1"/>
  <c r="BH1182" i="1"/>
  <c r="BH1183" i="1"/>
  <c r="BH1184" i="1"/>
  <c r="BH1185" i="1"/>
  <c r="BH1186" i="1"/>
  <c r="BH1187" i="1"/>
  <c r="BH1178" i="1"/>
  <c r="BH1165" i="1"/>
  <c r="BH1166" i="1"/>
  <c r="BH1167" i="1"/>
  <c r="BH1168" i="1"/>
  <c r="BH1169" i="1"/>
  <c r="BH1170" i="1"/>
  <c r="BH1171" i="1"/>
  <c r="BH1172" i="1"/>
  <c r="BH1173" i="1"/>
  <c r="BH1164" i="1"/>
  <c r="BH1136" i="1"/>
  <c r="BH1137" i="1"/>
  <c r="BH1138" i="1"/>
  <c r="BH1139" i="1"/>
  <c r="BH1140" i="1"/>
  <c r="BH1141" i="1"/>
  <c r="BH1142" i="1"/>
  <c r="BH1143" i="1"/>
  <c r="BH1144" i="1"/>
  <c r="BH1145" i="1"/>
  <c r="BH1146" i="1"/>
  <c r="BH1147" i="1"/>
  <c r="BH1148" i="1"/>
  <c r="BH1149" i="1"/>
  <c r="BH1150" i="1"/>
  <c r="BH1151" i="1"/>
  <c r="BH1152" i="1"/>
  <c r="BH1121" i="1"/>
  <c r="BH1122" i="1"/>
  <c r="BH1123" i="1"/>
  <c r="BH1124" i="1"/>
  <c r="BH1125" i="1"/>
  <c r="BH1126" i="1"/>
  <c r="BH1127" i="1"/>
  <c r="BH1128" i="1"/>
  <c r="BH1129" i="1"/>
  <c r="BH1130" i="1"/>
  <c r="BH1131" i="1"/>
  <c r="BH1132" i="1"/>
  <c r="BH1133" i="1"/>
  <c r="BH1108" i="1"/>
  <c r="BH1109" i="1"/>
  <c r="BH1110" i="1"/>
  <c r="BH1111" i="1"/>
  <c r="BH1112" i="1"/>
  <c r="BH1113" i="1"/>
  <c r="BH1114" i="1"/>
  <c r="BH1115" i="1"/>
  <c r="BH1116" i="1"/>
  <c r="BH1117" i="1"/>
  <c r="BH1118" i="1"/>
  <c r="BH1119" i="1"/>
  <c r="BH1088" i="1"/>
  <c r="BH1089" i="1"/>
  <c r="BH1090" i="1"/>
  <c r="BH1091" i="1"/>
  <c r="BH1092" i="1"/>
  <c r="BH1093" i="1"/>
  <c r="BH1094" i="1"/>
  <c r="BH1095" i="1"/>
  <c r="BH1096" i="1"/>
  <c r="BH1097" i="1"/>
  <c r="BH1098" i="1"/>
  <c r="BH1099" i="1"/>
  <c r="BH1100" i="1"/>
  <c r="BH1101" i="1"/>
  <c r="BH1102" i="1"/>
  <c r="BH1103" i="1"/>
  <c r="BH1104" i="1"/>
  <c r="BH1105" i="1"/>
  <c r="BH1106" i="1"/>
  <c r="BH1069" i="1"/>
  <c r="BH1070" i="1"/>
  <c r="BH1071" i="1"/>
  <c r="BH1072" i="1"/>
  <c r="BH1073" i="1"/>
  <c r="BH1074" i="1"/>
  <c r="BH1075" i="1"/>
  <c r="BH1076" i="1"/>
  <c r="BH1077" i="1"/>
  <c r="BH1078" i="1"/>
  <c r="BH1079" i="1"/>
  <c r="BH1080" i="1"/>
  <c r="BH1081" i="1"/>
  <c r="BH1082" i="1"/>
  <c r="BH1083" i="1"/>
  <c r="BH1084" i="1"/>
  <c r="BH1085" i="1"/>
  <c r="BH1086" i="1"/>
  <c r="BH1063" i="1"/>
  <c r="BH1064" i="1"/>
  <c r="BH1065" i="1"/>
  <c r="BH1066" i="1"/>
  <c r="BH1057" i="1"/>
  <c r="BH1058" i="1"/>
  <c r="BH1059" i="1"/>
  <c r="BH1060" i="1"/>
  <c r="BH1061" i="1"/>
  <c r="BH1052" i="1"/>
  <c r="BH1056" i="1" s="1"/>
  <c r="BH1053" i="1"/>
  <c r="BH1054" i="1"/>
  <c r="BH1055" i="1"/>
  <c r="BH1051" i="1"/>
  <c r="BH1036" i="1"/>
  <c r="BH1037" i="1"/>
  <c r="BH1038" i="1"/>
  <c r="BH1033" i="1"/>
  <c r="BH1035" i="1" s="1"/>
  <c r="BH1034" i="1"/>
  <c r="BH1030" i="1"/>
  <c r="BH1032" i="1" s="1"/>
  <c r="BH1031" i="1"/>
  <c r="BH1021" i="1"/>
  <c r="BH1022" i="1"/>
  <c r="BH1023" i="1"/>
  <c r="BH1024" i="1"/>
  <c r="BH1025" i="1"/>
  <c r="BH1026" i="1"/>
  <c r="BH1027" i="1"/>
  <c r="BH1028" i="1"/>
  <c r="BH1016" i="1"/>
  <c r="BH1017" i="1"/>
  <c r="BH1018" i="1"/>
  <c r="BH1019" i="1"/>
  <c r="BH1009" i="1"/>
  <c r="BH1010" i="1"/>
  <c r="BH1011" i="1"/>
  <c r="BH1012" i="1"/>
  <c r="BH1013" i="1"/>
  <c r="BH1014" i="1"/>
  <c r="BH984" i="1"/>
  <c r="BH985" i="1"/>
  <c r="BH986" i="1"/>
  <c r="BH987" i="1"/>
  <c r="BH988" i="1"/>
  <c r="BH989" i="1"/>
  <c r="BH991" i="1"/>
  <c r="BH992" i="1"/>
  <c r="BH993" i="1"/>
  <c r="BH994" i="1"/>
  <c r="BH995" i="1"/>
  <c r="BH996" i="1"/>
  <c r="BH997" i="1"/>
  <c r="BH998" i="1"/>
  <c r="BH999" i="1"/>
  <c r="BH1000" i="1"/>
  <c r="BH1001" i="1"/>
  <c r="BH1002" i="1"/>
  <c r="BH1003" i="1"/>
  <c r="BH1004" i="1"/>
  <c r="BH1005" i="1"/>
  <c r="BH1006" i="1"/>
  <c r="BH1007" i="1"/>
  <c r="BH990" i="1"/>
  <c r="BH978" i="1"/>
  <c r="BH967" i="1"/>
  <c r="BH955" i="1"/>
  <c r="BH938" i="1"/>
  <c r="BH939" i="1"/>
  <c r="BH940" i="1"/>
  <c r="DD940" i="1"/>
  <c r="DE940" i="1" s="1"/>
  <c r="CN940" i="1"/>
  <c r="BX940" i="1"/>
  <c r="BH941" i="1"/>
  <c r="BH942" i="1"/>
  <c r="BH943" i="1"/>
  <c r="BH944" i="1"/>
  <c r="DD944" i="1"/>
  <c r="DE944" i="1" s="1"/>
  <c r="CN944" i="1"/>
  <c r="BX944" i="1"/>
  <c r="BH945" i="1"/>
  <c r="BH946" i="1"/>
  <c r="BH947" i="1"/>
  <c r="BH948" i="1"/>
  <c r="DD948" i="1"/>
  <c r="DE948" i="1" s="1"/>
  <c r="CN948" i="1"/>
  <c r="BX948" i="1"/>
  <c r="BH949" i="1"/>
  <c r="BH950" i="1"/>
  <c r="BH925" i="1"/>
  <c r="BH926" i="1"/>
  <c r="BH927" i="1"/>
  <c r="BH928" i="1"/>
  <c r="BH929" i="1"/>
  <c r="BH930" i="1"/>
  <c r="BH931" i="1"/>
  <c r="BH932" i="1"/>
  <c r="BH933" i="1"/>
  <c r="DD934" i="1"/>
  <c r="CN934" i="1"/>
  <c r="BX934" i="1"/>
  <c r="BH935" i="1"/>
  <c r="BH917" i="1"/>
  <c r="BH918" i="1"/>
  <c r="BH919" i="1"/>
  <c r="DD919" i="1"/>
  <c r="DE919" i="1" s="1"/>
  <c r="CN919" i="1"/>
  <c r="BX919" i="1"/>
  <c r="BH920" i="1"/>
  <c r="BH921" i="1"/>
  <c r="BH922" i="1"/>
  <c r="BH923" i="1"/>
  <c r="DD923" i="1"/>
  <c r="CC923" i="1"/>
  <c r="CN923" i="1" s="1"/>
  <c r="BX923" i="1"/>
  <c r="BH911" i="1"/>
  <c r="BH912" i="1"/>
  <c r="BH913" i="1"/>
  <c r="BH905" i="1"/>
  <c r="BH893" i="1"/>
  <c r="BH894" i="1"/>
  <c r="BH895" i="1"/>
  <c r="BH896" i="1"/>
  <c r="BH897" i="1"/>
  <c r="BH898" i="1"/>
  <c r="BH899" i="1"/>
  <c r="BH900" i="1"/>
  <c r="BH881" i="1"/>
  <c r="BH882" i="1"/>
  <c r="DE882" i="1" s="1"/>
  <c r="BH883" i="1"/>
  <c r="BH884" i="1"/>
  <c r="BH885" i="1"/>
  <c r="BH875" i="1"/>
  <c r="BH876" i="1"/>
  <c r="BH877" i="1"/>
  <c r="BH878" i="1"/>
  <c r="BH879" i="1"/>
  <c r="DE879" i="1" s="1"/>
  <c r="BH866" i="1"/>
  <c r="BH867" i="1"/>
  <c r="BH868" i="1"/>
  <c r="BH869" i="1"/>
  <c r="BH870" i="1"/>
  <c r="BH871" i="1"/>
  <c r="BH872" i="1"/>
  <c r="BH873" i="1"/>
  <c r="BH854" i="1"/>
  <c r="BH855" i="1"/>
  <c r="BH856" i="1"/>
  <c r="BH857" i="1"/>
  <c r="BH858" i="1"/>
  <c r="BH859" i="1"/>
  <c r="BH860" i="1"/>
  <c r="BH861" i="1"/>
  <c r="BH862" i="1"/>
  <c r="BH846" i="1"/>
  <c r="BH847" i="1"/>
  <c r="BH848" i="1"/>
  <c r="BH849" i="1"/>
  <c r="BH850" i="1"/>
  <c r="BH851" i="1"/>
  <c r="BH852" i="1"/>
  <c r="BH845" i="1"/>
  <c r="BH838" i="1"/>
  <c r="BH834" i="1"/>
  <c r="BH798" i="1"/>
  <c r="BH799" i="1"/>
  <c r="BH800" i="1"/>
  <c r="BH797" i="1"/>
  <c r="BH778" i="1"/>
  <c r="BH779" i="1"/>
  <c r="BH780" i="1"/>
  <c r="BH781" i="1"/>
  <c r="BH782" i="1"/>
  <c r="BH783" i="1"/>
  <c r="BH784" i="1"/>
  <c r="BH785" i="1"/>
  <c r="BH786" i="1"/>
  <c r="BH787" i="1"/>
  <c r="BH774" i="1"/>
  <c r="BH775" i="1"/>
  <c r="BH767" i="1"/>
  <c r="BH768" i="1"/>
  <c r="BH769" i="1"/>
  <c r="BH770" i="1"/>
  <c r="BH771" i="1"/>
  <c r="BH772" i="1"/>
  <c r="BH758" i="1"/>
  <c r="BH759" i="1"/>
  <c r="BH760" i="1"/>
  <c r="BH761" i="1"/>
  <c r="BH762" i="1"/>
  <c r="BH763" i="1"/>
  <c r="BH764" i="1"/>
  <c r="BH765" i="1"/>
  <c r="BH747" i="1"/>
  <c r="BH748" i="1"/>
  <c r="BH749" i="1"/>
  <c r="BH750" i="1"/>
  <c r="BH751" i="1"/>
  <c r="BH752" i="1"/>
  <c r="BH753" i="1"/>
  <c r="BH754" i="1"/>
  <c r="BH755" i="1"/>
  <c r="BH756" i="1"/>
  <c r="BH743" i="1"/>
  <c r="BH744" i="1"/>
  <c r="BH745" i="1"/>
  <c r="BH729" i="1"/>
  <c r="BH730" i="1"/>
  <c r="BH731" i="1"/>
  <c r="BH732" i="1"/>
  <c r="BH733" i="1"/>
  <c r="BH734" i="1"/>
  <c r="BH735" i="1"/>
  <c r="BH736" i="1"/>
  <c r="BH737" i="1"/>
  <c r="BH738" i="1"/>
  <c r="BH739" i="1"/>
  <c r="BH740" i="1"/>
  <c r="BH741" i="1"/>
  <c r="BH716" i="1"/>
  <c r="BH717" i="1"/>
  <c r="BH718" i="1"/>
  <c r="BH719" i="1"/>
  <c r="BH720" i="1"/>
  <c r="BH721" i="1"/>
  <c r="BH722" i="1"/>
  <c r="BH723" i="1"/>
  <c r="BH724" i="1"/>
  <c r="BH725" i="1"/>
  <c r="BH726" i="1"/>
  <c r="BH708" i="1"/>
  <c r="BH709" i="1"/>
  <c r="BH710" i="1"/>
  <c r="BH711" i="1"/>
  <c r="BH712" i="1"/>
  <c r="BH713" i="1"/>
  <c r="BH714" i="1"/>
  <c r="BH697" i="1"/>
  <c r="BH698" i="1"/>
  <c r="BH699" i="1"/>
  <c r="BH700" i="1"/>
  <c r="BH701" i="1"/>
  <c r="BH702" i="1"/>
  <c r="BH703" i="1"/>
  <c r="BH704" i="1"/>
  <c r="BH705" i="1"/>
  <c r="BH706" i="1"/>
  <c r="BH688" i="1"/>
  <c r="BH689" i="1"/>
  <c r="BH690" i="1"/>
  <c r="BH691" i="1"/>
  <c r="BH692" i="1"/>
  <c r="BH693" i="1"/>
  <c r="BH675" i="1"/>
  <c r="BH676" i="1"/>
  <c r="BH677" i="1"/>
  <c r="BH678" i="1"/>
  <c r="BH679" i="1"/>
  <c r="BH680" i="1"/>
  <c r="BH681" i="1"/>
  <c r="BH682" i="1"/>
  <c r="BH683" i="1"/>
  <c r="BH684" i="1"/>
  <c r="BH685" i="1"/>
  <c r="BH686" i="1"/>
  <c r="BH670" i="1"/>
  <c r="BH671" i="1"/>
  <c r="BH672" i="1"/>
  <c r="BH666" i="1"/>
  <c r="BH667" i="1"/>
  <c r="BH668" i="1"/>
  <c r="BH660" i="1"/>
  <c r="BH661" i="1"/>
  <c r="BH662" i="1"/>
  <c r="BH663" i="1"/>
  <c r="BH664" i="1"/>
  <c r="BH655" i="1"/>
  <c r="BH656" i="1"/>
  <c r="BH657" i="1"/>
  <c r="BH658" i="1"/>
  <c r="BH648" i="1"/>
  <c r="BH649" i="1"/>
  <c r="BH650" i="1"/>
  <c r="BH651" i="1"/>
  <c r="BH652" i="1"/>
  <c r="BH653" i="1"/>
  <c r="BH641" i="1"/>
  <c r="BH642" i="1"/>
  <c r="BH643" i="1"/>
  <c r="BH644" i="1"/>
  <c r="BH645" i="1"/>
  <c r="BH636" i="1"/>
  <c r="BH637" i="1"/>
  <c r="BH638" i="1"/>
  <c r="BH639" i="1"/>
  <c r="BH627" i="1"/>
  <c r="BH628" i="1"/>
  <c r="BH629" i="1"/>
  <c r="BH630" i="1"/>
  <c r="BH631" i="1"/>
  <c r="BH632" i="1"/>
  <c r="BH633" i="1"/>
  <c r="BH634" i="1"/>
  <c r="BH618" i="1"/>
  <c r="BH619" i="1"/>
  <c r="BH620" i="1"/>
  <c r="BH621" i="1"/>
  <c r="BH622" i="1"/>
  <c r="BH623" i="1"/>
  <c r="BH624" i="1"/>
  <c r="BH625" i="1"/>
  <c r="BH611" i="1"/>
  <c r="BH612" i="1"/>
  <c r="BH613" i="1"/>
  <c r="BH614" i="1"/>
  <c r="BH615" i="1"/>
  <c r="BH616" i="1"/>
  <c r="BH608" i="1"/>
  <c r="BH609" i="1"/>
  <c r="BH597" i="1"/>
  <c r="BH598" i="1"/>
  <c r="BH599" i="1"/>
  <c r="BH600" i="1"/>
  <c r="BH601" i="1"/>
  <c r="BH602" i="1"/>
  <c r="BH603" i="1"/>
  <c r="BH604" i="1"/>
  <c r="BH605" i="1"/>
  <c r="BH564" i="1"/>
  <c r="BH565" i="1"/>
  <c r="BH566" i="1"/>
  <c r="BH567" i="1"/>
  <c r="DD567" i="1"/>
  <c r="CN567" i="1"/>
  <c r="BX567" i="1"/>
  <c r="BH568" i="1"/>
  <c r="BH569" i="1"/>
  <c r="BH570" i="1"/>
  <c r="BH571" i="1"/>
  <c r="DD571" i="1"/>
  <c r="CN571" i="1"/>
  <c r="BX571" i="1"/>
  <c r="BH572" i="1"/>
  <c r="BH573" i="1"/>
  <c r="BH574" i="1"/>
  <c r="BH575" i="1"/>
  <c r="DD575" i="1"/>
  <c r="CN575" i="1"/>
  <c r="BX575" i="1"/>
  <c r="BH576" i="1"/>
  <c r="BH577" i="1"/>
  <c r="BH578" i="1"/>
  <c r="BH579" i="1"/>
  <c r="DD579" i="1"/>
  <c r="DE579" i="1" s="1"/>
  <c r="CN579" i="1"/>
  <c r="BX579" i="1"/>
  <c r="BH580" i="1"/>
  <c r="BH581" i="1"/>
  <c r="BH582" i="1"/>
  <c r="BH583" i="1"/>
  <c r="DD583" i="1"/>
  <c r="CN583" i="1"/>
  <c r="BX583" i="1"/>
  <c r="BH584" i="1"/>
  <c r="BH585" i="1"/>
  <c r="BH586" i="1"/>
  <c r="BH587" i="1"/>
  <c r="DD587" i="1"/>
  <c r="CN587" i="1"/>
  <c r="BX587" i="1"/>
  <c r="BH588" i="1"/>
  <c r="BH589" i="1"/>
  <c r="BH590" i="1"/>
  <c r="BH591" i="1"/>
  <c r="DD591" i="1"/>
  <c r="DE591" i="1" s="1"/>
  <c r="CN591" i="1"/>
  <c r="BX591" i="1"/>
  <c r="BH592" i="1"/>
  <c r="BH593" i="1"/>
  <c r="BH594" i="1"/>
  <c r="BH595" i="1"/>
  <c r="DD595" i="1"/>
  <c r="CN595" i="1"/>
  <c r="BX595" i="1"/>
  <c r="BH539" i="1"/>
  <c r="BH540" i="1"/>
  <c r="BH541" i="1"/>
  <c r="BH542" i="1"/>
  <c r="BH543" i="1"/>
  <c r="BH544" i="1"/>
  <c r="BH545" i="1"/>
  <c r="BH546" i="1"/>
  <c r="BH547" i="1"/>
  <c r="BH548" i="1"/>
  <c r="BH549" i="1"/>
  <c r="BH550" i="1"/>
  <c r="DD550" i="1"/>
  <c r="CN550" i="1"/>
  <c r="BX550" i="1"/>
  <c r="BH551" i="1"/>
  <c r="BH552" i="1"/>
  <c r="BH553" i="1"/>
  <c r="BH554" i="1"/>
  <c r="DD554" i="1"/>
  <c r="CN554" i="1"/>
  <c r="BX554" i="1"/>
  <c r="BH555" i="1"/>
  <c r="BH556" i="1"/>
  <c r="BH557" i="1"/>
  <c r="BH558" i="1"/>
  <c r="BH559" i="1"/>
  <c r="BH560" i="1"/>
  <c r="BH561" i="1"/>
  <c r="BH562" i="1"/>
  <c r="BH521" i="1"/>
  <c r="BH522" i="1"/>
  <c r="BH523" i="1"/>
  <c r="BH524" i="1"/>
  <c r="BH525" i="1"/>
  <c r="BH526" i="1"/>
  <c r="BH527" i="1"/>
  <c r="BH528" i="1"/>
  <c r="BH529" i="1"/>
  <c r="BH530" i="1"/>
  <c r="BH531" i="1"/>
  <c r="BH532" i="1"/>
  <c r="BH533" i="1"/>
  <c r="BH534" i="1"/>
  <c r="BH535" i="1"/>
  <c r="BH512" i="1"/>
  <c r="BH513" i="1"/>
  <c r="BH514" i="1"/>
  <c r="BH515" i="1"/>
  <c r="BH516" i="1"/>
  <c r="BH517" i="1"/>
  <c r="BH518" i="1"/>
  <c r="BH519" i="1"/>
  <c r="BH498" i="1"/>
  <c r="BH499" i="1"/>
  <c r="BH500" i="1"/>
  <c r="BH501" i="1"/>
  <c r="BH502" i="1"/>
  <c r="BH503" i="1"/>
  <c r="BH504" i="1"/>
  <c r="BH505" i="1"/>
  <c r="BH506" i="1"/>
  <c r="BH507" i="1"/>
  <c r="BH508" i="1"/>
  <c r="BH509" i="1"/>
  <c r="BH510" i="1"/>
  <c r="BH482" i="1"/>
  <c r="BH483" i="1"/>
  <c r="BH484" i="1"/>
  <c r="BH485" i="1"/>
  <c r="BH486" i="1"/>
  <c r="BH487" i="1"/>
  <c r="BH488" i="1"/>
  <c r="BH489" i="1"/>
  <c r="BH490" i="1"/>
  <c r="BH491" i="1"/>
  <c r="BH492" i="1"/>
  <c r="BH493" i="1"/>
  <c r="BH494" i="1"/>
  <c r="BH495" i="1"/>
  <c r="BH496" i="1"/>
  <c r="BH480" i="1"/>
  <c r="BH481" i="1" s="1"/>
  <c r="BH383" i="1"/>
  <c r="BH384" i="1"/>
  <c r="BH385" i="1"/>
  <c r="BH372" i="1"/>
  <c r="BH373" i="1"/>
  <c r="BH374" i="1"/>
  <c r="BH375" i="1"/>
  <c r="BH376" i="1"/>
  <c r="BH377" i="1"/>
  <c r="BH378" i="1"/>
  <c r="BH379" i="1"/>
  <c r="BH380" i="1"/>
  <c r="BH381" i="1"/>
  <c r="BH368" i="1"/>
  <c r="BH369" i="1"/>
  <c r="BH370" i="1"/>
  <c r="BH358" i="1"/>
  <c r="BH359" i="1"/>
  <c r="BH360" i="1"/>
  <c r="BH361" i="1"/>
  <c r="BH362" i="1"/>
  <c r="BH363" i="1"/>
  <c r="BH364" i="1"/>
  <c r="BH365" i="1"/>
  <c r="BH366" i="1"/>
  <c r="BH354" i="1"/>
  <c r="BH355" i="1"/>
  <c r="BH356" i="1"/>
  <c r="BH357" i="1" s="1"/>
  <c r="BH340" i="1"/>
  <c r="BH341" i="1"/>
  <c r="BH342" i="1"/>
  <c r="BH343" i="1"/>
  <c r="BH344" i="1"/>
  <c r="BH345" i="1"/>
  <c r="BH346" i="1"/>
  <c r="BH347" i="1"/>
  <c r="BH348" i="1"/>
  <c r="BH349" i="1"/>
  <c r="BH350" i="1"/>
  <c r="BH351" i="1"/>
  <c r="BH352" i="1"/>
  <c r="BH328" i="1"/>
  <c r="BH329" i="1"/>
  <c r="BH330" i="1"/>
  <c r="BH331" i="1"/>
  <c r="BH332" i="1"/>
  <c r="BH333" i="1"/>
  <c r="BH334" i="1"/>
  <c r="BH335" i="1"/>
  <c r="BH336" i="1"/>
  <c r="BH337" i="1"/>
  <c r="BH318" i="1"/>
  <c r="BH319" i="1"/>
  <c r="BH320" i="1"/>
  <c r="BH321" i="1"/>
  <c r="BH322" i="1"/>
  <c r="BH323" i="1"/>
  <c r="BH324" i="1"/>
  <c r="BH325" i="1"/>
  <c r="BH311" i="1"/>
  <c r="BH312" i="1"/>
  <c r="BH313" i="1"/>
  <c r="BH314" i="1"/>
  <c r="BH315" i="1"/>
  <c r="BH316" i="1"/>
  <c r="BH293" i="1"/>
  <c r="BH294" i="1"/>
  <c r="BH295" i="1"/>
  <c r="BH296" i="1"/>
  <c r="BH297" i="1"/>
  <c r="BH298" i="1"/>
  <c r="BH299" i="1"/>
  <c r="BH300" i="1"/>
  <c r="BH301" i="1"/>
  <c r="BH302" i="1"/>
  <c r="BH303" i="1"/>
  <c r="BH304" i="1"/>
  <c r="BH305" i="1"/>
  <c r="BH306" i="1"/>
  <c r="BH307" i="1"/>
  <c r="BH308" i="1"/>
  <c r="BH309" i="1"/>
  <c r="BH279" i="1"/>
  <c r="BH280" i="1"/>
  <c r="BH281" i="1"/>
  <c r="BH282" i="1"/>
  <c r="BH283" i="1"/>
  <c r="BH284" i="1"/>
  <c r="BH285" i="1"/>
  <c r="BH286" i="1"/>
  <c r="BH287" i="1"/>
  <c r="BH288" i="1"/>
  <c r="BH289" i="1"/>
  <c r="BH290" i="1"/>
  <c r="BH291" i="1"/>
  <c r="BH273" i="1"/>
  <c r="BH274" i="1"/>
  <c r="BH275" i="1"/>
  <c r="BH276" i="1"/>
  <c r="BH277" i="1"/>
  <c r="BH267" i="1"/>
  <c r="BH268" i="1"/>
  <c r="BH269" i="1"/>
  <c r="BH270" i="1"/>
  <c r="BH271" i="1"/>
  <c r="BH260" i="1"/>
  <c r="BH261" i="1"/>
  <c r="BH262" i="1"/>
  <c r="BH263" i="1"/>
  <c r="BH264" i="1"/>
  <c r="BH265" i="1"/>
  <c r="BH256" i="1"/>
  <c r="BH257" i="1"/>
  <c r="BH258" i="1"/>
  <c r="BH244" i="1"/>
  <c r="BH245" i="1"/>
  <c r="BH246" i="1"/>
  <c r="BH247" i="1"/>
  <c r="BH248" i="1"/>
  <c r="BH249" i="1"/>
  <c r="BH250" i="1"/>
  <c r="BH251" i="1"/>
  <c r="BH252" i="1"/>
  <c r="BH253" i="1"/>
  <c r="BH254" i="1"/>
  <c r="BH238" i="1"/>
  <c r="BH239" i="1"/>
  <c r="BH240" i="1"/>
  <c r="BH241" i="1"/>
  <c r="BH242" i="1"/>
  <c r="BH233" i="1"/>
  <c r="BH234" i="1"/>
  <c r="BH235" i="1"/>
  <c r="BH220" i="1"/>
  <c r="BH221" i="1"/>
  <c r="BH222" i="1"/>
  <c r="BH223" i="1"/>
  <c r="BH224" i="1"/>
  <c r="BH225" i="1"/>
  <c r="BH226" i="1"/>
  <c r="BH227" i="1"/>
  <c r="BH228" i="1"/>
  <c r="BH229" i="1"/>
  <c r="BH230" i="1"/>
  <c r="BH231" i="1"/>
  <c r="BH200" i="1"/>
  <c r="BH201" i="1"/>
  <c r="BH202" i="1"/>
  <c r="BH203" i="1"/>
  <c r="BH204" i="1"/>
  <c r="BH205" i="1"/>
  <c r="BH206" i="1"/>
  <c r="BH207" i="1"/>
  <c r="BH208" i="1"/>
  <c r="BH209" i="1"/>
  <c r="BH210" i="1"/>
  <c r="BH211" i="1"/>
  <c r="BH212" i="1"/>
  <c r="BH213" i="1"/>
  <c r="BH214" i="1"/>
  <c r="BH215" i="1"/>
  <c r="BH216" i="1"/>
  <c r="BH217" i="1"/>
  <c r="BH218" i="1"/>
  <c r="BH196" i="1"/>
  <c r="BH197" i="1"/>
  <c r="BH198" i="1"/>
  <c r="BH176" i="1"/>
  <c r="BH177" i="1"/>
  <c r="BH178" i="1"/>
  <c r="BH179" i="1"/>
  <c r="BH180" i="1"/>
  <c r="BH181" i="1"/>
  <c r="BH182" i="1"/>
  <c r="BH183" i="1"/>
  <c r="BH185" i="1"/>
  <c r="BH186" i="1"/>
  <c r="BH187" i="1"/>
  <c r="BH188" i="1"/>
  <c r="BH189" i="1"/>
  <c r="BH190" i="1"/>
  <c r="BH191" i="1"/>
  <c r="BH192" i="1"/>
  <c r="BH193" i="1"/>
  <c r="BH194" i="1"/>
  <c r="BH184" i="1"/>
  <c r="BH171" i="1"/>
  <c r="BH172" i="1"/>
  <c r="BH173" i="1"/>
  <c r="BH174" i="1"/>
  <c r="BH175" i="1" s="1"/>
  <c r="BH85" i="1"/>
  <c r="BH86" i="1"/>
  <c r="BH87" i="1"/>
  <c r="BH88" i="1"/>
  <c r="BH89" i="1"/>
  <c r="BH90" i="1"/>
  <c r="BH91" i="1"/>
  <c r="BH92" i="1"/>
  <c r="BH93" i="1"/>
  <c r="BH94" i="1"/>
  <c r="BH95"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1" i="1"/>
  <c r="BH122" i="1"/>
  <c r="BH123" i="1"/>
  <c r="BH124" i="1"/>
  <c r="BH125" i="1"/>
  <c r="BH126" i="1"/>
  <c r="BH127" i="1"/>
  <c r="BH128" i="1"/>
  <c r="BH129"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71" i="1"/>
  <c r="BH72" i="1"/>
  <c r="BH73" i="1"/>
  <c r="BH62" i="1"/>
  <c r="BH63" i="1"/>
  <c r="BH64" i="1"/>
  <c r="BH65" i="1"/>
  <c r="BH67" i="1"/>
  <c r="BH68" i="1"/>
  <c r="BH69" i="1"/>
  <c r="BH4" i="1"/>
  <c r="BH5" i="1"/>
  <c r="BH6" i="1"/>
  <c r="BH7" i="1"/>
  <c r="BH8" i="1"/>
  <c r="BH75" i="1"/>
  <c r="BH76" i="1"/>
  <c r="BH77" i="1"/>
  <c r="BH83" i="1" s="1"/>
  <c r="BH78" i="1"/>
  <c r="BH79" i="1"/>
  <c r="BH80" i="1"/>
  <c r="BH81" i="1"/>
  <c r="BH82" i="1"/>
  <c r="BI1190" i="1"/>
  <c r="BI1188" i="1"/>
  <c r="BI1178" i="1"/>
  <c r="BI1174" i="1"/>
  <c r="BI1164" i="1"/>
  <c r="BI1153" i="1"/>
  <c r="BI1134" i="1"/>
  <c r="BI1120" i="1"/>
  <c r="BI1107" i="1"/>
  <c r="BI1087" i="1"/>
  <c r="BI1067" i="1"/>
  <c r="BI1062" i="1"/>
  <c r="BI1056" i="1"/>
  <c r="BI1051" i="1"/>
  <c r="BI1038" i="1"/>
  <c r="BI1035" i="1"/>
  <c r="BI1032" i="1"/>
  <c r="BI1029" i="1"/>
  <c r="BI1020" i="1"/>
  <c r="BI1015" i="1"/>
  <c r="BI1008" i="1"/>
  <c r="BI978" i="1"/>
  <c r="BI967" i="1"/>
  <c r="BI955" i="1"/>
  <c r="BI951" i="1"/>
  <c r="BI936" i="1"/>
  <c r="BI924" i="1"/>
  <c r="BI914" i="1"/>
  <c r="BI915" i="1" s="1"/>
  <c r="BI910" i="1"/>
  <c r="BI905" i="1"/>
  <c r="BI901" i="1"/>
  <c r="BI886" i="1"/>
  <c r="BI880" i="1"/>
  <c r="BI874" i="1"/>
  <c r="BI863" i="1"/>
  <c r="BI853" i="1"/>
  <c r="BI845" i="1"/>
  <c r="BI838" i="1"/>
  <c r="BI834" i="1"/>
  <c r="BI823" i="1"/>
  <c r="BI801" i="1"/>
  <c r="BI797" i="1"/>
  <c r="BI788" i="1"/>
  <c r="BI789" i="1" s="1"/>
  <c r="BI776" i="1"/>
  <c r="BI773" i="1"/>
  <c r="BI766" i="1"/>
  <c r="BI757" i="1"/>
  <c r="BI746" i="1"/>
  <c r="BI742" i="1"/>
  <c r="BI727" i="1"/>
  <c r="BI715" i="1"/>
  <c r="BI707" i="1"/>
  <c r="BI694" i="1"/>
  <c r="BI687" i="1"/>
  <c r="BI673" i="1"/>
  <c r="BI669" i="1"/>
  <c r="BI665" i="1"/>
  <c r="BI659" i="1"/>
  <c r="BI674" i="1" s="1"/>
  <c r="BI654" i="1"/>
  <c r="BI646" i="1"/>
  <c r="BI640" i="1"/>
  <c r="BI635" i="1"/>
  <c r="BI626" i="1"/>
  <c r="BI617" i="1"/>
  <c r="BI610" i="1"/>
  <c r="BI606" i="1"/>
  <c r="BI596" i="1"/>
  <c r="BI563" i="1"/>
  <c r="BI536" i="1"/>
  <c r="BI520" i="1"/>
  <c r="BI537" i="1" s="1"/>
  <c r="BI511" i="1"/>
  <c r="BI497" i="1"/>
  <c r="BI480" i="1"/>
  <c r="BI481" i="1" s="1"/>
  <c r="BI474" i="1"/>
  <c r="BI468" i="1"/>
  <c r="BI460" i="1"/>
  <c r="BI443" i="1"/>
  <c r="BI412" i="1"/>
  <c r="BI386" i="1"/>
  <c r="BI382" i="1"/>
  <c r="BI371" i="1"/>
  <c r="BI367" i="1"/>
  <c r="BI357" i="1"/>
  <c r="BI353" i="1"/>
  <c r="BI338" i="1"/>
  <c r="BI339" i="1" s="1"/>
  <c r="BI326" i="1"/>
  <c r="BI317" i="1"/>
  <c r="BI310" i="1"/>
  <c r="BI292" i="1"/>
  <c r="BI278" i="1"/>
  <c r="BI272" i="1"/>
  <c r="BI266" i="1"/>
  <c r="BI259" i="1"/>
  <c r="BI255" i="1"/>
  <c r="BI243" i="1"/>
  <c r="BI236" i="1"/>
  <c r="BI232" i="1"/>
  <c r="BI219" i="1"/>
  <c r="BI199" i="1"/>
  <c r="BI195" i="1"/>
  <c r="BI174" i="1"/>
  <c r="BI175" i="1" s="1"/>
  <c r="BI155" i="1"/>
  <c r="BI156" i="1" s="1"/>
  <c r="BI74" i="1"/>
  <c r="BI70" i="1"/>
  <c r="BI9" i="1"/>
  <c r="BI83" i="1"/>
  <c r="BJ1190" i="1"/>
  <c r="BJ1188" i="1"/>
  <c r="BJ1178" i="1"/>
  <c r="BJ1174" i="1"/>
  <c r="BJ1164" i="1"/>
  <c r="BJ1153" i="1"/>
  <c r="BJ1134" i="1"/>
  <c r="BJ1120" i="1"/>
  <c r="BJ1107" i="1"/>
  <c r="BJ1087" i="1"/>
  <c r="BJ1067" i="1"/>
  <c r="BJ1062" i="1"/>
  <c r="BJ1056" i="1"/>
  <c r="BJ1051" i="1"/>
  <c r="BJ1038" i="1"/>
  <c r="BJ1035" i="1"/>
  <c r="BJ1032" i="1"/>
  <c r="BJ1029" i="1"/>
  <c r="BJ1020" i="1"/>
  <c r="BJ1015" i="1"/>
  <c r="BJ1008" i="1"/>
  <c r="BJ978" i="1"/>
  <c r="BJ967" i="1"/>
  <c r="BJ955" i="1"/>
  <c r="BJ956" i="1" s="1"/>
  <c r="BJ951" i="1"/>
  <c r="BJ936" i="1"/>
  <c r="BJ924" i="1"/>
  <c r="BJ914" i="1"/>
  <c r="BJ910" i="1"/>
  <c r="BJ905" i="1"/>
  <c r="BJ901" i="1"/>
  <c r="BJ886" i="1"/>
  <c r="BJ880" i="1"/>
  <c r="BJ874" i="1"/>
  <c r="BJ863" i="1"/>
  <c r="BJ864" i="1" s="1"/>
  <c r="BJ853" i="1"/>
  <c r="BJ845" i="1"/>
  <c r="BJ838" i="1"/>
  <c r="BJ834" i="1"/>
  <c r="BJ823" i="1"/>
  <c r="BJ801" i="1"/>
  <c r="BJ797" i="1"/>
  <c r="BJ788" i="1"/>
  <c r="BJ789" i="1" s="1"/>
  <c r="BJ776" i="1"/>
  <c r="BJ773" i="1"/>
  <c r="BJ766" i="1"/>
  <c r="BJ757" i="1"/>
  <c r="BJ746" i="1"/>
  <c r="BJ742" i="1"/>
  <c r="BJ727" i="1"/>
  <c r="BJ715" i="1"/>
  <c r="BJ707" i="1"/>
  <c r="BJ694" i="1"/>
  <c r="BJ687" i="1"/>
  <c r="BJ673" i="1"/>
  <c r="BJ669" i="1"/>
  <c r="BJ665" i="1"/>
  <c r="BJ659" i="1"/>
  <c r="BJ654" i="1"/>
  <c r="BJ646" i="1"/>
  <c r="BJ640" i="1"/>
  <c r="BJ635" i="1"/>
  <c r="BJ626" i="1"/>
  <c r="BJ617" i="1"/>
  <c r="BJ610" i="1"/>
  <c r="BJ606" i="1"/>
  <c r="BJ596" i="1"/>
  <c r="BJ563" i="1"/>
  <c r="BJ536" i="1"/>
  <c r="BJ520" i="1"/>
  <c r="BJ511" i="1"/>
  <c r="BJ497" i="1"/>
  <c r="BJ480" i="1"/>
  <c r="BJ481" i="1" s="1"/>
  <c r="BJ474" i="1"/>
  <c r="BJ468" i="1"/>
  <c r="BJ460" i="1"/>
  <c r="BJ443" i="1"/>
  <c r="BJ412" i="1"/>
  <c r="BJ386" i="1"/>
  <c r="BJ382" i="1"/>
  <c r="BJ371" i="1"/>
  <c r="BJ367" i="1"/>
  <c r="BJ357" i="1"/>
  <c r="BJ353" i="1"/>
  <c r="BJ338" i="1"/>
  <c r="BJ339" i="1" s="1"/>
  <c r="BJ326" i="1"/>
  <c r="BJ317" i="1"/>
  <c r="BJ310" i="1"/>
  <c r="BJ292" i="1"/>
  <c r="BJ278" i="1"/>
  <c r="BJ272" i="1"/>
  <c r="BJ266" i="1"/>
  <c r="BJ259" i="1"/>
  <c r="BJ255" i="1"/>
  <c r="BJ243" i="1"/>
  <c r="BJ236" i="1"/>
  <c r="BJ232" i="1"/>
  <c r="BJ219" i="1"/>
  <c r="BJ199" i="1"/>
  <c r="BJ195" i="1"/>
  <c r="BJ174" i="1"/>
  <c r="BJ175" i="1" s="1"/>
  <c r="BJ155" i="1"/>
  <c r="BJ156" i="1"/>
  <c r="BJ74" i="1"/>
  <c r="BJ70" i="1"/>
  <c r="BJ9" i="1"/>
  <c r="BJ83" i="1"/>
  <c r="BK1190" i="1"/>
  <c r="BK1188" i="1"/>
  <c r="BK1178" i="1"/>
  <c r="BK1174" i="1"/>
  <c r="BK1164" i="1"/>
  <c r="BK1153" i="1"/>
  <c r="BK1134" i="1"/>
  <c r="BK1120" i="1"/>
  <c r="BK1107" i="1"/>
  <c r="BK1087" i="1"/>
  <c r="BK1067" i="1"/>
  <c r="BK1062" i="1"/>
  <c r="BK1056" i="1"/>
  <c r="BK1051" i="1"/>
  <c r="BK1038" i="1"/>
  <c r="BK1035" i="1"/>
  <c r="BK1032" i="1"/>
  <c r="BK1029" i="1"/>
  <c r="BK1020" i="1"/>
  <c r="BK1015" i="1"/>
  <c r="BK1008" i="1"/>
  <c r="BK978" i="1"/>
  <c r="BK967" i="1"/>
  <c r="BK955" i="1"/>
  <c r="BK951" i="1"/>
  <c r="BK936" i="1"/>
  <c r="BK924" i="1"/>
  <c r="BK914" i="1"/>
  <c r="BK910" i="1"/>
  <c r="BK905" i="1"/>
  <c r="BK901" i="1"/>
  <c r="BK906" i="1" s="1"/>
  <c r="BK886" i="1"/>
  <c r="BK887" i="1" s="1"/>
  <c r="BK880" i="1"/>
  <c r="BK874" i="1"/>
  <c r="BK863" i="1"/>
  <c r="BK864" i="1" s="1"/>
  <c r="BK853" i="1"/>
  <c r="BK845" i="1"/>
  <c r="BK838" i="1"/>
  <c r="BK834" i="1"/>
  <c r="BK839" i="1"/>
  <c r="BK823" i="1"/>
  <c r="BK801" i="1"/>
  <c r="BK797" i="1"/>
  <c r="BK788" i="1"/>
  <c r="BK789" i="1" s="1"/>
  <c r="BK776" i="1"/>
  <c r="BK773" i="1"/>
  <c r="BK766" i="1"/>
  <c r="BK757" i="1"/>
  <c r="BK746" i="1"/>
  <c r="BK742" i="1"/>
  <c r="BK727" i="1"/>
  <c r="BK728" i="1" s="1"/>
  <c r="BK715" i="1"/>
  <c r="BK707" i="1"/>
  <c r="BK694" i="1"/>
  <c r="BK687" i="1"/>
  <c r="BK673" i="1"/>
  <c r="BK669" i="1"/>
  <c r="BK665" i="1"/>
  <c r="BK659" i="1"/>
  <c r="BK654" i="1"/>
  <c r="BK646" i="1"/>
  <c r="BK640" i="1"/>
  <c r="BK635" i="1"/>
  <c r="BK626" i="1"/>
  <c r="BK617" i="1"/>
  <c r="BK610" i="1"/>
  <c r="BK606" i="1"/>
  <c r="BK596" i="1"/>
  <c r="BK563" i="1"/>
  <c r="BK536" i="1"/>
  <c r="BK520" i="1"/>
  <c r="BK511" i="1"/>
  <c r="BK537" i="1" s="1"/>
  <c r="BK497" i="1"/>
  <c r="BK480" i="1"/>
  <c r="BK481" i="1"/>
  <c r="BK474" i="1"/>
  <c r="BK468" i="1"/>
  <c r="BK460" i="1"/>
  <c r="BK443" i="1"/>
  <c r="BK412" i="1"/>
  <c r="BK386" i="1"/>
  <c r="BK382" i="1"/>
  <c r="BK371" i="1"/>
  <c r="BK367" i="1"/>
  <c r="BK357" i="1"/>
  <c r="BK353" i="1"/>
  <c r="BK338" i="1"/>
  <c r="BK339" i="1" s="1"/>
  <c r="BK326" i="1"/>
  <c r="BK317" i="1"/>
  <c r="BK310" i="1"/>
  <c r="BK292" i="1"/>
  <c r="BK278" i="1"/>
  <c r="BK272" i="1"/>
  <c r="BK266" i="1"/>
  <c r="BK259" i="1"/>
  <c r="BK255" i="1"/>
  <c r="BK243" i="1"/>
  <c r="BK236" i="1"/>
  <c r="BK232" i="1"/>
  <c r="BK219" i="1"/>
  <c r="BK199" i="1"/>
  <c r="BK195" i="1"/>
  <c r="BK174" i="1"/>
  <c r="BK175" i="1"/>
  <c r="BK155" i="1"/>
  <c r="BK156" i="1" s="1"/>
  <c r="BK74" i="1"/>
  <c r="BK70" i="1"/>
  <c r="BK9" i="1"/>
  <c r="BK83" i="1"/>
  <c r="BL1190" i="1"/>
  <c r="BL1188" i="1"/>
  <c r="BL1178" i="1"/>
  <c r="BL1174" i="1"/>
  <c r="BL1164" i="1"/>
  <c r="BL1153" i="1"/>
  <c r="BL1121" i="1"/>
  <c r="BL1122" i="1"/>
  <c r="BL1123" i="1"/>
  <c r="BX1123" i="1"/>
  <c r="BL1124" i="1"/>
  <c r="BX1124" i="1" s="1"/>
  <c r="BL1125" i="1"/>
  <c r="CB1125" i="1" s="1"/>
  <c r="CR1125" i="1" s="1"/>
  <c r="BL1126" i="1"/>
  <c r="BL1129" i="1"/>
  <c r="BX1129" i="1" s="1"/>
  <c r="BL1130" i="1"/>
  <c r="BL1131" i="1"/>
  <c r="BL1132" i="1"/>
  <c r="BL1133" i="1"/>
  <c r="BL1108" i="1"/>
  <c r="BL1109" i="1"/>
  <c r="BL1110" i="1"/>
  <c r="BL1111" i="1"/>
  <c r="BL1112" i="1"/>
  <c r="BL1113" i="1"/>
  <c r="BX1113" i="1" s="1"/>
  <c r="BL1114" i="1"/>
  <c r="BL1115" i="1"/>
  <c r="BL1116" i="1"/>
  <c r="BL1117" i="1"/>
  <c r="BL1118" i="1"/>
  <c r="BL1119" i="1"/>
  <c r="BL1107" i="1"/>
  <c r="BL1087" i="1"/>
  <c r="BL1067" i="1"/>
  <c r="BL1062" i="1"/>
  <c r="BL1056" i="1"/>
  <c r="BL1051" i="1"/>
  <c r="BL1038" i="1"/>
  <c r="BL1035" i="1"/>
  <c r="BL1032" i="1"/>
  <c r="BL1029" i="1"/>
  <c r="BL1020" i="1"/>
  <c r="BL1015" i="1"/>
  <c r="BL1008" i="1"/>
  <c r="BL978" i="1"/>
  <c r="BL967" i="1"/>
  <c r="BL955" i="1"/>
  <c r="BL951" i="1"/>
  <c r="BL936" i="1"/>
  <c r="BL924" i="1"/>
  <c r="BL914" i="1"/>
  <c r="BL910" i="1"/>
  <c r="BL905" i="1"/>
  <c r="BL901" i="1"/>
  <c r="BL886" i="1"/>
  <c r="BL880" i="1"/>
  <c r="BL874" i="1"/>
  <c r="BL863" i="1"/>
  <c r="BL853" i="1"/>
  <c r="BL845" i="1"/>
  <c r="BL838" i="1"/>
  <c r="BL834" i="1"/>
  <c r="BL823" i="1"/>
  <c r="BL801" i="1"/>
  <c r="BL797" i="1"/>
  <c r="BL788" i="1"/>
  <c r="BL789" i="1"/>
  <c r="BL776" i="1"/>
  <c r="BL773" i="1"/>
  <c r="BL766" i="1"/>
  <c r="BL757" i="1"/>
  <c r="BL746" i="1"/>
  <c r="BL742" i="1"/>
  <c r="BL727" i="1"/>
  <c r="BL715" i="1"/>
  <c r="BL707" i="1"/>
  <c r="BL694" i="1"/>
  <c r="BL687" i="1"/>
  <c r="BL673" i="1"/>
  <c r="BL669" i="1"/>
  <c r="BL665" i="1"/>
  <c r="BL659" i="1"/>
  <c r="BL654" i="1"/>
  <c r="BL646" i="1"/>
  <c r="BL640" i="1"/>
  <c r="BL635" i="1"/>
  <c r="BL626" i="1"/>
  <c r="BL617" i="1"/>
  <c r="BL610" i="1"/>
  <c r="BL606" i="1"/>
  <c r="BL596" i="1"/>
  <c r="BL563" i="1"/>
  <c r="BL536" i="1"/>
  <c r="BL520" i="1"/>
  <c r="BL511" i="1"/>
  <c r="BL497" i="1"/>
  <c r="BL480" i="1"/>
  <c r="BL481" i="1" s="1"/>
  <c r="BL474" i="1"/>
  <c r="BL468" i="1"/>
  <c r="BL460" i="1"/>
  <c r="BL443" i="1"/>
  <c r="BL412" i="1"/>
  <c r="BL386" i="1"/>
  <c r="BL382" i="1"/>
  <c r="BL371" i="1"/>
  <c r="BL367" i="1"/>
  <c r="BL357" i="1"/>
  <c r="BL353" i="1"/>
  <c r="BL338" i="1"/>
  <c r="BL339" i="1" s="1"/>
  <c r="BL326" i="1"/>
  <c r="BL317" i="1"/>
  <c r="BL310" i="1"/>
  <c r="BL292" i="1"/>
  <c r="BL278" i="1"/>
  <c r="BL272" i="1"/>
  <c r="BL266" i="1"/>
  <c r="BL259" i="1"/>
  <c r="BL255" i="1"/>
  <c r="BL243" i="1"/>
  <c r="BL236" i="1"/>
  <c r="BL232" i="1"/>
  <c r="BL219" i="1"/>
  <c r="BL199" i="1"/>
  <c r="BL195" i="1"/>
  <c r="BL174" i="1"/>
  <c r="BL175" i="1" s="1"/>
  <c r="BL155" i="1"/>
  <c r="BL156" i="1" s="1"/>
  <c r="BL74" i="1"/>
  <c r="BL70" i="1"/>
  <c r="BL9" i="1"/>
  <c r="BL83" i="1"/>
  <c r="BM1190" i="1"/>
  <c r="BM1188" i="1"/>
  <c r="BM1178" i="1"/>
  <c r="BM1174" i="1"/>
  <c r="BM1164" i="1"/>
  <c r="BM1153" i="1"/>
  <c r="BM1134" i="1"/>
  <c r="BM1120" i="1"/>
  <c r="BM1107" i="1"/>
  <c r="BM1087" i="1"/>
  <c r="BM1067" i="1"/>
  <c r="BM1062" i="1"/>
  <c r="BM1056" i="1"/>
  <c r="BM1051" i="1"/>
  <c r="BM1038" i="1"/>
  <c r="BM1035" i="1"/>
  <c r="BM1032" i="1"/>
  <c r="BM1029" i="1"/>
  <c r="BM1020" i="1"/>
  <c r="BM1015" i="1"/>
  <c r="BM1008" i="1"/>
  <c r="BM978" i="1"/>
  <c r="BM967" i="1"/>
  <c r="BM955" i="1"/>
  <c r="BM951" i="1"/>
  <c r="BM925" i="1"/>
  <c r="BM924" i="1"/>
  <c r="BM914" i="1"/>
  <c r="BM910" i="1"/>
  <c r="BM905" i="1"/>
  <c r="BM901" i="1"/>
  <c r="BM886" i="1"/>
  <c r="BM880" i="1"/>
  <c r="BM874" i="1"/>
  <c r="BM863" i="1"/>
  <c r="BM853" i="1"/>
  <c r="BM845" i="1"/>
  <c r="BM864" i="1"/>
  <c r="BM838" i="1"/>
  <c r="BM839" i="1" s="1"/>
  <c r="BM834" i="1"/>
  <c r="BM823" i="1"/>
  <c r="BM801" i="1"/>
  <c r="BM797" i="1"/>
  <c r="BM788" i="1"/>
  <c r="BM789" i="1" s="1"/>
  <c r="BM776" i="1"/>
  <c r="BM773" i="1"/>
  <c r="BM777" i="1" s="1"/>
  <c r="BM766" i="1"/>
  <c r="BM757" i="1"/>
  <c r="BM746" i="1"/>
  <c r="BM742" i="1"/>
  <c r="BM727" i="1"/>
  <c r="BM715" i="1"/>
  <c r="BM707" i="1"/>
  <c r="BM728" i="1" s="1"/>
  <c r="BM694" i="1"/>
  <c r="BM687" i="1"/>
  <c r="BM695" i="1" s="1"/>
  <c r="BM673" i="1"/>
  <c r="BM669" i="1"/>
  <c r="BM665" i="1"/>
  <c r="BM659" i="1"/>
  <c r="BM654" i="1"/>
  <c r="BM646" i="1"/>
  <c r="BM640" i="1"/>
  <c r="BM635" i="1"/>
  <c r="BM626" i="1"/>
  <c r="BM617" i="1"/>
  <c r="BM610" i="1"/>
  <c r="BM606" i="1"/>
  <c r="BM596" i="1"/>
  <c r="BM563" i="1"/>
  <c r="BM536" i="1"/>
  <c r="BM520" i="1"/>
  <c r="BM511" i="1"/>
  <c r="BM497" i="1"/>
  <c r="BM480" i="1"/>
  <c r="BM481" i="1" s="1"/>
  <c r="BM474" i="1"/>
  <c r="BM468" i="1"/>
  <c r="BM460" i="1"/>
  <c r="BM443" i="1"/>
  <c r="BM412" i="1"/>
  <c r="BM386" i="1"/>
  <c r="BM382" i="1"/>
  <c r="BM371" i="1"/>
  <c r="BM367" i="1"/>
  <c r="BM357" i="1"/>
  <c r="BM353" i="1"/>
  <c r="BM338" i="1"/>
  <c r="BM339" i="1" s="1"/>
  <c r="BM326" i="1"/>
  <c r="BM317" i="1"/>
  <c r="BM310" i="1"/>
  <c r="BM292" i="1"/>
  <c r="BM278" i="1"/>
  <c r="BM272" i="1"/>
  <c r="BM266" i="1"/>
  <c r="BM259" i="1"/>
  <c r="BM255" i="1"/>
  <c r="BM243" i="1"/>
  <c r="BM236" i="1"/>
  <c r="BM232" i="1"/>
  <c r="BM219" i="1"/>
  <c r="BM199" i="1"/>
  <c r="BM195" i="1"/>
  <c r="BM174" i="1"/>
  <c r="BM175" i="1"/>
  <c r="BM120" i="1"/>
  <c r="BM128" i="1"/>
  <c r="BM74" i="1"/>
  <c r="BM63" i="1"/>
  <c r="BX63" i="1" s="1"/>
  <c r="BM64" i="1"/>
  <c r="BM65" i="1"/>
  <c r="BM66" i="1"/>
  <c r="BM68" i="1"/>
  <c r="BX68" i="1" s="1"/>
  <c r="BM69" i="1"/>
  <c r="BM9" i="1"/>
  <c r="BM83" i="1"/>
  <c r="BN1190" i="1"/>
  <c r="BN1188" i="1"/>
  <c r="BN1178" i="1"/>
  <c r="BN1174" i="1"/>
  <c r="BN1164" i="1"/>
  <c r="BN1153" i="1"/>
  <c r="BN1134" i="1"/>
  <c r="BN1120" i="1"/>
  <c r="BN1107" i="1"/>
  <c r="BN1087" i="1"/>
  <c r="BN1067" i="1"/>
  <c r="BN1062" i="1"/>
  <c r="BN1056" i="1"/>
  <c r="BN1051" i="1"/>
  <c r="BN1038" i="1"/>
  <c r="BN1035" i="1"/>
  <c r="BN1032" i="1"/>
  <c r="BN1029" i="1"/>
  <c r="BN1020" i="1"/>
  <c r="BN1015" i="1"/>
  <c r="BN1008" i="1"/>
  <c r="BN978" i="1"/>
  <c r="BN967" i="1"/>
  <c r="BN955" i="1"/>
  <c r="BN951" i="1"/>
  <c r="BN956" i="1" s="1"/>
  <c r="BN936" i="1"/>
  <c r="BN924" i="1"/>
  <c r="BN937" i="1"/>
  <c r="BN914" i="1"/>
  <c r="BN915" i="1" s="1"/>
  <c r="BN910" i="1"/>
  <c r="BN905" i="1"/>
  <c r="BN901" i="1"/>
  <c r="BN886" i="1"/>
  <c r="BN880" i="1"/>
  <c r="BN874" i="1"/>
  <c r="BN863" i="1"/>
  <c r="BN853" i="1"/>
  <c r="BN845" i="1"/>
  <c r="BN838" i="1"/>
  <c r="BN834" i="1"/>
  <c r="BN823" i="1"/>
  <c r="BN801" i="1"/>
  <c r="BN797" i="1"/>
  <c r="BN788" i="1"/>
  <c r="BN789" i="1" s="1"/>
  <c r="BN776" i="1"/>
  <c r="BN773" i="1"/>
  <c r="BN766" i="1"/>
  <c r="BN757" i="1"/>
  <c r="BN746" i="1"/>
  <c r="BN742" i="1"/>
  <c r="BN727" i="1"/>
  <c r="BN715" i="1"/>
  <c r="BN707" i="1"/>
  <c r="BN694" i="1"/>
  <c r="BN687" i="1"/>
  <c r="BN673" i="1"/>
  <c r="BN669" i="1"/>
  <c r="BN665" i="1"/>
  <c r="BN659" i="1"/>
  <c r="BN654" i="1"/>
  <c r="BN646" i="1"/>
  <c r="BN640" i="1"/>
  <c r="BN635" i="1"/>
  <c r="BN626" i="1"/>
  <c r="BN617" i="1"/>
  <c r="BN610" i="1"/>
  <c r="BN606" i="1"/>
  <c r="BN596" i="1"/>
  <c r="BN563" i="1"/>
  <c r="BN536" i="1"/>
  <c r="BN520" i="1"/>
  <c r="BN511" i="1"/>
  <c r="BN497" i="1"/>
  <c r="BN480" i="1"/>
  <c r="BN481" i="1" s="1"/>
  <c r="BN474" i="1"/>
  <c r="BN468" i="1"/>
  <c r="BN460" i="1"/>
  <c r="BN443" i="1"/>
  <c r="BN412" i="1"/>
  <c r="BN386" i="1"/>
  <c r="BN382" i="1"/>
  <c r="BN371" i="1"/>
  <c r="BN367" i="1"/>
  <c r="BN357" i="1"/>
  <c r="BN353" i="1"/>
  <c r="BN338" i="1"/>
  <c r="BN339" i="1" s="1"/>
  <c r="BN326" i="1"/>
  <c r="BN317" i="1"/>
  <c r="BN310" i="1"/>
  <c r="BN292" i="1"/>
  <c r="BN278" i="1"/>
  <c r="BN272" i="1"/>
  <c r="BN266" i="1"/>
  <c r="BN259" i="1"/>
  <c r="BN255" i="1"/>
  <c r="BN243" i="1"/>
  <c r="BN236" i="1"/>
  <c r="BN232" i="1"/>
  <c r="BN219" i="1"/>
  <c r="BN199" i="1"/>
  <c r="BN195" i="1"/>
  <c r="BN174" i="1"/>
  <c r="BN175" i="1" s="1"/>
  <c r="BN155" i="1"/>
  <c r="BN156" i="1"/>
  <c r="BN74" i="1"/>
  <c r="BN70" i="1"/>
  <c r="BN9" i="1"/>
  <c r="BN83" i="1"/>
  <c r="BO1190" i="1"/>
  <c r="BO1188" i="1"/>
  <c r="BO1178" i="1"/>
  <c r="BO1174" i="1"/>
  <c r="BO1164" i="1"/>
  <c r="BO1153" i="1"/>
  <c r="BO1134" i="1"/>
  <c r="BO1120" i="1"/>
  <c r="BO1107" i="1"/>
  <c r="BO1087" i="1"/>
  <c r="BO1067" i="1"/>
  <c r="BO1062" i="1"/>
  <c r="BO1056" i="1"/>
  <c r="BO1051" i="1"/>
  <c r="BO1038" i="1"/>
  <c r="BO1035" i="1"/>
  <c r="BO1032" i="1"/>
  <c r="BO1029" i="1"/>
  <c r="BO1020" i="1"/>
  <c r="BO1015" i="1"/>
  <c r="BO1008" i="1"/>
  <c r="BO978" i="1"/>
  <c r="BO967" i="1"/>
  <c r="BO955" i="1"/>
  <c r="BO951" i="1"/>
  <c r="BO936" i="1"/>
  <c r="BO924" i="1"/>
  <c r="BO914" i="1"/>
  <c r="BO910" i="1"/>
  <c r="BO905" i="1"/>
  <c r="BO906" i="1" s="1"/>
  <c r="BO901" i="1"/>
  <c r="BO886" i="1"/>
  <c r="BO880" i="1"/>
  <c r="BO887" i="1" s="1"/>
  <c r="BO874" i="1"/>
  <c r="BO863" i="1"/>
  <c r="BO853" i="1"/>
  <c r="BO845" i="1"/>
  <c r="BO838" i="1"/>
  <c r="BO839" i="1" s="1"/>
  <c r="BO834" i="1"/>
  <c r="BO823" i="1"/>
  <c r="BO824" i="1" s="1"/>
  <c r="BO801" i="1"/>
  <c r="BO797" i="1"/>
  <c r="BO788" i="1"/>
  <c r="BO789" i="1" s="1"/>
  <c r="BO776" i="1"/>
  <c r="BO773" i="1"/>
  <c r="BO766" i="1"/>
  <c r="BO757" i="1"/>
  <c r="BO746" i="1"/>
  <c r="BO742" i="1"/>
  <c r="BO727" i="1"/>
  <c r="BO715" i="1"/>
  <c r="BO707" i="1"/>
  <c r="BO694" i="1"/>
  <c r="BO687" i="1"/>
  <c r="BO673" i="1"/>
  <c r="BO669" i="1"/>
  <c r="BO665" i="1"/>
  <c r="BO659" i="1"/>
  <c r="BO654" i="1"/>
  <c r="BO646" i="1"/>
  <c r="BO640" i="1"/>
  <c r="BO635" i="1"/>
  <c r="BO626" i="1"/>
  <c r="BO617" i="1"/>
  <c r="BO610" i="1"/>
  <c r="BO606" i="1"/>
  <c r="BO596" i="1"/>
  <c r="BO563" i="1"/>
  <c r="BO536" i="1"/>
  <c r="BO520" i="1"/>
  <c r="BO511" i="1"/>
  <c r="BO497" i="1"/>
  <c r="BO480" i="1"/>
  <c r="BO481" i="1" s="1"/>
  <c r="BO474" i="1"/>
  <c r="BO468" i="1"/>
  <c r="BO460" i="1"/>
  <c r="BO443" i="1"/>
  <c r="BO412" i="1"/>
  <c r="BO386" i="1"/>
  <c r="BO382" i="1"/>
  <c r="BO371" i="1"/>
  <c r="BO367" i="1"/>
  <c r="BO357" i="1"/>
  <c r="BO353" i="1"/>
  <c r="BO338" i="1"/>
  <c r="BO339" i="1"/>
  <c r="BO326" i="1"/>
  <c r="BO317" i="1"/>
  <c r="BO310" i="1"/>
  <c r="BO292" i="1"/>
  <c r="BO278" i="1"/>
  <c r="BO272" i="1"/>
  <c r="BO266" i="1"/>
  <c r="BO259" i="1"/>
  <c r="BO255" i="1"/>
  <c r="BO243" i="1"/>
  <c r="BO236" i="1"/>
  <c r="BO232" i="1"/>
  <c r="BO219" i="1"/>
  <c r="BO199" i="1"/>
  <c r="BO195" i="1"/>
  <c r="BO174" i="1"/>
  <c r="BO175" i="1" s="1"/>
  <c r="BO155" i="1"/>
  <c r="BO156" i="1" s="1"/>
  <c r="BO74" i="1"/>
  <c r="BO70" i="1"/>
  <c r="BO9" i="1"/>
  <c r="BO83" i="1"/>
  <c r="BP1190" i="1"/>
  <c r="BP1188" i="1"/>
  <c r="BP1178" i="1"/>
  <c r="BP1174" i="1"/>
  <c r="BP1164" i="1"/>
  <c r="BP1153" i="1"/>
  <c r="BP1134" i="1"/>
  <c r="BP1120" i="1"/>
  <c r="BP1107" i="1"/>
  <c r="BP1087" i="1"/>
  <c r="BP1067" i="1"/>
  <c r="BP1062" i="1"/>
  <c r="BP1056" i="1"/>
  <c r="BP1051" i="1"/>
  <c r="BP1038" i="1"/>
  <c r="BP1035" i="1"/>
  <c r="BP1032" i="1"/>
  <c r="BP1029" i="1"/>
  <c r="BP1020" i="1"/>
  <c r="BP1015" i="1"/>
  <c r="BP1008" i="1"/>
  <c r="BP978" i="1"/>
  <c r="BP967" i="1"/>
  <c r="BP955" i="1"/>
  <c r="BP951" i="1"/>
  <c r="BP936" i="1"/>
  <c r="BP924" i="1"/>
  <c r="BP914" i="1"/>
  <c r="BP910" i="1"/>
  <c r="BP915" i="1"/>
  <c r="BP905" i="1"/>
  <c r="BP906" i="1" s="1"/>
  <c r="BP901" i="1"/>
  <c r="BP886" i="1"/>
  <c r="BP880" i="1"/>
  <c r="BP874" i="1"/>
  <c r="BP863" i="1"/>
  <c r="BP853" i="1"/>
  <c r="BP845" i="1"/>
  <c r="BP838" i="1"/>
  <c r="BP834" i="1"/>
  <c r="BP823" i="1"/>
  <c r="BP801" i="1"/>
  <c r="BP797" i="1"/>
  <c r="BP788" i="1"/>
  <c r="BP789" i="1" s="1"/>
  <c r="BP776" i="1"/>
  <c r="BP773" i="1"/>
  <c r="BP766" i="1"/>
  <c r="BP757" i="1"/>
  <c r="BP746" i="1"/>
  <c r="BP742" i="1"/>
  <c r="BP727" i="1"/>
  <c r="BP715" i="1"/>
  <c r="BP707" i="1"/>
  <c r="BP694" i="1"/>
  <c r="BP687" i="1"/>
  <c r="BP673" i="1"/>
  <c r="BP669" i="1"/>
  <c r="BP665" i="1"/>
  <c r="BP659" i="1"/>
  <c r="BP654" i="1"/>
  <c r="BP646" i="1"/>
  <c r="BP640" i="1"/>
  <c r="BP635" i="1"/>
  <c r="BP626" i="1"/>
  <c r="BP617" i="1"/>
  <c r="BP610" i="1"/>
  <c r="BP606" i="1"/>
  <c r="BP596" i="1"/>
  <c r="BP563" i="1"/>
  <c r="BP536" i="1"/>
  <c r="BP520" i="1"/>
  <c r="BP511" i="1"/>
  <c r="BP497" i="1"/>
  <c r="BP480" i="1"/>
  <c r="BP481" i="1" s="1"/>
  <c r="BP386" i="1"/>
  <c r="BP382" i="1"/>
  <c r="BP371" i="1"/>
  <c r="BP367" i="1"/>
  <c r="BP357" i="1"/>
  <c r="BP353" i="1"/>
  <c r="BP338" i="1"/>
  <c r="BP339" i="1" s="1"/>
  <c r="BP326" i="1"/>
  <c r="BP317" i="1"/>
  <c r="BP310" i="1"/>
  <c r="BP292" i="1"/>
  <c r="BP278" i="1"/>
  <c r="BP272" i="1"/>
  <c r="BP266" i="1"/>
  <c r="BP259" i="1"/>
  <c r="BP255" i="1"/>
  <c r="BP243" i="1"/>
  <c r="BP236" i="1"/>
  <c r="BP232" i="1"/>
  <c r="BP219" i="1"/>
  <c r="BP199" i="1"/>
  <c r="BP195" i="1"/>
  <c r="BP174" i="1"/>
  <c r="BP175" i="1" s="1"/>
  <c r="BP155" i="1"/>
  <c r="BP156" i="1" s="1"/>
  <c r="BP74" i="1"/>
  <c r="BP70" i="1"/>
  <c r="BP9" i="1"/>
  <c r="BP83" i="1"/>
  <c r="BQ1190" i="1"/>
  <c r="BQ1188" i="1"/>
  <c r="BQ1178" i="1"/>
  <c r="BQ1174" i="1"/>
  <c r="BQ1164" i="1"/>
  <c r="BQ1153" i="1"/>
  <c r="BQ1134" i="1"/>
  <c r="BQ1120" i="1"/>
  <c r="BQ1107" i="1"/>
  <c r="BQ1087" i="1"/>
  <c r="BQ1067" i="1"/>
  <c r="BQ1062" i="1"/>
  <c r="BQ1056" i="1"/>
  <c r="BQ1051" i="1"/>
  <c r="BQ1038" i="1"/>
  <c r="BQ1035" i="1"/>
  <c r="BQ1032" i="1"/>
  <c r="BQ1029" i="1"/>
  <c r="BQ1020" i="1"/>
  <c r="BQ1015" i="1"/>
  <c r="BQ1008" i="1"/>
  <c r="BQ978" i="1"/>
  <c r="BQ967" i="1"/>
  <c r="BQ955" i="1"/>
  <c r="BQ951" i="1"/>
  <c r="BQ956" i="1"/>
  <c r="BQ936" i="1"/>
  <c r="BQ924" i="1"/>
  <c r="BQ914" i="1"/>
  <c r="BQ910" i="1"/>
  <c r="BQ905" i="1"/>
  <c r="BQ901" i="1"/>
  <c r="BQ886" i="1"/>
  <c r="BQ880" i="1"/>
  <c r="BQ874" i="1"/>
  <c r="BQ863" i="1"/>
  <c r="BQ853" i="1"/>
  <c r="BQ845" i="1"/>
  <c r="BQ838" i="1"/>
  <c r="BQ834" i="1"/>
  <c r="BQ823" i="1"/>
  <c r="BQ801" i="1"/>
  <c r="BQ797" i="1"/>
  <c r="BQ788" i="1"/>
  <c r="BQ789" i="1"/>
  <c r="BQ776" i="1"/>
  <c r="BQ773" i="1"/>
  <c r="BQ766" i="1"/>
  <c r="BQ757" i="1"/>
  <c r="BQ746" i="1"/>
  <c r="BQ742" i="1"/>
  <c r="BQ727" i="1"/>
  <c r="BQ715" i="1"/>
  <c r="BQ707" i="1"/>
  <c r="BQ694" i="1"/>
  <c r="BQ687" i="1"/>
  <c r="BQ673" i="1"/>
  <c r="BQ669" i="1"/>
  <c r="BQ665" i="1"/>
  <c r="BQ659" i="1"/>
  <c r="BQ654" i="1"/>
  <c r="BQ646" i="1"/>
  <c r="BQ640" i="1"/>
  <c r="BQ635" i="1"/>
  <c r="BQ626" i="1"/>
  <c r="BQ617" i="1"/>
  <c r="BQ610" i="1"/>
  <c r="BQ606" i="1"/>
  <c r="BQ596" i="1"/>
  <c r="BQ563" i="1"/>
  <c r="BQ536" i="1"/>
  <c r="BQ537" i="1" s="1"/>
  <c r="BQ520" i="1"/>
  <c r="BQ511" i="1"/>
  <c r="BQ497" i="1"/>
  <c r="BQ480" i="1"/>
  <c r="BQ481" i="1"/>
  <c r="BQ474" i="1"/>
  <c r="BQ475" i="1" s="1"/>
  <c r="BQ468" i="1"/>
  <c r="BQ460" i="1"/>
  <c r="BQ443" i="1"/>
  <c r="BQ412" i="1"/>
  <c r="BQ386" i="1"/>
  <c r="BQ382" i="1"/>
  <c r="BQ371" i="1"/>
  <c r="BQ367" i="1"/>
  <c r="BQ357" i="1"/>
  <c r="BQ353" i="1"/>
  <c r="BQ338" i="1"/>
  <c r="BQ339" i="1" s="1"/>
  <c r="BQ326" i="1"/>
  <c r="BQ317" i="1"/>
  <c r="BQ310" i="1"/>
  <c r="BQ292" i="1"/>
  <c r="BQ278" i="1"/>
  <c r="BQ272" i="1"/>
  <c r="BQ266" i="1"/>
  <c r="BQ259" i="1"/>
  <c r="BQ255" i="1"/>
  <c r="BQ243" i="1"/>
  <c r="BQ236" i="1"/>
  <c r="BQ232" i="1"/>
  <c r="BQ219" i="1"/>
  <c r="BQ199" i="1"/>
  <c r="BQ195" i="1"/>
  <c r="BQ174" i="1"/>
  <c r="BQ175" i="1" s="1"/>
  <c r="BQ155" i="1"/>
  <c r="BQ156" i="1" s="1"/>
  <c r="BQ74" i="1"/>
  <c r="BQ84" i="1" s="1"/>
  <c r="BQ70" i="1"/>
  <c r="BQ9" i="1"/>
  <c r="BQ83" i="1"/>
  <c r="BR1190" i="1"/>
  <c r="BR1188" i="1"/>
  <c r="BR1178" i="1"/>
  <c r="BR1174" i="1"/>
  <c r="BR1164" i="1"/>
  <c r="BR1153" i="1"/>
  <c r="BR1134" i="1"/>
  <c r="BR1120" i="1"/>
  <c r="BR1107" i="1"/>
  <c r="BR1087" i="1"/>
  <c r="BR1067" i="1"/>
  <c r="BR1062" i="1"/>
  <c r="BR1056" i="1"/>
  <c r="BR1051" i="1"/>
  <c r="BR1038" i="1"/>
  <c r="BR1035" i="1"/>
  <c r="BR1032" i="1"/>
  <c r="BR1029" i="1"/>
  <c r="BR1020" i="1"/>
  <c r="BR1015" i="1"/>
  <c r="BR1008" i="1"/>
  <c r="BR978" i="1"/>
  <c r="BR967" i="1"/>
  <c r="BR955" i="1"/>
  <c r="BR951" i="1"/>
  <c r="BR936" i="1"/>
  <c r="BR924" i="1"/>
  <c r="BR914" i="1"/>
  <c r="BR915" i="1" s="1"/>
  <c r="BR910" i="1"/>
  <c r="BR905" i="1"/>
  <c r="BR901" i="1"/>
  <c r="BR906" i="1" s="1"/>
  <c r="BR886" i="1"/>
  <c r="BR880" i="1"/>
  <c r="BR874" i="1"/>
  <c r="BR863" i="1"/>
  <c r="BR864" i="1" s="1"/>
  <c r="BR853" i="1"/>
  <c r="BR845" i="1"/>
  <c r="BR838" i="1"/>
  <c r="BR834" i="1"/>
  <c r="BR823" i="1"/>
  <c r="BR801" i="1"/>
  <c r="BR797" i="1"/>
  <c r="BR788" i="1"/>
  <c r="BR789" i="1" s="1"/>
  <c r="BR776" i="1"/>
  <c r="BR773" i="1"/>
  <c r="BR766" i="1"/>
  <c r="BR757" i="1"/>
  <c r="BR746" i="1"/>
  <c r="BR742" i="1"/>
  <c r="BR727" i="1"/>
  <c r="BR715" i="1"/>
  <c r="BR707" i="1"/>
  <c r="BR694" i="1"/>
  <c r="BR687" i="1"/>
  <c r="BR673" i="1"/>
  <c r="BR669" i="1"/>
  <c r="BR665" i="1"/>
  <c r="BR659" i="1"/>
  <c r="BR654" i="1"/>
  <c r="BR646" i="1"/>
  <c r="BR640" i="1"/>
  <c r="BR635" i="1"/>
  <c r="BR626" i="1"/>
  <c r="BR617" i="1"/>
  <c r="BR610" i="1"/>
  <c r="BR606" i="1"/>
  <c r="BR596" i="1"/>
  <c r="BR563" i="1"/>
  <c r="BR536" i="1"/>
  <c r="BR520" i="1"/>
  <c r="BR511" i="1"/>
  <c r="BR497" i="1"/>
  <c r="BR480" i="1"/>
  <c r="BR481" i="1"/>
  <c r="BR474" i="1"/>
  <c r="BR468" i="1"/>
  <c r="BR460" i="1"/>
  <c r="BR443" i="1"/>
  <c r="BR412" i="1"/>
  <c r="BR386" i="1"/>
  <c r="BR382" i="1"/>
  <c r="BR371" i="1"/>
  <c r="BR367" i="1"/>
  <c r="BR357" i="1"/>
  <c r="BR353" i="1"/>
  <c r="BR338" i="1"/>
  <c r="BR339" i="1" s="1"/>
  <c r="BR326" i="1"/>
  <c r="BR317" i="1"/>
  <c r="BR310" i="1"/>
  <c r="BR292" i="1"/>
  <c r="BR278" i="1"/>
  <c r="BR272" i="1"/>
  <c r="BR266" i="1"/>
  <c r="BR259" i="1"/>
  <c r="BR255" i="1"/>
  <c r="BR243" i="1"/>
  <c r="BR236" i="1"/>
  <c r="BR232" i="1"/>
  <c r="BR219" i="1"/>
  <c r="BR199" i="1"/>
  <c r="BR195" i="1"/>
  <c r="BR174" i="1"/>
  <c r="BR175" i="1" s="1"/>
  <c r="BR155" i="1"/>
  <c r="BR156" i="1" s="1"/>
  <c r="BR74" i="1"/>
  <c r="BR62" i="1"/>
  <c r="BX62" i="1" s="1"/>
  <c r="BR66" i="1"/>
  <c r="BR67" i="1"/>
  <c r="BR69" i="1"/>
  <c r="BX69" i="1" s="1"/>
  <c r="BR9" i="1"/>
  <c r="BR83" i="1"/>
  <c r="BS1190" i="1"/>
  <c r="BS1188" i="1"/>
  <c r="BS1178" i="1"/>
  <c r="BS1174" i="1"/>
  <c r="BS1164" i="1"/>
  <c r="BS1153" i="1"/>
  <c r="BS1134" i="1"/>
  <c r="BS1120" i="1"/>
  <c r="BS1107" i="1"/>
  <c r="BS1087" i="1"/>
  <c r="BS1067" i="1"/>
  <c r="BS1062" i="1"/>
  <c r="BS1056" i="1"/>
  <c r="BS1051" i="1"/>
  <c r="BS1038" i="1"/>
  <c r="BS1035" i="1"/>
  <c r="BS1032" i="1"/>
  <c r="BS1029" i="1"/>
  <c r="BS1020" i="1"/>
  <c r="BS1015" i="1"/>
  <c r="BS1008" i="1"/>
  <c r="BS978" i="1"/>
  <c r="BS967" i="1"/>
  <c r="BS955" i="1"/>
  <c r="BS956" i="1" s="1"/>
  <c r="BS951" i="1"/>
  <c r="BS936" i="1"/>
  <c r="BS924" i="1"/>
  <c r="BS937" i="1" s="1"/>
  <c r="BS914" i="1"/>
  <c r="BS915" i="1" s="1"/>
  <c r="BS910" i="1"/>
  <c r="BS905" i="1"/>
  <c r="BS901" i="1"/>
  <c r="BS906" i="1" s="1"/>
  <c r="BS886" i="1"/>
  <c r="BS880" i="1"/>
  <c r="BS874" i="1"/>
  <c r="BS863" i="1"/>
  <c r="BS853" i="1"/>
  <c r="BS845" i="1"/>
  <c r="BS838" i="1"/>
  <c r="BS834" i="1"/>
  <c r="BS839" i="1" s="1"/>
  <c r="BS823" i="1"/>
  <c r="BS801" i="1"/>
  <c r="BS797" i="1"/>
  <c r="BS788" i="1"/>
  <c r="BS789" i="1" s="1"/>
  <c r="BS776" i="1"/>
  <c r="BS773" i="1"/>
  <c r="BS766" i="1"/>
  <c r="BS757" i="1"/>
  <c r="BS746" i="1"/>
  <c r="BS742" i="1"/>
  <c r="BS727" i="1"/>
  <c r="BS715" i="1"/>
  <c r="BS707" i="1"/>
  <c r="BS694" i="1"/>
  <c r="BS687" i="1"/>
  <c r="BS673" i="1"/>
  <c r="BS669" i="1"/>
  <c r="BS665" i="1"/>
  <c r="BS659" i="1"/>
  <c r="BS654" i="1"/>
  <c r="BS646" i="1"/>
  <c r="BS640" i="1"/>
  <c r="BS635" i="1"/>
  <c r="BS626" i="1"/>
  <c r="BS617" i="1"/>
  <c r="BS610" i="1"/>
  <c r="BS606" i="1"/>
  <c r="BS596" i="1"/>
  <c r="BS563" i="1"/>
  <c r="BS536" i="1"/>
  <c r="BS520" i="1"/>
  <c r="BS511" i="1"/>
  <c r="BS497" i="1"/>
  <c r="BS480" i="1"/>
  <c r="BS481" i="1"/>
  <c r="BS474" i="1"/>
  <c r="BS468" i="1"/>
  <c r="BS460" i="1"/>
  <c r="BS443" i="1"/>
  <c r="BS412" i="1"/>
  <c r="BS386" i="1"/>
  <c r="BS382" i="1"/>
  <c r="BS371" i="1"/>
  <c r="BS367" i="1"/>
  <c r="BS357" i="1"/>
  <c r="BS353" i="1"/>
  <c r="BS338" i="1"/>
  <c r="BS339" i="1" s="1"/>
  <c r="BS326" i="1"/>
  <c r="BS317" i="1"/>
  <c r="BS310" i="1"/>
  <c r="BS292" i="1"/>
  <c r="BS278" i="1"/>
  <c r="BS272" i="1"/>
  <c r="BS266" i="1"/>
  <c r="BS259" i="1"/>
  <c r="BS255" i="1"/>
  <c r="BS243" i="1"/>
  <c r="BS236" i="1"/>
  <c r="BS232" i="1"/>
  <c r="BS219" i="1"/>
  <c r="BS199" i="1"/>
  <c r="BS195" i="1"/>
  <c r="BS174" i="1"/>
  <c r="BS175" i="1" s="1"/>
  <c r="BS155" i="1"/>
  <c r="BS156" i="1" s="1"/>
  <c r="BS74" i="1"/>
  <c r="BS70" i="1"/>
  <c r="BS9" i="1"/>
  <c r="BS83" i="1"/>
  <c r="BT1190" i="1"/>
  <c r="BT1188" i="1"/>
  <c r="BT1178" i="1"/>
  <c r="BT1174" i="1"/>
  <c r="BT1164" i="1"/>
  <c r="BT1153" i="1"/>
  <c r="BT1134" i="1"/>
  <c r="BT1120" i="1"/>
  <c r="BT1107" i="1"/>
  <c r="BT1087" i="1"/>
  <c r="BT1067" i="1"/>
  <c r="BT1062" i="1"/>
  <c r="BT1056" i="1"/>
  <c r="BT1051" i="1"/>
  <c r="BT1038" i="1"/>
  <c r="BT1035" i="1"/>
  <c r="BT1032" i="1"/>
  <c r="BT1029" i="1"/>
  <c r="BT1020" i="1"/>
  <c r="BT1015" i="1"/>
  <c r="BT1008" i="1"/>
  <c r="BT978" i="1"/>
  <c r="BT967" i="1"/>
  <c r="BT955" i="1"/>
  <c r="BT951" i="1"/>
  <c r="BT936" i="1"/>
  <c r="BT924" i="1"/>
  <c r="BT937" i="1" s="1"/>
  <c r="BT914" i="1"/>
  <c r="BT910" i="1"/>
  <c r="BT905" i="1"/>
  <c r="BT906" i="1" s="1"/>
  <c r="BT901" i="1"/>
  <c r="BT886" i="1"/>
  <c r="BT880" i="1"/>
  <c r="BT874" i="1"/>
  <c r="BT863" i="1"/>
  <c r="BT853" i="1"/>
  <c r="BT845" i="1"/>
  <c r="BT838" i="1"/>
  <c r="BT834" i="1"/>
  <c r="BT823" i="1"/>
  <c r="BT801" i="1"/>
  <c r="BT797" i="1"/>
  <c r="BT788" i="1"/>
  <c r="BT789" i="1" s="1"/>
  <c r="BT776" i="1"/>
  <c r="BT773" i="1"/>
  <c r="BT766" i="1"/>
  <c r="BT757" i="1"/>
  <c r="BT746" i="1"/>
  <c r="BT742" i="1"/>
  <c r="BT727" i="1"/>
  <c r="BT715" i="1"/>
  <c r="BT707" i="1"/>
  <c r="BT694" i="1"/>
  <c r="BT687" i="1"/>
  <c r="BT673" i="1"/>
  <c r="BT669" i="1"/>
  <c r="BT665" i="1"/>
  <c r="BT659" i="1"/>
  <c r="BT654" i="1"/>
  <c r="BT646" i="1"/>
  <c r="BT640" i="1"/>
  <c r="BT635" i="1"/>
  <c r="BT626" i="1"/>
  <c r="BT617" i="1"/>
  <c r="BT610" i="1"/>
  <c r="BT606" i="1"/>
  <c r="BT596" i="1"/>
  <c r="BT563" i="1"/>
  <c r="BT536" i="1"/>
  <c r="BT520" i="1"/>
  <c r="BT511" i="1"/>
  <c r="BT497" i="1"/>
  <c r="BT480" i="1"/>
  <c r="BT481" i="1" s="1"/>
  <c r="BT474" i="1"/>
  <c r="BT468" i="1"/>
  <c r="BT460" i="1"/>
  <c r="BT443" i="1"/>
  <c r="BT412" i="1"/>
  <c r="BT386" i="1"/>
  <c r="BT382" i="1"/>
  <c r="BT371" i="1"/>
  <c r="BT367" i="1"/>
  <c r="BT357" i="1"/>
  <c r="BT353" i="1"/>
  <c r="BT338" i="1"/>
  <c r="BT339" i="1" s="1"/>
  <c r="BT326" i="1"/>
  <c r="BT317" i="1"/>
  <c r="BT310" i="1"/>
  <c r="BT292" i="1"/>
  <c r="BT278" i="1"/>
  <c r="BT272" i="1"/>
  <c r="BT266" i="1"/>
  <c r="BT259" i="1"/>
  <c r="BT255" i="1"/>
  <c r="BT243" i="1"/>
  <c r="BT236" i="1"/>
  <c r="BT232" i="1"/>
  <c r="BT219" i="1"/>
  <c r="BT199" i="1"/>
  <c r="BT195" i="1"/>
  <c r="BT174" i="1"/>
  <c r="BT175" i="1" s="1"/>
  <c r="BT155" i="1"/>
  <c r="BT156" i="1"/>
  <c r="BT74" i="1"/>
  <c r="BT70" i="1"/>
  <c r="BT9" i="1"/>
  <c r="BT83" i="1"/>
  <c r="BU1190" i="1"/>
  <c r="BU1188" i="1"/>
  <c r="BU1178" i="1"/>
  <c r="BU1174" i="1"/>
  <c r="BU1164" i="1"/>
  <c r="BU1153" i="1"/>
  <c r="BU1134" i="1"/>
  <c r="BU1120" i="1"/>
  <c r="BU1107" i="1"/>
  <c r="BU1087" i="1"/>
  <c r="BU1067" i="1"/>
  <c r="BU1062" i="1"/>
  <c r="BU1056" i="1"/>
  <c r="BU1051" i="1"/>
  <c r="BU1038" i="1"/>
  <c r="BU1035" i="1"/>
  <c r="BU1032" i="1"/>
  <c r="BU1029" i="1"/>
  <c r="BU1020" i="1"/>
  <c r="BU1015" i="1"/>
  <c r="BU1008" i="1"/>
  <c r="BU978" i="1"/>
  <c r="BU967" i="1"/>
  <c r="BU955" i="1"/>
  <c r="BU956" i="1" s="1"/>
  <c r="BU951" i="1"/>
  <c r="BU936" i="1"/>
  <c r="BU924" i="1"/>
  <c r="BU914" i="1"/>
  <c r="BU910" i="1"/>
  <c r="BU905" i="1"/>
  <c r="BU906" i="1" s="1"/>
  <c r="BU901" i="1"/>
  <c r="BU886" i="1"/>
  <c r="BU887" i="1" s="1"/>
  <c r="BU880" i="1"/>
  <c r="BU874" i="1"/>
  <c r="BU863" i="1"/>
  <c r="BU853" i="1"/>
  <c r="BU845" i="1"/>
  <c r="BU838" i="1"/>
  <c r="BU834" i="1"/>
  <c r="BU823" i="1"/>
  <c r="BU801" i="1"/>
  <c r="BU797" i="1"/>
  <c r="BU788" i="1"/>
  <c r="BU789" i="1" s="1"/>
  <c r="BU776" i="1"/>
  <c r="BU773" i="1"/>
  <c r="BU766" i="1"/>
  <c r="BU757" i="1"/>
  <c r="BU746" i="1"/>
  <c r="BU742" i="1"/>
  <c r="BU727" i="1"/>
  <c r="BU715" i="1"/>
  <c r="BU707" i="1"/>
  <c r="BU694" i="1"/>
  <c r="BU687" i="1"/>
  <c r="BU673" i="1"/>
  <c r="BU669" i="1"/>
  <c r="BU665" i="1"/>
  <c r="BU659" i="1"/>
  <c r="BU654" i="1"/>
  <c r="BU646" i="1"/>
  <c r="BU640" i="1"/>
  <c r="BU635" i="1"/>
  <c r="BU626" i="1"/>
  <c r="BU617" i="1"/>
  <c r="BU610" i="1"/>
  <c r="BU606" i="1"/>
  <c r="BU596" i="1"/>
  <c r="BU563" i="1"/>
  <c r="BU536" i="1"/>
  <c r="BU520" i="1"/>
  <c r="BU537" i="1" s="1"/>
  <c r="BU511" i="1"/>
  <c r="BU497" i="1"/>
  <c r="BU480" i="1"/>
  <c r="BU481" i="1" s="1"/>
  <c r="BU474" i="1"/>
  <c r="BU468" i="1"/>
  <c r="BU460" i="1"/>
  <c r="BU443" i="1"/>
  <c r="BU412" i="1"/>
  <c r="BU386" i="1"/>
  <c r="BU382" i="1"/>
  <c r="BU371" i="1"/>
  <c r="BU367" i="1"/>
  <c r="BU357" i="1"/>
  <c r="BU353" i="1"/>
  <c r="BU338" i="1"/>
  <c r="BU339" i="1"/>
  <c r="BU326" i="1"/>
  <c r="BU317" i="1"/>
  <c r="BU310" i="1"/>
  <c r="BU292" i="1"/>
  <c r="BU278" i="1"/>
  <c r="BU272" i="1"/>
  <c r="BU266" i="1"/>
  <c r="BU259" i="1"/>
  <c r="BU255" i="1"/>
  <c r="BU243" i="1"/>
  <c r="BU236" i="1"/>
  <c r="BU232" i="1"/>
  <c r="BU219" i="1"/>
  <c r="BU199" i="1"/>
  <c r="BU195" i="1"/>
  <c r="BU174" i="1"/>
  <c r="BU175" i="1" s="1"/>
  <c r="BU155" i="1"/>
  <c r="BU156" i="1" s="1"/>
  <c r="BU74" i="1"/>
  <c r="BU70" i="1"/>
  <c r="BU84" i="1" s="1"/>
  <c r="BU9" i="1"/>
  <c r="BU83" i="1"/>
  <c r="BV1190" i="1"/>
  <c r="BV1188" i="1"/>
  <c r="BV1178" i="1"/>
  <c r="BV1174" i="1"/>
  <c r="BV1164" i="1"/>
  <c r="BV1153" i="1"/>
  <c r="BV1134" i="1"/>
  <c r="BV1120" i="1"/>
  <c r="BV1107" i="1"/>
  <c r="BV1087" i="1"/>
  <c r="BV1067" i="1"/>
  <c r="BV1062" i="1"/>
  <c r="BV1056" i="1"/>
  <c r="BV1051" i="1"/>
  <c r="BV1038" i="1"/>
  <c r="BV1035" i="1"/>
  <c r="BV1032" i="1"/>
  <c r="BV1029" i="1"/>
  <c r="BV1020" i="1"/>
  <c r="BV1015" i="1"/>
  <c r="BV1008" i="1"/>
  <c r="BV978" i="1"/>
  <c r="BV967" i="1"/>
  <c r="BV955" i="1"/>
  <c r="BV951" i="1"/>
  <c r="BV936" i="1"/>
  <c r="BV937" i="1" s="1"/>
  <c r="BV924" i="1"/>
  <c r="BV914" i="1"/>
  <c r="BV910" i="1"/>
  <c r="BV905" i="1"/>
  <c r="BV901" i="1"/>
  <c r="BV886" i="1"/>
  <c r="BV880" i="1"/>
  <c r="BV874" i="1"/>
  <c r="BV863" i="1"/>
  <c r="BV853" i="1"/>
  <c r="BV845" i="1"/>
  <c r="BV838" i="1"/>
  <c r="BV839" i="1" s="1"/>
  <c r="BV834" i="1"/>
  <c r="BV823" i="1"/>
  <c r="BV801" i="1"/>
  <c r="BV797" i="1"/>
  <c r="BV788" i="1"/>
  <c r="BV789" i="1"/>
  <c r="BV776" i="1"/>
  <c r="BV773" i="1"/>
  <c r="BV766" i="1"/>
  <c r="BV757" i="1"/>
  <c r="BV746" i="1"/>
  <c r="BV742" i="1"/>
  <c r="BV727" i="1"/>
  <c r="BV715" i="1"/>
  <c r="BV707" i="1"/>
  <c r="BV694" i="1"/>
  <c r="BV687" i="1"/>
  <c r="BV673" i="1"/>
  <c r="BV669" i="1"/>
  <c r="BV665" i="1"/>
  <c r="BV659" i="1"/>
  <c r="BV654" i="1"/>
  <c r="BV646" i="1"/>
  <c r="BV640" i="1"/>
  <c r="BV635" i="1"/>
  <c r="BV626" i="1"/>
  <c r="BV617" i="1"/>
  <c r="BV610" i="1"/>
  <c r="BV606" i="1"/>
  <c r="BV596" i="1"/>
  <c r="BV563" i="1"/>
  <c r="BV536" i="1"/>
  <c r="BV520" i="1"/>
  <c r="BV511" i="1"/>
  <c r="BV497" i="1"/>
  <c r="BV480" i="1"/>
  <c r="BV481" i="1" s="1"/>
  <c r="BV474" i="1"/>
  <c r="BV468" i="1"/>
  <c r="BV460" i="1"/>
  <c r="BV443" i="1"/>
  <c r="BV412" i="1"/>
  <c r="BV386" i="1"/>
  <c r="BV382" i="1"/>
  <c r="BV371" i="1"/>
  <c r="BV367" i="1"/>
  <c r="BV357" i="1"/>
  <c r="BV353" i="1"/>
  <c r="BV338" i="1"/>
  <c r="BV339" i="1" s="1"/>
  <c r="BV326" i="1"/>
  <c r="BV317" i="1"/>
  <c r="BV310" i="1"/>
  <c r="BV292" i="1"/>
  <c r="BV278" i="1"/>
  <c r="BV272" i="1"/>
  <c r="BV266" i="1"/>
  <c r="BV259" i="1"/>
  <c r="BV255" i="1"/>
  <c r="BV243" i="1"/>
  <c r="BV236" i="1"/>
  <c r="BV232" i="1"/>
  <c r="BV219" i="1"/>
  <c r="BV199" i="1"/>
  <c r="BV195" i="1"/>
  <c r="BV174" i="1"/>
  <c r="BV175" i="1"/>
  <c r="BV96" i="1"/>
  <c r="BX96" i="1" s="1"/>
  <c r="BV120" i="1"/>
  <c r="BV130" i="1"/>
  <c r="BV74" i="1"/>
  <c r="BV70" i="1"/>
  <c r="BV9" i="1"/>
  <c r="BV83" i="1"/>
  <c r="BW1190" i="1"/>
  <c r="BW1188" i="1"/>
  <c r="BW1178" i="1"/>
  <c r="BW1174" i="1"/>
  <c r="BW1164" i="1"/>
  <c r="BW1153" i="1"/>
  <c r="BW1134" i="1"/>
  <c r="BW1120" i="1"/>
  <c r="BW1107" i="1"/>
  <c r="BW1087" i="1"/>
  <c r="BW1067" i="1"/>
  <c r="BW1062" i="1"/>
  <c r="BW1056" i="1"/>
  <c r="BW1051" i="1"/>
  <c r="BW1038" i="1"/>
  <c r="BW1035" i="1"/>
  <c r="BW1032" i="1"/>
  <c r="BW1029" i="1"/>
  <c r="BW1020" i="1"/>
  <c r="BW1015" i="1"/>
  <c r="BW1008" i="1"/>
  <c r="BW978" i="1"/>
  <c r="BW967" i="1"/>
  <c r="BW955" i="1"/>
  <c r="BW951" i="1"/>
  <c r="BW956" i="1" s="1"/>
  <c r="BW936" i="1"/>
  <c r="BW924" i="1"/>
  <c r="BW914" i="1"/>
  <c r="BW910" i="1"/>
  <c r="BW905" i="1"/>
  <c r="BW901" i="1"/>
  <c r="BW886" i="1"/>
  <c r="BW880" i="1"/>
  <c r="BW874" i="1"/>
  <c r="BW863" i="1"/>
  <c r="BW853" i="1"/>
  <c r="BW845" i="1"/>
  <c r="BW864" i="1"/>
  <c r="BW838" i="1"/>
  <c r="BW834" i="1"/>
  <c r="BW823" i="1"/>
  <c r="BW801" i="1"/>
  <c r="BW797" i="1"/>
  <c r="BW788" i="1"/>
  <c r="BW789" i="1" s="1"/>
  <c r="BW776" i="1"/>
  <c r="BW773" i="1"/>
  <c r="BW766" i="1"/>
  <c r="BW757" i="1"/>
  <c r="BW746" i="1"/>
  <c r="BW742" i="1"/>
  <c r="BW727" i="1"/>
  <c r="BW715" i="1"/>
  <c r="BW707" i="1"/>
  <c r="BW694" i="1"/>
  <c r="BW695" i="1" s="1"/>
  <c r="BW687" i="1"/>
  <c r="BW673" i="1"/>
  <c r="BW669" i="1"/>
  <c r="BW665" i="1"/>
  <c r="BW659" i="1"/>
  <c r="BW654" i="1"/>
  <c r="BW646" i="1"/>
  <c r="BW640" i="1"/>
  <c r="BW635" i="1"/>
  <c r="BW626" i="1"/>
  <c r="BW617" i="1"/>
  <c r="BW610" i="1"/>
  <c r="BW606" i="1"/>
  <c r="BW596" i="1"/>
  <c r="BW563" i="1"/>
  <c r="BW536" i="1"/>
  <c r="BW520" i="1"/>
  <c r="BW511" i="1"/>
  <c r="BW497" i="1"/>
  <c r="BW480" i="1"/>
  <c r="BW481" i="1" s="1"/>
  <c r="BW474" i="1"/>
  <c r="BW468" i="1"/>
  <c r="BW460" i="1"/>
  <c r="BW443" i="1"/>
  <c r="BW412" i="1"/>
  <c r="BW386" i="1"/>
  <c r="BW382" i="1"/>
  <c r="BW371" i="1"/>
  <c r="BW367" i="1"/>
  <c r="BW357" i="1"/>
  <c r="BW353" i="1"/>
  <c r="BW338" i="1"/>
  <c r="BW339" i="1" s="1"/>
  <c r="BW326" i="1"/>
  <c r="BW317" i="1"/>
  <c r="BW310" i="1"/>
  <c r="BW292" i="1"/>
  <c r="BW278" i="1"/>
  <c r="BW272" i="1"/>
  <c r="BW266" i="1"/>
  <c r="BW259" i="1"/>
  <c r="BW255" i="1"/>
  <c r="BW243" i="1"/>
  <c r="BW236" i="1"/>
  <c r="BW232" i="1"/>
  <c r="BW219" i="1"/>
  <c r="BW199" i="1"/>
  <c r="BW195" i="1"/>
  <c r="BW174" i="1"/>
  <c r="BW175" i="1" s="1"/>
  <c r="BW155" i="1"/>
  <c r="BW156" i="1" s="1"/>
  <c r="BW74" i="1"/>
  <c r="BW70" i="1"/>
  <c r="BW9" i="1"/>
  <c r="BW83" i="1"/>
  <c r="BX1189" i="1"/>
  <c r="BX1190" i="1" s="1"/>
  <c r="BX1179" i="1"/>
  <c r="BX1180" i="1"/>
  <c r="BX1181" i="1"/>
  <c r="DD1181" i="1"/>
  <c r="CN1181" i="1"/>
  <c r="BX1182" i="1"/>
  <c r="BX1183" i="1"/>
  <c r="BX1184" i="1"/>
  <c r="DE1184" i="1" s="1"/>
  <c r="BX1185" i="1"/>
  <c r="DD1185" i="1"/>
  <c r="CN1185" i="1"/>
  <c r="BX1186" i="1"/>
  <c r="BX1187" i="1"/>
  <c r="BX1178" i="1"/>
  <c r="BX1165" i="1"/>
  <c r="BX1166" i="1"/>
  <c r="BX1167" i="1"/>
  <c r="BX1168" i="1"/>
  <c r="BX1169" i="1"/>
  <c r="BX1170" i="1"/>
  <c r="BX1171" i="1"/>
  <c r="BX1172" i="1"/>
  <c r="BX1173" i="1"/>
  <c r="BX1164" i="1"/>
  <c r="BX1136" i="1"/>
  <c r="BX1137" i="1"/>
  <c r="BX1138" i="1"/>
  <c r="BX1139" i="1"/>
  <c r="BX1140" i="1"/>
  <c r="BX1141" i="1"/>
  <c r="BX1142" i="1"/>
  <c r="BX1143" i="1"/>
  <c r="BX1144" i="1"/>
  <c r="BX1145" i="1"/>
  <c r="BX1146" i="1"/>
  <c r="BX1147" i="1"/>
  <c r="BX1148" i="1"/>
  <c r="BX1149" i="1"/>
  <c r="BX1150" i="1"/>
  <c r="BX1151" i="1"/>
  <c r="DE1151" i="1" s="1"/>
  <c r="BX1152" i="1"/>
  <c r="BX1121" i="1"/>
  <c r="BX1122" i="1"/>
  <c r="BX1125" i="1"/>
  <c r="BX1127" i="1"/>
  <c r="BX1128" i="1"/>
  <c r="BX1130" i="1"/>
  <c r="BX1132" i="1"/>
  <c r="BX1133" i="1"/>
  <c r="BX1110" i="1"/>
  <c r="BX1112" i="1"/>
  <c r="BX1114" i="1"/>
  <c r="BX1116" i="1"/>
  <c r="BX1117" i="1"/>
  <c r="BX1118" i="1"/>
  <c r="BX1088" i="1"/>
  <c r="BX1089" i="1"/>
  <c r="BX1090" i="1"/>
  <c r="BX1091" i="1"/>
  <c r="BX1092" i="1"/>
  <c r="BX1093" i="1"/>
  <c r="BX1094" i="1"/>
  <c r="BX1095" i="1"/>
  <c r="BX1096" i="1"/>
  <c r="BX1097" i="1"/>
  <c r="BX1098" i="1"/>
  <c r="BX1099" i="1"/>
  <c r="BX1100" i="1"/>
  <c r="BX1101" i="1"/>
  <c r="BX1102" i="1"/>
  <c r="BX1103" i="1"/>
  <c r="BX1104" i="1"/>
  <c r="BX1105" i="1"/>
  <c r="BX1106" i="1"/>
  <c r="BX1069" i="1"/>
  <c r="BX1070" i="1"/>
  <c r="BX1071" i="1"/>
  <c r="BX1072" i="1"/>
  <c r="BX1073" i="1"/>
  <c r="BX1074" i="1"/>
  <c r="BX1075" i="1"/>
  <c r="BX1076" i="1"/>
  <c r="BX1077" i="1"/>
  <c r="BX1078" i="1"/>
  <c r="BX1079" i="1"/>
  <c r="DE1079" i="1" s="1"/>
  <c r="BX1080" i="1"/>
  <c r="BX1081" i="1"/>
  <c r="BX1082" i="1"/>
  <c r="BX1083" i="1"/>
  <c r="BX1084" i="1"/>
  <c r="BX1085" i="1"/>
  <c r="BX1086" i="1"/>
  <c r="BX1063" i="1"/>
  <c r="BX1065" i="1"/>
  <c r="BX1066" i="1"/>
  <c r="BX1064" i="1"/>
  <c r="BX1057" i="1"/>
  <c r="BX1058" i="1"/>
  <c r="BX1059" i="1"/>
  <c r="BX1060" i="1"/>
  <c r="BX1061" i="1"/>
  <c r="BX1062" i="1" s="1"/>
  <c r="BX1052" i="1"/>
  <c r="BX1054" i="1"/>
  <c r="BX1055" i="1"/>
  <c r="BX1053" i="1"/>
  <c r="BX1051" i="1"/>
  <c r="BX1036" i="1"/>
  <c r="BX1037" i="1"/>
  <c r="BX1033" i="1"/>
  <c r="BX1034" i="1"/>
  <c r="BX1030" i="1"/>
  <c r="BX1031" i="1"/>
  <c r="BX1032" i="1"/>
  <c r="BX1021" i="1"/>
  <c r="BX1022" i="1"/>
  <c r="BX1023" i="1"/>
  <c r="BX1024" i="1"/>
  <c r="BX1025" i="1"/>
  <c r="BX1026" i="1"/>
  <c r="BX1027" i="1"/>
  <c r="BX1028" i="1"/>
  <c r="BX1016" i="1"/>
  <c r="BX1017" i="1"/>
  <c r="BX1018" i="1"/>
  <c r="BX1019" i="1"/>
  <c r="BX1009" i="1"/>
  <c r="BX1010" i="1"/>
  <c r="BX1011" i="1"/>
  <c r="BX1012" i="1"/>
  <c r="BX1013" i="1"/>
  <c r="BX1014" i="1"/>
  <c r="BX1015" i="1"/>
  <c r="BX984" i="1"/>
  <c r="BX985" i="1"/>
  <c r="BX986" i="1"/>
  <c r="BX987" i="1"/>
  <c r="BX988" i="1"/>
  <c r="BX989" i="1"/>
  <c r="BX991" i="1"/>
  <c r="BX992" i="1"/>
  <c r="DE992" i="1" s="1"/>
  <c r="BX993" i="1"/>
  <c r="BX994" i="1"/>
  <c r="BX995" i="1"/>
  <c r="BX996" i="1"/>
  <c r="BX997" i="1"/>
  <c r="BX998" i="1"/>
  <c r="BX999" i="1"/>
  <c r="BX1000" i="1"/>
  <c r="BX1001" i="1"/>
  <c r="BX1002" i="1"/>
  <c r="BX1003" i="1"/>
  <c r="BX1004" i="1"/>
  <c r="BX1005" i="1"/>
  <c r="BX1006" i="1"/>
  <c r="BX1007" i="1"/>
  <c r="BX990" i="1"/>
  <c r="DD991" i="1"/>
  <c r="DE991" i="1" s="1"/>
  <c r="CN991" i="1"/>
  <c r="DD995" i="1"/>
  <c r="CN995" i="1"/>
  <c r="DD999" i="1"/>
  <c r="CN999" i="1"/>
  <c r="DD1003" i="1"/>
  <c r="CN1003" i="1"/>
  <c r="DE1003" i="1" s="1"/>
  <c r="DD1007" i="1"/>
  <c r="DE1007" i="1" s="1"/>
  <c r="CN1007" i="1"/>
  <c r="BX978" i="1"/>
  <c r="BX967" i="1"/>
  <c r="BX955" i="1"/>
  <c r="BX938" i="1"/>
  <c r="BX939" i="1"/>
  <c r="BX941" i="1"/>
  <c r="BX942" i="1"/>
  <c r="BX943" i="1"/>
  <c r="BX945" i="1"/>
  <c r="BX946" i="1"/>
  <c r="BX947" i="1"/>
  <c r="BX949" i="1"/>
  <c r="BX950" i="1"/>
  <c r="BX926" i="1"/>
  <c r="BX927" i="1"/>
  <c r="BX928" i="1"/>
  <c r="BX929" i="1"/>
  <c r="BX930" i="1"/>
  <c r="BX931" i="1"/>
  <c r="BX932" i="1"/>
  <c r="BX933" i="1"/>
  <c r="BX935" i="1"/>
  <c r="DD935" i="1"/>
  <c r="CN935" i="1"/>
  <c r="BX917" i="1"/>
  <c r="BX918" i="1"/>
  <c r="BX920" i="1"/>
  <c r="DD920" i="1"/>
  <c r="CN920" i="1"/>
  <c r="BX921" i="1"/>
  <c r="BX922" i="1"/>
  <c r="BX911" i="1"/>
  <c r="BX912" i="1"/>
  <c r="BX913" i="1"/>
  <c r="BX905" i="1"/>
  <c r="BX893" i="1"/>
  <c r="BX894" i="1"/>
  <c r="BX895" i="1"/>
  <c r="BX896" i="1"/>
  <c r="BX897" i="1"/>
  <c r="BX898" i="1"/>
  <c r="BX899" i="1"/>
  <c r="BX900" i="1"/>
  <c r="BX881" i="1"/>
  <c r="BX882" i="1"/>
  <c r="BX883" i="1"/>
  <c r="BX884" i="1"/>
  <c r="BX885" i="1"/>
  <c r="BX875" i="1"/>
  <c r="BX876" i="1"/>
  <c r="BX877" i="1"/>
  <c r="BX878" i="1"/>
  <c r="BX879" i="1"/>
  <c r="BX866" i="1"/>
  <c r="BX867" i="1"/>
  <c r="BX868" i="1"/>
  <c r="BX869" i="1"/>
  <c r="BX870" i="1"/>
  <c r="BX871" i="1"/>
  <c r="BX872" i="1"/>
  <c r="BX873" i="1"/>
  <c r="BX854" i="1"/>
  <c r="BX855" i="1"/>
  <c r="BX856" i="1"/>
  <c r="BX857" i="1"/>
  <c r="BX858" i="1"/>
  <c r="BX859" i="1"/>
  <c r="BX860" i="1"/>
  <c r="BX861" i="1"/>
  <c r="BX862" i="1"/>
  <c r="BX846" i="1"/>
  <c r="BX853" i="1" s="1"/>
  <c r="BX847" i="1"/>
  <c r="BX848" i="1"/>
  <c r="BX849" i="1"/>
  <c r="BX850" i="1"/>
  <c r="BX851" i="1"/>
  <c r="BX852" i="1"/>
  <c r="BX845" i="1"/>
  <c r="BX838" i="1"/>
  <c r="BX834" i="1"/>
  <c r="BX839" i="1"/>
  <c r="BX798" i="1"/>
  <c r="BX799" i="1"/>
  <c r="BX800" i="1"/>
  <c r="BX797" i="1"/>
  <c r="BX778" i="1"/>
  <c r="BX779" i="1"/>
  <c r="BX780" i="1"/>
  <c r="BX781" i="1"/>
  <c r="BX782" i="1"/>
  <c r="BX783" i="1"/>
  <c r="BX784" i="1"/>
  <c r="BX785" i="1"/>
  <c r="BX786" i="1"/>
  <c r="DE786" i="1" s="1"/>
  <c r="BX787" i="1"/>
  <c r="BX774" i="1"/>
  <c r="BX775" i="1"/>
  <c r="BX767" i="1"/>
  <c r="BX768" i="1"/>
  <c r="BX769" i="1"/>
  <c r="BX770" i="1"/>
  <c r="BX771" i="1"/>
  <c r="BX772" i="1"/>
  <c r="BX758" i="1"/>
  <c r="BX759" i="1"/>
  <c r="BX760" i="1"/>
  <c r="BX761" i="1"/>
  <c r="BX762" i="1"/>
  <c r="BX763" i="1"/>
  <c r="BX764" i="1"/>
  <c r="BX765" i="1"/>
  <c r="BX747" i="1"/>
  <c r="BX748" i="1"/>
  <c r="BX749" i="1"/>
  <c r="BX750" i="1"/>
  <c r="BX751" i="1"/>
  <c r="BX752" i="1"/>
  <c r="BX753" i="1"/>
  <c r="BX754" i="1"/>
  <c r="BX755" i="1"/>
  <c r="BX756" i="1"/>
  <c r="BX743" i="1"/>
  <c r="BX744" i="1"/>
  <c r="BX745" i="1"/>
  <c r="BX729" i="1"/>
  <c r="BX730" i="1"/>
  <c r="BX731" i="1"/>
  <c r="BX732" i="1"/>
  <c r="BX733" i="1"/>
  <c r="BX734" i="1"/>
  <c r="BX735" i="1"/>
  <c r="BX736" i="1"/>
  <c r="BX737" i="1"/>
  <c r="BX738" i="1"/>
  <c r="BX739" i="1"/>
  <c r="BX740" i="1"/>
  <c r="BX741" i="1"/>
  <c r="BX716" i="1"/>
  <c r="BX717" i="1"/>
  <c r="BX718" i="1"/>
  <c r="BX719" i="1"/>
  <c r="BX720" i="1"/>
  <c r="DE720" i="1" s="1"/>
  <c r="BX721" i="1"/>
  <c r="BX722" i="1"/>
  <c r="BX723" i="1"/>
  <c r="BX724" i="1"/>
  <c r="BX725" i="1"/>
  <c r="BX726" i="1"/>
  <c r="BX708" i="1"/>
  <c r="BX709" i="1"/>
  <c r="DE709" i="1" s="1"/>
  <c r="BX710" i="1"/>
  <c r="BX711" i="1"/>
  <c r="BX712" i="1"/>
  <c r="BX713" i="1"/>
  <c r="BX714" i="1"/>
  <c r="BX697" i="1"/>
  <c r="BX698" i="1"/>
  <c r="BX699" i="1"/>
  <c r="DE699" i="1" s="1"/>
  <c r="BX700" i="1"/>
  <c r="BX701" i="1"/>
  <c r="BX702" i="1"/>
  <c r="BX703" i="1"/>
  <c r="BX704" i="1"/>
  <c r="BX705" i="1"/>
  <c r="BX706" i="1"/>
  <c r="BX688" i="1"/>
  <c r="DE688" i="1" s="1"/>
  <c r="BX689" i="1"/>
  <c r="BX690" i="1"/>
  <c r="BX691" i="1"/>
  <c r="BX692" i="1"/>
  <c r="BX693" i="1"/>
  <c r="BX675" i="1"/>
  <c r="BX676" i="1"/>
  <c r="DD676" i="1"/>
  <c r="DE676" i="1" s="1"/>
  <c r="CN676" i="1"/>
  <c r="BX677" i="1"/>
  <c r="BX678" i="1"/>
  <c r="BX679" i="1"/>
  <c r="BX680" i="1"/>
  <c r="DD680" i="1"/>
  <c r="CN680" i="1"/>
  <c r="BX681" i="1"/>
  <c r="BX682" i="1"/>
  <c r="BX683" i="1"/>
  <c r="BX684" i="1"/>
  <c r="DD684" i="1"/>
  <c r="CN684" i="1"/>
  <c r="BX685" i="1"/>
  <c r="BX686" i="1"/>
  <c r="BX670" i="1"/>
  <c r="BX671" i="1"/>
  <c r="DD671" i="1"/>
  <c r="CN671" i="1"/>
  <c r="BX672" i="1"/>
  <c r="BX666" i="1"/>
  <c r="BX667" i="1"/>
  <c r="BX668" i="1"/>
  <c r="DD668" i="1"/>
  <c r="CN668" i="1"/>
  <c r="DE668" i="1"/>
  <c r="BX660" i="1"/>
  <c r="BX661" i="1"/>
  <c r="BX662" i="1"/>
  <c r="BX663" i="1"/>
  <c r="BX664" i="1"/>
  <c r="BX655" i="1"/>
  <c r="BX656" i="1"/>
  <c r="BX657" i="1"/>
  <c r="BX659" i="1" s="1"/>
  <c r="BX658" i="1"/>
  <c r="BX648" i="1"/>
  <c r="BX649" i="1"/>
  <c r="BX650" i="1"/>
  <c r="DD650" i="1"/>
  <c r="DE650" i="1" s="1"/>
  <c r="CN650" i="1"/>
  <c r="BX651" i="1"/>
  <c r="BX652" i="1"/>
  <c r="BX653" i="1"/>
  <c r="BX641" i="1"/>
  <c r="BX642" i="1"/>
  <c r="BX643" i="1"/>
  <c r="BX644" i="1"/>
  <c r="BX645" i="1"/>
  <c r="BX636" i="1"/>
  <c r="BX637" i="1"/>
  <c r="BX638" i="1"/>
  <c r="BX639" i="1"/>
  <c r="BX627" i="1"/>
  <c r="BX628" i="1"/>
  <c r="BX629" i="1"/>
  <c r="BX630" i="1"/>
  <c r="BX631" i="1"/>
  <c r="BX632" i="1"/>
  <c r="BX633" i="1"/>
  <c r="BX634" i="1"/>
  <c r="BX618" i="1"/>
  <c r="BX619" i="1"/>
  <c r="BX620" i="1"/>
  <c r="BX621" i="1"/>
  <c r="BX622" i="1"/>
  <c r="BX623" i="1"/>
  <c r="BX624" i="1"/>
  <c r="BX625" i="1"/>
  <c r="BX611" i="1"/>
  <c r="BX612" i="1"/>
  <c r="BX613" i="1"/>
  <c r="DD613" i="1"/>
  <c r="CN613" i="1"/>
  <c r="BX614" i="1"/>
  <c r="BX615" i="1"/>
  <c r="BX616" i="1"/>
  <c r="BX608" i="1"/>
  <c r="BX609" i="1"/>
  <c r="BX610" i="1" s="1"/>
  <c r="BX597" i="1"/>
  <c r="BX598" i="1"/>
  <c r="BX599" i="1"/>
  <c r="DD599" i="1"/>
  <c r="CN599" i="1"/>
  <c r="BX600" i="1"/>
  <c r="BX601" i="1"/>
  <c r="BX602" i="1"/>
  <c r="BX603" i="1"/>
  <c r="DD603" i="1"/>
  <c r="CN603" i="1"/>
  <c r="BX604" i="1"/>
  <c r="BX605" i="1"/>
  <c r="BX564" i="1"/>
  <c r="BX565" i="1"/>
  <c r="BX566" i="1"/>
  <c r="BX568" i="1"/>
  <c r="BX569" i="1"/>
  <c r="BX570" i="1"/>
  <c r="BX572" i="1"/>
  <c r="BX573" i="1"/>
  <c r="BX574" i="1"/>
  <c r="BX576" i="1"/>
  <c r="BX577" i="1"/>
  <c r="BX578" i="1"/>
  <c r="BX580" i="1"/>
  <c r="BX581" i="1"/>
  <c r="DE581" i="1" s="1"/>
  <c r="BX582" i="1"/>
  <c r="BX584" i="1"/>
  <c r="BX585" i="1"/>
  <c r="BX586" i="1"/>
  <c r="BX588" i="1"/>
  <c r="BX589" i="1"/>
  <c r="BX590" i="1"/>
  <c r="DE590" i="1" s="1"/>
  <c r="BX592" i="1"/>
  <c r="BX593" i="1"/>
  <c r="BX594" i="1"/>
  <c r="DD569" i="1"/>
  <c r="CN569" i="1"/>
  <c r="DD573" i="1"/>
  <c r="CN573" i="1"/>
  <c r="DD577" i="1"/>
  <c r="CN577" i="1"/>
  <c r="DD581" i="1"/>
  <c r="CN581" i="1"/>
  <c r="DD585" i="1"/>
  <c r="CN585" i="1"/>
  <c r="DD589" i="1"/>
  <c r="CN589" i="1"/>
  <c r="DD593" i="1"/>
  <c r="CN593" i="1"/>
  <c r="BX539" i="1"/>
  <c r="BX540" i="1"/>
  <c r="BX541" i="1"/>
  <c r="BX542" i="1"/>
  <c r="BX543" i="1"/>
  <c r="BX544" i="1"/>
  <c r="BX545" i="1"/>
  <c r="BX546" i="1"/>
  <c r="BX547" i="1"/>
  <c r="BX548" i="1"/>
  <c r="BX549" i="1"/>
  <c r="BX551" i="1"/>
  <c r="BX552" i="1"/>
  <c r="BX553" i="1"/>
  <c r="BX555" i="1"/>
  <c r="BX556" i="1"/>
  <c r="BX557" i="1"/>
  <c r="BX558" i="1"/>
  <c r="BX559" i="1"/>
  <c r="BX560" i="1"/>
  <c r="BX561" i="1"/>
  <c r="BX562" i="1"/>
  <c r="BX521" i="1"/>
  <c r="BX522" i="1"/>
  <c r="BX523" i="1"/>
  <c r="BX524" i="1"/>
  <c r="BX525" i="1"/>
  <c r="BX526" i="1"/>
  <c r="BX527" i="1"/>
  <c r="BX528" i="1"/>
  <c r="BX529" i="1"/>
  <c r="BX530" i="1"/>
  <c r="BX531" i="1"/>
  <c r="BX532" i="1"/>
  <c r="BX533" i="1"/>
  <c r="BX534" i="1"/>
  <c r="BX535" i="1"/>
  <c r="BX512" i="1"/>
  <c r="BX513" i="1"/>
  <c r="BX514" i="1"/>
  <c r="BX515" i="1"/>
  <c r="BX516" i="1"/>
  <c r="BX517" i="1"/>
  <c r="BX518" i="1"/>
  <c r="BX519" i="1"/>
  <c r="BX498" i="1"/>
  <c r="BX499" i="1"/>
  <c r="BX500" i="1"/>
  <c r="BX501" i="1"/>
  <c r="BX502" i="1"/>
  <c r="BX503" i="1"/>
  <c r="BX504" i="1"/>
  <c r="BX505" i="1"/>
  <c r="BX506" i="1"/>
  <c r="BX507" i="1"/>
  <c r="BX508" i="1"/>
  <c r="BX509" i="1"/>
  <c r="BX510" i="1"/>
  <c r="BX482" i="1"/>
  <c r="BX483" i="1"/>
  <c r="BX484" i="1"/>
  <c r="BX485" i="1"/>
  <c r="BX486" i="1"/>
  <c r="BX487" i="1"/>
  <c r="BX488" i="1"/>
  <c r="BX489" i="1"/>
  <c r="BX490" i="1"/>
  <c r="BX491" i="1"/>
  <c r="BX492" i="1"/>
  <c r="BX493" i="1"/>
  <c r="BX494" i="1"/>
  <c r="BX495" i="1"/>
  <c r="BX496" i="1"/>
  <c r="BX480" i="1"/>
  <c r="BX481" i="1" s="1"/>
  <c r="BX469" i="1"/>
  <c r="BX470" i="1"/>
  <c r="DE470" i="1" s="1"/>
  <c r="BX471" i="1"/>
  <c r="BX472" i="1"/>
  <c r="BX473" i="1"/>
  <c r="BX461" i="1"/>
  <c r="BX462" i="1"/>
  <c r="BX463" i="1"/>
  <c r="BX464" i="1"/>
  <c r="BX465" i="1"/>
  <c r="BX466" i="1"/>
  <c r="BX467" i="1"/>
  <c r="BX444" i="1"/>
  <c r="BX445" i="1"/>
  <c r="BX446" i="1"/>
  <c r="BX447" i="1"/>
  <c r="BX448" i="1"/>
  <c r="BX449" i="1"/>
  <c r="BX450" i="1"/>
  <c r="BX451" i="1"/>
  <c r="BX452" i="1"/>
  <c r="BX453" i="1"/>
  <c r="BX454" i="1"/>
  <c r="BX455" i="1"/>
  <c r="BX456" i="1"/>
  <c r="BX457" i="1"/>
  <c r="BX458" i="1"/>
  <c r="BX459" i="1"/>
  <c r="BX388" i="1"/>
  <c r="BX389" i="1"/>
  <c r="BX390" i="1"/>
  <c r="BX391" i="1"/>
  <c r="BX392" i="1"/>
  <c r="BX393" i="1"/>
  <c r="BX394" i="1"/>
  <c r="BX395" i="1"/>
  <c r="BX396" i="1"/>
  <c r="BX397" i="1"/>
  <c r="BX398" i="1"/>
  <c r="BX399" i="1"/>
  <c r="BX400" i="1"/>
  <c r="BX401" i="1"/>
  <c r="BX402" i="1"/>
  <c r="BX403" i="1"/>
  <c r="BX404" i="1"/>
  <c r="BX405" i="1"/>
  <c r="BX406" i="1"/>
  <c r="BX407" i="1"/>
  <c r="BX408" i="1"/>
  <c r="BX409" i="1"/>
  <c r="BX410" i="1"/>
  <c r="BX411" i="1"/>
  <c r="BX383" i="1"/>
  <c r="BX384" i="1"/>
  <c r="BX385" i="1"/>
  <c r="BX372" i="1"/>
  <c r="BX373" i="1"/>
  <c r="BX374" i="1"/>
  <c r="BX375" i="1"/>
  <c r="BX376" i="1"/>
  <c r="BX377" i="1"/>
  <c r="BX378" i="1"/>
  <c r="BX379" i="1"/>
  <c r="BX380" i="1"/>
  <c r="BX381" i="1"/>
  <c r="BX368" i="1"/>
  <c r="BX369" i="1"/>
  <c r="BX370" i="1"/>
  <c r="BX358" i="1"/>
  <c r="BX359" i="1"/>
  <c r="BX360" i="1"/>
  <c r="BX361" i="1"/>
  <c r="BX362" i="1"/>
  <c r="BX363" i="1"/>
  <c r="BX364" i="1"/>
  <c r="BX365" i="1"/>
  <c r="BX366" i="1"/>
  <c r="BX354" i="1"/>
  <c r="BX355" i="1"/>
  <c r="BX356" i="1"/>
  <c r="BX340" i="1"/>
  <c r="BX341" i="1"/>
  <c r="BX342" i="1"/>
  <c r="BX343" i="1"/>
  <c r="BX344" i="1"/>
  <c r="BX345" i="1"/>
  <c r="BX346" i="1"/>
  <c r="BX347" i="1"/>
  <c r="BX348" i="1"/>
  <c r="BX349" i="1"/>
  <c r="BX350" i="1"/>
  <c r="BX351" i="1"/>
  <c r="BX352" i="1"/>
  <c r="BX328" i="1"/>
  <c r="BX329" i="1"/>
  <c r="BX330" i="1"/>
  <c r="BX331" i="1"/>
  <c r="BX332" i="1"/>
  <c r="BX333" i="1"/>
  <c r="BX334" i="1"/>
  <c r="BX335" i="1"/>
  <c r="BX336" i="1"/>
  <c r="BX337" i="1"/>
  <c r="BX318" i="1"/>
  <c r="BX319" i="1"/>
  <c r="BX320" i="1"/>
  <c r="BX321" i="1"/>
  <c r="BX322" i="1"/>
  <c r="BX323" i="1"/>
  <c r="BX324" i="1"/>
  <c r="BX325" i="1"/>
  <c r="BX311" i="1"/>
  <c r="BX312" i="1"/>
  <c r="BX313" i="1"/>
  <c r="BX314" i="1"/>
  <c r="BX315" i="1"/>
  <c r="BX316" i="1"/>
  <c r="BX293" i="1"/>
  <c r="BX294" i="1"/>
  <c r="BX295" i="1"/>
  <c r="BX296" i="1"/>
  <c r="BX297" i="1"/>
  <c r="BX298" i="1"/>
  <c r="BX299" i="1"/>
  <c r="BX300" i="1"/>
  <c r="BX301" i="1"/>
  <c r="BX302" i="1"/>
  <c r="BX303" i="1"/>
  <c r="BX304" i="1"/>
  <c r="BX305" i="1"/>
  <c r="BX306" i="1"/>
  <c r="BX307" i="1"/>
  <c r="BX308" i="1"/>
  <c r="BX309" i="1"/>
  <c r="BX279" i="1"/>
  <c r="BX280" i="1"/>
  <c r="BX281" i="1"/>
  <c r="BX282" i="1"/>
  <c r="BX283" i="1"/>
  <c r="BX284" i="1"/>
  <c r="BX285" i="1"/>
  <c r="BX286" i="1"/>
  <c r="BX287" i="1"/>
  <c r="BX288" i="1"/>
  <c r="BX289" i="1"/>
  <c r="BX290" i="1"/>
  <c r="BX291" i="1"/>
  <c r="BX273" i="1"/>
  <c r="BX274" i="1"/>
  <c r="BX275" i="1"/>
  <c r="BX276" i="1"/>
  <c r="BX278" i="1" s="1"/>
  <c r="BX277" i="1"/>
  <c r="BX267" i="1"/>
  <c r="BX268" i="1"/>
  <c r="BX269" i="1"/>
  <c r="BX270" i="1"/>
  <c r="BX271" i="1"/>
  <c r="BX260" i="1"/>
  <c r="BX261" i="1"/>
  <c r="BX262" i="1"/>
  <c r="BX263" i="1"/>
  <c r="BX264" i="1"/>
  <c r="BX265" i="1"/>
  <c r="BX256" i="1"/>
  <c r="BX257" i="1"/>
  <c r="BX258" i="1"/>
  <c r="BX244" i="1"/>
  <c r="BX245" i="1"/>
  <c r="BX246" i="1"/>
  <c r="BX247" i="1"/>
  <c r="BX248" i="1"/>
  <c r="BX249" i="1"/>
  <c r="BX250" i="1"/>
  <c r="BX251" i="1"/>
  <c r="BX252" i="1"/>
  <c r="BX253" i="1"/>
  <c r="BX254" i="1"/>
  <c r="BX238" i="1"/>
  <c r="BX239" i="1"/>
  <c r="BX240" i="1"/>
  <c r="BX241" i="1"/>
  <c r="BX242" i="1"/>
  <c r="BX233" i="1"/>
  <c r="BX236" i="1" s="1"/>
  <c r="BX234" i="1"/>
  <c r="BX235" i="1"/>
  <c r="BX220" i="1"/>
  <c r="BX221" i="1"/>
  <c r="BX222" i="1"/>
  <c r="BX223" i="1"/>
  <c r="BX224" i="1"/>
  <c r="BX225" i="1"/>
  <c r="BX226" i="1"/>
  <c r="BX227" i="1"/>
  <c r="BX228" i="1"/>
  <c r="BX229" i="1"/>
  <c r="BX230" i="1"/>
  <c r="BX231" i="1"/>
  <c r="BX200" i="1"/>
  <c r="BX201" i="1"/>
  <c r="BX202" i="1"/>
  <c r="BX203" i="1"/>
  <c r="BX204" i="1"/>
  <c r="BX205" i="1"/>
  <c r="BX206" i="1"/>
  <c r="BX207" i="1"/>
  <c r="BX208" i="1"/>
  <c r="BX209" i="1"/>
  <c r="BX210" i="1"/>
  <c r="BX211" i="1"/>
  <c r="BX212" i="1"/>
  <c r="BX213" i="1"/>
  <c r="BX214" i="1"/>
  <c r="BX215" i="1"/>
  <c r="BX216" i="1"/>
  <c r="BX217" i="1"/>
  <c r="BX218" i="1"/>
  <c r="BX196" i="1"/>
  <c r="BX197" i="1"/>
  <c r="BX198" i="1"/>
  <c r="BX176" i="1"/>
  <c r="BX177" i="1"/>
  <c r="BX178" i="1"/>
  <c r="BX180" i="1"/>
  <c r="BX181" i="1"/>
  <c r="BX182" i="1"/>
  <c r="BX183" i="1"/>
  <c r="BX185" i="1"/>
  <c r="BX186" i="1"/>
  <c r="BX187" i="1"/>
  <c r="BX188" i="1"/>
  <c r="BX189" i="1"/>
  <c r="BX190" i="1"/>
  <c r="BX191" i="1"/>
  <c r="BX192" i="1"/>
  <c r="BX193" i="1"/>
  <c r="BX194" i="1"/>
  <c r="BX179" i="1"/>
  <c r="BX184" i="1"/>
  <c r="BX171" i="1"/>
  <c r="BX172" i="1"/>
  <c r="BX173" i="1"/>
  <c r="BX85" i="1"/>
  <c r="BX86" i="1"/>
  <c r="BX87" i="1"/>
  <c r="BX88" i="1"/>
  <c r="BX89" i="1"/>
  <c r="BX90" i="1"/>
  <c r="BX91" i="1"/>
  <c r="BX92" i="1"/>
  <c r="BX93" i="1"/>
  <c r="BX94" i="1"/>
  <c r="BX95" i="1"/>
  <c r="BX97" i="1"/>
  <c r="DE97" i="1" s="1"/>
  <c r="BX98" i="1"/>
  <c r="BX99" i="1"/>
  <c r="BX100" i="1"/>
  <c r="BX101" i="1"/>
  <c r="BX102" i="1"/>
  <c r="BX103" i="1"/>
  <c r="BX104" i="1"/>
  <c r="BX105" i="1"/>
  <c r="DE105" i="1" s="1"/>
  <c r="BX106" i="1"/>
  <c r="BX107" i="1"/>
  <c r="BX108" i="1"/>
  <c r="BX109" i="1"/>
  <c r="BX110" i="1"/>
  <c r="BX111" i="1"/>
  <c r="BX112" i="1"/>
  <c r="BX113" i="1"/>
  <c r="DE113" i="1" s="1"/>
  <c r="BX114" i="1"/>
  <c r="BX115" i="1"/>
  <c r="BX116" i="1"/>
  <c r="BX117" i="1"/>
  <c r="BX118" i="1"/>
  <c r="BX119" i="1"/>
  <c r="BX120" i="1"/>
  <c r="BX121" i="1"/>
  <c r="DE121" i="1" s="1"/>
  <c r="BX122" i="1"/>
  <c r="BX123" i="1"/>
  <c r="BX124" i="1"/>
  <c r="BX125" i="1"/>
  <c r="BX126" i="1"/>
  <c r="BX127" i="1"/>
  <c r="BX128" i="1"/>
  <c r="BX129" i="1"/>
  <c r="DE129" i="1" s="1"/>
  <c r="BX130" i="1"/>
  <c r="BX131" i="1"/>
  <c r="BX132" i="1"/>
  <c r="BX133" i="1"/>
  <c r="BX134" i="1"/>
  <c r="BX135" i="1"/>
  <c r="BX136" i="1"/>
  <c r="BX137" i="1"/>
  <c r="BX138" i="1"/>
  <c r="BX139" i="1"/>
  <c r="BX140" i="1"/>
  <c r="BX141" i="1"/>
  <c r="BX142" i="1"/>
  <c r="BX143" i="1"/>
  <c r="BX144" i="1"/>
  <c r="BX145" i="1"/>
  <c r="BX146" i="1"/>
  <c r="BX147" i="1"/>
  <c r="BX148" i="1"/>
  <c r="BX149" i="1"/>
  <c r="BX150" i="1"/>
  <c r="BX151" i="1"/>
  <c r="BX152" i="1"/>
  <c r="BX153" i="1"/>
  <c r="BX154" i="1"/>
  <c r="BX71" i="1"/>
  <c r="BX72" i="1"/>
  <c r="BX73" i="1"/>
  <c r="BX64" i="1"/>
  <c r="BX65" i="1"/>
  <c r="BX4" i="1"/>
  <c r="BX5" i="1"/>
  <c r="BX6" i="1"/>
  <c r="BX7" i="1"/>
  <c r="BX8" i="1"/>
  <c r="BX75" i="1"/>
  <c r="BX76" i="1"/>
  <c r="BX77" i="1"/>
  <c r="BX78" i="1"/>
  <c r="BX79" i="1"/>
  <c r="BX80" i="1"/>
  <c r="BX81" i="1"/>
  <c r="BX82" i="1"/>
  <c r="BY1190" i="1"/>
  <c r="BY1188" i="1"/>
  <c r="BY1178" i="1"/>
  <c r="BY1174" i="1"/>
  <c r="BY1164" i="1"/>
  <c r="BY1153" i="1"/>
  <c r="BY1134" i="1"/>
  <c r="BY1120" i="1"/>
  <c r="BY1107" i="1"/>
  <c r="BY1087" i="1"/>
  <c r="BY1067" i="1"/>
  <c r="BY1062" i="1"/>
  <c r="BY1056" i="1"/>
  <c r="BY1051" i="1"/>
  <c r="BY1038" i="1"/>
  <c r="BY1035" i="1"/>
  <c r="BY1032" i="1"/>
  <c r="BY1029" i="1"/>
  <c r="BY1020" i="1"/>
  <c r="BY1015" i="1"/>
  <c r="BY1008" i="1"/>
  <c r="BY978" i="1"/>
  <c r="BY967" i="1"/>
  <c r="BY955" i="1"/>
  <c r="BY951" i="1"/>
  <c r="BY936" i="1"/>
  <c r="BY937" i="1" s="1"/>
  <c r="BY924" i="1"/>
  <c r="BY914" i="1"/>
  <c r="BY910" i="1"/>
  <c r="BY905" i="1"/>
  <c r="BY906" i="1" s="1"/>
  <c r="BY901" i="1"/>
  <c r="BY886" i="1"/>
  <c r="BY880" i="1"/>
  <c r="BY874" i="1"/>
  <c r="BY863" i="1"/>
  <c r="BY864" i="1" s="1"/>
  <c r="BY853" i="1"/>
  <c r="BY845" i="1"/>
  <c r="BY838" i="1"/>
  <c r="BY839" i="1" s="1"/>
  <c r="BY834" i="1"/>
  <c r="BY823" i="1"/>
  <c r="BY801" i="1"/>
  <c r="BY797" i="1"/>
  <c r="BY788" i="1"/>
  <c r="BY789" i="1" s="1"/>
  <c r="BY776" i="1"/>
  <c r="BY773" i="1"/>
  <c r="BY766" i="1"/>
  <c r="BY757" i="1"/>
  <c r="BY746" i="1"/>
  <c r="BY742" i="1"/>
  <c r="BY727" i="1"/>
  <c r="BY728" i="1" s="1"/>
  <c r="BY715" i="1"/>
  <c r="BY707" i="1"/>
  <c r="BY694" i="1"/>
  <c r="BY687" i="1"/>
  <c r="BY695" i="1"/>
  <c r="BY673" i="1"/>
  <c r="BY669" i="1"/>
  <c r="BY665" i="1"/>
  <c r="BY659" i="1"/>
  <c r="BY654" i="1"/>
  <c r="BY646" i="1"/>
  <c r="BY640" i="1"/>
  <c r="BY635" i="1"/>
  <c r="BY626" i="1"/>
  <c r="BY617" i="1"/>
  <c r="BY610" i="1"/>
  <c r="BY647" i="1" s="1"/>
  <c r="BY606" i="1"/>
  <c r="BY596" i="1"/>
  <c r="BY563" i="1"/>
  <c r="BY536" i="1"/>
  <c r="BY520" i="1"/>
  <c r="BY511" i="1"/>
  <c r="BY497" i="1"/>
  <c r="BY480" i="1"/>
  <c r="BY481" i="1" s="1"/>
  <c r="BY474" i="1"/>
  <c r="BY468" i="1"/>
  <c r="BY460" i="1"/>
  <c r="BY443" i="1"/>
  <c r="BY412" i="1"/>
  <c r="BY386" i="1"/>
  <c r="BY382" i="1"/>
  <c r="BY371" i="1"/>
  <c r="BY367" i="1"/>
  <c r="BY357" i="1"/>
  <c r="BY353" i="1"/>
  <c r="BY338" i="1"/>
  <c r="BY339" i="1"/>
  <c r="BY326" i="1"/>
  <c r="BY317" i="1"/>
  <c r="BY310" i="1"/>
  <c r="BY327" i="1" s="1"/>
  <c r="BY292" i="1"/>
  <c r="BY278" i="1"/>
  <c r="BY272" i="1"/>
  <c r="BY266" i="1"/>
  <c r="BY259" i="1"/>
  <c r="BY255" i="1"/>
  <c r="BY243" i="1"/>
  <c r="BY236" i="1"/>
  <c r="BY237" i="1" s="1"/>
  <c r="BY232" i="1"/>
  <c r="BY219" i="1"/>
  <c r="BY199" i="1"/>
  <c r="BY195" i="1"/>
  <c r="BY174" i="1"/>
  <c r="BY175" i="1" s="1"/>
  <c r="BY155" i="1"/>
  <c r="BY156" i="1" s="1"/>
  <c r="BY74" i="1"/>
  <c r="BY70" i="1"/>
  <c r="BY84" i="1" s="1"/>
  <c r="BY9" i="1"/>
  <c r="BY83" i="1"/>
  <c r="BZ1190" i="1"/>
  <c r="BZ1188" i="1"/>
  <c r="BZ1178" i="1"/>
  <c r="BZ1174" i="1"/>
  <c r="BZ1164" i="1"/>
  <c r="BZ1153" i="1"/>
  <c r="BZ1134" i="1"/>
  <c r="BZ1120" i="1"/>
  <c r="BZ1107" i="1"/>
  <c r="BZ1087" i="1"/>
  <c r="BZ1067" i="1"/>
  <c r="BZ1062" i="1"/>
  <c r="BZ1056" i="1"/>
  <c r="BZ1051" i="1"/>
  <c r="BZ1068" i="1" s="1"/>
  <c r="BZ1038" i="1"/>
  <c r="BZ1035" i="1"/>
  <c r="BZ1032" i="1"/>
  <c r="BZ1029" i="1"/>
  <c r="BZ1020" i="1"/>
  <c r="BZ1015" i="1"/>
  <c r="BZ1008" i="1"/>
  <c r="BZ978" i="1"/>
  <c r="BZ967" i="1"/>
  <c r="BZ955" i="1"/>
  <c r="BZ951" i="1"/>
  <c r="BZ936" i="1"/>
  <c r="BZ924" i="1"/>
  <c r="BZ937" i="1" s="1"/>
  <c r="BZ914" i="1"/>
  <c r="BZ910" i="1"/>
  <c r="BZ905" i="1"/>
  <c r="BZ901" i="1"/>
  <c r="BZ886" i="1"/>
  <c r="BZ880" i="1"/>
  <c r="BZ874" i="1"/>
  <c r="BZ863" i="1"/>
  <c r="BZ853" i="1"/>
  <c r="BZ845" i="1"/>
  <c r="BZ838" i="1"/>
  <c r="BZ839" i="1" s="1"/>
  <c r="BZ865" i="1" s="1"/>
  <c r="BZ834" i="1"/>
  <c r="BZ823" i="1"/>
  <c r="BZ801" i="1"/>
  <c r="BZ797" i="1"/>
  <c r="BZ788" i="1"/>
  <c r="BZ789" i="1" s="1"/>
  <c r="BZ776" i="1"/>
  <c r="BZ773" i="1"/>
  <c r="BZ766" i="1"/>
  <c r="BZ757" i="1"/>
  <c r="BZ746" i="1"/>
  <c r="BZ742" i="1"/>
  <c r="BZ727" i="1"/>
  <c r="BZ715" i="1"/>
  <c r="BZ707" i="1"/>
  <c r="BZ694" i="1"/>
  <c r="BZ695" i="1" s="1"/>
  <c r="BZ687" i="1"/>
  <c r="BZ673" i="1"/>
  <c r="BZ669" i="1"/>
  <c r="BZ665" i="1"/>
  <c r="BZ674" i="1" s="1"/>
  <c r="BZ659" i="1"/>
  <c r="BZ654" i="1"/>
  <c r="BZ646" i="1"/>
  <c r="BZ640" i="1"/>
  <c r="BZ635" i="1"/>
  <c r="BZ626" i="1"/>
  <c r="BZ617" i="1"/>
  <c r="BZ610" i="1"/>
  <c r="BZ606" i="1"/>
  <c r="BZ596" i="1"/>
  <c r="BZ563" i="1"/>
  <c r="BZ536" i="1"/>
  <c r="BZ520" i="1"/>
  <c r="BZ511" i="1"/>
  <c r="BZ497" i="1"/>
  <c r="BZ480" i="1"/>
  <c r="BZ481" i="1" s="1"/>
  <c r="BZ474" i="1"/>
  <c r="BZ468" i="1"/>
  <c r="BZ460" i="1"/>
  <c r="BZ443" i="1"/>
  <c r="BZ412" i="1"/>
  <c r="BZ386" i="1"/>
  <c r="BZ382" i="1"/>
  <c r="BZ387" i="1" s="1"/>
  <c r="BZ371" i="1"/>
  <c r="BZ367" i="1"/>
  <c r="BZ357" i="1"/>
  <c r="BZ353" i="1"/>
  <c r="BZ338" i="1"/>
  <c r="BZ339" i="1" s="1"/>
  <c r="BZ326" i="1"/>
  <c r="BZ317" i="1"/>
  <c r="BZ310" i="1"/>
  <c r="BZ292" i="1"/>
  <c r="BZ278" i="1"/>
  <c r="BZ272" i="1"/>
  <c r="BZ266" i="1"/>
  <c r="BZ259" i="1"/>
  <c r="BZ255" i="1"/>
  <c r="BZ243" i="1"/>
  <c r="BZ236" i="1"/>
  <c r="BZ232" i="1"/>
  <c r="BZ219" i="1"/>
  <c r="BZ199" i="1"/>
  <c r="BZ195" i="1"/>
  <c r="BZ174" i="1"/>
  <c r="BZ175" i="1" s="1"/>
  <c r="BZ155" i="1"/>
  <c r="BZ156" i="1"/>
  <c r="BZ74" i="1"/>
  <c r="BZ70" i="1"/>
  <c r="BZ9" i="1"/>
  <c r="BZ83" i="1"/>
  <c r="CA1190" i="1"/>
  <c r="CA1188" i="1"/>
  <c r="CA1178" i="1"/>
  <c r="CA1174" i="1"/>
  <c r="CA1164" i="1"/>
  <c r="CA1153" i="1"/>
  <c r="CA1134" i="1"/>
  <c r="CA1120" i="1"/>
  <c r="CA1107" i="1"/>
  <c r="CA1087" i="1"/>
  <c r="CA1067" i="1"/>
  <c r="CA1062" i="1"/>
  <c r="CA1056" i="1"/>
  <c r="CA1051" i="1"/>
  <c r="CA1038" i="1"/>
  <c r="CA1035" i="1"/>
  <c r="CA1032" i="1"/>
  <c r="CA1029" i="1"/>
  <c r="CA1020" i="1"/>
  <c r="CA1015" i="1"/>
  <c r="CA1008" i="1"/>
  <c r="CA978" i="1"/>
  <c r="CA967" i="1"/>
  <c r="CA955" i="1"/>
  <c r="CA951" i="1"/>
  <c r="CA936" i="1"/>
  <c r="CA924" i="1"/>
  <c r="CA914" i="1"/>
  <c r="CA915" i="1" s="1"/>
  <c r="CA910" i="1"/>
  <c r="CA905" i="1"/>
  <c r="CA901" i="1"/>
  <c r="CA906" i="1" s="1"/>
  <c r="CA886" i="1"/>
  <c r="CA880" i="1"/>
  <c r="CA874" i="1"/>
  <c r="CA863" i="1"/>
  <c r="CA864" i="1" s="1"/>
  <c r="CA853" i="1"/>
  <c r="CA845" i="1"/>
  <c r="CA838" i="1"/>
  <c r="CA834" i="1"/>
  <c r="CA823" i="1"/>
  <c r="CA801" i="1"/>
  <c r="CA797" i="1"/>
  <c r="CA788" i="1"/>
  <c r="CA789" i="1" s="1"/>
  <c r="CA776" i="1"/>
  <c r="CA773" i="1"/>
  <c r="CA766" i="1"/>
  <c r="CA757" i="1"/>
  <c r="CA746" i="1"/>
  <c r="CA742" i="1"/>
  <c r="CA777" i="1"/>
  <c r="CA727" i="1"/>
  <c r="CA715" i="1"/>
  <c r="CA707" i="1"/>
  <c r="CA728" i="1" s="1"/>
  <c r="CA694" i="1"/>
  <c r="CA687" i="1"/>
  <c r="CA673" i="1"/>
  <c r="CA669" i="1"/>
  <c r="CA665" i="1"/>
  <c r="CA659" i="1"/>
  <c r="CA654" i="1"/>
  <c r="CA646" i="1"/>
  <c r="CA640" i="1"/>
  <c r="CA635" i="1"/>
  <c r="CA626" i="1"/>
  <c r="CA617" i="1"/>
  <c r="CA610" i="1"/>
  <c r="CA606" i="1"/>
  <c r="CA596" i="1"/>
  <c r="CA563" i="1"/>
  <c r="CA536" i="1"/>
  <c r="CA520" i="1"/>
  <c r="CA511" i="1"/>
  <c r="CA497" i="1"/>
  <c r="CA480" i="1"/>
  <c r="CA481" i="1" s="1"/>
  <c r="CA474" i="1"/>
  <c r="CA468" i="1"/>
  <c r="CA460" i="1"/>
  <c r="CA443" i="1"/>
  <c r="CA412" i="1"/>
  <c r="CA386" i="1"/>
  <c r="CA382" i="1"/>
  <c r="CA371" i="1"/>
  <c r="CA367" i="1"/>
  <c r="CA357" i="1"/>
  <c r="CA353" i="1"/>
  <c r="CA338" i="1"/>
  <c r="CA339" i="1" s="1"/>
  <c r="CA326" i="1"/>
  <c r="CA317" i="1"/>
  <c r="CA310" i="1"/>
  <c r="CA292" i="1"/>
  <c r="CA278" i="1"/>
  <c r="CA327" i="1" s="1"/>
  <c r="CA272" i="1"/>
  <c r="CA266" i="1"/>
  <c r="CA259" i="1"/>
  <c r="CA255" i="1"/>
  <c r="CA243" i="1"/>
  <c r="CA236" i="1"/>
  <c r="CA232" i="1"/>
  <c r="CA219" i="1"/>
  <c r="CA237" i="1" s="1"/>
  <c r="CA199" i="1"/>
  <c r="CA195" i="1"/>
  <c r="CA174" i="1"/>
  <c r="CA175" i="1" s="1"/>
  <c r="CA155" i="1"/>
  <c r="CA156" i="1" s="1"/>
  <c r="CA74" i="1"/>
  <c r="CA70" i="1"/>
  <c r="CA9" i="1"/>
  <c r="CA83" i="1"/>
  <c r="CB1190" i="1"/>
  <c r="CB1191" i="1" s="1"/>
  <c r="CB1188" i="1"/>
  <c r="CB1178" i="1"/>
  <c r="CB1174" i="1"/>
  <c r="CB1164" i="1"/>
  <c r="CB1153" i="1"/>
  <c r="CB1121" i="1"/>
  <c r="CB1122" i="1"/>
  <c r="CB1123" i="1"/>
  <c r="CB1124" i="1"/>
  <c r="CB1129" i="1"/>
  <c r="CB1130" i="1"/>
  <c r="CN1130" i="1" s="1"/>
  <c r="CB1133" i="1"/>
  <c r="CB1110" i="1"/>
  <c r="CB1112" i="1"/>
  <c r="CB1114" i="1"/>
  <c r="CN1114" i="1" s="1"/>
  <c r="CB1116" i="1"/>
  <c r="CN1116" i="1" s="1"/>
  <c r="CB1117" i="1"/>
  <c r="CB1118" i="1"/>
  <c r="CN1118" i="1" s="1"/>
  <c r="CB1107" i="1"/>
  <c r="CB1087" i="1"/>
  <c r="CB1067" i="1"/>
  <c r="CB1062" i="1"/>
  <c r="CB1056" i="1"/>
  <c r="CB1051" i="1"/>
  <c r="CB1038" i="1"/>
  <c r="CB1035" i="1"/>
  <c r="CB1032" i="1"/>
  <c r="CB1029" i="1"/>
  <c r="CB1020" i="1"/>
  <c r="CB1015" i="1"/>
  <c r="CB1008" i="1"/>
  <c r="CB978" i="1"/>
  <c r="CB967" i="1"/>
  <c r="CB955" i="1"/>
  <c r="CB956" i="1" s="1"/>
  <c r="CB951" i="1"/>
  <c r="CB936" i="1"/>
  <c r="CB924" i="1"/>
  <c r="CB914" i="1"/>
  <c r="CB910" i="1"/>
  <c r="CB915" i="1" s="1"/>
  <c r="CB905" i="1"/>
  <c r="CB901" i="1"/>
  <c r="CB886" i="1"/>
  <c r="CB880" i="1"/>
  <c r="CB874" i="1"/>
  <c r="CB863" i="1"/>
  <c r="CB853" i="1"/>
  <c r="CB845" i="1"/>
  <c r="CB838" i="1"/>
  <c r="CB834" i="1"/>
  <c r="CB839" i="1" s="1"/>
  <c r="CB823" i="1"/>
  <c r="CB801" i="1"/>
  <c r="CB797" i="1"/>
  <c r="CB788" i="1"/>
  <c r="CB789" i="1" s="1"/>
  <c r="CB776" i="1"/>
  <c r="CB773" i="1"/>
  <c r="CB766" i="1"/>
  <c r="CB757" i="1"/>
  <c r="CB746" i="1"/>
  <c r="CB742" i="1"/>
  <c r="CB727" i="1"/>
  <c r="CB715" i="1"/>
  <c r="CB707" i="1"/>
  <c r="CB694" i="1"/>
  <c r="CB695" i="1" s="1"/>
  <c r="CB687" i="1"/>
  <c r="CB673" i="1"/>
  <c r="CB669" i="1"/>
  <c r="CB665" i="1"/>
  <c r="CB659" i="1"/>
  <c r="CB654" i="1"/>
  <c r="CB646" i="1"/>
  <c r="CB640" i="1"/>
  <c r="CB635" i="1"/>
  <c r="CB626" i="1"/>
  <c r="CB617" i="1"/>
  <c r="CB610" i="1"/>
  <c r="CB606" i="1"/>
  <c r="CB596" i="1"/>
  <c r="CB563" i="1"/>
  <c r="CB536" i="1"/>
  <c r="CB520" i="1"/>
  <c r="CB511" i="1"/>
  <c r="CB497" i="1"/>
  <c r="CB480" i="1"/>
  <c r="CB481" i="1" s="1"/>
  <c r="CB474" i="1"/>
  <c r="CB468" i="1"/>
  <c r="CB460" i="1"/>
  <c r="CB443" i="1"/>
  <c r="CB412" i="1"/>
  <c r="CB386" i="1"/>
  <c r="CB382" i="1"/>
  <c r="CB371" i="1"/>
  <c r="CB367" i="1"/>
  <c r="CB357" i="1"/>
  <c r="CB353" i="1"/>
  <c r="CB338" i="1"/>
  <c r="CB339" i="1" s="1"/>
  <c r="CB326" i="1"/>
  <c r="CB317" i="1"/>
  <c r="CB310" i="1"/>
  <c r="CB292" i="1"/>
  <c r="CB278" i="1"/>
  <c r="CB272" i="1"/>
  <c r="CB266" i="1"/>
  <c r="CB259" i="1"/>
  <c r="CB255" i="1"/>
  <c r="CB243" i="1"/>
  <c r="CB236" i="1"/>
  <c r="CB232" i="1"/>
  <c r="CB219" i="1"/>
  <c r="CB199" i="1"/>
  <c r="CB195" i="1"/>
  <c r="CB174" i="1"/>
  <c r="CB175" i="1" s="1"/>
  <c r="CB155" i="1"/>
  <c r="CB156" i="1" s="1"/>
  <c r="CB74" i="1"/>
  <c r="CB70" i="1"/>
  <c r="CB9" i="1"/>
  <c r="CB83" i="1"/>
  <c r="CC1190" i="1"/>
  <c r="CC1188" i="1"/>
  <c r="CC1178" i="1"/>
  <c r="CC1174" i="1"/>
  <c r="CC1164" i="1"/>
  <c r="CC1153" i="1"/>
  <c r="CC1134" i="1"/>
  <c r="CC1120" i="1"/>
  <c r="CC1107" i="1"/>
  <c r="CC1135" i="1" s="1"/>
  <c r="CC1087" i="1"/>
  <c r="CC1067" i="1"/>
  <c r="CC1062" i="1"/>
  <c r="CC1056" i="1"/>
  <c r="CC1051" i="1"/>
  <c r="CC1038" i="1"/>
  <c r="CC1035" i="1"/>
  <c r="CC1032" i="1"/>
  <c r="CC1029" i="1"/>
  <c r="CC1020" i="1"/>
  <c r="CC1015" i="1"/>
  <c r="CC1008" i="1"/>
  <c r="CC978" i="1"/>
  <c r="CC967" i="1"/>
  <c r="CC955" i="1"/>
  <c r="CC951" i="1"/>
  <c r="CC929" i="1"/>
  <c r="CC936" i="1" s="1"/>
  <c r="CC924" i="1"/>
  <c r="CC914" i="1"/>
  <c r="CC910" i="1"/>
  <c r="CC905" i="1"/>
  <c r="CC901" i="1"/>
  <c r="CC886" i="1"/>
  <c r="CC880" i="1"/>
  <c r="CC874" i="1"/>
  <c r="CC863" i="1"/>
  <c r="CC853" i="1"/>
  <c r="CC845" i="1"/>
  <c r="CC838" i="1"/>
  <c r="CC834" i="1"/>
  <c r="CC823" i="1"/>
  <c r="CC801" i="1"/>
  <c r="CC797" i="1"/>
  <c r="CC788" i="1"/>
  <c r="CC789" i="1" s="1"/>
  <c r="CC776" i="1"/>
  <c r="CC773" i="1"/>
  <c r="CC766" i="1"/>
  <c r="CC757" i="1"/>
  <c r="CC746" i="1"/>
  <c r="CC742" i="1"/>
  <c r="CC727" i="1"/>
  <c r="CC715" i="1"/>
  <c r="CC707" i="1"/>
  <c r="CC694" i="1"/>
  <c r="CC695" i="1" s="1"/>
  <c r="CC687" i="1"/>
  <c r="CC673" i="1"/>
  <c r="CC669" i="1"/>
  <c r="CC665" i="1"/>
  <c r="CC659" i="1"/>
  <c r="CC654" i="1"/>
  <c r="CC646" i="1"/>
  <c r="CC640" i="1"/>
  <c r="CC635" i="1"/>
  <c r="CC626" i="1"/>
  <c r="CC617" i="1"/>
  <c r="CC610" i="1"/>
  <c r="CC606" i="1"/>
  <c r="CC596" i="1"/>
  <c r="CC563" i="1"/>
  <c r="CC536" i="1"/>
  <c r="CC520" i="1"/>
  <c r="CC511" i="1"/>
  <c r="CC497" i="1"/>
  <c r="CC480" i="1"/>
  <c r="CC481" i="1" s="1"/>
  <c r="CC474" i="1"/>
  <c r="CC468" i="1"/>
  <c r="CC460" i="1"/>
  <c r="CC443" i="1"/>
  <c r="CC412" i="1"/>
  <c r="CC386" i="1"/>
  <c r="CC382" i="1"/>
  <c r="CC371" i="1"/>
  <c r="CC367" i="1"/>
  <c r="CC357" i="1"/>
  <c r="CC353" i="1"/>
  <c r="CC338" i="1"/>
  <c r="CC339" i="1" s="1"/>
  <c r="CC326" i="1"/>
  <c r="CC317" i="1"/>
  <c r="CC310" i="1"/>
  <c r="CC292" i="1"/>
  <c r="CC278" i="1"/>
  <c r="CC272" i="1"/>
  <c r="CC266" i="1"/>
  <c r="CC259" i="1"/>
  <c r="CC255" i="1"/>
  <c r="CC243" i="1"/>
  <c r="CC236" i="1"/>
  <c r="CC232" i="1"/>
  <c r="CC207" i="1"/>
  <c r="CC213" i="1"/>
  <c r="CC199" i="1"/>
  <c r="CC195" i="1"/>
  <c r="CC174" i="1"/>
  <c r="CC175" i="1" s="1"/>
  <c r="CC96" i="1"/>
  <c r="CC120" i="1"/>
  <c r="CC128" i="1"/>
  <c r="CC74" i="1"/>
  <c r="CC63" i="1"/>
  <c r="CN63" i="1" s="1"/>
  <c r="CC64" i="1"/>
  <c r="CN64" i="1" s="1"/>
  <c r="CC65" i="1"/>
  <c r="CC66" i="1"/>
  <c r="CC68" i="1"/>
  <c r="CC69" i="1"/>
  <c r="CN69" i="1" s="1"/>
  <c r="CH69" i="1"/>
  <c r="CC9" i="1"/>
  <c r="CC83" i="1"/>
  <c r="CD1190" i="1"/>
  <c r="CD1191" i="1" s="1"/>
  <c r="CD1188" i="1"/>
  <c r="CD1178" i="1"/>
  <c r="CD1174" i="1"/>
  <c r="CD1164" i="1"/>
  <c r="CD1153" i="1"/>
  <c r="CD1134" i="1"/>
  <c r="CD1120" i="1"/>
  <c r="CD1107" i="1"/>
  <c r="CD1087" i="1"/>
  <c r="CD1067" i="1"/>
  <c r="CD1062" i="1"/>
  <c r="CD1056" i="1"/>
  <c r="CD1051" i="1"/>
  <c r="CD1038" i="1"/>
  <c r="CD1035" i="1"/>
  <c r="CD1032" i="1"/>
  <c r="CD1029" i="1"/>
  <c r="CD1020" i="1"/>
  <c r="CD1015" i="1"/>
  <c r="CD1008" i="1"/>
  <c r="CD978" i="1"/>
  <c r="CD967" i="1"/>
  <c r="CD955" i="1"/>
  <c r="CD951" i="1"/>
  <c r="CD936" i="1"/>
  <c r="CD937" i="1" s="1"/>
  <c r="CD924" i="1"/>
  <c r="CD914" i="1"/>
  <c r="CD910" i="1"/>
  <c r="CD915" i="1" s="1"/>
  <c r="CD905" i="1"/>
  <c r="CD901" i="1"/>
  <c r="CD906" i="1"/>
  <c r="CD886" i="1"/>
  <c r="CD880" i="1"/>
  <c r="CD874" i="1"/>
  <c r="CD863" i="1"/>
  <c r="CD853" i="1"/>
  <c r="CD845" i="1"/>
  <c r="CD838" i="1"/>
  <c r="CD834" i="1"/>
  <c r="CD839" i="1" s="1"/>
  <c r="CD823" i="1"/>
  <c r="CD801" i="1"/>
  <c r="CD797" i="1"/>
  <c r="CD788" i="1"/>
  <c r="CD789" i="1"/>
  <c r="CD776" i="1"/>
  <c r="CD773" i="1"/>
  <c r="CD766" i="1"/>
  <c r="CD757" i="1"/>
  <c r="CD746" i="1"/>
  <c r="CD742" i="1"/>
  <c r="CD727" i="1"/>
  <c r="CD715" i="1"/>
  <c r="CD707" i="1"/>
  <c r="CD694" i="1"/>
  <c r="CD687" i="1"/>
  <c r="CD695" i="1" s="1"/>
  <c r="CD696" i="1" s="1"/>
  <c r="CD673" i="1"/>
  <c r="CD669" i="1"/>
  <c r="CD665" i="1"/>
  <c r="CD659" i="1"/>
  <c r="CD654" i="1"/>
  <c r="CD646" i="1"/>
  <c r="CD640" i="1"/>
  <c r="CD635" i="1"/>
  <c r="CD626" i="1"/>
  <c r="CD617" i="1"/>
  <c r="CD610" i="1"/>
  <c r="CD606" i="1"/>
  <c r="CD596" i="1"/>
  <c r="CD563" i="1"/>
  <c r="CD536" i="1"/>
  <c r="CD520" i="1"/>
  <c r="CD511" i="1"/>
  <c r="CD497" i="1"/>
  <c r="CD480" i="1"/>
  <c r="CD481" i="1"/>
  <c r="CD474" i="1"/>
  <c r="CD468" i="1"/>
  <c r="CD460" i="1"/>
  <c r="CD443" i="1"/>
  <c r="CD412" i="1"/>
  <c r="CD386" i="1"/>
  <c r="CD382" i="1"/>
  <c r="CD371" i="1"/>
  <c r="CD367" i="1"/>
  <c r="CD357" i="1"/>
  <c r="CD353" i="1"/>
  <c r="CD338" i="1"/>
  <c r="CD339" i="1" s="1"/>
  <c r="CD326" i="1"/>
  <c r="CD317" i="1"/>
  <c r="CD310" i="1"/>
  <c r="CD292" i="1"/>
  <c r="CD278" i="1"/>
  <c r="CD272" i="1"/>
  <c r="CD266" i="1"/>
  <c r="CD259" i="1"/>
  <c r="CD255" i="1"/>
  <c r="CD243" i="1"/>
  <c r="CD236" i="1"/>
  <c r="CD232" i="1"/>
  <c r="CD219" i="1"/>
  <c r="CD199" i="1"/>
  <c r="CD195" i="1"/>
  <c r="CD174" i="1"/>
  <c r="CD175" i="1" s="1"/>
  <c r="CD155" i="1"/>
  <c r="CD156" i="1" s="1"/>
  <c r="CD74" i="1"/>
  <c r="CD70" i="1"/>
  <c r="CD9" i="1"/>
  <c r="CD83" i="1"/>
  <c r="CE1190" i="1"/>
  <c r="CE1191" i="1" s="1"/>
  <c r="CE1188" i="1"/>
  <c r="CE1178" i="1"/>
  <c r="CE1174" i="1"/>
  <c r="CE1164" i="1"/>
  <c r="CE1153" i="1"/>
  <c r="CE1175" i="1"/>
  <c r="CE1134" i="1"/>
  <c r="CE1120" i="1"/>
  <c r="CE1107" i="1"/>
  <c r="CE1087" i="1"/>
  <c r="CE1067" i="1"/>
  <c r="CE1062" i="1"/>
  <c r="CE1056" i="1"/>
  <c r="CE1051" i="1"/>
  <c r="CE1038" i="1"/>
  <c r="CE1035" i="1"/>
  <c r="CE1032" i="1"/>
  <c r="CE1029" i="1"/>
  <c r="CE1020" i="1"/>
  <c r="CE1015" i="1"/>
  <c r="CE1008" i="1"/>
  <c r="CE978" i="1"/>
  <c r="CE967" i="1"/>
  <c r="CE955" i="1"/>
  <c r="CE951" i="1"/>
  <c r="CE936" i="1"/>
  <c r="CE924" i="1"/>
  <c r="CE914" i="1"/>
  <c r="CE915" i="1" s="1"/>
  <c r="CE910" i="1"/>
  <c r="CE905" i="1"/>
  <c r="CE901" i="1"/>
  <c r="CE886" i="1"/>
  <c r="CE880" i="1"/>
  <c r="CE874" i="1"/>
  <c r="CE863" i="1"/>
  <c r="CE853" i="1"/>
  <c r="CE845" i="1"/>
  <c r="CE838" i="1"/>
  <c r="CE834" i="1"/>
  <c r="CE823" i="1"/>
  <c r="CE801" i="1"/>
  <c r="CE797" i="1"/>
  <c r="CE824" i="1"/>
  <c r="CE788" i="1"/>
  <c r="CE789" i="1" s="1"/>
  <c r="CE776" i="1"/>
  <c r="CE773" i="1"/>
  <c r="CE766" i="1"/>
  <c r="CE757" i="1"/>
  <c r="CE746" i="1"/>
  <c r="CE742" i="1"/>
  <c r="CE727" i="1"/>
  <c r="CE715" i="1"/>
  <c r="CE707" i="1"/>
  <c r="CE694" i="1"/>
  <c r="CE687" i="1"/>
  <c r="CE673" i="1"/>
  <c r="CE669" i="1"/>
  <c r="CE665" i="1"/>
  <c r="CE659" i="1"/>
  <c r="CE654" i="1"/>
  <c r="CE646" i="1"/>
  <c r="CE640" i="1"/>
  <c r="CE635" i="1"/>
  <c r="CE626" i="1"/>
  <c r="CE617" i="1"/>
  <c r="CE610" i="1"/>
  <c r="CE606" i="1"/>
  <c r="CE596" i="1"/>
  <c r="CE563" i="1"/>
  <c r="CE607" i="1"/>
  <c r="CE536" i="1"/>
  <c r="CE520" i="1"/>
  <c r="CE511" i="1"/>
  <c r="CE497" i="1"/>
  <c r="CE480" i="1"/>
  <c r="CE481" i="1" s="1"/>
  <c r="CE474" i="1"/>
  <c r="CE468" i="1"/>
  <c r="CE460" i="1"/>
  <c r="CE443" i="1"/>
  <c r="CE412" i="1"/>
  <c r="CE386" i="1"/>
  <c r="CE382" i="1"/>
  <c r="CE371" i="1"/>
  <c r="CE367" i="1"/>
  <c r="CE357" i="1"/>
  <c r="CE353" i="1"/>
  <c r="CE338" i="1"/>
  <c r="CE339" i="1" s="1"/>
  <c r="CE326" i="1"/>
  <c r="CE317" i="1"/>
  <c r="CE310" i="1"/>
  <c r="CE292" i="1"/>
  <c r="CE278" i="1"/>
  <c r="CE272" i="1"/>
  <c r="CE266" i="1"/>
  <c r="CE259" i="1"/>
  <c r="CE255" i="1"/>
  <c r="CE243" i="1"/>
  <c r="CE236" i="1"/>
  <c r="CE232" i="1"/>
  <c r="CE219" i="1"/>
  <c r="CE199" i="1"/>
  <c r="CE195" i="1"/>
  <c r="CE174" i="1"/>
  <c r="CE175" i="1" s="1"/>
  <c r="CE155" i="1"/>
  <c r="CE156" i="1" s="1"/>
  <c r="CE74" i="1"/>
  <c r="CE70" i="1"/>
  <c r="CE9" i="1"/>
  <c r="CE83" i="1"/>
  <c r="CF1190" i="1"/>
  <c r="CF1188" i="1"/>
  <c r="CF1178" i="1"/>
  <c r="CF1174" i="1"/>
  <c r="CF1164" i="1"/>
  <c r="CF1153" i="1"/>
  <c r="CF1134" i="1"/>
  <c r="CF1120" i="1"/>
  <c r="CF1107" i="1"/>
  <c r="CF1087" i="1"/>
  <c r="CF1067" i="1"/>
  <c r="CF1062" i="1"/>
  <c r="CF1056" i="1"/>
  <c r="CF1051" i="1"/>
  <c r="CF1038" i="1"/>
  <c r="CF1035" i="1"/>
  <c r="CF1032" i="1"/>
  <c r="CF1029" i="1"/>
  <c r="CF1020" i="1"/>
  <c r="CF1015" i="1"/>
  <c r="CF1008" i="1"/>
  <c r="CF978" i="1"/>
  <c r="CF967" i="1"/>
  <c r="CF955" i="1"/>
  <c r="CF951" i="1"/>
  <c r="CF936" i="1"/>
  <c r="CF924" i="1"/>
  <c r="CF937" i="1" s="1"/>
  <c r="CF914" i="1"/>
  <c r="CF910" i="1"/>
  <c r="CF915" i="1" s="1"/>
  <c r="CF905" i="1"/>
  <c r="CF906" i="1" s="1"/>
  <c r="CF901" i="1"/>
  <c r="CF886" i="1"/>
  <c r="CF880" i="1"/>
  <c r="CF874" i="1"/>
  <c r="CF863" i="1"/>
  <c r="CF853" i="1"/>
  <c r="CF845" i="1"/>
  <c r="CF838" i="1"/>
  <c r="CF834" i="1"/>
  <c r="CF823" i="1"/>
  <c r="CF801" i="1"/>
  <c r="CF797" i="1"/>
  <c r="CF788" i="1"/>
  <c r="CF789" i="1" s="1"/>
  <c r="CF776" i="1"/>
  <c r="CF773" i="1"/>
  <c r="CF766" i="1"/>
  <c r="CF757" i="1"/>
  <c r="CF746" i="1"/>
  <c r="CF742" i="1"/>
  <c r="CF727" i="1"/>
  <c r="CF715" i="1"/>
  <c r="CF707" i="1"/>
  <c r="CF694" i="1"/>
  <c r="CF695" i="1" s="1"/>
  <c r="CF687" i="1"/>
  <c r="CF673" i="1"/>
  <c r="CF669" i="1"/>
  <c r="CF665" i="1"/>
  <c r="CF659" i="1"/>
  <c r="CF654" i="1"/>
  <c r="CF646" i="1"/>
  <c r="CF640" i="1"/>
  <c r="CF635" i="1"/>
  <c r="CF626" i="1"/>
  <c r="CF617" i="1"/>
  <c r="CF610" i="1"/>
  <c r="CF606" i="1"/>
  <c r="CF596" i="1"/>
  <c r="CF563" i="1"/>
  <c r="CF536" i="1"/>
  <c r="CF520" i="1"/>
  <c r="CF511" i="1"/>
  <c r="CF497" i="1"/>
  <c r="CF480" i="1"/>
  <c r="CF481" i="1" s="1"/>
  <c r="CF474" i="1"/>
  <c r="CF468" i="1"/>
  <c r="CF460" i="1"/>
  <c r="CF443" i="1"/>
  <c r="CF412" i="1"/>
  <c r="CF386" i="1"/>
  <c r="CF382" i="1"/>
  <c r="CF371" i="1"/>
  <c r="CF367" i="1"/>
  <c r="CF357" i="1"/>
  <c r="CF353" i="1"/>
  <c r="CF338" i="1"/>
  <c r="CF339" i="1" s="1"/>
  <c r="CF326" i="1"/>
  <c r="CF317" i="1"/>
  <c r="CF310" i="1"/>
  <c r="CF292" i="1"/>
  <c r="CF278" i="1"/>
  <c r="CF272" i="1"/>
  <c r="CF266" i="1"/>
  <c r="CF259" i="1"/>
  <c r="CF255" i="1"/>
  <c r="CF243" i="1"/>
  <c r="CF236" i="1"/>
  <c r="CF232" i="1"/>
  <c r="CF219" i="1"/>
  <c r="CF199" i="1"/>
  <c r="CF195" i="1"/>
  <c r="CF174" i="1"/>
  <c r="CF175" i="1" s="1"/>
  <c r="CF155" i="1"/>
  <c r="CF156" i="1"/>
  <c r="CF74" i="1"/>
  <c r="CF70" i="1"/>
  <c r="CF9" i="1"/>
  <c r="CF83" i="1"/>
  <c r="CG1190" i="1"/>
  <c r="CG1188" i="1"/>
  <c r="CG1178" i="1"/>
  <c r="CG1174" i="1"/>
  <c r="CG1164" i="1"/>
  <c r="CG1153" i="1"/>
  <c r="CG1134" i="1"/>
  <c r="CG1120" i="1"/>
  <c r="CG1107" i="1"/>
  <c r="CG1087" i="1"/>
  <c r="CG1067" i="1"/>
  <c r="CG1062" i="1"/>
  <c r="CG1056" i="1"/>
  <c r="CG1051" i="1"/>
  <c r="CG1038" i="1"/>
  <c r="CG1035" i="1"/>
  <c r="CG1032" i="1"/>
  <c r="CG1029" i="1"/>
  <c r="CG1020" i="1"/>
  <c r="CG1015" i="1"/>
  <c r="CG1008" i="1"/>
  <c r="CG978" i="1"/>
  <c r="CG967" i="1"/>
  <c r="CG955" i="1"/>
  <c r="CG951" i="1"/>
  <c r="CG936" i="1"/>
  <c r="CG924" i="1"/>
  <c r="CG914" i="1"/>
  <c r="CG910" i="1"/>
  <c r="CG905" i="1"/>
  <c r="CG901" i="1"/>
  <c r="CG886" i="1"/>
  <c r="CG880" i="1"/>
  <c r="CG874" i="1"/>
  <c r="CG863" i="1"/>
  <c r="CG853" i="1"/>
  <c r="CG845" i="1"/>
  <c r="CG838" i="1"/>
  <c r="CG834" i="1"/>
  <c r="CG823" i="1"/>
  <c r="CG801" i="1"/>
  <c r="CG797" i="1"/>
  <c r="CG788" i="1"/>
  <c r="CG789" i="1"/>
  <c r="CG776" i="1"/>
  <c r="CG773" i="1"/>
  <c r="CG766" i="1"/>
  <c r="CG757" i="1"/>
  <c r="CG746" i="1"/>
  <c r="CG742" i="1"/>
  <c r="CG727" i="1"/>
  <c r="CG715" i="1"/>
  <c r="CG707" i="1"/>
  <c r="CG694" i="1"/>
  <c r="CG687" i="1"/>
  <c r="CG673" i="1"/>
  <c r="CG669" i="1"/>
  <c r="CG665" i="1"/>
  <c r="CG659" i="1"/>
  <c r="CG654" i="1"/>
  <c r="CG646" i="1"/>
  <c r="CG640" i="1"/>
  <c r="CG635" i="1"/>
  <c r="CG626" i="1"/>
  <c r="CG617" i="1"/>
  <c r="CG610" i="1"/>
  <c r="CG606" i="1"/>
  <c r="CG596" i="1"/>
  <c r="CG607" i="1" s="1"/>
  <c r="CG563" i="1"/>
  <c r="CG536" i="1"/>
  <c r="CG520" i="1"/>
  <c r="CG511" i="1"/>
  <c r="CG497" i="1"/>
  <c r="CG480" i="1"/>
  <c r="CG481" i="1"/>
  <c r="CG474" i="1"/>
  <c r="CG468" i="1"/>
  <c r="CG460" i="1"/>
  <c r="CG443" i="1"/>
  <c r="CG412" i="1"/>
  <c r="CG386" i="1"/>
  <c r="CG382" i="1"/>
  <c r="CG371" i="1"/>
  <c r="CG367" i="1"/>
  <c r="CG357" i="1"/>
  <c r="CG353" i="1"/>
  <c r="CG338" i="1"/>
  <c r="CG339" i="1" s="1"/>
  <c r="CG326" i="1"/>
  <c r="CG317" i="1"/>
  <c r="CG310" i="1"/>
  <c r="CG292" i="1"/>
  <c r="CG278" i="1"/>
  <c r="CG272" i="1"/>
  <c r="CG266" i="1"/>
  <c r="CG259" i="1"/>
  <c r="CG255" i="1"/>
  <c r="CG243" i="1"/>
  <c r="CG236" i="1"/>
  <c r="CG232" i="1"/>
  <c r="CG219" i="1"/>
  <c r="CG199" i="1"/>
  <c r="CG195" i="1"/>
  <c r="CG174" i="1"/>
  <c r="CG175" i="1" s="1"/>
  <c r="CG155" i="1"/>
  <c r="CG156" i="1" s="1"/>
  <c r="CG74" i="1"/>
  <c r="CG70" i="1"/>
  <c r="CG84" i="1" s="1"/>
  <c r="CG9" i="1"/>
  <c r="CG83" i="1"/>
  <c r="CH1190" i="1"/>
  <c r="CH1191" i="1" s="1"/>
  <c r="CH1188" i="1"/>
  <c r="CH1178" i="1"/>
  <c r="CH1174" i="1"/>
  <c r="CH1164" i="1"/>
  <c r="CH1153" i="1"/>
  <c r="CH1134" i="1"/>
  <c r="CH1120" i="1"/>
  <c r="CH1107" i="1"/>
  <c r="CH1087" i="1"/>
  <c r="CH1067" i="1"/>
  <c r="CH1062" i="1"/>
  <c r="CH1056" i="1"/>
  <c r="CH1051" i="1"/>
  <c r="CH1038" i="1"/>
  <c r="CH1035" i="1"/>
  <c r="CH1032" i="1"/>
  <c r="CH1029" i="1"/>
  <c r="CH1020" i="1"/>
  <c r="CH1015" i="1"/>
  <c r="CH1008" i="1"/>
  <c r="CH978" i="1"/>
  <c r="CH967" i="1"/>
  <c r="CH955" i="1"/>
  <c r="CH956" i="1" s="1"/>
  <c r="CH951" i="1"/>
  <c r="CH936" i="1"/>
  <c r="CH924" i="1"/>
  <c r="CH937" i="1" s="1"/>
  <c r="CH914" i="1"/>
  <c r="CH915" i="1" s="1"/>
  <c r="CH910" i="1"/>
  <c r="CH905" i="1"/>
  <c r="CH901" i="1"/>
  <c r="CH886" i="1"/>
  <c r="CH880" i="1"/>
  <c r="CH874" i="1"/>
  <c r="CH863" i="1"/>
  <c r="CH853" i="1"/>
  <c r="CH845" i="1"/>
  <c r="CH838" i="1"/>
  <c r="CH834" i="1"/>
  <c r="CH823" i="1"/>
  <c r="CH801" i="1"/>
  <c r="CH797" i="1"/>
  <c r="CH788" i="1"/>
  <c r="CH789" i="1" s="1"/>
  <c r="CH776" i="1"/>
  <c r="CH773" i="1"/>
  <c r="CH766" i="1"/>
  <c r="CH757" i="1"/>
  <c r="CH746" i="1"/>
  <c r="CH742" i="1"/>
  <c r="CH727" i="1"/>
  <c r="CH715" i="1"/>
  <c r="CH728" i="1" s="1"/>
  <c r="CH707" i="1"/>
  <c r="CH694" i="1"/>
  <c r="CH687" i="1"/>
  <c r="CH695" i="1" s="1"/>
  <c r="CH673" i="1"/>
  <c r="CH669" i="1"/>
  <c r="CH665" i="1"/>
  <c r="CH659" i="1"/>
  <c r="CH654" i="1"/>
  <c r="CH646" i="1"/>
  <c r="CH640" i="1"/>
  <c r="CH635" i="1"/>
  <c r="CH626" i="1"/>
  <c r="CH617" i="1"/>
  <c r="CH610" i="1"/>
  <c r="CH606" i="1"/>
  <c r="CH596" i="1"/>
  <c r="CH563" i="1"/>
  <c r="CH536" i="1"/>
  <c r="CH520" i="1"/>
  <c r="CH511" i="1"/>
  <c r="CH497" i="1"/>
  <c r="CH480" i="1"/>
  <c r="CH481" i="1" s="1"/>
  <c r="CH474" i="1"/>
  <c r="CH468" i="1"/>
  <c r="CH460" i="1"/>
  <c r="CH443" i="1"/>
  <c r="CH412" i="1"/>
  <c r="CH386" i="1"/>
  <c r="CH382" i="1"/>
  <c r="CH371" i="1"/>
  <c r="CH367" i="1"/>
  <c r="CH357" i="1"/>
  <c r="CH353" i="1"/>
  <c r="CH338" i="1"/>
  <c r="CH339" i="1"/>
  <c r="CH326" i="1"/>
  <c r="CH317" i="1"/>
  <c r="CH310" i="1"/>
  <c r="CH292" i="1"/>
  <c r="CH278" i="1"/>
  <c r="CH272" i="1"/>
  <c r="CH266" i="1"/>
  <c r="CH259" i="1"/>
  <c r="CH255" i="1"/>
  <c r="CH243" i="1"/>
  <c r="CH236" i="1"/>
  <c r="CH232" i="1"/>
  <c r="CH219" i="1"/>
  <c r="CH199" i="1"/>
  <c r="CH195" i="1"/>
  <c r="CH174" i="1"/>
  <c r="CH175" i="1" s="1"/>
  <c r="CH155" i="1"/>
  <c r="CH156" i="1" s="1"/>
  <c r="CH74" i="1"/>
  <c r="CH62" i="1"/>
  <c r="CH66" i="1"/>
  <c r="CH67" i="1"/>
  <c r="CN67" i="1" s="1"/>
  <c r="CH9" i="1"/>
  <c r="CH83" i="1"/>
  <c r="CI1190" i="1"/>
  <c r="CI1191" i="1" s="1"/>
  <c r="CI1188" i="1"/>
  <c r="CI1178" i="1"/>
  <c r="CI1174" i="1"/>
  <c r="CI1175" i="1" s="1"/>
  <c r="CI1164" i="1"/>
  <c r="CI1153" i="1"/>
  <c r="CI1134" i="1"/>
  <c r="CI1120" i="1"/>
  <c r="CI1107" i="1"/>
  <c r="CI1087" i="1"/>
  <c r="CI1067" i="1"/>
  <c r="CI1062" i="1"/>
  <c r="CI1068" i="1" s="1"/>
  <c r="CI1056" i="1"/>
  <c r="CI1051" i="1"/>
  <c r="CI1038" i="1"/>
  <c r="CI1035" i="1"/>
  <c r="CI1032" i="1"/>
  <c r="CI1029" i="1"/>
  <c r="CI1020" i="1"/>
  <c r="CI1015" i="1"/>
  <c r="CI1008" i="1"/>
  <c r="CI978" i="1"/>
  <c r="CI967" i="1"/>
  <c r="CI955" i="1"/>
  <c r="CI951" i="1"/>
  <c r="CI936" i="1"/>
  <c r="CI924" i="1"/>
  <c r="CI914" i="1"/>
  <c r="CI915" i="1" s="1"/>
  <c r="CI910" i="1"/>
  <c r="CI905" i="1"/>
  <c r="CI901" i="1"/>
  <c r="CI886" i="1"/>
  <c r="CI887" i="1" s="1"/>
  <c r="CI880" i="1"/>
  <c r="CI874" i="1"/>
  <c r="CI863" i="1"/>
  <c r="CI864" i="1" s="1"/>
  <c r="CI853" i="1"/>
  <c r="CI845" i="1"/>
  <c r="CI838" i="1"/>
  <c r="CI839" i="1" s="1"/>
  <c r="CI834" i="1"/>
  <c r="CI823" i="1"/>
  <c r="CI801" i="1"/>
  <c r="CI797" i="1"/>
  <c r="CI788" i="1"/>
  <c r="CI789" i="1" s="1"/>
  <c r="CI776" i="1"/>
  <c r="CI773" i="1"/>
  <c r="CI766" i="1"/>
  <c r="CI757" i="1"/>
  <c r="CI746" i="1"/>
  <c r="CI742" i="1"/>
  <c r="CI727" i="1"/>
  <c r="CI715" i="1"/>
  <c r="CI707" i="1"/>
  <c r="CI694" i="1"/>
  <c r="CI687" i="1"/>
  <c r="CI673" i="1"/>
  <c r="CI669" i="1"/>
  <c r="CI665" i="1"/>
  <c r="CI659" i="1"/>
  <c r="CI654" i="1"/>
  <c r="CI646" i="1"/>
  <c r="CI640" i="1"/>
  <c r="CI635" i="1"/>
  <c r="CI626" i="1"/>
  <c r="CI617" i="1"/>
  <c r="CI610" i="1"/>
  <c r="CI606" i="1"/>
  <c r="CI596" i="1"/>
  <c r="CI563" i="1"/>
  <c r="CI536" i="1"/>
  <c r="CI520" i="1"/>
  <c r="CI511" i="1"/>
  <c r="CI497" i="1"/>
  <c r="CI480" i="1"/>
  <c r="CI481" i="1"/>
  <c r="CI474" i="1"/>
  <c r="CI468" i="1"/>
  <c r="CI460" i="1"/>
  <c r="CI443" i="1"/>
  <c r="CI412" i="1"/>
  <c r="CI386" i="1"/>
  <c r="CI382" i="1"/>
  <c r="CI371" i="1"/>
  <c r="CI367" i="1"/>
  <c r="CI357" i="1"/>
  <c r="CI353" i="1"/>
  <c r="CI338" i="1"/>
  <c r="CI339" i="1" s="1"/>
  <c r="CI326" i="1"/>
  <c r="CI317" i="1"/>
  <c r="CI310" i="1"/>
  <c r="CI292" i="1"/>
  <c r="CI278" i="1"/>
  <c r="CI272" i="1"/>
  <c r="CI266" i="1"/>
  <c r="CI259" i="1"/>
  <c r="CI255" i="1"/>
  <c r="CI243" i="1"/>
  <c r="CI236" i="1"/>
  <c r="CI232" i="1"/>
  <c r="CI219" i="1"/>
  <c r="CI199" i="1"/>
  <c r="CI195" i="1"/>
  <c r="CI174" i="1"/>
  <c r="CI175" i="1" s="1"/>
  <c r="CI155" i="1"/>
  <c r="CI156" i="1" s="1"/>
  <c r="CI74" i="1"/>
  <c r="CI70" i="1"/>
  <c r="CI9" i="1"/>
  <c r="CI83" i="1"/>
  <c r="CJ1190" i="1"/>
  <c r="CJ1188" i="1"/>
  <c r="CJ1178" i="1"/>
  <c r="CJ1174" i="1"/>
  <c r="CJ1164" i="1"/>
  <c r="CJ1153" i="1"/>
  <c r="CJ1134" i="1"/>
  <c r="CJ1120" i="1"/>
  <c r="CJ1107" i="1"/>
  <c r="CJ1135" i="1" s="1"/>
  <c r="CJ1087" i="1"/>
  <c r="CJ1067" i="1"/>
  <c r="CJ1062" i="1"/>
  <c r="CJ1056" i="1"/>
  <c r="CJ1051" i="1"/>
  <c r="CJ1038" i="1"/>
  <c r="CJ1035" i="1"/>
  <c r="CJ1032" i="1"/>
  <c r="CJ1068" i="1" s="1"/>
  <c r="CJ1029" i="1"/>
  <c r="CJ1020" i="1"/>
  <c r="CJ1015" i="1"/>
  <c r="CJ1008" i="1"/>
  <c r="CJ978" i="1"/>
  <c r="CJ967" i="1"/>
  <c r="CJ955" i="1"/>
  <c r="CJ951" i="1"/>
  <c r="CJ956" i="1" s="1"/>
  <c r="CJ936" i="1"/>
  <c r="CJ937" i="1" s="1"/>
  <c r="CJ924" i="1"/>
  <c r="CJ914" i="1"/>
  <c r="CJ915" i="1" s="1"/>
  <c r="CJ910" i="1"/>
  <c r="CJ905" i="1"/>
  <c r="CJ901" i="1"/>
  <c r="CJ886" i="1"/>
  <c r="CJ887" i="1" s="1"/>
  <c r="CJ880" i="1"/>
  <c r="CJ874" i="1"/>
  <c r="CJ863" i="1"/>
  <c r="CJ864" i="1" s="1"/>
  <c r="CJ853" i="1"/>
  <c r="CJ845" i="1"/>
  <c r="CJ838" i="1"/>
  <c r="CJ834" i="1"/>
  <c r="CJ823" i="1"/>
  <c r="CJ801" i="1"/>
  <c r="CJ797" i="1"/>
  <c r="CJ788" i="1"/>
  <c r="CJ789" i="1" s="1"/>
  <c r="CJ776" i="1"/>
  <c r="CJ773" i="1"/>
  <c r="CJ766" i="1"/>
  <c r="CJ757" i="1"/>
  <c r="CJ746" i="1"/>
  <c r="CJ742" i="1"/>
  <c r="CJ727" i="1"/>
  <c r="CJ715" i="1"/>
  <c r="CJ707" i="1"/>
  <c r="CJ694" i="1"/>
  <c r="CJ695" i="1" s="1"/>
  <c r="CJ687" i="1"/>
  <c r="CJ673" i="1"/>
  <c r="CJ669" i="1"/>
  <c r="CJ665" i="1"/>
  <c r="CJ659" i="1"/>
  <c r="CJ654" i="1"/>
  <c r="CJ646" i="1"/>
  <c r="CJ640" i="1"/>
  <c r="CJ635" i="1"/>
  <c r="CJ626" i="1"/>
  <c r="CJ617" i="1"/>
  <c r="CJ610" i="1"/>
  <c r="CJ606" i="1"/>
  <c r="CJ596" i="1"/>
  <c r="CJ563" i="1"/>
  <c r="CJ536" i="1"/>
  <c r="CJ520" i="1"/>
  <c r="CJ511" i="1"/>
  <c r="CJ497" i="1"/>
  <c r="CJ480" i="1"/>
  <c r="CJ481" i="1" s="1"/>
  <c r="CJ474" i="1"/>
  <c r="CJ468" i="1"/>
  <c r="CJ460" i="1"/>
  <c r="CJ443" i="1"/>
  <c r="CJ412" i="1"/>
  <c r="CJ386" i="1"/>
  <c r="CJ382" i="1"/>
  <c r="CJ371" i="1"/>
  <c r="CJ367" i="1"/>
  <c r="CJ357" i="1"/>
  <c r="CJ353" i="1"/>
  <c r="CJ338" i="1"/>
  <c r="CJ339" i="1" s="1"/>
  <c r="CJ326" i="1"/>
  <c r="CJ317" i="1"/>
  <c r="CJ310" i="1"/>
  <c r="CJ292" i="1"/>
  <c r="CJ278" i="1"/>
  <c r="CJ272" i="1"/>
  <c r="CJ266" i="1"/>
  <c r="CJ259" i="1"/>
  <c r="CJ255" i="1"/>
  <c r="CJ243" i="1"/>
  <c r="CJ236" i="1"/>
  <c r="CJ232" i="1"/>
  <c r="CJ219" i="1"/>
  <c r="CJ199" i="1"/>
  <c r="CJ195" i="1"/>
  <c r="CJ174" i="1"/>
  <c r="CJ175" i="1" s="1"/>
  <c r="CJ155" i="1"/>
  <c r="CJ156" i="1" s="1"/>
  <c r="CJ74" i="1"/>
  <c r="CJ70" i="1"/>
  <c r="CJ9" i="1"/>
  <c r="CJ84" i="1" s="1"/>
  <c r="CJ83" i="1"/>
  <c r="CK1190" i="1"/>
  <c r="CK1188" i="1"/>
  <c r="CK1178" i="1"/>
  <c r="CK1174" i="1"/>
  <c r="CK1164" i="1"/>
  <c r="CK1153" i="1"/>
  <c r="CK1134" i="1"/>
  <c r="CK1120" i="1"/>
  <c r="CK1107" i="1"/>
  <c r="CK1087" i="1"/>
  <c r="CK1067" i="1"/>
  <c r="CK1062" i="1"/>
  <c r="CK1056" i="1"/>
  <c r="CK1051" i="1"/>
  <c r="CK1038" i="1"/>
  <c r="CK1068" i="1" s="1"/>
  <c r="CK1035" i="1"/>
  <c r="CK1032" i="1"/>
  <c r="CK1029" i="1"/>
  <c r="CK1020" i="1"/>
  <c r="CK1015" i="1"/>
  <c r="CK1008" i="1"/>
  <c r="CK978" i="1"/>
  <c r="CK967" i="1"/>
  <c r="CK955" i="1"/>
  <c r="CK951" i="1"/>
  <c r="CK956" i="1" s="1"/>
  <c r="CK936" i="1"/>
  <c r="CK924" i="1"/>
  <c r="CK914" i="1"/>
  <c r="CK910" i="1"/>
  <c r="CK905" i="1"/>
  <c r="CK901" i="1"/>
  <c r="CK906" i="1" s="1"/>
  <c r="CK886" i="1"/>
  <c r="CK880" i="1"/>
  <c r="CK874" i="1"/>
  <c r="CK863" i="1"/>
  <c r="CK853" i="1"/>
  <c r="CK845" i="1"/>
  <c r="CK864" i="1"/>
  <c r="CK838" i="1"/>
  <c r="CK839" i="1" s="1"/>
  <c r="CK834" i="1"/>
  <c r="CK823" i="1"/>
  <c r="CK801" i="1"/>
  <c r="CK797" i="1"/>
  <c r="CK788" i="1"/>
  <c r="CK789" i="1" s="1"/>
  <c r="CK776" i="1"/>
  <c r="CK773" i="1"/>
  <c r="CK766" i="1"/>
  <c r="CK777" i="1" s="1"/>
  <c r="CK757" i="1"/>
  <c r="CK746" i="1"/>
  <c r="CK742" i="1"/>
  <c r="CK727" i="1"/>
  <c r="CK715" i="1"/>
  <c r="CK707" i="1"/>
  <c r="CK694" i="1"/>
  <c r="CK687" i="1"/>
  <c r="CK673" i="1"/>
  <c r="CK669" i="1"/>
  <c r="CK665" i="1"/>
  <c r="CK659" i="1"/>
  <c r="CK654" i="1"/>
  <c r="CK646" i="1"/>
  <c r="CK640" i="1"/>
  <c r="CK635" i="1"/>
  <c r="CK626" i="1"/>
  <c r="CK617" i="1"/>
  <c r="CK610" i="1"/>
  <c r="CK606" i="1"/>
  <c r="CK596" i="1"/>
  <c r="CK563" i="1"/>
  <c r="CK536" i="1"/>
  <c r="CK520" i="1"/>
  <c r="CK537" i="1" s="1"/>
  <c r="CK511" i="1"/>
  <c r="CK497" i="1"/>
  <c r="CK480" i="1"/>
  <c r="CK481" i="1"/>
  <c r="CK474" i="1"/>
  <c r="CK468" i="1"/>
  <c r="CK460" i="1"/>
  <c r="CK443" i="1"/>
  <c r="CK475" i="1" s="1"/>
  <c r="CK412" i="1"/>
  <c r="CK386" i="1"/>
  <c r="CK382" i="1"/>
  <c r="CK371" i="1"/>
  <c r="CK367" i="1"/>
  <c r="CK357" i="1"/>
  <c r="CK353" i="1"/>
  <c r="CK338" i="1"/>
  <c r="CK339" i="1" s="1"/>
  <c r="CK326" i="1"/>
  <c r="CK317" i="1"/>
  <c r="CK310" i="1"/>
  <c r="CK292" i="1"/>
  <c r="CK278" i="1"/>
  <c r="CK272" i="1"/>
  <c r="CK266" i="1"/>
  <c r="CK259" i="1"/>
  <c r="CK327" i="1" s="1"/>
  <c r="CK255" i="1"/>
  <c r="CK243" i="1"/>
  <c r="CK236" i="1"/>
  <c r="CK232" i="1"/>
  <c r="CK219" i="1"/>
  <c r="CK199" i="1"/>
  <c r="CK195" i="1"/>
  <c r="CK174" i="1"/>
  <c r="CK175" i="1" s="1"/>
  <c r="CK155" i="1"/>
  <c r="CK156" i="1" s="1"/>
  <c r="CK74" i="1"/>
  <c r="CK70" i="1"/>
  <c r="CK9" i="1"/>
  <c r="CK83" i="1"/>
  <c r="CL1190" i="1"/>
  <c r="CL1188" i="1"/>
  <c r="CL1178" i="1"/>
  <c r="CL1174" i="1"/>
  <c r="CL1164" i="1"/>
  <c r="CL1153" i="1"/>
  <c r="CL1134" i="1"/>
  <c r="CL1120" i="1"/>
  <c r="CL1107" i="1"/>
  <c r="CL1087" i="1"/>
  <c r="CL1067" i="1"/>
  <c r="CL1062" i="1"/>
  <c r="CL1056" i="1"/>
  <c r="CL1051" i="1"/>
  <c r="CL1038" i="1"/>
  <c r="CL1035" i="1"/>
  <c r="CL1032" i="1"/>
  <c r="CL1029" i="1"/>
  <c r="CL1020" i="1"/>
  <c r="CL1015" i="1"/>
  <c r="CL1008" i="1"/>
  <c r="CL978" i="1"/>
  <c r="CL967" i="1"/>
  <c r="CL955" i="1"/>
  <c r="CL956" i="1" s="1"/>
  <c r="CL951" i="1"/>
  <c r="CL936" i="1"/>
  <c r="CL924" i="1"/>
  <c r="CL914" i="1"/>
  <c r="CL910" i="1"/>
  <c r="CL905" i="1"/>
  <c r="CL901" i="1"/>
  <c r="CL886" i="1"/>
  <c r="CL880" i="1"/>
  <c r="CL874" i="1"/>
  <c r="CL863" i="1"/>
  <c r="CL864" i="1" s="1"/>
  <c r="CL853" i="1"/>
  <c r="CL845" i="1"/>
  <c r="CL838" i="1"/>
  <c r="CL834" i="1"/>
  <c r="CL839" i="1" s="1"/>
  <c r="CL823" i="1"/>
  <c r="CL801" i="1"/>
  <c r="CL797" i="1"/>
  <c r="CL788" i="1"/>
  <c r="CL789" i="1" s="1"/>
  <c r="CL776" i="1"/>
  <c r="CL773" i="1"/>
  <c r="CL766" i="1"/>
  <c r="CL757" i="1"/>
  <c r="CL746" i="1"/>
  <c r="CL742" i="1"/>
  <c r="CL727" i="1"/>
  <c r="CL715" i="1"/>
  <c r="CL707" i="1"/>
  <c r="CL694" i="1"/>
  <c r="CL687" i="1"/>
  <c r="CL673" i="1"/>
  <c r="CL669" i="1"/>
  <c r="CL665" i="1"/>
  <c r="CL659" i="1"/>
  <c r="CL654" i="1"/>
  <c r="CL646" i="1"/>
  <c r="CL640" i="1"/>
  <c r="CL635" i="1"/>
  <c r="CL626" i="1"/>
  <c r="CL617" i="1"/>
  <c r="CL610" i="1"/>
  <c r="CL606" i="1"/>
  <c r="CL596" i="1"/>
  <c r="CL563" i="1"/>
  <c r="CL536" i="1"/>
  <c r="CL520" i="1"/>
  <c r="CL511" i="1"/>
  <c r="CL497" i="1"/>
  <c r="CL480" i="1"/>
  <c r="CL481" i="1" s="1"/>
  <c r="CL474" i="1"/>
  <c r="CL468" i="1"/>
  <c r="CL460" i="1"/>
  <c r="CL443" i="1"/>
  <c r="CL412" i="1"/>
  <c r="CL386" i="1"/>
  <c r="CL382" i="1"/>
  <c r="CL371" i="1"/>
  <c r="CL367" i="1"/>
  <c r="CL357" i="1"/>
  <c r="CL353" i="1"/>
  <c r="CL338" i="1"/>
  <c r="CL339" i="1" s="1"/>
  <c r="CL326" i="1"/>
  <c r="CL317" i="1"/>
  <c r="CL310" i="1"/>
  <c r="CL292" i="1"/>
  <c r="CL278" i="1"/>
  <c r="CL272" i="1"/>
  <c r="CL266" i="1"/>
  <c r="CL259" i="1"/>
  <c r="CL255" i="1"/>
  <c r="CL243" i="1"/>
  <c r="CL236" i="1"/>
  <c r="CL232" i="1"/>
  <c r="CL219" i="1"/>
  <c r="CL199" i="1"/>
  <c r="CL195" i="1"/>
  <c r="CL174" i="1"/>
  <c r="CL175" i="1" s="1"/>
  <c r="CL96" i="1"/>
  <c r="CL120" i="1"/>
  <c r="CL130" i="1"/>
  <c r="CN130" i="1" s="1"/>
  <c r="CL74" i="1"/>
  <c r="CL70" i="1"/>
  <c r="CL9" i="1"/>
  <c r="CL83" i="1"/>
  <c r="CM1190" i="1"/>
  <c r="CM1188" i="1"/>
  <c r="CM1178" i="1"/>
  <c r="CM1191" i="1" s="1"/>
  <c r="CM1174" i="1"/>
  <c r="CM1164" i="1"/>
  <c r="CM1153" i="1"/>
  <c r="CM1175" i="1"/>
  <c r="CM1134" i="1"/>
  <c r="CM1120" i="1"/>
  <c r="CM1107" i="1"/>
  <c r="CM1087" i="1"/>
  <c r="CM1067" i="1"/>
  <c r="CM1062" i="1"/>
  <c r="CM1056" i="1"/>
  <c r="CM1051" i="1"/>
  <c r="CM1068" i="1" s="1"/>
  <c r="CM1038" i="1"/>
  <c r="CM1035" i="1"/>
  <c r="CM1032" i="1"/>
  <c r="CM1029" i="1"/>
  <c r="CM1020" i="1"/>
  <c r="CM1015" i="1"/>
  <c r="CM1008" i="1"/>
  <c r="CM978" i="1"/>
  <c r="CM967" i="1"/>
  <c r="CM955" i="1"/>
  <c r="CM951" i="1"/>
  <c r="CM936" i="1"/>
  <c r="CM937" i="1" s="1"/>
  <c r="CM924" i="1"/>
  <c r="CM914" i="1"/>
  <c r="CM910" i="1"/>
  <c r="CM905" i="1"/>
  <c r="CM906" i="1" s="1"/>
  <c r="CM916" i="1" s="1"/>
  <c r="CM901" i="1"/>
  <c r="CM886" i="1"/>
  <c r="CM880" i="1"/>
  <c r="CM874" i="1"/>
  <c r="CM863" i="1"/>
  <c r="CM853" i="1"/>
  <c r="CM845" i="1"/>
  <c r="CM838" i="1"/>
  <c r="CM839" i="1" s="1"/>
  <c r="CM834" i="1"/>
  <c r="CM823" i="1"/>
  <c r="CM801" i="1"/>
  <c r="CM797" i="1"/>
  <c r="CM788" i="1"/>
  <c r="CM789" i="1" s="1"/>
  <c r="CM776" i="1"/>
  <c r="CM773" i="1"/>
  <c r="CM766" i="1"/>
  <c r="CM777" i="1" s="1"/>
  <c r="CM757" i="1"/>
  <c r="CM746" i="1"/>
  <c r="CM742" i="1"/>
  <c r="CM727" i="1"/>
  <c r="CM715" i="1"/>
  <c r="CM707" i="1"/>
  <c r="CM694" i="1"/>
  <c r="CM687" i="1"/>
  <c r="CM673" i="1"/>
  <c r="CM669" i="1"/>
  <c r="CM665" i="1"/>
  <c r="CM659" i="1"/>
  <c r="CM654" i="1"/>
  <c r="CM646" i="1"/>
  <c r="CM640" i="1"/>
  <c r="CM635" i="1"/>
  <c r="CM647" i="1" s="1"/>
  <c r="CM626" i="1"/>
  <c r="CM617" i="1"/>
  <c r="CM610" i="1"/>
  <c r="CM606" i="1"/>
  <c r="CM596" i="1"/>
  <c r="CM563" i="1"/>
  <c r="CM536" i="1"/>
  <c r="CM520" i="1"/>
  <c r="CM537" i="1" s="1"/>
  <c r="CM538" i="1" s="1"/>
  <c r="CM511" i="1"/>
  <c r="CM497" i="1"/>
  <c r="CM480" i="1"/>
  <c r="CM481" i="1" s="1"/>
  <c r="CM474" i="1"/>
  <c r="CM468" i="1"/>
  <c r="CM460" i="1"/>
  <c r="CM443" i="1"/>
  <c r="CM412" i="1"/>
  <c r="CM386" i="1"/>
  <c r="CM382" i="1"/>
  <c r="CM371" i="1"/>
  <c r="CM367" i="1"/>
  <c r="CM357" i="1"/>
  <c r="CM353" i="1"/>
  <c r="CM338" i="1"/>
  <c r="CM339" i="1" s="1"/>
  <c r="CM326" i="1"/>
  <c r="CM317" i="1"/>
  <c r="CM310" i="1"/>
  <c r="CM292" i="1"/>
  <c r="CM278" i="1"/>
  <c r="CM272" i="1"/>
  <c r="CM266" i="1"/>
  <c r="CM259" i="1"/>
  <c r="CM255" i="1"/>
  <c r="CM243" i="1"/>
  <c r="CM236" i="1"/>
  <c r="CM237" i="1" s="1"/>
  <c r="CM232" i="1"/>
  <c r="CM219" i="1"/>
  <c r="CM199" i="1"/>
  <c r="CM195" i="1"/>
  <c r="CM174" i="1"/>
  <c r="CM175" i="1" s="1"/>
  <c r="CM155" i="1"/>
  <c r="CM156" i="1" s="1"/>
  <c r="CM74" i="1"/>
  <c r="CM70" i="1"/>
  <c r="CM9" i="1"/>
  <c r="CM83" i="1"/>
  <c r="CN1189" i="1"/>
  <c r="CN1190" i="1" s="1"/>
  <c r="CN1179" i="1"/>
  <c r="CN1180" i="1"/>
  <c r="CN1182" i="1"/>
  <c r="CN1183" i="1"/>
  <c r="CN1184" i="1"/>
  <c r="CN1186" i="1"/>
  <c r="CN1187" i="1"/>
  <c r="CN1178" i="1"/>
  <c r="CN1165" i="1"/>
  <c r="CN1166" i="1"/>
  <c r="CN1167" i="1"/>
  <c r="CN1168" i="1"/>
  <c r="CN1169" i="1"/>
  <c r="CN1170" i="1"/>
  <c r="CN1171" i="1"/>
  <c r="CN1172" i="1"/>
  <c r="CN1173" i="1"/>
  <c r="CN1164" i="1"/>
  <c r="CN1136" i="1"/>
  <c r="CN1137" i="1"/>
  <c r="CN1138" i="1"/>
  <c r="CN1139" i="1"/>
  <c r="CN1140" i="1"/>
  <c r="CN1141" i="1"/>
  <c r="CN1142" i="1"/>
  <c r="CN1143" i="1"/>
  <c r="CN1144" i="1"/>
  <c r="CN1145" i="1"/>
  <c r="CN1146" i="1"/>
  <c r="CN1147" i="1"/>
  <c r="CN1148" i="1"/>
  <c r="CN1149" i="1"/>
  <c r="CN1150" i="1"/>
  <c r="CN1151" i="1"/>
  <c r="CN1152" i="1"/>
  <c r="CN1121" i="1"/>
  <c r="CN1125" i="1"/>
  <c r="CN1127" i="1"/>
  <c r="CN1128" i="1"/>
  <c r="CN1132" i="1"/>
  <c r="CN1110" i="1"/>
  <c r="CN1113" i="1"/>
  <c r="CN1088" i="1"/>
  <c r="CN1089" i="1"/>
  <c r="CN1090" i="1"/>
  <c r="CN1091" i="1"/>
  <c r="DE1091" i="1" s="1"/>
  <c r="CN1092" i="1"/>
  <c r="CN1093" i="1"/>
  <c r="CN1094" i="1"/>
  <c r="CN1095" i="1"/>
  <c r="CN1096" i="1"/>
  <c r="CN1097" i="1"/>
  <c r="CN1098" i="1"/>
  <c r="CN1099" i="1"/>
  <c r="DE1099" i="1" s="1"/>
  <c r="CN1100" i="1"/>
  <c r="CN1101" i="1"/>
  <c r="CN1102" i="1"/>
  <c r="CN1103" i="1"/>
  <c r="CN1104" i="1"/>
  <c r="CN1105" i="1"/>
  <c r="CN1106" i="1"/>
  <c r="CN1069" i="1"/>
  <c r="CN1070" i="1"/>
  <c r="CN1071" i="1"/>
  <c r="CN1072" i="1"/>
  <c r="CN1073" i="1"/>
  <c r="CN1074" i="1"/>
  <c r="CN1075" i="1"/>
  <c r="CN1076" i="1"/>
  <c r="CN1077" i="1"/>
  <c r="DE1077" i="1" s="1"/>
  <c r="CN1078" i="1"/>
  <c r="CN1079" i="1"/>
  <c r="CN1080" i="1"/>
  <c r="CN1081" i="1"/>
  <c r="CN1082" i="1"/>
  <c r="CN1083" i="1"/>
  <c r="CN1084" i="1"/>
  <c r="CN1085" i="1"/>
  <c r="CN1086" i="1"/>
  <c r="CN1063" i="1"/>
  <c r="CN1065" i="1"/>
  <c r="CN1066" i="1"/>
  <c r="CN1064" i="1"/>
  <c r="CN1057" i="1"/>
  <c r="CN1058" i="1"/>
  <c r="CN1059" i="1"/>
  <c r="DE1059" i="1" s="1"/>
  <c r="CN1060" i="1"/>
  <c r="DE1060" i="1" s="1"/>
  <c r="CN1061" i="1"/>
  <c r="CN1052" i="1"/>
  <c r="CN1054" i="1"/>
  <c r="CN1055" i="1"/>
  <c r="CN1053" i="1"/>
  <c r="CN1051" i="1"/>
  <c r="CN1036" i="1"/>
  <c r="CN1038" i="1" s="1"/>
  <c r="CN1037" i="1"/>
  <c r="CN1033" i="1"/>
  <c r="CN1034" i="1"/>
  <c r="CN1035" i="1" s="1"/>
  <c r="CN1030" i="1"/>
  <c r="CN1031" i="1"/>
  <c r="CN1032" i="1" s="1"/>
  <c r="CN1021" i="1"/>
  <c r="CN1022" i="1"/>
  <c r="CN1023" i="1"/>
  <c r="CN1024" i="1"/>
  <c r="CN1025" i="1"/>
  <c r="CN1026" i="1"/>
  <c r="CN1027" i="1"/>
  <c r="CN1028" i="1"/>
  <c r="CN1016" i="1"/>
  <c r="CN1017" i="1"/>
  <c r="CN1018" i="1"/>
  <c r="CN1019" i="1"/>
  <c r="CN1009" i="1"/>
  <c r="CN1010" i="1"/>
  <c r="CN1011" i="1"/>
  <c r="CN1012" i="1"/>
  <c r="CN1013" i="1"/>
  <c r="CN1014" i="1"/>
  <c r="CN984" i="1"/>
  <c r="CN985" i="1"/>
  <c r="CN986" i="1"/>
  <c r="CN987" i="1"/>
  <c r="CN988" i="1"/>
  <c r="CN989" i="1"/>
  <c r="CN992" i="1"/>
  <c r="CN993" i="1"/>
  <c r="DE993" i="1" s="1"/>
  <c r="CN994" i="1"/>
  <c r="CN996" i="1"/>
  <c r="CN997" i="1"/>
  <c r="CN998" i="1"/>
  <c r="CN1000" i="1"/>
  <c r="CN1001" i="1"/>
  <c r="CN1002" i="1"/>
  <c r="CN1004" i="1"/>
  <c r="DE1004" i="1" s="1"/>
  <c r="CN1005" i="1"/>
  <c r="CN1006" i="1"/>
  <c r="CN990" i="1"/>
  <c r="CN978" i="1"/>
  <c r="CN967" i="1"/>
  <c r="CN955" i="1"/>
  <c r="CN938" i="1"/>
  <c r="CN939" i="1"/>
  <c r="DE939" i="1" s="1"/>
  <c r="CN941" i="1"/>
  <c r="CN942" i="1"/>
  <c r="CN943" i="1"/>
  <c r="CN945" i="1"/>
  <c r="CN946" i="1"/>
  <c r="CN947" i="1"/>
  <c r="CN949" i="1"/>
  <c r="CN950" i="1"/>
  <c r="CN925" i="1"/>
  <c r="CN926" i="1"/>
  <c r="CN927" i="1"/>
  <c r="CN928" i="1"/>
  <c r="CN929" i="1"/>
  <c r="CN930" i="1"/>
  <c r="CN931" i="1"/>
  <c r="CN932" i="1"/>
  <c r="CN933" i="1"/>
  <c r="CN917" i="1"/>
  <c r="CN918" i="1"/>
  <c r="CN921" i="1"/>
  <c r="CN922" i="1"/>
  <c r="CN911" i="1"/>
  <c r="CN912" i="1"/>
  <c r="CN913" i="1"/>
  <c r="CN905" i="1"/>
  <c r="CN893" i="1"/>
  <c r="CN894" i="1"/>
  <c r="CN895" i="1"/>
  <c r="CN896" i="1"/>
  <c r="CN897" i="1"/>
  <c r="CN898" i="1"/>
  <c r="CN899" i="1"/>
  <c r="CN900" i="1"/>
  <c r="CN881" i="1"/>
  <c r="CN882" i="1"/>
  <c r="CN883" i="1"/>
  <c r="CN884" i="1"/>
  <c r="CN885" i="1"/>
  <c r="CN875" i="1"/>
  <c r="CN876" i="1"/>
  <c r="CN877" i="1"/>
  <c r="CN878" i="1"/>
  <c r="CN879" i="1"/>
  <c r="CN866" i="1"/>
  <c r="CN867" i="1"/>
  <c r="CN868" i="1"/>
  <c r="CN869" i="1"/>
  <c r="CN870" i="1"/>
  <c r="CN871" i="1"/>
  <c r="CN872" i="1"/>
  <c r="CN873" i="1"/>
  <c r="CN854" i="1"/>
  <c r="CN855" i="1"/>
  <c r="CN856" i="1"/>
  <c r="CN857" i="1"/>
  <c r="CN858" i="1"/>
  <c r="CN859" i="1"/>
  <c r="DE859" i="1" s="1"/>
  <c r="CN860" i="1"/>
  <c r="CN861" i="1"/>
  <c r="CN862" i="1"/>
  <c r="DD858" i="1"/>
  <c r="DD862" i="1"/>
  <c r="DE862" i="1"/>
  <c r="CN846" i="1"/>
  <c r="CN847" i="1"/>
  <c r="CN848" i="1"/>
  <c r="CN849" i="1"/>
  <c r="CN850" i="1"/>
  <c r="CN851" i="1"/>
  <c r="CN852" i="1"/>
  <c r="CN845" i="1"/>
  <c r="CN838" i="1"/>
  <c r="CN834" i="1"/>
  <c r="CN798" i="1"/>
  <c r="CN799" i="1"/>
  <c r="CN801" i="1" s="1"/>
  <c r="CN800" i="1"/>
  <c r="CN797" i="1"/>
  <c r="CN778" i="1"/>
  <c r="CN779" i="1"/>
  <c r="DE779" i="1" s="1"/>
  <c r="CN780" i="1"/>
  <c r="CN781" i="1"/>
  <c r="CN782" i="1"/>
  <c r="CN783" i="1"/>
  <c r="CN784" i="1"/>
  <c r="CN785" i="1"/>
  <c r="CN786" i="1"/>
  <c r="CN787" i="1"/>
  <c r="CN774" i="1"/>
  <c r="CN775" i="1"/>
  <c r="CN776" i="1"/>
  <c r="CN767" i="1"/>
  <c r="CN768" i="1"/>
  <c r="CN769" i="1"/>
  <c r="CN770" i="1"/>
  <c r="CN771" i="1"/>
  <c r="CN772" i="1"/>
  <c r="CN758" i="1"/>
  <c r="CN759" i="1"/>
  <c r="CN760" i="1"/>
  <c r="CN761" i="1"/>
  <c r="CN762" i="1"/>
  <c r="CN763" i="1"/>
  <c r="CN764" i="1"/>
  <c r="CN765" i="1"/>
  <c r="CN747" i="1"/>
  <c r="CN748" i="1"/>
  <c r="CN749" i="1"/>
  <c r="CN750" i="1"/>
  <c r="CN751" i="1"/>
  <c r="CN752" i="1"/>
  <c r="CN753" i="1"/>
  <c r="CN754" i="1"/>
  <c r="CN755" i="1"/>
  <c r="CN756" i="1"/>
  <c r="CN743" i="1"/>
  <c r="CN746" i="1" s="1"/>
  <c r="CN744" i="1"/>
  <c r="CN745" i="1"/>
  <c r="CN729" i="1"/>
  <c r="DE729" i="1" s="1"/>
  <c r="CN730" i="1"/>
  <c r="CN731" i="1"/>
  <c r="CN732" i="1"/>
  <c r="CN733" i="1"/>
  <c r="CN734" i="1"/>
  <c r="CN735" i="1"/>
  <c r="CN736" i="1"/>
  <c r="CN737" i="1"/>
  <c r="CN738" i="1"/>
  <c r="CN739" i="1"/>
  <c r="CN740" i="1"/>
  <c r="CN741" i="1"/>
  <c r="CN716" i="1"/>
  <c r="CN717" i="1"/>
  <c r="CN718" i="1"/>
  <c r="CN719" i="1"/>
  <c r="CN720" i="1"/>
  <c r="CN721" i="1"/>
  <c r="CN722" i="1"/>
  <c r="CN723" i="1"/>
  <c r="CN724" i="1"/>
  <c r="CN725" i="1"/>
  <c r="CN726" i="1"/>
  <c r="CN708" i="1"/>
  <c r="CN715" i="1" s="1"/>
  <c r="CN709" i="1"/>
  <c r="CN710" i="1"/>
  <c r="CN711" i="1"/>
  <c r="CN712" i="1"/>
  <c r="CN713" i="1"/>
  <c r="CN714" i="1"/>
  <c r="CN697" i="1"/>
  <c r="DE697" i="1" s="1"/>
  <c r="CN698" i="1"/>
  <c r="CN699" i="1"/>
  <c r="CN700" i="1"/>
  <c r="CN701" i="1"/>
  <c r="CN702" i="1"/>
  <c r="CN703" i="1"/>
  <c r="CN704" i="1"/>
  <c r="CN705" i="1"/>
  <c r="DE705" i="1" s="1"/>
  <c r="CN706" i="1"/>
  <c r="CN688" i="1"/>
  <c r="CN689" i="1"/>
  <c r="CN690" i="1"/>
  <c r="CN691" i="1"/>
  <c r="CN692" i="1"/>
  <c r="CN693" i="1"/>
  <c r="CN675" i="1"/>
  <c r="DE675" i="1" s="1"/>
  <c r="CN677" i="1"/>
  <c r="CN678" i="1"/>
  <c r="CN679" i="1"/>
  <c r="CN681" i="1"/>
  <c r="CN682" i="1"/>
  <c r="CN683" i="1"/>
  <c r="CN685" i="1"/>
  <c r="CN686" i="1"/>
  <c r="DE686" i="1" s="1"/>
  <c r="CN670" i="1"/>
  <c r="CN672" i="1"/>
  <c r="CN666" i="1"/>
  <c r="CN667" i="1"/>
  <c r="CN660" i="1"/>
  <c r="CN661" i="1"/>
  <c r="CN662" i="1"/>
  <c r="CN663" i="1"/>
  <c r="CN664" i="1"/>
  <c r="CN655" i="1"/>
  <c r="CN656" i="1"/>
  <c r="CN657" i="1"/>
  <c r="CN658" i="1"/>
  <c r="CN648" i="1"/>
  <c r="CN649" i="1"/>
  <c r="CN651" i="1"/>
  <c r="CN652" i="1"/>
  <c r="CN653" i="1"/>
  <c r="CN641" i="1"/>
  <c r="CN642" i="1"/>
  <c r="CN643" i="1"/>
  <c r="CN644" i="1"/>
  <c r="CN645" i="1"/>
  <c r="CN636" i="1"/>
  <c r="CN637" i="1"/>
  <c r="CN638" i="1"/>
  <c r="CN639" i="1"/>
  <c r="CN627" i="1"/>
  <c r="CN628" i="1"/>
  <c r="CN629" i="1"/>
  <c r="CN630" i="1"/>
  <c r="CN631" i="1"/>
  <c r="CN632" i="1"/>
  <c r="CN633" i="1"/>
  <c r="CN634" i="1"/>
  <c r="CN618" i="1"/>
  <c r="CN619" i="1"/>
  <c r="CN620" i="1"/>
  <c r="CN621" i="1"/>
  <c r="CN622" i="1"/>
  <c r="CN623" i="1"/>
  <c r="CN624" i="1"/>
  <c r="CN625" i="1"/>
  <c r="CN611" i="1"/>
  <c r="CN612" i="1"/>
  <c r="CN614" i="1"/>
  <c r="CN615" i="1"/>
  <c r="CN616" i="1"/>
  <c r="CN608" i="1"/>
  <c r="CN609" i="1"/>
  <c r="CN597" i="1"/>
  <c r="CN598" i="1"/>
  <c r="CN600" i="1"/>
  <c r="CN601" i="1"/>
  <c r="CN602" i="1"/>
  <c r="CN604" i="1"/>
  <c r="CN605" i="1"/>
  <c r="CN564" i="1"/>
  <c r="CN565" i="1"/>
  <c r="CN566" i="1"/>
  <c r="CN568" i="1"/>
  <c r="CN570" i="1"/>
  <c r="CN572" i="1"/>
  <c r="CN574" i="1"/>
  <c r="CN576" i="1"/>
  <c r="CN578" i="1"/>
  <c r="CN580" i="1"/>
  <c r="CN582" i="1"/>
  <c r="CN584" i="1"/>
  <c r="CN586" i="1"/>
  <c r="CN588" i="1"/>
  <c r="CN590" i="1"/>
  <c r="CN592" i="1"/>
  <c r="CN594" i="1"/>
  <c r="CN539" i="1"/>
  <c r="CN540" i="1"/>
  <c r="CN541" i="1"/>
  <c r="CN542" i="1"/>
  <c r="CN543" i="1"/>
  <c r="CN544" i="1"/>
  <c r="CN545" i="1"/>
  <c r="CN546" i="1"/>
  <c r="CN547" i="1"/>
  <c r="CN548" i="1"/>
  <c r="CN549" i="1"/>
  <c r="CN551" i="1"/>
  <c r="CN552" i="1"/>
  <c r="CN553" i="1"/>
  <c r="CN555" i="1"/>
  <c r="CN556" i="1"/>
  <c r="CN557" i="1"/>
  <c r="CN558" i="1"/>
  <c r="CN559" i="1"/>
  <c r="CN560" i="1"/>
  <c r="CN561" i="1"/>
  <c r="CN562" i="1"/>
  <c r="CN521" i="1"/>
  <c r="CN522" i="1"/>
  <c r="DD522" i="1"/>
  <c r="DE522" i="1" s="1"/>
  <c r="CN523" i="1"/>
  <c r="CN524" i="1"/>
  <c r="CN525" i="1"/>
  <c r="CN526" i="1"/>
  <c r="DD526" i="1"/>
  <c r="CN527" i="1"/>
  <c r="CN528" i="1"/>
  <c r="CN529" i="1"/>
  <c r="CN530" i="1"/>
  <c r="DD530" i="1"/>
  <c r="DE530" i="1" s="1"/>
  <c r="CN531" i="1"/>
  <c r="CN532" i="1"/>
  <c r="CN533" i="1"/>
  <c r="CN534" i="1"/>
  <c r="DD534" i="1"/>
  <c r="DE534" i="1" s="1"/>
  <c r="CN535" i="1"/>
  <c r="CN512" i="1"/>
  <c r="CN513" i="1"/>
  <c r="CN514" i="1"/>
  <c r="DD514" i="1"/>
  <c r="DE514" i="1" s="1"/>
  <c r="CN515" i="1"/>
  <c r="CN516" i="1"/>
  <c r="CN517" i="1"/>
  <c r="CN518" i="1"/>
  <c r="DD518" i="1"/>
  <c r="CN519" i="1"/>
  <c r="CN498" i="1"/>
  <c r="CN499" i="1"/>
  <c r="CN500" i="1"/>
  <c r="DD500" i="1"/>
  <c r="DE500" i="1" s="1"/>
  <c r="CN501" i="1"/>
  <c r="CN502" i="1"/>
  <c r="CN503" i="1"/>
  <c r="CN504" i="1"/>
  <c r="CN505" i="1"/>
  <c r="CN506" i="1"/>
  <c r="CN507" i="1"/>
  <c r="CN508" i="1"/>
  <c r="CN509" i="1"/>
  <c r="CN510" i="1"/>
  <c r="CN482" i="1"/>
  <c r="CN483" i="1"/>
  <c r="CN484" i="1"/>
  <c r="CN485" i="1"/>
  <c r="CN486" i="1"/>
  <c r="CN487" i="1"/>
  <c r="DD487" i="1"/>
  <c r="DE487" i="1" s="1"/>
  <c r="CN488" i="1"/>
  <c r="CN489" i="1"/>
  <c r="CN490" i="1"/>
  <c r="CN491" i="1"/>
  <c r="DD491" i="1"/>
  <c r="DE491" i="1" s="1"/>
  <c r="CN492" i="1"/>
  <c r="CN493" i="1"/>
  <c r="CN494" i="1"/>
  <c r="CN495" i="1"/>
  <c r="CN496" i="1"/>
  <c r="CN480" i="1"/>
  <c r="CN481" i="1"/>
  <c r="CN469" i="1"/>
  <c r="CN470" i="1"/>
  <c r="DD470" i="1"/>
  <c r="CN471" i="1"/>
  <c r="CN472" i="1"/>
  <c r="CN473" i="1"/>
  <c r="CN461" i="1"/>
  <c r="CN462" i="1"/>
  <c r="CN463" i="1"/>
  <c r="CN464" i="1"/>
  <c r="CN465" i="1"/>
  <c r="CN466" i="1"/>
  <c r="CN467" i="1"/>
  <c r="DD465" i="1"/>
  <c r="CN444" i="1"/>
  <c r="CN445" i="1"/>
  <c r="CN446" i="1"/>
  <c r="CN447" i="1"/>
  <c r="CN448" i="1"/>
  <c r="CN449" i="1"/>
  <c r="CN450" i="1"/>
  <c r="CN451" i="1"/>
  <c r="CN452" i="1"/>
  <c r="CN453" i="1"/>
  <c r="CN454" i="1"/>
  <c r="CN455" i="1"/>
  <c r="CN456" i="1"/>
  <c r="CN457" i="1"/>
  <c r="CN458" i="1"/>
  <c r="CN459" i="1"/>
  <c r="CN388" i="1"/>
  <c r="CN389" i="1"/>
  <c r="CN390" i="1"/>
  <c r="CN391" i="1"/>
  <c r="CN392" i="1"/>
  <c r="DD392" i="1"/>
  <c r="DE392" i="1" s="1"/>
  <c r="CN393" i="1"/>
  <c r="CN394" i="1"/>
  <c r="CN395" i="1"/>
  <c r="CN396" i="1"/>
  <c r="DD396" i="1"/>
  <c r="CN397" i="1"/>
  <c r="CN398" i="1"/>
  <c r="CN399" i="1"/>
  <c r="CN400" i="1"/>
  <c r="CN401" i="1"/>
  <c r="CN402" i="1"/>
  <c r="CN403" i="1"/>
  <c r="CN404" i="1"/>
  <c r="CN405" i="1"/>
  <c r="CN406" i="1"/>
  <c r="CN407" i="1"/>
  <c r="CN408" i="1"/>
  <c r="DD408" i="1"/>
  <c r="DE408" i="1" s="1"/>
  <c r="CN409" i="1"/>
  <c r="CN410" i="1"/>
  <c r="CN411" i="1"/>
  <c r="CN383" i="1"/>
  <c r="CN386" i="1" s="1"/>
  <c r="CN384" i="1"/>
  <c r="CN385" i="1"/>
  <c r="CN372" i="1"/>
  <c r="CN373" i="1"/>
  <c r="CN374" i="1"/>
  <c r="CN375" i="1"/>
  <c r="CN376" i="1"/>
  <c r="CN377" i="1"/>
  <c r="CN378" i="1"/>
  <c r="CN379" i="1"/>
  <c r="CN380" i="1"/>
  <c r="CN381" i="1"/>
  <c r="DD377" i="1"/>
  <c r="DE377" i="1" s="1"/>
  <c r="DD381" i="1"/>
  <c r="CN368" i="1"/>
  <c r="CN369" i="1"/>
  <c r="CN370" i="1"/>
  <c r="CN358" i="1"/>
  <c r="DD358" i="1"/>
  <c r="CN359" i="1"/>
  <c r="CN360" i="1"/>
  <c r="CN361" i="1"/>
  <c r="CN362" i="1"/>
  <c r="DD362" i="1"/>
  <c r="DE362" i="1"/>
  <c r="CN363" i="1"/>
  <c r="CN364" i="1"/>
  <c r="CN365" i="1"/>
  <c r="CN366" i="1"/>
  <c r="DE366" i="1" s="1"/>
  <c r="DD366" i="1"/>
  <c r="CN354" i="1"/>
  <c r="CN355" i="1"/>
  <c r="CN356" i="1"/>
  <c r="CN340" i="1"/>
  <c r="CN341" i="1"/>
  <c r="CN342" i="1"/>
  <c r="CN343" i="1"/>
  <c r="CN344" i="1"/>
  <c r="CN345" i="1"/>
  <c r="CN346" i="1"/>
  <c r="CN347" i="1"/>
  <c r="CN348" i="1"/>
  <c r="CN349" i="1"/>
  <c r="CN350" i="1"/>
  <c r="CN351" i="1"/>
  <c r="CN352" i="1"/>
  <c r="DD344" i="1"/>
  <c r="DE344" i="1" s="1"/>
  <c r="DD348" i="1"/>
  <c r="DE348" i="1" s="1"/>
  <c r="DD352" i="1"/>
  <c r="DE352" i="1" s="1"/>
  <c r="CN328" i="1"/>
  <c r="CN329" i="1"/>
  <c r="CN330" i="1"/>
  <c r="CN331" i="1"/>
  <c r="DD331" i="1"/>
  <c r="CN332" i="1"/>
  <c r="CN333" i="1"/>
  <c r="CN334" i="1"/>
  <c r="CN335" i="1"/>
  <c r="DD335" i="1"/>
  <c r="DE335" i="1" s="1"/>
  <c r="CN336" i="1"/>
  <c r="CN337" i="1"/>
  <c r="CN318" i="1"/>
  <c r="CN319" i="1"/>
  <c r="CN320" i="1"/>
  <c r="CN321" i="1"/>
  <c r="CN322" i="1"/>
  <c r="CN323" i="1"/>
  <c r="CN324" i="1"/>
  <c r="CN325" i="1"/>
  <c r="CN311" i="1"/>
  <c r="CN312" i="1"/>
  <c r="CN313" i="1"/>
  <c r="DE313" i="1" s="1"/>
  <c r="CN314" i="1"/>
  <c r="CN315" i="1"/>
  <c r="CN316" i="1"/>
  <c r="DD316" i="1"/>
  <c r="DE316" i="1" s="1"/>
  <c r="CN293" i="1"/>
  <c r="CN294" i="1"/>
  <c r="CN295" i="1"/>
  <c r="CN296" i="1"/>
  <c r="DE296" i="1" s="1"/>
  <c r="DD296" i="1"/>
  <c r="CN297" i="1"/>
  <c r="CN298" i="1"/>
  <c r="CN299" i="1"/>
  <c r="CN300" i="1"/>
  <c r="CN301" i="1"/>
  <c r="CN302" i="1"/>
  <c r="CN303" i="1"/>
  <c r="CN304" i="1"/>
  <c r="CN305" i="1"/>
  <c r="CN306" i="1"/>
  <c r="CN307" i="1"/>
  <c r="CN308" i="1"/>
  <c r="DD308" i="1"/>
  <c r="DE308" i="1"/>
  <c r="CN309" i="1"/>
  <c r="CN279" i="1"/>
  <c r="CN280" i="1"/>
  <c r="CN281" i="1"/>
  <c r="CN282" i="1"/>
  <c r="CN283" i="1"/>
  <c r="CN284" i="1"/>
  <c r="CN285" i="1"/>
  <c r="CN286" i="1"/>
  <c r="CN287" i="1"/>
  <c r="CN288" i="1"/>
  <c r="CN289" i="1"/>
  <c r="CN290" i="1"/>
  <c r="CN291" i="1"/>
  <c r="CN273" i="1"/>
  <c r="CN274" i="1"/>
  <c r="CN275" i="1"/>
  <c r="CN276" i="1"/>
  <c r="CN277" i="1"/>
  <c r="CN267" i="1"/>
  <c r="CN268" i="1"/>
  <c r="CN269" i="1"/>
  <c r="CN270" i="1"/>
  <c r="CN271" i="1"/>
  <c r="CN260" i="1"/>
  <c r="CN261" i="1"/>
  <c r="CN262" i="1"/>
  <c r="CN263" i="1"/>
  <c r="CN264" i="1"/>
  <c r="CN265" i="1"/>
  <c r="CN256" i="1"/>
  <c r="CN257" i="1"/>
  <c r="CN259" i="1" s="1"/>
  <c r="CN258" i="1"/>
  <c r="CN244" i="1"/>
  <c r="CN245" i="1"/>
  <c r="DE245" i="1" s="1"/>
  <c r="CN246" i="1"/>
  <c r="CN247" i="1"/>
  <c r="CN248" i="1"/>
  <c r="CN249" i="1"/>
  <c r="CN250" i="1"/>
  <c r="DE250" i="1" s="1"/>
  <c r="CN251" i="1"/>
  <c r="CN252" i="1"/>
  <c r="CN253" i="1"/>
  <c r="CN254" i="1"/>
  <c r="CN238" i="1"/>
  <c r="CN239" i="1"/>
  <c r="CN240" i="1"/>
  <c r="CN241" i="1"/>
  <c r="CN242" i="1"/>
  <c r="CN233" i="1"/>
  <c r="CN234" i="1"/>
  <c r="CN236" i="1" s="1"/>
  <c r="CN235" i="1"/>
  <c r="CN220" i="1"/>
  <c r="CN221" i="1"/>
  <c r="CN222" i="1"/>
  <c r="CN223" i="1"/>
  <c r="CN224" i="1"/>
  <c r="CN225" i="1"/>
  <c r="CN226" i="1"/>
  <c r="CN227" i="1"/>
  <c r="CN228" i="1"/>
  <c r="CN229" i="1"/>
  <c r="CN230" i="1"/>
  <c r="CN231" i="1"/>
  <c r="CN200" i="1"/>
  <c r="CN201" i="1"/>
  <c r="CN202" i="1"/>
  <c r="CN203" i="1"/>
  <c r="CN204" i="1"/>
  <c r="CN205" i="1"/>
  <c r="CN206" i="1"/>
  <c r="CN207" i="1"/>
  <c r="CN208" i="1"/>
  <c r="CN209" i="1"/>
  <c r="CN210" i="1"/>
  <c r="CN211" i="1"/>
  <c r="CN212" i="1"/>
  <c r="CN214" i="1"/>
  <c r="CN215" i="1"/>
  <c r="CN216" i="1"/>
  <c r="CN217" i="1"/>
  <c r="CN218" i="1"/>
  <c r="CN196" i="1"/>
  <c r="CN197" i="1"/>
  <c r="CN198" i="1"/>
  <c r="CN176" i="1"/>
  <c r="CN177" i="1"/>
  <c r="CN178" i="1"/>
  <c r="CN180" i="1"/>
  <c r="CN181" i="1"/>
  <c r="CN182" i="1"/>
  <c r="CN183" i="1"/>
  <c r="CN185" i="1"/>
  <c r="CN186" i="1"/>
  <c r="CN187" i="1"/>
  <c r="CN188" i="1"/>
  <c r="CN189" i="1"/>
  <c r="CN190" i="1"/>
  <c r="CN191" i="1"/>
  <c r="CN192" i="1"/>
  <c r="CN193" i="1"/>
  <c r="CN194" i="1"/>
  <c r="CN179" i="1"/>
  <c r="CN184" i="1"/>
  <c r="CN171" i="1"/>
  <c r="CN172" i="1"/>
  <c r="CN173" i="1"/>
  <c r="CN85" i="1"/>
  <c r="CN86" i="1"/>
  <c r="CN87" i="1"/>
  <c r="CN88" i="1"/>
  <c r="CN89" i="1"/>
  <c r="CN90" i="1"/>
  <c r="CN91" i="1"/>
  <c r="DE91" i="1" s="1"/>
  <c r="CN92" i="1"/>
  <c r="CN93" i="1"/>
  <c r="CN94" i="1"/>
  <c r="CN95" i="1"/>
  <c r="CN96" i="1"/>
  <c r="CN97" i="1"/>
  <c r="CN98" i="1"/>
  <c r="CN99" i="1"/>
  <c r="CN100" i="1"/>
  <c r="CN101" i="1"/>
  <c r="CN102" i="1"/>
  <c r="CN103" i="1"/>
  <c r="CN104" i="1"/>
  <c r="CN105" i="1"/>
  <c r="CN106" i="1"/>
  <c r="CN107" i="1"/>
  <c r="DE107" i="1" s="1"/>
  <c r="CN108" i="1"/>
  <c r="CN109" i="1"/>
  <c r="CN110" i="1"/>
  <c r="CN111" i="1"/>
  <c r="CN112" i="1"/>
  <c r="CN113" i="1"/>
  <c r="CN114" i="1"/>
  <c r="CN115" i="1"/>
  <c r="CN116" i="1"/>
  <c r="CN117" i="1"/>
  <c r="CN118" i="1"/>
  <c r="CN119" i="1"/>
  <c r="CN120" i="1"/>
  <c r="CN121" i="1"/>
  <c r="CN122" i="1"/>
  <c r="CN123" i="1"/>
  <c r="CN124" i="1"/>
  <c r="CN125" i="1"/>
  <c r="CN126" i="1"/>
  <c r="CN127" i="1"/>
  <c r="CN129" i="1"/>
  <c r="CN131" i="1"/>
  <c r="CN132" i="1"/>
  <c r="CN133" i="1"/>
  <c r="CN134" i="1"/>
  <c r="CN135" i="1"/>
  <c r="CN136" i="1"/>
  <c r="CN137" i="1"/>
  <c r="CN138" i="1"/>
  <c r="CN139" i="1"/>
  <c r="CN140" i="1"/>
  <c r="CN141" i="1"/>
  <c r="CN142" i="1"/>
  <c r="CN143" i="1"/>
  <c r="CN144" i="1"/>
  <c r="CN145" i="1"/>
  <c r="CN146" i="1"/>
  <c r="CN147" i="1"/>
  <c r="CN148" i="1"/>
  <c r="DE148" i="1" s="1"/>
  <c r="CN149" i="1"/>
  <c r="CN150" i="1"/>
  <c r="CN151" i="1"/>
  <c r="CN152" i="1"/>
  <c r="CN153" i="1"/>
  <c r="CN154" i="1"/>
  <c r="CN71" i="1"/>
  <c r="CN72" i="1"/>
  <c r="CN73" i="1"/>
  <c r="CN62" i="1"/>
  <c r="CN65" i="1"/>
  <c r="CN66" i="1"/>
  <c r="CN68" i="1"/>
  <c r="CN4" i="1"/>
  <c r="DE4" i="1" s="1"/>
  <c r="CN5" i="1"/>
  <c r="CN6" i="1"/>
  <c r="CN7" i="1"/>
  <c r="CN8" i="1"/>
  <c r="CN75" i="1"/>
  <c r="CN76" i="1"/>
  <c r="CN77" i="1"/>
  <c r="CN78" i="1"/>
  <c r="DE78" i="1" s="1"/>
  <c r="CN79" i="1"/>
  <c r="CN80" i="1"/>
  <c r="CN81" i="1"/>
  <c r="CN82" i="1"/>
  <c r="CO1190" i="1"/>
  <c r="CO1188" i="1"/>
  <c r="CO1178" i="1"/>
  <c r="CO1174" i="1"/>
  <c r="CO1164" i="1"/>
  <c r="CO1153" i="1"/>
  <c r="CO1134" i="1"/>
  <c r="CO1135" i="1" s="1"/>
  <c r="CO1120" i="1"/>
  <c r="CO1107" i="1"/>
  <c r="CO1087" i="1"/>
  <c r="CO1067" i="1"/>
  <c r="CO1062" i="1"/>
  <c r="CO1056" i="1"/>
  <c r="CO1051" i="1"/>
  <c r="CO1038" i="1"/>
  <c r="CO1035" i="1"/>
  <c r="CO1032" i="1"/>
  <c r="CO1029" i="1"/>
  <c r="CO1020" i="1"/>
  <c r="CO1015" i="1"/>
  <c r="CO1008" i="1"/>
  <c r="CO978" i="1"/>
  <c r="CO967" i="1"/>
  <c r="CO955" i="1"/>
  <c r="CO951" i="1"/>
  <c r="CO936" i="1"/>
  <c r="CO924" i="1"/>
  <c r="CO914" i="1"/>
  <c r="CO910" i="1"/>
  <c r="CO905" i="1"/>
  <c r="CO901" i="1"/>
  <c r="CO886" i="1"/>
  <c r="CO880" i="1"/>
  <c r="CO874" i="1"/>
  <c r="CO863" i="1"/>
  <c r="CO853" i="1"/>
  <c r="CO864" i="1" s="1"/>
  <c r="CO845" i="1"/>
  <c r="CO838" i="1"/>
  <c r="CO834" i="1"/>
  <c r="CO839" i="1" s="1"/>
  <c r="CO823" i="1"/>
  <c r="CO801" i="1"/>
  <c r="CO797" i="1"/>
  <c r="CO788" i="1"/>
  <c r="CO789" i="1"/>
  <c r="CO776" i="1"/>
  <c r="CO773" i="1"/>
  <c r="CO766" i="1"/>
  <c r="CO757" i="1"/>
  <c r="CO746" i="1"/>
  <c r="CO742" i="1"/>
  <c r="CO727" i="1"/>
  <c r="CO715" i="1"/>
  <c r="CO707" i="1"/>
  <c r="CO694" i="1"/>
  <c r="CO687" i="1"/>
  <c r="CO695" i="1"/>
  <c r="CO673" i="1"/>
  <c r="CO669" i="1"/>
  <c r="CO665" i="1"/>
  <c r="CO659" i="1"/>
  <c r="CO674" i="1" s="1"/>
  <c r="CO654" i="1"/>
  <c r="CO646" i="1"/>
  <c r="CO640" i="1"/>
  <c r="CO635" i="1"/>
  <c r="CO626" i="1"/>
  <c r="CO617" i="1"/>
  <c r="CO610" i="1"/>
  <c r="CO606" i="1"/>
  <c r="CO596" i="1"/>
  <c r="CO563" i="1"/>
  <c r="CO536" i="1"/>
  <c r="CO520" i="1"/>
  <c r="CO511" i="1"/>
  <c r="CO497" i="1"/>
  <c r="CO480" i="1"/>
  <c r="CO481" i="1"/>
  <c r="CO474" i="1"/>
  <c r="CO468" i="1"/>
  <c r="CO460" i="1"/>
  <c r="CO443" i="1"/>
  <c r="CO412" i="1"/>
  <c r="CO386" i="1"/>
  <c r="CO382" i="1"/>
  <c r="CO371" i="1"/>
  <c r="CO367" i="1"/>
  <c r="CO357" i="1"/>
  <c r="CO353" i="1"/>
  <c r="CO338" i="1"/>
  <c r="CO339" i="1" s="1"/>
  <c r="CO326" i="1"/>
  <c r="CO317" i="1"/>
  <c r="CO310" i="1"/>
  <c r="CO292" i="1"/>
  <c r="CO327" i="1" s="1"/>
  <c r="CO278" i="1"/>
  <c r="CO272" i="1"/>
  <c r="CO266" i="1"/>
  <c r="CO259" i="1"/>
  <c r="CO255" i="1"/>
  <c r="CO243" i="1"/>
  <c r="CO236" i="1"/>
  <c r="CO232" i="1"/>
  <c r="CO237" i="1" s="1"/>
  <c r="CO219" i="1"/>
  <c r="CO199" i="1"/>
  <c r="CO195" i="1"/>
  <c r="CO174" i="1"/>
  <c r="CO175" i="1" s="1"/>
  <c r="CO155" i="1"/>
  <c r="CO156" i="1"/>
  <c r="CO74" i="1"/>
  <c r="CO70" i="1"/>
  <c r="CO9" i="1"/>
  <c r="CO83" i="1"/>
  <c r="CP1190" i="1"/>
  <c r="CP1191" i="1" s="1"/>
  <c r="CP1188" i="1"/>
  <c r="CP1178" i="1"/>
  <c r="CP1174" i="1"/>
  <c r="CP1175" i="1" s="1"/>
  <c r="CP1164" i="1"/>
  <c r="CP1153" i="1"/>
  <c r="CP1134" i="1"/>
  <c r="CP1120" i="1"/>
  <c r="CP1107" i="1"/>
  <c r="CP1087" i="1"/>
  <c r="CP1067" i="1"/>
  <c r="CP1062" i="1"/>
  <c r="CP1056" i="1"/>
  <c r="CP1051" i="1"/>
  <c r="CP1038" i="1"/>
  <c r="CP1035" i="1"/>
  <c r="CP1032" i="1"/>
  <c r="CP1029" i="1"/>
  <c r="CP1020" i="1"/>
  <c r="CP1015" i="1"/>
  <c r="CP1008" i="1"/>
  <c r="CP978" i="1"/>
  <c r="CP967" i="1"/>
  <c r="CP955" i="1"/>
  <c r="CP951" i="1"/>
  <c r="CP936" i="1"/>
  <c r="CP937" i="1" s="1"/>
  <c r="CP924" i="1"/>
  <c r="CP914" i="1"/>
  <c r="CP910" i="1"/>
  <c r="CP905" i="1"/>
  <c r="CP901" i="1"/>
  <c r="CP886" i="1"/>
  <c r="CP880" i="1"/>
  <c r="CP874" i="1"/>
  <c r="CP863" i="1"/>
  <c r="CP853" i="1"/>
  <c r="CP845" i="1"/>
  <c r="CP838" i="1"/>
  <c r="CP834" i="1"/>
  <c r="CP823" i="1"/>
  <c r="CP801" i="1"/>
  <c r="CP797" i="1"/>
  <c r="CP824" i="1" s="1"/>
  <c r="CP788" i="1"/>
  <c r="CP789" i="1" s="1"/>
  <c r="CP776" i="1"/>
  <c r="CP773" i="1"/>
  <c r="CP766" i="1"/>
  <c r="CP757" i="1"/>
  <c r="CP746" i="1"/>
  <c r="CP742" i="1"/>
  <c r="CP727" i="1"/>
  <c r="CP715" i="1"/>
  <c r="CP707" i="1"/>
  <c r="CP694" i="1"/>
  <c r="CP687" i="1"/>
  <c r="CP695" i="1" s="1"/>
  <c r="CP673" i="1"/>
  <c r="CP669" i="1"/>
  <c r="CP665" i="1"/>
  <c r="CP659" i="1"/>
  <c r="CP654" i="1"/>
  <c r="CP646" i="1"/>
  <c r="CP640" i="1"/>
  <c r="CP635" i="1"/>
  <c r="CP626" i="1"/>
  <c r="CP617" i="1"/>
  <c r="CP610" i="1"/>
  <c r="CP606" i="1"/>
  <c r="CP596" i="1"/>
  <c r="CP563" i="1"/>
  <c r="CP536" i="1"/>
  <c r="CP520" i="1"/>
  <c r="CP537" i="1" s="1"/>
  <c r="CP511" i="1"/>
  <c r="CP497" i="1"/>
  <c r="CP480" i="1"/>
  <c r="CP481" i="1" s="1"/>
  <c r="CP474" i="1"/>
  <c r="CP468" i="1"/>
  <c r="CP460" i="1"/>
  <c r="CP443" i="1"/>
  <c r="CP412" i="1"/>
  <c r="CP386" i="1"/>
  <c r="CP382" i="1"/>
  <c r="CP371" i="1"/>
  <c r="CP367" i="1"/>
  <c r="CP357" i="1"/>
  <c r="CP353" i="1"/>
  <c r="CP338" i="1"/>
  <c r="CP339" i="1" s="1"/>
  <c r="CP326" i="1"/>
  <c r="CP317" i="1"/>
  <c r="CP310" i="1"/>
  <c r="CP292" i="1"/>
  <c r="CP278" i="1"/>
  <c r="CP272" i="1"/>
  <c r="CP266" i="1"/>
  <c r="CP259" i="1"/>
  <c r="CP255" i="1"/>
  <c r="CP243" i="1"/>
  <c r="CP236" i="1"/>
  <c r="CP232" i="1"/>
  <c r="CP219" i="1"/>
  <c r="CP199" i="1"/>
  <c r="CP195" i="1"/>
  <c r="CP174" i="1"/>
  <c r="CP175" i="1"/>
  <c r="CP155" i="1"/>
  <c r="CP156" i="1" s="1"/>
  <c r="CP74" i="1"/>
  <c r="CP70" i="1"/>
  <c r="CP84" i="1" s="1"/>
  <c r="CP9" i="1"/>
  <c r="CP83" i="1"/>
  <c r="CQ1190" i="1"/>
  <c r="CQ1188" i="1"/>
  <c r="CQ1178" i="1"/>
  <c r="CQ1191" i="1" s="1"/>
  <c r="CQ1174" i="1"/>
  <c r="CQ1164" i="1"/>
  <c r="CQ1153" i="1"/>
  <c r="CQ1134" i="1"/>
  <c r="CQ1120" i="1"/>
  <c r="CQ1107" i="1"/>
  <c r="CQ1087" i="1"/>
  <c r="CQ1067" i="1"/>
  <c r="CQ1062" i="1"/>
  <c r="CQ1056" i="1"/>
  <c r="CQ1051" i="1"/>
  <c r="CQ1038" i="1"/>
  <c r="CQ1035" i="1"/>
  <c r="CQ1032" i="1"/>
  <c r="CQ1029" i="1"/>
  <c r="CQ1020" i="1"/>
  <c r="CQ1015" i="1"/>
  <c r="CQ1008" i="1"/>
  <c r="CQ978" i="1"/>
  <c r="CQ967" i="1"/>
  <c r="CQ955" i="1"/>
  <c r="CQ956" i="1" s="1"/>
  <c r="CQ951" i="1"/>
  <c r="CQ936" i="1"/>
  <c r="CQ924" i="1"/>
  <c r="CQ937" i="1" s="1"/>
  <c r="CQ914" i="1"/>
  <c r="CQ910" i="1"/>
  <c r="CQ915" i="1"/>
  <c r="CQ905" i="1"/>
  <c r="CQ901" i="1"/>
  <c r="CQ886" i="1"/>
  <c r="CQ880" i="1"/>
  <c r="CQ874" i="1"/>
  <c r="CQ887" i="1" s="1"/>
  <c r="CQ863" i="1"/>
  <c r="CQ853" i="1"/>
  <c r="CQ845" i="1"/>
  <c r="CQ864" i="1" s="1"/>
  <c r="CQ838" i="1"/>
  <c r="CQ839" i="1" s="1"/>
  <c r="CQ834" i="1"/>
  <c r="CQ823" i="1"/>
  <c r="CQ801" i="1"/>
  <c r="CQ797" i="1"/>
  <c r="CQ788" i="1"/>
  <c r="CQ789" i="1" s="1"/>
  <c r="CQ776" i="1"/>
  <c r="CQ773" i="1"/>
  <c r="CQ766" i="1"/>
  <c r="CQ757" i="1"/>
  <c r="CQ746" i="1"/>
  <c r="CQ742" i="1"/>
  <c r="CQ727" i="1"/>
  <c r="CQ715" i="1"/>
  <c r="CQ728" i="1" s="1"/>
  <c r="CQ707" i="1"/>
  <c r="CQ694" i="1"/>
  <c r="CQ695" i="1" s="1"/>
  <c r="CQ687" i="1"/>
  <c r="CQ673" i="1"/>
  <c r="CQ669" i="1"/>
  <c r="CQ665" i="1"/>
  <c r="CQ659" i="1"/>
  <c r="CQ674" i="1" s="1"/>
  <c r="CQ654" i="1"/>
  <c r="CQ646" i="1"/>
  <c r="CQ640" i="1"/>
  <c r="CQ635" i="1"/>
  <c r="CQ626" i="1"/>
  <c r="CQ617" i="1"/>
  <c r="CQ610" i="1"/>
  <c r="CQ606" i="1"/>
  <c r="CQ607" i="1" s="1"/>
  <c r="CQ596" i="1"/>
  <c r="CQ563" i="1"/>
  <c r="CQ536" i="1"/>
  <c r="CQ520" i="1"/>
  <c r="CQ511" i="1"/>
  <c r="CQ497" i="1"/>
  <c r="CQ480" i="1"/>
  <c r="CQ481" i="1" s="1"/>
  <c r="CQ474" i="1"/>
  <c r="CQ475" i="1" s="1"/>
  <c r="CQ468" i="1"/>
  <c r="CQ460" i="1"/>
  <c r="CQ443" i="1"/>
  <c r="CQ412" i="1"/>
  <c r="CQ386" i="1"/>
  <c r="CQ382" i="1"/>
  <c r="CQ371" i="1"/>
  <c r="CQ367" i="1"/>
  <c r="CQ357" i="1"/>
  <c r="CQ353" i="1"/>
  <c r="CQ338" i="1"/>
  <c r="CQ339" i="1" s="1"/>
  <c r="CQ326" i="1"/>
  <c r="CQ317" i="1"/>
  <c r="CQ310" i="1"/>
  <c r="CQ292" i="1"/>
  <c r="CQ278" i="1"/>
  <c r="CQ272" i="1"/>
  <c r="CQ266" i="1"/>
  <c r="CQ259" i="1"/>
  <c r="CQ255" i="1"/>
  <c r="CQ243" i="1"/>
  <c r="CQ236" i="1"/>
  <c r="CQ232" i="1"/>
  <c r="CQ219" i="1"/>
  <c r="CQ237" i="1" s="1"/>
  <c r="CQ199" i="1"/>
  <c r="CQ195" i="1"/>
  <c r="CQ174" i="1"/>
  <c r="CQ175" i="1" s="1"/>
  <c r="CQ155" i="1"/>
  <c r="CQ156" i="1" s="1"/>
  <c r="CQ74" i="1"/>
  <c r="CQ70" i="1"/>
  <c r="CQ9" i="1"/>
  <c r="CQ83" i="1"/>
  <c r="CR1190" i="1"/>
  <c r="CR1191" i="1" s="1"/>
  <c r="CR1188" i="1"/>
  <c r="CR1178" i="1"/>
  <c r="CR1174" i="1"/>
  <c r="CR1175" i="1" s="1"/>
  <c r="CR1164" i="1"/>
  <c r="CR1153" i="1"/>
  <c r="CR1121" i="1"/>
  <c r="DD1121" i="1" s="1"/>
  <c r="DE1121" i="1" s="1"/>
  <c r="CR1124" i="1"/>
  <c r="CR1130" i="1"/>
  <c r="DD1130" i="1" s="1"/>
  <c r="CR1110" i="1"/>
  <c r="CR1113" i="1"/>
  <c r="DD1113" i="1" s="1"/>
  <c r="CR1114" i="1"/>
  <c r="CR1116" i="1"/>
  <c r="DD1116" i="1" s="1"/>
  <c r="DE1116" i="1" s="1"/>
  <c r="CR1118" i="1"/>
  <c r="CR1107" i="1"/>
  <c r="CR1087" i="1"/>
  <c r="CR1067" i="1"/>
  <c r="CR1062" i="1"/>
  <c r="CR1056" i="1"/>
  <c r="CR1051" i="1"/>
  <c r="CR1038" i="1"/>
  <c r="CR1035" i="1"/>
  <c r="CR1032" i="1"/>
  <c r="CR1068" i="1" s="1"/>
  <c r="CR1029" i="1"/>
  <c r="CR1020" i="1"/>
  <c r="CR1015" i="1"/>
  <c r="CR1008" i="1"/>
  <c r="CR978" i="1"/>
  <c r="CR967" i="1"/>
  <c r="CR955" i="1"/>
  <c r="CR951" i="1"/>
  <c r="CR956" i="1" s="1"/>
  <c r="CR936" i="1"/>
  <c r="CR924" i="1"/>
  <c r="CR914" i="1"/>
  <c r="CR910" i="1"/>
  <c r="CR915" i="1" s="1"/>
  <c r="CR905" i="1"/>
  <c r="CR901" i="1"/>
  <c r="CR886" i="1"/>
  <c r="CR880" i="1"/>
  <c r="CR874" i="1"/>
  <c r="CR863" i="1"/>
  <c r="CR853" i="1"/>
  <c r="CR845" i="1"/>
  <c r="CR838" i="1"/>
  <c r="CR834" i="1"/>
  <c r="CR823" i="1"/>
  <c r="CR801" i="1"/>
  <c r="CR797" i="1"/>
  <c r="CR788" i="1"/>
  <c r="CR789" i="1" s="1"/>
  <c r="CR776" i="1"/>
  <c r="CR773" i="1"/>
  <c r="CR766" i="1"/>
  <c r="CR757" i="1"/>
  <c r="CR746" i="1"/>
  <c r="CR742" i="1"/>
  <c r="CR727" i="1"/>
  <c r="CR728" i="1" s="1"/>
  <c r="CR715" i="1"/>
  <c r="CR707" i="1"/>
  <c r="CR694" i="1"/>
  <c r="CR687" i="1"/>
  <c r="CR673" i="1"/>
  <c r="CR669" i="1"/>
  <c r="CR665" i="1"/>
  <c r="CR659" i="1"/>
  <c r="CR654" i="1"/>
  <c r="CR646" i="1"/>
  <c r="CR640" i="1"/>
  <c r="CR635" i="1"/>
  <c r="CR626" i="1"/>
  <c r="CR617" i="1"/>
  <c r="CR610" i="1"/>
  <c r="CR606" i="1"/>
  <c r="CR596" i="1"/>
  <c r="CR563" i="1"/>
  <c r="CR536" i="1"/>
  <c r="CR520" i="1"/>
  <c r="CR511" i="1"/>
  <c r="CR497" i="1"/>
  <c r="CR480" i="1"/>
  <c r="CR481" i="1" s="1"/>
  <c r="CR474" i="1"/>
  <c r="CR468" i="1"/>
  <c r="CR460" i="1"/>
  <c r="CR443" i="1"/>
  <c r="CR412" i="1"/>
  <c r="CR386" i="1"/>
  <c r="CR382" i="1"/>
  <c r="CR371" i="1"/>
  <c r="CR367" i="1"/>
  <c r="CR357" i="1"/>
  <c r="CR353" i="1"/>
  <c r="CR338" i="1"/>
  <c r="CR339" i="1"/>
  <c r="CR326" i="1"/>
  <c r="CR317" i="1"/>
  <c r="CR310" i="1"/>
  <c r="CR292" i="1"/>
  <c r="CR278" i="1"/>
  <c r="CR272" i="1"/>
  <c r="CR266" i="1"/>
  <c r="CR259" i="1"/>
  <c r="CR255" i="1"/>
  <c r="CR243" i="1"/>
  <c r="CR236" i="1"/>
  <c r="CR232" i="1"/>
  <c r="CR219" i="1"/>
  <c r="CR199" i="1"/>
  <c r="CR195" i="1"/>
  <c r="CR174" i="1"/>
  <c r="CR175" i="1" s="1"/>
  <c r="CR155" i="1"/>
  <c r="CR156" i="1" s="1"/>
  <c r="CR74" i="1"/>
  <c r="CR84" i="1" s="1"/>
  <c r="CR70" i="1"/>
  <c r="CR9" i="1"/>
  <c r="CR83" i="1"/>
  <c r="CS1190" i="1"/>
  <c r="CS1188" i="1"/>
  <c r="CS1178" i="1"/>
  <c r="CS1174" i="1"/>
  <c r="CS1175" i="1" s="1"/>
  <c r="CS1164" i="1"/>
  <c r="CS1153" i="1"/>
  <c r="CS1134" i="1"/>
  <c r="CS1120" i="1"/>
  <c r="CS1107" i="1"/>
  <c r="CS1087" i="1"/>
  <c r="CS1135" i="1"/>
  <c r="CS1067" i="1"/>
  <c r="CS1062" i="1"/>
  <c r="CS1056" i="1"/>
  <c r="CS1051" i="1"/>
  <c r="CS1038" i="1"/>
  <c r="CS1035" i="1"/>
  <c r="CS1032" i="1"/>
  <c r="CS1029" i="1"/>
  <c r="CS1020" i="1"/>
  <c r="CS1015" i="1"/>
  <c r="CS1008" i="1"/>
  <c r="CS978" i="1"/>
  <c r="CS967" i="1"/>
  <c r="CS955" i="1"/>
  <c r="CS951" i="1"/>
  <c r="CS925" i="1"/>
  <c r="CS936" i="1" s="1"/>
  <c r="CS924" i="1"/>
  <c r="CS914" i="1"/>
  <c r="CS910" i="1"/>
  <c r="CS905" i="1"/>
  <c r="CS901" i="1"/>
  <c r="CS886" i="1"/>
  <c r="CS880" i="1"/>
  <c r="CS874" i="1"/>
  <c r="CS863" i="1"/>
  <c r="CS853" i="1"/>
  <c r="CS845" i="1"/>
  <c r="CS838" i="1"/>
  <c r="CS834" i="1"/>
  <c r="CS823" i="1"/>
  <c r="CS801" i="1"/>
  <c r="CS797" i="1"/>
  <c r="CS824" i="1"/>
  <c r="CS788" i="1"/>
  <c r="CS789" i="1" s="1"/>
  <c r="CS776" i="1"/>
  <c r="CS773" i="1"/>
  <c r="CS766" i="1"/>
  <c r="CS757" i="1"/>
  <c r="CS746" i="1"/>
  <c r="CS742" i="1"/>
  <c r="CS727" i="1"/>
  <c r="CS715" i="1"/>
  <c r="CS707" i="1"/>
  <c r="CS694" i="1"/>
  <c r="CS687" i="1"/>
  <c r="CS673" i="1"/>
  <c r="CS669" i="1"/>
  <c r="CS665" i="1"/>
  <c r="CS659" i="1"/>
  <c r="CS654" i="1"/>
  <c r="CS646" i="1"/>
  <c r="CS640" i="1"/>
  <c r="CS635" i="1"/>
  <c r="CS626" i="1"/>
  <c r="CS617" i="1"/>
  <c r="CS610" i="1"/>
  <c r="CS606" i="1"/>
  <c r="CS596" i="1"/>
  <c r="CS563" i="1"/>
  <c r="CS536" i="1"/>
  <c r="CS520" i="1"/>
  <c r="CS511" i="1"/>
  <c r="CS497" i="1"/>
  <c r="CS480" i="1"/>
  <c r="CS481" i="1" s="1"/>
  <c r="CS474" i="1"/>
  <c r="CS468" i="1"/>
  <c r="CS460" i="1"/>
  <c r="CS443" i="1"/>
  <c r="CS412" i="1"/>
  <c r="CS386" i="1"/>
  <c r="CS382" i="1"/>
  <c r="CS371" i="1"/>
  <c r="CS367" i="1"/>
  <c r="CS357" i="1"/>
  <c r="CS353" i="1"/>
  <c r="CS338" i="1"/>
  <c r="CS339" i="1" s="1"/>
  <c r="CS326" i="1"/>
  <c r="CS317" i="1"/>
  <c r="CS310" i="1"/>
  <c r="CS292" i="1"/>
  <c r="CS278" i="1"/>
  <c r="CS272" i="1"/>
  <c r="CS266" i="1"/>
  <c r="CS259" i="1"/>
  <c r="CS255" i="1"/>
  <c r="CS243" i="1"/>
  <c r="CS236" i="1"/>
  <c r="CS232" i="1"/>
  <c r="CS219" i="1"/>
  <c r="CS199" i="1"/>
  <c r="CS195" i="1"/>
  <c r="CS174" i="1"/>
  <c r="CS175" i="1" s="1"/>
  <c r="CS96" i="1"/>
  <c r="CS120" i="1"/>
  <c r="CS128" i="1"/>
  <c r="DD128" i="1" s="1"/>
  <c r="CS72" i="1"/>
  <c r="CS74" i="1" s="1"/>
  <c r="CS63" i="1"/>
  <c r="CS64" i="1"/>
  <c r="CS65" i="1"/>
  <c r="CS66" i="1"/>
  <c r="DD66" i="1" s="1"/>
  <c r="CS68" i="1"/>
  <c r="DD68" i="1" s="1"/>
  <c r="DE68" i="1" s="1"/>
  <c r="CS69" i="1"/>
  <c r="CX66" i="1"/>
  <c r="CS9" i="1"/>
  <c r="CS83" i="1"/>
  <c r="CT1190" i="1"/>
  <c r="CT1188" i="1"/>
  <c r="CT1178" i="1"/>
  <c r="CT1191" i="1" s="1"/>
  <c r="CT1174" i="1"/>
  <c r="CT1164" i="1"/>
  <c r="CT1153" i="1"/>
  <c r="CT1134" i="1"/>
  <c r="CT1120" i="1"/>
  <c r="CT1107" i="1"/>
  <c r="CT1087" i="1"/>
  <c r="CT1067" i="1"/>
  <c r="CT1062" i="1"/>
  <c r="CT1056" i="1"/>
  <c r="CT1051" i="1"/>
  <c r="CT1038" i="1"/>
  <c r="CT1035" i="1"/>
  <c r="CT1032" i="1"/>
  <c r="CT1029" i="1"/>
  <c r="CT1020" i="1"/>
  <c r="CT1015" i="1"/>
  <c r="CT1008" i="1"/>
  <c r="CT978" i="1"/>
  <c r="CT967" i="1"/>
  <c r="CT955" i="1"/>
  <c r="CT951" i="1"/>
  <c r="CT936" i="1"/>
  <c r="CT924" i="1"/>
  <c r="CT914" i="1"/>
  <c r="CT910" i="1"/>
  <c r="CT905" i="1"/>
  <c r="CT906" i="1" s="1"/>
  <c r="CT901" i="1"/>
  <c r="CT886" i="1"/>
  <c r="CT880" i="1"/>
  <c r="CT874" i="1"/>
  <c r="CT863" i="1"/>
  <c r="CT853" i="1"/>
  <c r="CT845" i="1"/>
  <c r="CT838" i="1"/>
  <c r="CT839" i="1" s="1"/>
  <c r="CT834" i="1"/>
  <c r="CT823" i="1"/>
  <c r="CT801" i="1"/>
  <c r="CT797" i="1"/>
  <c r="CT788" i="1"/>
  <c r="CT789" i="1" s="1"/>
  <c r="CT776" i="1"/>
  <c r="CT773" i="1"/>
  <c r="CT766" i="1"/>
  <c r="CT757" i="1"/>
  <c r="CT746" i="1"/>
  <c r="CT742" i="1"/>
  <c r="CT727" i="1"/>
  <c r="CT715" i="1"/>
  <c r="CT707" i="1"/>
  <c r="CT694" i="1"/>
  <c r="CT687" i="1"/>
  <c r="CT673" i="1"/>
  <c r="CT669" i="1"/>
  <c r="CT665" i="1"/>
  <c r="CT659" i="1"/>
  <c r="CT654" i="1"/>
  <c r="CT646" i="1"/>
  <c r="CT647" i="1" s="1"/>
  <c r="CT640" i="1"/>
  <c r="CT635" i="1"/>
  <c r="CT626" i="1"/>
  <c r="CT617" i="1"/>
  <c r="CT610" i="1"/>
  <c r="CT606" i="1"/>
  <c r="CT596" i="1"/>
  <c r="CT563" i="1"/>
  <c r="CT536" i="1"/>
  <c r="CT520" i="1"/>
  <c r="CT511" i="1"/>
  <c r="CT497" i="1"/>
  <c r="CT480" i="1"/>
  <c r="CT481" i="1"/>
  <c r="CT474" i="1"/>
  <c r="CT468" i="1"/>
  <c r="CT460" i="1"/>
  <c r="CT443" i="1"/>
  <c r="CT412" i="1"/>
  <c r="CT386" i="1"/>
  <c r="CT382" i="1"/>
  <c r="CT371" i="1"/>
  <c r="CT367" i="1"/>
  <c r="CT357" i="1"/>
  <c r="CT353" i="1"/>
  <c r="CT338" i="1"/>
  <c r="CT339" i="1" s="1"/>
  <c r="CT326" i="1"/>
  <c r="CT317" i="1"/>
  <c r="CT310" i="1"/>
  <c r="CT292" i="1"/>
  <c r="CT327" i="1" s="1"/>
  <c r="CT278" i="1"/>
  <c r="CT272" i="1"/>
  <c r="CT266" i="1"/>
  <c r="CT259" i="1"/>
  <c r="CT255" i="1"/>
  <c r="CT243" i="1"/>
  <c r="CT236" i="1"/>
  <c r="CT232" i="1"/>
  <c r="CT237" i="1" s="1"/>
  <c r="CT219" i="1"/>
  <c r="CT199" i="1"/>
  <c r="CT195" i="1"/>
  <c r="CT174" i="1"/>
  <c r="CT175" i="1"/>
  <c r="CT155" i="1"/>
  <c r="CT156" i="1" s="1"/>
  <c r="CT74" i="1"/>
  <c r="CT70" i="1"/>
  <c r="CT84" i="1" s="1"/>
  <c r="CT9" i="1"/>
  <c r="CT83" i="1"/>
  <c r="CU1190" i="1"/>
  <c r="CU1188" i="1"/>
  <c r="CU1178" i="1"/>
  <c r="CU1174" i="1"/>
  <c r="CU1164" i="1"/>
  <c r="CU1153" i="1"/>
  <c r="CU1175" i="1" s="1"/>
  <c r="CU1134" i="1"/>
  <c r="CU1120" i="1"/>
  <c r="CU1107" i="1"/>
  <c r="CU1087" i="1"/>
  <c r="CU1067" i="1"/>
  <c r="CU1062" i="1"/>
  <c r="CU1056" i="1"/>
  <c r="CU1051" i="1"/>
  <c r="CU1038" i="1"/>
  <c r="CU1035" i="1"/>
  <c r="CU1032" i="1"/>
  <c r="CU1029" i="1"/>
  <c r="CU1020" i="1"/>
  <c r="CU1015" i="1"/>
  <c r="CU1008" i="1"/>
  <c r="CU978" i="1"/>
  <c r="CU967" i="1"/>
  <c r="CU955" i="1"/>
  <c r="CU951" i="1"/>
  <c r="CU936" i="1"/>
  <c r="CU937" i="1" s="1"/>
  <c r="CU924" i="1"/>
  <c r="CU914" i="1"/>
  <c r="CU910" i="1"/>
  <c r="CU905" i="1"/>
  <c r="CU906" i="1" s="1"/>
  <c r="CU901" i="1"/>
  <c r="CU886" i="1"/>
  <c r="CU880" i="1"/>
  <c r="CU874" i="1"/>
  <c r="CU863" i="1"/>
  <c r="CU853" i="1"/>
  <c r="CU845" i="1"/>
  <c r="CU838" i="1"/>
  <c r="CU839" i="1" s="1"/>
  <c r="CU834" i="1"/>
  <c r="CU823" i="1"/>
  <c r="CU801" i="1"/>
  <c r="CU797" i="1"/>
  <c r="CU788" i="1"/>
  <c r="CU789" i="1" s="1"/>
  <c r="CU776" i="1"/>
  <c r="CU773" i="1"/>
  <c r="CU766" i="1"/>
  <c r="CU777" i="1" s="1"/>
  <c r="CU757" i="1"/>
  <c r="CU746" i="1"/>
  <c r="CU742" i="1"/>
  <c r="CU727" i="1"/>
  <c r="CU715" i="1"/>
  <c r="CU707" i="1"/>
  <c r="CU694" i="1"/>
  <c r="CU687" i="1"/>
  <c r="CU695" i="1" s="1"/>
  <c r="CU673" i="1"/>
  <c r="CU669" i="1"/>
  <c r="CU665" i="1"/>
  <c r="CU659" i="1"/>
  <c r="CU654" i="1"/>
  <c r="CU646" i="1"/>
  <c r="CU640" i="1"/>
  <c r="CU635" i="1"/>
  <c r="CU647" i="1" s="1"/>
  <c r="CU626" i="1"/>
  <c r="CU617" i="1"/>
  <c r="CU610" i="1"/>
  <c r="CU606" i="1"/>
  <c r="CU596" i="1"/>
  <c r="CU563" i="1"/>
  <c r="CU607" i="1" s="1"/>
  <c r="CU536" i="1"/>
  <c r="CU520" i="1"/>
  <c r="CU511" i="1"/>
  <c r="CU497" i="1"/>
  <c r="CU480" i="1"/>
  <c r="CU481" i="1" s="1"/>
  <c r="CU474" i="1"/>
  <c r="CU468" i="1"/>
  <c r="CU460" i="1"/>
  <c r="CU443" i="1"/>
  <c r="CU412" i="1"/>
  <c r="CU475" i="1" s="1"/>
  <c r="CU386" i="1"/>
  <c r="CU382" i="1"/>
  <c r="CU371" i="1"/>
  <c r="CU367" i="1"/>
  <c r="CU357" i="1"/>
  <c r="CU353" i="1"/>
  <c r="CU338" i="1"/>
  <c r="CU339" i="1"/>
  <c r="CU326" i="1"/>
  <c r="CU317" i="1"/>
  <c r="CU310" i="1"/>
  <c r="CU292" i="1"/>
  <c r="CU278" i="1"/>
  <c r="CU272" i="1"/>
  <c r="CU266" i="1"/>
  <c r="CU259" i="1"/>
  <c r="CU255" i="1"/>
  <c r="CU243" i="1"/>
  <c r="CU236" i="1"/>
  <c r="CU232" i="1"/>
  <c r="CU219" i="1"/>
  <c r="CU199" i="1"/>
  <c r="CU195" i="1"/>
  <c r="CU174" i="1"/>
  <c r="CU175" i="1" s="1"/>
  <c r="CU155" i="1"/>
  <c r="CU156" i="1" s="1"/>
  <c r="CU74" i="1"/>
  <c r="CU70" i="1"/>
  <c r="CU9" i="1"/>
  <c r="CU83" i="1"/>
  <c r="CV1190" i="1"/>
  <c r="CV1188" i="1"/>
  <c r="CV1178" i="1"/>
  <c r="CV1174" i="1"/>
  <c r="CV1164" i="1"/>
  <c r="CV1153" i="1"/>
  <c r="CV1134" i="1"/>
  <c r="CV1120" i="1"/>
  <c r="CV1107" i="1"/>
  <c r="CV1087" i="1"/>
  <c r="CV1067" i="1"/>
  <c r="CV1062" i="1"/>
  <c r="CV1056" i="1"/>
  <c r="CV1051" i="1"/>
  <c r="CV1038" i="1"/>
  <c r="CV1035" i="1"/>
  <c r="CV1032" i="1"/>
  <c r="CV1029" i="1"/>
  <c r="CV1020" i="1"/>
  <c r="CV1015" i="1"/>
  <c r="CV1008" i="1"/>
  <c r="CV978" i="1"/>
  <c r="CV967" i="1"/>
  <c r="CV955" i="1"/>
  <c r="CV951" i="1"/>
  <c r="CV936" i="1"/>
  <c r="CV924" i="1"/>
  <c r="CV914" i="1"/>
  <c r="CV910" i="1"/>
  <c r="CV905" i="1"/>
  <c r="CV901" i="1"/>
  <c r="CV906" i="1"/>
  <c r="CV886" i="1"/>
  <c r="CV880" i="1"/>
  <c r="CV874" i="1"/>
  <c r="CV863" i="1"/>
  <c r="CV853" i="1"/>
  <c r="CV845" i="1"/>
  <c r="CV838" i="1"/>
  <c r="CV834" i="1"/>
  <c r="CV823" i="1"/>
  <c r="CV801" i="1"/>
  <c r="CV797" i="1"/>
  <c r="CV788" i="1"/>
  <c r="CV789" i="1"/>
  <c r="CV776" i="1"/>
  <c r="CV773" i="1"/>
  <c r="CV766" i="1"/>
  <c r="CV757" i="1"/>
  <c r="CV746" i="1"/>
  <c r="CV742" i="1"/>
  <c r="CV727" i="1"/>
  <c r="CV715" i="1"/>
  <c r="CV728" i="1" s="1"/>
  <c r="CV707" i="1"/>
  <c r="CV694" i="1"/>
  <c r="CV687" i="1"/>
  <c r="CV673" i="1"/>
  <c r="CV669" i="1"/>
  <c r="CV665" i="1"/>
  <c r="CV659" i="1"/>
  <c r="CV654" i="1"/>
  <c r="CV646" i="1"/>
  <c r="CV640" i="1"/>
  <c r="CV635" i="1"/>
  <c r="CV626" i="1"/>
  <c r="CV617" i="1"/>
  <c r="CV610" i="1"/>
  <c r="CV606" i="1"/>
  <c r="CV596" i="1"/>
  <c r="CV563" i="1"/>
  <c r="CV607" i="1"/>
  <c r="CV536" i="1"/>
  <c r="CV520" i="1"/>
  <c r="CV511" i="1"/>
  <c r="CV497" i="1"/>
  <c r="CV480" i="1"/>
  <c r="CV481" i="1"/>
  <c r="CV474" i="1"/>
  <c r="CV468" i="1"/>
  <c r="CV460" i="1"/>
  <c r="CV443" i="1"/>
  <c r="CV412" i="1"/>
  <c r="CV386" i="1"/>
  <c r="CV382" i="1"/>
  <c r="CV371" i="1"/>
  <c r="CV367" i="1"/>
  <c r="CV357" i="1"/>
  <c r="CV353" i="1"/>
  <c r="CV338" i="1"/>
  <c r="CV339" i="1" s="1"/>
  <c r="CV326" i="1"/>
  <c r="CV317" i="1"/>
  <c r="CV310" i="1"/>
  <c r="CV292" i="1"/>
  <c r="CV278" i="1"/>
  <c r="CV272" i="1"/>
  <c r="CV266" i="1"/>
  <c r="CV259" i="1"/>
  <c r="CV255" i="1"/>
  <c r="CV243" i="1"/>
  <c r="CV236" i="1"/>
  <c r="CV232" i="1"/>
  <c r="CV219" i="1"/>
  <c r="CV199" i="1"/>
  <c r="CV195" i="1"/>
  <c r="CV174" i="1"/>
  <c r="CV175" i="1" s="1"/>
  <c r="CV155" i="1"/>
  <c r="CV156" i="1" s="1"/>
  <c r="CV74" i="1"/>
  <c r="CV70" i="1"/>
  <c r="CV9" i="1"/>
  <c r="CV83" i="1"/>
  <c r="CW1190" i="1"/>
  <c r="CW1188" i="1"/>
  <c r="CW1178" i="1"/>
  <c r="CW1174" i="1"/>
  <c r="CW1164" i="1"/>
  <c r="CW1153" i="1"/>
  <c r="CW1134" i="1"/>
  <c r="CW1120" i="1"/>
  <c r="CW1107" i="1"/>
  <c r="CW1087" i="1"/>
  <c r="CW1067" i="1"/>
  <c r="CW1062" i="1"/>
  <c r="CW1056" i="1"/>
  <c r="CW1051" i="1"/>
  <c r="CW1038" i="1"/>
  <c r="CW1035" i="1"/>
  <c r="CW1032" i="1"/>
  <c r="CW1029" i="1"/>
  <c r="CW1020" i="1"/>
  <c r="CW1015" i="1"/>
  <c r="CW1008" i="1"/>
  <c r="CW978" i="1"/>
  <c r="CW967" i="1"/>
  <c r="CW955" i="1"/>
  <c r="CW951" i="1"/>
  <c r="CW936" i="1"/>
  <c r="CW924" i="1"/>
  <c r="CW914" i="1"/>
  <c r="CW910" i="1"/>
  <c r="CW905" i="1"/>
  <c r="CW901" i="1"/>
  <c r="CW886" i="1"/>
  <c r="CW880" i="1"/>
  <c r="CW874" i="1"/>
  <c r="CW863" i="1"/>
  <c r="CW853" i="1"/>
  <c r="CW845" i="1"/>
  <c r="CW838" i="1"/>
  <c r="CW834" i="1"/>
  <c r="CW823" i="1"/>
  <c r="CW801" i="1"/>
  <c r="CW797" i="1"/>
  <c r="CW788" i="1"/>
  <c r="CW789" i="1" s="1"/>
  <c r="CW776" i="1"/>
  <c r="CW773" i="1"/>
  <c r="CW766" i="1"/>
  <c r="CW757" i="1"/>
  <c r="CW746" i="1"/>
  <c r="CW742" i="1"/>
  <c r="CW727" i="1"/>
  <c r="CW728" i="1" s="1"/>
  <c r="CW715" i="1"/>
  <c r="CW707" i="1"/>
  <c r="CW694" i="1"/>
  <c r="CW687" i="1"/>
  <c r="CW695" i="1"/>
  <c r="CW673" i="1"/>
  <c r="CW669" i="1"/>
  <c r="CW665" i="1"/>
  <c r="CW659" i="1"/>
  <c r="CW654" i="1"/>
  <c r="CW646" i="1"/>
  <c r="CW640" i="1"/>
  <c r="CW635" i="1"/>
  <c r="CW626" i="1"/>
  <c r="CW617" i="1"/>
  <c r="CW610" i="1"/>
  <c r="CW606" i="1"/>
  <c r="CW596" i="1"/>
  <c r="CW563" i="1"/>
  <c r="CW536" i="1"/>
  <c r="CW520" i="1"/>
  <c r="CW511" i="1"/>
  <c r="CW497" i="1"/>
  <c r="CW480" i="1"/>
  <c r="CW481" i="1" s="1"/>
  <c r="CW474" i="1"/>
  <c r="CW468" i="1"/>
  <c r="CW460" i="1"/>
  <c r="CW443" i="1"/>
  <c r="CW412" i="1"/>
  <c r="CW386" i="1"/>
  <c r="CW382" i="1"/>
  <c r="CW371" i="1"/>
  <c r="CW367" i="1"/>
  <c r="CW357" i="1"/>
  <c r="CW353" i="1"/>
  <c r="CW338" i="1"/>
  <c r="CW339" i="1" s="1"/>
  <c r="CW326" i="1"/>
  <c r="CW317" i="1"/>
  <c r="CW310" i="1"/>
  <c r="CW292" i="1"/>
  <c r="CW278" i="1"/>
  <c r="CW272" i="1"/>
  <c r="CW266" i="1"/>
  <c r="CW259" i="1"/>
  <c r="CW255" i="1"/>
  <c r="CW243" i="1"/>
  <c r="CW236" i="1"/>
  <c r="CW232" i="1"/>
  <c r="CW219" i="1"/>
  <c r="CW199" i="1"/>
  <c r="CW195" i="1"/>
  <c r="CW174" i="1"/>
  <c r="CW175" i="1" s="1"/>
  <c r="CW155" i="1"/>
  <c r="CW156" i="1"/>
  <c r="CW74" i="1"/>
  <c r="CW70" i="1"/>
  <c r="CW9" i="1"/>
  <c r="CW83" i="1"/>
  <c r="CX1190" i="1"/>
  <c r="CX1188" i="1"/>
  <c r="CX1191" i="1" s="1"/>
  <c r="CX1178" i="1"/>
  <c r="CX1174" i="1"/>
  <c r="CX1164" i="1"/>
  <c r="CX1153" i="1"/>
  <c r="CX1175" i="1"/>
  <c r="CX1134" i="1"/>
  <c r="CX1120" i="1"/>
  <c r="CX1107" i="1"/>
  <c r="CX1087" i="1"/>
  <c r="CX1067" i="1"/>
  <c r="CX1062" i="1"/>
  <c r="CX1056" i="1"/>
  <c r="CX1051" i="1"/>
  <c r="CX1038" i="1"/>
  <c r="CX1035" i="1"/>
  <c r="CX1032" i="1"/>
  <c r="CX1029" i="1"/>
  <c r="CX1020" i="1"/>
  <c r="CX1015" i="1"/>
  <c r="CX1008" i="1"/>
  <c r="CX978" i="1"/>
  <c r="CX967" i="1"/>
  <c r="CX955" i="1"/>
  <c r="CX956" i="1" s="1"/>
  <c r="CX951" i="1"/>
  <c r="CX936" i="1"/>
  <c r="CX924" i="1"/>
  <c r="CX914" i="1"/>
  <c r="CX910" i="1"/>
  <c r="CX905" i="1"/>
  <c r="CX906" i="1" s="1"/>
  <c r="CX901" i="1"/>
  <c r="CX886" i="1"/>
  <c r="CX880" i="1"/>
  <c r="CX874" i="1"/>
  <c r="CX863" i="1"/>
  <c r="CX853" i="1"/>
  <c r="CX845" i="1"/>
  <c r="CX838" i="1"/>
  <c r="CX834" i="1"/>
  <c r="CX839" i="1"/>
  <c r="CX823" i="1"/>
  <c r="CX801" i="1"/>
  <c r="CX797" i="1"/>
  <c r="CX788" i="1"/>
  <c r="CX789" i="1" s="1"/>
  <c r="CX776" i="1"/>
  <c r="CX773" i="1"/>
  <c r="CX766" i="1"/>
  <c r="CX757" i="1"/>
  <c r="CX746" i="1"/>
  <c r="CX742" i="1"/>
  <c r="CX727" i="1"/>
  <c r="CX715" i="1"/>
  <c r="CX707" i="1"/>
  <c r="CX694" i="1"/>
  <c r="CX687" i="1"/>
  <c r="CX673" i="1"/>
  <c r="CX674" i="1" s="1"/>
  <c r="CX669" i="1"/>
  <c r="CX665" i="1"/>
  <c r="CX659" i="1"/>
  <c r="CX654" i="1"/>
  <c r="CX646" i="1"/>
  <c r="CX640" i="1"/>
  <c r="CX635" i="1"/>
  <c r="CX626" i="1"/>
  <c r="CX647" i="1" s="1"/>
  <c r="CX617" i="1"/>
  <c r="CX610" i="1"/>
  <c r="CX606" i="1"/>
  <c r="CX596" i="1"/>
  <c r="CX563" i="1"/>
  <c r="CX536" i="1"/>
  <c r="CX520" i="1"/>
  <c r="CX511" i="1"/>
  <c r="CX497" i="1"/>
  <c r="CX480" i="1"/>
  <c r="CX481" i="1" s="1"/>
  <c r="CX474" i="1"/>
  <c r="CX468" i="1"/>
  <c r="CX460" i="1"/>
  <c r="CX443" i="1"/>
  <c r="CX412" i="1"/>
  <c r="CX386" i="1"/>
  <c r="CX387" i="1" s="1"/>
  <c r="CX382" i="1"/>
  <c r="CX371" i="1"/>
  <c r="CX367" i="1"/>
  <c r="CX357" i="1"/>
  <c r="CX353" i="1"/>
  <c r="CX338" i="1"/>
  <c r="CX339" i="1" s="1"/>
  <c r="CX326" i="1"/>
  <c r="CX317" i="1"/>
  <c r="CX310" i="1"/>
  <c r="CX292" i="1"/>
  <c r="CX278" i="1"/>
  <c r="CX272" i="1"/>
  <c r="CX266" i="1"/>
  <c r="CX259" i="1"/>
  <c r="CX255" i="1"/>
  <c r="CX243" i="1"/>
  <c r="CX236" i="1"/>
  <c r="CX232" i="1"/>
  <c r="CX219" i="1"/>
  <c r="CX199" i="1"/>
  <c r="CX195" i="1"/>
  <c r="CX174" i="1"/>
  <c r="CX175" i="1" s="1"/>
  <c r="CX155" i="1"/>
  <c r="CX156" i="1" s="1"/>
  <c r="CX74" i="1"/>
  <c r="CX62" i="1"/>
  <c r="CX67" i="1"/>
  <c r="DD67" i="1" s="1"/>
  <c r="CX69" i="1"/>
  <c r="CX9" i="1"/>
  <c r="CX83" i="1"/>
  <c r="CY1190" i="1"/>
  <c r="CY1188" i="1"/>
  <c r="CY1178" i="1"/>
  <c r="CY1191" i="1" s="1"/>
  <c r="CY1174" i="1"/>
  <c r="CY1164" i="1"/>
  <c r="CY1153" i="1"/>
  <c r="CY1134" i="1"/>
  <c r="CY1120" i="1"/>
  <c r="CY1107" i="1"/>
  <c r="CY1087" i="1"/>
  <c r="CY1067" i="1"/>
  <c r="CY1062" i="1"/>
  <c r="CY1056" i="1"/>
  <c r="CY1051" i="1"/>
  <c r="CY1038" i="1"/>
  <c r="CY1035" i="1"/>
  <c r="CY1032" i="1"/>
  <c r="CY1029" i="1"/>
  <c r="CY1020" i="1"/>
  <c r="CY1015" i="1"/>
  <c r="CY1008" i="1"/>
  <c r="CY978" i="1"/>
  <c r="CY967" i="1"/>
  <c r="CY955" i="1"/>
  <c r="CY951" i="1"/>
  <c r="CY936" i="1"/>
  <c r="CY924" i="1"/>
  <c r="CY914" i="1"/>
  <c r="CY910" i="1"/>
  <c r="CY905" i="1"/>
  <c r="CY901" i="1"/>
  <c r="CY886" i="1"/>
  <c r="CY880" i="1"/>
  <c r="CY874" i="1"/>
  <c r="CY863" i="1"/>
  <c r="CY853" i="1"/>
  <c r="CY845" i="1"/>
  <c r="CY838" i="1"/>
  <c r="CY834" i="1"/>
  <c r="CY823" i="1"/>
  <c r="CY801" i="1"/>
  <c r="CY797" i="1"/>
  <c r="CY788" i="1"/>
  <c r="CY789" i="1" s="1"/>
  <c r="CY776" i="1"/>
  <c r="CY773" i="1"/>
  <c r="CY766" i="1"/>
  <c r="CY757" i="1"/>
  <c r="CY746" i="1"/>
  <c r="CY742" i="1"/>
  <c r="CY727" i="1"/>
  <c r="CY715" i="1"/>
  <c r="CY707" i="1"/>
  <c r="CY694" i="1"/>
  <c r="CY687" i="1"/>
  <c r="CY695" i="1" s="1"/>
  <c r="CY673" i="1"/>
  <c r="CY669" i="1"/>
  <c r="CY665" i="1"/>
  <c r="CY659" i="1"/>
  <c r="CY654" i="1"/>
  <c r="CY646" i="1"/>
  <c r="CY640" i="1"/>
  <c r="CY635" i="1"/>
  <c r="CY626" i="1"/>
  <c r="CY617" i="1"/>
  <c r="CY610" i="1"/>
  <c r="CY606" i="1"/>
  <c r="CY596" i="1"/>
  <c r="CY563" i="1"/>
  <c r="CY536" i="1"/>
  <c r="CY520" i="1"/>
  <c r="CY511" i="1"/>
  <c r="CY497" i="1"/>
  <c r="CY480" i="1"/>
  <c r="CY481" i="1" s="1"/>
  <c r="CY474" i="1"/>
  <c r="CY468" i="1"/>
  <c r="CY460" i="1"/>
  <c r="CY443" i="1"/>
  <c r="CY412" i="1"/>
  <c r="CY386" i="1"/>
  <c r="CY382" i="1"/>
  <c r="CY371" i="1"/>
  <c r="CY367" i="1"/>
  <c r="CY357" i="1"/>
  <c r="CY353" i="1"/>
  <c r="CY338" i="1"/>
  <c r="CY339" i="1" s="1"/>
  <c r="CY326" i="1"/>
  <c r="CY317" i="1"/>
  <c r="CY310" i="1"/>
  <c r="CY292" i="1"/>
  <c r="CY278" i="1"/>
  <c r="CY272" i="1"/>
  <c r="CY266" i="1"/>
  <c r="CY259" i="1"/>
  <c r="CY255" i="1"/>
  <c r="CY243" i="1"/>
  <c r="CY236" i="1"/>
  <c r="CY232" i="1"/>
  <c r="CY219" i="1"/>
  <c r="CY199" i="1"/>
  <c r="CY195" i="1"/>
  <c r="CY174" i="1"/>
  <c r="CY175" i="1" s="1"/>
  <c r="CY155" i="1"/>
  <c r="CY156" i="1" s="1"/>
  <c r="CY74" i="1"/>
  <c r="CY70" i="1"/>
  <c r="CY9" i="1"/>
  <c r="CY83" i="1"/>
  <c r="CZ1190" i="1"/>
  <c r="CZ1188" i="1"/>
  <c r="CZ1178" i="1"/>
  <c r="CZ1174" i="1"/>
  <c r="CZ1164" i="1"/>
  <c r="CZ1153" i="1"/>
  <c r="CZ1134" i="1"/>
  <c r="CZ1120" i="1"/>
  <c r="CZ1107" i="1"/>
  <c r="CZ1087" i="1"/>
  <c r="CZ1067" i="1"/>
  <c r="CZ1062" i="1"/>
  <c r="CZ1056" i="1"/>
  <c r="CZ1051" i="1"/>
  <c r="CZ1038" i="1"/>
  <c r="CZ1035" i="1"/>
  <c r="CZ1032" i="1"/>
  <c r="CZ1029" i="1"/>
  <c r="CZ1020" i="1"/>
  <c r="CZ1015" i="1"/>
  <c r="CZ1008" i="1"/>
  <c r="CZ978" i="1"/>
  <c r="CZ967" i="1"/>
  <c r="CZ955" i="1"/>
  <c r="CZ951" i="1"/>
  <c r="CZ936" i="1"/>
  <c r="CZ924" i="1"/>
  <c r="CZ914" i="1"/>
  <c r="CZ910" i="1"/>
  <c r="CZ905" i="1"/>
  <c r="CZ901" i="1"/>
  <c r="CZ886" i="1"/>
  <c r="CZ880" i="1"/>
  <c r="CZ874" i="1"/>
  <c r="CZ863" i="1"/>
  <c r="CZ853" i="1"/>
  <c r="CZ864" i="1" s="1"/>
  <c r="CZ845" i="1"/>
  <c r="CZ838" i="1"/>
  <c r="CZ834" i="1"/>
  <c r="CZ823" i="1"/>
  <c r="CZ824" i="1" s="1"/>
  <c r="CZ801" i="1"/>
  <c r="CZ797" i="1"/>
  <c r="CZ788" i="1"/>
  <c r="CZ789" i="1" s="1"/>
  <c r="CZ776" i="1"/>
  <c r="CZ773" i="1"/>
  <c r="CZ766" i="1"/>
  <c r="CZ757" i="1"/>
  <c r="CZ746" i="1"/>
  <c r="CZ742" i="1"/>
  <c r="CZ727" i="1"/>
  <c r="CZ715" i="1"/>
  <c r="CZ707" i="1"/>
  <c r="CZ728" i="1" s="1"/>
  <c r="CZ694" i="1"/>
  <c r="CZ687" i="1"/>
  <c r="CZ673" i="1"/>
  <c r="CZ669" i="1"/>
  <c r="CZ665" i="1"/>
  <c r="CZ659" i="1"/>
  <c r="CZ654" i="1"/>
  <c r="CZ646" i="1"/>
  <c r="CZ647" i="1" s="1"/>
  <c r="CZ640" i="1"/>
  <c r="CZ635" i="1"/>
  <c r="CZ626" i="1"/>
  <c r="CZ617" i="1"/>
  <c r="CZ610" i="1"/>
  <c r="CZ606" i="1"/>
  <c r="CZ596" i="1"/>
  <c r="CZ563" i="1"/>
  <c r="CZ536" i="1"/>
  <c r="CZ520" i="1"/>
  <c r="CZ511" i="1"/>
  <c r="CZ497" i="1"/>
  <c r="CZ480" i="1"/>
  <c r="CZ481" i="1" s="1"/>
  <c r="CZ474" i="1"/>
  <c r="CZ468" i="1"/>
  <c r="CZ460" i="1"/>
  <c r="CZ443" i="1"/>
  <c r="CZ412" i="1"/>
  <c r="CZ386" i="1"/>
  <c r="CZ382" i="1"/>
  <c r="CZ371" i="1"/>
  <c r="CZ367" i="1"/>
  <c r="CZ357" i="1"/>
  <c r="CZ353" i="1"/>
  <c r="CZ338" i="1"/>
  <c r="CZ339" i="1" s="1"/>
  <c r="CZ326" i="1"/>
  <c r="CZ317" i="1"/>
  <c r="CZ310" i="1"/>
  <c r="CZ292" i="1"/>
  <c r="CZ278" i="1"/>
  <c r="CZ272" i="1"/>
  <c r="CZ266" i="1"/>
  <c r="CZ327" i="1" s="1"/>
  <c r="CZ259" i="1"/>
  <c r="CZ255" i="1"/>
  <c r="CZ243" i="1"/>
  <c r="CZ236" i="1"/>
  <c r="CZ232" i="1"/>
  <c r="CZ219" i="1"/>
  <c r="CZ199" i="1"/>
  <c r="CZ195" i="1"/>
  <c r="CZ174" i="1"/>
  <c r="CZ175" i="1"/>
  <c r="CZ155" i="1"/>
  <c r="CZ156" i="1" s="1"/>
  <c r="CZ74" i="1"/>
  <c r="CZ70" i="1"/>
  <c r="CZ9" i="1"/>
  <c r="CZ83" i="1"/>
  <c r="DA1190" i="1"/>
  <c r="DA1188" i="1"/>
  <c r="DA1178" i="1"/>
  <c r="DA1174" i="1"/>
  <c r="DA1164" i="1"/>
  <c r="DA1153" i="1"/>
  <c r="DA1134" i="1"/>
  <c r="DA1120" i="1"/>
  <c r="DA1107" i="1"/>
  <c r="DA1135" i="1" s="1"/>
  <c r="DA1087" i="1"/>
  <c r="DA1067" i="1"/>
  <c r="DA1062" i="1"/>
  <c r="DA1056" i="1"/>
  <c r="DA1051" i="1"/>
  <c r="DA1038" i="1"/>
  <c r="DA1035" i="1"/>
  <c r="DA1032" i="1"/>
  <c r="DA1029" i="1"/>
  <c r="DA1020" i="1"/>
  <c r="DA1015" i="1"/>
  <c r="DA1008" i="1"/>
  <c r="DA978" i="1"/>
  <c r="DA967" i="1"/>
  <c r="DA955" i="1"/>
  <c r="DA951" i="1"/>
  <c r="DA956" i="1" s="1"/>
  <c r="DA957" i="1" s="1"/>
  <c r="DA936" i="1"/>
  <c r="DA924" i="1"/>
  <c r="DA937" i="1" s="1"/>
  <c r="DA914" i="1"/>
  <c r="DA910" i="1"/>
  <c r="DA905" i="1"/>
  <c r="DA901" i="1"/>
  <c r="DA886" i="1"/>
  <c r="DA887" i="1" s="1"/>
  <c r="DA880" i="1"/>
  <c r="DA874" i="1"/>
  <c r="DA863" i="1"/>
  <c r="DA864" i="1" s="1"/>
  <c r="DA853" i="1"/>
  <c r="DA845" i="1"/>
  <c r="DA838" i="1"/>
  <c r="DA834" i="1"/>
  <c r="DA823" i="1"/>
  <c r="DA801" i="1"/>
  <c r="DA824" i="1" s="1"/>
  <c r="DA797" i="1"/>
  <c r="DA788" i="1"/>
  <c r="DA789" i="1" s="1"/>
  <c r="DA776" i="1"/>
  <c r="DA773" i="1"/>
  <c r="DA766" i="1"/>
  <c r="DA757" i="1"/>
  <c r="DA746" i="1"/>
  <c r="DA742" i="1"/>
  <c r="DA727" i="1"/>
  <c r="DA715" i="1"/>
  <c r="DA728" i="1" s="1"/>
  <c r="DA707" i="1"/>
  <c r="DA694" i="1"/>
  <c r="DA687" i="1"/>
  <c r="DA695" i="1" s="1"/>
  <c r="DA673" i="1"/>
  <c r="DA669" i="1"/>
  <c r="DA665" i="1"/>
  <c r="DA659" i="1"/>
  <c r="DA654" i="1"/>
  <c r="DA646" i="1"/>
  <c r="DA640" i="1"/>
  <c r="DA635" i="1"/>
  <c r="DA626" i="1"/>
  <c r="DA617" i="1"/>
  <c r="DA610" i="1"/>
  <c r="DA647" i="1" s="1"/>
  <c r="DA606" i="1"/>
  <c r="DA596" i="1"/>
  <c r="DA563" i="1"/>
  <c r="DA536" i="1"/>
  <c r="DA520" i="1"/>
  <c r="DA511" i="1"/>
  <c r="DA537" i="1" s="1"/>
  <c r="DA497" i="1"/>
  <c r="DA480" i="1"/>
  <c r="DA481" i="1" s="1"/>
  <c r="DA474" i="1"/>
  <c r="DA468" i="1"/>
  <c r="DA460" i="1"/>
  <c r="DA443" i="1"/>
  <c r="DA412" i="1"/>
  <c r="DA475" i="1" s="1"/>
  <c r="DA386" i="1"/>
  <c r="DA382" i="1"/>
  <c r="DA371" i="1"/>
  <c r="DA367" i="1"/>
  <c r="DA357" i="1"/>
  <c r="DA353" i="1"/>
  <c r="DA338" i="1"/>
  <c r="DA339" i="1" s="1"/>
  <c r="DA326" i="1"/>
  <c r="DA317" i="1"/>
  <c r="DA310" i="1"/>
  <c r="DA292" i="1"/>
  <c r="DA278" i="1"/>
  <c r="DA272" i="1"/>
  <c r="DA266" i="1"/>
  <c r="DA259" i="1"/>
  <c r="DA255" i="1"/>
  <c r="DA243" i="1"/>
  <c r="DA236" i="1"/>
  <c r="DA232" i="1"/>
  <c r="DA219" i="1"/>
  <c r="DA199" i="1"/>
  <c r="DA195" i="1"/>
  <c r="DA174" i="1"/>
  <c r="DA175" i="1"/>
  <c r="DA155" i="1"/>
  <c r="DA156" i="1" s="1"/>
  <c r="DA74" i="1"/>
  <c r="DA70" i="1"/>
  <c r="DA9" i="1"/>
  <c r="DA83" i="1"/>
  <c r="DB1190" i="1"/>
  <c r="DB1188" i="1"/>
  <c r="DB1178" i="1"/>
  <c r="DB1174" i="1"/>
  <c r="DB1164" i="1"/>
  <c r="DB1175" i="1" s="1"/>
  <c r="DB1153" i="1"/>
  <c r="DB1134" i="1"/>
  <c r="DB1120" i="1"/>
  <c r="DB1107" i="1"/>
  <c r="DB1087" i="1"/>
  <c r="DB1067" i="1"/>
  <c r="DB1062" i="1"/>
  <c r="DB1056" i="1"/>
  <c r="DB1051" i="1"/>
  <c r="DB1038" i="1"/>
  <c r="DB1035" i="1"/>
  <c r="DB1032" i="1"/>
  <c r="DB1029" i="1"/>
  <c r="DB1020" i="1"/>
  <c r="DB1015" i="1"/>
  <c r="DB1008" i="1"/>
  <c r="DB978" i="1"/>
  <c r="DB967" i="1"/>
  <c r="DB955" i="1"/>
  <c r="DB951" i="1"/>
  <c r="DB936" i="1"/>
  <c r="DB924" i="1"/>
  <c r="DB914" i="1"/>
  <c r="DB910" i="1"/>
  <c r="DB905" i="1"/>
  <c r="DB906" i="1" s="1"/>
  <c r="DB901" i="1"/>
  <c r="DB886" i="1"/>
  <c r="DB880" i="1"/>
  <c r="DB874" i="1"/>
  <c r="DB887" i="1"/>
  <c r="DB863" i="1"/>
  <c r="DB853" i="1"/>
  <c r="DB845" i="1"/>
  <c r="DB838" i="1"/>
  <c r="DB834" i="1"/>
  <c r="DB823" i="1"/>
  <c r="DB801" i="1"/>
  <c r="DB797" i="1"/>
  <c r="DB788" i="1"/>
  <c r="DB789" i="1"/>
  <c r="DB776" i="1"/>
  <c r="DB773" i="1"/>
  <c r="DB766" i="1"/>
  <c r="DB757" i="1"/>
  <c r="DB746" i="1"/>
  <c r="DB742" i="1"/>
  <c r="DB727" i="1"/>
  <c r="DB715" i="1"/>
  <c r="DB728" i="1" s="1"/>
  <c r="DB707" i="1"/>
  <c r="DB694" i="1"/>
  <c r="DB687" i="1"/>
  <c r="DB673" i="1"/>
  <c r="DB669" i="1"/>
  <c r="DB665" i="1"/>
  <c r="DB659" i="1"/>
  <c r="DB654" i="1"/>
  <c r="DB646" i="1"/>
  <c r="DB640" i="1"/>
  <c r="DB635" i="1"/>
  <c r="DB626" i="1"/>
  <c r="DB617" i="1"/>
  <c r="DB610" i="1"/>
  <c r="DB606" i="1"/>
  <c r="DB596" i="1"/>
  <c r="DB563" i="1"/>
  <c r="DB536" i="1"/>
  <c r="DB520" i="1"/>
  <c r="DB511" i="1"/>
  <c r="DB497" i="1"/>
  <c r="DB480" i="1"/>
  <c r="DB481" i="1" s="1"/>
  <c r="DB474" i="1"/>
  <c r="DB468" i="1"/>
  <c r="DB460" i="1"/>
  <c r="DB475" i="1" s="1"/>
  <c r="DB443" i="1"/>
  <c r="DB412" i="1"/>
  <c r="DB386" i="1"/>
  <c r="DB382" i="1"/>
  <c r="DB371" i="1"/>
  <c r="DB367" i="1"/>
  <c r="DB357" i="1"/>
  <c r="DB353" i="1"/>
  <c r="DB338" i="1"/>
  <c r="DB339" i="1"/>
  <c r="DB326" i="1"/>
  <c r="DB317" i="1"/>
  <c r="DB310" i="1"/>
  <c r="DB292" i="1"/>
  <c r="DB278" i="1"/>
  <c r="DB272" i="1"/>
  <c r="DB266" i="1"/>
  <c r="DB259" i="1"/>
  <c r="DB255" i="1"/>
  <c r="DB243" i="1"/>
  <c r="DB236" i="1"/>
  <c r="DB232" i="1"/>
  <c r="DB219" i="1"/>
  <c r="DB199" i="1"/>
  <c r="DB195" i="1"/>
  <c r="DB174" i="1"/>
  <c r="DB175" i="1" s="1"/>
  <c r="DB96" i="1"/>
  <c r="DB120" i="1"/>
  <c r="DD120" i="1" s="1"/>
  <c r="DB130" i="1"/>
  <c r="DB74" i="1"/>
  <c r="DB70" i="1"/>
  <c r="DB9" i="1"/>
  <c r="DB84" i="1" s="1"/>
  <c r="DB83" i="1"/>
  <c r="DC1190" i="1"/>
  <c r="DC1188" i="1"/>
  <c r="DC1178" i="1"/>
  <c r="DC1174" i="1"/>
  <c r="DC1164" i="1"/>
  <c r="DC1153" i="1"/>
  <c r="DC1134" i="1"/>
  <c r="DC1120" i="1"/>
  <c r="DC1107" i="1"/>
  <c r="DC1087" i="1"/>
  <c r="DC1067" i="1"/>
  <c r="DC1062" i="1"/>
  <c r="DC1056" i="1"/>
  <c r="DC1051" i="1"/>
  <c r="DC1038" i="1"/>
  <c r="DC1035" i="1"/>
  <c r="DC1032" i="1"/>
  <c r="DC1029" i="1"/>
  <c r="DC1020" i="1"/>
  <c r="DC1015" i="1"/>
  <c r="DC1008" i="1"/>
  <c r="DC978" i="1"/>
  <c r="DC967" i="1"/>
  <c r="DC955" i="1"/>
  <c r="DC951" i="1"/>
  <c r="DC956" i="1"/>
  <c r="DC936" i="1"/>
  <c r="DC937" i="1" s="1"/>
  <c r="DC924" i="1"/>
  <c r="DC914" i="1"/>
  <c r="DC910" i="1"/>
  <c r="DC905" i="1"/>
  <c r="DC906" i="1" s="1"/>
  <c r="DC901" i="1"/>
  <c r="DC886" i="1"/>
  <c r="DC880" i="1"/>
  <c r="DC874" i="1"/>
  <c r="DC863" i="1"/>
  <c r="DC853" i="1"/>
  <c r="DC845" i="1"/>
  <c r="DC838" i="1"/>
  <c r="DC834" i="1"/>
  <c r="DC823" i="1"/>
  <c r="DC801" i="1"/>
  <c r="DC797" i="1"/>
  <c r="DC788" i="1"/>
  <c r="DC789" i="1" s="1"/>
  <c r="DC776" i="1"/>
  <c r="DC773" i="1"/>
  <c r="DC766" i="1"/>
  <c r="DC757" i="1"/>
  <c r="DC746" i="1"/>
  <c r="DC742" i="1"/>
  <c r="DC727" i="1"/>
  <c r="DC715" i="1"/>
  <c r="DC699" i="1"/>
  <c r="DC707" i="1" s="1"/>
  <c r="DC694" i="1"/>
  <c r="DC687" i="1"/>
  <c r="DC673" i="1"/>
  <c r="DC669" i="1"/>
  <c r="DC665" i="1"/>
  <c r="DC659" i="1"/>
  <c r="DC654" i="1"/>
  <c r="DC646" i="1"/>
  <c r="DC640" i="1"/>
  <c r="DC635" i="1"/>
  <c r="DC626" i="1"/>
  <c r="DC617" i="1"/>
  <c r="DC610" i="1"/>
  <c r="DC606" i="1"/>
  <c r="DC596" i="1"/>
  <c r="DC563" i="1"/>
  <c r="DC536" i="1"/>
  <c r="DC520" i="1"/>
  <c r="DC511" i="1"/>
  <c r="DC497" i="1"/>
  <c r="DC480" i="1"/>
  <c r="DC481" i="1" s="1"/>
  <c r="DC474" i="1"/>
  <c r="DC468" i="1"/>
  <c r="DC460" i="1"/>
  <c r="DC475" i="1" s="1"/>
  <c r="DC443" i="1"/>
  <c r="DC412" i="1"/>
  <c r="DC386" i="1"/>
  <c r="DC382" i="1"/>
  <c r="DC371" i="1"/>
  <c r="DC367" i="1"/>
  <c r="DC357" i="1"/>
  <c r="DC353" i="1"/>
  <c r="DC387" i="1" s="1"/>
  <c r="DC338" i="1"/>
  <c r="DC339" i="1" s="1"/>
  <c r="DC326" i="1"/>
  <c r="DC317" i="1"/>
  <c r="DC310" i="1"/>
  <c r="DC292" i="1"/>
  <c r="DC278" i="1"/>
  <c r="DC272" i="1"/>
  <c r="DC266" i="1"/>
  <c r="DC327" i="1" s="1"/>
  <c r="DC259" i="1"/>
  <c r="DC255" i="1"/>
  <c r="DC243" i="1"/>
  <c r="DC236" i="1"/>
  <c r="DC232" i="1"/>
  <c r="DC219" i="1"/>
  <c r="DC199" i="1"/>
  <c r="DC195" i="1"/>
  <c r="DC174" i="1"/>
  <c r="DC175" i="1" s="1"/>
  <c r="DC155" i="1"/>
  <c r="DC156" i="1"/>
  <c r="DC74" i="1"/>
  <c r="DC70" i="1"/>
  <c r="DC9" i="1"/>
  <c r="DC83" i="1"/>
  <c r="DD1189" i="1"/>
  <c r="DD1179" i="1"/>
  <c r="DD1180" i="1"/>
  <c r="DE1180" i="1" s="1"/>
  <c r="DD1182" i="1"/>
  <c r="DD1183" i="1"/>
  <c r="DE1183" i="1" s="1"/>
  <c r="DD1184" i="1"/>
  <c r="DD1186" i="1"/>
  <c r="DD1187" i="1"/>
  <c r="DD1178" i="1"/>
  <c r="DD1165" i="1"/>
  <c r="DD1166" i="1"/>
  <c r="DD1167" i="1"/>
  <c r="DD1168" i="1"/>
  <c r="DE1168" i="1" s="1"/>
  <c r="DD1169" i="1"/>
  <c r="DE1169" i="1" s="1"/>
  <c r="DD1170" i="1"/>
  <c r="DD1171" i="1"/>
  <c r="DD1172" i="1"/>
  <c r="DD1173" i="1"/>
  <c r="DD1164" i="1"/>
  <c r="DD1136" i="1"/>
  <c r="DE1136" i="1"/>
  <c r="DD1137" i="1"/>
  <c r="DE1137" i="1" s="1"/>
  <c r="DD1138" i="1"/>
  <c r="DE1138" i="1" s="1"/>
  <c r="DD1139" i="1"/>
  <c r="DD1140" i="1"/>
  <c r="DD1141" i="1"/>
  <c r="DE1141" i="1"/>
  <c r="DD1142" i="1"/>
  <c r="DD1143" i="1"/>
  <c r="DD1144" i="1"/>
  <c r="DE1144" i="1" s="1"/>
  <c r="DD1145" i="1"/>
  <c r="DE1145" i="1"/>
  <c r="DD1146" i="1"/>
  <c r="DD1147" i="1"/>
  <c r="DD1148" i="1"/>
  <c r="DE1148" i="1" s="1"/>
  <c r="DD1149" i="1"/>
  <c r="DE1149" i="1" s="1"/>
  <c r="DD1150" i="1"/>
  <c r="DD1151" i="1"/>
  <c r="DD1152" i="1"/>
  <c r="DE1152" i="1"/>
  <c r="DD1124" i="1"/>
  <c r="DD1125" i="1"/>
  <c r="DE1125" i="1" s="1"/>
  <c r="DD1127" i="1"/>
  <c r="DD1128" i="1"/>
  <c r="DE1128" i="1" s="1"/>
  <c r="DD1132" i="1"/>
  <c r="DD1109" i="1"/>
  <c r="DD1110" i="1"/>
  <c r="DD1114" i="1"/>
  <c r="DE1114" i="1" s="1"/>
  <c r="DD1118" i="1"/>
  <c r="DE1118" i="1" s="1"/>
  <c r="DD1088" i="1"/>
  <c r="DD1089" i="1"/>
  <c r="DE1089" i="1" s="1"/>
  <c r="DD1090" i="1"/>
  <c r="DE1090" i="1" s="1"/>
  <c r="DD1091" i="1"/>
  <c r="DD1092" i="1"/>
  <c r="DD1093" i="1"/>
  <c r="DD1094" i="1"/>
  <c r="DE1094" i="1" s="1"/>
  <c r="DD1095" i="1"/>
  <c r="DD1096" i="1"/>
  <c r="DE1096" i="1" s="1"/>
  <c r="DD1097" i="1"/>
  <c r="DD1098" i="1"/>
  <c r="DE1098" i="1" s="1"/>
  <c r="DD1099" i="1"/>
  <c r="DD1100" i="1"/>
  <c r="DE1100" i="1" s="1"/>
  <c r="DD1101" i="1"/>
  <c r="DE1101" i="1" s="1"/>
  <c r="DD1102" i="1"/>
  <c r="DE1102" i="1" s="1"/>
  <c r="DD1103" i="1"/>
  <c r="DE1103" i="1" s="1"/>
  <c r="DD1104" i="1"/>
  <c r="DD1105" i="1"/>
  <c r="DD1106" i="1"/>
  <c r="DE1106" i="1" s="1"/>
  <c r="DD1069" i="1"/>
  <c r="DD1070" i="1"/>
  <c r="DE1070" i="1" s="1"/>
  <c r="DD1071" i="1"/>
  <c r="DD1072" i="1"/>
  <c r="DE1072" i="1"/>
  <c r="DD1073" i="1"/>
  <c r="DD1074" i="1"/>
  <c r="DE1074" i="1" s="1"/>
  <c r="DD1075" i="1"/>
  <c r="DD1076" i="1"/>
  <c r="DE1076" i="1" s="1"/>
  <c r="DD1077" i="1"/>
  <c r="DD1078" i="1"/>
  <c r="DD1079" i="1"/>
  <c r="DD1080" i="1"/>
  <c r="DE1080" i="1" s="1"/>
  <c r="DD1081" i="1"/>
  <c r="DE1081" i="1" s="1"/>
  <c r="DD1082" i="1"/>
  <c r="DE1082" i="1" s="1"/>
  <c r="DD1083" i="1"/>
  <c r="DE1083" i="1" s="1"/>
  <c r="DD1084" i="1"/>
  <c r="DE1084" i="1" s="1"/>
  <c r="DD1085" i="1"/>
  <c r="DD1086" i="1"/>
  <c r="DD1063" i="1"/>
  <c r="DD1065" i="1"/>
  <c r="DD1066" i="1"/>
  <c r="DD1064" i="1"/>
  <c r="DE1064" i="1" s="1"/>
  <c r="DD1057" i="1"/>
  <c r="DE1057" i="1" s="1"/>
  <c r="DD1058" i="1"/>
  <c r="DE1058" i="1" s="1"/>
  <c r="DD1059" i="1"/>
  <c r="DD1060" i="1"/>
  <c r="DD1061" i="1"/>
  <c r="DD1052" i="1"/>
  <c r="DE1052" i="1"/>
  <c r="DD1054" i="1"/>
  <c r="DD1055" i="1"/>
  <c r="DD1053" i="1"/>
  <c r="DE1053" i="1" s="1"/>
  <c r="DD1051" i="1"/>
  <c r="DD1036" i="1"/>
  <c r="DE1036" i="1" s="1"/>
  <c r="DD1037" i="1"/>
  <c r="DD1033" i="1"/>
  <c r="DD1034" i="1"/>
  <c r="DD1030" i="1"/>
  <c r="DD1031" i="1"/>
  <c r="DD1021" i="1"/>
  <c r="DD1022" i="1"/>
  <c r="DD1023" i="1"/>
  <c r="DE1023" i="1" s="1"/>
  <c r="DD1024" i="1"/>
  <c r="DD1025" i="1"/>
  <c r="DE1025" i="1" s="1"/>
  <c r="DD1026" i="1"/>
  <c r="DE1026" i="1" s="1"/>
  <c r="DD1027" i="1"/>
  <c r="DD1028" i="1"/>
  <c r="DE1028" i="1" s="1"/>
  <c r="DD1016" i="1"/>
  <c r="DE1016" i="1" s="1"/>
  <c r="DD1017" i="1"/>
  <c r="DD1018" i="1"/>
  <c r="DE1018" i="1" s="1"/>
  <c r="DD1019" i="1"/>
  <c r="DD1009" i="1"/>
  <c r="DD1010" i="1"/>
  <c r="DE1010" i="1" s="1"/>
  <c r="DD1011" i="1"/>
  <c r="DD1012" i="1"/>
  <c r="DD1013" i="1"/>
  <c r="DE1013" i="1" s="1"/>
  <c r="DD1014" i="1"/>
  <c r="DD984" i="1"/>
  <c r="DE984" i="1" s="1"/>
  <c r="DD985" i="1"/>
  <c r="DD986" i="1"/>
  <c r="DE986" i="1" s="1"/>
  <c r="DD987" i="1"/>
  <c r="DE987" i="1" s="1"/>
  <c r="DD988" i="1"/>
  <c r="DE988" i="1" s="1"/>
  <c r="DD989" i="1"/>
  <c r="DE989" i="1" s="1"/>
  <c r="DD992" i="1"/>
  <c r="DD993" i="1"/>
  <c r="DD994" i="1"/>
  <c r="DE994" i="1" s="1"/>
  <c r="DD996" i="1"/>
  <c r="DD997" i="1"/>
  <c r="DE997" i="1" s="1"/>
  <c r="DD998" i="1"/>
  <c r="DD1000" i="1"/>
  <c r="DE1000" i="1" s="1"/>
  <c r="DD1001" i="1"/>
  <c r="DE1001" i="1" s="1"/>
  <c r="DD1002" i="1"/>
  <c r="DD1004" i="1"/>
  <c r="DD1005" i="1"/>
  <c r="DE1005" i="1" s="1"/>
  <c r="DD1006" i="1"/>
  <c r="DD990" i="1"/>
  <c r="DE990" i="1" s="1"/>
  <c r="DD978" i="1"/>
  <c r="DD967" i="1"/>
  <c r="DD955" i="1"/>
  <c r="DD938" i="1"/>
  <c r="DD939" i="1"/>
  <c r="DD941" i="1"/>
  <c r="DD942" i="1"/>
  <c r="DE942" i="1" s="1"/>
  <c r="DD943" i="1"/>
  <c r="DE943" i="1" s="1"/>
  <c r="DD945" i="1"/>
  <c r="DE945" i="1" s="1"/>
  <c r="DD946" i="1"/>
  <c r="DE946" i="1" s="1"/>
  <c r="DD947" i="1"/>
  <c r="DE947" i="1" s="1"/>
  <c r="DD949" i="1"/>
  <c r="DD950" i="1"/>
  <c r="DE941" i="1"/>
  <c r="DE949" i="1"/>
  <c r="DD925" i="1"/>
  <c r="DD926" i="1"/>
  <c r="DD927" i="1"/>
  <c r="DE927" i="1" s="1"/>
  <c r="DD928" i="1"/>
  <c r="DD929" i="1"/>
  <c r="DE929" i="1" s="1"/>
  <c r="DD930" i="1"/>
  <c r="DD931" i="1"/>
  <c r="DD932" i="1"/>
  <c r="DE932" i="1" s="1"/>
  <c r="DD933" i="1"/>
  <c r="DD917" i="1"/>
  <c r="DE917" i="1" s="1"/>
  <c r="DD918" i="1"/>
  <c r="DD921" i="1"/>
  <c r="DD922" i="1"/>
  <c r="DD911" i="1"/>
  <c r="DD912" i="1"/>
  <c r="DE912" i="1" s="1"/>
  <c r="DD913" i="1"/>
  <c r="DE913" i="1" s="1"/>
  <c r="DD905" i="1"/>
  <c r="DD893" i="1"/>
  <c r="DE893" i="1" s="1"/>
  <c r="DD894" i="1"/>
  <c r="DD895" i="1"/>
  <c r="DD896" i="1"/>
  <c r="DE896" i="1" s="1"/>
  <c r="DD897" i="1"/>
  <c r="DE897" i="1" s="1"/>
  <c r="DD898" i="1"/>
  <c r="DE898" i="1" s="1"/>
  <c r="DD899" i="1"/>
  <c r="DE899" i="1" s="1"/>
  <c r="DD900" i="1"/>
  <c r="DE900" i="1" s="1"/>
  <c r="DD881" i="1"/>
  <c r="DE881" i="1" s="1"/>
  <c r="DE886" i="1" s="1"/>
  <c r="DD882" i="1"/>
  <c r="DD883" i="1"/>
  <c r="DD884" i="1"/>
  <c r="DD885" i="1"/>
  <c r="DE885" i="1"/>
  <c r="DD875" i="1"/>
  <c r="DE875" i="1" s="1"/>
  <c r="DD876" i="1"/>
  <c r="DD877" i="1"/>
  <c r="DE877" i="1" s="1"/>
  <c r="DD878" i="1"/>
  <c r="DE878" i="1" s="1"/>
  <c r="DD879" i="1"/>
  <c r="DD866" i="1"/>
  <c r="DD867" i="1"/>
  <c r="DD868" i="1"/>
  <c r="DD869" i="1"/>
  <c r="DE869" i="1" s="1"/>
  <c r="DD870" i="1"/>
  <c r="DD871" i="1"/>
  <c r="DD872" i="1"/>
  <c r="DE872" i="1" s="1"/>
  <c r="DD873" i="1"/>
  <c r="DD854" i="1"/>
  <c r="DD855" i="1"/>
  <c r="DD856" i="1"/>
  <c r="DE856" i="1" s="1"/>
  <c r="DD857" i="1"/>
  <c r="DE857" i="1" s="1"/>
  <c r="DD859" i="1"/>
  <c r="DD860" i="1"/>
  <c r="DE860" i="1" s="1"/>
  <c r="DD861" i="1"/>
  <c r="DD846" i="1"/>
  <c r="DD847" i="1"/>
  <c r="DD848" i="1"/>
  <c r="DD849" i="1"/>
  <c r="DE849" i="1" s="1"/>
  <c r="DD850" i="1"/>
  <c r="DE850" i="1" s="1"/>
  <c r="DD851" i="1"/>
  <c r="DD852" i="1"/>
  <c r="DE852" i="1" s="1"/>
  <c r="DD845" i="1"/>
  <c r="DD838" i="1"/>
  <c r="DD834" i="1"/>
  <c r="DD798" i="1"/>
  <c r="DD799" i="1"/>
  <c r="DD800" i="1"/>
  <c r="DE800" i="1" s="1"/>
  <c r="DD797" i="1"/>
  <c r="DD778" i="1"/>
  <c r="DD779" i="1"/>
  <c r="DD780" i="1"/>
  <c r="DE780" i="1"/>
  <c r="DD781" i="1"/>
  <c r="DE781" i="1"/>
  <c r="DD782" i="1"/>
  <c r="DE782" i="1" s="1"/>
  <c r="DD783" i="1"/>
  <c r="DE783" i="1" s="1"/>
  <c r="DD784" i="1"/>
  <c r="DE784" i="1" s="1"/>
  <c r="DD785" i="1"/>
  <c r="DE785" i="1"/>
  <c r="DD786" i="1"/>
  <c r="DD787" i="1"/>
  <c r="DD774" i="1"/>
  <c r="DD775" i="1"/>
  <c r="DD776" i="1" s="1"/>
  <c r="DD767" i="1"/>
  <c r="DD768" i="1"/>
  <c r="DD769" i="1"/>
  <c r="DD770" i="1"/>
  <c r="DE770" i="1" s="1"/>
  <c r="DD771" i="1"/>
  <c r="DD772" i="1"/>
  <c r="DD773" i="1" s="1"/>
  <c r="DD758" i="1"/>
  <c r="DD759" i="1"/>
  <c r="DE759" i="1" s="1"/>
  <c r="DD760" i="1"/>
  <c r="DD761" i="1"/>
  <c r="DD762" i="1"/>
  <c r="DD763" i="1"/>
  <c r="DD764" i="1"/>
  <c r="DD765" i="1"/>
  <c r="DD747" i="1"/>
  <c r="DD748" i="1"/>
  <c r="DE748" i="1" s="1"/>
  <c r="DD749" i="1"/>
  <c r="DD750" i="1"/>
  <c r="DD751" i="1"/>
  <c r="DD752" i="1"/>
  <c r="DD753" i="1"/>
  <c r="DD754" i="1"/>
  <c r="DE754" i="1" s="1"/>
  <c r="DD755" i="1"/>
  <c r="DD756" i="1"/>
  <c r="DE756" i="1" s="1"/>
  <c r="DD743" i="1"/>
  <c r="DD744" i="1"/>
  <c r="DD745" i="1"/>
  <c r="DD729" i="1"/>
  <c r="DD730" i="1"/>
  <c r="DD731" i="1"/>
  <c r="DD732" i="1"/>
  <c r="DD733" i="1"/>
  <c r="DE733" i="1" s="1"/>
  <c r="DD734" i="1"/>
  <c r="DD735" i="1"/>
  <c r="DD736" i="1"/>
  <c r="DD737" i="1"/>
  <c r="DD738" i="1"/>
  <c r="DD739" i="1"/>
  <c r="DE739" i="1" s="1"/>
  <c r="DD740" i="1"/>
  <c r="DD741" i="1"/>
  <c r="DE741" i="1" s="1"/>
  <c r="DD716" i="1"/>
  <c r="DD717" i="1"/>
  <c r="DD718" i="1"/>
  <c r="DD719" i="1"/>
  <c r="DD720" i="1"/>
  <c r="DD721" i="1"/>
  <c r="DD722" i="1"/>
  <c r="DD723" i="1"/>
  <c r="DD724" i="1"/>
  <c r="DD725" i="1"/>
  <c r="DD726" i="1"/>
  <c r="DD708" i="1"/>
  <c r="DD709" i="1"/>
  <c r="DD710" i="1"/>
  <c r="DD711" i="1"/>
  <c r="DD712" i="1"/>
  <c r="DD713" i="1"/>
  <c r="DD714" i="1"/>
  <c r="DD697" i="1"/>
  <c r="DD698" i="1"/>
  <c r="DD699" i="1"/>
  <c r="DD700" i="1"/>
  <c r="DD701" i="1"/>
  <c r="DD702" i="1"/>
  <c r="DE702" i="1" s="1"/>
  <c r="DD703" i="1"/>
  <c r="DD704" i="1"/>
  <c r="DD705" i="1"/>
  <c r="DD706" i="1"/>
  <c r="DD688" i="1"/>
  <c r="DD689" i="1"/>
  <c r="DD690" i="1"/>
  <c r="DD691" i="1"/>
  <c r="DE691" i="1" s="1"/>
  <c r="DD692" i="1"/>
  <c r="DD693" i="1"/>
  <c r="DD675" i="1"/>
  <c r="DD677" i="1"/>
  <c r="DD678" i="1"/>
  <c r="DD679" i="1"/>
  <c r="DD681" i="1"/>
  <c r="DD682" i="1"/>
  <c r="DE682" i="1" s="1"/>
  <c r="DD683" i="1"/>
  <c r="DD685" i="1"/>
  <c r="DD686" i="1"/>
  <c r="DD670" i="1"/>
  <c r="DD672" i="1"/>
  <c r="DD673" i="1" s="1"/>
  <c r="DD666" i="1"/>
  <c r="DD667" i="1"/>
  <c r="DE667" i="1"/>
  <c r="DD660" i="1"/>
  <c r="DD661" i="1"/>
  <c r="DE661" i="1" s="1"/>
  <c r="DD662" i="1"/>
  <c r="DE662" i="1" s="1"/>
  <c r="DD663" i="1"/>
  <c r="DD664" i="1"/>
  <c r="DD655" i="1"/>
  <c r="DD659" i="1" s="1"/>
  <c r="DD656" i="1"/>
  <c r="DD657" i="1"/>
  <c r="DD658" i="1"/>
  <c r="DD648" i="1"/>
  <c r="DE648" i="1" s="1"/>
  <c r="DD649" i="1"/>
  <c r="DD651" i="1"/>
  <c r="DD652" i="1"/>
  <c r="DD653" i="1"/>
  <c r="DE653" i="1" s="1"/>
  <c r="DD641" i="1"/>
  <c r="DD642" i="1"/>
  <c r="DD643" i="1"/>
  <c r="DD644" i="1"/>
  <c r="DE644" i="1" s="1"/>
  <c r="DD645" i="1"/>
  <c r="DE645" i="1" s="1"/>
  <c r="DD636" i="1"/>
  <c r="DD637" i="1"/>
  <c r="DE637" i="1"/>
  <c r="DE640" i="1" s="1"/>
  <c r="DD638" i="1"/>
  <c r="DD639" i="1"/>
  <c r="DD627" i="1"/>
  <c r="DD628" i="1"/>
  <c r="DE628" i="1" s="1"/>
  <c r="DD629" i="1"/>
  <c r="DE629" i="1" s="1"/>
  <c r="DD630" i="1"/>
  <c r="DD631" i="1"/>
  <c r="DD632" i="1"/>
  <c r="DE632" i="1" s="1"/>
  <c r="DD633" i="1"/>
  <c r="DE633" i="1" s="1"/>
  <c r="DE635" i="1" s="1"/>
  <c r="DD634" i="1"/>
  <c r="DD618" i="1"/>
  <c r="DD619" i="1"/>
  <c r="DD620" i="1"/>
  <c r="DE620" i="1" s="1"/>
  <c r="DD621" i="1"/>
  <c r="DD622" i="1"/>
  <c r="DD623" i="1"/>
  <c r="DE623" i="1" s="1"/>
  <c r="DD624" i="1"/>
  <c r="DE624" i="1" s="1"/>
  <c r="DD625" i="1"/>
  <c r="DE625" i="1" s="1"/>
  <c r="DD611" i="1"/>
  <c r="DD612" i="1"/>
  <c r="DE612" i="1" s="1"/>
  <c r="DD614" i="1"/>
  <c r="DD615" i="1"/>
  <c r="DD616" i="1"/>
  <c r="DE616" i="1" s="1"/>
  <c r="DD608" i="1"/>
  <c r="DD609" i="1"/>
  <c r="DD597" i="1"/>
  <c r="DD598" i="1"/>
  <c r="DE598" i="1" s="1"/>
  <c r="DD600" i="1"/>
  <c r="DD601" i="1"/>
  <c r="DD602" i="1"/>
  <c r="DE602" i="1"/>
  <c r="DD604" i="1"/>
  <c r="DD605" i="1"/>
  <c r="DE605" i="1" s="1"/>
  <c r="DD564" i="1"/>
  <c r="DE564" i="1" s="1"/>
  <c r="DD565" i="1"/>
  <c r="DD566" i="1"/>
  <c r="DD568" i="1"/>
  <c r="DE568" i="1"/>
  <c r="DD570" i="1"/>
  <c r="DD572" i="1"/>
  <c r="DE572" i="1" s="1"/>
  <c r="DD574" i="1"/>
  <c r="DE574" i="1" s="1"/>
  <c r="DD576" i="1"/>
  <c r="DE576" i="1" s="1"/>
  <c r="DD578" i="1"/>
  <c r="DD580" i="1"/>
  <c r="DD582" i="1"/>
  <c r="DD584" i="1"/>
  <c r="DE584" i="1"/>
  <c r="DD586" i="1"/>
  <c r="DE586" i="1" s="1"/>
  <c r="DD588" i="1"/>
  <c r="DE588" i="1" s="1"/>
  <c r="DD590" i="1"/>
  <c r="DD592" i="1"/>
  <c r="DD594" i="1"/>
  <c r="DE594" i="1" s="1"/>
  <c r="DD539" i="1"/>
  <c r="DE539" i="1" s="1"/>
  <c r="DD540" i="1"/>
  <c r="DD541" i="1"/>
  <c r="DD542" i="1"/>
  <c r="DE542" i="1" s="1"/>
  <c r="DD543" i="1"/>
  <c r="DE543" i="1" s="1"/>
  <c r="DD544" i="1"/>
  <c r="DD545" i="1"/>
  <c r="DE545" i="1" s="1"/>
  <c r="DD546" i="1"/>
  <c r="DD547" i="1"/>
  <c r="DD548" i="1"/>
  <c r="DD549" i="1"/>
  <c r="DD551" i="1"/>
  <c r="DE551" i="1" s="1"/>
  <c r="DD552" i="1"/>
  <c r="DD553" i="1"/>
  <c r="DD555" i="1"/>
  <c r="DE555" i="1" s="1"/>
  <c r="DD556" i="1"/>
  <c r="DD557" i="1"/>
  <c r="DD558" i="1"/>
  <c r="DD559" i="1"/>
  <c r="DE559" i="1"/>
  <c r="DD560" i="1"/>
  <c r="DD561" i="1"/>
  <c r="DD562" i="1"/>
  <c r="DD521" i="1"/>
  <c r="DD523" i="1"/>
  <c r="DD524" i="1"/>
  <c r="DE524" i="1" s="1"/>
  <c r="DD525" i="1"/>
  <c r="DE525" i="1" s="1"/>
  <c r="DD527" i="1"/>
  <c r="DE527" i="1" s="1"/>
  <c r="DD528" i="1"/>
  <c r="DD529" i="1"/>
  <c r="DD531" i="1"/>
  <c r="DD532" i="1"/>
  <c r="DD533" i="1"/>
  <c r="DD535" i="1"/>
  <c r="DE535" i="1" s="1"/>
  <c r="DD512" i="1"/>
  <c r="DE512" i="1" s="1"/>
  <c r="DD513" i="1"/>
  <c r="DE513" i="1" s="1"/>
  <c r="DD515" i="1"/>
  <c r="DD516" i="1"/>
  <c r="DD517" i="1"/>
  <c r="DE517" i="1" s="1"/>
  <c r="DD519" i="1"/>
  <c r="DD498" i="1"/>
  <c r="DD499" i="1"/>
  <c r="DE499" i="1" s="1"/>
  <c r="DD501" i="1"/>
  <c r="DD502" i="1"/>
  <c r="DD503" i="1"/>
  <c r="DE503" i="1" s="1"/>
  <c r="DD504" i="1"/>
  <c r="DD505" i="1"/>
  <c r="DE505" i="1" s="1"/>
  <c r="DE511" i="1" s="1"/>
  <c r="DD506" i="1"/>
  <c r="DD507" i="1"/>
  <c r="DE507" i="1"/>
  <c r="DD508" i="1"/>
  <c r="DD509" i="1"/>
  <c r="DE509" i="1" s="1"/>
  <c r="DD510" i="1"/>
  <c r="DD482" i="1"/>
  <c r="DD483" i="1"/>
  <c r="DD484" i="1"/>
  <c r="DD485" i="1"/>
  <c r="DE485" i="1" s="1"/>
  <c r="DD486" i="1"/>
  <c r="DE486" i="1" s="1"/>
  <c r="DD488" i="1"/>
  <c r="DD489" i="1"/>
  <c r="DE489" i="1" s="1"/>
  <c r="DD490" i="1"/>
  <c r="DD492" i="1"/>
  <c r="DD493" i="1"/>
  <c r="DE493" i="1" s="1"/>
  <c r="DD494" i="1"/>
  <c r="DD495" i="1"/>
  <c r="DD496" i="1"/>
  <c r="DD480" i="1"/>
  <c r="DD481" i="1" s="1"/>
  <c r="DD469" i="1"/>
  <c r="DD471" i="1"/>
  <c r="DE471" i="1" s="1"/>
  <c r="DD472" i="1"/>
  <c r="DD473" i="1"/>
  <c r="DD461" i="1"/>
  <c r="DD462" i="1"/>
  <c r="DD463" i="1"/>
  <c r="DE463" i="1" s="1"/>
  <c r="DD464" i="1"/>
  <c r="DD466" i="1"/>
  <c r="DD467" i="1"/>
  <c r="DD444" i="1"/>
  <c r="DD445" i="1"/>
  <c r="DD446" i="1"/>
  <c r="DE446" i="1" s="1"/>
  <c r="DD447" i="1"/>
  <c r="DD448" i="1"/>
  <c r="DE448" i="1" s="1"/>
  <c r="DD449" i="1"/>
  <c r="DD450" i="1"/>
  <c r="DD451" i="1"/>
  <c r="DD452" i="1"/>
  <c r="DD453" i="1"/>
  <c r="DD454" i="1"/>
  <c r="DE454" i="1" s="1"/>
  <c r="DD455" i="1"/>
  <c r="DD456" i="1"/>
  <c r="DE456" i="1" s="1"/>
  <c r="DD457" i="1"/>
  <c r="DD458" i="1"/>
  <c r="DD459" i="1"/>
  <c r="DD388" i="1"/>
  <c r="DD389" i="1"/>
  <c r="DD390" i="1"/>
  <c r="DE390" i="1" s="1"/>
  <c r="DD391" i="1"/>
  <c r="DD393" i="1"/>
  <c r="DE393" i="1" s="1"/>
  <c r="DD394" i="1"/>
  <c r="DD395" i="1"/>
  <c r="DD397" i="1"/>
  <c r="DE397" i="1" s="1"/>
  <c r="DD398" i="1"/>
  <c r="DE398" i="1" s="1"/>
  <c r="DD399" i="1"/>
  <c r="DD400" i="1"/>
  <c r="DD401" i="1"/>
  <c r="DE401" i="1" s="1"/>
  <c r="DD402" i="1"/>
  <c r="DD403" i="1"/>
  <c r="DD404" i="1"/>
  <c r="DD405" i="1"/>
  <c r="DE405" i="1"/>
  <c r="DD406" i="1"/>
  <c r="DE406" i="1" s="1"/>
  <c r="DD407" i="1"/>
  <c r="DD409" i="1"/>
  <c r="DE409" i="1" s="1"/>
  <c r="DD410" i="1"/>
  <c r="DD411" i="1"/>
  <c r="DE411" i="1" s="1"/>
  <c r="DD383" i="1"/>
  <c r="DD384" i="1"/>
  <c r="DD385" i="1"/>
  <c r="DD372" i="1"/>
  <c r="DD373" i="1"/>
  <c r="DD374" i="1"/>
  <c r="DD375" i="1"/>
  <c r="DD376" i="1"/>
  <c r="DD378" i="1"/>
  <c r="DD379" i="1"/>
  <c r="DD380" i="1"/>
  <c r="DD368" i="1"/>
  <c r="DD369" i="1"/>
  <c r="DD370" i="1"/>
  <c r="DD359" i="1"/>
  <c r="DD360" i="1"/>
  <c r="DD361" i="1"/>
  <c r="DD363" i="1"/>
  <c r="DD364" i="1"/>
  <c r="DE364" i="1" s="1"/>
  <c r="DD365" i="1"/>
  <c r="DE365" i="1" s="1"/>
  <c r="DD354" i="1"/>
  <c r="DD357" i="1" s="1"/>
  <c r="DD355" i="1"/>
  <c r="DD356" i="1"/>
  <c r="DE356" i="1" s="1"/>
  <c r="DD340" i="1"/>
  <c r="DD341" i="1"/>
  <c r="DD342" i="1"/>
  <c r="DD343" i="1"/>
  <c r="DE343" i="1" s="1"/>
  <c r="DD345" i="1"/>
  <c r="DD346" i="1"/>
  <c r="DD347" i="1"/>
  <c r="DD349" i="1"/>
  <c r="DD350" i="1"/>
  <c r="DD351" i="1"/>
  <c r="DD328" i="1"/>
  <c r="DD329" i="1"/>
  <c r="DE329" i="1" s="1"/>
  <c r="DD330" i="1"/>
  <c r="DD332" i="1"/>
  <c r="DD333" i="1"/>
  <c r="DD334" i="1"/>
  <c r="DD336" i="1"/>
  <c r="DD337" i="1"/>
  <c r="DD318" i="1"/>
  <c r="DE318" i="1"/>
  <c r="DD319" i="1"/>
  <c r="DD320" i="1"/>
  <c r="DD321" i="1"/>
  <c r="DE321" i="1" s="1"/>
  <c r="DD322" i="1"/>
  <c r="DE322" i="1" s="1"/>
  <c r="DD323" i="1"/>
  <c r="DD324" i="1"/>
  <c r="DD325" i="1"/>
  <c r="DD311" i="1"/>
  <c r="DE311" i="1" s="1"/>
  <c r="DD312" i="1"/>
  <c r="DD313" i="1"/>
  <c r="DD314" i="1"/>
  <c r="DD315" i="1"/>
  <c r="DD293" i="1"/>
  <c r="DD294" i="1"/>
  <c r="DD295" i="1"/>
  <c r="DE295" i="1" s="1"/>
  <c r="DD297" i="1"/>
  <c r="DE297" i="1" s="1"/>
  <c r="DD298" i="1"/>
  <c r="DD299" i="1"/>
  <c r="DD300" i="1"/>
  <c r="DD301" i="1"/>
  <c r="DE301" i="1"/>
  <c r="DD302" i="1"/>
  <c r="DD303" i="1"/>
  <c r="DD304" i="1"/>
  <c r="DD305" i="1"/>
  <c r="DD306" i="1"/>
  <c r="DD307" i="1"/>
  <c r="DE307" i="1" s="1"/>
  <c r="DD309" i="1"/>
  <c r="DE309" i="1" s="1"/>
  <c r="DD279" i="1"/>
  <c r="DD280" i="1"/>
  <c r="DE280" i="1" s="1"/>
  <c r="DD281" i="1"/>
  <c r="DE281" i="1" s="1"/>
  <c r="DE279" i="1"/>
  <c r="DD282" i="1"/>
  <c r="DE282" i="1" s="1"/>
  <c r="DD283" i="1"/>
  <c r="DE283" i="1" s="1"/>
  <c r="DD284" i="1"/>
  <c r="DE284" i="1" s="1"/>
  <c r="DD285" i="1"/>
  <c r="DE285" i="1" s="1"/>
  <c r="DD286" i="1"/>
  <c r="DE286" i="1" s="1"/>
  <c r="DD287" i="1"/>
  <c r="DE287" i="1" s="1"/>
  <c r="DD288" i="1"/>
  <c r="DE288" i="1" s="1"/>
  <c r="DD289" i="1"/>
  <c r="DE289" i="1" s="1"/>
  <c r="DD290" i="1"/>
  <c r="DE290" i="1" s="1"/>
  <c r="DD291" i="1"/>
  <c r="DE291" i="1" s="1"/>
  <c r="DD273" i="1"/>
  <c r="DE273" i="1"/>
  <c r="DD274" i="1"/>
  <c r="DE274" i="1"/>
  <c r="DD275" i="1"/>
  <c r="DD276" i="1"/>
  <c r="DD277" i="1"/>
  <c r="DE277" i="1"/>
  <c r="DD267" i="1"/>
  <c r="DE267" i="1"/>
  <c r="DE272" i="1" s="1"/>
  <c r="DD268" i="1"/>
  <c r="DE268" i="1" s="1"/>
  <c r="DD269" i="1"/>
  <c r="DE269" i="1" s="1"/>
  <c r="DD270" i="1"/>
  <c r="DE270" i="1"/>
  <c r="DD271" i="1"/>
  <c r="DE271" i="1"/>
  <c r="DD260" i="1"/>
  <c r="DE260" i="1" s="1"/>
  <c r="DD261" i="1"/>
  <c r="DD262" i="1"/>
  <c r="DE262" i="1" s="1"/>
  <c r="DD263" i="1"/>
  <c r="DE263" i="1" s="1"/>
  <c r="DD264" i="1"/>
  <c r="DD265" i="1"/>
  <c r="DD256" i="1"/>
  <c r="DD257" i="1"/>
  <c r="DE257" i="1"/>
  <c r="DD258" i="1"/>
  <c r="DD244" i="1"/>
  <c r="DD245" i="1"/>
  <c r="DD246" i="1"/>
  <c r="DE246" i="1" s="1"/>
  <c r="DD247" i="1"/>
  <c r="DD248" i="1"/>
  <c r="DE248" i="1" s="1"/>
  <c r="DD249" i="1"/>
  <c r="DE249" i="1"/>
  <c r="DD250" i="1"/>
  <c r="DD251" i="1"/>
  <c r="DD252" i="1"/>
  <c r="DD253" i="1"/>
  <c r="DE253" i="1" s="1"/>
  <c r="DD254" i="1"/>
  <c r="DE254" i="1" s="1"/>
  <c r="DD238" i="1"/>
  <c r="DD239" i="1"/>
  <c r="DD240" i="1"/>
  <c r="DD241" i="1"/>
  <c r="DD242" i="1"/>
  <c r="DD233" i="1"/>
  <c r="DD234" i="1"/>
  <c r="DD235" i="1"/>
  <c r="DE235" i="1" s="1"/>
  <c r="DD220" i="1"/>
  <c r="DD221" i="1"/>
  <c r="DD222" i="1"/>
  <c r="DD223" i="1"/>
  <c r="DD224" i="1"/>
  <c r="DD225" i="1"/>
  <c r="DE225" i="1" s="1"/>
  <c r="DD226" i="1"/>
  <c r="DD227" i="1"/>
  <c r="DE227" i="1" s="1"/>
  <c r="DD228" i="1"/>
  <c r="DD229" i="1"/>
  <c r="DD230" i="1"/>
  <c r="DD231" i="1"/>
  <c r="DD200" i="1"/>
  <c r="DD201" i="1"/>
  <c r="DE201" i="1" s="1"/>
  <c r="DD202" i="1"/>
  <c r="DE202" i="1" s="1"/>
  <c r="DD203" i="1"/>
  <c r="DE203" i="1" s="1"/>
  <c r="DD204" i="1"/>
  <c r="DE204" i="1" s="1"/>
  <c r="DD205" i="1"/>
  <c r="DD206" i="1"/>
  <c r="DE206" i="1" s="1"/>
  <c r="DD207" i="1"/>
  <c r="DE207" i="1" s="1"/>
  <c r="DD208" i="1"/>
  <c r="DD209" i="1"/>
  <c r="DD210" i="1"/>
  <c r="DD211" i="1"/>
  <c r="DE211" i="1" s="1"/>
  <c r="DD212" i="1"/>
  <c r="DD213" i="1"/>
  <c r="DD214" i="1"/>
  <c r="DD215" i="1"/>
  <c r="DD216" i="1"/>
  <c r="DE216" i="1" s="1"/>
  <c r="DD217" i="1"/>
  <c r="DE217" i="1"/>
  <c r="DD218" i="1"/>
  <c r="DE218" i="1" s="1"/>
  <c r="DD196" i="1"/>
  <c r="DD197" i="1"/>
  <c r="DD199" i="1" s="1"/>
  <c r="DD198" i="1"/>
  <c r="DD176" i="1"/>
  <c r="DE176" i="1"/>
  <c r="DD177" i="1"/>
  <c r="DE177" i="1"/>
  <c r="DD178" i="1"/>
  <c r="DD180" i="1"/>
  <c r="DD181" i="1"/>
  <c r="DD182" i="1"/>
  <c r="DD183" i="1"/>
  <c r="DE183" i="1" s="1"/>
  <c r="DD185" i="1"/>
  <c r="DD186" i="1"/>
  <c r="DD187" i="1"/>
  <c r="DE187" i="1" s="1"/>
  <c r="DD188" i="1"/>
  <c r="DD189" i="1"/>
  <c r="DD190" i="1"/>
  <c r="DD191" i="1"/>
  <c r="DE191" i="1"/>
  <c r="DD192" i="1"/>
  <c r="DE192" i="1" s="1"/>
  <c r="DD193" i="1"/>
  <c r="DE193" i="1" s="1"/>
  <c r="DD194" i="1"/>
  <c r="DE194" i="1" s="1"/>
  <c r="DD179" i="1"/>
  <c r="DE179" i="1" s="1"/>
  <c r="DD184" i="1"/>
  <c r="DD171" i="1"/>
  <c r="DD172" i="1"/>
  <c r="DD173" i="1"/>
  <c r="DE173" i="1" s="1"/>
  <c r="DE172" i="1"/>
  <c r="DD85" i="1"/>
  <c r="DE85" i="1" s="1"/>
  <c r="DD86" i="1"/>
  <c r="DE86" i="1"/>
  <c r="DD87" i="1"/>
  <c r="DE87" i="1" s="1"/>
  <c r="DD88" i="1"/>
  <c r="DD89" i="1"/>
  <c r="DD90" i="1"/>
  <c r="DE90" i="1" s="1"/>
  <c r="DD91" i="1"/>
  <c r="DD92" i="1"/>
  <c r="DD93" i="1"/>
  <c r="DD94" i="1"/>
  <c r="DE94" i="1" s="1"/>
  <c r="DD95" i="1"/>
  <c r="DE95" i="1"/>
  <c r="DD97" i="1"/>
  <c r="DD98" i="1"/>
  <c r="DE98" i="1" s="1"/>
  <c r="DD99" i="1"/>
  <c r="DE99" i="1"/>
  <c r="DD100" i="1"/>
  <c r="DD101" i="1"/>
  <c r="DD102" i="1"/>
  <c r="DE102" i="1"/>
  <c r="DD103" i="1"/>
  <c r="DE103" i="1" s="1"/>
  <c r="DD104" i="1"/>
  <c r="DD105" i="1"/>
  <c r="DD106" i="1"/>
  <c r="DE106" i="1" s="1"/>
  <c r="DD107" i="1"/>
  <c r="DD108" i="1"/>
  <c r="DD109" i="1"/>
  <c r="DD110" i="1"/>
  <c r="DE110" i="1"/>
  <c r="DD111" i="1"/>
  <c r="DE111" i="1"/>
  <c r="DD112" i="1"/>
  <c r="DD113" i="1"/>
  <c r="DD114" i="1"/>
  <c r="DE114" i="1" s="1"/>
  <c r="DD115" i="1"/>
  <c r="DE115" i="1" s="1"/>
  <c r="DD116" i="1"/>
  <c r="DD117" i="1"/>
  <c r="DE117" i="1" s="1"/>
  <c r="DD118" i="1"/>
  <c r="DE118" i="1" s="1"/>
  <c r="DD119" i="1"/>
  <c r="DE119" i="1" s="1"/>
  <c r="DD121" i="1"/>
  <c r="DD122" i="1"/>
  <c r="DE122" i="1" s="1"/>
  <c r="DD123" i="1"/>
  <c r="DE123" i="1" s="1"/>
  <c r="DD124" i="1"/>
  <c r="DD125" i="1"/>
  <c r="DD126" i="1"/>
  <c r="DE126" i="1" s="1"/>
  <c r="DD127" i="1"/>
  <c r="DE127" i="1"/>
  <c r="DD129" i="1"/>
  <c r="DD131" i="1"/>
  <c r="DE131" i="1" s="1"/>
  <c r="DD132" i="1"/>
  <c r="DE132" i="1"/>
  <c r="DD133" i="1"/>
  <c r="DD134" i="1"/>
  <c r="DD135" i="1"/>
  <c r="DE135" i="1" s="1"/>
  <c r="DD136" i="1"/>
  <c r="DE136" i="1" s="1"/>
  <c r="DD137" i="1"/>
  <c r="DD138" i="1"/>
  <c r="DE138" i="1" s="1"/>
  <c r="DD139" i="1"/>
  <c r="DD140" i="1"/>
  <c r="DE140" i="1" s="1"/>
  <c r="DD141" i="1"/>
  <c r="DD142" i="1"/>
  <c r="DD143" i="1"/>
  <c r="DD144" i="1"/>
  <c r="DE144" i="1"/>
  <c r="DD145" i="1"/>
  <c r="DE145" i="1" s="1"/>
  <c r="DD146" i="1"/>
  <c r="DE146" i="1" s="1"/>
  <c r="DD147" i="1"/>
  <c r="DE147" i="1" s="1"/>
  <c r="DD148" i="1"/>
  <c r="DD149" i="1"/>
  <c r="DD150" i="1"/>
  <c r="DE150" i="1" s="1"/>
  <c r="DD151" i="1"/>
  <c r="DE151" i="1"/>
  <c r="DD152" i="1"/>
  <c r="DE152" i="1" s="1"/>
  <c r="DD153" i="1"/>
  <c r="DD154" i="1"/>
  <c r="DD71" i="1"/>
  <c r="DD72" i="1"/>
  <c r="DD73" i="1"/>
  <c r="DE73" i="1" s="1"/>
  <c r="DD62" i="1"/>
  <c r="DD63" i="1"/>
  <c r="DD64" i="1"/>
  <c r="DD65" i="1"/>
  <c r="DD69" i="1"/>
  <c r="DE69" i="1" s="1"/>
  <c r="DD4" i="1"/>
  <c r="DD9" i="1" s="1"/>
  <c r="DD5" i="1"/>
  <c r="DE5" i="1" s="1"/>
  <c r="DD6" i="1"/>
  <c r="DD7" i="1"/>
  <c r="DD8" i="1"/>
  <c r="DD75" i="1"/>
  <c r="DE75" i="1" s="1"/>
  <c r="DD76" i="1"/>
  <c r="DD77" i="1"/>
  <c r="DD78" i="1"/>
  <c r="DD79" i="1"/>
  <c r="DD80" i="1"/>
  <c r="DD81" i="1"/>
  <c r="DD82" i="1"/>
  <c r="DE1179" i="1"/>
  <c r="DE1182" i="1"/>
  <c r="DE1186" i="1"/>
  <c r="DE1187" i="1"/>
  <c r="DE1178" i="1"/>
  <c r="DE1165" i="1"/>
  <c r="DE1167" i="1"/>
  <c r="DE1170" i="1"/>
  <c r="DE1171" i="1"/>
  <c r="DE1173" i="1"/>
  <c r="DE1164" i="1"/>
  <c r="DE1139" i="1"/>
  <c r="DE1142" i="1"/>
  <c r="DE1146" i="1"/>
  <c r="DE1147" i="1"/>
  <c r="DE1150" i="1"/>
  <c r="DE1127" i="1"/>
  <c r="DE1132" i="1"/>
  <c r="DE1110" i="1"/>
  <c r="DE1088" i="1"/>
  <c r="DE1092" i="1"/>
  <c r="DE1095" i="1"/>
  <c r="DE1097" i="1"/>
  <c r="DE1104" i="1"/>
  <c r="DE1105" i="1"/>
  <c r="DE1071" i="1"/>
  <c r="DE1073" i="1"/>
  <c r="DE1075" i="1"/>
  <c r="DE1078" i="1"/>
  <c r="DE1085" i="1"/>
  <c r="DE1086" i="1"/>
  <c r="DE1063" i="1"/>
  <c r="DE1061" i="1"/>
  <c r="DE1055" i="1"/>
  <c r="DE1051" i="1"/>
  <c r="DE1034" i="1"/>
  <c r="DE1031" i="1"/>
  <c r="DE1021" i="1"/>
  <c r="DE1024" i="1"/>
  <c r="DE1019" i="1"/>
  <c r="DE1011" i="1"/>
  <c r="DE1012" i="1"/>
  <c r="DE985" i="1"/>
  <c r="DE996" i="1"/>
  <c r="DE998" i="1"/>
  <c r="DE1002" i="1"/>
  <c r="DE1006" i="1"/>
  <c r="DE978" i="1"/>
  <c r="DE967" i="1"/>
  <c r="DE955" i="1"/>
  <c r="DE926" i="1"/>
  <c r="DE930" i="1"/>
  <c r="DE931" i="1"/>
  <c r="DE918" i="1"/>
  <c r="DE921" i="1"/>
  <c r="DE922" i="1"/>
  <c r="DE910" i="1"/>
  <c r="DE905" i="1"/>
  <c r="DE895" i="1"/>
  <c r="DE883" i="1"/>
  <c r="DE884" i="1"/>
  <c r="DE876" i="1"/>
  <c r="DE866" i="1"/>
  <c r="DE870" i="1"/>
  <c r="DE871" i="1"/>
  <c r="DE873" i="1"/>
  <c r="DE855" i="1"/>
  <c r="DE861" i="1"/>
  <c r="DE846" i="1"/>
  <c r="DE847" i="1"/>
  <c r="DE848" i="1"/>
  <c r="DE851" i="1"/>
  <c r="DE853" i="1" s="1"/>
  <c r="DE845" i="1"/>
  <c r="DE838" i="1"/>
  <c r="DE834" i="1"/>
  <c r="DE803" i="1"/>
  <c r="DE804" i="1"/>
  <c r="DE807" i="1"/>
  <c r="DE808" i="1"/>
  <c r="DE809" i="1"/>
  <c r="DE811" i="1"/>
  <c r="DE815" i="1"/>
  <c r="DE816" i="1"/>
  <c r="DE817" i="1"/>
  <c r="DE819" i="1"/>
  <c r="DE822" i="1"/>
  <c r="DE798" i="1"/>
  <c r="DE799" i="1"/>
  <c r="DE797" i="1"/>
  <c r="DE778" i="1"/>
  <c r="DE767" i="1"/>
  <c r="DE768" i="1"/>
  <c r="DE769" i="1"/>
  <c r="DE772" i="1"/>
  <c r="DE758" i="1"/>
  <c r="DE760" i="1"/>
  <c r="DE761" i="1"/>
  <c r="DE762" i="1"/>
  <c r="DE763" i="1"/>
  <c r="DE747" i="1"/>
  <c r="DE749" i="1"/>
  <c r="DE750" i="1"/>
  <c r="DE751" i="1"/>
  <c r="DE752" i="1"/>
  <c r="DE755" i="1"/>
  <c r="DE743" i="1"/>
  <c r="DE744" i="1"/>
  <c r="DE745" i="1"/>
  <c r="DE732" i="1"/>
  <c r="DE734" i="1"/>
  <c r="DE735" i="1"/>
  <c r="DE736" i="1"/>
  <c r="DE737" i="1"/>
  <c r="DE740" i="1"/>
  <c r="DE716" i="1"/>
  <c r="DE717" i="1"/>
  <c r="DE718" i="1"/>
  <c r="DE719" i="1"/>
  <c r="DE722" i="1"/>
  <c r="DE723" i="1"/>
  <c r="DE724" i="1"/>
  <c r="DE725" i="1"/>
  <c r="DE726" i="1"/>
  <c r="DE708" i="1"/>
  <c r="DE711" i="1"/>
  <c r="DE712" i="1"/>
  <c r="DE713" i="1"/>
  <c r="DE714" i="1"/>
  <c r="DE698" i="1"/>
  <c r="DE701" i="1"/>
  <c r="DE703" i="1"/>
  <c r="DE704" i="1"/>
  <c r="DE706" i="1"/>
  <c r="DE690" i="1"/>
  <c r="DE692" i="1"/>
  <c r="DE693" i="1"/>
  <c r="DE677" i="1"/>
  <c r="DE678" i="1"/>
  <c r="DE681" i="1"/>
  <c r="DE683" i="1"/>
  <c r="DE685" i="1"/>
  <c r="DE670" i="1"/>
  <c r="DE672" i="1"/>
  <c r="DE660" i="1"/>
  <c r="DE664" i="1"/>
  <c r="DE658" i="1"/>
  <c r="DE651" i="1"/>
  <c r="DE652" i="1"/>
  <c r="DE642" i="1"/>
  <c r="DE643" i="1"/>
  <c r="DE636" i="1"/>
  <c r="DE639" i="1"/>
  <c r="DE627" i="1"/>
  <c r="DE630" i="1"/>
  <c r="DE631" i="1"/>
  <c r="DE634" i="1"/>
  <c r="DE621" i="1"/>
  <c r="DE622" i="1"/>
  <c r="DE614" i="1"/>
  <c r="DE615" i="1"/>
  <c r="DE609" i="1"/>
  <c r="DE597" i="1"/>
  <c r="DE600" i="1"/>
  <c r="DE601" i="1"/>
  <c r="DE604" i="1"/>
  <c r="DE566" i="1"/>
  <c r="DE570" i="1"/>
  <c r="DE578" i="1"/>
  <c r="DE582" i="1"/>
  <c r="DE541" i="1"/>
  <c r="DE546" i="1"/>
  <c r="DE547" i="1"/>
  <c r="DE549" i="1"/>
  <c r="DE553" i="1"/>
  <c r="DE557" i="1"/>
  <c r="DE558" i="1"/>
  <c r="DE561" i="1"/>
  <c r="DE562" i="1"/>
  <c r="DE521" i="1"/>
  <c r="DE523" i="1"/>
  <c r="DE528" i="1"/>
  <c r="DE529" i="1"/>
  <c r="DE531" i="1"/>
  <c r="DE532" i="1"/>
  <c r="DE533" i="1"/>
  <c r="DE515" i="1"/>
  <c r="DE516" i="1"/>
  <c r="DE519" i="1"/>
  <c r="DE498" i="1"/>
  <c r="DE501" i="1"/>
  <c r="DE502" i="1"/>
  <c r="DE504" i="1"/>
  <c r="DE506" i="1"/>
  <c r="DE508" i="1"/>
  <c r="DE510" i="1"/>
  <c r="DE482" i="1"/>
  <c r="DE483" i="1"/>
  <c r="DE484" i="1"/>
  <c r="DE488" i="1"/>
  <c r="DE490" i="1"/>
  <c r="DE492" i="1"/>
  <c r="DE494" i="1"/>
  <c r="DE495" i="1"/>
  <c r="DE496" i="1"/>
  <c r="DE480" i="1"/>
  <c r="DE481" i="1" s="1"/>
  <c r="DE472" i="1"/>
  <c r="DE473" i="1"/>
  <c r="DE462" i="1"/>
  <c r="DE464" i="1"/>
  <c r="DE466" i="1"/>
  <c r="DE467" i="1"/>
  <c r="DE444" i="1"/>
  <c r="DE445" i="1"/>
  <c r="DE447" i="1"/>
  <c r="DE460" i="1" s="1"/>
  <c r="DE449" i="1"/>
  <c r="DE450" i="1"/>
  <c r="DE451" i="1"/>
  <c r="DE452" i="1"/>
  <c r="DE453" i="1"/>
  <c r="DE455" i="1"/>
  <c r="DE457" i="1"/>
  <c r="DE458" i="1"/>
  <c r="DE459" i="1"/>
  <c r="DE443" i="1"/>
  <c r="DE388" i="1"/>
  <c r="DE391" i="1"/>
  <c r="DE394" i="1"/>
  <c r="DE395" i="1"/>
  <c r="DE400" i="1"/>
  <c r="DE402" i="1"/>
  <c r="DE403" i="1"/>
  <c r="DE404" i="1"/>
  <c r="DE407" i="1"/>
  <c r="DE410" i="1"/>
  <c r="DE384" i="1"/>
  <c r="DE385" i="1"/>
  <c r="DE373" i="1"/>
  <c r="DE374" i="1"/>
  <c r="DE375" i="1"/>
  <c r="DE378" i="1"/>
  <c r="DE379" i="1"/>
  <c r="DE369" i="1"/>
  <c r="DE370" i="1"/>
  <c r="DE359" i="1"/>
  <c r="DE360" i="1"/>
  <c r="DE361" i="1"/>
  <c r="DE363" i="1"/>
  <c r="DE354" i="1"/>
  <c r="DE355" i="1"/>
  <c r="DE341" i="1"/>
  <c r="DE342" i="1"/>
  <c r="DE345" i="1"/>
  <c r="DE346" i="1"/>
  <c r="DE347" i="1"/>
  <c r="DE349" i="1"/>
  <c r="DE350" i="1"/>
  <c r="DE351" i="1"/>
  <c r="DE328" i="1"/>
  <c r="DE330" i="1"/>
  <c r="DE332" i="1"/>
  <c r="DE333" i="1"/>
  <c r="DE334" i="1"/>
  <c r="DE336" i="1"/>
  <c r="DE337" i="1"/>
  <c r="DE319" i="1"/>
  <c r="DE320" i="1"/>
  <c r="DE323" i="1"/>
  <c r="DE324" i="1"/>
  <c r="DE325" i="1"/>
  <c r="DE312" i="1"/>
  <c r="DE315" i="1"/>
  <c r="DE294" i="1"/>
  <c r="DE298" i="1"/>
  <c r="DE299" i="1"/>
  <c r="DE300" i="1"/>
  <c r="DE302" i="1"/>
  <c r="DE303" i="1"/>
  <c r="DE304" i="1"/>
  <c r="DE306" i="1"/>
  <c r="DE275" i="1"/>
  <c r="DE276" i="1"/>
  <c r="DE261" i="1"/>
  <c r="DE264" i="1"/>
  <c r="DE265" i="1"/>
  <c r="DE258" i="1"/>
  <c r="DE244" i="1"/>
  <c r="DE247" i="1"/>
  <c r="DE251" i="1"/>
  <c r="DE252" i="1"/>
  <c r="DE238" i="1"/>
  <c r="DE239" i="1"/>
  <c r="DE240" i="1"/>
  <c r="DE241" i="1"/>
  <c r="DE242" i="1"/>
  <c r="DE243" i="1" s="1"/>
  <c r="DE234" i="1"/>
  <c r="DE220" i="1"/>
  <c r="DE221" i="1"/>
  <c r="DE222" i="1"/>
  <c r="DE223" i="1"/>
  <c r="DE224" i="1"/>
  <c r="DE226" i="1"/>
  <c r="DE228" i="1"/>
  <c r="DE229" i="1"/>
  <c r="DE230" i="1"/>
  <c r="DE231" i="1"/>
  <c r="DE200" i="1"/>
  <c r="DE208" i="1"/>
  <c r="DE210" i="1"/>
  <c r="DE212" i="1"/>
  <c r="DE214" i="1"/>
  <c r="DE215" i="1"/>
  <c r="DE197" i="1"/>
  <c r="DE198" i="1"/>
  <c r="DE178" i="1"/>
  <c r="DE180" i="1"/>
  <c r="DE181" i="1"/>
  <c r="DE182" i="1"/>
  <c r="DE184" i="1"/>
  <c r="DE185" i="1"/>
  <c r="DE186" i="1"/>
  <c r="DE188" i="1"/>
  <c r="DE189" i="1"/>
  <c r="DE190" i="1"/>
  <c r="DE171" i="1"/>
  <c r="DE174" i="1" s="1"/>
  <c r="DE175" i="1" s="1"/>
  <c r="DE88" i="1"/>
  <c r="DE89" i="1"/>
  <c r="DE92" i="1"/>
  <c r="DE93" i="1"/>
  <c r="DE100" i="1"/>
  <c r="DE101" i="1"/>
  <c r="DE104" i="1"/>
  <c r="DE108" i="1"/>
  <c r="DE109" i="1"/>
  <c r="DE112" i="1"/>
  <c r="DE116" i="1"/>
  <c r="DE120" i="1"/>
  <c r="DE124" i="1"/>
  <c r="DE125" i="1"/>
  <c r="DE133" i="1"/>
  <c r="DE134" i="1"/>
  <c r="DE137" i="1"/>
  <c r="DE139" i="1"/>
  <c r="DE141" i="1"/>
  <c r="DE142" i="1"/>
  <c r="DE143" i="1"/>
  <c r="DE149" i="1"/>
  <c r="DE153" i="1"/>
  <c r="DE154" i="1"/>
  <c r="DE71" i="1"/>
  <c r="DE62" i="1"/>
  <c r="DE63" i="1"/>
  <c r="DE7" i="1"/>
  <c r="DE8" i="1"/>
  <c r="DE77" i="1"/>
  <c r="DE79" i="1"/>
  <c r="DE80" i="1"/>
  <c r="DE81" i="1"/>
  <c r="DE82" i="1"/>
  <c r="AS1190" i="1"/>
  <c r="AS1188" i="1"/>
  <c r="AS1178" i="1"/>
  <c r="AS1191" i="1"/>
  <c r="AS1174" i="1"/>
  <c r="AS1164" i="1"/>
  <c r="AS1153" i="1"/>
  <c r="AS1134" i="1"/>
  <c r="AS1120" i="1"/>
  <c r="AS1107" i="1"/>
  <c r="AS1087" i="1"/>
  <c r="AS1135" i="1" s="1"/>
  <c r="AS1067" i="1"/>
  <c r="AS1062" i="1"/>
  <c r="AS1068" i="1" s="1"/>
  <c r="AS1056" i="1"/>
  <c r="AS1051" i="1"/>
  <c r="AS1038" i="1"/>
  <c r="AS1035" i="1"/>
  <c r="AS1032" i="1"/>
  <c r="AS1029" i="1"/>
  <c r="AS1020" i="1"/>
  <c r="AS1015" i="1"/>
  <c r="AS1008" i="1"/>
  <c r="AS978" i="1"/>
  <c r="AS967" i="1"/>
  <c r="AS955" i="1"/>
  <c r="AS951" i="1"/>
  <c r="AS936" i="1"/>
  <c r="AS937" i="1" s="1"/>
  <c r="AS957" i="1" s="1"/>
  <c r="AS924" i="1"/>
  <c r="AS914" i="1"/>
  <c r="AS910" i="1"/>
  <c r="AS905" i="1"/>
  <c r="AS901" i="1"/>
  <c r="AS886" i="1"/>
  <c r="AS880" i="1"/>
  <c r="AS874" i="1"/>
  <c r="AS863" i="1"/>
  <c r="AS853" i="1"/>
  <c r="AS845" i="1"/>
  <c r="AS838" i="1"/>
  <c r="AS834" i="1"/>
  <c r="AS823" i="1"/>
  <c r="AS801" i="1"/>
  <c r="AS797" i="1"/>
  <c r="AS788" i="1"/>
  <c r="AS789" i="1"/>
  <c r="AS776" i="1"/>
  <c r="AS773" i="1"/>
  <c r="AS766" i="1"/>
  <c r="AS757" i="1"/>
  <c r="AS746" i="1"/>
  <c r="AS742" i="1"/>
  <c r="AS727" i="1"/>
  <c r="AS715" i="1"/>
  <c r="AS728" i="1" s="1"/>
  <c r="AS707" i="1"/>
  <c r="AS694" i="1"/>
  <c r="AS687" i="1"/>
  <c r="AS673" i="1"/>
  <c r="AS669" i="1"/>
  <c r="AS665" i="1"/>
  <c r="AS659" i="1"/>
  <c r="AS654" i="1"/>
  <c r="AS646" i="1"/>
  <c r="AS640" i="1"/>
  <c r="AS635" i="1"/>
  <c r="AS626" i="1"/>
  <c r="AS617" i="1"/>
  <c r="AS610" i="1"/>
  <c r="AS606" i="1"/>
  <c r="AS596" i="1"/>
  <c r="AS563" i="1"/>
  <c r="AS536" i="1"/>
  <c r="AS520" i="1"/>
  <c r="AS511" i="1"/>
  <c r="AS497" i="1"/>
  <c r="AS480" i="1"/>
  <c r="AS481" i="1" s="1"/>
  <c r="AS474" i="1"/>
  <c r="AS460" i="1"/>
  <c r="AS443" i="1"/>
  <c r="AS412" i="1"/>
  <c r="AS386" i="1"/>
  <c r="AS382" i="1"/>
  <c r="AS371" i="1"/>
  <c r="AS367" i="1"/>
  <c r="AS357" i="1"/>
  <c r="AS387" i="1" s="1"/>
  <c r="AS353" i="1"/>
  <c r="AS338" i="1"/>
  <c r="AS339" i="1" s="1"/>
  <c r="AS326" i="1"/>
  <c r="AS317" i="1"/>
  <c r="AS310" i="1"/>
  <c r="AS292" i="1"/>
  <c r="AS278" i="1"/>
  <c r="AS272" i="1"/>
  <c r="AS266" i="1"/>
  <c r="AS259" i="1"/>
  <c r="AS255" i="1"/>
  <c r="AS243" i="1"/>
  <c r="AS236" i="1"/>
  <c r="AS232" i="1"/>
  <c r="AS219" i="1"/>
  <c r="AS199" i="1"/>
  <c r="AS195" i="1"/>
  <c r="AS174" i="1"/>
  <c r="AS175" i="1"/>
  <c r="AS155" i="1"/>
  <c r="AS156" i="1" s="1"/>
  <c r="AS74" i="1"/>
  <c r="AS70" i="1"/>
  <c r="AS9" i="1"/>
  <c r="CX60" i="1"/>
  <c r="CS60" i="1"/>
  <c r="BR60" i="1"/>
  <c r="BM60" i="1"/>
  <c r="BB60" i="1"/>
  <c r="BR59" i="1"/>
  <c r="BM59" i="1"/>
  <c r="BB59" i="1"/>
  <c r="AW59" i="1"/>
  <c r="CX58" i="1"/>
  <c r="CS58" i="1"/>
  <c r="CS57" i="1"/>
  <c r="CX54" i="1"/>
  <c r="CH54" i="1"/>
  <c r="BR54" i="1"/>
  <c r="CC51" i="1"/>
  <c r="CX50" i="1"/>
  <c r="CS50" i="1"/>
  <c r="CH50" i="1"/>
  <c r="BR50" i="1"/>
  <c r="BM50" i="1"/>
  <c r="CX49" i="1"/>
  <c r="CH49" i="1"/>
  <c r="BR49" i="1"/>
  <c r="AW46" i="1"/>
  <c r="CX45" i="1"/>
  <c r="CH45" i="1"/>
  <c r="BR45" i="1"/>
  <c r="BB35" i="1"/>
  <c r="CX32" i="1"/>
  <c r="CH32" i="1"/>
  <c r="BR32" i="1"/>
  <c r="BB32" i="1"/>
  <c r="AW29" i="1"/>
  <c r="BG28" i="1"/>
  <c r="CS25" i="1"/>
  <c r="CC25" i="1"/>
  <c r="BM25" i="1"/>
  <c r="CX16" i="1"/>
  <c r="CH16" i="1"/>
  <c r="BR16" i="1"/>
  <c r="AT83" i="1"/>
  <c r="AS83" i="1"/>
  <c r="AX191" i="12"/>
  <c r="AX192" i="12"/>
  <c r="AX193" i="12"/>
  <c r="AX186" i="12"/>
  <c r="AX187" i="12"/>
  <c r="AX188" i="12"/>
  <c r="AX180" i="12"/>
  <c r="AX181" i="12"/>
  <c r="AX182" i="12"/>
  <c r="AX183" i="12"/>
  <c r="AX164" i="12"/>
  <c r="AX165" i="12"/>
  <c r="AX166" i="12"/>
  <c r="AX167" i="12"/>
  <c r="AX168" i="12"/>
  <c r="AX169" i="12"/>
  <c r="AX170" i="12"/>
  <c r="AX171" i="12"/>
  <c r="AX172" i="12"/>
  <c r="AX173" i="12"/>
  <c r="AX174" i="12"/>
  <c r="AX175" i="12"/>
  <c r="AX176" i="12"/>
  <c r="AX177" i="12"/>
  <c r="AX158" i="12"/>
  <c r="AX159" i="12"/>
  <c r="AX154" i="12"/>
  <c r="AX155" i="12"/>
  <c r="AX148" i="12"/>
  <c r="AX149" i="12"/>
  <c r="AX144" i="12"/>
  <c r="AX145" i="12"/>
  <c r="AX146" i="12"/>
  <c r="AX139" i="12"/>
  <c r="AX140" i="12"/>
  <c r="AX141" i="12"/>
  <c r="AX142" i="12"/>
  <c r="AX133" i="12"/>
  <c r="AX134" i="12"/>
  <c r="AX135" i="12"/>
  <c r="AX129" i="12"/>
  <c r="AX130" i="12"/>
  <c r="AX124" i="12"/>
  <c r="AX125" i="12"/>
  <c r="AX126" i="12"/>
  <c r="AX120" i="12"/>
  <c r="AX121" i="12"/>
  <c r="AX122" i="12"/>
  <c r="AX106" i="12"/>
  <c r="AX107" i="12" s="1"/>
  <c r="AX105" i="12"/>
  <c r="AX109" i="12"/>
  <c r="AX110" i="12"/>
  <c r="AX112" i="12"/>
  <c r="AX113" i="12"/>
  <c r="AX116" i="12"/>
  <c r="AX115" i="12"/>
  <c r="AX117" i="12" s="1"/>
  <c r="AX108" i="12"/>
  <c r="AX100" i="12"/>
  <c r="AX101" i="12"/>
  <c r="AX102" i="12"/>
  <c r="AX94" i="12"/>
  <c r="AX95" i="12"/>
  <c r="AX96" i="12" s="1"/>
  <c r="AX86" i="12"/>
  <c r="AX87" i="12"/>
  <c r="AX88" i="12"/>
  <c r="AX89" i="12"/>
  <c r="AX90" i="12"/>
  <c r="AX91" i="12"/>
  <c r="AX92" i="12" s="1"/>
  <c r="AX78" i="12"/>
  <c r="AX79" i="12"/>
  <c r="AX80" i="12"/>
  <c r="AX81" i="12"/>
  <c r="AX82" i="12"/>
  <c r="AX83" i="12"/>
  <c r="AX73" i="12"/>
  <c r="AX74" i="12"/>
  <c r="AY74" i="12" s="1"/>
  <c r="AX75" i="12"/>
  <c r="AX65" i="12"/>
  <c r="AX66" i="12"/>
  <c r="AX67" i="12"/>
  <c r="AX68" i="12"/>
  <c r="AX62" i="12"/>
  <c r="AX63" i="12" s="1"/>
  <c r="AX55" i="12"/>
  <c r="AX56" i="12"/>
  <c r="AX57" i="12"/>
  <c r="AX58" i="12"/>
  <c r="AX59" i="12"/>
  <c r="AX47" i="12"/>
  <c r="AX48" i="12"/>
  <c r="AX49" i="12"/>
  <c r="AX50" i="12"/>
  <c r="AX51" i="12"/>
  <c r="AX52" i="12"/>
  <c r="AX44" i="12"/>
  <c r="AX45" i="12"/>
  <c r="AX32" i="12"/>
  <c r="AX33" i="12"/>
  <c r="AX34" i="12"/>
  <c r="AX35" i="12"/>
  <c r="AX36" i="12"/>
  <c r="AX37" i="12"/>
  <c r="AX38" i="12"/>
  <c r="AX39" i="12"/>
  <c r="AX42" i="12" s="1"/>
  <c r="AX40" i="12"/>
  <c r="AX41" i="12"/>
  <c r="AX25" i="12"/>
  <c r="AX26" i="12"/>
  <c r="AX27" i="12"/>
  <c r="AX28" i="12"/>
  <c r="AX29" i="12"/>
  <c r="AX19" i="12"/>
  <c r="AX20" i="12"/>
  <c r="AX21" i="12"/>
  <c r="AX22" i="12"/>
  <c r="AX16" i="12"/>
  <c r="AX8" i="12"/>
  <c r="AX9" i="12"/>
  <c r="AX10" i="12"/>
  <c r="AX11" i="12"/>
  <c r="AX14" i="12" s="1"/>
  <c r="AX12" i="12"/>
  <c r="AX13" i="12"/>
  <c r="AR191" i="12"/>
  <c r="AR192" i="12"/>
  <c r="AR193" i="12"/>
  <c r="AM191" i="12"/>
  <c r="AM192" i="12"/>
  <c r="AM193" i="12"/>
  <c r="AS193" i="12" s="1"/>
  <c r="AY193" i="12" s="1"/>
  <c r="AH191" i="12"/>
  <c r="AH192" i="12"/>
  <c r="AH193" i="12"/>
  <c r="AC191" i="12"/>
  <c r="AC192" i="12"/>
  <c r="AC193" i="12"/>
  <c r="X191" i="12"/>
  <c r="X192" i="12"/>
  <c r="X193" i="12"/>
  <c r="S191" i="12"/>
  <c r="S194" i="12" s="1"/>
  <c r="S192" i="12"/>
  <c r="S193" i="12"/>
  <c r="N191" i="12"/>
  <c r="N192" i="12"/>
  <c r="N193" i="12"/>
  <c r="AR186" i="12"/>
  <c r="AR187" i="12"/>
  <c r="AR188" i="12"/>
  <c r="AM186" i="12"/>
  <c r="AM187" i="12"/>
  <c r="AM188" i="12"/>
  <c r="AH186" i="12"/>
  <c r="AH187" i="12"/>
  <c r="AH188" i="12"/>
  <c r="AS188" i="12" s="1"/>
  <c r="AY188" i="12" s="1"/>
  <c r="AC186" i="12"/>
  <c r="AC187" i="12"/>
  <c r="AC188" i="12"/>
  <c r="X186" i="12"/>
  <c r="X187" i="12"/>
  <c r="X188" i="12"/>
  <c r="S186" i="12"/>
  <c r="S187" i="12"/>
  <c r="S189" i="12" s="1"/>
  <c r="S188" i="12"/>
  <c r="N186" i="12"/>
  <c r="N189" i="12" s="1"/>
  <c r="N187" i="12"/>
  <c r="N188" i="12"/>
  <c r="AR180" i="12"/>
  <c r="AR181" i="12"/>
  <c r="AR182" i="12"/>
  <c r="AR183" i="12"/>
  <c r="AM180" i="12"/>
  <c r="AM181" i="12"/>
  <c r="AM184" i="12" s="1"/>
  <c r="AM182" i="12"/>
  <c r="AM183" i="12"/>
  <c r="AH180" i="12"/>
  <c r="AH184" i="12" s="1"/>
  <c r="AH181" i="12"/>
  <c r="AH182" i="12"/>
  <c r="AH183" i="12"/>
  <c r="AC180" i="12"/>
  <c r="AC181" i="12"/>
  <c r="AC182" i="12"/>
  <c r="AC183" i="12"/>
  <c r="X180" i="12"/>
  <c r="X181" i="12"/>
  <c r="X182" i="12"/>
  <c r="X183" i="12"/>
  <c r="S180" i="12"/>
  <c r="S181" i="12"/>
  <c r="S182" i="12"/>
  <c r="S183" i="12"/>
  <c r="N180" i="12"/>
  <c r="N181" i="12"/>
  <c r="N182" i="12"/>
  <c r="N183" i="12"/>
  <c r="AR164" i="12"/>
  <c r="AR165" i="12"/>
  <c r="AR166" i="12"/>
  <c r="AR167" i="12"/>
  <c r="AR168" i="12"/>
  <c r="AS168" i="12" s="1"/>
  <c r="AR169" i="12"/>
  <c r="AR170" i="12"/>
  <c r="AR171" i="12"/>
  <c r="AR172" i="12"/>
  <c r="AR173" i="12"/>
  <c r="AR174" i="12"/>
  <c r="AR175" i="12"/>
  <c r="AR176" i="12"/>
  <c r="AS176" i="12" s="1"/>
  <c r="AR177" i="12"/>
  <c r="AM164" i="12"/>
  <c r="AM165" i="12"/>
  <c r="AM166" i="12"/>
  <c r="AS166" i="12" s="1"/>
  <c r="AY166" i="12" s="1"/>
  <c r="AM167" i="12"/>
  <c r="AM168" i="12"/>
  <c r="AM169" i="12"/>
  <c r="AM170" i="12"/>
  <c r="AS170" i="12" s="1"/>
  <c r="AY170" i="12" s="1"/>
  <c r="AM171" i="12"/>
  <c r="AM172" i="12"/>
  <c r="AM173" i="12"/>
  <c r="AM174" i="12"/>
  <c r="AS174" i="12" s="1"/>
  <c r="AY174" i="12" s="1"/>
  <c r="AM175" i="12"/>
  <c r="AM176" i="12"/>
  <c r="AM177" i="12"/>
  <c r="AM178" i="12"/>
  <c r="AH164" i="12"/>
  <c r="AH165" i="12"/>
  <c r="AH166" i="12"/>
  <c r="AH167" i="12"/>
  <c r="AH168" i="12"/>
  <c r="AH169" i="12"/>
  <c r="AH170" i="12"/>
  <c r="AH171" i="12"/>
  <c r="AH172" i="12"/>
  <c r="AH173" i="12"/>
  <c r="AH174" i="12"/>
  <c r="AH175" i="12"/>
  <c r="AH176" i="12"/>
  <c r="AH177" i="12"/>
  <c r="AC164" i="12"/>
  <c r="AC165" i="12"/>
  <c r="AC178" i="12" s="1"/>
  <c r="AC166" i="12"/>
  <c r="AC167" i="12"/>
  <c r="AC168" i="12"/>
  <c r="AC169" i="12"/>
  <c r="AC170" i="12"/>
  <c r="AC171" i="12"/>
  <c r="AC172" i="12"/>
  <c r="AC173" i="12"/>
  <c r="AC174" i="12"/>
  <c r="AC175" i="12"/>
  <c r="AC176" i="12"/>
  <c r="AC177" i="12"/>
  <c r="X164" i="12"/>
  <c r="X165" i="12"/>
  <c r="X166" i="12"/>
  <c r="X167" i="12"/>
  <c r="X168" i="12"/>
  <c r="X169" i="12"/>
  <c r="X170" i="12"/>
  <c r="X171" i="12"/>
  <c r="X172" i="12"/>
  <c r="X173" i="12"/>
  <c r="X174" i="12"/>
  <c r="X175" i="12"/>
  <c r="X176" i="12"/>
  <c r="X177" i="12"/>
  <c r="S164" i="12"/>
  <c r="S165" i="12"/>
  <c r="S166" i="12"/>
  <c r="S167" i="12"/>
  <c r="S168" i="12"/>
  <c r="S169" i="12"/>
  <c r="S178" i="12" s="1"/>
  <c r="S170" i="12"/>
  <c r="S171" i="12"/>
  <c r="S172" i="12"/>
  <c r="S173" i="12"/>
  <c r="S174" i="12"/>
  <c r="S175" i="12"/>
  <c r="S176" i="12"/>
  <c r="S177" i="12"/>
  <c r="AS177" i="12" s="1"/>
  <c r="AY177" i="12" s="1"/>
  <c r="N164" i="12"/>
  <c r="N165" i="12"/>
  <c r="N166" i="12"/>
  <c r="N167" i="12"/>
  <c r="N168" i="12"/>
  <c r="N169" i="12"/>
  <c r="N170" i="12"/>
  <c r="N171" i="12"/>
  <c r="N172" i="12"/>
  <c r="N173" i="12"/>
  <c r="N174" i="12"/>
  <c r="N175" i="12"/>
  <c r="N176" i="12"/>
  <c r="N177" i="12"/>
  <c r="AR158" i="12"/>
  <c r="AR160" i="12" s="1"/>
  <c r="AR159" i="12"/>
  <c r="AR154" i="12"/>
  <c r="AR155" i="12"/>
  <c r="AM158" i="12"/>
  <c r="AM159" i="12"/>
  <c r="AH158" i="12"/>
  <c r="AH159" i="12"/>
  <c r="AH154" i="12"/>
  <c r="AH155" i="12"/>
  <c r="AC158" i="12"/>
  <c r="AC159" i="12"/>
  <c r="X158" i="12"/>
  <c r="X159" i="12"/>
  <c r="X154" i="12"/>
  <c r="X155" i="12"/>
  <c r="X156" i="12"/>
  <c r="S158" i="12"/>
  <c r="S159" i="12"/>
  <c r="N158" i="12"/>
  <c r="N159" i="12"/>
  <c r="N160" i="12"/>
  <c r="AM154" i="12"/>
  <c r="AM155" i="12"/>
  <c r="AM156" i="12" s="1"/>
  <c r="AC154" i="12"/>
  <c r="AC156" i="12" s="1"/>
  <c r="AC155" i="12"/>
  <c r="S154" i="12"/>
  <c r="S155" i="12"/>
  <c r="S156" i="12"/>
  <c r="N154" i="12"/>
  <c r="N155" i="12"/>
  <c r="AR148" i="12"/>
  <c r="AR149" i="12"/>
  <c r="AM148" i="12"/>
  <c r="AM149" i="12"/>
  <c r="AM150" i="12"/>
  <c r="AH148" i="12"/>
  <c r="AH150" i="12" s="1"/>
  <c r="AH149" i="12"/>
  <c r="AC148" i="12"/>
  <c r="AC149" i="12"/>
  <c r="X148" i="12"/>
  <c r="X150" i="12" s="1"/>
  <c r="X149" i="12"/>
  <c r="X144" i="12"/>
  <c r="X146" i="12" s="1"/>
  <c r="X145" i="12"/>
  <c r="X139" i="12"/>
  <c r="X140" i="12"/>
  <c r="X141" i="12"/>
  <c r="S148" i="12"/>
  <c r="S149" i="12"/>
  <c r="S150" i="12"/>
  <c r="N148" i="12"/>
  <c r="N149" i="12"/>
  <c r="N150" i="12" s="1"/>
  <c r="AR144" i="12"/>
  <c r="AR146" i="12" s="1"/>
  <c r="AR145" i="12"/>
  <c r="AM144" i="12"/>
  <c r="AM145" i="12"/>
  <c r="AM139" i="12"/>
  <c r="AM140" i="12"/>
  <c r="AS140" i="12" s="1"/>
  <c r="AY140" i="12" s="1"/>
  <c r="AM141" i="12"/>
  <c r="AH144" i="12"/>
  <c r="AH146" i="12" s="1"/>
  <c r="AH145" i="12"/>
  <c r="AC144" i="12"/>
  <c r="AC145" i="12"/>
  <c r="S144" i="12"/>
  <c r="S145" i="12"/>
  <c r="S146" i="12"/>
  <c r="N144" i="12"/>
  <c r="N146" i="12" s="1"/>
  <c r="N145" i="12"/>
  <c r="AR139" i="12"/>
  <c r="AR140" i="12"/>
  <c r="AR141" i="12"/>
  <c r="AS141" i="12" s="1"/>
  <c r="AY141" i="12" s="1"/>
  <c r="AH139" i="12"/>
  <c r="AH140" i="12"/>
  <c r="AH141" i="12"/>
  <c r="AC139" i="12"/>
  <c r="AC140" i="12"/>
  <c r="AC141" i="12"/>
  <c r="S139" i="12"/>
  <c r="S142" i="12" s="1"/>
  <c r="S140" i="12"/>
  <c r="S141" i="12"/>
  <c r="N139" i="12"/>
  <c r="N140" i="12"/>
  <c r="N141" i="12"/>
  <c r="AR133" i="12"/>
  <c r="AR134" i="12"/>
  <c r="AM133" i="12"/>
  <c r="AM135" i="12" s="1"/>
  <c r="AM134" i="12"/>
  <c r="AH133" i="12"/>
  <c r="AH135" i="12" s="1"/>
  <c r="AH134" i="12"/>
  <c r="AC133" i="12"/>
  <c r="AC134" i="12"/>
  <c r="AC135" i="12"/>
  <c r="X133" i="12"/>
  <c r="X135" i="12" s="1"/>
  <c r="X134" i="12"/>
  <c r="S133" i="12"/>
  <c r="S134" i="12"/>
  <c r="N133" i="12"/>
  <c r="N135" i="12" s="1"/>
  <c r="N134" i="12"/>
  <c r="AR129" i="12"/>
  <c r="AR131" i="12" s="1"/>
  <c r="AR130" i="12"/>
  <c r="AM129" i="12"/>
  <c r="AM130" i="12"/>
  <c r="AH129" i="12"/>
  <c r="AH131" i="12" s="1"/>
  <c r="AH130" i="12"/>
  <c r="AC129" i="12"/>
  <c r="AC130" i="12"/>
  <c r="AC131" i="12"/>
  <c r="X129" i="12"/>
  <c r="X130" i="12"/>
  <c r="X131" i="12" s="1"/>
  <c r="S129" i="12"/>
  <c r="S131" i="12" s="1"/>
  <c r="S130" i="12"/>
  <c r="N129" i="12"/>
  <c r="N130" i="12"/>
  <c r="AR124" i="12"/>
  <c r="AR127" i="12" s="1"/>
  <c r="AR125" i="12"/>
  <c r="AR126" i="12"/>
  <c r="AM124" i="12"/>
  <c r="AM125" i="12"/>
  <c r="AM126" i="12"/>
  <c r="AH124" i="12"/>
  <c r="AH125" i="12"/>
  <c r="AH126" i="12"/>
  <c r="AC124" i="12"/>
  <c r="AC125" i="12"/>
  <c r="AC126" i="12"/>
  <c r="X124" i="12"/>
  <c r="X125" i="12"/>
  <c r="X126" i="12"/>
  <c r="S124" i="12"/>
  <c r="S125" i="12"/>
  <c r="S126" i="12"/>
  <c r="N124" i="12"/>
  <c r="N125" i="12"/>
  <c r="N126" i="12"/>
  <c r="AR120" i="12"/>
  <c r="AR121" i="12"/>
  <c r="AM120" i="12"/>
  <c r="AM122" i="12" s="1"/>
  <c r="AM121" i="12"/>
  <c r="AH120" i="12"/>
  <c r="AH121" i="12"/>
  <c r="AH122" i="12"/>
  <c r="AC120" i="12"/>
  <c r="AC121" i="12"/>
  <c r="X120" i="12"/>
  <c r="X121" i="12"/>
  <c r="S120" i="12"/>
  <c r="S121" i="12"/>
  <c r="S122" i="12" s="1"/>
  <c r="N120" i="12"/>
  <c r="N122" i="12" s="1"/>
  <c r="N121" i="12"/>
  <c r="AR106" i="12"/>
  <c r="AM106" i="12"/>
  <c r="AH106" i="12"/>
  <c r="AC106" i="12"/>
  <c r="AC107" i="12" s="1"/>
  <c r="X106" i="12"/>
  <c r="S106" i="12"/>
  <c r="N106" i="12"/>
  <c r="AR105" i="12"/>
  <c r="AM105" i="12"/>
  <c r="AH105" i="12"/>
  <c r="AH107" i="12" s="1"/>
  <c r="AC105" i="12"/>
  <c r="X105" i="12"/>
  <c r="S105" i="12"/>
  <c r="N105" i="12"/>
  <c r="AR109" i="12"/>
  <c r="AM109" i="12"/>
  <c r="AH109" i="12"/>
  <c r="AC109" i="12"/>
  <c r="AC111" i="12" s="1"/>
  <c r="AC110" i="12"/>
  <c r="AC112" i="12"/>
  <c r="AC114" i="12" s="1"/>
  <c r="AC113" i="12"/>
  <c r="AC116" i="12"/>
  <c r="AC115" i="12"/>
  <c r="AC108" i="12"/>
  <c r="X109" i="12"/>
  <c r="X111" i="12" s="1"/>
  <c r="S109" i="12"/>
  <c r="N109" i="12"/>
  <c r="AR110" i="12"/>
  <c r="AM110" i="12"/>
  <c r="AH110" i="12"/>
  <c r="X110" i="12"/>
  <c r="AS110" i="12" s="1"/>
  <c r="S110" i="12"/>
  <c r="N110" i="12"/>
  <c r="AR112" i="12"/>
  <c r="AR114" i="12" s="1"/>
  <c r="AM112" i="12"/>
  <c r="AH112" i="12"/>
  <c r="X112" i="12"/>
  <c r="S112" i="12"/>
  <c r="S114" i="12" s="1"/>
  <c r="N112" i="12"/>
  <c r="N114" i="12" s="1"/>
  <c r="AR113" i="12"/>
  <c r="AM113" i="12"/>
  <c r="AH113" i="12"/>
  <c r="X113" i="12"/>
  <c r="S113" i="12"/>
  <c r="N113" i="12"/>
  <c r="AR116" i="12"/>
  <c r="AM116" i="12"/>
  <c r="AM115" i="12"/>
  <c r="AH116" i="12"/>
  <c r="AH117" i="12" s="1"/>
  <c r="X116" i="12"/>
  <c r="S116" i="12"/>
  <c r="N116" i="12"/>
  <c r="AR115" i="12"/>
  <c r="AH115" i="12"/>
  <c r="X115" i="12"/>
  <c r="X117" i="12" s="1"/>
  <c r="S115" i="12"/>
  <c r="N115" i="12"/>
  <c r="AR108" i="12"/>
  <c r="AM108" i="12"/>
  <c r="AH108" i="12"/>
  <c r="X108" i="12"/>
  <c r="S108" i="12"/>
  <c r="N108" i="12"/>
  <c r="AR100" i="12"/>
  <c r="AM100" i="12"/>
  <c r="AH100" i="12"/>
  <c r="AC100" i="12"/>
  <c r="X100" i="12"/>
  <c r="S100" i="12"/>
  <c r="N100" i="12"/>
  <c r="AR101" i="12"/>
  <c r="AS101" i="12" s="1"/>
  <c r="AY101" i="12" s="1"/>
  <c r="AM101" i="12"/>
  <c r="AH101" i="12"/>
  <c r="AC101" i="12"/>
  <c r="X101" i="12"/>
  <c r="S101" i="12"/>
  <c r="N101" i="12"/>
  <c r="AR102" i="12"/>
  <c r="AM102" i="12"/>
  <c r="AH102" i="12"/>
  <c r="AC102" i="12"/>
  <c r="X102" i="12"/>
  <c r="S102" i="12"/>
  <c r="N102" i="12"/>
  <c r="AR94" i="12"/>
  <c r="AM94" i="12"/>
  <c r="AM95" i="12"/>
  <c r="AM96" i="12"/>
  <c r="AH94" i="12"/>
  <c r="AC94" i="12"/>
  <c r="X94" i="12"/>
  <c r="S94" i="12"/>
  <c r="N94" i="12"/>
  <c r="AR95" i="12"/>
  <c r="AH95" i="12"/>
  <c r="AC95" i="12"/>
  <c r="AC96" i="12" s="1"/>
  <c r="X95" i="12"/>
  <c r="S95" i="12"/>
  <c r="N95" i="12"/>
  <c r="AR86" i="12"/>
  <c r="AM86" i="12"/>
  <c r="AH86" i="12"/>
  <c r="AC86" i="12"/>
  <c r="X86" i="12"/>
  <c r="S86" i="12"/>
  <c r="S92" i="12" s="1"/>
  <c r="N86" i="12"/>
  <c r="AR87" i="12"/>
  <c r="AM87" i="12"/>
  <c r="AH87" i="12"/>
  <c r="AC87" i="12"/>
  <c r="X87" i="12"/>
  <c r="S87" i="12"/>
  <c r="N87" i="12"/>
  <c r="N92" i="12" s="1"/>
  <c r="AR88" i="12"/>
  <c r="AM88" i="12"/>
  <c r="AH88" i="12"/>
  <c r="AC88" i="12"/>
  <c r="X88" i="12"/>
  <c r="S88" i="12"/>
  <c r="N88" i="12"/>
  <c r="AR89" i="12"/>
  <c r="AM89" i="12"/>
  <c r="AH89" i="12"/>
  <c r="AC89" i="12"/>
  <c r="X89" i="12"/>
  <c r="S89" i="12"/>
  <c r="N89" i="12"/>
  <c r="AR90" i="12"/>
  <c r="AM90" i="12"/>
  <c r="AH90" i="12"/>
  <c r="AC90" i="12"/>
  <c r="X90" i="12"/>
  <c r="S90" i="12"/>
  <c r="N90" i="12"/>
  <c r="AR91" i="12"/>
  <c r="AM91" i="12"/>
  <c r="AH91" i="12"/>
  <c r="AC91" i="12"/>
  <c r="X91" i="12"/>
  <c r="S91" i="12"/>
  <c r="N91" i="12"/>
  <c r="AR78" i="12"/>
  <c r="AM78" i="12"/>
  <c r="AH78" i="12"/>
  <c r="AC78" i="12"/>
  <c r="AC84" i="12" s="1"/>
  <c r="X78" i="12"/>
  <c r="S78" i="12"/>
  <c r="N78" i="12"/>
  <c r="AR79" i="12"/>
  <c r="AM79" i="12"/>
  <c r="AH79" i="12"/>
  <c r="AC79" i="12"/>
  <c r="X79" i="12"/>
  <c r="X84" i="12" s="1"/>
  <c r="S79" i="12"/>
  <c r="N79" i="12"/>
  <c r="AR80" i="12"/>
  <c r="AM80" i="12"/>
  <c r="AH80" i="12"/>
  <c r="AC80" i="12"/>
  <c r="X80" i="12"/>
  <c r="S80" i="12"/>
  <c r="S84" i="12" s="1"/>
  <c r="N80" i="12"/>
  <c r="AR81" i="12"/>
  <c r="AM81" i="12"/>
  <c r="AH81" i="12"/>
  <c r="AC81" i="12"/>
  <c r="X81" i="12"/>
  <c r="S81" i="12"/>
  <c r="N81" i="12"/>
  <c r="AR82" i="12"/>
  <c r="AM82" i="12"/>
  <c r="AH82" i="12"/>
  <c r="AC82" i="12"/>
  <c r="X82" i="12"/>
  <c r="S82" i="12"/>
  <c r="N82" i="12"/>
  <c r="AR83" i="12"/>
  <c r="AM83" i="12"/>
  <c r="AH83" i="12"/>
  <c r="AC83" i="12"/>
  <c r="X83" i="12"/>
  <c r="S83" i="12"/>
  <c r="N83" i="12"/>
  <c r="AR73" i="12"/>
  <c r="AM73" i="12"/>
  <c r="AH73" i="12"/>
  <c r="AC73" i="12"/>
  <c r="X73" i="12"/>
  <c r="S73" i="12"/>
  <c r="N73" i="12"/>
  <c r="AR74" i="12"/>
  <c r="AM74" i="12"/>
  <c r="AH74" i="12"/>
  <c r="AC74" i="12"/>
  <c r="X74" i="12"/>
  <c r="S74" i="12"/>
  <c r="N74" i="12"/>
  <c r="N76" i="12" s="1"/>
  <c r="AR75" i="12"/>
  <c r="AM75" i="12"/>
  <c r="AH75" i="12"/>
  <c r="AC75" i="12"/>
  <c r="X75" i="12"/>
  <c r="S75" i="12"/>
  <c r="N75" i="12"/>
  <c r="AR65" i="12"/>
  <c r="AM65" i="12"/>
  <c r="AH65" i="12"/>
  <c r="AC65" i="12"/>
  <c r="X65" i="12"/>
  <c r="S65" i="12"/>
  <c r="N65" i="12"/>
  <c r="AR66" i="12"/>
  <c r="AM66" i="12"/>
  <c r="AH66" i="12"/>
  <c r="AC66" i="12"/>
  <c r="X66" i="12"/>
  <c r="S66" i="12"/>
  <c r="N66" i="12"/>
  <c r="AR67" i="12"/>
  <c r="AM67" i="12"/>
  <c r="AH67" i="12"/>
  <c r="AC67" i="12"/>
  <c r="X67" i="12"/>
  <c r="S67" i="12"/>
  <c r="N67" i="12"/>
  <c r="AR68" i="12"/>
  <c r="AM68" i="12"/>
  <c r="AH68" i="12"/>
  <c r="AC68" i="12"/>
  <c r="X68" i="12"/>
  <c r="S68" i="12"/>
  <c r="N68" i="12"/>
  <c r="AR62" i="12"/>
  <c r="AR63" i="12" s="1"/>
  <c r="AM62" i="12"/>
  <c r="AH62" i="12"/>
  <c r="AH63" i="12" s="1"/>
  <c r="AC62" i="12"/>
  <c r="AC63" i="12"/>
  <c r="X62" i="12"/>
  <c r="X63" i="12" s="1"/>
  <c r="S62" i="12"/>
  <c r="N62" i="12"/>
  <c r="AR55" i="12"/>
  <c r="AM55" i="12"/>
  <c r="AH55" i="12"/>
  <c r="AC55" i="12"/>
  <c r="X55" i="12"/>
  <c r="S55" i="12"/>
  <c r="N55" i="12"/>
  <c r="AR56" i="12"/>
  <c r="AM56" i="12"/>
  <c r="AH56" i="12"/>
  <c r="AC56" i="12"/>
  <c r="X56" i="12"/>
  <c r="S56" i="12"/>
  <c r="N56" i="12"/>
  <c r="AR57" i="12"/>
  <c r="AM57" i="12"/>
  <c r="AH57" i="12"/>
  <c r="AC57" i="12"/>
  <c r="X57" i="12"/>
  <c r="S57" i="12"/>
  <c r="N57" i="12"/>
  <c r="AR58" i="12"/>
  <c r="AM58" i="12"/>
  <c r="AH58" i="12"/>
  <c r="AC58" i="12"/>
  <c r="X58" i="12"/>
  <c r="S58" i="12"/>
  <c r="N58" i="12"/>
  <c r="AR59" i="12"/>
  <c r="AM59" i="12"/>
  <c r="AH59" i="12"/>
  <c r="AC59" i="12"/>
  <c r="X59" i="12"/>
  <c r="S59" i="12"/>
  <c r="N59" i="12"/>
  <c r="AR47" i="12"/>
  <c r="AM47" i="12"/>
  <c r="AH47" i="12"/>
  <c r="AC47" i="12"/>
  <c r="X47" i="12"/>
  <c r="S47" i="12"/>
  <c r="N47" i="12"/>
  <c r="AR48" i="12"/>
  <c r="AM48" i="12"/>
  <c r="AH48" i="12"/>
  <c r="AC48" i="12"/>
  <c r="X48" i="12"/>
  <c r="S48" i="12"/>
  <c r="N48" i="12"/>
  <c r="AR49" i="12"/>
  <c r="AM49" i="12"/>
  <c r="AH49" i="12"/>
  <c r="AC49" i="12"/>
  <c r="X49" i="12"/>
  <c r="S49" i="12"/>
  <c r="N49" i="12"/>
  <c r="AR50" i="12"/>
  <c r="AM50" i="12"/>
  <c r="AH50" i="12"/>
  <c r="AC50" i="12"/>
  <c r="X50" i="12"/>
  <c r="S50" i="12"/>
  <c r="N50" i="12"/>
  <c r="AR51" i="12"/>
  <c r="AM51" i="12"/>
  <c r="AH51" i="12"/>
  <c r="AC51" i="12"/>
  <c r="X51" i="12"/>
  <c r="S51" i="12"/>
  <c r="N51" i="12"/>
  <c r="AR52" i="12"/>
  <c r="AM52" i="12"/>
  <c r="AH52" i="12"/>
  <c r="AC52" i="12"/>
  <c r="X52" i="12"/>
  <c r="S52" i="12"/>
  <c r="N52" i="12"/>
  <c r="AR44" i="12"/>
  <c r="AM44" i="12"/>
  <c r="AM45" i="12" s="1"/>
  <c r="AH44" i="12"/>
  <c r="AC44" i="12"/>
  <c r="X44" i="12"/>
  <c r="X45" i="12"/>
  <c r="S44" i="12"/>
  <c r="S45" i="12" s="1"/>
  <c r="N44" i="12"/>
  <c r="N45" i="12" s="1"/>
  <c r="AR32" i="12"/>
  <c r="AM32" i="12"/>
  <c r="AH32" i="12"/>
  <c r="AC32" i="12"/>
  <c r="X32" i="12"/>
  <c r="S32" i="12"/>
  <c r="N32" i="12"/>
  <c r="AR33" i="12"/>
  <c r="AM33" i="12"/>
  <c r="AH33" i="12"/>
  <c r="AC33" i="12"/>
  <c r="X33" i="12"/>
  <c r="S33" i="12"/>
  <c r="N33" i="12"/>
  <c r="AR34" i="12"/>
  <c r="AM34" i="12"/>
  <c r="AH34" i="12"/>
  <c r="AC34" i="12"/>
  <c r="X34" i="12"/>
  <c r="S34" i="12"/>
  <c r="S42" i="12" s="1"/>
  <c r="N34" i="12"/>
  <c r="AR35" i="12"/>
  <c r="AM35" i="12"/>
  <c r="AH35" i="12"/>
  <c r="AC35" i="12"/>
  <c r="X35" i="12"/>
  <c r="S35" i="12"/>
  <c r="N35" i="12"/>
  <c r="AR36" i="12"/>
  <c r="AM36" i="12"/>
  <c r="AH36" i="12"/>
  <c r="AC36" i="12"/>
  <c r="X36" i="12"/>
  <c r="S36" i="12"/>
  <c r="N36" i="12"/>
  <c r="AR37" i="12"/>
  <c r="AM37" i="12"/>
  <c r="AH37" i="12"/>
  <c r="AC37" i="12"/>
  <c r="X37" i="12"/>
  <c r="S37" i="12"/>
  <c r="N37" i="12"/>
  <c r="AR38" i="12"/>
  <c r="AM38" i="12"/>
  <c r="AH38" i="12"/>
  <c r="AC38" i="12"/>
  <c r="X38" i="12"/>
  <c r="S38" i="12"/>
  <c r="N38" i="12"/>
  <c r="AR39" i="12"/>
  <c r="AM39" i="12"/>
  <c r="AH39" i="12"/>
  <c r="AC39" i="12"/>
  <c r="X39" i="12"/>
  <c r="S39" i="12"/>
  <c r="N39" i="12"/>
  <c r="AR40" i="12"/>
  <c r="AM40" i="12"/>
  <c r="AH40" i="12"/>
  <c r="AC40" i="12"/>
  <c r="X40" i="12"/>
  <c r="S40" i="12"/>
  <c r="N40" i="12"/>
  <c r="AR41" i="12"/>
  <c r="AM41" i="12"/>
  <c r="AH41" i="12"/>
  <c r="AC41" i="12"/>
  <c r="X41" i="12"/>
  <c r="S41" i="12"/>
  <c r="N41" i="12"/>
  <c r="AR25" i="12"/>
  <c r="AM25" i="12"/>
  <c r="AH25" i="12"/>
  <c r="AC25" i="12"/>
  <c r="X25" i="12"/>
  <c r="S25" i="12"/>
  <c r="N25" i="12"/>
  <c r="AR26" i="12"/>
  <c r="AM26" i="12"/>
  <c r="AH26" i="12"/>
  <c r="AC26" i="12"/>
  <c r="X26" i="12"/>
  <c r="S26" i="12"/>
  <c r="N26" i="12"/>
  <c r="N30" i="12" s="1"/>
  <c r="AR27" i="12"/>
  <c r="AM27" i="12"/>
  <c r="AH27" i="12"/>
  <c r="AC27" i="12"/>
  <c r="X27" i="12"/>
  <c r="S27" i="12"/>
  <c r="N27" i="12"/>
  <c r="AR28" i="12"/>
  <c r="AM28" i="12"/>
  <c r="AH28" i="12"/>
  <c r="AC28" i="12"/>
  <c r="X28" i="12"/>
  <c r="S28" i="12"/>
  <c r="N28" i="12"/>
  <c r="AR29" i="12"/>
  <c r="AM29" i="12"/>
  <c r="AH29" i="12"/>
  <c r="AC29" i="12"/>
  <c r="X29" i="12"/>
  <c r="S29" i="12"/>
  <c r="N29" i="12"/>
  <c r="AR19" i="12"/>
  <c r="AM19" i="12"/>
  <c r="AH19" i="12"/>
  <c r="AC19" i="12"/>
  <c r="X19" i="12"/>
  <c r="X20" i="12"/>
  <c r="X21" i="12"/>
  <c r="X22" i="12"/>
  <c r="S19" i="12"/>
  <c r="N19" i="12"/>
  <c r="AR20" i="12"/>
  <c r="AM20" i="12"/>
  <c r="AH20" i="12"/>
  <c r="AC20" i="12"/>
  <c r="S20" i="12"/>
  <c r="N20" i="12"/>
  <c r="AR21" i="12"/>
  <c r="AM21" i="12"/>
  <c r="AH21" i="12"/>
  <c r="AC21" i="12"/>
  <c r="S21" i="12"/>
  <c r="N21" i="12"/>
  <c r="AR22" i="12"/>
  <c r="AM22" i="12"/>
  <c r="AH22" i="12"/>
  <c r="AC22" i="12"/>
  <c r="S22" i="12"/>
  <c r="N22" i="12"/>
  <c r="AR16" i="12"/>
  <c r="AM16" i="12"/>
  <c r="AH16" i="12"/>
  <c r="AC16" i="12"/>
  <c r="AC17" i="12"/>
  <c r="X16" i="12"/>
  <c r="X17" i="12" s="1"/>
  <c r="S16" i="12"/>
  <c r="N16" i="12"/>
  <c r="E16" i="12"/>
  <c r="I16" i="12" s="1"/>
  <c r="I17" i="12" s="1"/>
  <c r="AR8" i="12"/>
  <c r="AM8" i="12"/>
  <c r="AH8" i="12"/>
  <c r="AC8" i="12"/>
  <c r="AS8" i="12" s="1"/>
  <c r="X8" i="12"/>
  <c r="S8" i="12"/>
  <c r="N8" i="12"/>
  <c r="AR9" i="12"/>
  <c r="AM9" i="12"/>
  <c r="AH9" i="12"/>
  <c r="AC9" i="12"/>
  <c r="X9" i="12"/>
  <c r="S9" i="12"/>
  <c r="N9" i="12"/>
  <c r="I9" i="12"/>
  <c r="AR10" i="12"/>
  <c r="AM10" i="12"/>
  <c r="AH10" i="12"/>
  <c r="AC10" i="12"/>
  <c r="X10" i="12"/>
  <c r="S10" i="12"/>
  <c r="N10" i="12"/>
  <c r="I10" i="12"/>
  <c r="AR11" i="12"/>
  <c r="AM11" i="12"/>
  <c r="AH11" i="12"/>
  <c r="AC11" i="12"/>
  <c r="X11" i="12"/>
  <c r="S11" i="12"/>
  <c r="N11" i="12"/>
  <c r="I11" i="12"/>
  <c r="AR12" i="12"/>
  <c r="AM12" i="12"/>
  <c r="AH12" i="12"/>
  <c r="AC12" i="12"/>
  <c r="X12" i="12"/>
  <c r="S12" i="12"/>
  <c r="N12" i="12"/>
  <c r="I12" i="12"/>
  <c r="N13" i="12"/>
  <c r="AR13" i="12"/>
  <c r="AS13" i="12" s="1"/>
  <c r="AM13" i="12"/>
  <c r="AH13" i="12"/>
  <c r="AC13" i="12"/>
  <c r="X13" i="12"/>
  <c r="S13" i="12"/>
  <c r="I13" i="12"/>
  <c r="I191" i="12"/>
  <c r="I192" i="12"/>
  <c r="I193" i="12"/>
  <c r="I186" i="12"/>
  <c r="I189" i="12" s="1"/>
  <c r="I187" i="12"/>
  <c r="I188" i="12"/>
  <c r="I180" i="12"/>
  <c r="I181" i="12"/>
  <c r="I182" i="12"/>
  <c r="I183" i="12"/>
  <c r="I164" i="12"/>
  <c r="I165" i="12"/>
  <c r="I166" i="12"/>
  <c r="I167" i="12"/>
  <c r="I168" i="12"/>
  <c r="I169" i="12"/>
  <c r="I170" i="12"/>
  <c r="I171" i="12"/>
  <c r="I172" i="12"/>
  <c r="I173" i="12"/>
  <c r="I174" i="12"/>
  <c r="I175" i="12"/>
  <c r="I176" i="12"/>
  <c r="I177" i="12"/>
  <c r="I158" i="12"/>
  <c r="I160" i="12" s="1"/>
  <c r="I159" i="12"/>
  <c r="I154" i="12"/>
  <c r="I155" i="12"/>
  <c r="I148" i="12"/>
  <c r="I149" i="12"/>
  <c r="E144" i="12"/>
  <c r="I144" i="12" s="1"/>
  <c r="I145" i="12"/>
  <c r="I146" i="12" s="1"/>
  <c r="I139" i="12"/>
  <c r="I140" i="12"/>
  <c r="I141" i="12"/>
  <c r="I133" i="12"/>
  <c r="I134" i="12"/>
  <c r="I129" i="12"/>
  <c r="I130" i="12"/>
  <c r="I124" i="12"/>
  <c r="I125" i="12"/>
  <c r="I126" i="12"/>
  <c r="I120" i="12"/>
  <c r="I121" i="12"/>
  <c r="I122" i="12"/>
  <c r="I106" i="12"/>
  <c r="I105" i="12"/>
  <c r="I107" i="12"/>
  <c r="I109" i="12"/>
  <c r="I110" i="12"/>
  <c r="I112" i="12"/>
  <c r="I113" i="12"/>
  <c r="I116" i="12"/>
  <c r="I117" i="12" s="1"/>
  <c r="I115" i="12"/>
  <c r="I108" i="12"/>
  <c r="I100" i="12"/>
  <c r="I101" i="12"/>
  <c r="I102" i="12"/>
  <c r="I94" i="12"/>
  <c r="I95" i="12"/>
  <c r="I96" i="12"/>
  <c r="I86" i="12"/>
  <c r="I87" i="12"/>
  <c r="I88" i="12"/>
  <c r="I89" i="12"/>
  <c r="I90" i="12"/>
  <c r="I91" i="12"/>
  <c r="I78" i="12"/>
  <c r="I79" i="12"/>
  <c r="I84" i="12" s="1"/>
  <c r="I80" i="12"/>
  <c r="I81" i="12"/>
  <c r="I82" i="12"/>
  <c r="I83" i="12"/>
  <c r="I73" i="12"/>
  <c r="I74" i="12"/>
  <c r="I75" i="12"/>
  <c r="I65" i="12"/>
  <c r="I69" i="12" s="1"/>
  <c r="I66" i="12"/>
  <c r="I67" i="12"/>
  <c r="I68" i="12"/>
  <c r="I62" i="12"/>
  <c r="I63" i="12" s="1"/>
  <c r="I55" i="12"/>
  <c r="I56" i="12"/>
  <c r="I57" i="12"/>
  <c r="I60" i="12" s="1"/>
  <c r="I58" i="12"/>
  <c r="I59" i="12"/>
  <c r="I47" i="12"/>
  <c r="I48" i="12"/>
  <c r="I49" i="12"/>
  <c r="I50" i="12"/>
  <c r="I51" i="12"/>
  <c r="I52" i="12"/>
  <c r="I44" i="12"/>
  <c r="I45" i="12"/>
  <c r="I32" i="12"/>
  <c r="I33" i="12"/>
  <c r="I34" i="12"/>
  <c r="I35" i="12"/>
  <c r="I36" i="12"/>
  <c r="I37" i="12"/>
  <c r="I42" i="12" s="1"/>
  <c r="I38" i="12"/>
  <c r="I39" i="12"/>
  <c r="I40" i="12"/>
  <c r="I41" i="12"/>
  <c r="I25" i="12"/>
  <c r="I26" i="12"/>
  <c r="I27" i="12"/>
  <c r="I28" i="12"/>
  <c r="I29" i="12"/>
  <c r="I19" i="12"/>
  <c r="I23" i="12" s="1"/>
  <c r="I20" i="12"/>
  <c r="I21" i="12"/>
  <c r="I22" i="12"/>
  <c r="I8" i="12"/>
  <c r="AW194" i="12"/>
  <c r="AW189" i="12"/>
  <c r="AW184" i="12"/>
  <c r="AW178" i="12"/>
  <c r="AW160" i="12"/>
  <c r="AW161" i="12" s="1"/>
  <c r="AW156" i="12"/>
  <c r="AW150" i="12"/>
  <c r="AW146" i="12"/>
  <c r="AW142" i="12"/>
  <c r="AW135" i="12"/>
  <c r="AW131" i="12"/>
  <c r="AW127" i="12"/>
  <c r="AW122" i="12"/>
  <c r="AW107" i="12"/>
  <c r="AW111" i="12"/>
  <c r="AW114" i="12"/>
  <c r="AW117" i="12"/>
  <c r="AW103" i="12"/>
  <c r="AW96" i="12"/>
  <c r="AW92" i="12"/>
  <c r="AW84" i="12"/>
  <c r="AW76" i="12"/>
  <c r="AW69" i="12"/>
  <c r="AW63" i="12"/>
  <c r="AW60" i="12"/>
  <c r="AW53" i="12"/>
  <c r="AW45" i="12"/>
  <c r="AW42" i="12"/>
  <c r="AW30" i="12"/>
  <c r="AW23" i="12"/>
  <c r="AW17" i="12"/>
  <c r="AW14" i="12"/>
  <c r="AV194" i="12"/>
  <c r="AV189" i="12"/>
  <c r="AV195" i="12" s="1"/>
  <c r="AV184" i="12"/>
  <c r="AV178" i="12"/>
  <c r="AV160" i="12"/>
  <c r="AV161" i="12" s="1"/>
  <c r="AV156" i="12"/>
  <c r="AV150" i="12"/>
  <c r="AV146" i="12"/>
  <c r="AV142" i="12"/>
  <c r="AV135" i="12"/>
  <c r="AV131" i="12"/>
  <c r="AV127" i="12"/>
  <c r="AV122" i="12"/>
  <c r="AV107" i="12"/>
  <c r="AV111" i="12"/>
  <c r="AV114" i="12"/>
  <c r="AV117" i="12"/>
  <c r="AV103" i="12"/>
  <c r="AV96" i="12"/>
  <c r="AV92" i="12"/>
  <c r="AV84" i="12"/>
  <c r="AV76" i="12"/>
  <c r="AV69" i="12"/>
  <c r="AV63" i="12"/>
  <c r="AV60" i="12"/>
  <c r="AV53" i="12"/>
  <c r="AV45" i="12"/>
  <c r="AV42" i="12"/>
  <c r="AV30" i="12"/>
  <c r="AV23" i="12"/>
  <c r="AV17" i="12"/>
  <c r="AV14" i="12"/>
  <c r="AU194" i="12"/>
  <c r="AU189" i="12"/>
  <c r="AU195" i="12" s="1"/>
  <c r="AU184" i="12"/>
  <c r="AU178" i="12"/>
  <c r="AU160" i="12"/>
  <c r="AU156" i="12"/>
  <c r="AU161" i="12"/>
  <c r="AU150" i="12"/>
  <c r="AU146" i="12"/>
  <c r="AU142" i="12"/>
  <c r="AU135" i="12"/>
  <c r="AU131" i="12"/>
  <c r="AU127" i="12"/>
  <c r="AU122" i="12"/>
  <c r="AU107" i="12"/>
  <c r="AU111" i="12"/>
  <c r="AU114" i="12"/>
  <c r="AU117" i="12"/>
  <c r="AU118" i="12"/>
  <c r="AU103" i="12"/>
  <c r="AU96" i="12"/>
  <c r="AU92" i="12"/>
  <c r="AU84" i="12"/>
  <c r="AU76" i="12"/>
  <c r="AU69" i="12"/>
  <c r="AU63" i="12"/>
  <c r="AU60" i="12"/>
  <c r="AU53" i="12"/>
  <c r="AU45" i="12"/>
  <c r="AU42" i="12"/>
  <c r="AU30" i="12"/>
  <c r="AU23" i="12"/>
  <c r="AU17" i="12"/>
  <c r="AU14" i="12"/>
  <c r="AT194" i="12"/>
  <c r="AT189" i="12"/>
  <c r="AT184" i="12"/>
  <c r="AT178" i="12"/>
  <c r="AT160" i="12"/>
  <c r="AT161" i="12" s="1"/>
  <c r="AT156" i="12"/>
  <c r="AT150" i="12"/>
  <c r="AT151" i="12" s="1"/>
  <c r="AT146" i="12"/>
  <c r="AT142" i="12"/>
  <c r="AT135" i="12"/>
  <c r="AT131" i="12"/>
  <c r="AT127" i="12"/>
  <c r="AT122" i="12"/>
  <c r="AT107" i="12"/>
  <c r="AT111" i="12"/>
  <c r="AT114" i="12"/>
  <c r="AT117" i="12"/>
  <c r="AT103" i="12"/>
  <c r="AT96" i="12"/>
  <c r="AT92" i="12"/>
  <c r="AT84" i="12"/>
  <c r="AT76" i="12"/>
  <c r="AT69" i="12"/>
  <c r="AT70" i="12" s="1"/>
  <c r="AT63" i="12"/>
  <c r="AT60" i="12"/>
  <c r="AT53" i="12"/>
  <c r="AT45" i="12"/>
  <c r="AT42" i="12"/>
  <c r="AT30" i="12"/>
  <c r="AT23" i="12"/>
  <c r="AT17" i="12"/>
  <c r="AT14" i="12"/>
  <c r="AR111" i="12"/>
  <c r="AR84" i="12"/>
  <c r="AQ194" i="12"/>
  <c r="AQ189" i="12"/>
  <c r="AQ184" i="12"/>
  <c r="AQ178" i="12"/>
  <c r="AQ160" i="12"/>
  <c r="AQ156" i="12"/>
  <c r="AQ150" i="12"/>
  <c r="AQ146" i="12"/>
  <c r="AQ142" i="12"/>
  <c r="AQ135" i="12"/>
  <c r="AQ131" i="12"/>
  <c r="AQ127" i="12"/>
  <c r="AQ122" i="12"/>
  <c r="AQ107" i="12"/>
  <c r="AQ111" i="12"/>
  <c r="AQ114" i="12"/>
  <c r="AQ117" i="12"/>
  <c r="AQ103" i="12"/>
  <c r="AQ96" i="12"/>
  <c r="AQ92" i="12"/>
  <c r="AQ84" i="12"/>
  <c r="AQ76" i="12"/>
  <c r="AQ69" i="12"/>
  <c r="AQ70" i="12" s="1"/>
  <c r="AQ63" i="12"/>
  <c r="AQ60" i="12"/>
  <c r="AQ53" i="12"/>
  <c r="AQ45" i="12"/>
  <c r="AQ42" i="12"/>
  <c r="AQ30" i="12"/>
  <c r="AQ23" i="12"/>
  <c r="AQ17" i="12"/>
  <c r="AQ14" i="12"/>
  <c r="AP194" i="12"/>
  <c r="AP189" i="12"/>
  <c r="AP184" i="12"/>
  <c r="AP178" i="12"/>
  <c r="AP160" i="12"/>
  <c r="AP161" i="12" s="1"/>
  <c r="AP156" i="12"/>
  <c r="AP150" i="12"/>
  <c r="AP151" i="12" s="1"/>
  <c r="AP146" i="12"/>
  <c r="AP142" i="12"/>
  <c r="AP135" i="12"/>
  <c r="AP131" i="12"/>
  <c r="AP127" i="12"/>
  <c r="AP122" i="12"/>
  <c r="AP107" i="12"/>
  <c r="AP111" i="12"/>
  <c r="AP114" i="12"/>
  <c r="AP117" i="12"/>
  <c r="AP103" i="12"/>
  <c r="AP96" i="12"/>
  <c r="AP92" i="12"/>
  <c r="AP84" i="12"/>
  <c r="AP76" i="12"/>
  <c r="AP69" i="12"/>
  <c r="AP63" i="12"/>
  <c r="AP60" i="12"/>
  <c r="AP53" i="12"/>
  <c r="AP45" i="12"/>
  <c r="AP42" i="12"/>
  <c r="AP70" i="12" s="1"/>
  <c r="AP30" i="12"/>
  <c r="AP23" i="12"/>
  <c r="AP17" i="12"/>
  <c r="AP14" i="12"/>
  <c r="AO194" i="12"/>
  <c r="AO189" i="12"/>
  <c r="AO184" i="12"/>
  <c r="AO178" i="12"/>
  <c r="AO160" i="12"/>
  <c r="AO156" i="12"/>
  <c r="AO150" i="12"/>
  <c r="AO146" i="12"/>
  <c r="AO142" i="12"/>
  <c r="AO135" i="12"/>
  <c r="AO131" i="12"/>
  <c r="AO127" i="12"/>
  <c r="AO122" i="12"/>
  <c r="AO107" i="12"/>
  <c r="AO118" i="12" s="1"/>
  <c r="AO111" i="12"/>
  <c r="AO114" i="12"/>
  <c r="AO117" i="12"/>
  <c r="AO103" i="12"/>
  <c r="AO96" i="12"/>
  <c r="AO92" i="12"/>
  <c r="AO84" i="12"/>
  <c r="AO76" i="12"/>
  <c r="AO69" i="12"/>
  <c r="AO63" i="12"/>
  <c r="AO60" i="12"/>
  <c r="AO53" i="12"/>
  <c r="AO45" i="12"/>
  <c r="AO42" i="12"/>
  <c r="AO30" i="12"/>
  <c r="AO23" i="12"/>
  <c r="AO17" i="12"/>
  <c r="AO14" i="12"/>
  <c r="AN194" i="12"/>
  <c r="AN189" i="12"/>
  <c r="AN184" i="12"/>
  <c r="AN178" i="12"/>
  <c r="AN160" i="12"/>
  <c r="AN161" i="12" s="1"/>
  <c r="AN156" i="12"/>
  <c r="AN150" i="12"/>
  <c r="AN146" i="12"/>
  <c r="AN142" i="12"/>
  <c r="AN135" i="12"/>
  <c r="AN131" i="12"/>
  <c r="AN127" i="12"/>
  <c r="AN122" i="12"/>
  <c r="AN136" i="12" s="1"/>
  <c r="AN107" i="12"/>
  <c r="AN111" i="12"/>
  <c r="AN118" i="12" s="1"/>
  <c r="AN114" i="12"/>
  <c r="AN117" i="12"/>
  <c r="AN103" i="12"/>
  <c r="AN96" i="12"/>
  <c r="AN92" i="12"/>
  <c r="AN84" i="12"/>
  <c r="AN97" i="12" s="1"/>
  <c r="AN76" i="12"/>
  <c r="AN69" i="12"/>
  <c r="AN63" i="12"/>
  <c r="AN60" i="12"/>
  <c r="AN53" i="12"/>
  <c r="AN45" i="12"/>
  <c r="AN42" i="12"/>
  <c r="AN70" i="12" s="1"/>
  <c r="AN30" i="12"/>
  <c r="AN23" i="12"/>
  <c r="AN17" i="12"/>
  <c r="AN14" i="12"/>
  <c r="AM111" i="12"/>
  <c r="AM103" i="12"/>
  <c r="AM84" i="12"/>
  <c r="AM17" i="12"/>
  <c r="AL194" i="12"/>
  <c r="AL189" i="12"/>
  <c r="AL184" i="12"/>
  <c r="AL178" i="12"/>
  <c r="AL160" i="12"/>
  <c r="AL156" i="12"/>
  <c r="AL150" i="12"/>
  <c r="AL146" i="12"/>
  <c r="AL151" i="12" s="1"/>
  <c r="AL142" i="12"/>
  <c r="AL135" i="12"/>
  <c r="AL131" i="12"/>
  <c r="AL127" i="12"/>
  <c r="AL122" i="12"/>
  <c r="AL107" i="12"/>
  <c r="AL111" i="12"/>
  <c r="AL114" i="12"/>
  <c r="AL117" i="12"/>
  <c r="AL103" i="12"/>
  <c r="AL96" i="12"/>
  <c r="AL92" i="12"/>
  <c r="AL84" i="12"/>
  <c r="AL76" i="12"/>
  <c r="AL69" i="12"/>
  <c r="AL63" i="12"/>
  <c r="AL60" i="12"/>
  <c r="AL53" i="12"/>
  <c r="AL45" i="12"/>
  <c r="AL42" i="12"/>
  <c r="AL30" i="12"/>
  <c r="AL23" i="12"/>
  <c r="AL17" i="12"/>
  <c r="AL14" i="12"/>
  <c r="AK194" i="12"/>
  <c r="AK189" i="12"/>
  <c r="AK184" i="12"/>
  <c r="AK178" i="12"/>
  <c r="AK160" i="12"/>
  <c r="AK156" i="12"/>
  <c r="AK161" i="12"/>
  <c r="AK150" i="12"/>
  <c r="AK146" i="12"/>
  <c r="AK142" i="12"/>
  <c r="AK151" i="12"/>
  <c r="AK135" i="12"/>
  <c r="AK131" i="12"/>
  <c r="AK127" i="12"/>
  <c r="AK122" i="12"/>
  <c r="AK107" i="12"/>
  <c r="AK111" i="12"/>
  <c r="AK114" i="12"/>
  <c r="AK117" i="12"/>
  <c r="AK103" i="12"/>
  <c r="AK96" i="12"/>
  <c r="AK92" i="12"/>
  <c r="AK84" i="12"/>
  <c r="AK76" i="12"/>
  <c r="AK69" i="12"/>
  <c r="AK63" i="12"/>
  <c r="AK60" i="12"/>
  <c r="AK53" i="12"/>
  <c r="AK45" i="12"/>
  <c r="AK42" i="12"/>
  <c r="AK30" i="12"/>
  <c r="AK23" i="12"/>
  <c r="AK17" i="12"/>
  <c r="AK14" i="12"/>
  <c r="AJ194" i="12"/>
  <c r="AJ189" i="12"/>
  <c r="AJ184" i="12"/>
  <c r="AJ178" i="12"/>
  <c r="AJ160" i="12"/>
  <c r="AJ156" i="12"/>
  <c r="AJ150" i="12"/>
  <c r="AJ146" i="12"/>
  <c r="AJ142" i="12"/>
  <c r="AJ135" i="12"/>
  <c r="AJ131" i="12"/>
  <c r="AJ127" i="12"/>
  <c r="AJ122" i="12"/>
  <c r="AJ107" i="12"/>
  <c r="AJ111" i="12"/>
  <c r="AJ114" i="12"/>
  <c r="AJ117" i="12"/>
  <c r="AJ103" i="12"/>
  <c r="AJ96" i="12"/>
  <c r="AJ92" i="12"/>
  <c r="AJ84" i="12"/>
  <c r="AJ76" i="12"/>
  <c r="AJ69" i="12"/>
  <c r="AJ63" i="12"/>
  <c r="AJ60" i="12"/>
  <c r="AJ53" i="12"/>
  <c r="AJ45" i="12"/>
  <c r="AJ42" i="12"/>
  <c r="AJ30" i="12"/>
  <c r="AJ70" i="12" s="1"/>
  <c r="AJ23" i="12"/>
  <c r="AJ17" i="12"/>
  <c r="AJ14" i="12"/>
  <c r="AI194" i="12"/>
  <c r="AI189" i="12"/>
  <c r="AI184" i="12"/>
  <c r="AI178" i="12"/>
  <c r="AI160" i="12"/>
  <c r="AI156" i="12"/>
  <c r="AI150" i="12"/>
  <c r="AI146" i="12"/>
  <c r="AI142" i="12"/>
  <c r="AI135" i="12"/>
  <c r="AI131" i="12"/>
  <c r="AI127" i="12"/>
  <c r="AI122" i="12"/>
  <c r="AI107" i="12"/>
  <c r="AI111" i="12"/>
  <c r="AI114" i="12"/>
  <c r="AI117" i="12"/>
  <c r="AI103" i="12"/>
  <c r="AI96" i="12"/>
  <c r="AI92" i="12"/>
  <c r="AI97" i="12" s="1"/>
  <c r="AI84" i="12"/>
  <c r="AI76" i="12"/>
  <c r="AI69" i="12"/>
  <c r="AI63" i="12"/>
  <c r="AI60" i="12"/>
  <c r="AI53" i="12"/>
  <c r="AI45" i="12"/>
  <c r="AI42" i="12"/>
  <c r="AI30" i="12"/>
  <c r="AI23" i="12"/>
  <c r="AI17" i="12"/>
  <c r="AI14" i="12"/>
  <c r="AH69" i="12"/>
  <c r="AH17" i="12"/>
  <c r="AG194" i="12"/>
  <c r="AG189" i="12"/>
  <c r="AG184" i="12"/>
  <c r="AG178" i="12"/>
  <c r="AG160" i="12"/>
  <c r="AG156" i="12"/>
  <c r="AG150" i="12"/>
  <c r="AG146" i="12"/>
  <c r="AG142" i="12"/>
  <c r="AG135" i="12"/>
  <c r="AG131" i="12"/>
  <c r="AG127" i="12"/>
  <c r="AG122" i="12"/>
  <c r="AG107" i="12"/>
  <c r="AG111" i="12"/>
  <c r="AG114" i="12"/>
  <c r="AG117" i="12"/>
  <c r="AG103" i="12"/>
  <c r="AG96" i="12"/>
  <c r="AG97" i="12" s="1"/>
  <c r="AG92" i="12"/>
  <c r="AG84" i="12"/>
  <c r="AG76" i="12"/>
  <c r="AG69" i="12"/>
  <c r="AG63" i="12"/>
  <c r="AG60" i="12"/>
  <c r="AG53" i="12"/>
  <c r="AG45" i="12"/>
  <c r="AG42" i="12"/>
  <c r="AG30" i="12"/>
  <c r="AG23" i="12"/>
  <c r="AG17" i="12"/>
  <c r="AG14" i="12"/>
  <c r="AF194" i="12"/>
  <c r="AF189" i="12"/>
  <c r="AF184" i="12"/>
  <c r="AF178" i="12"/>
  <c r="AF160" i="12"/>
  <c r="AF161" i="12" s="1"/>
  <c r="AF156" i="12"/>
  <c r="AF150" i="12"/>
  <c r="AF146" i="12"/>
  <c r="AF142" i="12"/>
  <c r="AF135" i="12"/>
  <c r="AF131" i="12"/>
  <c r="AF127" i="12"/>
  <c r="AF122" i="12"/>
  <c r="AF107" i="12"/>
  <c r="AF111" i="12"/>
  <c r="AF114" i="12"/>
  <c r="AF117" i="12"/>
  <c r="AF103" i="12"/>
  <c r="AF96" i="12"/>
  <c r="AF92" i="12"/>
  <c r="AF84" i="12"/>
  <c r="AF76" i="12"/>
  <c r="AF69" i="12"/>
  <c r="AF63" i="12"/>
  <c r="AF60" i="12"/>
  <c r="AF53" i="12"/>
  <c r="AF70" i="12" s="1"/>
  <c r="AF45" i="12"/>
  <c r="AF42" i="12"/>
  <c r="AF30" i="12"/>
  <c r="AF23" i="12"/>
  <c r="AF17" i="12"/>
  <c r="AF14" i="12"/>
  <c r="AE194" i="12"/>
  <c r="AE189" i="12"/>
  <c r="AE184" i="12"/>
  <c r="AE178" i="12"/>
  <c r="AE160" i="12"/>
  <c r="AE156" i="12"/>
  <c r="AE161" i="12"/>
  <c r="AE150" i="12"/>
  <c r="AE146" i="12"/>
  <c r="AE142" i="12"/>
  <c r="AE135" i="12"/>
  <c r="AE131" i="12"/>
  <c r="AE127" i="12"/>
  <c r="AE122" i="12"/>
  <c r="AE107" i="12"/>
  <c r="AE111" i="12"/>
  <c r="AE114" i="12"/>
  <c r="AE118" i="12" s="1"/>
  <c r="AE117" i="12"/>
  <c r="AE103" i="12"/>
  <c r="AE96" i="12"/>
  <c r="AE92" i="12"/>
  <c r="AE84" i="12"/>
  <c r="AE76" i="12"/>
  <c r="AE69" i="12"/>
  <c r="AE63" i="12"/>
  <c r="AE60" i="12"/>
  <c r="AE53" i="12"/>
  <c r="AE45" i="12"/>
  <c r="AE42" i="12"/>
  <c r="AE30" i="12"/>
  <c r="AE23" i="12"/>
  <c r="AE17" i="12"/>
  <c r="AE14" i="12"/>
  <c r="AD194" i="12"/>
  <c r="AD195" i="12" s="1"/>
  <c r="AD189" i="12"/>
  <c r="AD184" i="12"/>
  <c r="AD178" i="12"/>
  <c r="AD160" i="12"/>
  <c r="AD156" i="12"/>
  <c r="AD161" i="12" s="1"/>
  <c r="AD150" i="12"/>
  <c r="AD151" i="12" s="1"/>
  <c r="AD146" i="12"/>
  <c r="AD142" i="12"/>
  <c r="AD135" i="12"/>
  <c r="AD131" i="12"/>
  <c r="AD127" i="12"/>
  <c r="AD122" i="12"/>
  <c r="AD107" i="12"/>
  <c r="AD111" i="12"/>
  <c r="AD118" i="12" s="1"/>
  <c r="AD136" i="12" s="1"/>
  <c r="AD114" i="12"/>
  <c r="AD117" i="12"/>
  <c r="AD103" i="12"/>
  <c r="AD96" i="12"/>
  <c r="AD92" i="12"/>
  <c r="AD84" i="12"/>
  <c r="AD76" i="12"/>
  <c r="AD69" i="12"/>
  <c r="AD63" i="12"/>
  <c r="AD60" i="12"/>
  <c r="AD53" i="12"/>
  <c r="AD45" i="12"/>
  <c r="AD42" i="12"/>
  <c r="AD30" i="12"/>
  <c r="AD23" i="12"/>
  <c r="AD70" i="12" s="1"/>
  <c r="AD17" i="12"/>
  <c r="AD14" i="12"/>
  <c r="AC45" i="12"/>
  <c r="AB194" i="12"/>
  <c r="AB189" i="12"/>
  <c r="AB195" i="12" s="1"/>
  <c r="AB184" i="12"/>
  <c r="AB178" i="12"/>
  <c r="AB160" i="12"/>
  <c r="AB161" i="12" s="1"/>
  <c r="AB156" i="12"/>
  <c r="AB150" i="12"/>
  <c r="AB146" i="12"/>
  <c r="AB151" i="12" s="1"/>
  <c r="AB142" i="12"/>
  <c r="AB135" i="12"/>
  <c r="AB131" i="12"/>
  <c r="AB127" i="12"/>
  <c r="AB122" i="12"/>
  <c r="AB107" i="12"/>
  <c r="AB111" i="12"/>
  <c r="AB114" i="12"/>
  <c r="AB118" i="12" s="1"/>
  <c r="AB136" i="12" s="1"/>
  <c r="AB117" i="12"/>
  <c r="AB103" i="12"/>
  <c r="AB96" i="12"/>
  <c r="AB92" i="12"/>
  <c r="AB84" i="12"/>
  <c r="AB76" i="12"/>
  <c r="AB69" i="12"/>
  <c r="AB63" i="12"/>
  <c r="AB60" i="12"/>
  <c r="AB53" i="12"/>
  <c r="AB45" i="12"/>
  <c r="AB42" i="12"/>
  <c r="AB30" i="12"/>
  <c r="AB23" i="12"/>
  <c r="AB17" i="12"/>
  <c r="AB14" i="12"/>
  <c r="AA194" i="12"/>
  <c r="AA189" i="12"/>
  <c r="AA195" i="12" s="1"/>
  <c r="AA184" i="12"/>
  <c r="AA178" i="12"/>
  <c r="AA160" i="12"/>
  <c r="AA156" i="12"/>
  <c r="AA150" i="12"/>
  <c r="AA146" i="12"/>
  <c r="AA142" i="12"/>
  <c r="AA135" i="12"/>
  <c r="AA131" i="12"/>
  <c r="AA127" i="12"/>
  <c r="AA122" i="12"/>
  <c r="AA107" i="12"/>
  <c r="AA111" i="12"/>
  <c r="AA114" i="12"/>
  <c r="AA117" i="12"/>
  <c r="AA103" i="12"/>
  <c r="AA96" i="12"/>
  <c r="AA92" i="12"/>
  <c r="AA84" i="12"/>
  <c r="AA76" i="12"/>
  <c r="AA69" i="12"/>
  <c r="AA63" i="12"/>
  <c r="AA60" i="12"/>
  <c r="AA53" i="12"/>
  <c r="AA45" i="12"/>
  <c r="AA42" i="12"/>
  <c r="AA30" i="12"/>
  <c r="AA23" i="12"/>
  <c r="AA17" i="12"/>
  <c r="AA14" i="12"/>
  <c r="Z194" i="12"/>
  <c r="Z195" i="12" s="1"/>
  <c r="Z189" i="12"/>
  <c r="Z184" i="12"/>
  <c r="Z178" i="12"/>
  <c r="Z160" i="12"/>
  <c r="Z156" i="12"/>
  <c r="Z161" i="12"/>
  <c r="Z150" i="12"/>
  <c r="Z146" i="12"/>
  <c r="Z142" i="12"/>
  <c r="Z135" i="12"/>
  <c r="Z131" i="12"/>
  <c r="Z127" i="12"/>
  <c r="Z122" i="12"/>
  <c r="Z107" i="12"/>
  <c r="Z118" i="12" s="1"/>
  <c r="Z111" i="12"/>
  <c r="Z114" i="12"/>
  <c r="Z117" i="12"/>
  <c r="Z103" i="12"/>
  <c r="Z96" i="12"/>
  <c r="Z92" i="12"/>
  <c r="Z84" i="12"/>
  <c r="Z76" i="12"/>
  <c r="Z69" i="12"/>
  <c r="Z63" i="12"/>
  <c r="Z60" i="12"/>
  <c r="Z53" i="12"/>
  <c r="Z45" i="12"/>
  <c r="Z42" i="12"/>
  <c r="Z30" i="12"/>
  <c r="Z23" i="12"/>
  <c r="Z17" i="12"/>
  <c r="Z14" i="12"/>
  <c r="Y194" i="12"/>
  <c r="Y189" i="12"/>
  <c r="Y184" i="12"/>
  <c r="Y178" i="12"/>
  <c r="Y160" i="12"/>
  <c r="Y156" i="12"/>
  <c r="Y150" i="12"/>
  <c r="Y146" i="12"/>
  <c r="Y142" i="12"/>
  <c r="Y135" i="12"/>
  <c r="Y131" i="12"/>
  <c r="Y127" i="12"/>
  <c r="Y122" i="12"/>
  <c r="Y107" i="12"/>
  <c r="Y111" i="12"/>
  <c r="Y114" i="12"/>
  <c r="Y117" i="12"/>
  <c r="Y103" i="12"/>
  <c r="Y96" i="12"/>
  <c r="Y92" i="12"/>
  <c r="Y84" i="12"/>
  <c r="Y76" i="12"/>
  <c r="Y69" i="12"/>
  <c r="Y63" i="12"/>
  <c r="Y60" i="12"/>
  <c r="Y53" i="12"/>
  <c r="Y45" i="12"/>
  <c r="Y42" i="12"/>
  <c r="Y30" i="12"/>
  <c r="Y23" i="12"/>
  <c r="Y17" i="12"/>
  <c r="Y14" i="12"/>
  <c r="X114" i="12"/>
  <c r="X96" i="12"/>
  <c r="X42" i="12"/>
  <c r="W194" i="12"/>
  <c r="W189" i="12"/>
  <c r="W184" i="12"/>
  <c r="W178" i="12"/>
  <c r="W160" i="12"/>
  <c r="W156" i="12"/>
  <c r="W161" i="12"/>
  <c r="W150" i="12"/>
  <c r="W146" i="12"/>
  <c r="W142" i="12"/>
  <c r="W135" i="12"/>
  <c r="W131" i="12"/>
  <c r="W127" i="12"/>
  <c r="W122" i="12"/>
  <c r="W107" i="12"/>
  <c r="W111" i="12"/>
  <c r="W114" i="12"/>
  <c r="W117" i="12"/>
  <c r="W103" i="12"/>
  <c r="W96" i="12"/>
  <c r="W92" i="12"/>
  <c r="W84" i="12"/>
  <c r="W76" i="12"/>
  <c r="W69" i="12"/>
  <c r="W70" i="12" s="1"/>
  <c r="W63" i="12"/>
  <c r="W60" i="12"/>
  <c r="W53" i="12"/>
  <c r="W45" i="12"/>
  <c r="W42" i="12"/>
  <c r="W30" i="12"/>
  <c r="W23" i="12"/>
  <c r="W17" i="12"/>
  <c r="W14" i="12"/>
  <c r="V194" i="12"/>
  <c r="V189" i="12"/>
  <c r="V184" i="12"/>
  <c r="V195" i="12" s="1"/>
  <c r="V178" i="12"/>
  <c r="V160" i="12"/>
  <c r="V156" i="12"/>
  <c r="V161" i="12"/>
  <c r="V150" i="12"/>
  <c r="V146" i="12"/>
  <c r="V142" i="12"/>
  <c r="V151" i="12"/>
  <c r="V135" i="12"/>
  <c r="V131" i="12"/>
  <c r="V127" i="12"/>
  <c r="V122" i="12"/>
  <c r="V107" i="12"/>
  <c r="V111" i="12"/>
  <c r="V114" i="12"/>
  <c r="V117" i="12"/>
  <c r="V103" i="12"/>
  <c r="V96" i="12"/>
  <c r="V92" i="12"/>
  <c r="V84" i="12"/>
  <c r="V76" i="12"/>
  <c r="V69" i="12"/>
  <c r="V63" i="12"/>
  <c r="V60" i="12"/>
  <c r="V53" i="12"/>
  <c r="V45" i="12"/>
  <c r="V42" i="12"/>
  <c r="V30" i="12"/>
  <c r="V23" i="12"/>
  <c r="V17" i="12"/>
  <c r="V14" i="12"/>
  <c r="U194" i="12"/>
  <c r="U189" i="12"/>
  <c r="U184" i="12"/>
  <c r="U178" i="12"/>
  <c r="U160" i="12"/>
  <c r="U156" i="12"/>
  <c r="U161" i="12"/>
  <c r="U150" i="12"/>
  <c r="U151" i="12" s="1"/>
  <c r="U146" i="12"/>
  <c r="U142" i="12"/>
  <c r="U135" i="12"/>
  <c r="U131" i="12"/>
  <c r="U127" i="12"/>
  <c r="U122" i="12"/>
  <c r="U107" i="12"/>
  <c r="U111" i="12"/>
  <c r="U114" i="12"/>
  <c r="U117" i="12"/>
  <c r="U103" i="12"/>
  <c r="U96" i="12"/>
  <c r="U92" i="12"/>
  <c r="U84" i="12"/>
  <c r="U76" i="12"/>
  <c r="U69" i="12"/>
  <c r="U63" i="12"/>
  <c r="U60" i="12"/>
  <c r="U53" i="12"/>
  <c r="U45" i="12"/>
  <c r="U42" i="12"/>
  <c r="U30" i="12"/>
  <c r="U23" i="12"/>
  <c r="U17" i="12"/>
  <c r="U14" i="12"/>
  <c r="T194" i="12"/>
  <c r="T189" i="12"/>
  <c r="T184" i="12"/>
  <c r="T178" i="12"/>
  <c r="T195" i="12"/>
  <c r="T160" i="12"/>
  <c r="T156" i="12"/>
  <c r="T161" i="12" s="1"/>
  <c r="T150" i="12"/>
  <c r="T151" i="12" s="1"/>
  <c r="T146" i="12"/>
  <c r="T142" i="12"/>
  <c r="T135" i="12"/>
  <c r="T131" i="12"/>
  <c r="T127" i="12"/>
  <c r="T122" i="12"/>
  <c r="T107" i="12"/>
  <c r="T111" i="12"/>
  <c r="T114" i="12"/>
  <c r="T117" i="12"/>
  <c r="T118" i="12"/>
  <c r="T103" i="12"/>
  <c r="T96" i="12"/>
  <c r="T92" i="12"/>
  <c r="T97" i="12" s="1"/>
  <c r="T84" i="12"/>
  <c r="T76" i="12"/>
  <c r="T69" i="12"/>
  <c r="T63" i="12"/>
  <c r="T60" i="12"/>
  <c r="T53" i="12"/>
  <c r="T45" i="12"/>
  <c r="T42" i="12"/>
  <c r="T30" i="12"/>
  <c r="T23" i="12"/>
  <c r="T17" i="12"/>
  <c r="T14" i="12"/>
  <c r="S111" i="12"/>
  <c r="S117" i="12"/>
  <c r="S103" i="12"/>
  <c r="S96" i="12"/>
  <c r="S63" i="12"/>
  <c r="S17" i="12"/>
  <c r="R194" i="12"/>
  <c r="R189" i="12"/>
  <c r="R195" i="12" s="1"/>
  <c r="R184" i="12"/>
  <c r="R178" i="12"/>
  <c r="R160" i="12"/>
  <c r="R161" i="12" s="1"/>
  <c r="R156" i="12"/>
  <c r="R150" i="12"/>
  <c r="R146" i="12"/>
  <c r="R142" i="12"/>
  <c r="R135" i="12"/>
  <c r="R131" i="12"/>
  <c r="R127" i="12"/>
  <c r="R122" i="12"/>
  <c r="R107" i="12"/>
  <c r="R111" i="12"/>
  <c r="R114" i="12"/>
  <c r="R117" i="12"/>
  <c r="R103" i="12"/>
  <c r="R96" i="12"/>
  <c r="R92" i="12"/>
  <c r="R84" i="12"/>
  <c r="R76" i="12"/>
  <c r="R69" i="12"/>
  <c r="R63" i="12"/>
  <c r="R60" i="12"/>
  <c r="R53" i="12"/>
  <c r="R45" i="12"/>
  <c r="R42" i="12"/>
  <c r="R30" i="12"/>
  <c r="R23" i="12"/>
  <c r="R17" i="12"/>
  <c r="R14" i="12"/>
  <c r="Q194" i="12"/>
  <c r="Q189" i="12"/>
  <c r="Q184" i="12"/>
  <c r="Q178" i="12"/>
  <c r="Q160" i="12"/>
  <c r="Q156" i="12"/>
  <c r="Q150" i="12"/>
  <c r="Q146" i="12"/>
  <c r="Q142" i="12"/>
  <c r="Q135" i="12"/>
  <c r="Q131" i="12"/>
  <c r="Q127" i="12"/>
  <c r="Q122" i="12"/>
  <c r="Q107" i="12"/>
  <c r="Q111" i="12"/>
  <c r="Q114" i="12"/>
  <c r="Q117" i="12"/>
  <c r="Q103" i="12"/>
  <c r="Q96" i="12"/>
  <c r="Q92" i="12"/>
  <c r="Q84" i="12"/>
  <c r="Q76" i="12"/>
  <c r="Q69" i="12"/>
  <c r="Q63" i="12"/>
  <c r="Q60" i="12"/>
  <c r="Q53" i="12"/>
  <c r="Q45" i="12"/>
  <c r="Q42" i="12"/>
  <c r="Q30" i="12"/>
  <c r="Q23" i="12"/>
  <c r="Q17" i="12"/>
  <c r="Q14" i="12"/>
  <c r="P194" i="12"/>
  <c r="P189" i="12"/>
  <c r="P195" i="12" s="1"/>
  <c r="P184" i="12"/>
  <c r="P178" i="12"/>
  <c r="P160" i="12"/>
  <c r="P156" i="12"/>
  <c r="P150" i="12"/>
  <c r="P146" i="12"/>
  <c r="P142" i="12"/>
  <c r="P135" i="12"/>
  <c r="P131" i="12"/>
  <c r="P127" i="12"/>
  <c r="P122" i="12"/>
  <c r="P107" i="12"/>
  <c r="P111" i="12"/>
  <c r="P114" i="12"/>
  <c r="P117" i="12"/>
  <c r="P103" i="12"/>
  <c r="P96" i="12"/>
  <c r="P97" i="12" s="1"/>
  <c r="P92" i="12"/>
  <c r="P84" i="12"/>
  <c r="P76" i="12"/>
  <c r="P69" i="12"/>
  <c r="P63" i="12"/>
  <c r="P60" i="12"/>
  <c r="P53" i="12"/>
  <c r="P45" i="12"/>
  <c r="P42" i="12"/>
  <c r="P30" i="12"/>
  <c r="P23" i="12"/>
  <c r="P17" i="12"/>
  <c r="P14" i="12"/>
  <c r="O194" i="12"/>
  <c r="O195" i="12" s="1"/>
  <c r="O189" i="12"/>
  <c r="O184" i="12"/>
  <c r="O178" i="12"/>
  <c r="O160" i="12"/>
  <c r="O156" i="12"/>
  <c r="O161" i="12"/>
  <c r="O150" i="12"/>
  <c r="O151" i="12" s="1"/>
  <c r="O146" i="12"/>
  <c r="O142" i="12"/>
  <c r="O135" i="12"/>
  <c r="O131" i="12"/>
  <c r="O127" i="12"/>
  <c r="O122" i="12"/>
  <c r="O107" i="12"/>
  <c r="O118" i="12" s="1"/>
  <c r="O111" i="12"/>
  <c r="O114" i="12"/>
  <c r="O117" i="12"/>
  <c r="O103" i="12"/>
  <c r="O96" i="12"/>
  <c r="O92" i="12"/>
  <c r="O84" i="12"/>
  <c r="O76" i="12"/>
  <c r="O69" i="12"/>
  <c r="O63" i="12"/>
  <c r="O60" i="12"/>
  <c r="O53" i="12"/>
  <c r="O45" i="12"/>
  <c r="O42" i="12"/>
  <c r="O30" i="12"/>
  <c r="O23" i="12"/>
  <c r="O17" i="12"/>
  <c r="O14" i="12"/>
  <c r="N107" i="12"/>
  <c r="N103" i="12"/>
  <c r="N96" i="12"/>
  <c r="N69" i="12"/>
  <c r="N63" i="12"/>
  <c r="N23" i="12"/>
  <c r="N17" i="12"/>
  <c r="M194" i="12"/>
  <c r="M189" i="12"/>
  <c r="M184" i="12"/>
  <c r="M178" i="12"/>
  <c r="M160" i="12"/>
  <c r="M156" i="12"/>
  <c r="M150" i="12"/>
  <c r="M146" i="12"/>
  <c r="M142" i="12"/>
  <c r="M135" i="12"/>
  <c r="M131" i="12"/>
  <c r="M127" i="12"/>
  <c r="M122" i="12"/>
  <c r="M107" i="12"/>
  <c r="M111" i="12"/>
  <c r="M114" i="12"/>
  <c r="M117" i="12"/>
  <c r="M103" i="12"/>
  <c r="M96" i="12"/>
  <c r="M92" i="12"/>
  <c r="M84" i="12"/>
  <c r="M76" i="12"/>
  <c r="M69" i="12"/>
  <c r="M63" i="12"/>
  <c r="M60" i="12"/>
  <c r="M53" i="12"/>
  <c r="M45" i="12"/>
  <c r="M42" i="12"/>
  <c r="M30" i="12"/>
  <c r="M23" i="12"/>
  <c r="M17" i="12"/>
  <c r="M14" i="12"/>
  <c r="L194" i="12"/>
  <c r="L189" i="12"/>
  <c r="L184" i="12"/>
  <c r="L178" i="12"/>
  <c r="L160" i="12"/>
  <c r="L156" i="12"/>
  <c r="L150" i="12"/>
  <c r="L146" i="12"/>
  <c r="L142" i="12"/>
  <c r="L135" i="12"/>
  <c r="L131" i="12"/>
  <c r="L127" i="12"/>
  <c r="L122" i="12"/>
  <c r="L107" i="12"/>
  <c r="L111" i="12"/>
  <c r="L114" i="12"/>
  <c r="L117" i="12"/>
  <c r="L103" i="12"/>
  <c r="L96" i="12"/>
  <c r="L92" i="12"/>
  <c r="L84" i="12"/>
  <c r="L76" i="12"/>
  <c r="L69" i="12"/>
  <c r="L63" i="12"/>
  <c r="L60" i="12"/>
  <c r="L53" i="12"/>
  <c r="L45" i="12"/>
  <c r="L42" i="12"/>
  <c r="L30" i="12"/>
  <c r="L23" i="12"/>
  <c r="L17" i="12"/>
  <c r="L14" i="12"/>
  <c r="K194" i="12"/>
  <c r="K189" i="12"/>
  <c r="K184" i="12"/>
  <c r="K178" i="12"/>
  <c r="K160" i="12"/>
  <c r="K156" i="12"/>
  <c r="K161" i="12"/>
  <c r="K150" i="12"/>
  <c r="K151" i="12" s="1"/>
  <c r="K146" i="12"/>
  <c r="K142" i="12"/>
  <c r="K135" i="12"/>
  <c r="K131" i="12"/>
  <c r="K127" i="12"/>
  <c r="K122" i="12"/>
  <c r="K107" i="12"/>
  <c r="K111" i="12"/>
  <c r="K114" i="12"/>
  <c r="K117" i="12"/>
  <c r="K103" i="12"/>
  <c r="K96" i="12"/>
  <c r="K92" i="12"/>
  <c r="K84" i="12"/>
  <c r="K76" i="12"/>
  <c r="K69" i="12"/>
  <c r="K63" i="12"/>
  <c r="K60" i="12"/>
  <c r="K53" i="12"/>
  <c r="K45" i="12"/>
  <c r="K42" i="12"/>
  <c r="K30" i="12"/>
  <c r="K23" i="12"/>
  <c r="K17" i="12"/>
  <c r="K14" i="12"/>
  <c r="J194" i="12"/>
  <c r="J189" i="12"/>
  <c r="J184" i="12"/>
  <c r="J178" i="12"/>
  <c r="J160" i="12"/>
  <c r="J161" i="12" s="1"/>
  <c r="J156" i="12"/>
  <c r="J150" i="12"/>
  <c r="J146" i="12"/>
  <c r="J142" i="12"/>
  <c r="J135" i="12"/>
  <c r="J131" i="12"/>
  <c r="J127" i="12"/>
  <c r="J122" i="12"/>
  <c r="J107" i="12"/>
  <c r="J111" i="12"/>
  <c r="J114" i="12"/>
  <c r="J117" i="12"/>
  <c r="J103" i="12"/>
  <c r="J96" i="12"/>
  <c r="J92" i="12"/>
  <c r="J84" i="12"/>
  <c r="J76" i="12"/>
  <c r="J69" i="12"/>
  <c r="J63" i="12"/>
  <c r="J60" i="12"/>
  <c r="J53" i="12"/>
  <c r="J45" i="12"/>
  <c r="J42" i="12"/>
  <c r="J30" i="12"/>
  <c r="J23" i="12"/>
  <c r="J17" i="12"/>
  <c r="J14" i="12"/>
  <c r="H194" i="12"/>
  <c r="H189" i="12"/>
  <c r="H184" i="12"/>
  <c r="H178" i="12"/>
  <c r="H160" i="12"/>
  <c r="H156" i="12"/>
  <c r="H150" i="12"/>
  <c r="H146" i="12"/>
  <c r="H142" i="12"/>
  <c r="H135" i="12"/>
  <c r="H131" i="12"/>
  <c r="H127" i="12"/>
  <c r="H122" i="12"/>
  <c r="H107" i="12"/>
  <c r="H111" i="12"/>
  <c r="H114" i="12"/>
  <c r="H117" i="12"/>
  <c r="H103" i="12"/>
  <c r="H96" i="12"/>
  <c r="H92" i="12"/>
  <c r="H84" i="12"/>
  <c r="H97" i="12" s="1"/>
  <c r="H76" i="12"/>
  <c r="H69" i="12"/>
  <c r="H63" i="12"/>
  <c r="H60" i="12"/>
  <c r="H53" i="12"/>
  <c r="H45" i="12"/>
  <c r="H42" i="12"/>
  <c r="H30" i="12"/>
  <c r="H23" i="12"/>
  <c r="H17" i="12"/>
  <c r="H14" i="12"/>
  <c r="G194" i="12"/>
  <c r="G189" i="12"/>
  <c r="G184" i="12"/>
  <c r="G178" i="12"/>
  <c r="G160" i="12"/>
  <c r="G161" i="12" s="1"/>
  <c r="G156" i="12"/>
  <c r="G150" i="12"/>
  <c r="G146" i="12"/>
  <c r="G142" i="12"/>
  <c r="G151" i="12" s="1"/>
  <c r="G135" i="12"/>
  <c r="G131" i="12"/>
  <c r="G127" i="12"/>
  <c r="G122" i="12"/>
  <c r="G107" i="12"/>
  <c r="G111" i="12"/>
  <c r="G114" i="12"/>
  <c r="G117" i="12"/>
  <c r="G103" i="12"/>
  <c r="G96" i="12"/>
  <c r="G92" i="12"/>
  <c r="G84" i="12"/>
  <c r="G76" i="12"/>
  <c r="G69" i="12"/>
  <c r="G63" i="12"/>
  <c r="G60" i="12"/>
  <c r="G53" i="12"/>
  <c r="G45" i="12"/>
  <c r="G42" i="12"/>
  <c r="G30" i="12"/>
  <c r="G23" i="12"/>
  <c r="G17" i="12"/>
  <c r="G14" i="12"/>
  <c r="F194" i="12"/>
  <c r="F189" i="12"/>
  <c r="F184" i="12"/>
  <c r="F178" i="12"/>
  <c r="F160" i="12"/>
  <c r="F161" i="12" s="1"/>
  <c r="F156" i="12"/>
  <c r="F150" i="12"/>
  <c r="F146" i="12"/>
  <c r="F142" i="12"/>
  <c r="F135" i="12"/>
  <c r="F131" i="12"/>
  <c r="F127" i="12"/>
  <c r="F122" i="12"/>
  <c r="F107" i="12"/>
  <c r="F111" i="12"/>
  <c r="F114" i="12"/>
  <c r="F117" i="12"/>
  <c r="F103" i="12"/>
  <c r="F96" i="12"/>
  <c r="F92" i="12"/>
  <c r="F84" i="12"/>
  <c r="F76" i="12"/>
  <c r="F69" i="12"/>
  <c r="F63" i="12"/>
  <c r="F70" i="12" s="1"/>
  <c r="F60" i="12"/>
  <c r="F53" i="12"/>
  <c r="F45" i="12"/>
  <c r="F42" i="12"/>
  <c r="F30" i="12"/>
  <c r="F23" i="12"/>
  <c r="F17" i="12"/>
  <c r="F14" i="12"/>
  <c r="E194" i="12"/>
  <c r="E189" i="12"/>
  <c r="E184" i="12"/>
  <c r="E178" i="12"/>
  <c r="E160" i="12"/>
  <c r="E156" i="12"/>
  <c r="E161" i="12"/>
  <c r="E150" i="12"/>
  <c r="E146" i="12"/>
  <c r="E142" i="12"/>
  <c r="E135" i="12"/>
  <c r="E131" i="12"/>
  <c r="E127" i="12"/>
  <c r="E122" i="12"/>
  <c r="E107" i="12"/>
  <c r="E111" i="12"/>
  <c r="E114" i="12"/>
  <c r="E117" i="12"/>
  <c r="E103" i="12"/>
  <c r="E96" i="12"/>
  <c r="E92" i="12"/>
  <c r="E84" i="12"/>
  <c r="E76" i="12"/>
  <c r="E69" i="12"/>
  <c r="E63" i="12"/>
  <c r="E60" i="12"/>
  <c r="E53" i="12"/>
  <c r="E45" i="12"/>
  <c r="E42" i="12"/>
  <c r="E30" i="12"/>
  <c r="E23" i="12"/>
  <c r="E17" i="12"/>
  <c r="E14" i="12"/>
  <c r="AS187" i="12"/>
  <c r="AY187" i="12"/>
  <c r="AS126" i="12"/>
  <c r="AY126" i="12" s="1"/>
  <c r="CT1135" i="1"/>
  <c r="CT1068" i="1"/>
  <c r="DE278" i="1"/>
  <c r="DE801" i="1"/>
  <c r="CN1112" i="1"/>
  <c r="CR1112" i="1"/>
  <c r="DD1112" i="1"/>
  <c r="DE1112" i="1" s="1"/>
  <c r="BX654" i="1"/>
  <c r="DD259" i="1"/>
  <c r="DD1062" i="1"/>
  <c r="DA839" i="1"/>
  <c r="CZ237" i="1"/>
  <c r="CY915" i="1"/>
  <c r="CU728" i="1"/>
  <c r="CT915" i="1"/>
  <c r="BX520" i="1"/>
  <c r="BN387" i="1"/>
  <c r="BM887" i="1"/>
  <c r="BJ84" i="1"/>
  <c r="BI327" i="1"/>
  <c r="BI728" i="1"/>
  <c r="BI839" i="1"/>
  <c r="BI1135" i="1"/>
  <c r="BI1175" i="1"/>
  <c r="BH626" i="1"/>
  <c r="BH1174" i="1"/>
  <c r="BH1175" i="1" s="1"/>
  <c r="BD387" i="1"/>
  <c r="AX864" i="1"/>
  <c r="AW647" i="1"/>
  <c r="DE196" i="1"/>
  <c r="DE199" i="1" s="1"/>
  <c r="DE565" i="1"/>
  <c r="DE746" i="1"/>
  <c r="DD839" i="1"/>
  <c r="DD901" i="1"/>
  <c r="DD906" i="1" s="1"/>
  <c r="DC695" i="1"/>
  <c r="CW915" i="1"/>
  <c r="CW906" i="1"/>
  <c r="CV1175" i="1"/>
  <c r="CV1135" i="1"/>
  <c r="CT387" i="1"/>
  <c r="CR237" i="1"/>
  <c r="AS647" i="1"/>
  <c r="AS839" i="1"/>
  <c r="AS906" i="1"/>
  <c r="DE256" i="1"/>
  <c r="DE259" i="1"/>
  <c r="DE357" i="1"/>
  <c r="DE461" i="1"/>
  <c r="DE619" i="1"/>
  <c r="DE657" i="1"/>
  <c r="DE656" i="1"/>
  <c r="DE854" i="1"/>
  <c r="DE1065" i="1"/>
  <c r="DD292" i="1"/>
  <c r="DD468" i="1"/>
  <c r="DB937" i="1"/>
  <c r="DB1135" i="1"/>
  <c r="DA674" i="1"/>
  <c r="DA1175" i="1"/>
  <c r="CY864" i="1"/>
  <c r="CW84" i="1"/>
  <c r="CW475" i="1"/>
  <c r="CW537" i="1"/>
  <c r="CV937" i="1"/>
  <c r="CS387" i="1"/>
  <c r="CO537" i="1"/>
  <c r="CO475" i="1"/>
  <c r="CO387" i="1"/>
  <c r="CO538" i="1" s="1"/>
  <c r="CO84" i="1"/>
  <c r="CN278" i="1"/>
  <c r="CN310" i="1"/>
  <c r="CN317" i="1"/>
  <c r="CN412" i="1"/>
  <c r="CN497" i="1"/>
  <c r="CN520" i="1"/>
  <c r="CN537" i="1" s="1"/>
  <c r="CN1015" i="1"/>
  <c r="CN1087" i="1"/>
  <c r="CN1107" i="1"/>
  <c r="CM475" i="1"/>
  <c r="CL915" i="1"/>
  <c r="CE674" i="1"/>
  <c r="BS647" i="1"/>
  <c r="AS607" i="1"/>
  <c r="DE6" i="1"/>
  <c r="DE9" i="1" s="1"/>
  <c r="DE638" i="1"/>
  <c r="DE911" i="1"/>
  <c r="DE914" i="1" s="1"/>
  <c r="DE938" i="1"/>
  <c r="DE1017" i="1"/>
  <c r="CZ84" i="1"/>
  <c r="CT864" i="1"/>
  <c r="CT956" i="1"/>
  <c r="CT957" i="1" s="1"/>
  <c r="CT937" i="1"/>
  <c r="AS84" i="1"/>
  <c r="AS695" i="1"/>
  <c r="AS956" i="1"/>
  <c r="DE64" i="1"/>
  <c r="DE340" i="1"/>
  <c r="DE774" i="1"/>
  <c r="DD243" i="1"/>
  <c r="DD1188" i="1"/>
  <c r="DB237" i="1"/>
  <c r="DA915" i="1"/>
  <c r="DA906" i="1"/>
  <c r="CZ674" i="1"/>
  <c r="CZ839" i="1"/>
  <c r="CZ777" i="1"/>
  <c r="CZ865" i="1"/>
  <c r="CZ906" i="1"/>
  <c r="CY607" i="1"/>
  <c r="CY839" i="1"/>
  <c r="CX70" i="1"/>
  <c r="CX864" i="1"/>
  <c r="CX915" i="1"/>
  <c r="CX916" i="1" s="1"/>
  <c r="CW1191" i="1"/>
  <c r="CV84" i="1"/>
  <c r="CV237" i="1"/>
  <c r="CS1068" i="1"/>
  <c r="CP237" i="1"/>
  <c r="CP674" i="1"/>
  <c r="CP696" i="1" s="1"/>
  <c r="CO906" i="1"/>
  <c r="CN727" i="1"/>
  <c r="CN874" i="1"/>
  <c r="CN924" i="1"/>
  <c r="CN951" i="1"/>
  <c r="CN956" i="1"/>
  <c r="CN1062" i="1"/>
  <c r="CI387" i="1"/>
  <c r="CF1135" i="1"/>
  <c r="CN1129" i="1"/>
  <c r="CR1129" i="1"/>
  <c r="DD1129" i="1"/>
  <c r="CR1123" i="1"/>
  <c r="DD1123" i="1" s="1"/>
  <c r="CN1123" i="1"/>
  <c r="BY475" i="1"/>
  <c r="BY777" i="1"/>
  <c r="BY915" i="1"/>
  <c r="BY887" i="1"/>
  <c r="BX665" i="1"/>
  <c r="BX687" i="1"/>
  <c r="BX694" i="1"/>
  <c r="BX951" i="1"/>
  <c r="BX956" i="1" s="1"/>
  <c r="BX924" i="1"/>
  <c r="BX1020" i="1"/>
  <c r="BW387" i="1"/>
  <c r="BT647" i="1"/>
  <c r="DE380" i="1"/>
  <c r="DE376" i="1"/>
  <c r="DD757" i="1"/>
  <c r="DD863" i="1"/>
  <c r="DD886" i="1"/>
  <c r="DC777" i="1"/>
  <c r="DC824" i="1"/>
  <c r="DC887" i="1"/>
  <c r="DC915" i="1"/>
  <c r="DC916" i="1" s="1"/>
  <c r="DC1191" i="1"/>
  <c r="DB537" i="1"/>
  <c r="DB695" i="1"/>
  <c r="DA84" i="1"/>
  <c r="CZ537" i="1"/>
  <c r="CZ695" i="1"/>
  <c r="CY84" i="1"/>
  <c r="CY475" i="1"/>
  <c r="CY537" i="1"/>
  <c r="CY906" i="1"/>
  <c r="CY1135" i="1"/>
  <c r="CX607" i="1"/>
  <c r="CX728" i="1"/>
  <c r="CW824" i="1"/>
  <c r="CW1135" i="1"/>
  <c r="CV537" i="1"/>
  <c r="CV647" i="1"/>
  <c r="CV695" i="1"/>
  <c r="CU887" i="1"/>
  <c r="CU1191" i="1"/>
  <c r="CT607" i="1"/>
  <c r="CT728" i="1"/>
  <c r="CS237" i="1"/>
  <c r="CS674" i="1"/>
  <c r="CS695" i="1"/>
  <c r="CQ327" i="1"/>
  <c r="CQ647" i="1"/>
  <c r="CQ696" i="1" s="1"/>
  <c r="CQ1135" i="1"/>
  <c r="CN195" i="1"/>
  <c r="CN232" i="1"/>
  <c r="CN199" i="1"/>
  <c r="CN266" i="1"/>
  <c r="CN292" i="1"/>
  <c r="CN617" i="1"/>
  <c r="CN626" i="1"/>
  <c r="CN640" i="1"/>
  <c r="CN646" i="1"/>
  <c r="CM84" i="1"/>
  <c r="CL387" i="1"/>
  <c r="CL327" i="1"/>
  <c r="CL237" i="1"/>
  <c r="CL84" i="1"/>
  <c r="CL777" i="1"/>
  <c r="CJ475" i="1"/>
  <c r="CJ537" i="1"/>
  <c r="CJ607" i="1"/>
  <c r="CJ674" i="1"/>
  <c r="CI537" i="1"/>
  <c r="CI607" i="1"/>
  <c r="CI728" i="1"/>
  <c r="CH887" i="1"/>
  <c r="CG1191" i="1"/>
  <c r="CF887" i="1"/>
  <c r="CF916" i="1"/>
  <c r="CC915" i="1"/>
  <c r="CC1068" i="1"/>
  <c r="CB84" i="1"/>
  <c r="CB607" i="1"/>
  <c r="CB1068" i="1"/>
  <c r="BZ647" i="1"/>
  <c r="BZ607" i="1"/>
  <c r="BZ696" i="1"/>
  <c r="BX474" i="1"/>
  <c r="BX727" i="1"/>
  <c r="BX757" i="1"/>
  <c r="BX874" i="1"/>
  <c r="BU647" i="1"/>
  <c r="BO1068" i="1"/>
  <c r="CB1119" i="1"/>
  <c r="BX1119" i="1"/>
  <c r="BX1111" i="1"/>
  <c r="BX1115" i="1"/>
  <c r="BX1107" i="1"/>
  <c r="BX1087" i="1"/>
  <c r="CB1115" i="1"/>
  <c r="CB1111" i="1"/>
  <c r="BK674" i="1"/>
  <c r="DE209" i="1"/>
  <c r="DE205" i="1"/>
  <c r="DD272" i="1"/>
  <c r="DE560" i="1"/>
  <c r="DE556" i="1"/>
  <c r="DE552" i="1"/>
  <c r="DE548" i="1"/>
  <c r="DE544" i="1"/>
  <c r="DE663" i="1"/>
  <c r="DE665" i="1" s="1"/>
  <c r="DD801" i="1"/>
  <c r="DD914" i="1"/>
  <c r="DD915" i="1" s="1"/>
  <c r="DE1027" i="1"/>
  <c r="DD1038" i="1"/>
  <c r="DC84" i="1"/>
  <c r="DC537" i="1"/>
  <c r="DC1175" i="1"/>
  <c r="DB864" i="1"/>
  <c r="DB915" i="1"/>
  <c r="DB916" i="1" s="1"/>
  <c r="DB956" i="1"/>
  <c r="DB957" i="1" s="1"/>
  <c r="CZ915" i="1"/>
  <c r="CZ956" i="1"/>
  <c r="CY824" i="1"/>
  <c r="CX237" i="1"/>
  <c r="CX824" i="1"/>
  <c r="CX887" i="1"/>
  <c r="CX937" i="1"/>
  <c r="CX1068" i="1"/>
  <c r="CW607" i="1"/>
  <c r="CV864" i="1"/>
  <c r="CV915" i="1"/>
  <c r="CV956" i="1"/>
  <c r="CU84" i="1"/>
  <c r="CU537" i="1"/>
  <c r="CU956" i="1"/>
  <c r="CU957" i="1" s="1"/>
  <c r="CT824" i="1"/>
  <c r="CT887" i="1"/>
  <c r="CT916" i="1" s="1"/>
  <c r="CS537" i="1"/>
  <c r="CQ84" i="1"/>
  <c r="CQ537" i="1"/>
  <c r="CQ906" i="1"/>
  <c r="CO956" i="1"/>
  <c r="CO1175" i="1"/>
  <c r="CN596" i="1"/>
  <c r="CN757" i="1"/>
  <c r="CN777" i="1" s="1"/>
  <c r="CN766" i="1"/>
  <c r="CN839" i="1"/>
  <c r="CN853" i="1"/>
  <c r="CN1029" i="1"/>
  <c r="CN1174" i="1"/>
  <c r="CM387" i="1"/>
  <c r="CM327" i="1"/>
  <c r="CM824" i="1"/>
  <c r="CM887" i="1"/>
  <c r="CM1135" i="1"/>
  <c r="CL647" i="1"/>
  <c r="CL824" i="1"/>
  <c r="CK937" i="1"/>
  <c r="CK957" i="1" s="1"/>
  <c r="CJ1191" i="1"/>
  <c r="CI84" i="1"/>
  <c r="CI237" i="1"/>
  <c r="CH864" i="1"/>
  <c r="CG674" i="1"/>
  <c r="CG695" i="1"/>
  <c r="CG696" i="1" s="1"/>
  <c r="CG647" i="1"/>
  <c r="CG956" i="1"/>
  <c r="CG957" i="1" s="1"/>
  <c r="CG1175" i="1"/>
  <c r="CF864" i="1"/>
  <c r="CE647" i="1"/>
  <c r="CE696" i="1" s="1"/>
  <c r="CD475" i="1"/>
  <c r="CD647" i="1"/>
  <c r="CD864" i="1"/>
  <c r="CD1135" i="1"/>
  <c r="CC728" i="1"/>
  <c r="CC864" i="1"/>
  <c r="CB237" i="1"/>
  <c r="CB475" i="1"/>
  <c r="CB387" i="1"/>
  <c r="CB327" i="1"/>
  <c r="CA475" i="1"/>
  <c r="CA1135" i="1"/>
  <c r="BX9" i="1"/>
  <c r="BX243" i="1"/>
  <c r="BX259" i="1"/>
  <c r="BX292" i="1"/>
  <c r="BX338" i="1"/>
  <c r="BX339" i="1" s="1"/>
  <c r="BX357" i="1"/>
  <c r="BX371" i="1"/>
  <c r="BX460" i="1"/>
  <c r="BX475" i="1" s="1"/>
  <c r="BX468" i="1"/>
  <c r="BX412" i="1"/>
  <c r="BX715" i="1"/>
  <c r="BX863" i="1"/>
  <c r="BR839" i="1"/>
  <c r="BQ906" i="1"/>
  <c r="BP327" i="1"/>
  <c r="BL839" i="1"/>
  <c r="BL906" i="1"/>
  <c r="BL937" i="1"/>
  <c r="BK327" i="1"/>
  <c r="CS864" i="1"/>
  <c r="CS915" i="1"/>
  <c r="CR475" i="1"/>
  <c r="CR538" i="1" s="1"/>
  <c r="CR537" i="1"/>
  <c r="CR695" i="1"/>
  <c r="CR839" i="1"/>
  <c r="CR906" i="1"/>
  <c r="CQ824" i="1"/>
  <c r="CP864" i="1"/>
  <c r="CP915" i="1"/>
  <c r="CP956" i="1"/>
  <c r="CP957" i="1" s="1"/>
  <c r="CO647" i="1"/>
  <c r="CO824" i="1"/>
  <c r="CO1068" i="1"/>
  <c r="CN74" i="1"/>
  <c r="CN174" i="1"/>
  <c r="CN175" i="1"/>
  <c r="CN255" i="1"/>
  <c r="CN272" i="1"/>
  <c r="CN338" i="1"/>
  <c r="CN339" i="1" s="1"/>
  <c r="CN367" i="1"/>
  <c r="CN511" i="1"/>
  <c r="CN536" i="1"/>
  <c r="CN606" i="1"/>
  <c r="CN635" i="1"/>
  <c r="CN673" i="1"/>
  <c r="CN669" i="1"/>
  <c r="CN659" i="1"/>
  <c r="CN742" i="1"/>
  <c r="CN773" i="1"/>
  <c r="CN901" i="1"/>
  <c r="CN906" i="1" s="1"/>
  <c r="CN1020" i="1"/>
  <c r="CM607" i="1"/>
  <c r="CM915" i="1"/>
  <c r="CM956" i="1"/>
  <c r="CM957" i="1" s="1"/>
  <c r="CL1175" i="1"/>
  <c r="CK84" i="1"/>
  <c r="CK1191" i="1"/>
  <c r="CJ824" i="1"/>
  <c r="CJ906" i="1"/>
  <c r="CJ916" i="1" s="1"/>
  <c r="CI937" i="1"/>
  <c r="CH70" i="1"/>
  <c r="CH84" i="1" s="1"/>
  <c r="CH475" i="1"/>
  <c r="CH537" i="1"/>
  <c r="CH607" i="1"/>
  <c r="CH674" i="1"/>
  <c r="CG237" i="1"/>
  <c r="CG937" i="1"/>
  <c r="CF674" i="1"/>
  <c r="CF824" i="1"/>
  <c r="CE237" i="1"/>
  <c r="CE327" i="1"/>
  <c r="CE728" i="1"/>
  <c r="CE864" i="1"/>
  <c r="CD537" i="1"/>
  <c r="CD887" i="1"/>
  <c r="CD916" i="1" s="1"/>
  <c r="CC537" i="1"/>
  <c r="CC839" i="1"/>
  <c r="CC906" i="1"/>
  <c r="CC916" i="1" s="1"/>
  <c r="CC887" i="1"/>
  <c r="CC956" i="1"/>
  <c r="CC1191" i="1"/>
  <c r="CB777" i="1"/>
  <c r="CA84" i="1"/>
  <c r="CA537" i="1"/>
  <c r="CA607" i="1"/>
  <c r="CA887" i="1"/>
  <c r="CA916" i="1" s="1"/>
  <c r="BZ824" i="1"/>
  <c r="BZ887" i="1"/>
  <c r="BZ915" i="1"/>
  <c r="BY1135" i="1"/>
  <c r="BX255" i="1"/>
  <c r="BX272" i="1"/>
  <c r="BX386" i="1"/>
  <c r="BX511" i="1"/>
  <c r="BX626" i="1"/>
  <c r="BX640" i="1"/>
  <c r="BX646" i="1"/>
  <c r="BV475" i="1"/>
  <c r="BV537" i="1"/>
  <c r="BV607" i="1"/>
  <c r="BV864" i="1"/>
  <c r="BV887" i="1"/>
  <c r="BT327" i="1"/>
  <c r="BT607" i="1"/>
  <c r="BT839" i="1"/>
  <c r="BS537" i="1"/>
  <c r="BS607" i="1"/>
  <c r="BS957" i="1"/>
  <c r="BR777" i="1"/>
  <c r="BQ695" i="1"/>
  <c r="BP237" i="1"/>
  <c r="BP1135" i="1"/>
  <c r="BP1191" i="1"/>
  <c r="BO237" i="1"/>
  <c r="BN728" i="1"/>
  <c r="BL824" i="1"/>
  <c r="BK1191" i="1"/>
  <c r="BH243" i="1"/>
  <c r="BH563" i="1"/>
  <c r="BH788" i="1"/>
  <c r="BH789" i="1" s="1"/>
  <c r="BE916" i="1"/>
  <c r="BD864" i="1"/>
  <c r="BB864" i="1"/>
  <c r="BB824" i="1"/>
  <c r="BB777" i="1"/>
  <c r="BB728" i="1"/>
  <c r="BA824" i="1"/>
  <c r="CS607" i="1"/>
  <c r="CS728" i="1"/>
  <c r="CS839" i="1"/>
  <c r="CS777" i="1"/>
  <c r="CS906" i="1"/>
  <c r="CS956" i="1"/>
  <c r="CS1191" i="1"/>
  <c r="CR777" i="1"/>
  <c r="CR824" i="1"/>
  <c r="CR887" i="1"/>
  <c r="CR916" i="1" s="1"/>
  <c r="CR937" i="1"/>
  <c r="CP607" i="1"/>
  <c r="CP728" i="1"/>
  <c r="CP839" i="1"/>
  <c r="CP906" i="1"/>
  <c r="CP1068" i="1"/>
  <c r="CO607" i="1"/>
  <c r="CO887" i="1"/>
  <c r="CO1191" i="1"/>
  <c r="CN243" i="1"/>
  <c r="CN357" i="1"/>
  <c r="CN474" i="1"/>
  <c r="CN563" i="1"/>
  <c r="CN687" i="1"/>
  <c r="CN707" i="1"/>
  <c r="CN788" i="1"/>
  <c r="CN789" i="1" s="1"/>
  <c r="CN886" i="1"/>
  <c r="CN914" i="1"/>
  <c r="CN915" i="1" s="1"/>
  <c r="CN936" i="1"/>
  <c r="CN937" i="1"/>
  <c r="CN957" i="1" s="1"/>
  <c r="CN1008" i="1"/>
  <c r="CN1056" i="1"/>
  <c r="CN1067" i="1"/>
  <c r="CN1068" i="1" s="1"/>
  <c r="CN1153" i="1"/>
  <c r="CN1188" i="1"/>
  <c r="CN1191" i="1" s="1"/>
  <c r="CM728" i="1"/>
  <c r="CM864" i="1"/>
  <c r="CL607" i="1"/>
  <c r="CL695" i="1"/>
  <c r="CK387" i="1"/>
  <c r="CK674" i="1"/>
  <c r="CK824" i="1"/>
  <c r="CK887" i="1"/>
  <c r="CK915" i="1"/>
  <c r="CK1175" i="1"/>
  <c r="CI695" i="1"/>
  <c r="CH824" i="1"/>
  <c r="CG824" i="1"/>
  <c r="CG887" i="1"/>
  <c r="CF475" i="1"/>
  <c r="CE695" i="1"/>
  <c r="CE937" i="1"/>
  <c r="CD674" i="1"/>
  <c r="CD824" i="1"/>
  <c r="CC475" i="1"/>
  <c r="CC1175" i="1"/>
  <c r="CC1192" i="1" s="1"/>
  <c r="CB728" i="1"/>
  <c r="CB864" i="1"/>
  <c r="CA674" i="1"/>
  <c r="CA824" i="1"/>
  <c r="BZ237" i="1"/>
  <c r="BZ327" i="1"/>
  <c r="BZ728" i="1"/>
  <c r="BZ864" i="1"/>
  <c r="BY537" i="1"/>
  <c r="BY387" i="1"/>
  <c r="BX199" i="1"/>
  <c r="BX1035" i="1"/>
  <c r="BX1067" i="1"/>
  <c r="BW84" i="1"/>
  <c r="BW937" i="1"/>
  <c r="BW957" i="1" s="1"/>
  <c r="BV1175" i="1"/>
  <c r="BU475" i="1"/>
  <c r="BU607" i="1"/>
  <c r="BU1135" i="1"/>
  <c r="BT824" i="1"/>
  <c r="BR937" i="1"/>
  <c r="BQ237" i="1"/>
  <c r="BP674" i="1"/>
  <c r="BP956" i="1"/>
  <c r="BN695" i="1"/>
  <c r="BM1135" i="1"/>
  <c r="BL607" i="1"/>
  <c r="BK84" i="1"/>
  <c r="BK777" i="1"/>
  <c r="BK824" i="1"/>
  <c r="BX801" i="1"/>
  <c r="BX901" i="1"/>
  <c r="BX906" i="1" s="1"/>
  <c r="BW647" i="1"/>
  <c r="BW607" i="1"/>
  <c r="BV674" i="1"/>
  <c r="BV695" i="1"/>
  <c r="BU937" i="1"/>
  <c r="BU957" i="1" s="1"/>
  <c r="BU1191" i="1"/>
  <c r="BT475" i="1"/>
  <c r="BT864" i="1"/>
  <c r="BS475" i="1"/>
  <c r="BS1191" i="1"/>
  <c r="BR728" i="1"/>
  <c r="BR824" i="1"/>
  <c r="BR865" i="1"/>
  <c r="BQ824" i="1"/>
  <c r="BQ937" i="1"/>
  <c r="BQ957" i="1" s="1"/>
  <c r="BP84" i="1"/>
  <c r="BP695" i="1"/>
  <c r="BP839" i="1"/>
  <c r="BP865" i="1" s="1"/>
  <c r="BP887" i="1"/>
  <c r="BO607" i="1"/>
  <c r="BO956" i="1"/>
  <c r="BO957" i="1" s="1"/>
  <c r="BO1191" i="1"/>
  <c r="BM537" i="1"/>
  <c r="BM915" i="1"/>
  <c r="BL887" i="1"/>
  <c r="BK475" i="1"/>
  <c r="BK538" i="1" s="1"/>
  <c r="BK695" i="1"/>
  <c r="BK1135" i="1"/>
  <c r="BJ237" i="1"/>
  <c r="BJ607" i="1"/>
  <c r="BJ1191" i="1"/>
  <c r="BI84" i="1"/>
  <c r="BI695" i="1"/>
  <c r="BI864" i="1"/>
  <c r="BI865" i="1" s="1"/>
  <c r="BH310" i="1"/>
  <c r="BH742" i="1"/>
  <c r="BF647" i="1"/>
  <c r="BE864" i="1"/>
  <c r="BC674" i="1"/>
  <c r="BA1191" i="1"/>
  <c r="BX635" i="1"/>
  <c r="BX669" i="1"/>
  <c r="BX746" i="1"/>
  <c r="BW915" i="1"/>
  <c r="BW1135" i="1"/>
  <c r="BV387" i="1"/>
  <c r="BV956" i="1"/>
  <c r="BV957" i="1" s="1"/>
  <c r="BU728" i="1"/>
  <c r="BU864" i="1"/>
  <c r="BU1175" i="1"/>
  <c r="BS84" i="1"/>
  <c r="BS1175" i="1"/>
  <c r="BR607" i="1"/>
  <c r="BR1135" i="1"/>
  <c r="BQ607" i="1"/>
  <c r="BP824" i="1"/>
  <c r="BO537" i="1"/>
  <c r="BO538" i="1" s="1"/>
  <c r="BO695" i="1"/>
  <c r="BO728" i="1"/>
  <c r="BO937" i="1"/>
  <c r="BO1135" i="1"/>
  <c r="BN537" i="1"/>
  <c r="BN607" i="1"/>
  <c r="BN674" i="1"/>
  <c r="BJ728" i="1"/>
  <c r="BI475" i="1"/>
  <c r="BI777" i="1"/>
  <c r="BI824" i="1"/>
  <c r="BH326" i="1"/>
  <c r="BH367" i="1"/>
  <c r="BH1008" i="1"/>
  <c r="BG957" i="1"/>
  <c r="AX1068" i="1"/>
  <c r="BF1068" i="1"/>
  <c r="BH801" i="1"/>
  <c r="BH914" i="1"/>
  <c r="BH915" i="1" s="1"/>
  <c r="BG839" i="1"/>
  <c r="BG906" i="1"/>
  <c r="BG916" i="1" s="1"/>
  <c r="BG1191" i="1"/>
  <c r="BF824" i="1"/>
  <c r="BF887" i="1"/>
  <c r="BF915" i="1"/>
  <c r="BE1191" i="1"/>
  <c r="BD695" i="1"/>
  <c r="BD647" i="1"/>
  <c r="BC887" i="1"/>
  <c r="BC915" i="1"/>
  <c r="BC916" i="1" s="1"/>
  <c r="BB674" i="1"/>
  <c r="BB695" i="1"/>
  <c r="BA607" i="1"/>
  <c r="AZ237" i="1"/>
  <c r="AZ537" i="1"/>
  <c r="AZ777" i="1"/>
  <c r="AZ906" i="1"/>
  <c r="AY387" i="1"/>
  <c r="AY956" i="1"/>
  <c r="AX607" i="1"/>
  <c r="AX887" i="1"/>
  <c r="AX1175" i="1"/>
  <c r="AW839" i="1"/>
  <c r="AW887" i="1"/>
  <c r="AV839" i="1"/>
  <c r="AV906" i="1"/>
  <c r="AU695" i="1"/>
  <c r="AT84" i="1"/>
  <c r="AT607" i="1"/>
  <c r="AT728" i="1"/>
  <c r="AT864" i="1"/>
  <c r="AT956" i="1"/>
  <c r="BH468" i="1"/>
  <c r="BJ695" i="1"/>
  <c r="BI937" i="1"/>
  <c r="BH74" i="1"/>
  <c r="BH236" i="1"/>
  <c r="BH669" i="1"/>
  <c r="BH1020" i="1"/>
  <c r="BG1135" i="1"/>
  <c r="BF1135" i="1"/>
  <c r="BE695" i="1"/>
  <c r="BE824" i="1"/>
  <c r="BE956" i="1"/>
  <c r="BE1135" i="1"/>
  <c r="BE1175" i="1"/>
  <c r="BE1068" i="1"/>
  <c r="BE1192" i="1"/>
  <c r="BD824" i="1"/>
  <c r="BD956" i="1"/>
  <c r="BD1135" i="1"/>
  <c r="BC695" i="1"/>
  <c r="BC839" i="1"/>
  <c r="BB70" i="1"/>
  <c r="BB84" i="1" s="1"/>
  <c r="BA1135" i="1"/>
  <c r="AZ728" i="1"/>
  <c r="AY84" i="1"/>
  <c r="AX1135" i="1"/>
  <c r="AW956" i="1"/>
  <c r="AW1191" i="1"/>
  <c r="AU237" i="1"/>
  <c r="AU647" i="1"/>
  <c r="AU937" i="1"/>
  <c r="AU957" i="1" s="1"/>
  <c r="AT674" i="1"/>
  <c r="AT1175" i="1"/>
  <c r="BH1067" i="1"/>
  <c r="BF1191" i="1"/>
  <c r="BE674" i="1"/>
  <c r="BE937" i="1"/>
  <c r="BD937" i="1"/>
  <c r="BD957" i="1" s="1"/>
  <c r="BC647" i="1"/>
  <c r="BC1191" i="1"/>
  <c r="BB1135" i="1"/>
  <c r="AZ607" i="1"/>
  <c r="AZ1175" i="1"/>
  <c r="AY864" i="1"/>
  <c r="AY1135" i="1"/>
  <c r="AW1175" i="1"/>
  <c r="AV777" i="1"/>
  <c r="AV824" i="1"/>
  <c r="AV865" i="1"/>
  <c r="AU607" i="1"/>
  <c r="AU915" i="1"/>
  <c r="AU906" i="1"/>
  <c r="AU916" i="1" s="1"/>
  <c r="AU887" i="1"/>
  <c r="AT887" i="1"/>
  <c r="Y151" i="12"/>
  <c r="AE97" i="12"/>
  <c r="AH14" i="12"/>
  <c r="AR23" i="12"/>
  <c r="AS19" i="12"/>
  <c r="AS27" i="12"/>
  <c r="AY27" i="12" s="1"/>
  <c r="AC42" i="12"/>
  <c r="W195" i="12"/>
  <c r="AB97" i="12"/>
  <c r="AE70" i="12"/>
  <c r="AT97" i="12"/>
  <c r="AW151" i="12"/>
  <c r="I103" i="12"/>
  <c r="AR53" i="12"/>
  <c r="AM60" i="12"/>
  <c r="AC69" i="12"/>
  <c r="AS73" i="12"/>
  <c r="AM76" i="12"/>
  <c r="AX53" i="12"/>
  <c r="W118" i="12"/>
  <c r="W136" i="12" s="1"/>
  <c r="AV70" i="12"/>
  <c r="AS48" i="12"/>
  <c r="AY48" i="12" s="1"/>
  <c r="AH60" i="12"/>
  <c r="AH30" i="12"/>
  <c r="AR107" i="12"/>
  <c r="AE136" i="12"/>
  <c r="AU70" i="12"/>
  <c r="I53" i="12"/>
  <c r="AS22" i="12"/>
  <c r="AY22" i="12" s="1"/>
  <c r="AM23" i="12"/>
  <c r="AS26" i="12"/>
  <c r="AY26" i="12" s="1"/>
  <c r="AM30" i="12"/>
  <c r="AR45" i="12"/>
  <c r="DD310" i="1"/>
  <c r="DE293" i="1"/>
  <c r="CZ475" i="1"/>
  <c r="CR327" i="1"/>
  <c r="CP777" i="1"/>
  <c r="Z97" i="12"/>
  <c r="AA97" i="12"/>
  <c r="AI118" i="12"/>
  <c r="AI136" i="12"/>
  <c r="AK118" i="12"/>
  <c r="AK136" i="12"/>
  <c r="AO161" i="12"/>
  <c r="I142" i="12"/>
  <c r="AS20" i="12"/>
  <c r="AY20" i="12" s="1"/>
  <c r="AS28" i="12"/>
  <c r="AY28" i="12" s="1"/>
  <c r="AS49" i="12"/>
  <c r="AY49" i="12" s="1"/>
  <c r="AS55" i="12"/>
  <c r="AS74" i="12"/>
  <c r="AR96" i="12"/>
  <c r="AS94" i="12"/>
  <c r="AR117" i="12"/>
  <c r="AH111" i="12"/>
  <c r="AH103" i="12"/>
  <c r="AC142" i="12"/>
  <c r="AC189" i="12"/>
  <c r="AX131" i="12"/>
  <c r="AX184" i="12"/>
  <c r="DE255" i="1"/>
  <c r="DE389" i="1"/>
  <c r="DE383" i="1"/>
  <c r="DE386" i="1" s="1"/>
  <c r="DD386" i="1"/>
  <c r="DD936" i="1"/>
  <c r="DD1056" i="1"/>
  <c r="DE1054" i="1"/>
  <c r="DE1056" i="1" s="1"/>
  <c r="DC957" i="1"/>
  <c r="DA387" i="1"/>
  <c r="CY387" i="1"/>
  <c r="CS475" i="1"/>
  <c r="CP475" i="1"/>
  <c r="AH76" i="12"/>
  <c r="I92" i="12"/>
  <c r="AS21" i="12"/>
  <c r="AY21" i="12"/>
  <c r="AS29" i="12"/>
  <c r="AY29" i="12" s="1"/>
  <c r="AS25" i="12"/>
  <c r="AY25" i="12" s="1"/>
  <c r="AS50" i="12"/>
  <c r="AY50" i="12" s="1"/>
  <c r="AS75" i="12"/>
  <c r="AY75" i="12" s="1"/>
  <c r="AR92" i="12"/>
  <c r="AS95" i="12"/>
  <c r="AY95" i="12" s="1"/>
  <c r="AS112" i="12"/>
  <c r="X189" i="12"/>
  <c r="AS537" i="1"/>
  <c r="DD232" i="1"/>
  <c r="DD874" i="1"/>
  <c r="DE868" i="1"/>
  <c r="CQ387" i="1"/>
  <c r="X69" i="12"/>
  <c r="AR69" i="12"/>
  <c r="DE314" i="1"/>
  <c r="DE317" i="1"/>
  <c r="DD317" i="1"/>
  <c r="DD563" i="1"/>
  <c r="DE540" i="1"/>
  <c r="DD610" i="1"/>
  <c r="DE608" i="1"/>
  <c r="DE610" i="1"/>
  <c r="DD646" i="1"/>
  <c r="DE641" i="1"/>
  <c r="DE646" i="1" s="1"/>
  <c r="DC728" i="1"/>
  <c r="DB777" i="1"/>
  <c r="DD219" i="1"/>
  <c r="DD278" i="1"/>
  <c r="DD353" i="1"/>
  <c r="DD924" i="1"/>
  <c r="DC237" i="1"/>
  <c r="DC647" i="1"/>
  <c r="DB155" i="1"/>
  <c r="DB156" i="1" s="1"/>
  <c r="DD130" i="1"/>
  <c r="DE130" i="1"/>
  <c r="CY237" i="1"/>
  <c r="CX327" i="1"/>
  <c r="CW237" i="1"/>
  <c r="CW647" i="1"/>
  <c r="CW696" i="1" s="1"/>
  <c r="CV327" i="1"/>
  <c r="CU237" i="1"/>
  <c r="CS1192" i="1"/>
  <c r="CQ957" i="1"/>
  <c r="CN70" i="1"/>
  <c r="DD266" i="1"/>
  <c r="DD536" i="1"/>
  <c r="DD635" i="1"/>
  <c r="DD654" i="1"/>
  <c r="DB327" i="1"/>
  <c r="DB1068" i="1"/>
  <c r="DA237" i="1"/>
  <c r="CY647" i="1"/>
  <c r="CW1068" i="1"/>
  <c r="CU1068" i="1"/>
  <c r="CS327" i="1"/>
  <c r="CR387" i="1"/>
  <c r="CR674" i="1"/>
  <c r="CP327" i="1"/>
  <c r="DD195" i="1"/>
  <c r="DD338" i="1"/>
  <c r="DD339" i="1" s="1"/>
  <c r="DD460" i="1"/>
  <c r="DD520" i="1"/>
  <c r="DD596" i="1"/>
  <c r="DD665" i="1"/>
  <c r="DD853" i="1"/>
  <c r="DD880" i="1"/>
  <c r="DC674" i="1"/>
  <c r="DB647" i="1"/>
  <c r="DA1068" i="1"/>
  <c r="CX475" i="1"/>
  <c r="CX777" i="1"/>
  <c r="CX957" i="1"/>
  <c r="CW327" i="1"/>
  <c r="CW387" i="1"/>
  <c r="CW674" i="1"/>
  <c r="CV475" i="1"/>
  <c r="CV777" i="1"/>
  <c r="CV957" i="1"/>
  <c r="CU327" i="1"/>
  <c r="CU387" i="1"/>
  <c r="CU674" i="1"/>
  <c r="CT475" i="1"/>
  <c r="CT777" i="1"/>
  <c r="CS647" i="1"/>
  <c r="CQ1068" i="1"/>
  <c r="CP647" i="1"/>
  <c r="CO696" i="1"/>
  <c r="CJ647" i="1"/>
  <c r="CI475" i="1"/>
  <c r="CI327" i="1"/>
  <c r="CI777" i="1"/>
  <c r="CH1068" i="1"/>
  <c r="CF237" i="1"/>
  <c r="CE1068" i="1"/>
  <c r="CC674" i="1"/>
  <c r="CB674" i="1"/>
  <c r="BX83" i="1"/>
  <c r="BX326" i="1"/>
  <c r="BX353" i="1"/>
  <c r="BX742" i="1"/>
  <c r="BW1068" i="1"/>
  <c r="BT777" i="1"/>
  <c r="BT1068" i="1"/>
  <c r="BX67" i="1"/>
  <c r="BR70" i="1"/>
  <c r="BR84" i="1"/>
  <c r="BN1068" i="1"/>
  <c r="BL327" i="1"/>
  <c r="BJ387" i="1"/>
  <c r="CJ237" i="1"/>
  <c r="CI1135" i="1"/>
  <c r="CH237" i="1"/>
  <c r="CG327" i="1"/>
  <c r="CG728" i="1"/>
  <c r="CG864" i="1"/>
  <c r="CG865" i="1" s="1"/>
  <c r="CG1068" i="1"/>
  <c r="CF647" i="1"/>
  <c r="CF1191" i="1"/>
  <c r="CE475" i="1"/>
  <c r="CE537" i="1"/>
  <c r="CE839" i="1"/>
  <c r="CE865" i="1" s="1"/>
  <c r="CE906" i="1"/>
  <c r="CE887" i="1"/>
  <c r="CD387" i="1"/>
  <c r="CD956" i="1"/>
  <c r="CD957" i="1" s="1"/>
  <c r="CD1175" i="1"/>
  <c r="CC70" i="1"/>
  <c r="CC84" i="1"/>
  <c r="CC387" i="1"/>
  <c r="CC327" i="1"/>
  <c r="CA647" i="1"/>
  <c r="CA1191" i="1"/>
  <c r="BZ475" i="1"/>
  <c r="BZ537" i="1"/>
  <c r="BZ906" i="1"/>
  <c r="BZ916" i="1" s="1"/>
  <c r="BZ1135" i="1"/>
  <c r="BY956" i="1"/>
  <c r="BY957" i="1" s="1"/>
  <c r="BY1175" i="1"/>
  <c r="BX195" i="1"/>
  <c r="BX266" i="1"/>
  <c r="BX317" i="1"/>
  <c r="BX382" i="1"/>
  <c r="BX497" i="1"/>
  <c r="BX563" i="1"/>
  <c r="BX617" i="1"/>
  <c r="BX707" i="1"/>
  <c r="BX773" i="1"/>
  <c r="BX788" i="1"/>
  <c r="BX789" i="1" s="1"/>
  <c r="BX864" i="1"/>
  <c r="BX886" i="1"/>
  <c r="BX1056" i="1"/>
  <c r="BW475" i="1"/>
  <c r="BW537" i="1"/>
  <c r="BW839" i="1"/>
  <c r="BW906" i="1"/>
  <c r="BW887" i="1"/>
  <c r="BV647" i="1"/>
  <c r="BV696" i="1" s="1"/>
  <c r="BV777" i="1"/>
  <c r="BV728" i="1"/>
  <c r="BV915" i="1"/>
  <c r="CN1124" i="1"/>
  <c r="CJ327" i="1"/>
  <c r="CH327" i="1"/>
  <c r="CH647" i="1"/>
  <c r="CH696" i="1"/>
  <c r="CG475" i="1"/>
  <c r="CG537" i="1"/>
  <c r="CG839" i="1"/>
  <c r="CG906" i="1"/>
  <c r="CG1135" i="1"/>
  <c r="CF387" i="1"/>
  <c r="CF956" i="1"/>
  <c r="CF957" i="1" s="1"/>
  <c r="CF1175" i="1"/>
  <c r="CE777" i="1"/>
  <c r="CD84" i="1"/>
  <c r="CD327" i="1"/>
  <c r="CD607" i="1"/>
  <c r="CD1068" i="1"/>
  <c r="CD1192" i="1" s="1"/>
  <c r="CC824" i="1"/>
  <c r="CC937" i="1"/>
  <c r="CB824" i="1"/>
  <c r="CB887" i="1"/>
  <c r="CA387" i="1"/>
  <c r="CA956" i="1"/>
  <c r="CA1175" i="1"/>
  <c r="CA1192" i="1" s="1"/>
  <c r="BZ777" i="1"/>
  <c r="BY607" i="1"/>
  <c r="BY1068" i="1"/>
  <c r="BX174" i="1"/>
  <c r="BX175" i="1"/>
  <c r="BX219" i="1"/>
  <c r="BX232" i="1"/>
  <c r="BX237" i="1" s="1"/>
  <c r="BX367" i="1"/>
  <c r="BX536" i="1"/>
  <c r="BX537" i="1" s="1"/>
  <c r="BX606" i="1"/>
  <c r="BX673" i="1"/>
  <c r="BX674" i="1" s="1"/>
  <c r="BX766" i="1"/>
  <c r="BX1038" i="1"/>
  <c r="BX1153" i="1"/>
  <c r="BW777" i="1"/>
  <c r="BW824" i="1"/>
  <c r="BV84" i="1"/>
  <c r="BV237" i="1"/>
  <c r="BV1068" i="1"/>
  <c r="BT674" i="1"/>
  <c r="BR647" i="1"/>
  <c r="BQ647" i="1"/>
  <c r="BQ777" i="1"/>
  <c r="CJ387" i="1"/>
  <c r="CI647" i="1"/>
  <c r="CH387" i="1"/>
  <c r="CH957" i="1"/>
  <c r="CG777" i="1"/>
  <c r="CF327" i="1"/>
  <c r="CF1068" i="1"/>
  <c r="CD237" i="1"/>
  <c r="CA1068" i="1"/>
  <c r="BX155" i="1"/>
  <c r="BX156" i="1" s="1"/>
  <c r="BX1188" i="1"/>
  <c r="BX1191" i="1" s="1"/>
  <c r="BU1068" i="1"/>
  <c r="BT387" i="1"/>
  <c r="BS387" i="1"/>
  <c r="BR327" i="1"/>
  <c r="BM475" i="1"/>
  <c r="BH232" i="1"/>
  <c r="BH511" i="1"/>
  <c r="BH646" i="1"/>
  <c r="BU387" i="1"/>
  <c r="BU695" i="1"/>
  <c r="BU839" i="1"/>
  <c r="BU915" i="1"/>
  <c r="BU916" i="1" s="1"/>
  <c r="BT956" i="1"/>
  <c r="BT957" i="1" s="1"/>
  <c r="BS777" i="1"/>
  <c r="BS824" i="1"/>
  <c r="BR537" i="1"/>
  <c r="BR1191" i="1"/>
  <c r="BQ327" i="1"/>
  <c r="BQ674" i="1"/>
  <c r="BP607" i="1"/>
  <c r="BO475" i="1"/>
  <c r="BO777" i="1"/>
  <c r="BN647" i="1"/>
  <c r="BN1191" i="1"/>
  <c r="BM237" i="1"/>
  <c r="BM956" i="1"/>
  <c r="BL475" i="1"/>
  <c r="BL537" i="1"/>
  <c r="BL777" i="1"/>
  <c r="BL864" i="1"/>
  <c r="BL1120" i="1"/>
  <c r="BK1175" i="1"/>
  <c r="BI607" i="1"/>
  <c r="BH497" i="1"/>
  <c r="BH766" i="1"/>
  <c r="BH1120" i="1"/>
  <c r="BU777" i="1"/>
  <c r="BU824" i="1"/>
  <c r="BT537" i="1"/>
  <c r="BT1191" i="1"/>
  <c r="BS327" i="1"/>
  <c r="BS674" i="1"/>
  <c r="BR475" i="1"/>
  <c r="BQ728" i="1"/>
  <c r="BQ864" i="1"/>
  <c r="BQ1135" i="1"/>
  <c r="BP387" i="1"/>
  <c r="BP728" i="1"/>
  <c r="BP1175" i="1"/>
  <c r="BO327" i="1"/>
  <c r="BO387" i="1"/>
  <c r="BO647" i="1"/>
  <c r="BO864" i="1"/>
  <c r="BO865" i="1" s="1"/>
  <c r="BN957" i="1"/>
  <c r="BM70" i="1"/>
  <c r="BM84" i="1" s="1"/>
  <c r="BM647" i="1"/>
  <c r="BM607" i="1"/>
  <c r="BL1191" i="1"/>
  <c r="BK387" i="1"/>
  <c r="BK237" i="1"/>
  <c r="BK937" i="1"/>
  <c r="BK1068" i="1"/>
  <c r="BJ777" i="1"/>
  <c r="BJ1068" i="1"/>
  <c r="BJ1192" i="1" s="1"/>
  <c r="BJ1175" i="1"/>
  <c r="BI1068" i="1"/>
  <c r="BH9" i="1"/>
  <c r="BH757" i="1"/>
  <c r="BV1191" i="1"/>
  <c r="BU327" i="1"/>
  <c r="BU674" i="1"/>
  <c r="BU696" i="1" s="1"/>
  <c r="BT84" i="1"/>
  <c r="BS728" i="1"/>
  <c r="BS864" i="1"/>
  <c r="BR387" i="1"/>
  <c r="BQ387" i="1"/>
  <c r="BQ538" i="1" s="1"/>
  <c r="BP647" i="1"/>
  <c r="BP696" i="1" s="1"/>
  <c r="BP916" i="1"/>
  <c r="BM387" i="1"/>
  <c r="BL84" i="1"/>
  <c r="BK865" i="1"/>
  <c r="BI387" i="1"/>
  <c r="BH382" i="1"/>
  <c r="BF674" i="1"/>
  <c r="BF696" i="1" s="1"/>
  <c r="BB327" i="1"/>
  <c r="BA777" i="1"/>
  <c r="AU387" i="1"/>
  <c r="BO674" i="1"/>
  <c r="BO1175" i="1"/>
  <c r="BN1175" i="1"/>
  <c r="BM327" i="1"/>
  <c r="BM1068" i="1"/>
  <c r="BM1175" i="1"/>
  <c r="BL915" i="1"/>
  <c r="BL1175" i="1"/>
  <c r="BK607" i="1"/>
  <c r="BJ475" i="1"/>
  <c r="BJ538" i="1" s="1"/>
  <c r="BJ824" i="1"/>
  <c r="BJ906" i="1"/>
  <c r="BJ1135" i="1"/>
  <c r="BI237" i="1"/>
  <c r="BH219" i="1"/>
  <c r="BH255" i="1"/>
  <c r="BH338" i="1"/>
  <c r="BH339" i="1"/>
  <c r="BH596" i="1"/>
  <c r="BH665" i="1"/>
  <c r="BH654" i="1"/>
  <c r="BH687" i="1"/>
  <c r="BH694" i="1"/>
  <c r="BH695" i="1"/>
  <c r="BH924" i="1"/>
  <c r="BH1107" i="1"/>
  <c r="BH1135" i="1" s="1"/>
  <c r="BD475" i="1"/>
  <c r="BD777" i="1"/>
  <c r="BB647" i="1"/>
  <c r="BB607" i="1"/>
  <c r="AV674" i="1"/>
  <c r="AU839" i="1"/>
  <c r="AU824" i="1"/>
  <c r="AU777" i="1"/>
  <c r="BT1175" i="1"/>
  <c r="BR674" i="1"/>
  <c r="BR1175" i="1"/>
  <c r="BP777" i="1"/>
  <c r="BP864" i="1"/>
  <c r="BP937" i="1"/>
  <c r="BP957" i="1" s="1"/>
  <c r="BO84" i="1"/>
  <c r="BN475" i="1"/>
  <c r="BN824" i="1"/>
  <c r="BN906" i="1"/>
  <c r="BN916" i="1" s="1"/>
  <c r="BN887" i="1"/>
  <c r="BN1135" i="1"/>
  <c r="BL1134" i="1"/>
  <c r="BJ537" i="1"/>
  <c r="BI1191" i="1"/>
  <c r="BI1192" i="1"/>
  <c r="BH266" i="1"/>
  <c r="BH536" i="1"/>
  <c r="BH537" i="1" s="1"/>
  <c r="BH617" i="1"/>
  <c r="BH635" i="1"/>
  <c r="BH640" i="1"/>
  <c r="BH715" i="1"/>
  <c r="BH746" i="1"/>
  <c r="BH853" i="1"/>
  <c r="BH864" i="1" s="1"/>
  <c r="BG537" i="1"/>
  <c r="BF475" i="1"/>
  <c r="BB957" i="1"/>
  <c r="BH195" i="1"/>
  <c r="BH353" i="1"/>
  <c r="BH520" i="1"/>
  <c r="BH707" i="1"/>
  <c r="BH728" i="1" s="1"/>
  <c r="BH773" i="1"/>
  <c r="BH901" i="1"/>
  <c r="BH906" i="1" s="1"/>
  <c r="BH1134" i="1"/>
  <c r="BH1153" i="1"/>
  <c r="BG647" i="1"/>
  <c r="BF777" i="1"/>
  <c r="BE647" i="1"/>
  <c r="BC728" i="1"/>
  <c r="BN327" i="1"/>
  <c r="BN839" i="1"/>
  <c r="BM1191" i="1"/>
  <c r="BL695" i="1"/>
  <c r="BL728" i="1"/>
  <c r="BL865" i="1" s="1"/>
  <c r="BK647" i="1"/>
  <c r="BK696" i="1" s="1"/>
  <c r="BK956" i="1"/>
  <c r="BJ327" i="1"/>
  <c r="BJ839" i="1"/>
  <c r="BJ887" i="1"/>
  <c r="BI647" i="1"/>
  <c r="BI696" i="1"/>
  <c r="BI956" i="1"/>
  <c r="BI957" i="1" s="1"/>
  <c r="BH199" i="1"/>
  <c r="BH259" i="1"/>
  <c r="BH371" i="1"/>
  <c r="BH863" i="1"/>
  <c r="BH1015" i="1"/>
  <c r="BH1029" i="1"/>
  <c r="BH1062" i="1"/>
  <c r="BH1068" i="1" s="1"/>
  <c r="BH1087" i="1"/>
  <c r="BH1191" i="1"/>
  <c r="BG84" i="1"/>
  <c r="BG475" i="1"/>
  <c r="BG674" i="1"/>
  <c r="BG824" i="1"/>
  <c r="BF327" i="1"/>
  <c r="BF728" i="1"/>
  <c r="BF864" i="1"/>
  <c r="BD537" i="1"/>
  <c r="BD327" i="1"/>
  <c r="BC327" i="1"/>
  <c r="BC387" i="1"/>
  <c r="AZ475" i="1"/>
  <c r="AZ538" i="1" s="1"/>
  <c r="AZ674" i="1"/>
  <c r="AZ647" i="1"/>
  <c r="BH727" i="1"/>
  <c r="BH874" i="1"/>
  <c r="BH951" i="1"/>
  <c r="BH956" i="1" s="1"/>
  <c r="BG327" i="1"/>
  <c r="BG387" i="1"/>
  <c r="BC777" i="1"/>
  <c r="BC1068" i="1"/>
  <c r="BB475" i="1"/>
  <c r="BA327" i="1"/>
  <c r="BA387" i="1"/>
  <c r="BA1068" i="1"/>
  <c r="AW327" i="1"/>
  <c r="AW387" i="1"/>
  <c r="BD1068" i="1"/>
  <c r="BC475" i="1"/>
  <c r="BC824" i="1"/>
  <c r="BC906" i="1"/>
  <c r="BC1135" i="1"/>
  <c r="BB237" i="1"/>
  <c r="BB1068" i="1"/>
  <c r="BA475" i="1"/>
  <c r="AZ84" i="1"/>
  <c r="AZ824" i="1"/>
  <c r="AY237" i="1"/>
  <c r="AY777" i="1"/>
  <c r="AX537" i="1"/>
  <c r="AW674" i="1"/>
  <c r="AV1068" i="1"/>
  <c r="AU327" i="1"/>
  <c r="AU1068" i="1"/>
  <c r="BC537" i="1"/>
  <c r="BA537" i="1"/>
  <c r="BA728" i="1"/>
  <c r="BA937" i="1"/>
  <c r="BA957" i="1" s="1"/>
  <c r="AY327" i="1"/>
  <c r="AY607" i="1"/>
  <c r="AY728" i="1"/>
  <c r="AV327" i="1"/>
  <c r="AV387" i="1"/>
  <c r="AV1191" i="1"/>
  <c r="AT937" i="1"/>
  <c r="AX84" i="1"/>
  <c r="AX674" i="1"/>
  <c r="AX824" i="1"/>
  <c r="AW475" i="1"/>
  <c r="AV475" i="1"/>
  <c r="AV887" i="1"/>
  <c r="AV916" i="1" s="1"/>
  <c r="AV1135" i="1"/>
  <c r="AV1192" i="1" s="1"/>
  <c r="AV1175" i="1"/>
  <c r="AU475" i="1"/>
  <c r="AU537" i="1"/>
  <c r="AU1135" i="1"/>
  <c r="AT695" i="1"/>
  <c r="BH412" i="1"/>
  <c r="BA695" i="1"/>
  <c r="BA864" i="1"/>
  <c r="AZ327" i="1"/>
  <c r="AZ387" i="1"/>
  <c r="AZ1191" i="1"/>
  <c r="AY647" i="1"/>
  <c r="AY695" i="1"/>
  <c r="AX387" i="1"/>
  <c r="AX1191" i="1"/>
  <c r="AW537" i="1"/>
  <c r="AV537" i="1"/>
  <c r="AT237" i="1"/>
  <c r="AT915" i="1"/>
  <c r="CN728" i="1"/>
  <c r="BA1192" i="1"/>
  <c r="CS696" i="1"/>
  <c r="CT865" i="1"/>
  <c r="CU538" i="1"/>
  <c r="CQ538" i="1"/>
  <c r="CN1119" i="1"/>
  <c r="CR1119" i="1"/>
  <c r="DD1119" i="1"/>
  <c r="DE1119" i="1" s="1"/>
  <c r="DE1123" i="1"/>
  <c r="BL1135" i="1"/>
  <c r="BO1192" i="1"/>
  <c r="CX865" i="1"/>
  <c r="DD887" i="1"/>
  <c r="DD916" i="1"/>
  <c r="CN607" i="1"/>
  <c r="DE1129" i="1"/>
  <c r="CN1111" i="1"/>
  <c r="CR1111" i="1"/>
  <c r="DD1111" i="1" s="1"/>
  <c r="DE1111" i="1" s="1"/>
  <c r="BO696" i="1"/>
  <c r="BS865" i="1"/>
  <c r="DD864" i="1"/>
  <c r="DE67" i="1"/>
  <c r="CN1115" i="1"/>
  <c r="CR1115" i="1"/>
  <c r="DD1115" i="1" s="1"/>
  <c r="DE1115" i="1" s="1"/>
  <c r="DD937" i="1"/>
  <c r="AY55" i="12"/>
  <c r="AY8" i="12"/>
  <c r="BK957" i="1"/>
  <c r="BM1192" i="1"/>
  <c r="DE1124" i="1"/>
  <c r="AS96" i="12"/>
  <c r="AY96" i="12" s="1"/>
  <c r="AY94" i="12"/>
  <c r="BH237" i="1"/>
  <c r="CF1192" i="1"/>
  <c r="AY112" i="12"/>
  <c r="AS30" i="12"/>
  <c r="AR118" i="12"/>
  <c r="AS76" i="12"/>
  <c r="AY73" i="12"/>
  <c r="AY19" i="12"/>
  <c r="AS23" i="12"/>
  <c r="N2" i="27" l="1"/>
  <c r="Q2" i="18"/>
  <c r="O2" i="27" s="1"/>
  <c r="CM1192" i="1"/>
  <c r="CI1192" i="1"/>
  <c r="BE538" i="1"/>
  <c r="CA538" i="1"/>
  <c r="AW865" i="1"/>
  <c r="CJ538" i="1"/>
  <c r="DE1008" i="1"/>
  <c r="S151" i="12"/>
  <c r="X178" i="12"/>
  <c r="AS171" i="12"/>
  <c r="AY171" i="12" s="1"/>
  <c r="CL1068" i="1"/>
  <c r="CI916" i="1"/>
  <c r="BG1068" i="1"/>
  <c r="BG1192" i="1" s="1"/>
  <c r="CG1192" i="1"/>
  <c r="CE916" i="1"/>
  <c r="DB696" i="1"/>
  <c r="DD1087" i="1"/>
  <c r="AS155" i="12"/>
  <c r="AL70" i="12"/>
  <c r="AS149" i="12"/>
  <c r="CZ1068" i="1"/>
  <c r="CH538" i="1"/>
  <c r="BW916" i="1"/>
  <c r="CN1175" i="1"/>
  <c r="CO957" i="1"/>
  <c r="L70" i="12"/>
  <c r="Q70" i="12"/>
  <c r="AE195" i="12"/>
  <c r="AH114" i="12"/>
  <c r="AS113" i="12"/>
  <c r="AS114" i="12" s="1"/>
  <c r="DE1140" i="1"/>
  <c r="DD1153" i="1"/>
  <c r="DE1172" i="1"/>
  <c r="DD1174" i="1"/>
  <c r="DD1190" i="1"/>
  <c r="DE1189" i="1"/>
  <c r="DE1190" i="1" s="1"/>
  <c r="AZ1192" i="1"/>
  <c r="BQ696" i="1"/>
  <c r="DD371" i="1"/>
  <c r="DE368" i="1"/>
  <c r="DE371" i="1" s="1"/>
  <c r="DE618" i="1"/>
  <c r="DE626" i="1" s="1"/>
  <c r="DD626" i="1"/>
  <c r="DE1009" i="1"/>
  <c r="DD1015" i="1"/>
  <c r="BX823" i="1"/>
  <c r="BX824" i="1" s="1"/>
  <c r="CN823" i="1"/>
  <c r="CN824" i="1" s="1"/>
  <c r="BU865" i="1"/>
  <c r="BK1192" i="1"/>
  <c r="BK1193" i="1" s="1"/>
  <c r="CS865" i="1"/>
  <c r="CJ696" i="1"/>
  <c r="X127" i="12"/>
  <c r="AS124" i="12"/>
  <c r="AY124" i="12" s="1"/>
  <c r="DE232" i="1"/>
  <c r="DE195" i="1"/>
  <c r="DE1093" i="1"/>
  <c r="DE1107" i="1" s="1"/>
  <c r="DD1107" i="1"/>
  <c r="DA327" i="1"/>
  <c r="CY1068" i="1"/>
  <c r="CY1192" i="1"/>
  <c r="CV1068" i="1"/>
  <c r="CU696" i="1"/>
  <c r="CR957" i="1"/>
  <c r="CZ916" i="1"/>
  <c r="AF195" i="12"/>
  <c r="DD382" i="1"/>
  <c r="DE372" i="1"/>
  <c r="DE611" i="1"/>
  <c r="DD617" i="1"/>
  <c r="DE1033" i="1"/>
  <c r="DE1035" i="1" s="1"/>
  <c r="DD1035" i="1"/>
  <c r="AT327" i="1"/>
  <c r="AX1192" i="1"/>
  <c r="BC1192" i="1"/>
  <c r="DD823" i="1"/>
  <c r="DD824" i="1" s="1"/>
  <c r="BB696" i="1"/>
  <c r="BL916" i="1"/>
  <c r="BX647" i="1"/>
  <c r="DD1008" i="1"/>
  <c r="DD255" i="1"/>
  <c r="DD1191" i="1"/>
  <c r="AS100" i="12"/>
  <c r="AR103" i="12"/>
  <c r="AM117" i="12"/>
  <c r="AS115" i="12"/>
  <c r="AY115" i="12" s="1"/>
  <c r="AR189" i="12"/>
  <c r="AS186" i="12"/>
  <c r="DE233" i="1"/>
  <c r="DE236" i="1" s="1"/>
  <c r="DD236" i="1"/>
  <c r="DD237" i="1" s="1"/>
  <c r="DE469" i="1"/>
  <c r="DE474" i="1" s="1"/>
  <c r="DD474" i="1"/>
  <c r="DD475" i="1" s="1"/>
  <c r="DE666" i="1"/>
  <c r="DE669" i="1" s="1"/>
  <c r="DD669" i="1"/>
  <c r="DD674" i="1" s="1"/>
  <c r="DE679" i="1"/>
  <c r="DD687" i="1"/>
  <c r="DD694" i="1"/>
  <c r="DE689" i="1"/>
  <c r="DE700" i="1"/>
  <c r="DD707" i="1"/>
  <c r="DD715" i="1"/>
  <c r="DE710" i="1"/>
  <c r="DE715" i="1" s="1"/>
  <c r="DD727" i="1"/>
  <c r="DE721" i="1"/>
  <c r="DE727" i="1" s="1"/>
  <c r="DD742" i="1"/>
  <c r="DE731" i="1"/>
  <c r="DE765" i="1"/>
  <c r="DD766" i="1"/>
  <c r="DE787" i="1"/>
  <c r="DE788" i="1" s="1"/>
  <c r="DE789" i="1" s="1"/>
  <c r="DD788" i="1"/>
  <c r="DD789" i="1" s="1"/>
  <c r="CN1122" i="1"/>
  <c r="CR1122" i="1"/>
  <c r="CD538" i="1"/>
  <c r="CB865" i="1"/>
  <c r="DD1029" i="1"/>
  <c r="AU136" i="12"/>
  <c r="AW97" i="12"/>
  <c r="X14" i="12"/>
  <c r="AY110" i="12"/>
  <c r="N178" i="12"/>
  <c r="AS169" i="12"/>
  <c r="AY169" i="12" s="1"/>
  <c r="AS173" i="12"/>
  <c r="AY173" i="12" s="1"/>
  <c r="AS165" i="12"/>
  <c r="AY165" i="12" s="1"/>
  <c r="CM865" i="1"/>
  <c r="AT696" i="1"/>
  <c r="DE399" i="1"/>
  <c r="DD412" i="1"/>
  <c r="BG538" i="1"/>
  <c r="BN1192" i="1"/>
  <c r="AU538" i="1"/>
  <c r="BC865" i="1"/>
  <c r="DD606" i="1"/>
  <c r="DD607" i="1" s="1"/>
  <c r="DD70" i="1"/>
  <c r="CO1192" i="1"/>
  <c r="E151" i="12"/>
  <c r="H136" i="12"/>
  <c r="DE655" i="1"/>
  <c r="DE659" i="1" s="1"/>
  <c r="DE674" i="1" s="1"/>
  <c r="BF1192" i="1"/>
  <c r="BY916" i="1"/>
  <c r="DA916" i="1"/>
  <c r="F195" i="12"/>
  <c r="K97" i="12"/>
  <c r="M118" i="12"/>
  <c r="U97" i="12"/>
  <c r="I184" i="12"/>
  <c r="AH23" i="12"/>
  <c r="S160" i="12"/>
  <c r="S161" i="12" s="1"/>
  <c r="AS1175" i="1"/>
  <c r="AS1192" i="1" s="1"/>
  <c r="DD83" i="1"/>
  <c r="DE76" i="1"/>
  <c r="DE83" i="1" s="1"/>
  <c r="CS155" i="1"/>
  <c r="CS156" i="1" s="1"/>
  <c r="DD96" i="1"/>
  <c r="DE707" i="1"/>
  <c r="BX1131" i="1"/>
  <c r="CB1131" i="1"/>
  <c r="DA538" i="1"/>
  <c r="R118" i="12"/>
  <c r="R136" i="12" s="1"/>
  <c r="V97" i="12"/>
  <c r="AS102" i="12"/>
  <c r="AY102" i="12" s="1"/>
  <c r="AH160" i="12"/>
  <c r="AC194" i="12"/>
  <c r="AS191" i="12"/>
  <c r="AY191" i="12" s="1"/>
  <c r="AS192" i="12"/>
  <c r="AY192" i="12" s="1"/>
  <c r="AX156" i="12"/>
  <c r="AY155" i="12"/>
  <c r="DD367" i="1"/>
  <c r="DC1068" i="1"/>
  <c r="CZ387" i="1"/>
  <c r="CZ538" i="1" s="1"/>
  <c r="CY937" i="1"/>
  <c r="CC155" i="1"/>
  <c r="CC156" i="1" s="1"/>
  <c r="CN128" i="1"/>
  <c r="CN83" i="1"/>
  <c r="CP865" i="1"/>
  <c r="CC957" i="1"/>
  <c r="CQ916" i="1"/>
  <c r="BY538" i="1"/>
  <c r="CX84" i="1"/>
  <c r="DE1020" i="1"/>
  <c r="AD97" i="12"/>
  <c r="AD196" i="12" s="1"/>
  <c r="AI195" i="12"/>
  <c r="S23" i="12"/>
  <c r="AM42" i="12"/>
  <c r="AR42" i="12"/>
  <c r="AM69" i="12"/>
  <c r="AS65" i="12"/>
  <c r="S76" i="12"/>
  <c r="S97" i="12" s="1"/>
  <c r="AH84" i="12"/>
  <c r="AS80" i="12"/>
  <c r="AY80" i="12" s="1"/>
  <c r="AH92" i="12"/>
  <c r="AM92" i="12"/>
  <c r="AM97" i="12" s="1"/>
  <c r="X142" i="12"/>
  <c r="AX103" i="12"/>
  <c r="AS777" i="1"/>
  <c r="AS824" i="1"/>
  <c r="AS887" i="1"/>
  <c r="AS916" i="1" s="1"/>
  <c r="CV887" i="1"/>
  <c r="CV916" i="1" s="1"/>
  <c r="CV1191" i="1"/>
  <c r="CV1192" i="1" s="1"/>
  <c r="AH118" i="12"/>
  <c r="CK916" i="1"/>
  <c r="BX695" i="1"/>
  <c r="CN9" i="1"/>
  <c r="CN84" i="1" s="1"/>
  <c r="H70" i="12"/>
  <c r="H118" i="12"/>
  <c r="J70" i="12"/>
  <c r="J118" i="12"/>
  <c r="L195" i="12"/>
  <c r="M195" i="12"/>
  <c r="AY13" i="12"/>
  <c r="AS9" i="12"/>
  <c r="AY9" i="12" s="1"/>
  <c r="X103" i="12"/>
  <c r="AS108" i="12"/>
  <c r="AY108" i="12" s="1"/>
  <c r="AS175" i="12"/>
  <c r="AY175" i="12" s="1"/>
  <c r="AS172" i="12"/>
  <c r="DE775" i="1"/>
  <c r="DE776" i="1" s="1"/>
  <c r="DD74" i="1"/>
  <c r="DD1032" i="1"/>
  <c r="DE1030" i="1"/>
  <c r="DE1032" i="1" s="1"/>
  <c r="BE957" i="1"/>
  <c r="BX728" i="1"/>
  <c r="DE915" i="1"/>
  <c r="G97" i="12"/>
  <c r="AS11" i="12"/>
  <c r="AY11" i="12" s="1"/>
  <c r="AR17" i="12"/>
  <c r="AS16" i="12"/>
  <c r="AS17" i="12" s="1"/>
  <c r="AM114" i="12"/>
  <c r="N111" i="12"/>
  <c r="DE694" i="1"/>
  <c r="R97" i="12"/>
  <c r="Y97" i="12"/>
  <c r="Y118" i="12"/>
  <c r="Y161" i="12"/>
  <c r="Z151" i="12"/>
  <c r="AE151" i="12"/>
  <c r="AL161" i="12"/>
  <c r="AO97" i="12"/>
  <c r="AU151" i="12"/>
  <c r="AW195" i="12"/>
  <c r="I194" i="12"/>
  <c r="AC23" i="12"/>
  <c r="AR30" i="12"/>
  <c r="X76" i="12"/>
  <c r="AC76" i="12"/>
  <c r="AH142" i="12"/>
  <c r="AH151" i="12" s="1"/>
  <c r="N156" i="12"/>
  <c r="N161" i="12" s="1"/>
  <c r="N184" i="12"/>
  <c r="AH194" i="12"/>
  <c r="AX23" i="12"/>
  <c r="AY23" i="12" s="1"/>
  <c r="DE880" i="1"/>
  <c r="DB607" i="1"/>
  <c r="DB674" i="1"/>
  <c r="CY674" i="1"/>
  <c r="CY696" i="1" s="1"/>
  <c r="CW937" i="1"/>
  <c r="CV824" i="1"/>
  <c r="CV865" i="1" s="1"/>
  <c r="CU915" i="1"/>
  <c r="CU916" i="1" s="1"/>
  <c r="DE1037" i="1"/>
  <c r="DE1038" i="1" s="1"/>
  <c r="AF118" i="12"/>
  <c r="AF136" i="12" s="1"/>
  <c r="AJ151" i="12"/>
  <c r="AN195" i="12"/>
  <c r="AU97" i="12"/>
  <c r="AV118" i="12"/>
  <c r="AV136" i="12" s="1"/>
  <c r="AV151" i="12"/>
  <c r="I14" i="12"/>
  <c r="I30" i="12"/>
  <c r="I70" i="12" s="1"/>
  <c r="AS10" i="12"/>
  <c r="AY10" i="12" s="1"/>
  <c r="AS38" i="12"/>
  <c r="AY38" i="12" s="1"/>
  <c r="N53" i="12"/>
  <c r="AS59" i="12"/>
  <c r="AY59" i="12" s="1"/>
  <c r="N117" i="12"/>
  <c r="AS109" i="12"/>
  <c r="AS111" i="12" s="1"/>
  <c r="X122" i="12"/>
  <c r="S127" i="12"/>
  <c r="AS145" i="12"/>
  <c r="AY145" i="12" s="1"/>
  <c r="AC184" i="12"/>
  <c r="X194" i="12"/>
  <c r="AX194" i="12"/>
  <c r="DE72" i="1"/>
  <c r="DE74" i="1" s="1"/>
  <c r="DD497" i="1"/>
  <c r="DE738" i="1"/>
  <c r="DE730" i="1"/>
  <c r="DE753" i="1"/>
  <c r="DE757" i="1" s="1"/>
  <c r="DE764" i="1"/>
  <c r="DE766" i="1" s="1"/>
  <c r="DE771" i="1"/>
  <c r="DE773" i="1" s="1"/>
  <c r="DB387" i="1"/>
  <c r="DB538" i="1" s="1"/>
  <c r="DB824" i="1"/>
  <c r="CW887" i="1"/>
  <c r="CW916" i="1" s="1"/>
  <c r="CU864" i="1"/>
  <c r="CS937" i="1"/>
  <c r="CS957" i="1" s="1"/>
  <c r="CN863" i="1"/>
  <c r="CN864" i="1" s="1"/>
  <c r="CN1133" i="1"/>
  <c r="CR1133" i="1"/>
  <c r="DD1133" i="1" s="1"/>
  <c r="DE1133" i="1" s="1"/>
  <c r="DE934" i="1"/>
  <c r="E97" i="12"/>
  <c r="F118" i="12"/>
  <c r="F136" i="12" s="1"/>
  <c r="F151" i="12"/>
  <c r="O97" i="12"/>
  <c r="AG118" i="12"/>
  <c r="AG136" i="12" s="1"/>
  <c r="AQ97" i="12"/>
  <c r="AQ161" i="12"/>
  <c r="AT195" i="12"/>
  <c r="AW118" i="12"/>
  <c r="AW136" i="12" s="1"/>
  <c r="AY113" i="12"/>
  <c r="AY114" i="12" s="1"/>
  <c r="I135" i="12"/>
  <c r="I150" i="12"/>
  <c r="I151" i="12" s="1"/>
  <c r="AS39" i="12"/>
  <c r="AY39" i="12" s="1"/>
  <c r="AC92" i="12"/>
  <c r="AC97" i="12" s="1"/>
  <c r="AH96" i="12"/>
  <c r="AH97" i="12" s="1"/>
  <c r="AS121" i="12"/>
  <c r="AY121" i="12" s="1"/>
  <c r="AH189" i="12"/>
  <c r="AM194" i="12"/>
  <c r="AM195" i="12" s="1"/>
  <c r="AX60" i="12"/>
  <c r="DE839" i="1"/>
  <c r="DE266" i="1"/>
  <c r="DD640" i="1"/>
  <c r="DE1062" i="1"/>
  <c r="DE1087" i="1"/>
  <c r="DE1069" i="1"/>
  <c r="DE1166" i="1"/>
  <c r="DE1174" i="1" s="1"/>
  <c r="CY777" i="1"/>
  <c r="CY865" i="1" s="1"/>
  <c r="CX1135" i="1"/>
  <c r="CX1192" i="1" s="1"/>
  <c r="CX1193" i="1" s="1"/>
  <c r="CW956" i="1"/>
  <c r="CV839" i="1"/>
  <c r="CT1175" i="1"/>
  <c r="CT1192" i="1" s="1"/>
  <c r="CR647" i="1"/>
  <c r="CR696" i="1" s="1"/>
  <c r="AW70" i="1"/>
  <c r="AW84" i="1" s="1"/>
  <c r="BH66" i="1"/>
  <c r="BH70" i="1" s="1"/>
  <c r="BH84" i="1" s="1"/>
  <c r="H195" i="12"/>
  <c r="J195" i="12"/>
  <c r="L97" i="12"/>
  <c r="M161" i="12"/>
  <c r="Q151" i="12"/>
  <c r="Y195" i="12"/>
  <c r="AP118" i="12"/>
  <c r="AP195" i="12"/>
  <c r="I76" i="12"/>
  <c r="I97" i="12" s="1"/>
  <c r="N14" i="12"/>
  <c r="S30" i="12"/>
  <c r="X30" i="12"/>
  <c r="AC30" i="12"/>
  <c r="AR76" i="12"/>
  <c r="AR97" i="12" s="1"/>
  <c r="X92" i="12"/>
  <c r="X97" i="12" s="1"/>
  <c r="N194" i="12"/>
  <c r="AX30" i="12"/>
  <c r="AY30" i="12" s="1"/>
  <c r="AS915" i="1"/>
  <c r="DE65" i="1"/>
  <c r="CZ887" i="1"/>
  <c r="CZ1191" i="1"/>
  <c r="CY728" i="1"/>
  <c r="CY1175" i="1"/>
  <c r="CX537" i="1"/>
  <c r="CX538" i="1" s="1"/>
  <c r="CS887" i="1"/>
  <c r="CS916" i="1" s="1"/>
  <c r="DE592" i="1"/>
  <c r="DE603" i="1"/>
  <c r="R151" i="12"/>
  <c r="U195" i="12"/>
  <c r="W151" i="12"/>
  <c r="AK97" i="12"/>
  <c r="AO151" i="12"/>
  <c r="AQ195" i="12"/>
  <c r="I111" i="12"/>
  <c r="AC14" i="12"/>
  <c r="AS35" i="12"/>
  <c r="AY35" i="12" s="1"/>
  <c r="AC53" i="12"/>
  <c r="AH53" i="12"/>
  <c r="N60" i="12"/>
  <c r="S60" i="12"/>
  <c r="X60" i="12"/>
  <c r="S107" i="12"/>
  <c r="S118" i="12" s="1"/>
  <c r="X107" i="12"/>
  <c r="X118" i="12" s="1"/>
  <c r="AM127" i="12"/>
  <c r="N142" i="12"/>
  <c r="N151" i="12" s="1"/>
  <c r="AH156" i="12"/>
  <c r="AH161" i="12" s="1"/>
  <c r="AS180" i="12"/>
  <c r="AM189" i="12"/>
  <c r="AR194" i="12"/>
  <c r="AS237" i="1"/>
  <c r="DE933" i="1"/>
  <c r="DD1067" i="1"/>
  <c r="DE1066" i="1"/>
  <c r="DE1067" i="1" s="1"/>
  <c r="DA607" i="1"/>
  <c r="DA696" i="1" s="1"/>
  <c r="CZ1135" i="1"/>
  <c r="CU1135" i="1"/>
  <c r="CU1192" i="1" s="1"/>
  <c r="DE1143" i="1"/>
  <c r="CL728" i="1"/>
  <c r="CL865" i="1" s="1"/>
  <c r="CL937" i="1"/>
  <c r="CL957" i="1" s="1"/>
  <c r="CK695" i="1"/>
  <c r="CK696" i="1" s="1"/>
  <c r="BY674" i="1"/>
  <c r="BY696" i="1" s="1"/>
  <c r="BX1134" i="1"/>
  <c r="BV824" i="1"/>
  <c r="BV865" i="1" s="1"/>
  <c r="BV1135" i="1"/>
  <c r="BS1068" i="1"/>
  <c r="BR237" i="1"/>
  <c r="BR538" i="1" s="1"/>
  <c r="BQ915" i="1"/>
  <c r="BN864" i="1"/>
  <c r="BX66" i="1"/>
  <c r="BX70" i="1" s="1"/>
  <c r="BK915" i="1"/>
  <c r="BK916" i="1" s="1"/>
  <c r="BE777" i="1"/>
  <c r="BE839" i="1"/>
  <c r="BC956" i="1"/>
  <c r="BC957" i="1" s="1"/>
  <c r="AY824" i="1"/>
  <c r="AY865" i="1" s="1"/>
  <c r="AT1135" i="1"/>
  <c r="AT1192" i="1" s="1"/>
  <c r="CN326" i="1"/>
  <c r="CN327" i="1" s="1"/>
  <c r="CN665" i="1"/>
  <c r="CN674" i="1" s="1"/>
  <c r="CH1135" i="1"/>
  <c r="DE589" i="1"/>
  <c r="BW1191" i="1"/>
  <c r="BS237" i="1"/>
  <c r="BS538" i="1" s="1"/>
  <c r="BN237" i="1"/>
  <c r="BX1126" i="1"/>
  <c r="CB1126" i="1"/>
  <c r="AZ915" i="1"/>
  <c r="AZ916" i="1" s="1"/>
  <c r="AX957" i="1"/>
  <c r="AU1175" i="1"/>
  <c r="AU1192" i="1" s="1"/>
  <c r="DD174" i="1"/>
  <c r="DD175" i="1" s="1"/>
  <c r="DE326" i="1"/>
  <c r="DE649" i="1"/>
  <c r="DE654" i="1" s="1"/>
  <c r="DE867" i="1"/>
  <c r="DE874" i="1" s="1"/>
  <c r="DE951" i="1"/>
  <c r="DE956" i="1" s="1"/>
  <c r="DC839" i="1"/>
  <c r="DC865" i="1" s="1"/>
  <c r="DC1135" i="1"/>
  <c r="DB1191" i="1"/>
  <c r="DB1192" i="1" s="1"/>
  <c r="DA1191" i="1"/>
  <c r="DA1192" i="1" s="1"/>
  <c r="CY887" i="1"/>
  <c r="CY956" i="1"/>
  <c r="CY957" i="1" s="1"/>
  <c r="CX695" i="1"/>
  <c r="CX696" i="1" s="1"/>
  <c r="CW839" i="1"/>
  <c r="CU824" i="1"/>
  <c r="DE1113" i="1"/>
  <c r="DE858" i="1"/>
  <c r="DE863" i="1" s="1"/>
  <c r="DE864" i="1" s="1"/>
  <c r="CC777" i="1"/>
  <c r="CC865" i="1" s="1"/>
  <c r="DE920" i="1"/>
  <c r="BO915" i="1"/>
  <c r="BO916" i="1" s="1"/>
  <c r="BX1109" i="1"/>
  <c r="CB1109" i="1"/>
  <c r="CN1109" i="1" s="1"/>
  <c r="BH292" i="1"/>
  <c r="AW824" i="1"/>
  <c r="AW936" i="1"/>
  <c r="BH934" i="1"/>
  <c r="BH936" i="1" s="1"/>
  <c r="BH937" i="1" s="1"/>
  <c r="CW777" i="1"/>
  <c r="CS70" i="1"/>
  <c r="CS84" i="1" s="1"/>
  <c r="CN468" i="1"/>
  <c r="CN475" i="1" s="1"/>
  <c r="CL674" i="1"/>
  <c r="CL696" i="1" s="1"/>
  <c r="CH839" i="1"/>
  <c r="CH906" i="1"/>
  <c r="CH916" i="1" s="1"/>
  <c r="CN1117" i="1"/>
  <c r="CR1117" i="1"/>
  <c r="DD1117" i="1" s="1"/>
  <c r="DE1117" i="1" s="1"/>
  <c r="BX74" i="1"/>
  <c r="BX596" i="1"/>
  <c r="BX607" i="1" s="1"/>
  <c r="BM936" i="1"/>
  <c r="BM937" i="1" s="1"/>
  <c r="BM957" i="1" s="1"/>
  <c r="BX925" i="1"/>
  <c r="BL647" i="1"/>
  <c r="BX1108" i="1"/>
  <c r="BX1120" i="1" s="1"/>
  <c r="BX1135" i="1" s="1"/>
  <c r="CB1108" i="1"/>
  <c r="BD674" i="1"/>
  <c r="BD696" i="1" s="1"/>
  <c r="AV647" i="1"/>
  <c r="DD326" i="1"/>
  <c r="DD327" i="1" s="1"/>
  <c r="DE580" i="1"/>
  <c r="DD746" i="1"/>
  <c r="DD777" i="1" s="1"/>
  <c r="DE928" i="1"/>
  <c r="DE950" i="1"/>
  <c r="DE1014" i="1"/>
  <c r="DE1022" i="1"/>
  <c r="DE1029" i="1" s="1"/>
  <c r="DB839" i="1"/>
  <c r="DB865" i="1" s="1"/>
  <c r="CZ1175" i="1"/>
  <c r="CY327" i="1"/>
  <c r="CY538" i="1" s="1"/>
  <c r="CW1175" i="1"/>
  <c r="CW1192" i="1" s="1"/>
  <c r="CV674" i="1"/>
  <c r="CV696" i="1" s="1"/>
  <c r="CT537" i="1"/>
  <c r="CT538" i="1" s="1"/>
  <c r="CT674" i="1"/>
  <c r="CF777" i="1"/>
  <c r="CE84" i="1"/>
  <c r="CN213" i="1"/>
  <c r="CN219" i="1" s="1"/>
  <c r="CN237" i="1" s="1"/>
  <c r="CC219" i="1"/>
  <c r="CC237" i="1" s="1"/>
  <c r="CA839" i="1"/>
  <c r="CA865" i="1" s="1"/>
  <c r="BT237" i="1"/>
  <c r="BT538" i="1" s="1"/>
  <c r="BR1068" i="1"/>
  <c r="BR1192" i="1" s="1"/>
  <c r="BM824" i="1"/>
  <c r="BM865" i="1" s="1"/>
  <c r="BJ937" i="1"/>
  <c r="BJ957" i="1" s="1"/>
  <c r="BH880" i="1"/>
  <c r="BF155" i="1"/>
  <c r="BF156" i="1" s="1"/>
  <c r="BH96" i="1"/>
  <c r="BH155" i="1" s="1"/>
  <c r="BH156" i="1" s="1"/>
  <c r="BF839" i="1"/>
  <c r="BF865" i="1" s="1"/>
  <c r="BF906" i="1"/>
  <c r="BF916" i="1" s="1"/>
  <c r="BB887" i="1"/>
  <c r="BB916" i="1" s="1"/>
  <c r="BP475" i="1"/>
  <c r="DE305" i="1"/>
  <c r="DE310" i="1" s="1"/>
  <c r="DE894" i="1"/>
  <c r="DE901" i="1" s="1"/>
  <c r="DE906" i="1" s="1"/>
  <c r="DD951" i="1"/>
  <c r="DD956" i="1" s="1"/>
  <c r="DD957" i="1" s="1"/>
  <c r="DC607" i="1"/>
  <c r="DC696" i="1" s="1"/>
  <c r="DC864" i="1"/>
  <c r="DA777" i="1"/>
  <c r="CZ607" i="1"/>
  <c r="CZ696" i="1" s="1"/>
  <c r="CZ937" i="1"/>
  <c r="CZ957" i="1" s="1"/>
  <c r="CW864" i="1"/>
  <c r="CV387" i="1"/>
  <c r="CV538" i="1" s="1"/>
  <c r="CT695" i="1"/>
  <c r="CT696" i="1" s="1"/>
  <c r="DE1130" i="1"/>
  <c r="CQ777" i="1"/>
  <c r="CQ865" i="1" s="1"/>
  <c r="CI906" i="1"/>
  <c r="DE671" i="1"/>
  <c r="DE673" i="1" s="1"/>
  <c r="BL1068" i="1"/>
  <c r="BL1192" i="1" s="1"/>
  <c r="BJ674" i="1"/>
  <c r="BJ696" i="1" s="1"/>
  <c r="DE575" i="1"/>
  <c r="BH673" i="1"/>
  <c r="BH460" i="1"/>
  <c r="BH823" i="1"/>
  <c r="BH824" i="1" s="1"/>
  <c r="CQ1175" i="1"/>
  <c r="CQ1192" i="1" s="1"/>
  <c r="CQ1193" i="1" s="1"/>
  <c r="CP387" i="1"/>
  <c r="CP538" i="1" s="1"/>
  <c r="CO937" i="1"/>
  <c r="CN382" i="1"/>
  <c r="DE465" i="1"/>
  <c r="DE468" i="1" s="1"/>
  <c r="CL155" i="1"/>
  <c r="CL156" i="1" s="1"/>
  <c r="CL537" i="1"/>
  <c r="CL1191" i="1"/>
  <c r="CL1192" i="1" s="1"/>
  <c r="CK647" i="1"/>
  <c r="DE573" i="1"/>
  <c r="DE613" i="1"/>
  <c r="BX914" i="1"/>
  <c r="BX915" i="1" s="1"/>
  <c r="DE1185" i="1"/>
  <c r="BV906" i="1"/>
  <c r="BV916" i="1" s="1"/>
  <c r="BT728" i="1"/>
  <c r="BT865" i="1" s="1"/>
  <c r="BT915" i="1"/>
  <c r="BQ1175" i="1"/>
  <c r="BI887" i="1"/>
  <c r="BH272" i="1"/>
  <c r="DE583" i="1"/>
  <c r="BH776" i="1"/>
  <c r="BH777" i="1" s="1"/>
  <c r="BH865" i="1" s="1"/>
  <c r="BH839" i="1"/>
  <c r="BB1191" i="1"/>
  <c r="BB1192" i="1" s="1"/>
  <c r="AZ1068" i="1"/>
  <c r="AY674" i="1"/>
  <c r="AY696" i="1" s="1"/>
  <c r="AY937" i="1"/>
  <c r="AY957" i="1" s="1"/>
  <c r="AX695" i="1"/>
  <c r="AX696" i="1" s="1"/>
  <c r="AW695" i="1"/>
  <c r="AW696" i="1" s="1"/>
  <c r="AT537" i="1"/>
  <c r="AT538" i="1" s="1"/>
  <c r="AT906" i="1"/>
  <c r="AT916" i="1" s="1"/>
  <c r="CP887" i="1"/>
  <c r="CP916" i="1" s="1"/>
  <c r="CP1135" i="1"/>
  <c r="CP1192" i="1" s="1"/>
  <c r="CN353" i="1"/>
  <c r="DE358" i="1"/>
  <c r="DE367" i="1" s="1"/>
  <c r="DE518" i="1"/>
  <c r="DE520" i="1" s="1"/>
  <c r="CM674" i="1"/>
  <c r="CL475" i="1"/>
  <c r="CL887" i="1"/>
  <c r="CL1135" i="1"/>
  <c r="CK607" i="1"/>
  <c r="CG915" i="1"/>
  <c r="CG916" i="1" s="1"/>
  <c r="CF728" i="1"/>
  <c r="CB937" i="1"/>
  <c r="CB957" i="1" s="1"/>
  <c r="BY824" i="1"/>
  <c r="BY865" i="1" s="1"/>
  <c r="BY1191" i="1"/>
  <c r="BY1192" i="1" s="1"/>
  <c r="DE999" i="1"/>
  <c r="BU237" i="1"/>
  <c r="BU538" i="1" s="1"/>
  <c r="BS887" i="1"/>
  <c r="BS916" i="1" s="1"/>
  <c r="BR887" i="1"/>
  <c r="BR916" i="1" s="1"/>
  <c r="BR956" i="1"/>
  <c r="BR957" i="1" s="1"/>
  <c r="BM906" i="1"/>
  <c r="BM916" i="1" s="1"/>
  <c r="BI906" i="1"/>
  <c r="BI916" i="1" s="1"/>
  <c r="BH317" i="1"/>
  <c r="BH327" i="1" s="1"/>
  <c r="DE587" i="1"/>
  <c r="BH606" i="1"/>
  <c r="BH607" i="1" s="1"/>
  <c r="DE923" i="1"/>
  <c r="BG777" i="1"/>
  <c r="BE84" i="1"/>
  <c r="BE475" i="1"/>
  <c r="BD84" i="1"/>
  <c r="BD538" i="1" s="1"/>
  <c r="BC84" i="1"/>
  <c r="BC538" i="1" s="1"/>
  <c r="BB537" i="1"/>
  <c r="BB538" i="1" s="1"/>
  <c r="BA674" i="1"/>
  <c r="BA696" i="1" s="1"/>
  <c r="BA887" i="1"/>
  <c r="BA916" i="1" s="1"/>
  <c r="AZ839" i="1"/>
  <c r="AZ865" i="1" s="1"/>
  <c r="AY537" i="1"/>
  <c r="AY1191" i="1"/>
  <c r="AY1192" i="1" s="1"/>
  <c r="AV695" i="1"/>
  <c r="AV696" i="1" s="1"/>
  <c r="AV1193" i="1" s="1"/>
  <c r="CR607" i="1"/>
  <c r="CR864" i="1"/>
  <c r="CR865" i="1" s="1"/>
  <c r="CN694" i="1"/>
  <c r="CN695" i="1" s="1"/>
  <c r="CM695" i="1"/>
  <c r="CM696" i="1" s="1"/>
  <c r="CL906" i="1"/>
  <c r="CJ1175" i="1"/>
  <c r="CJ1192" i="1" s="1"/>
  <c r="CH1175" i="1"/>
  <c r="CH1192" i="1" s="1"/>
  <c r="CD728" i="1"/>
  <c r="CC607" i="1"/>
  <c r="CB1175" i="1"/>
  <c r="BX310" i="1"/>
  <c r="BX327" i="1" s="1"/>
  <c r="DE680" i="1"/>
  <c r="DE935" i="1"/>
  <c r="DE995" i="1"/>
  <c r="BX1174" i="1"/>
  <c r="BX1175" i="1" s="1"/>
  <c r="BT887" i="1"/>
  <c r="BS695" i="1"/>
  <c r="BS696" i="1" s="1"/>
  <c r="BR695" i="1"/>
  <c r="BR696" i="1" s="1"/>
  <c r="BQ887" i="1"/>
  <c r="BQ1191" i="1"/>
  <c r="BL674" i="1"/>
  <c r="BL696" i="1" s="1"/>
  <c r="BL956" i="1"/>
  <c r="BL957" i="1" s="1"/>
  <c r="BJ647" i="1"/>
  <c r="DE595" i="1"/>
  <c r="BH610" i="1"/>
  <c r="BH647" i="1" s="1"/>
  <c r="BH659" i="1"/>
  <c r="BH886" i="1"/>
  <c r="BH887" i="1" s="1"/>
  <c r="BH916" i="1" s="1"/>
  <c r="BG607" i="1"/>
  <c r="BG696" i="1" s="1"/>
  <c r="BD607" i="1"/>
  <c r="BD728" i="1"/>
  <c r="BD865" i="1" s="1"/>
  <c r="BD1193" i="1" s="1"/>
  <c r="BD915" i="1"/>
  <c r="BD916" i="1" s="1"/>
  <c r="BD1175" i="1"/>
  <c r="BD1192" i="1" s="1"/>
  <c r="BC607" i="1"/>
  <c r="BC696" i="1" s="1"/>
  <c r="BC1193" i="1" s="1"/>
  <c r="BA84" i="1"/>
  <c r="BA538" i="1" s="1"/>
  <c r="BA839" i="1"/>
  <c r="BA865" i="1" s="1"/>
  <c r="BA1193" i="1" s="1"/>
  <c r="AZ956" i="1"/>
  <c r="AZ957" i="1" s="1"/>
  <c r="AZ1135" i="1"/>
  <c r="AX728" i="1"/>
  <c r="AX865" i="1" s="1"/>
  <c r="AV84" i="1"/>
  <c r="AV538" i="1" s="1"/>
  <c r="CO777" i="1"/>
  <c r="CN371" i="1"/>
  <c r="CN387" i="1" s="1"/>
  <c r="CN610" i="1"/>
  <c r="CN647" i="1" s="1"/>
  <c r="CN654" i="1"/>
  <c r="CI824" i="1"/>
  <c r="CI865" i="1" s="1"/>
  <c r="CF537" i="1"/>
  <c r="CE956" i="1"/>
  <c r="CE957" i="1" s="1"/>
  <c r="CA695" i="1"/>
  <c r="CA696" i="1" s="1"/>
  <c r="BZ956" i="1"/>
  <c r="DE593" i="1"/>
  <c r="BW674" i="1"/>
  <c r="BW696" i="1" s="1"/>
  <c r="BW1175" i="1"/>
  <c r="BT1135" i="1"/>
  <c r="BT1192" i="1" s="1"/>
  <c r="BQ839" i="1"/>
  <c r="BQ865" i="1" s="1"/>
  <c r="BP537" i="1"/>
  <c r="BP538" i="1" s="1"/>
  <c r="BM155" i="1"/>
  <c r="BM156" i="1" s="1"/>
  <c r="BM538" i="1" s="1"/>
  <c r="BJ915" i="1"/>
  <c r="BJ916" i="1" s="1"/>
  <c r="BH386" i="1"/>
  <c r="BH387" i="1" s="1"/>
  <c r="DE550" i="1"/>
  <c r="DE563" i="1" s="1"/>
  <c r="DE567" i="1"/>
  <c r="BG728" i="1"/>
  <c r="BG864" i="1"/>
  <c r="AX237" i="1"/>
  <c r="AX538" i="1" s="1"/>
  <c r="AW237" i="1"/>
  <c r="AW538" i="1" s="1"/>
  <c r="AT475" i="1"/>
  <c r="CO728" i="1"/>
  <c r="CO915" i="1"/>
  <c r="CO916" i="1" s="1"/>
  <c r="DE331" i="1"/>
  <c r="DE338" i="1" s="1"/>
  <c r="DE339" i="1" s="1"/>
  <c r="DE381" i="1"/>
  <c r="DE396" i="1"/>
  <c r="DE412" i="1" s="1"/>
  <c r="CN460" i="1"/>
  <c r="DE526" i="1"/>
  <c r="CN880" i="1"/>
  <c r="CN887" i="1" s="1"/>
  <c r="CJ839" i="1"/>
  <c r="CI956" i="1"/>
  <c r="CI957" i="1" s="1"/>
  <c r="CF839" i="1"/>
  <c r="CF865" i="1" s="1"/>
  <c r="CB906" i="1"/>
  <c r="CB916" i="1" s="1"/>
  <c r="DE577" i="1"/>
  <c r="DE599" i="1"/>
  <c r="DE606" i="1" s="1"/>
  <c r="DE684" i="1"/>
  <c r="BV155" i="1"/>
  <c r="BV156" i="1" s="1"/>
  <c r="BH278" i="1"/>
  <c r="DE554" i="1"/>
  <c r="DE571" i="1"/>
  <c r="BF237" i="1"/>
  <c r="BF387" i="1"/>
  <c r="BF538" i="1" s="1"/>
  <c r="BE537" i="1"/>
  <c r="BB1175" i="1"/>
  <c r="AY475" i="1"/>
  <c r="AU728" i="1"/>
  <c r="AU865" i="1" s="1"/>
  <c r="BH474" i="1"/>
  <c r="BH475" i="1" s="1"/>
  <c r="AZ696" i="1"/>
  <c r="BH1192" i="1"/>
  <c r="BO1193" i="1"/>
  <c r="BH957" i="1"/>
  <c r="CI538" i="1"/>
  <c r="BI538" i="1"/>
  <c r="BI1193" i="1" s="1"/>
  <c r="BN696" i="1"/>
  <c r="Y70" i="12"/>
  <c r="Y136" i="12"/>
  <c r="AP136" i="12"/>
  <c r="AC117" i="12"/>
  <c r="AS116" i="12"/>
  <c r="AC118" i="12"/>
  <c r="AM107" i="12"/>
  <c r="AM118" i="12" s="1"/>
  <c r="AS105" i="12"/>
  <c r="AY105" i="12" s="1"/>
  <c r="AS106" i="12"/>
  <c r="X136" i="12"/>
  <c r="AM146" i="12"/>
  <c r="AS144" i="12"/>
  <c r="AY144" i="12" s="1"/>
  <c r="AS158" i="12"/>
  <c r="AY158" i="12" s="1"/>
  <c r="AC160" i="12"/>
  <c r="AC161" i="12" s="1"/>
  <c r="AH178" i="12"/>
  <c r="AH195" i="12" s="1"/>
  <c r="AS167" i="12"/>
  <c r="AY167" i="12" s="1"/>
  <c r="AS164" i="12"/>
  <c r="AY164" i="12" s="1"/>
  <c r="AR178" i="12"/>
  <c r="AS178" i="12" s="1"/>
  <c r="AX17" i="12"/>
  <c r="AY17" i="12" s="1"/>
  <c r="AY16" i="12"/>
  <c r="AS327" i="1"/>
  <c r="AS674" i="1"/>
  <c r="AS696" i="1" s="1"/>
  <c r="DC538" i="1"/>
  <c r="DA865" i="1"/>
  <c r="CW865" i="1"/>
  <c r="DE497" i="1"/>
  <c r="BJ865" i="1"/>
  <c r="BV1192" i="1"/>
  <c r="BX387" i="1"/>
  <c r="AE196" i="12"/>
  <c r="CN916" i="1"/>
  <c r="M136" i="12"/>
  <c r="CW538" i="1"/>
  <c r="AT957" i="1"/>
  <c r="BU1192" i="1"/>
  <c r="CC538" i="1"/>
  <c r="BB865" i="1"/>
  <c r="E70" i="12"/>
  <c r="J136" i="12"/>
  <c r="T136" i="12"/>
  <c r="N42" i="12"/>
  <c r="AH42" i="12"/>
  <c r="AH70" i="12" s="1"/>
  <c r="AH45" i="12"/>
  <c r="AS44" i="12"/>
  <c r="AS52" i="12"/>
  <c r="AY52" i="12" s="1"/>
  <c r="AS51" i="12"/>
  <c r="AY51" i="12" s="1"/>
  <c r="S53" i="12"/>
  <c r="AM53" i="12"/>
  <c r="X53" i="12"/>
  <c r="X70" i="12" s="1"/>
  <c r="AS47" i="12"/>
  <c r="N70" i="12"/>
  <c r="AS58" i="12"/>
  <c r="AY58" i="12" s="1"/>
  <c r="AS57" i="12"/>
  <c r="AY57" i="12" s="1"/>
  <c r="AR60" i="12"/>
  <c r="AS56" i="12"/>
  <c r="AC60" i="12"/>
  <c r="AY65" i="12"/>
  <c r="AS88" i="12"/>
  <c r="AY88" i="12" s="1"/>
  <c r="AU696" i="1"/>
  <c r="AG70" i="12"/>
  <c r="AW70" i="12"/>
  <c r="AW196" i="12" s="1"/>
  <c r="F97" i="12"/>
  <c r="G195" i="12"/>
  <c r="H161" i="12"/>
  <c r="K195" i="12"/>
  <c r="L161" i="12"/>
  <c r="O136" i="12"/>
  <c r="P161" i="12"/>
  <c r="Q118" i="12"/>
  <c r="Q136" i="12" s="1"/>
  <c r="R70" i="12"/>
  <c r="R196" i="12" s="1"/>
  <c r="U118" i="12"/>
  <c r="U136" i="12" s="1"/>
  <c r="U196" i="12" s="1"/>
  <c r="V118" i="12"/>
  <c r="V136" i="12" s="1"/>
  <c r="Z136" i="12"/>
  <c r="AA161" i="12"/>
  <c r="AF97" i="12"/>
  <c r="AG195" i="12"/>
  <c r="AI161" i="12"/>
  <c r="AJ118" i="12"/>
  <c r="AJ136" i="12" s="1"/>
  <c r="AK70" i="12"/>
  <c r="AL118" i="12"/>
  <c r="AL136" i="12" s="1"/>
  <c r="AN151" i="12"/>
  <c r="AN196" i="12" s="1"/>
  <c r="AO70" i="12"/>
  <c r="AP97" i="12"/>
  <c r="AQ151" i="12"/>
  <c r="AT118" i="12"/>
  <c r="AT136" i="12" s="1"/>
  <c r="AV97" i="12"/>
  <c r="I114" i="12"/>
  <c r="I118" i="12" s="1"/>
  <c r="AS36" i="12"/>
  <c r="AY36" i="12" s="1"/>
  <c r="AS32" i="12"/>
  <c r="AS66" i="12"/>
  <c r="AY66" i="12" s="1"/>
  <c r="AS81" i="12"/>
  <c r="AY81" i="12" s="1"/>
  <c r="N84" i="12"/>
  <c r="N97" i="12" s="1"/>
  <c r="AS89" i="12"/>
  <c r="AY89" i="12" s="1"/>
  <c r="N127" i="12"/>
  <c r="AH127" i="12"/>
  <c r="N131" i="12"/>
  <c r="AM131" i="12"/>
  <c r="AM136" i="12" s="1"/>
  <c r="AS129" i="12"/>
  <c r="AY129" i="12" s="1"/>
  <c r="S135" i="12"/>
  <c r="S136" i="12" s="1"/>
  <c r="AR135" i="12"/>
  <c r="AS133" i="12"/>
  <c r="AY133" i="12" s="1"/>
  <c r="AR142" i="12"/>
  <c r="AS139" i="12"/>
  <c r="AY139" i="12" s="1"/>
  <c r="AC146" i="12"/>
  <c r="AC150" i="12"/>
  <c r="AS148" i="12"/>
  <c r="AY148" i="12" s="1"/>
  <c r="AR150" i="12"/>
  <c r="AR156" i="12"/>
  <c r="AS156" i="12" s="1"/>
  <c r="AS154" i="12"/>
  <c r="AY154" i="12" s="1"/>
  <c r="AS183" i="12"/>
  <c r="AY183" i="12" s="1"/>
  <c r="AX111" i="12"/>
  <c r="AY109" i="12"/>
  <c r="AY111" i="12" s="1"/>
  <c r="CU865" i="1"/>
  <c r="DE353" i="1"/>
  <c r="E195" i="12"/>
  <c r="G118" i="12"/>
  <c r="G136" i="12" s="1"/>
  <c r="H151" i="12"/>
  <c r="J97" i="12"/>
  <c r="K118" i="12"/>
  <c r="K136" i="12" s="1"/>
  <c r="L151" i="12"/>
  <c r="M97" i="12"/>
  <c r="P151" i="12"/>
  <c r="Q97" i="12"/>
  <c r="Q195" i="12"/>
  <c r="T70" i="12"/>
  <c r="U70" i="12"/>
  <c r="V70" i="12"/>
  <c r="AA151" i="12"/>
  <c r="AG161" i="12"/>
  <c r="AI151" i="12"/>
  <c r="AJ97" i="12"/>
  <c r="AJ195" i="12"/>
  <c r="AL97" i="12"/>
  <c r="AL195" i="12"/>
  <c r="AO195" i="12"/>
  <c r="AQ118" i="12"/>
  <c r="AQ136" i="12" s="1"/>
  <c r="I131" i="12"/>
  <c r="I156" i="12"/>
  <c r="I161" i="12" s="1"/>
  <c r="AS12" i="12"/>
  <c r="AS40" i="12"/>
  <c r="AY40" i="12" s="1"/>
  <c r="AS33" i="12"/>
  <c r="AY33" i="12" s="1"/>
  <c r="AS67" i="12"/>
  <c r="AY67" i="12" s="1"/>
  <c r="AS82" i="12"/>
  <c r="AY82" i="12" s="1"/>
  <c r="AS78" i="12"/>
  <c r="AS90" i="12"/>
  <c r="AY90" i="12" s="1"/>
  <c r="AS86" i="12"/>
  <c r="AC103" i="12"/>
  <c r="AS120" i="12"/>
  <c r="AY120" i="12" s="1"/>
  <c r="AC122" i="12"/>
  <c r="AR122" i="12"/>
  <c r="AS122" i="12" s="1"/>
  <c r="AY122" i="12" s="1"/>
  <c r="AC127" i="12"/>
  <c r="AS125" i="12"/>
  <c r="AY125" i="12" s="1"/>
  <c r="AS130" i="12"/>
  <c r="AY130" i="12" s="1"/>
  <c r="AS134" i="12"/>
  <c r="AY134" i="12" s="1"/>
  <c r="AM142" i="12"/>
  <c r="AM151" i="12" s="1"/>
  <c r="X160" i="12"/>
  <c r="X161" i="12" s="1"/>
  <c r="AS159" i="12"/>
  <c r="AY159" i="12" s="1"/>
  <c r="AR161" i="12"/>
  <c r="AS182" i="12"/>
  <c r="AY182" i="12" s="1"/>
  <c r="X184" i="12"/>
  <c r="X195" i="12" s="1"/>
  <c r="AY186" i="12"/>
  <c r="AX189" i="12"/>
  <c r="CL538" i="1"/>
  <c r="CY916" i="1"/>
  <c r="E118" i="12"/>
  <c r="E136" i="12" s="1"/>
  <c r="G70" i="12"/>
  <c r="J151" i="12"/>
  <c r="K70" i="12"/>
  <c r="L118" i="12"/>
  <c r="L136" i="12" s="1"/>
  <c r="M70" i="12"/>
  <c r="M151" i="12"/>
  <c r="N118" i="12"/>
  <c r="O70" i="12"/>
  <c r="P70" i="12"/>
  <c r="P118" i="12"/>
  <c r="P136" i="12" s="1"/>
  <c r="Q161" i="12"/>
  <c r="W97" i="12"/>
  <c r="W196" i="12" s="1"/>
  <c r="Z70" i="12"/>
  <c r="AA70" i="12"/>
  <c r="AA118" i="12"/>
  <c r="AA136" i="12" s="1"/>
  <c r="AB70" i="12"/>
  <c r="AB196" i="12" s="1"/>
  <c r="AF151" i="12"/>
  <c r="AG151" i="12"/>
  <c r="AI70" i="12"/>
  <c r="AJ161" i="12"/>
  <c r="AK195" i="12"/>
  <c r="AK196" i="12" s="1"/>
  <c r="AO136" i="12"/>
  <c r="I127" i="12"/>
  <c r="I178" i="12"/>
  <c r="S14" i="12"/>
  <c r="AM14" i="12"/>
  <c r="X23" i="12"/>
  <c r="AS41" i="12"/>
  <c r="AY41" i="12" s="1"/>
  <c r="AS37" i="12"/>
  <c r="AY37" i="12" s="1"/>
  <c r="AS34" i="12"/>
  <c r="AY34" i="12" s="1"/>
  <c r="AM63" i="12"/>
  <c r="AM70" i="12" s="1"/>
  <c r="AS62" i="12"/>
  <c r="AS68" i="12"/>
  <c r="AY68" i="12" s="1"/>
  <c r="S69" i="12"/>
  <c r="AS83" i="12"/>
  <c r="AY83" i="12" s="1"/>
  <c r="AS79" i="12"/>
  <c r="AY79" i="12" s="1"/>
  <c r="AS91" i="12"/>
  <c r="AY91" i="12" s="1"/>
  <c r="AS87" i="12"/>
  <c r="AY87" i="12" s="1"/>
  <c r="X151" i="12"/>
  <c r="S184" i="12"/>
  <c r="S195" i="12" s="1"/>
  <c r="AS181" i="12"/>
  <c r="AY181" i="12" s="1"/>
  <c r="N195" i="12"/>
  <c r="AY32" i="12"/>
  <c r="AX84" i="12"/>
  <c r="AY78" i="12"/>
  <c r="AX150" i="12"/>
  <c r="AY149" i="12"/>
  <c r="AY176" i="12"/>
  <c r="AY172" i="12"/>
  <c r="AY168" i="12"/>
  <c r="AX178" i="12"/>
  <c r="AY178" i="12" s="1"/>
  <c r="AY180" i="12"/>
  <c r="AM160" i="12"/>
  <c r="AX127" i="12"/>
  <c r="AS864" i="1"/>
  <c r="AS865" i="1" s="1"/>
  <c r="DE536" i="1"/>
  <c r="DE292" i="1"/>
  <c r="AR14" i="12"/>
  <c r="AX69" i="12"/>
  <c r="AX76" i="12"/>
  <c r="AY76" i="12" s="1"/>
  <c r="AX114" i="12"/>
  <c r="AX160" i="12"/>
  <c r="AR184" i="12"/>
  <c r="AS475" i="1"/>
  <c r="AS538" i="1" s="1"/>
  <c r="CW957" i="1"/>
  <c r="CK237" i="1"/>
  <c r="CK538" i="1" s="1"/>
  <c r="CK1135" i="1"/>
  <c r="CK1192" i="1" s="1"/>
  <c r="CJ728" i="1"/>
  <c r="CG387" i="1"/>
  <c r="CG538" i="1" s="1"/>
  <c r="CG1193" i="1" s="1"/>
  <c r="CF84" i="1"/>
  <c r="CF538" i="1" s="1"/>
  <c r="CD777" i="1"/>
  <c r="CD865" i="1" s="1"/>
  <c r="CD1193" i="1" s="1"/>
  <c r="CB537" i="1"/>
  <c r="CB538" i="1" s="1"/>
  <c r="CA937" i="1"/>
  <c r="CA957" i="1" s="1"/>
  <c r="CA1193" i="1" s="1"/>
  <c r="BZ84" i="1"/>
  <c r="BZ538" i="1" s="1"/>
  <c r="BZ957" i="1"/>
  <c r="BZ1191" i="1"/>
  <c r="BX776" i="1"/>
  <c r="BX777" i="1" s="1"/>
  <c r="BX880" i="1"/>
  <c r="BX887" i="1" s="1"/>
  <c r="BX916" i="1" s="1"/>
  <c r="BX1029" i="1"/>
  <c r="DD511" i="1"/>
  <c r="DD537" i="1" s="1"/>
  <c r="CK728" i="1"/>
  <c r="CK865" i="1" s="1"/>
  <c r="CJ777" i="1"/>
  <c r="CJ865" i="1" s="1"/>
  <c r="CI674" i="1"/>
  <c r="CI696" i="1" s="1"/>
  <c r="CI1193" i="1" s="1"/>
  <c r="CH777" i="1"/>
  <c r="CH865" i="1" s="1"/>
  <c r="CF607" i="1"/>
  <c r="CF696" i="1" s="1"/>
  <c r="CE1135" i="1"/>
  <c r="CE1192" i="1" s="1"/>
  <c r="CB647" i="1"/>
  <c r="CB696" i="1" s="1"/>
  <c r="BZ1175" i="1"/>
  <c r="DE585" i="1"/>
  <c r="BX1008" i="1"/>
  <c r="DE1181" i="1"/>
  <c r="BW237" i="1"/>
  <c r="BW728" i="1"/>
  <c r="BW865" i="1" s="1"/>
  <c r="BQ1068" i="1"/>
  <c r="BQ1192" i="1" s="1"/>
  <c r="BN84" i="1"/>
  <c r="BN538" i="1" s="1"/>
  <c r="BN777" i="1"/>
  <c r="BN865" i="1" s="1"/>
  <c r="BN1193" i="1" s="1"/>
  <c r="DD1020" i="1"/>
  <c r="DD1068" i="1" s="1"/>
  <c r="CJ957" i="1"/>
  <c r="CE387" i="1"/>
  <c r="CC647" i="1"/>
  <c r="DE569" i="1"/>
  <c r="BW327" i="1"/>
  <c r="BW538" i="1" s="1"/>
  <c r="BV327" i="1"/>
  <c r="BV538" i="1" s="1"/>
  <c r="BT695" i="1"/>
  <c r="BT696" i="1" s="1"/>
  <c r="BS1135" i="1"/>
  <c r="BS1192" i="1" s="1"/>
  <c r="BP1068" i="1"/>
  <c r="BP1192" i="1" s="1"/>
  <c r="BM674" i="1"/>
  <c r="BM696" i="1" s="1"/>
  <c r="BL237" i="1"/>
  <c r="BL387" i="1"/>
  <c r="AW937" i="1"/>
  <c r="AW957" i="1" s="1"/>
  <c r="BH2" i="18" l="1"/>
  <c r="BI2" i="18" s="1"/>
  <c r="BE1193" i="1"/>
  <c r="BF1193" i="1"/>
  <c r="CN696" i="1"/>
  <c r="BH538" i="1"/>
  <c r="BG1193" i="1"/>
  <c r="DE777" i="1"/>
  <c r="AX1193" i="1"/>
  <c r="CN1126" i="1"/>
  <c r="CN1134" i="1" s="1"/>
  <c r="CR1126" i="1"/>
  <c r="DD1126" i="1" s="1"/>
  <c r="DE1126" i="1" s="1"/>
  <c r="CB1134" i="1"/>
  <c r="F196" i="12"/>
  <c r="CO865" i="1"/>
  <c r="DE213" i="1"/>
  <c r="DE219" i="1" s="1"/>
  <c r="BQ916" i="1"/>
  <c r="CT1193" i="1"/>
  <c r="DE96" i="1"/>
  <c r="DE155" i="1" s="1"/>
  <c r="DE156" i="1" s="1"/>
  <c r="DD155" i="1"/>
  <c r="DD156" i="1" s="1"/>
  <c r="DD1122" i="1"/>
  <c r="DD728" i="1"/>
  <c r="DD865" i="1" s="1"/>
  <c r="DE687" i="1"/>
  <c r="AY100" i="12"/>
  <c r="AS103" i="12"/>
  <c r="DE1153" i="1"/>
  <c r="DE1175" i="1" s="1"/>
  <c r="CZ1192" i="1"/>
  <c r="CZ1193" i="1" s="1"/>
  <c r="DE728" i="1"/>
  <c r="DE237" i="1"/>
  <c r="AV196" i="12"/>
  <c r="AW1193" i="1"/>
  <c r="BQ1193" i="1"/>
  <c r="AS131" i="12"/>
  <c r="AY131" i="12" s="1"/>
  <c r="AT196" i="12"/>
  <c r="AI196" i="12"/>
  <c r="AC70" i="12"/>
  <c r="BJ1193" i="1"/>
  <c r="AZ1193" i="1"/>
  <c r="BX84" i="1"/>
  <c r="BX538" i="1" s="1"/>
  <c r="DE924" i="1"/>
  <c r="DE70" i="1"/>
  <c r="DE84" i="1" s="1"/>
  <c r="DD647" i="1"/>
  <c r="CS538" i="1"/>
  <c r="CS1193" i="1" s="1"/>
  <c r="CN865" i="1"/>
  <c r="AT1193" i="1"/>
  <c r="BY1193" i="1"/>
  <c r="AY194" i="12"/>
  <c r="DE695" i="1"/>
  <c r="DE596" i="1"/>
  <c r="DE607" i="1" s="1"/>
  <c r="BX865" i="1"/>
  <c r="AY538" i="1"/>
  <c r="AY1193" i="1" s="1"/>
  <c r="BR1193" i="1"/>
  <c r="DE887" i="1"/>
  <c r="DE916" i="1" s="1"/>
  <c r="AY103" i="12"/>
  <c r="BT1193" i="1"/>
  <c r="DC1193" i="1"/>
  <c r="CF1193" i="1"/>
  <c r="J196" i="12"/>
  <c r="P196" i="12"/>
  <c r="CC696" i="1"/>
  <c r="CC1193" i="1" s="1"/>
  <c r="CH1193" i="1"/>
  <c r="AF196" i="12"/>
  <c r="I136" i="12"/>
  <c r="I196" i="12" s="1"/>
  <c r="DE387" i="1"/>
  <c r="AR70" i="12"/>
  <c r="BG865" i="1"/>
  <c r="CL916" i="1"/>
  <c r="CN1108" i="1"/>
  <c r="CN1120" i="1" s="1"/>
  <c r="CR1108" i="1"/>
  <c r="CB1120" i="1"/>
  <c r="DB1193" i="1"/>
  <c r="BW1192" i="1"/>
  <c r="BW1193" i="1" s="1"/>
  <c r="BE865" i="1"/>
  <c r="DE66" i="1"/>
  <c r="DE742" i="1"/>
  <c r="DE128" i="1"/>
  <c r="CN155" i="1"/>
  <c r="CN156" i="1" s="1"/>
  <c r="CN538" i="1" s="1"/>
  <c r="AS189" i="12"/>
  <c r="DE617" i="1"/>
  <c r="DE647" i="1" s="1"/>
  <c r="CM1193" i="1"/>
  <c r="DE537" i="1"/>
  <c r="CL1193" i="1"/>
  <c r="BM1193" i="1"/>
  <c r="CE538" i="1"/>
  <c r="DE1188" i="1"/>
  <c r="DE1191" i="1" s="1"/>
  <c r="I195" i="12"/>
  <c r="CU1193" i="1"/>
  <c r="L196" i="12"/>
  <c r="BB1193" i="1"/>
  <c r="CP1193" i="1"/>
  <c r="BT916" i="1"/>
  <c r="DC1192" i="1"/>
  <c r="CO1193" i="1"/>
  <c r="BX696" i="1"/>
  <c r="DE382" i="1"/>
  <c r="CV1193" i="1"/>
  <c r="AS194" i="12"/>
  <c r="AC195" i="12"/>
  <c r="CR1131" i="1"/>
  <c r="DD1131" i="1" s="1"/>
  <c r="DE1131" i="1" s="1"/>
  <c r="CN1131" i="1"/>
  <c r="DE475" i="1"/>
  <c r="DD387" i="1"/>
  <c r="DD538" i="1" s="1"/>
  <c r="DD1175" i="1"/>
  <c r="BP1193" i="1"/>
  <c r="CY1193" i="1"/>
  <c r="AU1193" i="1"/>
  <c r="BS1193" i="1"/>
  <c r="CW1193" i="1"/>
  <c r="DE327" i="1"/>
  <c r="M196" i="12"/>
  <c r="V196" i="12"/>
  <c r="BU1193" i="1"/>
  <c r="DA1193" i="1"/>
  <c r="BH674" i="1"/>
  <c r="BH696" i="1" s="1"/>
  <c r="BX936" i="1"/>
  <c r="BX937" i="1" s="1"/>
  <c r="BX957" i="1" s="1"/>
  <c r="DE925" i="1"/>
  <c r="DE936" i="1" s="1"/>
  <c r="DE937" i="1" s="1"/>
  <c r="DE957" i="1" s="1"/>
  <c r="DE1109" i="1"/>
  <c r="AU196" i="12"/>
  <c r="DD84" i="1"/>
  <c r="DD695" i="1"/>
  <c r="DD696" i="1" s="1"/>
  <c r="DE1015" i="1"/>
  <c r="DE1068" i="1" s="1"/>
  <c r="AQ196" i="12"/>
  <c r="AA196" i="12"/>
  <c r="BX1068" i="1"/>
  <c r="BX1192" i="1" s="1"/>
  <c r="BX1193" i="1" s="1"/>
  <c r="CK1193" i="1"/>
  <c r="AS184" i="12"/>
  <c r="AR195" i="12"/>
  <c r="AX70" i="12"/>
  <c r="AY62" i="12"/>
  <c r="AS63" i="12"/>
  <c r="AY63" i="12" s="1"/>
  <c r="AX195" i="12"/>
  <c r="AY189" i="12"/>
  <c r="AC136" i="12"/>
  <c r="AS84" i="12"/>
  <c r="AY84" i="12" s="1"/>
  <c r="AJ196" i="12"/>
  <c r="Q196" i="12"/>
  <c r="AH136" i="12"/>
  <c r="AH196" i="12" s="1"/>
  <c r="AS127" i="12"/>
  <c r="O196" i="12"/>
  <c r="G196" i="12"/>
  <c r="AY56" i="12"/>
  <c r="AS60" i="12"/>
  <c r="AY60" i="12" s="1"/>
  <c r="AY44" i="12"/>
  <c r="AS45" i="12"/>
  <c r="AY45" i="12" s="1"/>
  <c r="AY106" i="12"/>
  <c r="AY107" i="12" s="1"/>
  <c r="AS107" i="12"/>
  <c r="AS117" i="12"/>
  <c r="AY116" i="12"/>
  <c r="AY117" i="12" s="1"/>
  <c r="Y196" i="12"/>
  <c r="CJ1193" i="1"/>
  <c r="CE1193" i="1"/>
  <c r="AX161" i="12"/>
  <c r="AY127" i="12"/>
  <c r="AX97" i="12"/>
  <c r="AY12" i="12"/>
  <c r="AS14" i="12"/>
  <c r="AY14" i="12" s="1"/>
  <c r="AO196" i="12"/>
  <c r="E196" i="12"/>
  <c r="AS142" i="12"/>
  <c r="AY142" i="12" s="1"/>
  <c r="AS69" i="12"/>
  <c r="AY69" i="12" s="1"/>
  <c r="BH1193" i="1"/>
  <c r="BL538" i="1"/>
  <c r="BL1193" i="1" s="1"/>
  <c r="AS160" i="12"/>
  <c r="AS161" i="12" s="1"/>
  <c r="AM161" i="12"/>
  <c r="AM196" i="12" s="1"/>
  <c r="AX151" i="12"/>
  <c r="S70" i="12"/>
  <c r="S196" i="12" s="1"/>
  <c r="X196" i="12"/>
  <c r="AY86" i="12"/>
  <c r="AS92" i="12"/>
  <c r="AL196" i="12"/>
  <c r="AS1193" i="1"/>
  <c r="AY156" i="12"/>
  <c r="AC151" i="12"/>
  <c r="AS42" i="12"/>
  <c r="AY42" i="12" s="1"/>
  <c r="Z196" i="12"/>
  <c r="K196" i="12"/>
  <c r="AS53" i="12"/>
  <c r="AY53" i="12" s="1"/>
  <c r="AY47" i="12"/>
  <c r="BV1193" i="1"/>
  <c r="AS146" i="12"/>
  <c r="AY146" i="12" s="1"/>
  <c r="BZ1192" i="1"/>
  <c r="BZ1193" i="1" s="1"/>
  <c r="AX118" i="12"/>
  <c r="AX136" i="12" s="1"/>
  <c r="AR151" i="12"/>
  <c r="AS150" i="12"/>
  <c r="AS151" i="12" s="1"/>
  <c r="AS135" i="12"/>
  <c r="AR136" i="12"/>
  <c r="N136" i="12"/>
  <c r="N196" i="12" s="1"/>
  <c r="AG196" i="12"/>
  <c r="H196" i="12"/>
  <c r="T196" i="12"/>
  <c r="AC196" i="12"/>
  <c r="AP196" i="12"/>
  <c r="IB2" i="18" l="1"/>
  <c r="DE696" i="1"/>
  <c r="AY70" i="12"/>
  <c r="DD1108" i="1"/>
  <c r="CR1120" i="1"/>
  <c r="CR1135" i="1" s="1"/>
  <c r="CR1192" i="1" s="1"/>
  <c r="CR1193" i="1" s="1"/>
  <c r="CN1135" i="1"/>
  <c r="CN1192" i="1" s="1"/>
  <c r="CN1193" i="1" s="1"/>
  <c r="CR1134" i="1"/>
  <c r="DE865" i="1"/>
  <c r="DE538" i="1"/>
  <c r="DE1122" i="1"/>
  <c r="DE1134" i="1" s="1"/>
  <c r="DD1134" i="1"/>
  <c r="CB1135" i="1"/>
  <c r="CB1192" i="1" s="1"/>
  <c r="CB1193" i="1" s="1"/>
  <c r="AY135" i="12"/>
  <c r="AY160" i="12"/>
  <c r="AY161" i="12" s="1"/>
  <c r="AY118" i="12"/>
  <c r="AY92" i="12"/>
  <c r="AY97" i="12" s="1"/>
  <c r="AS97" i="12"/>
  <c r="AS70" i="12"/>
  <c r="AR196" i="12"/>
  <c r="AY150" i="12"/>
  <c r="AY151" i="12" s="1"/>
  <c r="AX196" i="12"/>
  <c r="AY184" i="12"/>
  <c r="AY195" i="12" s="1"/>
  <c r="AS195" i="12"/>
  <c r="AS118" i="12"/>
  <c r="AS136" i="12" s="1"/>
  <c r="DE1193" i="1" l="1"/>
  <c r="DD1120" i="1"/>
  <c r="DD1135" i="1" s="1"/>
  <c r="DD1192" i="1" s="1"/>
  <c r="DD1193" i="1" s="1"/>
  <c r="DE1108" i="1"/>
  <c r="DE1120" i="1" s="1"/>
  <c r="DE1135" i="1" s="1"/>
  <c r="DE1192" i="1" s="1"/>
  <c r="AY136" i="12"/>
  <c r="AS196" i="12"/>
  <c r="AY196"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 Vega</author>
  </authors>
  <commentList>
    <comment ref="Z1" authorId="0" shapeId="0" xr:uid="{1619793C-0F66-456A-AF4A-8EA047FCC5AC}">
      <text>
        <r>
          <rPr>
            <b/>
            <sz val="9"/>
            <color indexed="81"/>
            <rFont val="Tahoma"/>
            <family val="2"/>
          </rPr>
          <t>Erick Vega:</t>
        </r>
        <r>
          <rPr>
            <sz val="9"/>
            <color indexed="81"/>
            <rFont val="Tahoma"/>
            <family val="2"/>
          </rPr>
          <t xml:space="preserve">
Sentido de incremento o mantenimiento de la meta de producto del cuatrienio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 Vega</author>
  </authors>
  <commentList>
    <comment ref="C1" authorId="0" shapeId="0" xr:uid="{DD750150-A0F7-47AE-9CCF-7B7EEBC6EDDE}">
      <text>
        <r>
          <rPr>
            <b/>
            <sz val="9"/>
            <color indexed="81"/>
            <rFont val="Tahoma"/>
            <family val="2"/>
          </rPr>
          <t>Erick Vega:</t>
        </r>
        <r>
          <rPr>
            <sz val="9"/>
            <color indexed="81"/>
            <rFont val="Tahoma"/>
            <family val="2"/>
          </rPr>
          <t xml:space="preserve">
Alcance del indicador con el que se hará seguimiento a la provisión del producto (Catálogo de Productos)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8D10BA8-0A85-4E29-A864-EC4645EB00B7}"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C20A118-4CFB-47AF-801F-E474178678E7}" name="WorksheetConnection_Matriz de Referencia!$A$2:$CO$579" type="102" refreshedVersion="8" minRefreshableVersion="5">
    <extLst>
      <ext xmlns:x15="http://schemas.microsoft.com/office/spreadsheetml/2010/11/main" uri="{DE250136-89BD-433C-8126-D09CA5730AF9}">
        <x15:connection id="Rango" autoDelete="1">
          <x15:rangePr sourceName="_xlcn.WorksheetConnection_MatrizdeReferenciaA2CO5791"/>
        </x15:connection>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2">
    <s v="ThisWorkbookDataModel"/>
    <s v="{[Rango].[SECTORIAL].&amp;[Secretaría de Agricultura]}"/>
  </metadataStrings>
  <mdxMetadata count="1">
    <mdx n="0" f="s">
      <ms ns="1" c="0"/>
    </mdx>
  </mdxMetadata>
  <futureMetadata name="XLDAPR" count="1">
    <bk>
      <extLst>
        <ext uri="{bdbb8cdc-fa1e-496e-a857-3c3f30c029c3}">
          <xda:dynamicArrayProperties fDynamic="1" fCollapsed="0"/>
        </ext>
      </extLst>
    </bk>
  </futureMetadata>
  <cellMetadata count="1">
    <bk>
      <rc t="1" v="0"/>
    </bk>
  </cellMetadata>
  <valueMetadata count="1">
    <bk>
      <rc t="2" v="0"/>
    </bk>
  </valueMetadata>
</metadata>
</file>

<file path=xl/sharedStrings.xml><?xml version="1.0" encoding="utf-8"?>
<sst xmlns="http://schemas.openxmlformats.org/spreadsheetml/2006/main" count="33026" uniqueCount="6797">
  <si>
    <t>SECTOR</t>
  </si>
  <si>
    <t>COMPONENTE</t>
  </si>
  <si>
    <t xml:space="preserve">PROGRAMA </t>
  </si>
  <si>
    <t>INDICADOR DE RESULTADO</t>
  </si>
  <si>
    <t>UNIDAD DE MEDIDA</t>
  </si>
  <si>
    <t>META CUATRIENIO</t>
  </si>
  <si>
    <t>SUBPROGRAMA</t>
  </si>
  <si>
    <t>OBJETIVO DE SUBPROGRAMA</t>
  </si>
  <si>
    <t>INDICADOR DE PRODUCTO</t>
  </si>
  <si>
    <t>HUMANA Y DE CAPACIDADES</t>
  </si>
  <si>
    <t>Ecosistemas estratégicos intervenidos</t>
  </si>
  <si>
    <t>Educación Inicial para Avanzar</t>
  </si>
  <si>
    <t>Proyectos para iniciar procesos de restauración de ecosistemas de bosques formulados y/o ejecutados.</t>
  </si>
  <si>
    <t>porcentaje</t>
  </si>
  <si>
    <t>Organizaciones de productores caracterizadas</t>
  </si>
  <si>
    <t>Sedes de I.E. dotadas con material pedagógico y/o didáctico para el nivel de preescolar.</t>
  </si>
  <si>
    <t>Plan de formación y asistencia técnica implementado</t>
  </si>
  <si>
    <t>Sedes de I.E. con nivel preescolar con ambientes escolares construidos, y/o adecuados y/o dotados.</t>
  </si>
  <si>
    <t>Organizaciones de productores fortalecidas</t>
  </si>
  <si>
    <t>Encuentros formativos brindados a familias de estudiantes del nivel preescolar; desarrollados con acompañamiento.</t>
  </si>
  <si>
    <t>Nuevos predios de interés hídrico con estrategia de guarda páramos y guardabosques implementada.</t>
  </si>
  <si>
    <t>Asociaciones y/o productores asesorados en procesos de certificaciones comerciales</t>
  </si>
  <si>
    <t>Asociaciones y/o productores asesorados en innovación de mercados</t>
  </si>
  <si>
    <t>Estrategias de compensación formuladas e implementadas</t>
  </si>
  <si>
    <t>Piloto de atención integral en sedes de I. E. en los grados Prejardín y Jardín implementado.</t>
  </si>
  <si>
    <t>Puntos de venta asociativos instalados</t>
  </si>
  <si>
    <t>Viveros construidos</t>
  </si>
  <si>
    <t xml:space="preserve"> Trayectoria Educativa para Avanzar</t>
  </si>
  <si>
    <t>Índice Global de Calidad Educativa en Pruebas SABER 11 aumentado</t>
  </si>
  <si>
    <t>Generar al interior de las I. E. las condiciones apropiadas para ofrecer una educación de mejor calidad.</t>
  </si>
  <si>
    <t>Eventos comerciales realizados</t>
  </si>
  <si>
    <t>Viveros identificados y optimizados</t>
  </si>
  <si>
    <t>Alianzas Comerciales establecidas</t>
  </si>
  <si>
    <t>Actividades de conservación, educación, manejo y uso sostenible de la diversidad vegetal ejecutadas en el Jardín Botánico.</t>
  </si>
  <si>
    <t>Material vegetal producido y entregado</t>
  </si>
  <si>
    <t>Organizaciones de productores beneficiadas con alianzas comerciales</t>
  </si>
  <si>
    <t>Proyectos de investigación en CTeI formulados y/o ejecutados</t>
  </si>
  <si>
    <t>Participación en eventos comerciales del sector agropecuario a nivel nacional e internacional.</t>
  </si>
  <si>
    <t>Fortalecer la articulación interinstitucional para el avance en la implementación de la política pública de protección y bienestar animal del departamento.</t>
  </si>
  <si>
    <t>Cadenas productivas apoyadas como negocios verdes</t>
  </si>
  <si>
    <t>Ejecutaremos acciones y proyectos orientados a la promoción y fomento de negocios verdes.</t>
  </si>
  <si>
    <t>Ruedas de negocios verdes realizadas.</t>
  </si>
  <si>
    <t>Docentes y directivos docentes con incentivos pedagógicos y/o académicos; apoyados.</t>
  </si>
  <si>
    <t>Organizaciones con acceso a bienes y/o servicios productivos</t>
  </si>
  <si>
    <t>Proyectos impulsados de negocios verdes</t>
  </si>
  <si>
    <t>I.E. con proyectos educativos institucionales - PEI reorientados.</t>
  </si>
  <si>
    <t>Municipios beneficiados con el fortalecimiento de programas de Educación Ambiental</t>
  </si>
  <si>
    <t>I.E. con entornos educativos fortalecidos.</t>
  </si>
  <si>
    <t>Plantas para agroindustria y generación de valor nuevas y/o mejoradas</t>
  </si>
  <si>
    <t>Acciones de atención de impacto de COVID-19 en la comunidad educativa, implementadas.</t>
  </si>
  <si>
    <t>Programas de radio en temas de medio ambiente emitidos</t>
  </si>
  <si>
    <t>Promover alianzas estratégicas que dinamicen el sector agropecuario del departamento en las líneas productivas priorizadas, a través del Plan de Abastecimiento Alimentario de la Región Central.</t>
  </si>
  <si>
    <t>Estrategias de comunicación y divulgación educativa implementadas</t>
  </si>
  <si>
    <t>Sedes de I.E. con conectividad mantenidas</t>
  </si>
  <si>
    <t>Diseño y construcción de una plataforma de comercio electrónico de productos agropecuarios "Del Campo Boyacense” en articulación con MADR-</t>
  </si>
  <si>
    <t>Proyectos Ciudadanos de Educación ambiental-PROCEDA fortalecidos</t>
  </si>
  <si>
    <t>Estudiantes focalizados y priorizados atendidos con complemento alimentario.</t>
  </si>
  <si>
    <t>Comités Interinstitucionales de Educación Ambiental -CIDEA, municipales fortalecidos</t>
  </si>
  <si>
    <t>Plan maestro de infraestructura educativa pública de Boyacá, creado.</t>
  </si>
  <si>
    <t>Organizaciones de productores conectadas a plataformas de agronegocios</t>
  </si>
  <si>
    <t>Proyectos Ambientales Universitarios PRAU fortalecidos</t>
  </si>
  <si>
    <t>Organizaciones de productores integradas a procesos de abastecimiento alimentario regional de la RAPE</t>
  </si>
  <si>
    <t>Predios de sedes de I.E. legalizados.</t>
  </si>
  <si>
    <t>Planes de acción integral de las líneas productivas actualizados</t>
  </si>
  <si>
    <t>Mejorar el acceso de los productores rurales a los medios de producción y servicios complementarios para consolidar el desarrollo rural integral.</t>
  </si>
  <si>
    <t>Productores beneficiados con acceso a proyectos de desarrollo rural integral.</t>
  </si>
  <si>
    <t>Estudios y diseños de distritos de riego elaborados.</t>
  </si>
  <si>
    <t>Proyectos Ambientales Escolares- PRAE fortalecidos</t>
  </si>
  <si>
    <t>Distritos de riego ampliados o mejorados</t>
  </si>
  <si>
    <t>Estudiantes de I.E. focalizados con estrategias de seguimiento individual.</t>
  </si>
  <si>
    <t>Comités técnicos de CIDEABOY realizados</t>
  </si>
  <si>
    <t>Estudiantes en I.E. vinculados a jornada única.</t>
  </si>
  <si>
    <t>Nuevos productores beneficiados con sistemas de riego intrapredial alternativos- no convencionales.</t>
  </si>
  <si>
    <t>Tasa neta de cobertura total mantenida</t>
  </si>
  <si>
    <t>Comités técnicos de COSAB realizados</t>
  </si>
  <si>
    <t>Adquirir bancos de maquinaria y equipos que optimicen los procesos productivos.</t>
  </si>
  <si>
    <t>Inventario elaborado de los bienes existentes: bancos de maquinaria, plantas de beneficio animal, distritos de riego y adecuación de tierras</t>
  </si>
  <si>
    <t>Brindar fortalecimiento institucional a los prestadores de servicios públicos de agua rurales y urbanos.</t>
  </si>
  <si>
    <t>Asociaciones de suscriptores de acueductos rurales fortalecidos.</t>
  </si>
  <si>
    <t>Tasa de matrícula oportuna incrementada</t>
  </si>
  <si>
    <t>Asociaciones de Acueductos rurales formados en cultura del agua</t>
  </si>
  <si>
    <t>Docentes de I.E. nombrados oportunamente</t>
  </si>
  <si>
    <t>Asociación de Acueductos rurales asesorados en procesos de legalización</t>
  </si>
  <si>
    <t>Asociación de Acueductos rurales asesorados en el manejo contable</t>
  </si>
  <si>
    <t>Asociación Acueductos rurales asesorados técnicamente en la elaboración de estudio de costos y tarifas</t>
  </si>
  <si>
    <t>Proyecto de adquisición de equipos e implementos para preservar la bioseguridad de los productores rurales ejecutado</t>
  </si>
  <si>
    <t>Estudiantes beneficiados con estrategias de transporte escolar.</t>
  </si>
  <si>
    <t>Plantas de beneficio animal dotadas</t>
  </si>
  <si>
    <t>Asociación de Acueductos rurales asesorados en el Plan de uso y ahorro eficiente del agua (PUAEA)</t>
  </si>
  <si>
    <t>Proyectos en CTeI implementados en el sector agropecuario</t>
  </si>
  <si>
    <t>Estudiantes pertenecientes a población vulnerable atendida con educación pertinente.</t>
  </si>
  <si>
    <t>Sistema de información de usuarios del recurso hídrico construido</t>
  </si>
  <si>
    <t>Estudiantes con discapacidad matriculados, atendidos con educación pertinente.</t>
  </si>
  <si>
    <t>Asesorar y fortalecer a los entes prestadores y operadores de servicios públicos de Acueducto, Alcantarillado y Aseo.</t>
  </si>
  <si>
    <t>Sistema de información para uso y manejo del ordenamiento productivo del sector agropecuario implementado.</t>
  </si>
  <si>
    <t>Esquemas tarifarios asistidos técnicamente para su elaboración.</t>
  </si>
  <si>
    <t>Jóvenes en extra-edad y adultos matriculados, atendidos con educación pertinente.</t>
  </si>
  <si>
    <t>Zonificación productiva realizada</t>
  </si>
  <si>
    <t>Asesorías de fortalecimiento administrativo, comercial, financiero e institucional realizadas</t>
  </si>
  <si>
    <t>Estudiantes del sistema de responsabilidad penal adolescente matriculados, atendidos con educación pertinente.</t>
  </si>
  <si>
    <t>Entes prestadores y operadores de servicios bajo la figura de esquemas regionales asistidos en transformación empresarial.</t>
  </si>
  <si>
    <t>Promover procesos de extensión agropecuaria departamental</t>
  </si>
  <si>
    <t>Plan Departamental de extensión agropecuaria- PDEA presentado a la Asamblea Departamental 2020- 2023</t>
  </si>
  <si>
    <t>Estudiantes migrantes matriculados, atendidos con educación pertinente.</t>
  </si>
  <si>
    <t>Proyectos de extensión agropecuaria- PDEA ejecutados bajo los lineamientos de ley</t>
  </si>
  <si>
    <t>Programa de agua no contabilizada (IANC) para los municipios priorizados formulados</t>
  </si>
  <si>
    <t>Tasa de analfabetismo reducida.</t>
  </si>
  <si>
    <t>Productores beneficiados con proyectos de Extensión Agropecuaria</t>
  </si>
  <si>
    <t>Tasa neta de Cobertura en educación media aumentada</t>
  </si>
  <si>
    <t>Nuevos Planes Uso Eficientes y Ahorro del Agua (PUEA) formulados y actualizados</t>
  </si>
  <si>
    <t>Promover acciones que potencialicen las capacidades de los estudiantes y contribuyan a la permanencia en el sistema educativo, garantizando el tránsito a la educación superior.</t>
  </si>
  <si>
    <t>Cumplimiento del Plan de Gestión Social del Plan Departamental de Aguas</t>
  </si>
  <si>
    <t>Municipios asesorados en la prestación del servicio de extensión agropecuaria</t>
  </si>
  <si>
    <t>Municipios acompañados en la difusión y socialización de las actuaciones del Plan Departamental de Aguas</t>
  </si>
  <si>
    <t>Productores agropecuarios atendidos en proyectos de diversificación de cultivos</t>
  </si>
  <si>
    <t>Municipios capacitados en educación sanitaria, dirigidos a clubs defensores del agua, comunidades y líderes e indígenas.</t>
  </si>
  <si>
    <t>Disminuir el Índice de Riesgo de Calidad de Agua para el consumo humano en el sector urbano y rural.</t>
  </si>
  <si>
    <t>IRCA rural</t>
  </si>
  <si>
    <t>Disminuir el Índice de Riesgo de la Calidad del Agua para consumo en la zona rural</t>
  </si>
  <si>
    <t>Operadores rurales de PTAP capacitados</t>
  </si>
  <si>
    <t>Escuela Campesina para Avanzar</t>
  </si>
  <si>
    <t>Aumentar la cobertura y mejorar la prestación del servicio educativo en las sedes rurales a niños, niñas, adolescentes y jóvenes en los niveles de preescolar, primaria, básica y media en los 120 municipios no certificados del departamento de Boyacá.</t>
  </si>
  <si>
    <t>Aumentar el acceso, permanencia y calidad de la educación en las IE y las sedes rurales de la IE.</t>
  </si>
  <si>
    <t>Sedes rurales de I. E. con módulos pedagógicos acordes al modelo flexible, dotadas</t>
  </si>
  <si>
    <t>Asesorías técnicas realizadas a sistemas de tratamiento de agua potable existentes</t>
  </si>
  <si>
    <t>Proyectos de reducción o mitigación de las emisiones de GEI implementados</t>
  </si>
  <si>
    <t>Estudiantes beneficiados con medios de transporte para el acceso a sedes rurales de I.E.</t>
  </si>
  <si>
    <t>Proyectos de adaptación a crisis climática implementados</t>
  </si>
  <si>
    <t>Fuentes hídricas de abastecimiento aisladas con fines de protección.</t>
  </si>
  <si>
    <t>Sistemas de tratamiento de agua potable optimizados</t>
  </si>
  <si>
    <t>Nuevos estudiantes beneficiados con acciones que faciliten el acceso y la permanencia en sedes rurales de I.E.</t>
  </si>
  <si>
    <t>Aumentar la infraestructura de los sistemas de tratamiento construidos</t>
  </si>
  <si>
    <t>Proyectos productivos con enfoque agroecológico implementados</t>
  </si>
  <si>
    <t>IRCA urbano</t>
  </si>
  <si>
    <t xml:space="preserve"> Etnoeducación para Avanzar</t>
  </si>
  <si>
    <t>Estrategias para el mejoramiento de los acueductos urbanos formulados</t>
  </si>
  <si>
    <t>Estudiantes étnicos matriculados en I.E. atendidos en el marco de una educación pertinente.</t>
  </si>
  <si>
    <t>Propender por la pertinencia de la prestación del servicio educativo de la población étnica del departamento, brindando atención diferencial y de calidad de acuerdo a los requerimientos o necesidades.</t>
  </si>
  <si>
    <t>Sedes de I.E. con población étnica con ambientes escolares construidos, y/o adecuados y/o dotados.</t>
  </si>
  <si>
    <t>Productores rurales atendidos por afectaciones climáticas</t>
  </si>
  <si>
    <t>Operadores capacitados y certificados en competencias laborales</t>
  </si>
  <si>
    <t>Estudios y diseños para la optimización y/o construcción de PTAP elaborados y/o apoyados</t>
  </si>
  <si>
    <t>Bancos de alimentación animal implementados</t>
  </si>
  <si>
    <t>Nuevas PTAP identificadas y optimizadas</t>
  </si>
  <si>
    <t>I.E. étnica creada.</t>
  </si>
  <si>
    <t>Ampliar el porcentaje de cobertura de los sistemas de acueductos en el sector urbano y rural del departamento de Boyacá.</t>
  </si>
  <si>
    <t>Cobertura de acueducto rural</t>
  </si>
  <si>
    <t>Bancos de cosecha de agua adquiridos e implementados</t>
  </si>
  <si>
    <t>Acueductos rurales identificados optimizados</t>
  </si>
  <si>
    <t>Etnoeducadores formados y/o capacitados.</t>
  </si>
  <si>
    <t>Bancos rurales de agua construidos</t>
  </si>
  <si>
    <t>I.E. con PEI y/o PEC reorientados.</t>
  </si>
  <si>
    <t>Asesorías técnicas realizadas a acueductos existentes.</t>
  </si>
  <si>
    <t>Familias campesinas beneficiadas con estrategias sociales y productivas</t>
  </si>
  <si>
    <t>Incorporar a la población campesina en iniciativas y proyectos socio-productivos con enfoque diferencial y participativo.</t>
  </si>
  <si>
    <t>Mujeres campesinas y jóvenes rurales fortalecidos en capacidades empresariales y asociativas</t>
  </si>
  <si>
    <t>Aumentar la infraestructura de los sistemas de acueducto.</t>
  </si>
  <si>
    <t>Estudiantes focalizados y priorizados atendidos con complemento alimentario diferenciado.</t>
  </si>
  <si>
    <t>Acueductos rurales optimizados y/o construidos</t>
  </si>
  <si>
    <t>Proyectos productivos para mujeres y jóvenes rurales implementados y operando</t>
  </si>
  <si>
    <t>Cobertura de acueducto urbano</t>
  </si>
  <si>
    <t>Estudios y diseños para la optimización y/o construcción de acueductos elaborados y/o apoyados</t>
  </si>
  <si>
    <t>Articular instancias de concertación y fortalecimiento de las instituciones y actores del sector agropecuario.</t>
  </si>
  <si>
    <t>Consejos Municipales de Desarrollo Rural- CMDR operativizados</t>
  </si>
  <si>
    <t>Acueductos urbanos optimizados</t>
  </si>
  <si>
    <t>Estudios y diseños elaborados y/o acompañados para la optimización y/o construcción de pozos profundos, acueductos de nuevas fuentes y/o embalses.</t>
  </si>
  <si>
    <t>Adoptar acciones e intervenciones para fomentar el acceso a la educación superior, buscando el mejoramiento del nivel de calidad de vida y contribuyendo al desarrollo socio-económico del departamento.</t>
  </si>
  <si>
    <t>Consejo Seccional Agropecuario, Forestal y Pesquero - CONSEA convocado y liderado</t>
  </si>
  <si>
    <t>Estudiantes beneficiados con implementación de estrategias de acceso y permanencia en educación superior.</t>
  </si>
  <si>
    <t>Familias vulnerables beneficiadas con la estrategia "Boyacá Nos Abraza"</t>
  </si>
  <si>
    <t>Pozos profundos, acueductos de nuevas fuentes y/o embalses construidos</t>
  </si>
  <si>
    <t>Convenios interinstitucionales para infraestructura de IES construida y/o adecuada y/o mantenida, adelantados.</t>
  </si>
  <si>
    <t>Red de mercados campesinos conformada</t>
  </si>
  <si>
    <t>Aumentar la cobertura de alcantarillado en el sector urbano y rural del departamento.</t>
  </si>
  <si>
    <t>Cobertura de Alcantarillado Rural</t>
  </si>
  <si>
    <t xml:space="preserve"> Gestión Educativa Efectiva para Avanzar</t>
  </si>
  <si>
    <t>Construir sistemas de disposición de aguas residuales individuales.</t>
  </si>
  <si>
    <t>Nuevos sistemas de disposición de aguas residuales construidas in situ</t>
  </si>
  <si>
    <t>Optimizar las capacidades institucionales del sector educación y diseñar una política pública educativa que propicie una educación de calidad, el bienestar integral del personal, el fortalecimiento tecnológico y la creación de ambientes de trabajo óptimos.</t>
  </si>
  <si>
    <t>Dependencias y/o áreas adecuadas y /o dotadas.</t>
  </si>
  <si>
    <t>Cobertura de Alcantarillado Urbano</t>
  </si>
  <si>
    <t>Optimizar y/o construir sistemas de tratamiento de aguas residuales, así como alcantarillados en el departamento de Boyacá, que permitan dar cumplimiento al Plan de saneamiento y manejo de vertimientos.</t>
  </si>
  <si>
    <t>Estudios y diseños para la optimización y/o construcción de PTAR elaborados y/o acompañados</t>
  </si>
  <si>
    <t>Proyectos de seguridad alimentaria implementados</t>
  </si>
  <si>
    <t>Sistemas de tratamiento de aguas residuales optimizados y puestos en operación.</t>
  </si>
  <si>
    <t>Instancias participativas a nivel departamental y territorial, creadas y/o fortalecidas.</t>
  </si>
  <si>
    <t>Familias Campesinas beneficiadas con proyectos de seguridad alimentaria</t>
  </si>
  <si>
    <t>Estudios y diseños para la optimización y/o construcción de alcantarillados elaborados y/o acompañados</t>
  </si>
  <si>
    <t>Plan de bienestar del personal adscrito a la Secretaría de Educación, implementado.</t>
  </si>
  <si>
    <t>Alcantarillados optimizados y/o construidos</t>
  </si>
  <si>
    <t>Plan de fortalecimiento de capacidades para la planta de la Secretaría de Educación de Boyacá, implementado.</t>
  </si>
  <si>
    <t>Proyectos identificados por los prestadores de servicios turísticos para ser asistidos técnicamente en gestión de recursos.</t>
  </si>
  <si>
    <t>Plan de Saneamiento y Manejo de Vertimientos (PSMV) formulados y/o identificados para modificación</t>
  </si>
  <si>
    <t>Acciones de gestión jurídica estratégica para la SEB, implementadas</t>
  </si>
  <si>
    <t>Productos turísticos de naturaleza y cultura con impacto regional y suprarregional y su cadena de valor fortalecida</t>
  </si>
  <si>
    <t>Mejorar la gestión integral de residuos sólidos con el fin de minimizar su impacto negativo, incrementando la participación de los municipios en las estrategias manejo y disposición de los residuos sólidos.</t>
  </si>
  <si>
    <t>Residuos sólidos recuperados</t>
  </si>
  <si>
    <t>Metodología de planificación turística implementada en los territorios</t>
  </si>
  <si>
    <t>Incentivar estrategias para manejo adecuado de los residuos sólidos.</t>
  </si>
  <si>
    <t>Municipios asesorados con la estrategia de reducción de plástico de un solo uso y manejo adecuado de residuos sólidos.</t>
  </si>
  <si>
    <t>Política pública para el sector educación del departamento de Boyacá, creada.</t>
  </si>
  <si>
    <t>Acciones para el mejoramiento de la gestión institucional, implementadas.</t>
  </si>
  <si>
    <t>Campañas de recolección de residuos posconsumo realizadas</t>
  </si>
  <si>
    <t>Boyacá Avanza en Salud</t>
  </si>
  <si>
    <t>Tasa de mortalidad general mantenida</t>
  </si>
  <si>
    <t>Tasa * 1.000 habitantes</t>
  </si>
  <si>
    <t>5,23
(2017)</t>
  </si>
  <si>
    <t>Campañas de recolección de residuos de agroquímicos realizadas</t>
  </si>
  <si>
    <t>Razón de mortalidad materna reducida</t>
  </si>
  <si>
    <t>Por 100.000 nacidos vivos</t>
  </si>
  <si>
    <t>40,82
(2017)</t>
  </si>
  <si>
    <t>34,82
(-6.0)</t>
  </si>
  <si>
    <t>Proyectos para el manejo de los residuos orgánicos implementados</t>
  </si>
  <si>
    <t>Tasa de mortalidad infantil reducida</t>
  </si>
  <si>
    <t>Por 1.000 nacidos vivos</t>
  </si>
  <si>
    <t>Cobertura de aseo ampliada</t>
  </si>
  <si>
    <t>Desarrollar estrategias para el aprovechamiento, la adecuada recolección y disposición de residuos solidos</t>
  </si>
  <si>
    <t>Proyectos regionales para la gestión de los residuos sólidos asesorados para su implementación</t>
  </si>
  <si>
    <t>Desarrollar un programa de cultura turística que contribuya a mejorar la calidad en los servicios</t>
  </si>
  <si>
    <t>Programa de cultura turística desarrollado</t>
  </si>
  <si>
    <t>Desarrollar estrategias que permitan afrontar los efectos adversos del cambio climático en municipios del departamento.</t>
  </si>
  <si>
    <t>Estructurar y socializar el Plan Integral de Gestión de cambio Climático Territorial.</t>
  </si>
  <si>
    <t>Capacitaciones en mitigación y adaptación del cambio climático realizadas</t>
  </si>
  <si>
    <t>Estrategias de asistencia técnica en acceso a convocatorias e invitaciones dirigidas a prestadores de servicios turísticos.</t>
  </si>
  <si>
    <t>Plan Integral de Gestión de Cambio Climático estructurado y socializado</t>
  </si>
  <si>
    <t>Implementar proyectos y estrategias de movilidad sostenible, reconversión productiva y energías limpias.</t>
  </si>
  <si>
    <t>Estrategias de movilidad sostenible implementadas</t>
  </si>
  <si>
    <t>Establecer alianzas con instituciones que brinden formación en turismo, generen habilidades y competencias e implementar los lineamientos del programa Colegios Amigos del Turismo.</t>
  </si>
  <si>
    <t>Unidades de reconversión productiva implementados</t>
  </si>
  <si>
    <t>Estrategias de energías limpias desarrolladas</t>
  </si>
  <si>
    <t>Campañas de promoción generadas para el posicionamiento de destino Boyacá</t>
  </si>
  <si>
    <t>Municipios sostenibles apoyados</t>
  </si>
  <si>
    <t>Documentos diagnósticos de calidad de aire realizados</t>
  </si>
  <si>
    <t>Nuevos prestadores fortalecidos técnicamente en la gestión de riesgo sectorial</t>
  </si>
  <si>
    <t>Nuevos Prestadores asistidos técnicamente en la actualización y/o formulación de los planes de emergencia y contingencia de los servicios públicos.</t>
  </si>
  <si>
    <t>Obras para la reducción y/o mitigación del riesgo apoyadas.</t>
  </si>
  <si>
    <t>Municipios con mantenimiento preventivo en alcantarillado realizado.</t>
  </si>
  <si>
    <t>Orientar las acciones del departamento en cuanto al conocimiento de riesgo, la reducción de riesgo, y el manejo de desastres, que contribuyan a la seguridad, el bienestar, la calidad de vida de las personas y el desarrollo sostenible en el territorio.</t>
  </si>
  <si>
    <t>Promover acciones que fomenten la producción de información técnica necesaria para abordar el conocimiento del riesgo en el departamento de Boyacá.</t>
  </si>
  <si>
    <t>Asistencias técnicas para el conocimiento del riesgo de desastres realizadas</t>
  </si>
  <si>
    <t>Equipos adquiridos para el fortalecimiento de la capacidad de asistencia técnica en el departamento.</t>
  </si>
  <si>
    <t>Asistir integralmente en las unidades de producción minera a titulares, empresarios y trabajadores mineros de pequeña escala, de subsistencia y minería tradicional en temas de estructura organizacional, estándares técnicos y mejores prácticas amigables con el medio ambiente.</t>
  </si>
  <si>
    <t>Publicaciones para la comunicación de la GRD a entidades públicas, privadas y comunidad impresas</t>
  </si>
  <si>
    <t>Estudios de conocimiento de GRD realizados</t>
  </si>
  <si>
    <t>ND</t>
  </si>
  <si>
    <t>Caracterización actualizada en GRD en la infraestructura sectorial de la orden departamental realizada</t>
  </si>
  <si>
    <t>Sistema estadístico de emergencia departamental creado</t>
  </si>
  <si>
    <t>Sistema estadístico de emergencias departamental actualizado</t>
  </si>
  <si>
    <t>Plan Departamental de Gestión del Riesgo de Desastres y Estrategia Departamental de Respuesta a Emergencias actualizados</t>
  </si>
  <si>
    <t>Trabajadores mineros con un curso adelantado en su ciclo educativo</t>
  </si>
  <si>
    <t>Municipios con asentamientos en riesgo inventariados</t>
  </si>
  <si>
    <t>Formar en temas administrativos, contables y empresariales a titulares y empresarios mineros para mejorar el nivel competitivo.</t>
  </si>
  <si>
    <t>Reducir el riesgo a través de intervenciones correctivas y prospectivas que buscan disminuir el impacto probable de amenazas en el territorio.</t>
  </si>
  <si>
    <t>Solicitudes atendidas con Vactor para la reducción del riesgo por inundación en redes de alcantarillados municipales</t>
  </si>
  <si>
    <t>Capacitar a funcionarios del nivel municipal, departamental y autoridades relacionadas con el sector minero energético de acuerdo a las competencias.</t>
  </si>
  <si>
    <t>Municipios capacitados para la incorporación de la GRD en planificación territorial</t>
  </si>
  <si>
    <t>Maquinaria de gestión del riesgo con protección financiera mantenida</t>
  </si>
  <si>
    <t>Familias del sector minero beneficiadas con proyectos agrícolas, pecuarios, y/o forestales.</t>
  </si>
  <si>
    <t>Identificar zonas donde se encuentran títulos mineros aptas para el desarrollo de proyectos productivos agrícolas, pecuarios y/o forestales y poblaciones interesadas en dichos programas.</t>
  </si>
  <si>
    <t>Títulos mineros potenciales identificados para implementar y/o fortalecer iniciativas de agrominería</t>
  </si>
  <si>
    <t>Solicitudes atendidas con maquinaria para la reducción del riesgo por inundación</t>
  </si>
  <si>
    <t>Jornadas de socialización promovidas para la implementación de actividades de agro minería.</t>
  </si>
  <si>
    <t>Solicitudes atendidas con maquinaria para la reducción del riesgo por fenómenos de remoción en masa</t>
  </si>
  <si>
    <t>Coordinar acciones de preparación respuesta a emergencias y manejo de desastres, dirigida a complementar la acción municipal en términos de concurrencia y subsidiariedad.</t>
  </si>
  <si>
    <t>Nuevos municipios con estrategia de conectividad y comunicación asociada a la GRD implementada</t>
  </si>
  <si>
    <t>Conflictos del sector minero energéticos atendidos y con procesos de concertación</t>
  </si>
  <si>
    <t>Implementar mecanismos de prevención, resolución y atención de conflictos minero ambientales.</t>
  </si>
  <si>
    <t>Solicitudes atendidas con carrotanques como respuesta ante el desabastecimiento</t>
  </si>
  <si>
    <t>Personas sensibilizadas en procesos de concertación y resolución de conflictos minero energético</t>
  </si>
  <si>
    <t>Solicitudes atendidas con carrotanques como respuesta ante incendios</t>
  </si>
  <si>
    <t>Empresas minero energéticas con iniciativas de ciencia tecnología e innovación incorporadas dentro de sus procesos productivos.</t>
  </si>
  <si>
    <t>Proyectos de suministros para el fortalecimiento de organismos de Socorro realizados y entregados</t>
  </si>
  <si>
    <t>Iniciativas ejecutadas con apropiación de CTeI en el sector minero energético</t>
  </si>
  <si>
    <t>Generar capacidades en el tejido empresarial del departamento de Boyacá.</t>
  </si>
  <si>
    <t>Empresas con capacidades fortalecidas en emprendimiento, mejoramiento de sus condiciones de productividad y de acceso a mercados</t>
  </si>
  <si>
    <t>Documentos de análisis de la situación bomberil Generados</t>
  </si>
  <si>
    <t>Realizar asesoría y acompañamiento para el fortalecimiento y la sostenibilidad de los emprendimientos.</t>
  </si>
  <si>
    <t>Emprendimientos caracterizados</t>
  </si>
  <si>
    <t>Reportes de Seguimiento a cumplimiento de la prestación del servicio bomberil realizados</t>
  </si>
  <si>
    <t>Estrategias de asesoría y acompañamiento a emprendedores desarrolladas</t>
  </si>
  <si>
    <t>Formular el Plan de Ordenamiento Territorial Departamental</t>
  </si>
  <si>
    <t>Planificar el territorio departamental, a partir de la estructura ecológica de soporte con armonización espacial y funcional, de cada uno de los componentes del Ordenamiento Departamental.</t>
  </si>
  <si>
    <t>Municipios con procesos de revisión y actualización de sus Planes de Ordenamiento Territorial asesorados</t>
  </si>
  <si>
    <t>Fondo de Capital de Oportunidades de Boyacá constituido</t>
  </si>
  <si>
    <t>Documentos con lineamientos de Ordenamiento Departamental formulados</t>
  </si>
  <si>
    <t>Convocatorias para financiar emprendimientos innovadores y escalables realizadas</t>
  </si>
  <si>
    <t>Déficit de vivienda cualitativo reducido</t>
  </si>
  <si>
    <t>Empresas con herramientas gerenciales e innovación fortalecidas</t>
  </si>
  <si>
    <t>Asignar beneficios mediante subsidios para la construcción y mejoramiento de vivienda nueva campesina que incluya alternativas sostenibles.</t>
  </si>
  <si>
    <t>Estudios técnicos limítrofes municipales elaborados</t>
  </si>
  <si>
    <t>Déficit cuantitativo de vivienda reducido</t>
  </si>
  <si>
    <t>Instrumentos de fortalecimiento al sector de alimentos procesados desarrollados y ejecutados</t>
  </si>
  <si>
    <t>Estudios técnicos limítrofes departamentales elaborados</t>
  </si>
  <si>
    <t>Más empresas dan cumplimiento a la normatividad sectorial</t>
  </si>
  <si>
    <t>Consolidar procesos estratégicos de Desarrollo Territorial</t>
  </si>
  <si>
    <t>Instancias de articulación supra departamental fortalecida</t>
  </si>
  <si>
    <t>Generar pactos de desarrollo con enfoque territorial</t>
  </si>
  <si>
    <t>Empresas con capacidades administrativas y comerciales fortalecidas.</t>
  </si>
  <si>
    <t>Fortalecer las unidades productivas del sector artesanal para el incremento de la productividad y competitividad del sector.</t>
  </si>
  <si>
    <t>Unidades productivas de artesanías fortalecidas</t>
  </si>
  <si>
    <t>Plan Integral de prospectiva formulado e implementado</t>
  </si>
  <si>
    <t>Alianzas interinstitucionales para fortalecimiento de unidades productivas generadas</t>
  </si>
  <si>
    <t>Desarrollar estrategias para facilitar el comercio exterior.</t>
  </si>
  <si>
    <t>Estrategias para facilitar el comercio exterior gestionadas</t>
  </si>
  <si>
    <t>Vincular actores para el desarrollo económico territorial</t>
  </si>
  <si>
    <t>Esquemas asociativos en su conformación y funcionamiento asesorados</t>
  </si>
  <si>
    <t>Subsidios para vivienda nueva urbana otorgados a familias de grupos poblacionales de interés constitucional.</t>
  </si>
  <si>
    <t>Desarrollar el potencial endógeno de las regiones.</t>
  </si>
  <si>
    <t>Estrategias de encadenamiento productivo identificadas y ejecutadas</t>
  </si>
  <si>
    <t>Estrategias de apropiación y posicionamiento de la marca región “Soy Boyacá” implementadas</t>
  </si>
  <si>
    <t>Familias apoyadas en riesgo o víctimas de desastres naturales.</t>
  </si>
  <si>
    <t>Consolidar un sistema de información para la implementación y seguimiento oportuno a la política pública de Trabajo Decente.</t>
  </si>
  <si>
    <t>Estrategias para la implementación de la política de trabajo decente fortalecidas</t>
  </si>
  <si>
    <t>Actualización del banco de información de vivienda.</t>
  </si>
  <si>
    <t>Articular la oferta y la demanda de cooperación, atracción de inversión, alianzas comerciales del departamento a nivel regional, nacional e internacional.</t>
  </si>
  <si>
    <t>Garantizar la provisión de infraestructura social y de servicios, mejorando la planificación de proyectos en equipamientos sociales, culturales, deportivos, educativos de espacios públicos, y teniendo en cuenta el mejoramiento de entornos en proyectos de vivienda, brindando condiciones de bienestar a la población.</t>
  </si>
  <si>
    <t>Intervenciones para el mejoramiento del entorno social (edificaciones, equipamientos, espacios públicos, proyectos apoyados, viabilizados y/o financiados)</t>
  </si>
  <si>
    <t>Oferta y demanda de cooperación del departamento articuladas.</t>
  </si>
  <si>
    <t>Informe anual de análisis al seguimiento de la política pública de trabajo decente consolidada</t>
  </si>
  <si>
    <t>Impulsar el desarrollo del departamento mediante intervenciones en espacios públicos, edificaciones y equipamientos, teniendo en cuenta la integridad social.</t>
  </si>
  <si>
    <t>Proyectos de espacio público con entornos de inclusión social, según demanda. (apoyados, viabilizados y/o financiados), beneficiando a la población del departamento de Boyacá.</t>
  </si>
  <si>
    <t>Proyectos de edificaciones y equipamientos con entornos de inclusión social, según demanda. (apoyados, viabilizados y/o financiados), beneficiando a la población del departamento de Boyacá.</t>
  </si>
  <si>
    <t>Procesos estructurados y asesorados con fines de ampliación de cobertura de energía eléctrica</t>
  </si>
  <si>
    <t>Estrategias para un buen Clima para los Negocios en el departamento generadas</t>
  </si>
  <si>
    <t>Proyectos de energía eléctrica cofinanciados y ejecutados</t>
  </si>
  <si>
    <t>Nuevos suscriptores con servicio de gas natural domiciliario conectados</t>
  </si>
  <si>
    <t>Diseñar e implementar programas, proyectos, procesos y acciones, derivados del marco normativo y de las políticas públicas, para mitigar las barreras y posibilitar el pleno goce de los derechos humanos, de acuerdo a las necesidades e intereses de las personas con discapacidad, sus familias y cuidadores en el territorio Boyacense.</t>
  </si>
  <si>
    <t>Estrategias de formación de capacidades para el fortalecimiento institucional implementadas.</t>
  </si>
  <si>
    <t>Empresarios y emprendedores jóvenes de Boyacá con competencias en el manejo de una segunda lengua capacitados</t>
  </si>
  <si>
    <t>Iniciativas de emprendimiento de PcD o sus familias y cuidadores apoyadas y fortalecidas.</t>
  </si>
  <si>
    <t>Guías e informadores turísticos de Boyacá con competencias en el manejo de una segunda lengua capacitados</t>
  </si>
  <si>
    <t>Municipios apoyados en la implementación del sistema de RLCPD.</t>
  </si>
  <si>
    <t>Promover el empoderamiento a través de la formación de las personas con discapacidad, las familias y/o cuidadores y organizaciones de PcD.</t>
  </si>
  <si>
    <t>Procesos de formación para personas con discapacidad realizados</t>
  </si>
  <si>
    <t>Material pedagógico creado, divulgado y entregado</t>
  </si>
  <si>
    <t>Estrategia RBC con las familias y cuidadores de las PcD creada e implementada.</t>
  </si>
  <si>
    <t>Estrategia para deconstruir imaginarios y prácticas sociales en torno a las PcD, diseñada e implementada</t>
  </si>
  <si>
    <t>Promover la igualdad en todos los niveles para las mujeres boyacenses, fortaleciendo también la institucionalidad para avanzar en la erradicación de las diversas formas de violencias basadas en género.</t>
  </si>
  <si>
    <t>Consejos consultivos de mujeres conformados y fortalecidos.</t>
  </si>
  <si>
    <t>Promover el empoderamiento y la garantía plena de derechos de las mujeres rurales y fortalecer su rol como agentes de transformación para un desarrollo rural sostenible y con equidad.</t>
  </si>
  <si>
    <t>Desarrollar acciones articuladas tendientes a promover la autonomía económica a través del desarrollo de proyectos de emprendimiento e innovación femenina.</t>
  </si>
  <si>
    <t>Ruta Integral de atención para el reconocimiento de los derechos de la persona adulta mayor construida y difundida.</t>
  </si>
  <si>
    <t>Jornadas de identificación y restablecimiento de los derechos de la persona adulta mayor desarrolladas</t>
  </si>
  <si>
    <t>Campañas pedagógicas para la promoción del buen trato y la atención adecuada implementadas</t>
  </si>
  <si>
    <t>Ruta de atención de violencia contra la persona adulta mayor construida y difundida.</t>
  </si>
  <si>
    <t>Documento de diagnóstico sobre las condiciones actuales de los centros vida y de protección, elaborado y socializado.</t>
  </si>
  <si>
    <t>Iniciativas de generación de ingresos de las personas adultas mayores fortalecidas técnica y financieramente.</t>
  </si>
  <si>
    <t>Encuentros departamentales para la participación, la recreación y la difusión de saberes de las personas adultas mayores realizados.</t>
  </si>
  <si>
    <t>Jornadas de reconocimiento y difusión de saberes de las personas adultas mayores del departamento realizadas.</t>
  </si>
  <si>
    <t>Reconocer, respetar y promover la efectividad de los derechos de la población con diversidad sexual y con orientaciones de género diversa.</t>
  </si>
  <si>
    <t>Campaña para la prevención de estigmatización y discriminación en contra de la población LGBTI creada e implementada.</t>
  </si>
  <si>
    <t>Fortalecer el sistema departamental de política social generando capacidad de gestión en las instancias técnicas, establecidas para el desarrollo de las políticas públicas sociales.</t>
  </si>
  <si>
    <t>Instancias de coordinación para la gestión de la política pública social, fortalecidas y operando.</t>
  </si>
  <si>
    <t>Acompañar el desarrollo de la gestión social integral de los municipios y fortalecer las acciones del consejo departamental de política social.</t>
  </si>
  <si>
    <t>Acciones y compromisos derivados del sistema de gestión social del departamento con seguimiento.</t>
  </si>
  <si>
    <t>Aumentar las acciones en la articulación interinstitucional a nivel departamental y local con el sector público y privado para promover el desarrollo integral de los niños y niñas de cero a cinco años.</t>
  </si>
  <si>
    <t>Municipios con encuentros formativos en dinámica familiar y promoción de la no violencia realizados.</t>
  </si>
  <si>
    <t>Tasa x100milH</t>
  </si>
  <si>
    <t>Fortalecer el potencial de desarrollo socioemocional, de liderazgo y del talento en la infancia y la adolescencia.</t>
  </si>
  <si>
    <t>Instancias de participación efectiva de niñas, niños y adolescentes fortalecidas.</t>
  </si>
  <si>
    <t>Crear oportunidades, promoveremos estrategias y fortaleceremos potencialidades para el desarrollo de iniciativas de fomento productivo y mitigación del trabajo infantil.</t>
  </si>
  <si>
    <t>Política Pública y Fortalecimiento Institucional, una Apuesta al Desarrollo Integral de La Niñez y Adolescencia.</t>
  </si>
  <si>
    <t>Entes territoriales con fortalecimiento institucional para la garantía de derechos de la niñez y la adolescencia.</t>
  </si>
  <si>
    <t>Implementar el programa "todos en la juega por la cultura de la legalidad" en el departamento de Boyacá con el fin de disminuir la tasa de ingresos de niños, niñas y adolescentes en el sistema de responsabilidad penal adolescente.</t>
  </si>
  <si>
    <t>Talleres preventivos y de formación a niños, niñas, adolescentes, familias y comunidades. Implementados y realizados.</t>
  </si>
  <si>
    <t>Procesos de formación "Por la cultura de la legalidad" con población focalizada, Implementados.</t>
  </si>
  <si>
    <t>Establecer estrategias permanentes entre el saber y el hacer con el fin de que se tomen las decisiones más oportunas y pertinentes respecto al sistema de responsabilidad penal adolescente.</t>
  </si>
  <si>
    <t>Encuentros provinciales a través del de la estrategia "Formador de Formadores” Implementados.</t>
  </si>
  <si>
    <t>Procesos de formación dirigido a autoridades, directivos y docentes del departamento, en sistemas de responsabilidad penal adolescente realizados y certificados.</t>
  </si>
  <si>
    <t>Jóvenes beneficiados en espacios de participación</t>
  </si>
  <si>
    <t>Mejorar la participación de los jóvenes en la toma de decisiones respecto a los temas políticos, sociales y económicos.</t>
  </si>
  <si>
    <t>Plataformas municipales juveniles convocadas y conformadas.</t>
  </si>
  <si>
    <t>Encuentros departamentales de juventud promovidos.</t>
  </si>
  <si>
    <t>Mecanismos de participación ciudadana creados.</t>
  </si>
  <si>
    <t>Conmemoración de la "Semana de la Juventud" realizada.</t>
  </si>
  <si>
    <t>Campamentos juveniles desarrollados.</t>
  </si>
  <si>
    <t>Encuentro de Juegos tradicionales para la juventud Boyacense realizado.</t>
  </si>
  <si>
    <t>Iniciativa "Jóvenes sembrando esperanza por Boyacá" implementada.</t>
  </si>
  <si>
    <t>Impulsar y fortalecer el conocimiento sobre las oportunidades para los jóvenes rurales y urbanos en oferta de empleo y emprendimientos para la generación de ingresos.</t>
  </si>
  <si>
    <t>Asistencias técnicas para la formulación y desarrollo de iniciativas de emprendimiento realizadas.</t>
  </si>
  <si>
    <t>Potencializar las habilidades de los jóvenes en el desarrollo de la economía naranja a nivel nacional y departamental.</t>
  </si>
  <si>
    <t>Desarrollar estrategias dirigidas a las familias boyacenses encaminadas al fortalecimiento familiar y a la reducción de la violencia intrafamiliar.</t>
  </si>
  <si>
    <t>Disminución de la tasa de violencia intrafamiliar y de pareja en el departamento de Boyacá.</t>
  </si>
  <si>
    <t>Tasa x100.000H</t>
  </si>
  <si>
    <t>Desarrollar una estrategia integral de prevención de la violencia intrafamiliar en Boyacá.</t>
  </si>
  <si>
    <t>Municipio piloto con estrategia integral contra la violencia intrafamiliar implementada.</t>
  </si>
  <si>
    <t>Familias beneficiadas con la estrategia integral para la prevención y disminución de la violencia intrafamiliar.</t>
  </si>
  <si>
    <t>Fortalecer los vínculos y capacidades socioemocionales en los miembros de la familia, previniendo así su desintegración.</t>
  </si>
  <si>
    <t>Estrategia de fortalecimiento psicosocial de familias monoparentales diseñada y ejecutada.</t>
  </si>
  <si>
    <t>Comunidades étnicas y organizaciones afrocolombianas incluidas en los diferentes programas sociales del departamento</t>
  </si>
  <si>
    <t>Realizar jornadas de identificación de personas pertenecientes a comunidades étnicas.</t>
  </si>
  <si>
    <t>Reconocer y garantizar los derechos individuales y colectivos de los grupos étnicos del departamento de Boyacá.</t>
  </si>
  <si>
    <t>Encuentros para el rescate de la identidad cultural realizados</t>
  </si>
  <si>
    <t>Desarrollar proyectos de carácter social y productivo que beneficie a las comunidades étnicas del departamento.</t>
  </si>
  <si>
    <t>Derechos de la población víctima del conflicto armado garantizados</t>
  </si>
  <si>
    <t>Realizar jornadas de prevención de uso, utilización, reclutamiento y violencia sexual contra niños, niñas y adolescentes.</t>
  </si>
  <si>
    <t>Jornadas de prevención de uso, utilización, reclutamiento y violencia sexual contra niños, niñas y adolescentes realizadas</t>
  </si>
  <si>
    <t>Generar actividades de conmemoración y visibilización de las víctimas del conflicto armado.</t>
  </si>
  <si>
    <t>Jornadas de conmemoración y visibilización de las víctimas del conflicto armado realizadas</t>
  </si>
  <si>
    <t>Realizar asistencias técnicas y acompañamiento en la política pública a las víctimas del conflicto armado y a los municipios.</t>
  </si>
  <si>
    <t>Asistencia técnica a municipios en política pública de víctimas realizadas</t>
  </si>
  <si>
    <t>Realizar asistencia humanitaria a las alcaldías municipales que beneficien a familias del conflicto armado en proyectos de generación de ingresos.</t>
  </si>
  <si>
    <t>Familias víctimas del conflicto armado beneficiadas en proyectos de generación de ingresos</t>
  </si>
  <si>
    <t>Punto Regional de Atención de víctimas funcionando</t>
  </si>
  <si>
    <t>Mesa Departamental de Victimas funcionando</t>
  </si>
  <si>
    <t>Jornadas de capacitación con enfoque diferencial a la población víctima del conflicto armado realizadas</t>
  </si>
  <si>
    <t>Realizar Jornadas de atención de servicios de las entidades nacionales, departamentales y municipales a las víctimas del conflicto, en riesgo social y condiciones de pobreza a través de ferias de servicios.</t>
  </si>
  <si>
    <t>Proyectos de generación de ingresos a familias de reinsertados respaldados técnica y económicamente</t>
  </si>
  <si>
    <t>Caracterización socioeconómica y de habilidades a la población reintegrada y reincorporada realizada</t>
  </si>
  <si>
    <t>Política Pública Departamental de Prevención a la violación de los derechos humanos y el derecho internacional humanitario formulada</t>
  </si>
  <si>
    <t>Consejos municipales de paz creados</t>
  </si>
  <si>
    <t>Jornadas de capacitación dirigidos a los jóvenes para promoción, prevención y protección de derechos humanos y Derecho Internacional Humanitario realizadas</t>
  </si>
  <si>
    <t>Plan Integral de Prevención y contingencia actualizado y operando.</t>
  </si>
  <si>
    <t>Realizar acciones de actualización e implementación del comité de seguimiento penitenciario y carcelario.</t>
  </si>
  <si>
    <t>Comité de Seguimiento Penitenciario y Carcelario Actualizado e implementado</t>
  </si>
  <si>
    <t>Plan de Prevención y Protección a líderes sociales diseñado y ejecutado</t>
  </si>
  <si>
    <t>Niños, niñas, adolescentes y jóvenes mantenidos, participando en los Juegos Supérate Intercolegiados de Boyacá.</t>
  </si>
  <si>
    <t>Válidas en las diferentes modalidades de ciclismo realizadas.</t>
  </si>
  <si>
    <t>Promover hábitos y estilos de vida saludable en diferentes grupos poblacionales.</t>
  </si>
  <si>
    <t>Formar a adolescentes, jóvenes líderes comunitarios y campistas por medio de actividades lúdicas, recreativas, deportivas y prácticas de campismo.</t>
  </si>
  <si>
    <t>Promover alianzas estratégicas para la formación artística y el desarrollo de procesos de investigación.</t>
  </si>
  <si>
    <t>Desarrollar programas de incentivos al desarrollo artístico y cultural en el departamento.</t>
  </si>
  <si>
    <t>Programa de agenda cultural desarrollada.</t>
  </si>
  <si>
    <t>Realizar y/o apoyar eventos culturales en el departamento de Boyacá.</t>
  </si>
  <si>
    <t>Fortalecer la circulación de procesos artístico culturales.</t>
  </si>
  <si>
    <t>Contenidos visuales, sonoros y convergentes de comunicación cultural difundidos.</t>
  </si>
  <si>
    <t>Circuitos regionales para la movilidad de los procesos y prácticas artísticas y culturales, diseñados y en funcionamiento.</t>
  </si>
  <si>
    <t>Patrimonio cultural inmaterial fortalecido.</t>
  </si>
  <si>
    <t>Proyectos para el fortalecimiento del patrimonio realizados a través de los grupos de vigías</t>
  </si>
  <si>
    <t>Patrimonio cultural material fortalecido.</t>
  </si>
  <si>
    <t>Planes Especiales de Manejo y Protección PEMP formulados y/o implementados.</t>
  </si>
  <si>
    <t>Patrimonio cultural material identificado.</t>
  </si>
  <si>
    <t>Brindar capacitaciones y procesos de alfabetización enfocados en apropiación TIC a todos los grupos poblacionales y a personas con discapacidad.</t>
  </si>
  <si>
    <t>Entidades públicas o emisoras comunitarias asistidas en el adecuado despliegue de infraestructura de telecomunicaciones</t>
  </si>
  <si>
    <t>Realizar adecuada disposición final de residuos de aparatos eléctricos y electrónicos (RAEE)</t>
  </si>
  <si>
    <t>Municipios asesorados en la adopción de la estrategia nacional de Gobierno Digital</t>
  </si>
  <si>
    <t>Conjunto de datos abiertos en el portal datos.gov.co publicados y divulgados.</t>
  </si>
  <si>
    <t>Entregar espacios tecnológicos para la generación de contenidos digitales de alto nivel.</t>
  </si>
  <si>
    <t>Empresas y emprendedores de la industria TIC apoyados</t>
  </si>
  <si>
    <t>Fortalecer emprendimientos de la industria TIC que desarrollen productos para entidades públicas del departamento y generar espacios para que el sector científico desarrolle sus proyectos de investigación en beneficio del departamento.</t>
  </si>
  <si>
    <t>CONECTIVIDAD Y TRANSPORTE</t>
  </si>
  <si>
    <t>Indicador Departamental de Competitividad (IDC) mejorado (puntaje del sub pilar Conectividad en Boyacá)</t>
  </si>
  <si>
    <t>Establecer estrategias que permitan el apoyo a sectores productivos sociales y turísticos del departamento a través de uso de las TIC</t>
  </si>
  <si>
    <t>Articular las capacidades para la gestión y apropiación de la Ciencia, la Tecnología y la Innovación en el departamento de Boyacá, de tal manera que se promueva el reconocimiento y valoración de la riqueza biodiversa del departamento desde la articulación de los actores del Sistema regional de Ciencia, Tecnología e Innovación.</t>
  </si>
  <si>
    <t>Gestionar la rehabilitación, modernización y operación de modalidades de transporte existentes en la región que incrementen el valor público de la infraestructura de transporte.</t>
  </si>
  <si>
    <t>Generar condiciones para la creación de ambientes que desarrollen y articulen estrategias de apropiación social de la Ciencia, la Tecnología y la Innovación en el departamento de Boyacá, de tal manera que se promueva el reconocimiento y valoración de la riqueza biodiversa del departamento.</t>
  </si>
  <si>
    <t>Centros de ciencia construido y dotado</t>
  </si>
  <si>
    <t>Estrategias de apropiación social del conocimiento implementada</t>
  </si>
  <si>
    <t>Proyectos de transporte férreo de carga y turístico promovidos.</t>
  </si>
  <si>
    <t>Aeropuerto con operación y servicio departamental Mejorado o adecuado.</t>
  </si>
  <si>
    <t>Terminales para transporte y logística intervenidos</t>
  </si>
  <si>
    <t>Proyectos de infraestructura de transporte alternativo y ecológico mejorados, construidos y en operación</t>
  </si>
  <si>
    <t>Mejorar la conectividad vial primaria, secundaria y terciaria brindado vías cómodas y seguras que permitan el tránsito y el transporte de la población y sus productos a los centros poblados y de acopio.</t>
  </si>
  <si>
    <t>Promover estrategias que permitan el uso de energías alternativas en zonas urbanas y rurales del departamento de Boyacá.</t>
  </si>
  <si>
    <t>Municipios beneficiados con soluciones de energía alternativa</t>
  </si>
  <si>
    <t>Alianzas público privadas promovidas.</t>
  </si>
  <si>
    <t>Proyectos de infraestructura vial y equipamiento de las vías, del Contrato Plan Boyacá Bicentenario y el Pacto territorial del Bicentenario, gestionados.</t>
  </si>
  <si>
    <t>Controles operativos y vigilancia en la vía realizados</t>
  </si>
  <si>
    <t>Proponer acciones que permitan incrementar los ingresos por servicios durante el cuatrienio.</t>
  </si>
  <si>
    <t>Planes de movilidad sostenible implementados</t>
  </si>
  <si>
    <t>Implementar el uso de la bicicleta como medio de transporte en la urbanidad con características de sostenibilidad</t>
  </si>
  <si>
    <t>Estrategia pedagógica implementada</t>
  </si>
  <si>
    <t>Unidades operativas dotadas con infraestructura, tecnología e implementos</t>
  </si>
  <si>
    <t>Acompañar Integralmente a las entidades territoriales en el fortalecimiento de capacidades, para afrontar los procesos que demanda la dinámica de la gestión pública municipal.</t>
  </si>
  <si>
    <t>Brindar capacitación, asesoría y asistencia técnica para mejorar la implementación de instrumentos y métodos de planeación, ejecución, evaluación y seguimiento municipal.</t>
  </si>
  <si>
    <t>Informes de medición del desempeño municipal y de viabilidad financiera presentados</t>
  </si>
  <si>
    <t>Funcionarios de administraciones municipales asesorados técnicamente</t>
  </si>
  <si>
    <t>Jornadas de Capacitaciones realizadas en el cuatrienio</t>
  </si>
  <si>
    <t>Documento de lineamientos presupuestales presentados</t>
  </si>
  <si>
    <t>Municipios con metodologías y lineamientos DNP implementadas</t>
  </si>
  <si>
    <t>Espacios académicos de socialización realizados</t>
  </si>
  <si>
    <t>Publicaciones por el observatorio social y económico realizadas</t>
  </si>
  <si>
    <t>Garantizar la disponibilidad técnica, tecnológica y operativa para el funcionamiento de la IDE.</t>
  </si>
  <si>
    <t>Actualizaciones a la arquitectura e infraestructura tecnológica de la IDE realizadas</t>
  </si>
  <si>
    <t>Fortalecer la información disponible en el Sistema de Información del Centro de Documentación de la Secretaría de Planeación de la Gobernación de Boyacá.</t>
  </si>
  <si>
    <t>Número de registros calcográficos documentales actualizados y/o realizados en la plataforma KOHA.</t>
  </si>
  <si>
    <t>Mantener y fortalecer la implementación del Modelo Integrado de Planeación y Gestión generando nuevas herramientas, alternativas, y procesos de asistencia técnica.</t>
  </si>
  <si>
    <t>Fortalecer la capacidad institucional de la Gobernación de Boyacá para una Administración Pública Innovadora.</t>
  </si>
  <si>
    <t>Administración eficiente de los bienes del departamento para la atención de las necesidades territoriales</t>
  </si>
  <si>
    <t>Optimizar la administración de los bienes inmuebles del departamento, propendiendo por su productividad.</t>
  </si>
  <si>
    <t>Mejorar la capacidad logística para solucionar las necesidades de bienes muebles del departamento.</t>
  </si>
  <si>
    <t>Bienes muebles adquiridos e intervenidos.</t>
  </si>
  <si>
    <t>Acciones para un parque automotor optimizado</t>
  </si>
  <si>
    <t>Capital humano fortalecido para la atención Integral al ciudadano</t>
  </si>
  <si>
    <t>Establecer estrategias que permitan una atención amable e incluyente al ciudadano.</t>
  </si>
  <si>
    <t>Herramientas digitales de accesibilidad universal implementadas.</t>
  </si>
  <si>
    <t>Estrategias por una cultura institucional de servicio al ciudadano ejecutadas.</t>
  </si>
  <si>
    <t>Municipios fortalecidos en la política de atención al ciudadano.</t>
  </si>
  <si>
    <t>Conservar la memoria y patrimonio documental del departamento de Boyacá</t>
  </si>
  <si>
    <t>Herramientas técnicas y tecnológicas para la gestión archivo general del departamento implementadas</t>
  </si>
  <si>
    <t>Asistencias técnicas a Entes Territoriales realizadas</t>
  </si>
  <si>
    <t>Herramientas tecnológicas implementadas para el fortalecimiento del capital humano y apropiación del uso de las TIC</t>
  </si>
  <si>
    <t>Actividades desarrolladas para gestionar el conocimiento y la innovación en la entidad para generar valor en lo público</t>
  </si>
  <si>
    <t>Boyacá Con Talento Humano Seguro Y Saludable</t>
  </si>
  <si>
    <t>Programas de prevención y promoción de seguridad y salud en el trabajo implementados.</t>
  </si>
  <si>
    <t>Medidas implementadas para identificación, control y mitigación de riesgos.</t>
  </si>
  <si>
    <t>Fortalecer las estrategias para asegurar la adecuada utilización de los recursos físicos, financieros y administrativos e incrementar el recaudo de los recursos públicos, para la financiación de los planes, programas y proyectos de la administración departamental</t>
  </si>
  <si>
    <t>Gestión fiscal, recaudo de los tributos, mecanismos financieros y operativos existentes fortalecidos.</t>
  </si>
  <si>
    <t>Procesos fiscales y financieros fortalecidos, mejorados y con implementación de innovación tecnológica.</t>
  </si>
  <si>
    <t>Implementar herramientas tecnológicas, de comunicación y promoción para fortalecer el recaudo de tributos y la cultura tributaria en el departamento</t>
  </si>
  <si>
    <t>Recaudo de tributos Departamentales fortalecidos</t>
  </si>
  <si>
    <t>Fortalecer la eficiencia y eficacia de la gestión contractual en la gobernación de Boyacá.</t>
  </si>
  <si>
    <t>Capacitaciones a las JAC realizadas</t>
  </si>
  <si>
    <t>Día de la acción comunal conmemorado</t>
  </si>
  <si>
    <t>Juntas de Acción Comunal Inspeccionadas, Controladas y Vigiladas</t>
  </si>
  <si>
    <t>Solución informática o APP para interacción con la comunidad implementada.</t>
  </si>
  <si>
    <t>Software de servicio a las JAC actualizado y mejorado</t>
  </si>
  <si>
    <t>Grupos sociales fortalecidos en el ejercicio del control de recursos públicos y actividades públicas</t>
  </si>
  <si>
    <t>Acciones orientadas a la conformación de nuevas veedurías ciudadanas para el control de recursos públicos.</t>
  </si>
  <si>
    <t>Realizar la adecuada inspección, control y vigilancia de las ESALES capacitación, asesoría y acompañamiento en gestión administrativa, normatividad, registro de libros y presentación de documentos ante el ente de control.</t>
  </si>
  <si>
    <t>Capacitar y asesorar a los Burgomaestres para que tengan herramientas necesarias para el adecuado manejo de la gestión municipal mejorando la calidad de desempeño.</t>
  </si>
  <si>
    <t>Alcaldes y ediles de las Juntas Administradoras Locales de los municipios del Departamento en temas de buen gobierno, asesorados y capacitados</t>
  </si>
  <si>
    <t>Ferias de Servicio realizadas</t>
  </si>
  <si>
    <t>Plan de Desarrollo formulado</t>
  </si>
  <si>
    <t>Tablero de control actualizado y en operación.</t>
  </si>
  <si>
    <t>Informes de seguimiento al plan departamental publicados</t>
  </si>
  <si>
    <t>Informes de gestión generados y publicados</t>
  </si>
  <si>
    <t>Optimizar los procesos de formulación y aprobación de proyectos de inversión para la asignación y aplicación de los recursos de inversión pública.</t>
  </si>
  <si>
    <t>Capacitaciones realizadas en la formulación, aprobación, ejecución y seguimiento de proyectos del SGR</t>
  </si>
  <si>
    <t>Defensa jurídica y patrimonio público eficientemente atendido y mejorado.</t>
  </si>
  <si>
    <t>Desarrollar herramientas tecnológicas que permitan la ejecución y control de las políticas de prevención y seguimiento del ejercicio judicial y extrajudicial, para disminuir el impacto fiscal en pro del desarrollo social</t>
  </si>
  <si>
    <t>Procesos atendidos y eficientemente representados</t>
  </si>
  <si>
    <t>Solicitudes de conciliación analizadas</t>
  </si>
  <si>
    <t>Evaluar y asesorar los riesgos, procedimientos, proyectos, contratos y/o convenios en sus diferentes etapas a través de los roles a cargo de la Oficina Asesora de Control interno de Gestión.</t>
  </si>
  <si>
    <t>Realizar auditorías, seguimientos a planes de mejoramiento para la evaluación del riesgo, la eficacia y eficiencia de los controles promoviendo la mejora continua de los procesos a través de los sistemas de información de la Gobernación de Boyacá.</t>
  </si>
  <si>
    <t>Auditorías a las diferentes sectoriales ejecutadas</t>
  </si>
  <si>
    <t>Evaluaciones a la administración del riesgo efectuadas</t>
  </si>
  <si>
    <t>Campañas de fomento a la cultura de autocontrol realizadas</t>
  </si>
  <si>
    <t>Incrementar el desarrollo procesal de los expedientes activos que cursan en la oficina asesora de control interno disciplinario de la gobernación de Boyacá.</t>
  </si>
  <si>
    <t>Función preventiva fortalecida</t>
  </si>
  <si>
    <t>Impulsos procesales y decisiones de fondo resueltas</t>
  </si>
  <si>
    <t>Realizar las transferencias de recursos para la Salud generados por la explotación y comercialización de juegos de suerte y azar por parte de Lotería de Boyacá.</t>
  </si>
  <si>
    <t>Estrategias integrales de Planeación y Gestión implementadas</t>
  </si>
  <si>
    <t>Otros ingresos realizados</t>
  </si>
  <si>
    <t>Indicadores de Rentabilidad como operador de los juegos de suerte y azar mantenidos</t>
  </si>
  <si>
    <t>Vender efectivamente, innovando las estrategias de mercadeo y comercialización de la Lotería de Boyacá y conociendo su entorno y mercado</t>
  </si>
  <si>
    <t>Ventas de Lotería</t>
  </si>
  <si>
    <t>Actividades novedosas de comercialización realizadas</t>
  </si>
  <si>
    <t>Ventas por innovación del Canal de Distribución logradas</t>
  </si>
  <si>
    <t>Plan de Premios innovado</t>
  </si>
  <si>
    <t>Estudios de Mercados Realizados</t>
  </si>
  <si>
    <t>Satisfacción de la cliente fortalecida</t>
  </si>
  <si>
    <t>Pedagogía del Control de Juego Ilegal difundida</t>
  </si>
  <si>
    <t>Sorteos Bicentenarios de conmemoración histórica realizados</t>
  </si>
  <si>
    <t>Acciones de fiscalización y control implementadas</t>
  </si>
  <si>
    <t>Municipios de Boyacá con presencia de marca y productos aumentada</t>
  </si>
  <si>
    <t>Unidades de producto vendidas</t>
  </si>
  <si>
    <t>Establecer estrategias que permitan la apertura de fronteras nacionales e internacionales para la venta y comercialización de los productos de la NLB</t>
  </si>
  <si>
    <t>Esfuerzos y estrategias articulados para ser una marca posicionada</t>
  </si>
  <si>
    <t>Formular estrategias, planes y proyectos encaminados al establecimiento de políticas en cuidado del talento humano, entregando bienestar para los trabajadores de la NLB.</t>
  </si>
  <si>
    <t>Procesos de Gestión estratégica del talento Humano realizados</t>
  </si>
  <si>
    <t>Procesos de producción y administración mejorados</t>
  </si>
  <si>
    <t>Implementar acciones de modernización e innovación de la planta y equipo de la NLB que permitan posicionarse como una empresa líder en el sector.</t>
  </si>
  <si>
    <t>Branding y aprovechamiento ambiental de empaques implementado</t>
  </si>
  <si>
    <t>Certificaciones en BPM y Calidad logradas</t>
  </si>
  <si>
    <t>Modernización de planta y equipo realizada</t>
  </si>
  <si>
    <t>Procesos para el desarrollo agrícola en el departamento promovidos</t>
  </si>
  <si>
    <t>Proyectos de I+D+i con enfoque al desarrollo empresarial de la NLB realizados</t>
  </si>
  <si>
    <t>Garantizar desde la gestión social de la empresa, el desarrollo de la comunidad boyacense por medio de estrategias e iniciativas fomentando el cuidado y protección individual y colectivo.</t>
  </si>
  <si>
    <t>Acciones de comunicación encaminadas a la socialización del uso de las transferencias realizadas</t>
  </si>
  <si>
    <t>Cultura del consumo responsable fortalecida</t>
  </si>
  <si>
    <t>Iniciativas del fomento al deporte articuladas y realizadas</t>
  </si>
  <si>
    <t>Calificación del Riesgo Financiero mantenida y mejorada</t>
  </si>
  <si>
    <t>Software del Sistema Financiero Optimizado</t>
  </si>
  <si>
    <t>Acciones para el posicionamiento de la imagen IDEBOY implementadas</t>
  </si>
  <si>
    <t>Actividades para mantener y mejorar la calificación de Riesgo crediticio realizadas</t>
  </si>
  <si>
    <t>Robustecer los recursos propios y el capital financiero del instituto a través de un direccionamiento eficiente de los recursos administrados, y de la diversificación de líneas de negocio que maximicen la rentabilidad.</t>
  </si>
  <si>
    <t>Utilidades del IDEBOY generadas</t>
  </si>
  <si>
    <t>Depósitos realizados por entidades territoriales en los recursos administrados</t>
  </si>
  <si>
    <t>Ingresos por negocios hoteleros recibidos</t>
  </si>
  <si>
    <t>Ingresos por negocios en predios del IDEBOY generados</t>
  </si>
  <si>
    <t>Sociedades que no cumplen su objeto social liquidadas</t>
  </si>
  <si>
    <t>Activos improductivos del IDEBOY fortalecidos</t>
  </si>
  <si>
    <t>Fortalecer las sociedades y bienes del instituto para maximizar la misión del ente descentralizado buscando el incremento de la rentabilidad y el mejoramiento de la calidad de vida del departamento.</t>
  </si>
  <si>
    <t>Acciones de desarrollo y fomento de las regiones fortalecidas</t>
  </si>
  <si>
    <t>Acciones de aprovechamiento forestal y reforestación realizadas</t>
  </si>
  <si>
    <t>Fortalecimiento de los procesos de negocio mediante infraestructura tecnológica optimizada</t>
  </si>
  <si>
    <t>Infraestructura de TI aprovisionada y optimizada</t>
  </si>
  <si>
    <t>Software licenciado de acuerdo a las necesidades de las sectoriales adquirido</t>
  </si>
  <si>
    <t>Servicios en la nube (cloud computing) mantenido e implementados</t>
  </si>
  <si>
    <t>Programas de sensibilización realizados</t>
  </si>
  <si>
    <t>Oferta digital de Trámites, acceso a servicios de información y procedimientos administrativos implementados.</t>
  </si>
  <si>
    <t>Trámites, servicios de información y OPAS transformados digitalmente.</t>
  </si>
  <si>
    <t>Fortalecer los escenarios de participación ciudadana dentro de los procesos de planificación del departamento de Boyacá</t>
  </si>
  <si>
    <t>Consejos territoriales de planeación capacitados</t>
  </si>
  <si>
    <t>Administraciones municipales capacitadas</t>
  </si>
  <si>
    <t>Capacitaciones al consejo departamental de planeación</t>
  </si>
  <si>
    <t>Boletines semestrales de información publicados</t>
  </si>
  <si>
    <t>Audiencias públicas con la ciudadanía realizadas</t>
  </si>
  <si>
    <t>Jornadas de rendición con funcionarios públicos realizadas</t>
  </si>
  <si>
    <t>Audiencia pública con infancia, adolescencia y juventud realizada</t>
  </si>
  <si>
    <t>Audiencias con el Consejo departamental de planeación realizadas</t>
  </si>
  <si>
    <t>Mejorar las tecnologías y sistemas de comunicación para la generación, producción, edición y divulgación de contenido claro, asequible y adaptativo dirigido a todas y todos los boyacenses.</t>
  </si>
  <si>
    <t>Acciones desplegadas por el Gobierno Departamental con difusión efectiva.</t>
  </si>
  <si>
    <t>Hechos noticiosos publicados</t>
  </si>
  <si>
    <t>Promociones publicitarias realizadas</t>
  </si>
  <si>
    <t>Generar contenido audiovisual y gráfico innovador, claro, asequible y adaptativo, empleando la tecnología y demás sistemas de comunicación; para la difusión de políticas, programas y proyectos del Gobierno Departamental al servicio de la comunidad.</t>
  </si>
  <si>
    <t>Campañas de comunicación estratégica producidas e implementadas</t>
  </si>
  <si>
    <t>Fortalecer los canales de radiodifusión pública para la generación de espacios de educación, información, comunicación, expresión y promoción cultural dirigidos a todas y todos los boyacenses.</t>
  </si>
  <si>
    <t>Programas noticiosos producidos y emitidos</t>
  </si>
  <si>
    <t>Acciones de mejora de la infraestructura de radiodifusión sonora realizadas.</t>
  </si>
  <si>
    <t>COMPONENTE INNOVACIÓN PÚBLICA</t>
  </si>
  <si>
    <t>Desarrollar una herramienta digital que permita la intersectorialidad en los procesos de apoyo del sector central de la Gobernación de Boyacá</t>
  </si>
  <si>
    <t>Subprocesos de negocio que mejoran su capacidad apropiando y aplicando la estrategia de TI bajo una arquitectura empresarial</t>
  </si>
  <si>
    <t>Desarrollar un Gobierno digital con estrategia de TI articulada a los subprocesos de negocio definiendo e implementado un plan estratégico que permita el avance en la transformación digital.</t>
  </si>
  <si>
    <t>Iniciativas y proyectos de la Estrategia de TI (PETI) implementados de manera articulada</t>
  </si>
  <si>
    <t>Compras de TI optimizadas aplicando un procedimiento que incorpora casos de negocio y criterios de evaluación de soluciones de TI</t>
  </si>
  <si>
    <t>Servicios de información gestionados aplicando el plan de calidad de la información y de analítica de datos</t>
  </si>
  <si>
    <t>Soporte y mantenimiento de los sistemas de información optimizado aplicando Acuerdos de Nivel de Servicio (ANS)</t>
  </si>
  <si>
    <t>Subprocesos de negocio que aseguran su información apropiando y aplicando la estrategia de TI bajo un Sistema de Gestión de Seguridad de la Información</t>
  </si>
  <si>
    <t>Plan de control operacional del Sistema de Gestión de Seguridad de la Información (SGSI) implementado</t>
  </si>
  <si>
    <t>Plan de tratamiento de riesgos de seguridad digital implementado</t>
  </si>
  <si>
    <t>A.1</t>
  </si>
  <si>
    <t>A.2</t>
  </si>
  <si>
    <t>A.7</t>
  </si>
  <si>
    <t>A.15</t>
  </si>
  <si>
    <t>A.14</t>
  </si>
  <si>
    <t>A.18</t>
  </si>
  <si>
    <t>A.4</t>
  </si>
  <si>
    <t>A.5</t>
  </si>
  <si>
    <t>A.8</t>
  </si>
  <si>
    <t>A.13</t>
  </si>
  <si>
    <t>A.10</t>
  </si>
  <si>
    <t>A.3</t>
  </si>
  <si>
    <t>A.12</t>
  </si>
  <si>
    <t>A.9</t>
  </si>
  <si>
    <t>A.16</t>
  </si>
  <si>
    <t>ORIENTACIÓN</t>
  </si>
  <si>
    <t>ODS</t>
  </si>
  <si>
    <t>Prog Total Cuatrienio</t>
  </si>
  <si>
    <t>Prog Cof Nación 2020</t>
  </si>
  <si>
    <t>Prog Otros 
2020</t>
  </si>
  <si>
    <t>Prog Recursos Propios 2020</t>
  </si>
  <si>
    <t>Prog SGP Alim Escolar 2020</t>
  </si>
  <si>
    <t>Prog SGP APSB 2020</t>
  </si>
  <si>
    <t>Prog SGP Cultura 2020</t>
  </si>
  <si>
    <t>Prog SGP Deporte 2020</t>
  </si>
  <si>
    <t>Prog SGP Libre Dest 2020</t>
  </si>
  <si>
    <t>Prog SGP Salud 2020</t>
  </si>
  <si>
    <t>Prog Regalías 2020</t>
  </si>
  <si>
    <t>Prog Total 2020</t>
  </si>
  <si>
    <t>Prog Cof Nación 2021</t>
  </si>
  <si>
    <t>Prog Otros 
2021</t>
  </si>
  <si>
    <t>Prog Recursos Propios 2021</t>
  </si>
  <si>
    <t>Prog SGP Alim Escolar 2021</t>
  </si>
  <si>
    <t>Prog SGP APSB 2021</t>
  </si>
  <si>
    <t>Prog SGP Cultura 2021</t>
  </si>
  <si>
    <t>Prog SGP Deporte 2021</t>
  </si>
  <si>
    <t>Prog SGP Libre Dest 2021</t>
  </si>
  <si>
    <t>Prog SGP Salud 2021</t>
  </si>
  <si>
    <t>Prog Regalías 2021</t>
  </si>
  <si>
    <t>Prog Total 2021</t>
  </si>
  <si>
    <t>Prog Cof Nación 2022</t>
  </si>
  <si>
    <t>Prog Otros 
2022</t>
  </si>
  <si>
    <t>Prog Recursos Propios 2022</t>
  </si>
  <si>
    <t>Prog SGP Alim Escolar 2022</t>
  </si>
  <si>
    <t>Prog SGP APSB 2022</t>
  </si>
  <si>
    <t>Prog SGP Cultura 2022</t>
  </si>
  <si>
    <t>Prog SGP Deporte 2022</t>
  </si>
  <si>
    <t>Prog SGP Libre Dest 2022</t>
  </si>
  <si>
    <t>Prog SGP Salud 2022</t>
  </si>
  <si>
    <t>Prog Regalías 2022</t>
  </si>
  <si>
    <t>Prog Total 2022</t>
  </si>
  <si>
    <t>Prog Cof Nación 2023</t>
  </si>
  <si>
    <t>Prog Otros 
2023</t>
  </si>
  <si>
    <t>Prog Recursos Propios 2023</t>
  </si>
  <si>
    <t>Prog SGP Alim Escolar 2023</t>
  </si>
  <si>
    <t>Prog SGP APSB 2023</t>
  </si>
  <si>
    <t>Prog SGP Cultura 2023</t>
  </si>
  <si>
    <t>Prog SGP Deporte 2023</t>
  </si>
  <si>
    <t>Prog SGP Libre Dest 2023</t>
  </si>
  <si>
    <t>Prog SGP Salud 2023</t>
  </si>
  <si>
    <t>Prog Regalías 2023</t>
  </si>
  <si>
    <t>Prog Total 2023</t>
  </si>
  <si>
    <t>N° PROGRAMA</t>
  </si>
  <si>
    <t>Aumentar la cobertura de preescolar, en el marco de la atención integral a estudiantes matriculados en este nivel, en municipios no certificados de Boyacá.</t>
  </si>
  <si>
    <t>Cobertura de educación en el nivel preescolar en el marco de la Atención Integral incrementada en el departamento</t>
  </si>
  <si>
    <t>Porcentaje</t>
  </si>
  <si>
    <t>N° SUBPROGRAMA</t>
  </si>
  <si>
    <t>Avancemos en Educación Inicial Integral</t>
  </si>
  <si>
    <t>1.1</t>
  </si>
  <si>
    <t>Promover acciones que potencialicen el desarrollo integral en los niños y niñas que ingresan al sistema educativo del departamento en el nivel preescolar.</t>
  </si>
  <si>
    <t>Piloto de atención integral en sedes de I. E.  en grado Transición implementado.</t>
  </si>
  <si>
    <t>Número</t>
  </si>
  <si>
    <t>8 (Nuevos)</t>
  </si>
  <si>
    <t>Incremento</t>
  </si>
  <si>
    <t>Mantenimiento</t>
  </si>
  <si>
    <t>Reducción</t>
  </si>
  <si>
    <t>Aumentar el índice de calidad educativa actual, mantener el índice de la permanencia de los estudiantes en los niveles del sistema educativo, mejorar la pertinencia de la educación a la población vulnerable y la cobertura en educación media en los municipios no certificados de Boyacá.</t>
  </si>
  <si>
    <t>Puntaje</t>
  </si>
  <si>
    <t xml:space="preserve">2.1 </t>
  </si>
  <si>
    <t>Calidad Educativa para Avanzar</t>
  </si>
  <si>
    <t>Sedes de I.E.  con tutores educativos, acompañadas.</t>
  </si>
  <si>
    <t>Sedes de I.E.  en lenguas extranjeras, fortalecidas.</t>
  </si>
  <si>
    <t>Estudiantes beneficiados con intervenciones que fomentan el desarrollo de competencias comunicativas y literarias.</t>
  </si>
  <si>
    <t>Sedes de I.E. con estrategias innovadoras de aprendizaje implementadas.</t>
  </si>
  <si>
    <t>Sedes de I.E. con proyectos pedagógicos productivos y/o emprendimientos apoyados.</t>
  </si>
  <si>
    <t>Docentes y directivos docentes capacitados.</t>
  </si>
  <si>
    <t>Encuentros formativos brindados a familias de estudiantes del nivel básica y media, desarrollados</t>
  </si>
  <si>
    <t>2.2</t>
  </si>
  <si>
    <t xml:space="preserve"> Permanencia Educativa para Avanzar</t>
  </si>
  <si>
    <t>Implementar estrategias para mantener la permanencia y continuidad de los estudiantes, en los diferentes niveles de formación en las IE de los municipios no certificados del departamento de Boyacá.</t>
  </si>
  <si>
    <t>Nuevas sedes de I.E. con ambientes escolares dotados.</t>
  </si>
  <si>
    <t>Estudiantes beneficiados con infraestructura física construida y/o adecuada y/o mantenida en sedes de I.E.</t>
  </si>
  <si>
    <t>Piloto I.E. en municipios frontera etc. implementado.</t>
  </si>
  <si>
    <t>Piloto en I.E. de educación por ciclos implementado.</t>
  </si>
  <si>
    <t>Tasa de reprobación mantenida.</t>
  </si>
  <si>
    <t>500 (Nuevos)</t>
  </si>
  <si>
    <t>2.3</t>
  </si>
  <si>
    <t>Educación a Población Vulnerable para Avanzar.</t>
  </si>
  <si>
    <t>Propender por el acceso y permanencia al sistema educativo de la población vulnerable, brindando atención diferencial de acuerdo a los requerimientos o necesidades.</t>
  </si>
  <si>
    <t>Plan piloto de atención especial a población en extrema pobreza (estrato 0) implementado.</t>
  </si>
  <si>
    <t>Estudiantes víctimas del conflicto armado, dotados con kit escolar.</t>
  </si>
  <si>
    <t xml:space="preserve">P.P </t>
  </si>
  <si>
    <t xml:space="preserve">58
(0,8 P.P Nuevos) </t>
  </si>
  <si>
    <t>2.4</t>
  </si>
  <si>
    <t>Educación Media y Técnica para Avanzar</t>
  </si>
  <si>
    <t>I.E. beneficiadas con estrategias de articulación a la educación superior.</t>
  </si>
  <si>
    <t>I.E. con reorientación de oferta educativa técnica y/o académica pertinente.</t>
  </si>
  <si>
    <t>Plan piloto de apoyo a iniciativas estudiantiles, implementado.</t>
  </si>
  <si>
    <t>I.E. con estrategias de orientaciones socio-ocupacional, fortalecidas.</t>
  </si>
  <si>
    <t>Escuelas normales con estrategias de calidad, mantenidas.</t>
  </si>
  <si>
    <t>40 (Nuevos)</t>
  </si>
  <si>
    <t xml:space="preserve">Disminución de la brecha de cobertura neta entre zona urbana y rural en educación preescolar, básica y media. </t>
  </si>
  <si>
    <t xml:space="preserve">76
(-2 P.P) </t>
  </si>
  <si>
    <t>3.1</t>
  </si>
  <si>
    <t>Educación Rural para Avanzar</t>
  </si>
  <si>
    <t>I.E. beneficiada con programa de emisoras escolares comunitarias</t>
  </si>
  <si>
    <t>Piloto en sedes rurales con prestación de servicio educativo integral, implementado.</t>
  </si>
  <si>
    <t>300 (Nuevos)</t>
  </si>
  <si>
    <t>Ofrecer un servicio educativo pertinente y con calidad, mediante el reconocimiento de la diversidad lingüística y cultural de las comunidades étnicas en el departamento de Boyacá.</t>
  </si>
  <si>
    <t>55
(10 P.P Nuevos)</t>
  </si>
  <si>
    <t>4.1</t>
  </si>
  <si>
    <t>Shita Siwika - Estudiobadaw - Escuela para Avanzar</t>
  </si>
  <si>
    <t>Estudiantes de I.E. con población étnica, beneficiados con dotación pedagógica y/o didáctica pertinente.</t>
  </si>
  <si>
    <t xml:space="preserve">Estudiantes beneficiados con actividades artísticas, culturales y deportivas </t>
  </si>
  <si>
    <t>I.E con cátedra de estudios Afrocolombianos (CEA), fortalecida.</t>
  </si>
  <si>
    <t xml:space="preserve">Departamento del Conocimiento y Ciudades Universitarias </t>
  </si>
  <si>
    <t>Fortalecer la educación superior en el departamento y la creación de redes intersectoriales locales, regionales a nivel nacional donde converjan todos los actores para potenciar el desarrollo del departamento de Boyacá</t>
  </si>
  <si>
    <t>Tasa de tránsito inmediato a la educación superior incrementada</t>
  </si>
  <si>
    <t>45
(3 P.P Nuevos</t>
  </si>
  <si>
    <t>5.1</t>
  </si>
  <si>
    <t>Educación Superior para Avanzar</t>
  </si>
  <si>
    <t>Acciones de articulación interinstitucional entre los actores sociales de educación, realizadas.</t>
  </si>
  <si>
    <t xml:space="preserve">Ofrecer un servicio a la comunidad educativa y ciudadanía en general de forma eficiente y eficaz, a través del mejoramiento de las condiciones de trabajo del personal adscrito a la secretaría </t>
  </si>
  <si>
    <t>Satisfacción del servicio</t>
  </si>
  <si>
    <t>100
(4 P.P Nuevos)</t>
  </si>
  <si>
    <t>6.1</t>
  </si>
  <si>
    <t>Gestión Educativa para Avanzar</t>
  </si>
  <si>
    <t>Acciones de presencia institucional a través de núcleos educativos en I.E oficiales y privadas.</t>
  </si>
  <si>
    <t xml:space="preserve">22
(6.80 P.P Nuevos) </t>
  </si>
  <si>
    <t xml:space="preserve">253,5
(0.5 P. P Nuevos) </t>
  </si>
  <si>
    <t>CÓDIGO SECTOR</t>
  </si>
  <si>
    <t>LÍNEA BASE</t>
  </si>
  <si>
    <t>N° RESULTADO</t>
  </si>
  <si>
    <t>N° PRODUCTO</t>
  </si>
  <si>
    <t xml:space="preserve">Mejorar las   condiciones de salud de los boyacenses, mediante la acción coordinada a nivel sectorial e intersectorial, desarrollando acciones conjuntas de promoción de la salud, prevención de la enfermedad y gestión de las necesidades de salud de las personas y comunidades.  </t>
  </si>
  <si>
    <t>7.1</t>
  </si>
  <si>
    <t>Avancemos en las Prioridades en Salud Pública</t>
  </si>
  <si>
    <t>Liderar y gestionar intervenciones en salud sectoriales e intersectoriales que cubran permanentemente a los ciudadanos, mitigando los impactos de la carga de la enfermedad sobre los años de vida saludables y manteniendo o restableciendo el nivel más alto posible de salud y bienestar, en los entornos en donde transcurre la vida de las personas, familias y comunidades.</t>
  </si>
  <si>
    <t>Cobertura de la vigilancia de la calidad del agua en área urbana.</t>
  </si>
  <si>
    <t>Cobertura de la vigilancia de la calidad del agua en área rural.</t>
  </si>
  <si>
    <t>Municipios con mapas de riesgo de la calidad del agua, construidos.</t>
  </si>
  <si>
    <t>Municipios con estrategia de entornos saludables implementada.</t>
  </si>
  <si>
    <t>ESE con seguimiento a las acciones de prevención y detección temprana, de las enfermedades no transmisibles y de las alteraciones auditivas.</t>
  </si>
  <si>
    <t>Municipios con estrategia de ciudades, entornos y ruralidades saludables, implementada.</t>
  </si>
  <si>
    <t>Municipios con acciones colectivas para la prevención de las alteraciones de salud bucal, desarrolladas.</t>
  </si>
  <si>
    <t>Política pública de salud mental formulada e implementada</t>
  </si>
  <si>
    <t>Municipios con política de salud mental implementada.</t>
  </si>
  <si>
    <t>Municipio con ruta integral de atención para personas con consumo de alcohol o sustancias psicoactivas, implementada.</t>
  </si>
  <si>
    <t>Programa departamental para el manejo y rehabilitación de consumidores de sustancias psicoactivas, implementado.</t>
  </si>
  <si>
    <t>Municipios con estrategias de prevención, detección temprana, control y seguimiento de presunto feminicidio.</t>
  </si>
  <si>
    <t>Familias con niños menores de 8 años con prácticas de crianza positiva y normativas.</t>
  </si>
  <si>
    <t>Empresas Sociales del Estado con asistencia técnica para la adopción de la ruta integral de atención a la desnutrición aguda, en menores de 5 años</t>
  </si>
  <si>
    <t>Municipios que desarrollan planes de seguridad alimentaria y nutricional.</t>
  </si>
  <si>
    <t>Tamizaje nutricional a menores de cinco años, desarrollado.</t>
  </si>
  <si>
    <t>Empresas Sociales del Estado con estrategias para mejorar sus prácticas de atención en salud y nutrición materna e infantil, implementadas.</t>
  </si>
  <si>
    <t>Restaurantes de centros de desarrollo infantil con cumplimiento de requisitos higiénico sanitarios.</t>
  </si>
  <si>
    <t>Restaurantes escolares de las instituciones públicas con cumplimiento de requisitos higiénico sanitarios.</t>
  </si>
  <si>
    <t>Municipios con rutas intersectoriales para el abordaje integral de las violencias de género, implementadas.</t>
  </si>
  <si>
    <t>Servicios amigables para adolescentes y jóvenes fortalecidos.</t>
  </si>
  <si>
    <t>Nacidos vivos con 4 o más controles prenatales.</t>
  </si>
  <si>
    <t>Partos atendidos en IPS.</t>
  </si>
  <si>
    <t>Municipios con plan de respuesta ante las ITS, el VIH, la coinfección TB/VIH y las Hepatitis B y C, implementado.</t>
  </si>
  <si>
    <t>Personas con tuberculosis tratadas.</t>
  </si>
  <si>
    <t>Personas con enfermedad de Hansen tratadas.</t>
  </si>
  <si>
    <t>Niños de 5 años vacunados.</t>
  </si>
  <si>
    <t>Menores de 1 año vacunados.</t>
  </si>
  <si>
    <t>Municipios con programas de prevención y atención de enfermedades respiratorias y diarreicas agudas, implementados.</t>
  </si>
  <si>
    <t>Municipios certificados como libres de Chagas.</t>
  </si>
  <si>
    <t>Municipios con estrategia de gestión integrada de vectores, implementada.</t>
  </si>
  <si>
    <t>Cobertura de vacunación antirrábica en caninos y felinos.</t>
  </si>
  <si>
    <t>Empresas Sociales del Estado con adherencia a protocolos y guías para la atención de enfermedades zoonóticas.</t>
  </si>
  <si>
    <t>Hospitales con medición del índice de seguridad hospitalaria.</t>
  </si>
  <si>
    <t>Trabajadores del sector informal de la economía, caracterizados en condiciones de salud y trabajo.</t>
  </si>
  <si>
    <t xml:space="preserve">7.2 </t>
  </si>
  <si>
    <t>Avanzando en el Fortalecimiento de la Autoridad Sanitaria</t>
  </si>
  <si>
    <t>Avanzar en el liderazgo y posicionamiento de la agenda sectorial e intersectorial, para afectar positivamente los determinantes sociales de la salud, mediante el fortalecimiento de las capacidades para la regulación, conducción, gestión financiera, vigilancia epidemiológica, movilización social, garantía del aseguramiento y la provisión adecuada de los servicios con enfoque diferencial.</t>
  </si>
  <si>
    <t>Municipios fortalecidos en capacidades para la atención integral con enfoque diferencial a poblaciones vulnerables.</t>
  </si>
  <si>
    <t>Personas con registro de localización y caracterización con discapacidad, actualizado.</t>
  </si>
  <si>
    <t>IPS autorizadas para certificar la discapacidad.</t>
  </si>
  <si>
    <t>Municipios con rutas de atención integral con enfoque etnocultural, implementadas.</t>
  </si>
  <si>
    <t>Eventos de interés en salud pública -EISP notificados.</t>
  </si>
  <si>
    <t>Laboratorio departamental de salud con índices de cumplimiento de estándares de habilitación, incrementado.</t>
  </si>
  <si>
    <t>Establecimientos farmacéuticos con cumplimiento de requisitos verificados.</t>
  </si>
  <si>
    <t>IPS asistidas técnicamente en el proceso de acreditación.</t>
  </si>
  <si>
    <t>Prestadores con política de seguridad del paciente, implementada.</t>
  </si>
  <si>
    <t>ESE con equilibrio fiscal y financiero.</t>
  </si>
  <si>
    <t>ESE con servicio de telemedicina.</t>
  </si>
  <si>
    <t>Prestadores certificados en sistema de habilitación.</t>
  </si>
  <si>
    <t>Cobertura de afiliación al sistema de salud.</t>
  </si>
  <si>
    <t>ESE con infraestructura o dotación hospitalaria mejorada.</t>
  </si>
  <si>
    <t>Municipios con proceso de planeación integral en salud, acompañados.</t>
  </si>
  <si>
    <t>Municipios con espacios de participación social, fortalecidos.</t>
  </si>
  <si>
    <t>Política de atención integral en salud, implementada.</t>
  </si>
  <si>
    <t>7.3</t>
  </si>
  <si>
    <t>Avancemos en Salud Contra el COVID19</t>
  </si>
  <si>
    <t>Organizar la prestación de servicios de salud para la atención de la pandemia y la emergencia sanitaria a causa del SARS-CoV-2 (COVID 19) en el departamento.</t>
  </si>
  <si>
    <t>Oferta y disponibilidad de camas de unidades de cuidado intensivo e intermedio para la atención del COVID19, controlada.</t>
  </si>
  <si>
    <t>Casos de COVID19 con acciones de vigilancia en salud pública.</t>
  </si>
  <si>
    <t>Área de biología molecular implementada en el laboratorio de salud pública para la vigilancia de SARS-CoV2 por PCR-RT</t>
  </si>
  <si>
    <t>Prestadores de la red de laboratorios y toma de muestras, asistidos técnicamente y con seguimiento para la vigilancia por laboratorio de SARS COV-2.</t>
  </si>
  <si>
    <t>Estudios poblacionales y/o producción científica asociada a la vigilancia del comportamiento del SARS-CoV-2 y otros patógenos asociados a IRA, desarrollados.</t>
  </si>
  <si>
    <t>Unidades de cuidado intensivo, dotadas para la atención del COVID19.</t>
  </si>
  <si>
    <t>Hábitat Construido Adaptados al Medio Ambiente</t>
  </si>
  <si>
    <t>Reducir el déficit habitacional, disminuyendo la inequidad social para garantizar vivienda digna y condiciones básicas de bienestar a las familias boyacenses.</t>
  </si>
  <si>
    <t xml:space="preserve">29,13
(-0,47 P.P) </t>
  </si>
  <si>
    <t xml:space="preserve">5,1
(0,5 P.P) </t>
  </si>
  <si>
    <t>8.1</t>
  </si>
  <si>
    <t>Hábitat y Sostenibilidad Rural</t>
  </si>
  <si>
    <t>Asignar beneficios mediante subsidios para la construcción y mejoramiento de vivienda nueva campesina, que incluya alternativas sostenibles.</t>
  </si>
  <si>
    <t>Subsidios para vivienda nueva campesina asignados (10% para familias de grupos poblacionales de interés constitucional).</t>
  </si>
  <si>
    <t>Subsidios para vivienda nueva campesina otorgados a familias de grupos poblacionales de interés constitucional, asignados.</t>
  </si>
  <si>
    <t xml:space="preserve">Subsidios para mejoramiento de vivienda campesina, asignados. </t>
  </si>
  <si>
    <t>Subsidios para mejoramiento de vivienda campesina para familias de grupos poblacionales de interés constitucional, asignados.</t>
  </si>
  <si>
    <t>8.2</t>
  </si>
  <si>
    <t>Hábitat y Sostenibilidad Urbana</t>
  </si>
  <si>
    <t>Asignar beneficios mediante subsidios para el mejoramiento de las condiciones de habitabilidad de las viviendas, acorde a las necesidades, para mejorar las variables asociadas al Índice de Pobreza Multidimensional (IPM), igualmente, asignaremos beneficios complementarios a la población en condición de vulnerabilidad, para acceder a vivienda digna y sostenible de calidad, mostrando incentivación en construcción de vivienda vis y/o vip en el área urbana del departamento</t>
  </si>
  <si>
    <t>Subsidios para mejoramiento de vivienda urbana, otorgados.</t>
  </si>
  <si>
    <t>Subsidios para mejoramiento de vivienda urbana   a familias de grupos poblacionales de interés constitucional, otorgados.</t>
  </si>
  <si>
    <t>Subsidios para vivienda nueva otorgados en el departamento.</t>
  </si>
  <si>
    <t>8.3</t>
  </si>
  <si>
    <t>Hábitat de Emergencia</t>
  </si>
  <si>
    <t xml:space="preserve">Apoyar técnica y administrativamente a las familias con viviendas afectadas por desastres naturales; (ola invernal, desplazamientos, vendavales, incendios forestales, etc.) y/o que se encuentren ubicados en zonas de alto riesgo, mediante asistencia técnica para valoraciones en daños, ya sea como requerimientos de rehabilitación estructural o formulación de proyectos para reubicación.  </t>
  </si>
  <si>
    <t>8.4</t>
  </si>
  <si>
    <t>Banco de Información de Vivienda Departamental</t>
  </si>
  <si>
    <t>Crear y promover la continua actualización del banco de información de vivienda departamental, y la red de información de beneficios otorgados en los 123 municipios del departamento.</t>
  </si>
  <si>
    <t>Edificaciones, Espacios Públicos y Equipamientos Adaptados al Medio Ambiente.</t>
  </si>
  <si>
    <t>30 (Nuevos)</t>
  </si>
  <si>
    <t>9.1</t>
  </si>
  <si>
    <t>Boyacá Avanza en Edificaciones, Espacios Públicos y Equipamientos</t>
  </si>
  <si>
    <t xml:space="preserve">Boyacá Avanza en Cobertura de Energía y Gas </t>
  </si>
  <si>
    <t>Ampliar la cobertura de energía eléctrica y gas en cabeceras municipales, centros poblados y zonas rurales del departamento de Boyacá.</t>
  </si>
  <si>
    <t>Nuevas viviendas con servicio de energía eléctrica, instalado.</t>
  </si>
  <si>
    <t>10.1</t>
  </si>
  <si>
    <t>Plan de Expansión de Energía Eléctrica</t>
  </si>
  <si>
    <t>Asesorar procesos de expansión de infraestructura eléctrica.</t>
  </si>
  <si>
    <t>10.2</t>
  </si>
  <si>
    <t>Energía Eléctrica para Zonas de Difícil Acceso</t>
  </si>
  <si>
    <t>Suministrar energía eléctrica a viviendas en zonas de difícil acceso.</t>
  </si>
  <si>
    <t>1 (Nuevo)</t>
  </si>
  <si>
    <t>2000 (Nuevos)</t>
  </si>
  <si>
    <t>10.3</t>
  </si>
  <si>
    <t>Gasificación Domiciliaria</t>
  </si>
  <si>
    <t>Conectar usuarios al servicio de gas natural domiciliario.</t>
  </si>
  <si>
    <t>Proyectos de gasificación domiciliaria formulados, cofinanciados y ejecutados.</t>
  </si>
  <si>
    <t>Boyacá Avanza por la Inclusión</t>
  </si>
  <si>
    <t>Personas con discapacidad incluidas en programas, proyectos, procesos y acciones institucionales.</t>
  </si>
  <si>
    <t>8.404 (Nuevos)</t>
  </si>
  <si>
    <t>11.1</t>
  </si>
  <si>
    <t>Rompiendo Barreras</t>
  </si>
  <si>
    <t>Fomentar acciones que lleven a la promoción y cumplimiento de la normatividad y las políticas públicas a fin de mitigar las barreras de conocimiento, actitudinales, arquitectónicas y comunicacionales para fortalecer la participación de las PcD, sus familias y cuidadores.</t>
  </si>
  <si>
    <t>Municipios asistidos técnicamente dentro del sistema territorial de discapacidad.</t>
  </si>
  <si>
    <t>Acciones del Sistema Departamental de discapacidad de seguimiento fortalecidas.</t>
  </si>
  <si>
    <t>Grupo de aprendizaje de lengua de señas implementado.</t>
  </si>
  <si>
    <t>Acciones intersectoriales de articulación para la implementación de la Política Pública Departamental de Discapacidad realizadas.</t>
  </si>
  <si>
    <t>Fondo para la discapacidad de Boyacá creado y operando.</t>
  </si>
  <si>
    <t>11.2</t>
  </si>
  <si>
    <t>Empoderamiento Incluyente</t>
  </si>
  <si>
    <t>Boyacá Avanza en el Reconocimiento de la Población Migrante.</t>
  </si>
  <si>
    <t>Garantizar el respeto de los derechos humanos de la población migrante en el departamento de Boyacá.</t>
  </si>
  <si>
    <t>Plan integral de atención a la población migrante, implementado</t>
  </si>
  <si>
    <t>12.1</t>
  </si>
  <si>
    <t>Boyacá Avanza en la Protección de Derechos de la Población Migrante del Departamento</t>
  </si>
  <si>
    <t>Crear una estrategia que permita mejorar el bienestar de la población migrante del departamento.</t>
  </si>
  <si>
    <t xml:space="preserve">Estrategia de protección de los derechos de la población migrante del departamento, formulada. </t>
  </si>
  <si>
    <t>Plan de sensibilización social a través del sistema educativo y medios de comunicación para la prevención de la xenofobia realizado.</t>
  </si>
  <si>
    <t xml:space="preserve">Estrategias de sensibilización y capacitación a grupos sociales en el respeto de los derechos de la población migrante articuladas con Personerías Municipales. </t>
  </si>
  <si>
    <t>Avanzamos por la Equidad y la Igualdad de las Mujeres Boyacenses</t>
  </si>
  <si>
    <t>Mujeres y niñas beneficiadas con acciones de política pública para la superación de brechas.</t>
  </si>
  <si>
    <t>20.000 (Nuevos)</t>
  </si>
  <si>
    <t>13.1</t>
  </si>
  <si>
    <t>Promoción de la Garantía y Seguimiento de los Derechos de las Mujeres Boyacenses</t>
  </si>
  <si>
    <t>Generar espacios para el ejercicio del derecho a la participación incidente y efectiva de las mujeres y el fortalecimiento de sus capacidades.</t>
  </si>
  <si>
    <t>Política Pública de mujer y género del departamento implementada.</t>
  </si>
  <si>
    <t>Instancia de género departamental tendiente a fortalecer las condiciones que permitan alcanzar la igualdad para las mujeres, conformada.</t>
  </si>
  <si>
    <t>Redes y organizaciones de mujeres boyacenses creadas y fortalecidas.</t>
  </si>
  <si>
    <t>Escuela de formación y liderazgo para las mujeres boyacenses fortalecida.</t>
  </si>
  <si>
    <t>Trazador presupuestal con enfoque de género y garantía de derechos de las mujeres implementado.</t>
  </si>
  <si>
    <t>Mujeres Rurales Avanzando en la Superación de Brechas</t>
  </si>
  <si>
    <t>Plan de acción para las mujeres rurales implementado.</t>
  </si>
  <si>
    <t>Política pública departamental de Mujer Rural formulada.</t>
  </si>
  <si>
    <t>13.3</t>
  </si>
  <si>
    <t>Avanzando en el Desarrollo de la Autonomía Económica de las Mujeres Boyacenses</t>
  </si>
  <si>
    <t>Apuestas productivas e innovadoras implementadas.</t>
  </si>
  <si>
    <t>Jornadas de formación en formulación de proyectos productivos para mujeres y hogares, realizadas.</t>
  </si>
  <si>
    <t>4 (Nuevos)</t>
  </si>
  <si>
    <t>13.4</t>
  </si>
  <si>
    <t>Mujer Boyacense Libre de Violencias</t>
  </si>
  <si>
    <t>Implementar estrategias para transformar estereotipos negativos y peyorativos infundados culturalmente, que propician prácticas de violencia en contra de las mujeres y las niñas.</t>
  </si>
  <si>
    <t>Estrategias de transformación de imaginarios sociales y culturales que naturalizan la violencia, mantenidas e implementadas.</t>
  </si>
  <si>
    <t>Comité para el abordaje integral de violencias de género fortalecido y operando.</t>
  </si>
  <si>
    <t>Estrategia para la promoción de     la paridad de género y la inclusión en la agenda pública de la mejora integral de las condiciones de las mujeres y las niñas diseñada e implementada.</t>
  </si>
  <si>
    <t>Avanzando en el Reconocimiento y Garantía de los Derechos de las Personas Adultas Mayores.</t>
  </si>
  <si>
    <t>Implementar procesos de coordinación interinstitucional e intersectorial que permitan el reconocimiento, la garantía y el restablecimiento de los derechos de los adultos mayores en el departamento de Boyacá.</t>
  </si>
  <si>
    <t>Personas adultas mayores atendidas con programas y estrategias para la garantía de derechos que permitan la valoración y reconocimiento de saberes.</t>
  </si>
  <si>
    <t>14.1</t>
  </si>
  <si>
    <t>Avanzando en el Fortalecimiento Institucional, el Buen Trato y la Prevención de la Violencia Contra la Persona Mayor</t>
  </si>
  <si>
    <t>Fortalecer las capacidades institucionales que permitan brindar una efectiva garantía de los derechos del adulto mayor, así como promover su bienestar.</t>
  </si>
  <si>
    <t>Estrategia para la financiación y cofinanciación orientadas al bienestar de la persona adulto mayor fortalecida.</t>
  </si>
  <si>
    <t>14.2</t>
  </si>
  <si>
    <t>Fortalecimiento de los Centros de Atención de la Persona Adulta Mayor</t>
  </si>
  <si>
    <t>Brindar herramientas que permitan la construcción de un diagnóstico situacional y el aprovechamiento productivo del tiempo y las capacidades de las personas adultas mayores en los centros de atención.</t>
  </si>
  <si>
    <t>Centros de protección con programa de fortalecimiento a la atención y el aprovechamiento productivo del tiempo libre, implementados.</t>
  </si>
  <si>
    <t>14.3</t>
  </si>
  <si>
    <t>Reconocimiento, Participación y Voluntariado de los Tesoros Humanos Vivos.</t>
  </si>
  <si>
    <t>Desarrollar espacios para el reconocimiento, la recreación y la participación de las personas adultas mayores del departamento.</t>
  </si>
  <si>
    <t>Espacios de formación de las personas adultas mayores diseñados e implementados.</t>
  </si>
  <si>
    <t>Instancias de voluntariado, participación y veedurías en beneficio de las personas adultas mayores conformadas y dinamizadas.</t>
  </si>
  <si>
    <t>Boyacá Avanza en el Reconocimiento de Derechos de la Población Diversa</t>
  </si>
  <si>
    <t>Plan Estratégico integral de atención a la Población con identidad de género y orientaciones sexuales diversas formulado</t>
  </si>
  <si>
    <t>Reconocer y promover la garantía de los derechos de la población con identidad de género y orientación sexual diversa del departamento.</t>
  </si>
  <si>
    <t>15.1</t>
  </si>
  <si>
    <t>Boyacá Diversa e Incluyente.</t>
  </si>
  <si>
    <t>Política Pública para la población con orientación sexual   e identidades de género diverso formulada.</t>
  </si>
  <si>
    <t>Estrategia para la participación de la población LGTBI en el comité departamental fortalecida e implementada.</t>
  </si>
  <si>
    <t>1.- Fin de la Pobreza</t>
  </si>
  <si>
    <t>2.- Hambre cero</t>
  </si>
  <si>
    <t>3.- Salud y Bienestar</t>
  </si>
  <si>
    <t xml:space="preserve">4.- Educación de Calidad </t>
  </si>
  <si>
    <t>5.- Igualdad de Género</t>
  </si>
  <si>
    <t>6.- Agua Limpia y Saneamiento</t>
  </si>
  <si>
    <t>7.- Energía Asequible y No Contaminante</t>
  </si>
  <si>
    <t>8.- Trabajo Decente y Crecimiento Económico</t>
  </si>
  <si>
    <t>9.- Industria, Innovación e infraestructura</t>
  </si>
  <si>
    <t xml:space="preserve">10.- Reducción de las desigualdades </t>
  </si>
  <si>
    <t>11.-  Ciudades y Comunidades sostenibles.</t>
  </si>
  <si>
    <t>12.- Producción y Consumo Responsables</t>
  </si>
  <si>
    <t>13.- Acción por el Clima</t>
  </si>
  <si>
    <t>14.- Vida Submarina</t>
  </si>
  <si>
    <t xml:space="preserve">15.- Vida de Ecosistemas terrestres </t>
  </si>
  <si>
    <t>16.- Paz, Justicia e Instituciones Sólidas</t>
  </si>
  <si>
    <t>17.- Alianzas para Lograr Objetivos</t>
  </si>
  <si>
    <t>Boyacá Lidera la Gestión Social Integral</t>
  </si>
  <si>
    <t>16.1</t>
  </si>
  <si>
    <t>Avanzando en el Fortalecimiento de la Gestión Social Integral.</t>
  </si>
  <si>
    <t>Consejo departamental de política social acorde a lineamientos de orden nacional operativizado.</t>
  </si>
  <si>
    <t>Consejos municipales de política social asistidos técnicamente.</t>
  </si>
  <si>
    <t>Encuentros departamentales y municipales para fortalecer la gestión social integral, realizados.</t>
  </si>
  <si>
    <t>Instancias de operación del sistema de gestión social monitoreado</t>
  </si>
  <si>
    <t xml:space="preserve"> Boyacá Avanza por la Primera Infancia.</t>
  </si>
  <si>
    <t>Fortalecer la atención integral a la primera infancia del departamento de Boyacá en los entornos hogar, salud, educación y espacio público.</t>
  </si>
  <si>
    <t>Cobertura de Atención Integral de niños y niñas de cero a cinco años en los entornos hogar, salud, educación y espacio público en el departamento de Boyacá.</t>
  </si>
  <si>
    <t>17.1</t>
  </si>
  <si>
    <t>Avanzamos en Entornos Protectores para la Primera Infancia.</t>
  </si>
  <si>
    <t>Incrementar la capacidad física de los escenarios pedagógicos, lúdicos y recreativos que permitan el desarrollo integral de los niños y niñas de primera infancia.</t>
  </si>
  <si>
    <t>Unidades de servicios de bienestar familiar dotados.</t>
  </si>
  <si>
    <t>Parques infantiles especializados para la primera infancia instalados.</t>
  </si>
  <si>
    <t>Actividades lúdico pedagógicas al interior de la ludoteca móvil desarrolladas.</t>
  </si>
  <si>
    <t>Salas de lectura y lúdica especializadas para la Primera Infancia, dotadas.</t>
  </si>
  <si>
    <t>17.2</t>
  </si>
  <si>
    <t>Boyacá Avanza en Salud y Nutrición para la Primera Infancia</t>
  </si>
  <si>
    <t>Desarrollar acciones para incrementar ambientes protegidos y protectores para la primera infancia y otras poblaciones.</t>
  </si>
  <si>
    <t>Familias beneficiadas con estrategias de prevención en salud y nutrición.</t>
  </si>
  <si>
    <t>Municipios monitoreados en la implementación de la estrategia “Epigenética y neurodesarrollo para Boyacá”.</t>
  </si>
  <si>
    <t>1.000 (Nuevos)</t>
  </si>
  <si>
    <t>17.3</t>
  </si>
  <si>
    <t>Boyacá Avanza por más Instituciones Amigas de la Primera Infancia</t>
  </si>
  <si>
    <t xml:space="preserve">Política Pública Departamental de primera infancia formulada y radicada ante la Asamblea. </t>
  </si>
  <si>
    <t>Municipios cualificados en atención integral a la primera infancia en articulación con instituciones de formación.</t>
  </si>
  <si>
    <t>Municipios con Sistema único de información del nuevo ciudadano boyacense (SUINCB) actualizado.</t>
  </si>
  <si>
    <t>Mesas técnicas municipales de primera infancia fortalecidas.</t>
  </si>
  <si>
    <t xml:space="preserve"> Boyacá Sigue Avanzando Hacia una Tierra Amiga y Libre de Violencias para la Infancia y la Adolescencia.</t>
  </si>
  <si>
    <t>Tasa de violencia hacia niños, niñas y adolescentes de 6 a 17 años de edad reducida.</t>
  </si>
  <si>
    <t>Garantizar una vida libre de violencias a las niñas, niños y adolescentes del departamento de Boyacá.</t>
  </si>
  <si>
    <t>69,1
(-7,7)</t>
  </si>
  <si>
    <t>18.1</t>
  </si>
  <si>
    <t>Fortaleciendo Entornos de Convivencia Pacífica para la Infancia y la Adolescencia</t>
  </si>
  <si>
    <t>Generar y promover espacios y herramientas   que contribuyan al bienestar integral de la infancia y la adolescencia en el departamento, con énfasis en la ruralidad.</t>
  </si>
  <si>
    <t xml:space="preserve">Padres de familia y/o cuidadores beneficiados. </t>
  </si>
  <si>
    <t>Personas beneficiadas mediante la estrategia en el entorno educativo y comunitario.</t>
  </si>
  <si>
    <t>Personas beneficiadas mediante la estrategia para reducir la violencia sexual hacia las niñas, niños y adolescentes.</t>
  </si>
  <si>
    <t>Seguimos Afianzando Proyectos de Vida desde la Infancia y la Adolescencia.</t>
  </si>
  <si>
    <t>Niños, niñas y adolescentes beneficiados con estrategias para la prevención de embarazo y el consumo de sustancias psicoactivas.</t>
  </si>
  <si>
    <t>1.500 (Nuevos)</t>
  </si>
  <si>
    <t>Adolescentes beneficiados en alternativas para el fortalecimiento de proyectos de vida y uso del tiempo libre</t>
  </si>
  <si>
    <t>6000 (Nuevos)</t>
  </si>
  <si>
    <t>19.1</t>
  </si>
  <si>
    <t>Desarrollando y Descubriendo Talentos.</t>
  </si>
  <si>
    <t xml:space="preserve">Potenciar las habilidades, talentos y capacidades para el fortalecimiento integral de la infancia y la adolescencia y su incidencia en el desarrollo social. </t>
  </si>
  <si>
    <t>Estrategias elaboradas para la construcción de habilidades.</t>
  </si>
  <si>
    <t>Estrategias de prevención de embarazo adolescente, consumo de sustancias psicoactivas, y conductas que afectan la salud mental desarrolladas.</t>
  </si>
  <si>
    <t xml:space="preserve">Procesos de fortalecimiento en prácticas amorosas y de crianza realizados. </t>
  </si>
  <si>
    <t>Avanzando para Cumplir Sueños con Cero Trabajo Infantil</t>
  </si>
  <si>
    <t>Disminuir el trabajo infantil a través de una línea de política pública que vincule los sectores sociales y económicos del departamento.</t>
  </si>
  <si>
    <t>Niños, niñas y adolescentes atendidos para la reducción del trabajo infantil.</t>
  </si>
  <si>
    <t>20.1</t>
  </si>
  <si>
    <t>En Boyacá la Niñez Trabaja sus Proyectos de Vida Imaginando, Aprendiendo y Jugando en Armonía Familiar.</t>
  </si>
  <si>
    <t>Familias apoyadas en el desarrollo de iniciativas productivas para la disminución del trabajo infantil.</t>
  </si>
  <si>
    <t>Estrategia para la prevención y transformación de imaginarios culturales, desarrollada.</t>
  </si>
  <si>
    <t>Niñas, niños y adolescentes en riesgo y en trabajo infantil beneficiados con estrategias para el fortalecimiento de habilidades para la vida.</t>
  </si>
  <si>
    <t>Línea de Política Pública Departamental para la prevención y erradicación del trabajo infantil, formulada y presentada ante la Asamblea Departamental.</t>
  </si>
  <si>
    <t>Niños, niñas y adolescentes migrantes y de vida en calle, beneficiados con estrategias para la promoción en la garantía de sus   derechos.</t>
  </si>
  <si>
    <t>Fortalecer capacidades institucionales para mejorar la gestión pública hacia la garantía y restablecimiento de los derechos de la infancia y la adolescencia</t>
  </si>
  <si>
    <t>21.1</t>
  </si>
  <si>
    <t>Avanzando en el Fortalecimiento Institucional para la Garantía de Derechos de la Infancia y la Adolescencia.</t>
  </si>
  <si>
    <t>Implementar acciones estratégicas interinstitucionales para la garantía y restablecimiento de derechos, en el marco de la   y atención integral de la infancia y la adolescencia.</t>
  </si>
  <si>
    <t>Política Pública Departamental de infancia y adolescencia actualizada, difundida y en proceso de implementación.</t>
  </si>
  <si>
    <t>Instancias de operación y desarrollo técnico en política pública de infancia y adolescencia, acompañadas y asistidas.</t>
  </si>
  <si>
    <t>Comisarías de familia fortalecidas en la garantía y restablecimiento de derechos.</t>
  </si>
  <si>
    <t>Comisarías de familia con herramienta informática de monitoreo a los procesos de restablecimiento de derechos.</t>
  </si>
  <si>
    <t>Rutas de Atención Integral a la infancia y la adolescencia en articulación institucional diseñadas e implementadas.</t>
  </si>
  <si>
    <t>Boyacá Avanza en el Fortalecimiento del Sistema de Responsabilidad Penal Adolescente</t>
  </si>
  <si>
    <t>Desarrollar acciones e iniciativas que prevengan la comisión de delitos por parte de los niños, niñas y adolescentes, interviniendo en ámbitos comunitarios, familiares e institucionales del departamento de Boyacá.</t>
  </si>
  <si>
    <t>Delitos cometidos por la población adolescente entre 14 a 18 años, medido de acuerdo a los ingresos al sistema de responsabilidad penal disminuidos.</t>
  </si>
  <si>
    <t>242
(-160)</t>
  </si>
  <si>
    <t>22.1</t>
  </si>
  <si>
    <t>Boyacá Avanza en la Cultura de la Legalidad con los Niños, Niñas. Adolescentes, Familias y Comunidades.</t>
  </si>
  <si>
    <t>Talleres de prevención de los delitos diseñados y desarrollados.</t>
  </si>
  <si>
    <t>Escuelas de formación deportiva y artística implementadas.</t>
  </si>
  <si>
    <t>22.2</t>
  </si>
  <si>
    <t>Boyacá Avanza y Conoce el Sistema de Responsabilidad Penal Adolescente.</t>
  </si>
  <si>
    <t>Municipios con socialización de Política Pública de previsión y prevención de la infracción a la ley penal de adolescentes.</t>
  </si>
  <si>
    <t>Convenios interinstitucionales con universidades del departamento firmados.</t>
  </si>
  <si>
    <t>22.3</t>
  </si>
  <si>
    <t>Boyacá Avanza en La Protección de los Adolescentes Infractores de la Ley Penal.</t>
  </si>
  <si>
    <t>Apoyar las acciones de prevención a la reincidencia en la comisión de delitos con herramientas como el arte, la cultura y el deporte, involucrando a la familia y al adolescente de manera directa, en el contexto institucional donde transcurre la sanción.</t>
  </si>
  <si>
    <t>Seguimiento a las actividades realizadas por las diferentes instituciones responsables de la construcción del CAE, realizado.</t>
  </si>
  <si>
    <t>Actividades lúdicas con los adolescentes que integran el sistema de responsabilidad y sus familias, realizadas.</t>
  </si>
  <si>
    <t>Procesos de orientación en proyecto de vida a adolescentes en condición de medidas no privativas de la libertad, acompañados.</t>
  </si>
  <si>
    <t>Actividades deportivas con adolescentes que integran el sistema de responsabilidad penal en el CAE, apoyadas.</t>
  </si>
  <si>
    <t>Procesos de formación cultural para los adolescentes que cumplen sanción privativa de la libertad gestionados.</t>
  </si>
  <si>
    <t>Jóvenes Avanzando por Boyacá</t>
  </si>
  <si>
    <t>Fortalecer la participación activa en el sistema departamental de juventud, implementando la política pública en el marco de la Ley 1622 de 2013 modificada por la Ley 1885 de 2018.</t>
  </si>
  <si>
    <t>23.1</t>
  </si>
  <si>
    <t>Jóvenes Avanzando en la Participación</t>
  </si>
  <si>
    <t>Documento de caracterización de la población de juventud elaborado.</t>
  </si>
  <si>
    <t>Capacitaciones para la elección de los Consejos Municipales de Juventud realizadas.</t>
  </si>
  <si>
    <t>Consejos Municipales de Juventud asistidos técnicamente.</t>
  </si>
  <si>
    <t>Plataformas municipales de juventud asistidas técnicamente.</t>
  </si>
  <si>
    <t>Provincias con socialización de la Política Pública de Juventud.</t>
  </si>
  <si>
    <t>Política Pública Departamental de Juventud implementada.</t>
  </si>
  <si>
    <t>Capacitaciones en mecanismos de participación ciudadana con jóvenes realizadas.</t>
  </si>
  <si>
    <t>23.2</t>
  </si>
  <si>
    <t>Avanzando en el Desarrollo Integral y la Inclusión con los Jóvenes en Boyacá.</t>
  </si>
  <si>
    <t>Fomentar la participación y el uso de espacios para el desarrollo integral e inclusión social, garantizando los derechos de los jóvenes del departamento.</t>
  </si>
  <si>
    <t>Estrategia de inclusión de jóvenes con discapacidad desarrollada.</t>
  </si>
  <si>
    <t>Jornadas de capacitación a mujeres jóvenes realizadas.</t>
  </si>
  <si>
    <t>Jóvenes Emprendedores Avanzando por Boyacá.</t>
  </si>
  <si>
    <t>Apoyar, divulgar, promover y fomentar el empleo, el emprendimiento y conformación de organizaciones juveniles para la generación de ingresos a través de la carpeta de estímulos.</t>
  </si>
  <si>
    <t>Emprendimientos y proyectos productivos de los jóvenes, apoyados.</t>
  </si>
  <si>
    <t>24.1</t>
  </si>
  <si>
    <t>Jóvenes Avanzando por la Ruta Laboral.</t>
  </si>
  <si>
    <t>Carpeta de estímulos implementada.</t>
  </si>
  <si>
    <t>Ferias de emprendimiento joven, realizadas.</t>
  </si>
  <si>
    <t>Estrategia de ofertas laborales orientadas a jóvenes en el departamento divulgadas.</t>
  </si>
  <si>
    <t>Iniciativas de jóvenes rurales participando en las rutas turísticas del departamento ejecutadas.</t>
  </si>
  <si>
    <t>24.2</t>
  </si>
  <si>
    <t>Jóvenes Avanzando desde las Estrategias de la Economía Naranja: Todos los Talentos Cuentan para Construir País</t>
  </si>
  <si>
    <t>Estrategia juventud naranja implementada en el departamento.</t>
  </si>
  <si>
    <t>Avanzando en el Fortalecimiento Familiar</t>
  </si>
  <si>
    <t>174,3
(- 19,4)</t>
  </si>
  <si>
    <t>25.1</t>
  </si>
  <si>
    <t>Boyacá Avanza en el Fortalecimiento Institucional en Tema de Familia.</t>
  </si>
  <si>
    <t>Promover la implementación de la política pública de familia en todo el departamento, a través del fortalecimiento de las capacidades de los territorios y el trabajo en red.</t>
  </si>
  <si>
    <t>Municipios asesorados técnicamente en la ejecución de la Política Pública Departamental de familia.</t>
  </si>
  <si>
    <t>Red Departamental de protección a la familia dinamizada.</t>
  </si>
  <si>
    <t>Municipios asesorados para la creación y puesta en funcionamiento de la Política Pública Municipal de familia.</t>
  </si>
  <si>
    <t>Espacios virtuales y presenciales para la formación de las familias diseñados e implementados.</t>
  </si>
  <si>
    <t>25.2</t>
  </si>
  <si>
    <t>Boyacá Avanza Contra la Violencia Intrafamiliar</t>
  </si>
  <si>
    <t>25.3</t>
  </si>
  <si>
    <t>Labrando Juntos se Avanza</t>
  </si>
  <si>
    <t>Familias capacitadas en el fortalecimiento de los vínculos al interior del hogar.</t>
  </si>
  <si>
    <t>Boyacá Sigue Avanzando en el Reconocimiento de su Diversidad Étnica.</t>
  </si>
  <si>
    <t>Promover el ejercicio pleno para la garantía de los derechos humanos de la diversidad étnica del departamento de Boyacá.</t>
  </si>
  <si>
    <t>4
2 (Nuevos)</t>
  </si>
  <si>
    <t>26.1</t>
  </si>
  <si>
    <t>Boyacá Avanza en la Prevención y Protección de la Población Étnica del Departamento.</t>
  </si>
  <si>
    <t>Jornadas de identificación de la comunidad étnica del departamento de Boyacá, realizadas.</t>
  </si>
  <si>
    <t>26.2</t>
  </si>
  <si>
    <t>Comunidades Étnicas Reconocidas y Protegidas en sus Derechos.</t>
  </si>
  <si>
    <t>Política pública indígena formulada</t>
  </si>
  <si>
    <t>Política pública para comunidades Negra, Afrocolombiana, Raizal Palenquera formulada</t>
  </si>
  <si>
    <t>Espacios de participación   para las comunidades étnicas, fortalecidos</t>
  </si>
  <si>
    <t>26.3</t>
  </si>
  <si>
    <t>Participación en Iniciativas Sociales y Productivas para Comunidades Indígenas y Afro</t>
  </si>
  <si>
    <t>Proyectos productivos y sociales implementados en comunidades étnicas.</t>
  </si>
  <si>
    <t>Infraestructuras que permitan el fortalecimiento de resguardos indígenas mejoradas.</t>
  </si>
  <si>
    <t>Procesos de innovación social que permitan el reconocimiento, salvaguarda y la soberanía de los territorios indígenas implementados.</t>
  </si>
  <si>
    <t>Espacios de diálogo intercultural fortalecidos.</t>
  </si>
  <si>
    <t>Avancemos por las Víctimas del Departamento de Boyacá</t>
  </si>
  <si>
    <t>Beneficiar a la población víctima en los componentes de la política pública de víctimas para la garantía y restablecimiento de los derechos, en aras de que el Estado cumpla los preceptos de la Ley 1448 de 2011.</t>
  </si>
  <si>
    <t>70
(10 Nuevos)</t>
  </si>
  <si>
    <t>Avanzamos en la Articulación de la Política Pública de Víctimas.</t>
  </si>
  <si>
    <t>27.1</t>
  </si>
  <si>
    <t>Poner en funcionamiento el comité y sus subcomités departamentales de justicia transicional implementando un plan de acción con enfoque territorial.</t>
  </si>
  <si>
    <t>Comité Departamental de Justicia Transicional, operativizado.</t>
  </si>
  <si>
    <t>Subcomités de Justicia Transicional, funcionando.</t>
  </si>
  <si>
    <t>Plan de Acción Territorial con enfoque diferencial implementado y actualizado.</t>
  </si>
  <si>
    <t>27.2</t>
  </si>
  <si>
    <t>Boyacá Avanza en la Prevención y Protección de los Derechos de los Niños, Niñas y Adolescentes en el Marco del Conflicto Armado.</t>
  </si>
  <si>
    <t>27.3</t>
  </si>
  <si>
    <t>Boyacá Avanza en Acciones de Restablecimiento de la Dignidad de las Víctimas del Conflicto Armado.</t>
  </si>
  <si>
    <t>Documentos de hechos victimizante relevante que haya sucedido en el departamento de Boyacá publicados</t>
  </si>
  <si>
    <t>27.4</t>
  </si>
  <si>
    <t>Boyacá Avanza en el Fortalecimiento Institucional de La Política Pública de Víctimas.</t>
  </si>
  <si>
    <t>27.5</t>
  </si>
  <si>
    <t>Boyacá Avanza Hacia la Vida Digna de las Víctimas del Conflicto Armado</t>
  </si>
  <si>
    <t>Asistencias humanitarias inmediatas realizadas a municipios por demanda</t>
  </si>
  <si>
    <t>Con la Participación de las Víctimas Avanzamos en la Implementación de la Política Pública de Víctimas</t>
  </si>
  <si>
    <t>27.6</t>
  </si>
  <si>
    <t>Apoyar la operativización de la mesa departamental de víctimas del conflicto armado, generando espacios de participación con enfoque diferencial.</t>
  </si>
  <si>
    <t>27.7</t>
  </si>
  <si>
    <t>Boyacá Avanza en Ofertas Interinstitucionales para la población Víctima.</t>
  </si>
  <si>
    <t>Jornadas integrales de atención de la población víctima del conflicto armado del departamento de Boyacá realizadas.</t>
  </si>
  <si>
    <t>Boyacá Avanza en la Reintegración y Reincorporación de Actores Armados.</t>
  </si>
  <si>
    <t>Brindar oportunidades de reincorporación y reintegración a la población desmovilizada del departamento.</t>
  </si>
  <si>
    <t>Plan de reintegración y reincorporación de actores armados, ejecutado.</t>
  </si>
  <si>
    <t>28.1</t>
  </si>
  <si>
    <t>Boyacá Avanza en la Protección de Derechos de la Población Reinsertada y Reincorporada del Departamento</t>
  </si>
  <si>
    <t>Crear estrategias para lograr el respeto, el reconocimiento y la protección de los derechos de la población reintegrada y reincorporada del departamento.</t>
  </si>
  <si>
    <t>Mesa departamental de reintegración y reincorporación, creada.</t>
  </si>
  <si>
    <t>28.2</t>
  </si>
  <si>
    <t>Boyacá Avanza en Apoyo Productivo a la Población Reintegrada y Reincorporada en el Departamento</t>
  </si>
  <si>
    <t>Apoyar técnica y financieramente proyectos productivos dirigidos a la población reintegrada y reincorporada en el departamento de Boyacá.</t>
  </si>
  <si>
    <t>Boyacá Avanza en la Garantía de los Derechos Humanos y el Derecho Internacional Humanitario.</t>
  </si>
  <si>
    <t>Elaborar la política pública departamental para la prevención a la violación de los derechos humanos y el derecho internacional humanitario.</t>
  </si>
  <si>
    <t>29.1</t>
  </si>
  <si>
    <t>Boyacá Avanza en la Prevención y Garantía de los Derechos Humanos y el Derecho Internacional Humanitario</t>
  </si>
  <si>
    <t>Crear y activar las herramientas legales que garanticen la prevención y el respeto de derechos humanos y el derecho internacional humanitario.</t>
  </si>
  <si>
    <t>Comité Departamental de Derechos Humanos y Derecho Internacional Humanitario DDHH y DIH, funcionando.</t>
  </si>
  <si>
    <t>Jornadas de capacitación para la prevención, la promoción y la protección de los derechos humanos a organizaciones de jóvenes promotores desarrolladas.</t>
  </si>
  <si>
    <t>Mesa Departamental de libertad religiosa y de cultos creada.</t>
  </si>
  <si>
    <t>29.2</t>
  </si>
  <si>
    <t>Boyacá Avanza Hacia la Consolidación de Paz Territorial.</t>
  </si>
  <si>
    <t>Operativizar el consejo territorial de paz, reconciliación y convivencia de Boyacá y resolver conflictos sociales a través de los mecanismos de conciliación, decisiones en equidad, de mesas de concertación y de trabajo en articulación con otras instituciones públicas y privadas.</t>
  </si>
  <si>
    <t>Consejo territorial de paz, reconciliación y convivencia de Boyacá implementado.</t>
  </si>
  <si>
    <t>Consejos municipales de paz, operativizados.</t>
  </si>
  <si>
    <t>Estrategia de mediación de conflictos sociales elaborado e implementado.</t>
  </si>
  <si>
    <t>Unidad</t>
  </si>
  <si>
    <t>Agendas de paz socializada en las provincias del departamento de Boyacá</t>
  </si>
  <si>
    <t>29.3</t>
  </si>
  <si>
    <t>Boyacá Avanza en La Promoción de Cultura de Derechos Humanos</t>
  </si>
  <si>
    <t>Realizar jornadas para la promoción, prevención y protección de los derechos humanos y derecho internacional humanitario.</t>
  </si>
  <si>
    <t>Boyacá Avanza en la Lucha Contra la Trata De Personas.</t>
  </si>
  <si>
    <t>Promover acciones eficientes para erradicar el delito de lesa humanidad de trata de personas en departamento de Boyacá.</t>
  </si>
  <si>
    <t>Medidas para la prevención, el combate y la erradicación del delito de Trata de personas adoptadas.</t>
  </si>
  <si>
    <t>30.1</t>
  </si>
  <si>
    <t>Boyacá Avanza en la Caracterización de Trata de Personas.</t>
  </si>
  <si>
    <t>Realizar el diagnóstico de trata de personas en el departamento e implementar jornadas de capacitación en estrategias de prevención contra el delito de trata de personas.</t>
  </si>
  <si>
    <t>Diagnóstico de trata de personas en el departamento de Boyacá, realizado.</t>
  </si>
  <si>
    <t>Jornadas de formación de formadores para la prevención y estrategias de protección contra el delito de trata de personas realizadas.</t>
  </si>
  <si>
    <t>Comité departamental contra el delito por trata de personas, operativizado.</t>
  </si>
  <si>
    <t>Boyacá Avanza en la Seguridad y la Convivencia.</t>
  </si>
  <si>
    <t>Mantener los índices de seguridad y convivencia ciudadana en el departamento.</t>
  </si>
  <si>
    <t>Estrategias en pro del mantenimiento y mejoramiento de la seguridad,  Implementadas</t>
  </si>
  <si>
    <t>31.1</t>
  </si>
  <si>
    <t>Boyacá Avanza en el Plan Integral de Seguridad y Convivencia</t>
  </si>
  <si>
    <t>Desarrollar estrategias de prevención y fortalecimiento en pro de la seguridad del departamento de Boyacá.</t>
  </si>
  <si>
    <t>Plan Integral de Seguridad y Convivencia Ciudadana actualizado e implementado.</t>
  </si>
  <si>
    <t>Código Departamental de seguridad y convivencia formulado e implementado.</t>
  </si>
  <si>
    <t>Ruta activada para la protección por demanda teniendo en cuenta las amenazas contra la población.</t>
  </si>
  <si>
    <t>Campañas preventivas e informativas de seguridad en el departamento de Boyacá, realizadas.</t>
  </si>
  <si>
    <t>Mapa de riesgos de seguridad y orden público actualizado.</t>
  </si>
  <si>
    <t>Monitoreos de seguridad en provincias donde se vea alterado el orden público, realizados.</t>
  </si>
  <si>
    <t>Seguimiento continuo al sistema de alertas tempranas realizados.</t>
  </si>
  <si>
    <t>Unidad de Reacción Inmediata – URI ambiental gestionada</t>
  </si>
  <si>
    <t>31.2</t>
  </si>
  <si>
    <t>Boyacá Avanza en el Mejoramiento de la Calidad de Vida de la Población Carcelaria.</t>
  </si>
  <si>
    <t>Boyacá Avanza en Prevención y Protección a Líderes Sociales.</t>
  </si>
  <si>
    <t>Garantizar la prevención, protección, atención, asistencia y reparación integral a líderes sociales en el departamento de Boyacá.</t>
  </si>
  <si>
    <t>32.1</t>
  </si>
  <si>
    <t>Boyacá Avanza en la Identificación de Riesgos de Líderes Sociales y Comunales del Departamento.</t>
  </si>
  <si>
    <t>Crear estrategias de identificación de riesgos de amenaza contra defensores de derechos humanos, líderes y lideresas sociales y comunales del departamento.</t>
  </si>
  <si>
    <t>Diagnóstico para identificación de riesgos de defensores de derechos humanos, líderes sociales y comunales elaborados y actualizado.</t>
  </si>
  <si>
    <t>Mesa interinstitucional de entidades del Estado para defensa y protección de defensores de derechos humanos, líderes y lideresas sociales operativizada.</t>
  </si>
  <si>
    <t>32.2</t>
  </si>
  <si>
    <t>Boyacá Avanza en la Protección de Derechos de Líderes y Lideresas Sociales y Comunales del Departamento</t>
  </si>
  <si>
    <t>Generar una estrategia para la protección de los derechos   de líderes y lideresas sociales y comunales del departamento.</t>
  </si>
  <si>
    <t>Estrategia integral y permanente de protección de derechos de líderes y lideresas sociales implementado.</t>
  </si>
  <si>
    <t>Sector FUT</t>
  </si>
  <si>
    <t>1.1 Ordenamiento social de la propiedad rural y uso del suelo</t>
  </si>
  <si>
    <t>1.2 Infraestructura y adecuación de tierras</t>
  </si>
  <si>
    <t>1.3 Desarrollo social: salud</t>
  </si>
  <si>
    <t>1.4 Desarrollo social: educación rural</t>
  </si>
  <si>
    <t>1.5 Desarrollo social: vivienda y agua potable</t>
  </si>
  <si>
    <t>1.6 Producción agropecuaria y economía solidaria y cooperativa</t>
  </si>
  <si>
    <t>1.7 Garantía progresiva del derecho a la alimentación</t>
  </si>
  <si>
    <t>2.2 Mecanismos democráticos de participación ciudadana</t>
  </si>
  <si>
    <t>2.3 Promover una mayor participación en la política nacional, regional y local, en igualdad de condiciones y con garantías de seguridad</t>
  </si>
  <si>
    <t>3.2 Reincorporación de las FARC EP a la vida civil</t>
  </si>
  <si>
    <t>3.3 Garantías de seguridad y lucha contra las organizaciones y conductas criminales</t>
  </si>
  <si>
    <t>4.1 Programa Nacional Integral de Sustitución de Cultivos de Uso Ilícito - PNIS</t>
  </si>
  <si>
    <t>4.2 Prevención del consumo y salud pública</t>
  </si>
  <si>
    <t>4.3 Solución al fenómeno de producción y comercialización de narcóticos</t>
  </si>
  <si>
    <t>5.4 Reparación integral para la construcción de Paz</t>
  </si>
  <si>
    <t>5.6 Derechos Humanos</t>
  </si>
  <si>
    <t>Pilar de paz</t>
  </si>
  <si>
    <t xml:space="preserve">PILAR DE PAZ </t>
  </si>
  <si>
    <t>A.6</t>
  </si>
  <si>
    <t>A.11</t>
  </si>
  <si>
    <t>A.17</t>
  </si>
  <si>
    <t>Educación</t>
  </si>
  <si>
    <t>Salud</t>
  </si>
  <si>
    <t>Agua potable y saneamiento básico</t>
  </si>
  <si>
    <t>Deporte y recreación</t>
  </si>
  <si>
    <t>Cultura</t>
  </si>
  <si>
    <t>Servicios públicos diferentes a acueducto, alcantarillado y aseo</t>
  </si>
  <si>
    <t>Vivienda</t>
  </si>
  <si>
    <t>Agropecuario</t>
  </si>
  <si>
    <t>Transporte</t>
  </si>
  <si>
    <t>Ambiental</t>
  </si>
  <si>
    <t>Centros de reclusión</t>
  </si>
  <si>
    <t>Prevención y atención de desastres</t>
  </si>
  <si>
    <t>Promoción del desarrollo</t>
  </si>
  <si>
    <t>Atención a grupos vulnerables - Promoción Social</t>
  </si>
  <si>
    <t>Equipamiento</t>
  </si>
  <si>
    <t>Desarrollo comunitario</t>
  </si>
  <si>
    <t>Fortalecimiento institucional</t>
  </si>
  <si>
    <t>Justicia y seguridad</t>
  </si>
  <si>
    <t>DEPENDENCIA RESPONSABLE</t>
  </si>
  <si>
    <t>Secretaría De Educación</t>
  </si>
  <si>
    <t>Secretaría De Salud</t>
  </si>
  <si>
    <t>Secretaría De Infraestructura Pública</t>
  </si>
  <si>
    <t>Secretaría De Minas Y Energía</t>
  </si>
  <si>
    <t>Secretaría De Integración Social</t>
  </si>
  <si>
    <t>Secretaría De Gobierno Y Acción Comunal</t>
  </si>
  <si>
    <t>Casa Del Menor</t>
  </si>
  <si>
    <t>Indeportes</t>
  </si>
  <si>
    <t>Secretaría De Planeación</t>
  </si>
  <si>
    <t>Secretaría De Cultura Y Patrimonio</t>
  </si>
  <si>
    <t>Secretaría De Agricultura</t>
  </si>
  <si>
    <t>Secretaría De Turismo</t>
  </si>
  <si>
    <t>Secretaría De Desarrollo Empresarial</t>
  </si>
  <si>
    <t>Secretaría De Ambiente Y Desarrollo Sostenible</t>
  </si>
  <si>
    <t>ESPB</t>
  </si>
  <si>
    <t>Unidad Administrativa Especial Para La Gestión Del Riesgo De Desastres</t>
  </si>
  <si>
    <t>Unidad Administrativa De Relaciones Nacionales E Internacionales</t>
  </si>
  <si>
    <t>Secretaría De Tic Y Gobierno Abierto</t>
  </si>
  <si>
    <t>ITBOY</t>
  </si>
  <si>
    <t>Secretaría General</t>
  </si>
  <si>
    <t>Secretaria De Hacienda</t>
  </si>
  <si>
    <t>Secretaría De Contratación</t>
  </si>
  <si>
    <t>Unidad Administrativa Especial De Asesoría Y Defensa Jurídica Del Departamento</t>
  </si>
  <si>
    <t>Oficina Asesora De Control Interno De Gestión</t>
  </si>
  <si>
    <t>Oficina Asesora De Control Interno Disciplinario</t>
  </si>
  <si>
    <t>Lotería De Boyacá</t>
  </si>
  <si>
    <t>Nueva Licorera De Boyacá</t>
  </si>
  <si>
    <t>IDEBOY</t>
  </si>
  <si>
    <t>Unidad Administrativa De Comunicaciones Y Protocolo</t>
  </si>
  <si>
    <t>En Deporte Formativo "Boyacá Avanza"</t>
  </si>
  <si>
    <t>Mejorar la Calidad de vida de los boyacenses a través de la vinculación a programas y proyectos de iniciación y formación deportivos.</t>
  </si>
  <si>
    <t>Personas beneficiadas de programas deportivos de iniciación y formación, para mejorar su calidad de vida.</t>
  </si>
  <si>
    <t>45.517
(460 Nuevos)</t>
  </si>
  <si>
    <t>33.1</t>
  </si>
  <si>
    <t>Escuelas de Formación Deportiva.</t>
  </si>
  <si>
    <t>Fortalecer el programa de escuelas de formación deportiva de Indeportes Boyacá, como base del desarrollo del departamento a mediano y largo plazo.</t>
  </si>
  <si>
    <t>Niños, niñas y adolescentes mantenidos en procesos de formación de escuelas deportivas, que se encuentren legalmente constituidas.</t>
  </si>
  <si>
    <t>Niños, niñas, adolescentes y adultos con discapacidad en escuelas de formación deportiva, según lo estipulado en la Ordenanza 050 de 2019 vinculados.</t>
  </si>
  <si>
    <t>Eventos deportivos de Escuelas de Formación realizados.</t>
  </si>
  <si>
    <t>Disciplinas deportivas apoyadas con procesos de formación.</t>
  </si>
  <si>
    <t>Escuelas de formación beneficiadas con dotación y elementos deportivos.</t>
  </si>
  <si>
    <t>Promotores de escuelas de formación deportiva - estrategia Todos por Colombia en el marco de la emergencia del COVID – 19.</t>
  </si>
  <si>
    <t>33.2</t>
  </si>
  <si>
    <t>Juegos Intercolegiados de Boyacá</t>
  </si>
  <si>
    <t>Contribuir al proceso de formación deportiva e integral de población escolarizada y no escolarizada entre los 7 y 18 años, tanto en deportes convencionales como en deportes para personas con discapacidad.</t>
  </si>
  <si>
    <t>Niños, niñas, adolescentes y jóvenes con discapacidad, participantes en los Juegos Supérate Intercolegiados de Boyacá</t>
  </si>
  <si>
    <t>33.3</t>
  </si>
  <si>
    <t>La Educación Física en Primaria.</t>
  </si>
  <si>
    <t>Generar distintas estrategias con el fin de brindar oportunidades de formación a docentes de primaria, para el desarrollo de la educación física en las instituciones educativas.</t>
  </si>
  <si>
    <t>Docentes capacitados en pedagogía de la educación física en primaria.</t>
  </si>
  <si>
    <t>33.4</t>
  </si>
  <si>
    <t>Fortalecimiento al Fomento y Asistencia Provincial Deportiva (APRODEP)</t>
  </si>
  <si>
    <t>Realizar asistencia técnica para fortalecer el fomento deportivo en alcaldías e institutos del deporte, en articulación con Indeportes Boyacá.</t>
  </si>
  <si>
    <t>Municipios asesorados en el desarrollo y ejecución de los programas de Indeportes Boyacá.</t>
  </si>
  <si>
    <t>Eventos académicos y de capacitación realizados.</t>
  </si>
  <si>
    <t xml:space="preserve">Estrategia con información reportada al Observatorio Departamental del Deporte.  </t>
  </si>
  <si>
    <t>Publicaciones del Observatorio Deportivo realizadas.</t>
  </si>
  <si>
    <t>33.5</t>
  </si>
  <si>
    <t>Boyacá Raza de Campeones.</t>
  </si>
  <si>
    <t>Garantiza el fomento, masificación, divulgación, planificación, coordinación y organización de la práctica del ciclismo en el departamento de Boyacá.</t>
  </si>
  <si>
    <t>Ciclistas beneficiados con el programa de Boyacá Raza de Campeones.</t>
  </si>
  <si>
    <t>Eventos ciclísticos apoyados.</t>
  </si>
  <si>
    <t>Capacitaciones en procesos de formación de ciclismo en todas sus modalidades realizadas.</t>
  </si>
  <si>
    <t>33.6</t>
  </si>
  <si>
    <t>Boyacá Avanza en Talentos Deportivos</t>
  </si>
  <si>
    <t xml:space="preserve">Detectar deportistas destacados (talentos), en edades tempranas (12-17 años), siguiendo su trayectoria y apoyándolos en sus necesidades deportivas, educativas y/o sociales básicas. </t>
  </si>
  <si>
    <t>Talentos deportivos detectados.</t>
  </si>
  <si>
    <t>Talentos deportivos con apoyo educativo (Educación básica – Superior).</t>
  </si>
  <si>
    <t>Talentos deportivos apoyados con ciencias aplicadas al deporte.</t>
  </si>
  <si>
    <t>Boyacá Avanza en Deporte Social para Todos</t>
  </si>
  <si>
    <t>Personas que acceden a las actividades de deporte social y que mejoran su calidad de vida.</t>
  </si>
  <si>
    <t>Municipios atendidos de forma regular con subprogramas de deporte social para todos.</t>
  </si>
  <si>
    <t>124.323 
(8.676 Nuevos)</t>
  </si>
  <si>
    <t>50
(20 P.P Nuevos)</t>
  </si>
  <si>
    <t>34.1</t>
  </si>
  <si>
    <t>Boyacá Avanza más Activa y Saludable</t>
  </si>
  <si>
    <t>Brindar espacios de actividad física en la población del departamento, realizando de manera regular para mejorar su calidad de vida.</t>
  </si>
  <si>
    <t>Personas beneficiadas de la actividad física musicalizada.</t>
  </si>
  <si>
    <t>Grupos regulares de actividad física musicalizada, conformados y mantenidos.</t>
  </si>
  <si>
    <t>Consejerías a hogares realizadas.</t>
  </si>
  <si>
    <t>Asesorías realizadas a instituciones u organizaciones.</t>
  </si>
  <si>
    <t>Eventos masivos realizados en municipios.</t>
  </si>
  <si>
    <t>Vías Activas y Saludables municipales implementadas.</t>
  </si>
  <si>
    <t>Sesiones virtuales de actividad física en el marco de la emergencia del COVID – 19 realizadas</t>
  </si>
  <si>
    <t>Promotores de actividad física musicalizada - estrategia Todos por Colombia en el marco de la emergencia del COVID – 19.</t>
  </si>
  <si>
    <t>34.2</t>
  </si>
  <si>
    <t xml:space="preserve">Boyacá Avanza por la Vida Saludable de Persona Mayor </t>
  </si>
  <si>
    <t>Beneficiar a personas mayores con prácticas regulares de actividad física, para reducir las enfermedades crónicas no transmisibles.</t>
  </si>
  <si>
    <t>Personas mayores beneficiadas de la actividad física regular a través del programa persona mayor activa.</t>
  </si>
  <si>
    <t>Personas beneficiadas con mejoramiento de las capacidades físicas (flexibilidad, fuerza, capacidad aeróbica).</t>
  </si>
  <si>
    <t>Sesiones virtuales de actividad física para la persona mayor, en el marco de la emergencia del COVID – 19 realizadas.</t>
  </si>
  <si>
    <t>34.3</t>
  </si>
  <si>
    <t>Campistas Avanzan por Boyacá.</t>
  </si>
  <si>
    <t>Adolescentes y jóvenes líderes comunitarios y campistas formados.</t>
  </si>
  <si>
    <t>Jornadas de asistencia técnica a grupos no regulares realizadas.</t>
  </si>
  <si>
    <t>Encuentros de adolescentes y jóvenes provinciales y departamentales.</t>
  </si>
  <si>
    <t>Campistas que asisten al Encuentro Nacional de Campamentos Juveniles.</t>
  </si>
  <si>
    <t>Sesiones virtuales de formación de los 5 ejes temáticos para adolescentes y jóvenes en el marco de la emergencia del COVID – 19 realizadas.</t>
  </si>
  <si>
    <t>34.5</t>
  </si>
  <si>
    <t>El Deporte Social Comunitario “Deportes +” Avanza Por Boyacá.</t>
  </si>
  <si>
    <t>Beneficiar a los diferentes grupos poblacionales de estrategias que permitan el desarrollo de prácticas deportivas y sus diferentes manifestaciones, rescatando deportes tradiciones y autóctonos.</t>
  </si>
  <si>
    <t>Personas beneficiadas de las estrategias para el fomento y desarrollo del deporte social comunitario.</t>
  </si>
  <si>
    <t>Promotores de recreación- estrategia Todos por Colombia en el marco de la emergencia del COVID – 19 vinculados, a público con enfoque diferencial.</t>
  </si>
  <si>
    <t>34.6</t>
  </si>
  <si>
    <t>Eventos Deportivos Departamentales.</t>
  </si>
  <si>
    <t>Promover la participación de deportistas en eventos que permitan eliminar las barreras culturales, sociales y económicas en el departamento a través del deporte.</t>
  </si>
  <si>
    <t>Deportistas participantes de los juegos deportivos departamentales.</t>
  </si>
  <si>
    <t>Eventos deportivos provinciales, realizados.</t>
  </si>
  <si>
    <t>Eventos deportivos departamentales,  realizados</t>
  </si>
  <si>
    <t>Deporte Asociado - Boyacá Avanza para un Verde Porvenir.</t>
  </si>
  <si>
    <t>Deportistas que acceden a los programas deportivos de alto rendimiento.</t>
  </si>
  <si>
    <t xml:space="preserve"> Garantizar el acceso de los deportistas del departamento a procesos de formación, preparación y participación, en las diferentes disciplinas deportivas a nivel nacional e internacional.</t>
  </si>
  <si>
    <t>35.1</t>
  </si>
  <si>
    <t>Alto Rendimiento y Deporte Asociado.</t>
  </si>
  <si>
    <t>Apoyar técnica, administrativa y económicamente, a las ligas deportivas legalmente constituidas y que cuenten con procesos de desarrollo, preparación y participación de los deportistas convencionales y para - nacionales.</t>
  </si>
  <si>
    <t>Deportistas de alto rendimiento apoyados a través de incentivos por altos logros alcanzados.</t>
  </si>
  <si>
    <t>Contratos y/o convenios suscritos con las ligas deportivas legalmente constituidas.</t>
  </si>
  <si>
    <t>Organismos deportivos constituidos y apoyados según lo estipulado en la ley 1946 de 2019 (Sistema Paralímpico) y la Ordenanza 050 de 2019.</t>
  </si>
  <si>
    <t>Entrenadores e instructores formando y preparando deportistas de manera virtual.</t>
  </si>
  <si>
    <t>Programas de desarrollo deportivo en las provincias (CENDEZ) del departamento creados y operando.</t>
  </si>
  <si>
    <t>35.2</t>
  </si>
  <si>
    <t>cias Aplicadas al Deporte.</t>
  </si>
  <si>
    <t xml:space="preserve">Brindar servicios de valoración, consultas, evaluaciones fisiológicas, entrenamiento y acompañamiento en las competencias de los deportistas priorizados. </t>
  </si>
  <si>
    <t>Valoraciones médicas, nutricionales, fisioterapeutas y psicológicas en deportistas realizadas.</t>
  </si>
  <si>
    <t>Nuevo equipo interdisciplinario conformado para realizar la clasificación funcional de deportistas (discapacidad).</t>
  </si>
  <si>
    <t>Atenciones brindadas en servicios médicos, nutricionales, fisioterapeutas y psicológicos a deportistas.</t>
  </si>
  <si>
    <t>Boyacá Avanza en Infraestructura Deportiva.</t>
  </si>
  <si>
    <t>Formular proyectos para el mejoramiento, mantenimiento, adecuación, ampliación, construcción y cofinanciación de escenarios deportivos y recreativos.</t>
  </si>
  <si>
    <t>Proyectos de mejoramiento, mantenimiento, adecuación, ampliación, construcción de escenarios deportivos y recreativos formulados y/o cofinanciados y/o ejecutados.</t>
  </si>
  <si>
    <t>9
(1 Nuevo)</t>
  </si>
  <si>
    <t>36.1</t>
  </si>
  <si>
    <t>Construcción, Mantenimiento y Adecuación Escenarios.</t>
  </si>
  <si>
    <t>Promover la construcción, mejoramiento, mantenimiento, adecuación, ampliación de escenarios deportivos y recreativos.</t>
  </si>
  <si>
    <t>Escenarios deportivo construidos.</t>
  </si>
  <si>
    <t>Asistencia técnica a proyectos de infraestructura deportiva municipal realizada.</t>
  </si>
  <si>
    <t>Centro médico deportivo adecuado y/o mejorado.</t>
  </si>
  <si>
    <t>Escenarios deportivos de la Villa Olímpica mantenidos y/o  adecuados y/o remodelados y/o modernizados.</t>
  </si>
  <si>
    <t>Alianzas público privadas gestionadas para la construcción de escenarios deportivos y recreativos.</t>
  </si>
  <si>
    <t>Proyectos elaborados para gestionar recursos por medio del sistema general de regalías, para el mejoramiento de escenarios deportivos.</t>
  </si>
  <si>
    <t>Sistema de infraestructura de relación de datos del sector implementados.</t>
  </si>
  <si>
    <t>Indeportes Avanza en el Fortalecimiento Institucional</t>
  </si>
  <si>
    <t>Fortalecer del Modelo Integrado de Planeación y Gestión de Indeportes Boyacá.</t>
  </si>
  <si>
    <t>Procesos y procedimientos de planeación y gestión de Indeportes Boyacá, fortalecidos.</t>
  </si>
  <si>
    <t xml:space="preserve">70
(8,39 P.P Nuevos) </t>
  </si>
  <si>
    <t>37.1</t>
  </si>
  <si>
    <t xml:space="preserve">Indeportes Boyacá más Eficiente. </t>
  </si>
  <si>
    <t xml:space="preserve">Implementar el Modelo Integrado de Planeación y Gestión (MIPG) </t>
  </si>
  <si>
    <t>Comités institucionales de gestión y desempeño realizados, que contemplan las acciones de implementación.</t>
  </si>
  <si>
    <t>Plan institucional de archivo (PINAR) elaborado e implementado (soporte de la política de gestión documental).</t>
  </si>
  <si>
    <t>Presentaciones del FURAG soporte del índice de desempeño institucional realizadas.</t>
  </si>
  <si>
    <t>37.2</t>
  </si>
  <si>
    <t>Posicionamiento Institucional</t>
  </si>
  <si>
    <t>Posicionar al departamento de Boyacá como sede de grandes eventos deportivos de talla nacional e internacional.</t>
  </si>
  <si>
    <t>Postulaciones como sede de eventos nacionales y/o internacionales realizadas.</t>
  </si>
  <si>
    <t>Equipo profesional de ciclismo de nivel regional (RAPE),  conformado.</t>
  </si>
  <si>
    <t>Boyacá se Articula para el Mejoramiento de la Calidad de Vida.</t>
  </si>
  <si>
    <t>Implementar acciones integrales e interinstitucionales para ampliar las capacidades y mejorar las condiciones de vida de la población en situación de pobreza y pobreza extrema en el departamento.</t>
  </si>
  <si>
    <t>Instancia interinstitucional para la lucha de la pobreza, consolidada.</t>
  </si>
  <si>
    <t>38.1</t>
  </si>
  <si>
    <t>Avanzando en Conjunto por la Equidad</t>
  </si>
  <si>
    <t>Realizar la coordinación interinstitucional e intersectorial de las temáticas relacionada con la pobreza multidimensional, que permitan focalizar acciones en beneficio de la población que se encuentra en estado de vulnerabilidad.</t>
  </si>
  <si>
    <t>Estrategia implementada para la promoción y acceso a oportunidades de generación de ingresos, en municipios con mayor IPM.</t>
  </si>
  <si>
    <t>Mesa de coordinación y focalización interinstitucional e intersectorial funcionando.</t>
  </si>
  <si>
    <t>Documento de análisis de índices de pobreza elaborado y publicado.</t>
  </si>
  <si>
    <t>Municipios beneficiados con inversiones que disminuyan directamente IPM.</t>
  </si>
  <si>
    <t>Fortalecimiento del Desarrollo Artístico Cultural de la Población Boyacense.</t>
  </si>
  <si>
    <t>Beneficiar artistas, gestores culturales y comunidad en general a través de la asistencia técnica a municipios en los procesos de creación, investigación, formación y circulación de las expresiones artísticas y manifestaciones culturales en el departamento</t>
  </si>
  <si>
    <t>Municipios fortalecidos en procesos de desarrollo artístico y cultural</t>
  </si>
  <si>
    <t>39.1</t>
  </si>
  <si>
    <t>Avanzar en el Desarrollo Artístico Cultural de las Comunidades Boyacenses.</t>
  </si>
  <si>
    <t>Apoyar a la comunidad cultural en procesos de formación   artístico culturales con asistencia técnica en los municipios del departamento.</t>
  </si>
  <si>
    <t>Municipios asistidos para el fortalecimiento y/o creación de escuelas de formación artística y cultural.</t>
  </si>
  <si>
    <t>Estrategia de innovación tecnológica,  conexión virtual y comunicación dirigida al sector artístico y cultural, diseñada e implementada</t>
  </si>
  <si>
    <t>39.2</t>
  </si>
  <si>
    <t>Avanzar en el Desarrollo del Potencial Artístico Cultural.</t>
  </si>
  <si>
    <t>Alianzas interinstitucionales para la formación artística y cultural realizadas.</t>
  </si>
  <si>
    <t>Ediciones de la revista Cultura publicadas.</t>
  </si>
  <si>
    <t>Procesos de investigación, edición y/o publicación de libros de la Academia Boyacense de Historia otras academias, organizaciones culturales y grupos de investigación. apoyadas.</t>
  </si>
  <si>
    <t>39.3</t>
  </si>
  <si>
    <t>Incentivos Culturales para Seguir Avanzando.</t>
  </si>
  <si>
    <t>Proyectos culturales dirigidos a población con enfoque diferencial, apoyados.</t>
  </si>
  <si>
    <t>Convocatoria de estímulos realizada.</t>
  </si>
  <si>
    <t>Convocatoria de concertación cultural realizada.</t>
  </si>
  <si>
    <t>Convocatoria de emergencia COVID-19 realizada.</t>
  </si>
  <si>
    <t>Convocatoria a municipios de sexta categoría beneficiados con procesos de formación artístico cultural, realizada.</t>
  </si>
  <si>
    <t>Convocatoria del Consejo Editorial de Autores Boyacenses CEAB realizada.</t>
  </si>
  <si>
    <t>Creadores y gestores culturales con beneficios de seguridad social y beneficios económicos periódicos - BEPS.</t>
  </si>
  <si>
    <t>Fortalecimiento del Sistema Departamental de Cultura.</t>
  </si>
  <si>
    <t xml:space="preserve"> Beneficiar a la población boyacense con servicios culturales a través del sistema departamental de cultura.</t>
  </si>
  <si>
    <t>Municipios beneficiados con servicios culturales a través del sistema departamental de cultura.</t>
  </si>
  <si>
    <t>40.1</t>
  </si>
  <si>
    <t>Avanzando con la Participación de los Actores Sociales.</t>
  </si>
  <si>
    <t>Fortalecer la participación de las comunidades en las problemáticas de interés público desde la dimensión cultural.</t>
  </si>
  <si>
    <t>Provincias del departamento con estrategias de socialización de la política pública de cultura y patrimonio de Boyacá desarrolladas.</t>
  </si>
  <si>
    <t>Consejos Departamentales de Cultura fortalecidos.</t>
  </si>
  <si>
    <t>Redes de servicios culturales creadas.</t>
  </si>
  <si>
    <t>Redes de servicios culturales   fortalecidas.</t>
  </si>
  <si>
    <t>Municipios del departamento asesorados para el fortalecimiento del sistema municipal de cultura.</t>
  </si>
  <si>
    <t>Consejos Provinciales de Cultura creados.</t>
  </si>
  <si>
    <t>40.2</t>
  </si>
  <si>
    <t>Avanzamos en la Gobernanza Cultural con Enfoque Territorial.</t>
  </si>
  <si>
    <t>Fortalecer los procesos de gobernanza cultural.</t>
  </si>
  <si>
    <t>Observatorio de Cultura y Patrimonio implementado en articulación al sector artístico cultural y académico.</t>
  </si>
  <si>
    <t>Herramienta tecnológica para la publicación del Observatorio de Cultura y Patrimonio desarrollada.</t>
  </si>
  <si>
    <t>Caracterización departamental del sector artístico y cultural realizada.</t>
  </si>
  <si>
    <t>Documento técnico de política pública (Ordenanza 043 de 2019 artículo 3. Parágrafo) ajustado.</t>
  </si>
  <si>
    <t>Política pública de cinematografía formulada.</t>
  </si>
  <si>
    <t>Instancia de evaluación y seguimiento política pública de cultura conformada.  (Ordenanza 043 de 2019)</t>
  </si>
  <si>
    <t>Fortalecimiento del Desarrollo Artístico Cultural a Través de la Agenda Cultural Departamental.</t>
  </si>
  <si>
    <t xml:space="preserve">Fortalecer el desarrollo artístico cultural de las comunidades boyacense, a través de la agenda cultural. </t>
  </si>
  <si>
    <t>41.1</t>
  </si>
  <si>
    <t>Avanzando en el Respeto de la Diversidad Cultural.</t>
  </si>
  <si>
    <t>Eventos culturales Interinstitucionales (encuentros regionales de bandas, concurso nacional de bandas entre otros) realizados y/o apoyados.</t>
  </si>
  <si>
    <t>Iniciativas comunitarias y/o emprendimientos culturales   en el marco del diálogo intercultural apoyadas.</t>
  </si>
  <si>
    <t>Nuevas versiones del Festival Internacional de la Cultura realizados a través de convocatoria de artistas boyacenses y regionales.</t>
  </si>
  <si>
    <t>41.2</t>
  </si>
  <si>
    <t>Circulación de Experiencias y Procesos Artísticos y Culturales.</t>
  </si>
  <si>
    <t>Acciones encaminadas a la implementación de la política pública de cultura realizadas.</t>
  </si>
  <si>
    <t>Solicitudes de las agendas culturales municipales en sus distintas categorías (nuevos eventos, emergentes de 1 a 3 años, de Trayectoria de 3 a 5 años) y difusión de eventos culturales haciendo uso de los distintos medios de comunicación apoyadas.</t>
  </si>
  <si>
    <t>Fortalecimiento del Patrimonio Cultural del Departamento de Boyacá.</t>
  </si>
  <si>
    <t>Fortalecer y fomentar los procesos de identificación, protección, conservación, salvaguardia y difusión del Patrimonio Cultural Material e Inmaterial del departamento de Boyacá, a través de diversas estrategias, que permitan adelantar acciones de protección, reconocimiento y divulgación, para preservar e impulsar nuestra identidad cultural.</t>
  </si>
  <si>
    <t>77
 (27 Nuevos)</t>
  </si>
  <si>
    <t xml:space="preserve">Memoria Vital de los Boyacenses.    </t>
  </si>
  <si>
    <t>42.1</t>
  </si>
  <si>
    <t>Fortalecer el patrimonio cultural inmaterial del departamento.</t>
  </si>
  <si>
    <t>Patrimonio cultural inmaterial identificado.</t>
  </si>
  <si>
    <t>Declaratorias del patrimonio cultural inmaterial del ámbito departamental y/o nacional promovidas.</t>
  </si>
  <si>
    <t>Planes especiales de salvaguardia formulados y/o puestos en marcha.</t>
  </si>
  <si>
    <t>Programa de sabores y saberes ancestrales para la promoción y salvaguardia de la cocina tradicional y semillas ancestrales promovido.</t>
  </si>
  <si>
    <t>82
 (28 Nuevos)</t>
  </si>
  <si>
    <t>42.2</t>
  </si>
  <si>
    <t xml:space="preserve">Memoria Construida de los Boyacenses.           </t>
  </si>
  <si>
    <t>Fortalecer el patrimonio cultural material mueble e inmueble.</t>
  </si>
  <si>
    <t>Declaratorias del patrimonio material, promovidas.</t>
  </si>
  <si>
    <t>Acciones para la conservación y protección de bienes patrimoniales implementadas.</t>
  </si>
  <si>
    <t>Patrimonio arqueológico y/o paleontológico identificado.</t>
  </si>
  <si>
    <t>Fortalecimiento a museos archivos, bibliotecas patrimoniales y centros de memoria realizadas.</t>
  </si>
  <si>
    <t>ECONÓMICA Y DE OPORTUNIDADES</t>
  </si>
  <si>
    <t>Boyacá Avanza Hacia la Productividad Agropecuaria</t>
  </si>
  <si>
    <t>Intervenir organizaciones agropecuarias con estrategias integrales que les permitan mejorar la rentabilidad de la producción agropecuaria y agroindustrial.</t>
  </si>
  <si>
    <t>Organizaciones agropecuarias intervenidas</t>
  </si>
  <si>
    <t>560
(372 Nuevos)</t>
  </si>
  <si>
    <t>43.1</t>
  </si>
  <si>
    <t>Fortalecimiento Agroempresarial y Comercial</t>
  </si>
  <si>
    <t>43.2</t>
  </si>
  <si>
    <t>Fortalecimiento de los Esquemas de Comercialización Agropecuaria</t>
  </si>
  <si>
    <t>Adelantar acciones que permitan a las organizaciones agropecuarias realizar prácticas comerciales sostenibles.</t>
  </si>
  <si>
    <t>Organizaciones participando en eventos comerciales y/o de formación</t>
  </si>
  <si>
    <t>43.3</t>
  </si>
  <si>
    <t>Tecnificación y Generación de Valor Agregado de la Producción Agropecuaria</t>
  </si>
  <si>
    <t>Impulsar proyectos que permitan el acceso a bienes y servicios.</t>
  </si>
  <si>
    <t>Planes de mejora de inocuidad y calidad de los alimentos asesorados</t>
  </si>
  <si>
    <t>Convocatorias con recursos Fondo Incentivo a Capitalización (FINCA) Creemos en el campo. Según Ordenanza 014 de 2018 implementadas</t>
  </si>
  <si>
    <t>Inventario de la red de bienes públicos agropecuarios realizado.</t>
  </si>
  <si>
    <t>43.4</t>
  </si>
  <si>
    <t>Red de Apoyo para la Competitividad Agropecuaria</t>
  </si>
  <si>
    <t>Articulación con el Sistema de Información de Abastecimiento Alimentario de la RAPE Región Central articulado</t>
  </si>
  <si>
    <t>Plan logístico de la Región Central integrado</t>
  </si>
  <si>
    <t>Boyacá Avanza Hacia Desarrollo Rural Integral con Enfoque Territorial</t>
  </si>
  <si>
    <t>34.900
(19.900 Nuevos)</t>
  </si>
  <si>
    <t>44.1</t>
  </si>
  <si>
    <t>Adecuación de Tierras</t>
  </si>
  <si>
    <t>Ampliar y/o mejorar la infraestructura de riego, drenaje y adecuación de tierras.</t>
  </si>
  <si>
    <t>Nuevas hectáreas adecuadas mediante sistemas de irrigación.</t>
  </si>
  <si>
    <t>44.2</t>
  </si>
  <si>
    <t>Tecnificación y Modernización del Sector Agropecuario.</t>
  </si>
  <si>
    <t>Bancos de maquinaria agrícola ampliados y/o adquiridos</t>
  </si>
  <si>
    <t>Plan Departamental de manejo integral ganadero desarrollado</t>
  </si>
  <si>
    <t>44.3</t>
  </si>
  <si>
    <t>Planificación y Ordenamiento Productivo</t>
  </si>
  <si>
    <t>Implementar proyectos de ordenamiento social de la producción y formalización de la propiedad rural.</t>
  </si>
  <si>
    <t>Plan estratégico formulado para   la formalización de la propiedad rural en Boyacá</t>
  </si>
  <si>
    <t>Caracterización y gestión del recurso hídrico para uso agropecuario, en el marco de la crisis climática desarrollada.</t>
  </si>
  <si>
    <t>44.4</t>
  </si>
  <si>
    <t>Implementación de la Extensión Agropecuaria</t>
  </si>
  <si>
    <t>44.5</t>
  </si>
  <si>
    <t>Diversificación Productiva</t>
  </si>
  <si>
    <t>Implementar proyectos de diversificación productiva.</t>
  </si>
  <si>
    <t>Convenios de cooperación interinstitucional pública y privada firmados</t>
  </si>
  <si>
    <t>Instrumentos de apalancamiento y financiamiento del sector agropecuario, implementados.</t>
  </si>
  <si>
    <t>44.6</t>
  </si>
  <si>
    <t>Variabilidad Climática y Crisis Climática</t>
  </si>
  <si>
    <t>Implementar proyectos para adaptación y mitigación de los impactos de la variabilidad y crisis climática.</t>
  </si>
  <si>
    <t>Productores atendidos en adaptación a crisis climática</t>
  </si>
  <si>
    <t>44.7</t>
  </si>
  <si>
    <t>Agricultura Campesina, Familiar y Comunitaria (ACFC)</t>
  </si>
  <si>
    <t>Desarrollar una estrategia de producción local de alimentos, mediante la articulación con pequeños y medianos productores rurales y el uso de circuitos cortos de comercialización, procurando así, por nuestra soberanía alimentaria.</t>
  </si>
  <si>
    <t>Productores beneficiados   con la estrategia “Boyacá Nos Alimenta”</t>
  </si>
  <si>
    <t>Política Pública de Agricultura Familiar, Campesina y Comunitaria,  formulada</t>
  </si>
  <si>
    <t>Boyacá Avanza Hacia el Bienestar Campesino</t>
  </si>
  <si>
    <t xml:space="preserve">Desarrollar estrategias sociales y productivas con enfoque diferencial y participativo para el bienestar de las familias campesinas.  </t>
  </si>
  <si>
    <t>14.650 (Nuevos)</t>
  </si>
  <si>
    <t>45.1</t>
  </si>
  <si>
    <t>Una Ruralidad con Enfoque Diferencial y Participativa.</t>
  </si>
  <si>
    <t>Proyectos productivos de agroturismo, turismo rural o turismo de naturaleza operando</t>
  </si>
  <si>
    <t>45.2</t>
  </si>
  <si>
    <t>Cooperación y Articulación Institucional</t>
  </si>
  <si>
    <t>45.3</t>
  </si>
  <si>
    <t>Seguridad Alimentaria y Nutricional</t>
  </si>
  <si>
    <t>Implementar estrategias de seguridad alimentaria y nutricional para garantizar el abastecimiento alimentario de las familias más vulnerables del departamento.</t>
  </si>
  <si>
    <t>Institucionalidad que Avanza Para Fortalecer el Turismo.</t>
  </si>
  <si>
    <t>Crear el Sistema de Turismo de Boyacá que articule la institucionalidad departamento-municipios-nación, a través de los consejos de turismo, comités, mesas técnicas y la participación del sector privado.</t>
  </si>
  <si>
    <t>Sistema de Turismo Departamental, creado</t>
  </si>
  <si>
    <t>46.1</t>
  </si>
  <si>
    <t>Gobernanza que Avanza Para Fortalecer el Turismo</t>
  </si>
  <si>
    <t>Fortalecer los consejos de turismo, comités, mesas técnicas y actores estratégicos del sector turístico.</t>
  </si>
  <si>
    <t>Consejos de turismo, comités y mesas técnicas con la articulación público - privada fortalecida.</t>
  </si>
  <si>
    <t>Boyacá Avanza en la Gestión del Destino</t>
  </si>
  <si>
    <t>Fortalecer los procesos de planificación turística y organización de los destinos, de acuerdo a la vocación natural y cultural, generando valor, diversificando la oferta y dándole sostenibilidad a través de la calidad, la armonización de actividades y atractivos y la integración de los territorios de la Región Central con el desarrollo de productos turísticos.</t>
  </si>
  <si>
    <t>47.1</t>
  </si>
  <si>
    <t>Planificación Turística de los Territorios</t>
  </si>
  <si>
    <t>Desarrollar una estrategia de planificación técnica en la conformación de cadenas de valor regionales, en el aprovechamiento del potencial turístico local y regional en el departamento.</t>
  </si>
  <si>
    <t>Política pública de turismo del departamento, ajustada.</t>
  </si>
  <si>
    <t>Estrategia de recolección y actualización de inventarios turísticos, realizados.</t>
  </si>
  <si>
    <t>Productos y/o paquetes turísticos identificados y documentados a nivel provincial</t>
  </si>
  <si>
    <t xml:space="preserve">Productos y/o rutas naturales suprarregionales implementadas para su comercialización y promoción como biciturismo, ecoturismo, turismo de bienestar, orniturismo, , turismo de aventura, entre otros. </t>
  </si>
  <si>
    <t>Mejor Información y Conectividad Para el Turismo</t>
  </si>
  <si>
    <t>Desarrollar un programa de conectividad turística que permita emplear herramientas tecnológicas modernas, innovadoras e inclusivas para fortalecer la infraestructura turística del departamento.</t>
  </si>
  <si>
    <t>Programa de conectividad e información turística para el departamento desarrollado.</t>
  </si>
  <si>
    <t>48.1</t>
  </si>
  <si>
    <t>Mejores TIC e Infraestructura Para el Turismo</t>
  </si>
  <si>
    <t>Consolidar el SIT de Boyacá, proporcionando a los actores del sector herramientas ágiles, innovadoras, útiles y la puesta en valor de los atractivos turísticos.</t>
  </si>
  <si>
    <t>Sistema de Información Turística, consolidado.</t>
  </si>
  <si>
    <t>Herramienta digital para la promoción turística, diseñada.</t>
  </si>
  <si>
    <t>Nuevos PITS implementados.</t>
  </si>
  <si>
    <t>Puntos de Información Turística a cargo del departamento en constante operatividad.</t>
  </si>
  <si>
    <t>Recorridos o rutas turísticas señalizadas.</t>
  </si>
  <si>
    <t>Campañas de marketing digital y promoción del SITUR Boyacá realizadas.</t>
  </si>
  <si>
    <t>Investigación en inteligencia de mercados realizadas</t>
  </si>
  <si>
    <t>Innovación y Desarrollo Turístico en Boyacá</t>
  </si>
  <si>
    <t>49.1</t>
  </si>
  <si>
    <t xml:space="preserve">Mejoramiento de la Calidad de los Servicios Turísticos en el Departamento.  </t>
  </si>
  <si>
    <t>Establecer alianzas que contribuyan a disminuir la informalidad y realizar estrategias de implementación de NTS para mejorar la calidad en el servicio.</t>
  </si>
  <si>
    <t>Alianzas establecidas para disminuir la informalidad de los empresarios de servicios turísticos.</t>
  </si>
  <si>
    <t>Estrategias para implementación de NTS y de bioseguridad turística, realizadas.</t>
  </si>
  <si>
    <t>Estrategias de turismo sostenible, realizadas.</t>
  </si>
  <si>
    <t>Campañas de responsabilidad social en turismo para todos, implementadas.</t>
  </si>
  <si>
    <t>Campañas de comercio justo en turismo, realizadas.</t>
  </si>
  <si>
    <t>49.2</t>
  </si>
  <si>
    <t>Ruedas de Encadenamiento y Gestión Turística</t>
  </si>
  <si>
    <t>Desarrollar una estrategia para asistir técnicamente a prestadores del servicio del sector turismo, que promuevan el emprendimiento, la asociatividad y el manejo de tecnologías.</t>
  </si>
  <si>
    <t>Ruedas de encadenamiento turístico, realizadas.</t>
  </si>
  <si>
    <t>Estrategia de reactivación económica y social con el sector público y privado, implementada</t>
  </si>
  <si>
    <t>Talento Humano en Boyacá Avanza Hacia la Competitividad</t>
  </si>
  <si>
    <t>Desarrollar programas de formación para fortalecer las competencias y habilidades de los prestadores de servicios turísticos del departamento.</t>
  </si>
  <si>
    <t>Programas de formación para sector turismo, desarrollados.</t>
  </si>
  <si>
    <t>50.1</t>
  </si>
  <si>
    <t>Fortalecimiento de Habilidades y Competencias del Talento Humano</t>
  </si>
  <si>
    <t>Alianzas   establecidas con instituciones de formación en turismo.</t>
  </si>
  <si>
    <t>Colegios amigos del turismo, fortalecidos.</t>
  </si>
  <si>
    <t>Investigaciones en turismo, realizadas.</t>
  </si>
  <si>
    <t>Boyacá es Para Vivirla</t>
  </si>
  <si>
    <t>Utilizar una estrategia de promoción y comercialización, acorde a la vocación turística y a las necesidades del departamento.</t>
  </si>
  <si>
    <t>Programa de promoción turística del departamento, implementado.</t>
  </si>
  <si>
    <t>51.1</t>
  </si>
  <si>
    <t>Posicionando a Boyacá a Través de la Promoción</t>
  </si>
  <si>
    <t>Generar campañas de promoción con alcance suprarregional, basadas en la vocación, planificación, diseño de producto y fortalecimiento de destino y participar en ferias y eventos de turismo regionales, nacionales e internacionales, mostrando la oferta turística del departamento.</t>
  </si>
  <si>
    <t>Estrategia conjunta de promoción de escala regional a partir de la oferta turística más relevante, dispuesta por cada uno de los territorios de la RAPE Región Central y el IDT de Bogotá realizada</t>
  </si>
  <si>
    <t>Estrategias de participación a Ferias y eventos de turismo regionales, suprarregionales nacionales e internacionales implementadas</t>
  </si>
  <si>
    <t>Concurso el pueblo más lindo de Boyacá, realizado.</t>
  </si>
  <si>
    <t>Estrategias de comunicación desarrolladas para promocionar turísticamente a Boyacá como destino.</t>
  </si>
  <si>
    <t>Promoción y Fomento para el Fortalecimiento Minero Energético</t>
  </si>
  <si>
    <t>Municipios beneficiados con actividades de promoción, fomento y fortalecimiento minero energético.</t>
  </si>
  <si>
    <t>60
 20  (Nuevos)</t>
  </si>
  <si>
    <t>52.1</t>
  </si>
  <si>
    <t>Sensibilización y Divulgación Minero Energética</t>
  </si>
  <si>
    <t>Implementar estrategias de sensibilización en seguridad minera, promoción, fomento y fortalecimiento mediante campañas publicitarias, organización y/o participación en   eventos a nivel municipal, departamental, nacional y demás estrategias en pro del sector minero energético del departamento.</t>
  </si>
  <si>
    <t>Campañas publicitarias de sensibilización y divulgación de información del sector minero energético, realizadas.</t>
  </si>
  <si>
    <t>Programas de sensibilización y promoción en cultura, seguridad   fortalecimiento y fomento minero, realizados.</t>
  </si>
  <si>
    <t>Eventos de promoción y fomento del sector minero energético, apoyados y/u organizados.</t>
  </si>
  <si>
    <t>52.2</t>
  </si>
  <si>
    <t>Fortalecimiento del Sector Minero Energético de Boyacá</t>
  </si>
  <si>
    <t>Elaborar estudios que reflejen la realidad del sector minero energético del departamento y que permitan la proyección del mismo, así como   la toma de decisiones y planificación del sector en aras de fortalecerlo a mediano y largo plazo.</t>
  </si>
  <si>
    <t>Documentos formulados del Plan de Desarrollo Minero Energético del departamento de Boyacá - Visión 20/40</t>
  </si>
  <si>
    <t>Documentos de caracterización, diagnóstico y prospectiva, realizados.</t>
  </si>
  <si>
    <t>Política pública de minería formulada.</t>
  </si>
  <si>
    <t>Formalización y Asistencia Integral Minera</t>
  </si>
  <si>
    <t>Unidades de producción minera con estándares de formalización y de competitividad incrementados.</t>
  </si>
  <si>
    <t>53.1</t>
  </si>
  <si>
    <t>Asistencia Integral Minera</t>
  </si>
  <si>
    <t>Realizar diagnóstico del estado actual en las Unidades de Producción Minera UPM, formular y revisar los planes de mejora, con el fin de elevar el nivel de formalización en el sector.</t>
  </si>
  <si>
    <t>Diagnóstico y formulación de plan de mejora a UPM, realizados.</t>
  </si>
  <si>
    <t>Visitas de revisión de avance en el plan de mejora,    realizadas a unidades de producción minera</t>
  </si>
  <si>
    <t>Mineros tradicionales y de subsistencia,   fortalecidos técnica e integralmente.</t>
  </si>
  <si>
    <t>N.D</t>
  </si>
  <si>
    <t>40       </t>
  </si>
  <si>
    <t>53.2</t>
  </si>
  <si>
    <t>Asistencia a Mineros no Regularizados.</t>
  </si>
  <si>
    <t>Fortalecer la minería de subsistencia, bajo el cumplimiento de los procedimientos y requisitos definidos en las normas nacionales y las regulaciones definidas por el Ministerio de Minas y Energía.</t>
  </si>
  <si>
    <t>Procesos de regularización de la minería tradicional y de subsistencia en el departamento de Boyacá.</t>
  </si>
  <si>
    <t>Visita de instrucción y asistencia técnica realizadas a mineros tradicionales y de subsistencia.</t>
  </si>
  <si>
    <t>Sector Minero Energético Avanza en Capacitación</t>
  </si>
  <si>
    <t>Capacitar personas relacionadas con el sector minero energético, acorde a los requerimientos establecidos.</t>
  </si>
  <si>
    <t>Personas involucradas en el sector minero energético con capacidades y competencias desarrolladas y fortalecidas, en pro de una minería más responsable</t>
  </si>
  <si>
    <t>2.255 (Nuevos)</t>
  </si>
  <si>
    <t>54.1</t>
  </si>
  <si>
    <t>Seguridad minera</t>
  </si>
  <si>
    <t>Capacitar personas en temas de seguridad minera.</t>
  </si>
  <si>
    <t>Personas capacitadas en seguridad minera.</t>
  </si>
  <si>
    <t>54.2</t>
  </si>
  <si>
    <t>Avance del Nivel Educativo</t>
  </si>
  <si>
    <t xml:space="preserve">Impulsar a los trabajadores mineros que se encuentran por fuera del sistema educativo,  para completar su ciclo educativo (primaria, media o secundaria).
 </t>
  </si>
  <si>
    <t>NA</t>
  </si>
  <si>
    <t>54.3</t>
  </si>
  <si>
    <t>Minería Capacitada Empresarialmente</t>
  </si>
  <si>
    <t>Titulares, empresarios mineros, trabajadores con conocimiento administrativo recibido.</t>
  </si>
  <si>
    <t>54.4</t>
  </si>
  <si>
    <t>Funcionarios Municipales Y Departamentales Capacitados</t>
  </si>
  <si>
    <t>Autoridades y funcionarios capacitados en competencias relacionadas con su cargo y en temas mineros y afines.</t>
  </si>
  <si>
    <t>54.5</t>
  </si>
  <si>
    <t>Sensibilización en Temas Relacionados con el Sector Minero Energético</t>
  </si>
  <si>
    <t>Transmitir conocimiento en temas relacionados con el sector minero energético, a personas interesadas mediante diferentes metodologías de aprendizaje.</t>
  </si>
  <si>
    <t>Personas interesadas en el sector minero energético   con conocimientos adquiridos.</t>
  </si>
  <si>
    <t>Agrominería Para El Desarrollo Sustentable De Boyacá</t>
  </si>
  <si>
    <t>Promover la implementación de proyectos productivos sustentables, mediante el fortalecimiento de iniciativas en zonas de influencia del sector minero energético, generando fuentes alternativas de empleo e ingresos que potencien sinergias para el desarrollo económico, ambiental y humano.</t>
  </si>
  <si>
    <t>10       </t>
  </si>
  <si>
    <t>55.1</t>
  </si>
  <si>
    <t>Territorios Agromineros de Boyacá – TAB</t>
  </si>
  <si>
    <t>55.2</t>
  </si>
  <si>
    <t>Promover la adopción de prácticas y técnicas empresariales dirigidas a los diversos grupos poblacionales beneficiados (mujeres, jóvenes, adultos mayores, personas con capacidades distintas, entre otros).</t>
  </si>
  <si>
    <t>55.3</t>
  </si>
  <si>
    <t>Empresas Agromineras Sustentables - EAS, en Zonas Minero Energéticas</t>
  </si>
  <si>
    <t>Promover la creación y/o fortalecimiento de actividades agrícolas, pecuarias y/o forestales en zonas de actividades del sector minero.</t>
  </si>
  <si>
    <t>Iniciativas    de agrominería sustentables implementados y/o fortalecidos dentro de áreas mineras</t>
  </si>
  <si>
    <t>Boyacá Avanza en Mecanismos Alternativos de Solución de Conflictos Minero-Energéticos de Boyacá</t>
  </si>
  <si>
    <t>Adelantar acciones de interlocución entre los sectores y personas en conflicto con actividades minero energética, con el fin de prevenir, atender y concertar estrategias en aras de resolver conflictos.</t>
  </si>
  <si>
    <t>10
   (7 Nuevos)</t>
  </si>
  <si>
    <t>56.1</t>
  </si>
  <si>
    <t>Mesas de Prevención y Atención de Conflictos</t>
  </si>
  <si>
    <t>Mesas de diálogo y concertación desarrolladas en municipios con conflictos mineros.</t>
  </si>
  <si>
    <t>Boyacá Avanza en Productividad Empresarial</t>
  </si>
  <si>
    <t>980 (Nuevos)</t>
  </si>
  <si>
    <t>57.1</t>
  </si>
  <si>
    <t>Emprendamos para Avanzar</t>
  </si>
  <si>
    <t>57.2</t>
  </si>
  <si>
    <t>Herramientas Gerenciales y de Innovación</t>
  </si>
  <si>
    <t>Fortalecer empresas con herramientas gerenciales e innovación.</t>
  </si>
  <si>
    <t>57.3</t>
  </si>
  <si>
    <t xml:space="preserve">Boyacá Avanza en la Industria de Alimentos Procesados
</t>
  </si>
  <si>
    <t>Fortalecer la industria de alimentos procesados hacia la competitividad sectorial y de las empresas que dan valor agregado a materias primas.</t>
  </si>
  <si>
    <t>57.4</t>
  </si>
  <si>
    <t>Avanzamos en el Fortalecimiento Artesanal</t>
  </si>
  <si>
    <t>57.5</t>
  </si>
  <si>
    <t>Avanzamos en la Apertura de Mercados Internacionales</t>
  </si>
  <si>
    <t>Boyacá Avanza en Oportunidades para el Desarrollo Económico Territorial</t>
  </si>
  <si>
    <t>Actores para desarrollo territorial vinculados</t>
  </si>
  <si>
    <t>58.1</t>
  </si>
  <si>
    <t>Con Nuestras Regiones Avanzamos</t>
  </si>
  <si>
    <t>58.2</t>
  </si>
  <si>
    <t>Avanzamos Unidos por el Trabajo Decente</t>
  </si>
  <si>
    <t>58.3</t>
  </si>
  <si>
    <t>Avanzamos en la Articulación para la Competitividad</t>
  </si>
  <si>
    <t>Articular la comisión regional de competitividad para el cumplimiento de la agenda departamental de competitividad e innovación.</t>
  </si>
  <si>
    <t>Estrategias para la competitividad implementadas</t>
  </si>
  <si>
    <t>58.4</t>
  </si>
  <si>
    <t>Boyacá Avanza en la Atracción de Inversión</t>
  </si>
  <si>
    <t>Generar estrategias para incentivar la inversión y los negocios en el departamento de Boyacá.</t>
  </si>
  <si>
    <t xml:space="preserve"> DESARROLLO AGRARIO</t>
  </si>
  <si>
    <t xml:space="preserve"> MINERÍA</t>
  </si>
  <si>
    <t xml:space="preserve"> TURISMO</t>
  </si>
  <si>
    <t xml:space="preserve"> REACTIVACIÓN ECONÓMICA Y GENERACIÓN DE INGRESOS</t>
  </si>
  <si>
    <t xml:space="preserve"> CULTURA Y PATRIMONIO</t>
  </si>
  <si>
    <t xml:space="preserve"> DEPORTE </t>
  </si>
  <si>
    <t xml:space="preserve"> DESIGUALDAD Y POBREZA</t>
  </si>
  <si>
    <t xml:space="preserve"> EDUCACIÓN</t>
  </si>
  <si>
    <t xml:space="preserve"> INCLUSIÓN SOCIAL</t>
  </si>
  <si>
    <t xml:space="preserve"> INFANCIA, FAMILIA Y JUVENTUD</t>
  </si>
  <si>
    <t xml:space="preserve"> INTERCULTURALIDAD</t>
  </si>
  <si>
    <t xml:space="preserve"> PAZ Y RECONCILIACIÓN</t>
  </si>
  <si>
    <t>SALUD Y BIENESTAR</t>
  </si>
  <si>
    <t xml:space="preserve"> VIVIENDA Y HÁBITAT</t>
  </si>
  <si>
    <t xml:space="preserve"> AMBIENTE Y BIODIVERSIDAD</t>
  </si>
  <si>
    <t>Conservación de Ecosistemas Estratégicos</t>
  </si>
  <si>
    <t>Intervenir áreas protegidas y de importancia estratégica mediante protección, conservación y recuperación.</t>
  </si>
  <si>
    <t>59.1</t>
  </si>
  <si>
    <t>Recuperación de Ecosistemas</t>
  </si>
  <si>
    <t>Formular y ejecutar proyectos que permitan la recuperación de ecosistemas de bosques y páramos en el departamento con procesos de reforestación, restauración y aislamiento.</t>
  </si>
  <si>
    <t>Acciones para la protección y conservación de ecosistemas de páramos desarrolladas.</t>
  </si>
  <si>
    <t>59.2</t>
  </si>
  <si>
    <t>Protección y Conservación de Ecosistemas Estratégicos de Interés Hídrico</t>
  </si>
  <si>
    <t>Implementar estrategias para la adquisición, conservación, protección y compensación de áreas de interés hídrico.</t>
  </si>
  <si>
    <t>Nuevas hectáreas de interés hídrico adquiridas</t>
  </si>
  <si>
    <t>Hectáreas</t>
  </si>
  <si>
    <t>Acciones para la protección y conservación de ecosistemas de recurso hídrico desarrolladas</t>
  </si>
  <si>
    <t>59.3</t>
  </si>
  <si>
    <t>Avanzamos con la Política Pública de Protección y Bienestar Animal</t>
  </si>
  <si>
    <t xml:space="preserve">Acciones de bienestar y protección animal apoyadas. </t>
  </si>
  <si>
    <t>Plan de acción de la PPPBA construido</t>
  </si>
  <si>
    <t>Negocios Verdes y Sostenibles</t>
  </si>
  <si>
    <t>Apoyar la promoción cadenas productivas como negocios verdes sostenibles, con base en la oferta de bienes o servicios ambientales de bajo impacto.</t>
  </si>
  <si>
    <t>60.1</t>
  </si>
  <si>
    <t>Biocomercio Sostenible</t>
  </si>
  <si>
    <t>60.2</t>
  </si>
  <si>
    <t>Avanzando en la Propagación de Material Vegetal</t>
  </si>
  <si>
    <t>Producir material vegetal para fortalecer la capacidad de recuperación de los ecosistemas naturales del departamento</t>
  </si>
  <si>
    <t>Educación, Participación y Cultura Ambiental</t>
  </si>
  <si>
    <t>Implementar acciones orientadas al fortalecimiento de la educación ambiental y la participación ciudadana en los municipios del departamento.</t>
  </si>
  <si>
    <t>61.1</t>
  </si>
  <si>
    <t>Comunicación Ambiental para la Sostenibilidad</t>
  </si>
  <si>
    <t>Implementar estrategias de comunicación orientadas al fomento de la educación ambiental.</t>
  </si>
  <si>
    <t>61.2</t>
  </si>
  <si>
    <t>Avanzamos en la Educación Ambiental.</t>
  </si>
  <si>
    <t xml:space="preserve">Fortalecer los mecanismos organizados de gestión de Educación Ambiental.	</t>
  </si>
  <si>
    <t>Encuentros Regionales de Educación Ambiental realizados</t>
  </si>
  <si>
    <t>Política Pública Ambiental formulada</t>
  </si>
  <si>
    <t xml:space="preserve">Creación de espacios para la prevención y resolución de conflictos socioambientales de Boyacá </t>
  </si>
  <si>
    <t>GOBERNANZA DEL AGUA</t>
  </si>
  <si>
    <t>Gobernanza del Agua</t>
  </si>
  <si>
    <t xml:space="preserve">61,66
(12.03 PP Nuevos) </t>
  </si>
  <si>
    <t>62.1</t>
  </si>
  <si>
    <t>Fortalecimiento de las Asociaciones de Suscriptores de Acueductos Rurales.</t>
  </si>
  <si>
    <t xml:space="preserve">Mejorar la gestión para la prestación de los servicios en acueductos rurales. </t>
  </si>
  <si>
    <t xml:space="preserve">Asociación de Acueductos rurales asesorados en la elaboración de los planes de contingencia </t>
  </si>
  <si>
    <t>Cumplimiento del Plan de Aseguramiento para el fortalecimiento de los municipios.</t>
  </si>
  <si>
    <t>93
(10 P.P Nuevos)</t>
  </si>
  <si>
    <t>62.2</t>
  </si>
  <si>
    <t xml:space="preserve">Fortalecimiento a Prestadores y Operadores de Servicios Públicos </t>
  </si>
  <si>
    <t>Apoyos para el fortalecimiento administrativo, comercial y financiero de los prestadores priorizados por el PACA realizados</t>
  </si>
  <si>
    <t>Gestión Social para el Desarrollo y Participación Comunitaria</t>
  </si>
  <si>
    <t>Cumplir con el Plan de Gestión Social del Plan Departamental de Aguas que incide en la prestación de los servicios públicos domicilios de los municipios vinculados.</t>
  </si>
  <si>
    <t>63.1</t>
  </si>
  <si>
    <t>Participación, Comunicación y Capacitación de los Actores Vinculados y Participantes del PDA</t>
  </si>
  <si>
    <t xml:space="preserve">Fortalecer los mecanismos y espacios de participación, comunicación y capacitación a los actores y participantes del plan departamental de aguas, con el fin de promover la cultura del agua, mediante la transformación de hábitos que propendan por el uso eficiente y cuidado del recurso hídrico. </t>
  </si>
  <si>
    <t>Municipios acompañados en la conformación y fortalecimiento de veedurías ciudadanas y comités de control social.</t>
  </si>
  <si>
    <t>Calidad del Agua para Consumo Humano</t>
  </si>
  <si>
    <t xml:space="preserve">40
(-4,02 P.P) </t>
  </si>
  <si>
    <t>64.1</t>
  </si>
  <si>
    <t>Calidad de Agua para Consumo Humano en el Sector Rural.</t>
  </si>
  <si>
    <t>Estudios y diseños de sistemas de captación y/o sistemas de tratamiento de agua potable para la obtención de la concesión y autorización sanitaria realizados.</t>
  </si>
  <si>
    <t>64.2</t>
  </si>
  <si>
    <t>Infraestructura de Sistemas de Tratamiento de Agua Potable en el Sector Rural.</t>
  </si>
  <si>
    <t>PTAP rurales construidas</t>
  </si>
  <si>
    <t xml:space="preserve">4,54
(-1 P.P) </t>
  </si>
  <si>
    <t>64.3</t>
  </si>
  <si>
    <t>Calidad de Agua para Consumo Humano en el Sector Urbano</t>
  </si>
  <si>
    <t>Mejorar las condiciones de la prestación del servicio de agua potable en el departamento de Boyacá.</t>
  </si>
  <si>
    <t>Cobertura del Agua</t>
  </si>
  <si>
    <t>64,61
(0.24 P. P Nuevo)</t>
  </si>
  <si>
    <t>65.1</t>
  </si>
  <si>
    <t xml:space="preserve">Población Rural con Suministro de Agua </t>
  </si>
  <si>
    <t xml:space="preserve">Desarrollar estrategias que permitan garantizar el servicio de acueducto en la población del sector rural. </t>
  </si>
  <si>
    <t>65.2</t>
  </si>
  <si>
    <t>Infraestructura de Sistemas de Acueductos Rurales.</t>
  </si>
  <si>
    <t xml:space="preserve">99.3
(0.04 P. P Nuevo) </t>
  </si>
  <si>
    <t>65.3</t>
  </si>
  <si>
    <t>Abastecimiento Urbano del Recurso Hídrico</t>
  </si>
  <si>
    <t xml:space="preserve">Ampliar la cobertura de la prestación del servicio de agua potable en el departamento de Boyacá </t>
  </si>
  <si>
    <t>Cobertura de Alcantarillado</t>
  </si>
  <si>
    <t xml:space="preserve">9,86
(0.05 P.P Nuevos) </t>
  </si>
  <si>
    <t>66.1</t>
  </si>
  <si>
    <t>Población Rural con Disposición de Aguas Residuales.</t>
  </si>
  <si>
    <t xml:space="preserve">98
(0.08 P. P Nuevos) </t>
  </si>
  <si>
    <t>66.2</t>
  </si>
  <si>
    <t xml:space="preserve">Saneamiento Básico Urbano Sustentable </t>
  </si>
  <si>
    <t>Boyacá Avanza por la Salvaguarda y Recuperación del Lago de Tota</t>
  </si>
  <si>
    <t>Gestionar acciones que permitan y promuevan la salvaguarda, recuperación y cuidado del Lago de Tota.</t>
  </si>
  <si>
    <t>Instancia departamental de articulación y trabajo por el Lago de Tota constituida</t>
  </si>
  <si>
    <t>67.1</t>
  </si>
  <si>
    <t>Boyacá se Articula por el Lago de Tota</t>
  </si>
  <si>
    <t>Focalizar sinergias entre el Estado y la sociedad civil para la protección y salvaguarda del lago de tota</t>
  </si>
  <si>
    <t>Plan estratégico cuatrienal para la salvaguarda y cuidado del Lago de Tota formulado</t>
  </si>
  <si>
    <t>Acciones e inversiones gestionadas para la recuperación y restauración de la cuenca del Lago de Tota</t>
  </si>
  <si>
    <t>GESTIÓN INTEGRAL DE RESIDUOS</t>
  </si>
  <si>
    <t>Residuos Sólidos y Economía Circular</t>
  </si>
  <si>
    <t>Toneladas</t>
  </si>
  <si>
    <t>68.1</t>
  </si>
  <si>
    <t>Manejo Sostenible de Residuos Sólidos</t>
  </si>
  <si>
    <t xml:space="preserve">98.99
(1.00 P. P Nuevo) </t>
  </si>
  <si>
    <t>68.2</t>
  </si>
  <si>
    <t xml:space="preserve">Gestión Integral de los Residuos Sólidos </t>
  </si>
  <si>
    <t>Plan Integral de Residuos Sólidos del departamento formulado</t>
  </si>
  <si>
    <t>Estudio de alternativas para el tratamiento de residuos sólidos; la ampliación y/o nuevos rellenos sanitarios realizados</t>
  </si>
  <si>
    <t>Estrategias para el manejo y la disposición de desechos de pacientes con COVID 19 que se encuentran en hogares en el departamento de Boyacá, implementada.</t>
  </si>
  <si>
    <t>Nuevos Planes de Gestión Integral de Residuos Sólidos actualizados.</t>
  </si>
  <si>
    <t>Municipios apoyados en la implementación de los diferentes componentes del Plan de Gestión Integral de Residuos Sólidos.</t>
  </si>
  <si>
    <t>CRISIS CLIMÁTICA Y GESTIÓN DEL RIESGO</t>
  </si>
  <si>
    <t>Cambio Climático y Gestión Del Riesgo</t>
  </si>
  <si>
    <t xml:space="preserve">Municipios atendidos con acciones y estrategias para afrontar los efectos adversos al cambio climático </t>
  </si>
  <si>
    <t>30
(17 P.P Nuevos)</t>
  </si>
  <si>
    <t>69.1</t>
  </si>
  <si>
    <t>Gestión Territorial Del Cambio Climático.</t>
  </si>
  <si>
    <t>69.2</t>
  </si>
  <si>
    <t>Avanzando por la Calidad del Aire.</t>
  </si>
  <si>
    <t>Gestión del Riesgo en Servicios Públicos Domiciliarios - AAA</t>
  </si>
  <si>
    <t xml:space="preserve">Fortalecer la gestión de riesgo en los prestadores de los servicios públicos de Acueducto, Alcantarillado y Aseo. </t>
  </si>
  <si>
    <t>96
(16 Nuevos)</t>
  </si>
  <si>
    <t>70.1</t>
  </si>
  <si>
    <t>Conocimiento, Reducción y Manejo del Riesgo en Servicios Públicos Domiciliarios.</t>
  </si>
  <si>
    <t xml:space="preserve">Apoyar a los prestadores de los servicios públicos de Acueducto, Alcantarillo y Aseo en la identificación del riesgo que impide la continuidad de los servicios, a fin de mejorar la capacidad de formulación y/o actualización de los planes de emergencia y contingencia. </t>
  </si>
  <si>
    <t>Boyacá Sigue Avanzando en Gestión del Riesgo</t>
  </si>
  <si>
    <t>Municipios asistidos técnicamente en gestión del riesgo de desastres</t>
  </si>
  <si>
    <t>71.1</t>
  </si>
  <si>
    <t>Boyacá Sigue Avanzando en Conocimiento del Riesgo de Desastres</t>
  </si>
  <si>
    <t>Capacitaciones para el conocimiento de la GRD Realizadas</t>
  </si>
  <si>
    <t>71.2</t>
  </si>
  <si>
    <t>Boyacá Sigue Avanzando en Reducción del Riesgo de Desastres.</t>
  </si>
  <si>
    <t>71.3</t>
  </si>
  <si>
    <t>Boyacá Sigue Avanzando en Manejo de Desastres</t>
  </si>
  <si>
    <t xml:space="preserve">PLANIFICACIÓN TERRITORIAL   </t>
  </si>
  <si>
    <t>Ordenamiento Territorial para el Desarrollo Departamental</t>
  </si>
  <si>
    <t>Ordenamiento Territorial en Boyacá Fortalecido</t>
  </si>
  <si>
    <t>60
(20 P, P Nuevo)</t>
  </si>
  <si>
    <t>72.1</t>
  </si>
  <si>
    <t>Boyacá Avanza en el Ajuste de los Planes de Ordenamiento Territorial y Departamental</t>
  </si>
  <si>
    <t>Municipios con procesos de actualización de sus Planes de Ordenamiento Territorial cofinanciados</t>
  </si>
  <si>
    <t>Desarrollo de componentes jurídicos, históricos y/o sociales, para la solución de conflictos limítrofes generados en el departamento</t>
  </si>
  <si>
    <t>107
(60 Nuevos)</t>
  </si>
  <si>
    <t>72.2</t>
  </si>
  <si>
    <t>Boyacá con Límites Territoriales Definidos</t>
  </si>
  <si>
    <t>técnicos limítrofes del ámbito municipal y departamental y orientación en los procesos de deslinde ante el IGAC.</t>
  </si>
  <si>
    <t>Socializaciones de bordes o líneas limítrofes municipales y departamentales realizadas</t>
  </si>
  <si>
    <t>Planes Estratégicos para el Desarrollo Territorial</t>
  </si>
  <si>
    <t>2
(1 Nuevo)</t>
  </si>
  <si>
    <t>73.1</t>
  </si>
  <si>
    <t>Pacto Territorial Bicentenario</t>
  </si>
  <si>
    <t>Programa de fortalecimiento a la conectividad vial gestionadas</t>
  </si>
  <si>
    <t>Programa de fortalecimiento a la competitividad turística gestionadas</t>
  </si>
  <si>
    <t>INTEGRACIÓN REGIONAL Y COOPERACIÓN</t>
  </si>
  <si>
    <t>Gestión Territorial con Enfoque Prospectivo</t>
  </si>
  <si>
    <t>Establecer una visión regional de largo plazo para el departamento que permita aumentar su capacidad competitiva.</t>
  </si>
  <si>
    <t>Índice de competitividad del departamento mejorado a través del aumento en el pilar de Sofisticación y Diversificación</t>
  </si>
  <si>
    <t>5,25 (0,4P. Nuevos)*</t>
  </si>
  <si>
    <t>74.1</t>
  </si>
  <si>
    <t>Elaborar los documentos técnicos de prospectiva e internacionalización que permitan el desarrollo de una planeación estratégica en el departamento de Boyacá.</t>
  </si>
  <si>
    <t>Boyacá Avanza en la Internacionalización Bajo una Visión Prospectiva</t>
  </si>
  <si>
    <t>Plan de Internacionalización de Boyacá formulado e implementado.</t>
  </si>
  <si>
    <t>74.2</t>
  </si>
  <si>
    <t>Boyacá es Región</t>
  </si>
  <si>
    <t>Facilitar la articulación entre municipios para la elaboración de proyectos que impacten a las comunidades desde el orden regional.</t>
  </si>
  <si>
    <t>Programas con la RAPE para el desarrollo del departamento promovidos.</t>
  </si>
  <si>
    <t>Cooperación Nacional e Internacional Articulada de Boyacá – En Atención a la Emergencia y Post-Emergencia COVID-19</t>
  </si>
  <si>
    <t>Esquema de cooperación, atracción de inversión, alianzas y gestión de apoyos articulado a nivel regional, nacional e Internacional.</t>
  </si>
  <si>
    <t>75.1</t>
  </si>
  <si>
    <t>Cooperación Nacional E Internacional Para La Activación De Apoyo Frente a la Emergencia y la Post-Emergencia Por COVID-19</t>
  </si>
  <si>
    <t xml:space="preserve">Fortalecer la cooperación nacional e internacional del departamento y el apoyo de atención a la emergencia por COVID-19 </t>
  </si>
  <si>
    <t>Apoyos de cooperación para atención a la emergencia por COVID-19, la post- emergencia y proyectos sectoriales gestionados</t>
  </si>
  <si>
    <t>75.2</t>
  </si>
  <si>
    <t>Competencias Territoriales y establecimiento de Alianzas a Nivel Regional, Nacional e Internacional</t>
  </si>
  <si>
    <t>Desarrollar acciones para el desarrollo competencias territoriales para la internacionalización del sector empresarial, cultural y del turismo logrando la atracción de inversión y el posicionamiento de la oferta exportable, cultural y turística a nivel regional, nacional e internacional.</t>
  </si>
  <si>
    <t>Misiones comerciales y encuentro de carácter internacional realizados</t>
  </si>
  <si>
    <t>Misiones comerciales, ruedas de negocios, ferias, exposiciones, show rooms a nivel Nacional realizados</t>
  </si>
  <si>
    <t>Exposiciones y muestras artísticas y culturales desarrolladas</t>
  </si>
  <si>
    <t xml:space="preserve">Número </t>
  </si>
  <si>
    <t>Integración Región, Globalización Territorial Y Legados Innovadores Para El Futuro.</t>
  </si>
  <si>
    <t>Mantener el posicionamiento del departamento de Boyacá en el puesto 10 del índice de competitividad departamental.</t>
  </si>
  <si>
    <t>Departamento de Boyacá mantiene su posicionamiento en el índice departamental de competitividad según el Ranking 2019.</t>
  </si>
  <si>
    <t>76.1</t>
  </si>
  <si>
    <t>Integración Región, Globalización Territorial Y Legados Innovadores Para El Futuro</t>
  </si>
  <si>
    <t>Promover estrategias de promoción para el reconocimiento del departamento de Boyacá, la articulación institucional y el impulso de esquemas de reconocimiento de la región, el fortalecimiento empresarial y competitivo del departamento con el fin de ejecutar nuevas oportunidades entre otras ofertas innovadoras del sector agrícola,  de economía digital, negocios verdes, economía cultural (naranja) y desarrollo turístico preparándolo para responder oportunamente a los retos que genera la globalización de la economía.</t>
  </si>
  <si>
    <t>Estudio de Identificación de oferta comercial y la oferta exportable del departamento asociada a sectores estratégicos elaborado.</t>
  </si>
  <si>
    <t xml:space="preserve">Estrategia de producción y difusión audiovisual de escala Internacional “La ruana de mis abuelos: legados para la sostenibilidad del futuro" desarrollada </t>
  </si>
  <si>
    <t>Acciones de promoción regional y nacional de experiencias turísticas asociadas al Patrimonio cultural material e inmaterial- ancestral realizada.</t>
  </si>
  <si>
    <t>Transferencia de prácticas Internacionales exitosas a provincias del departamento realizadas.</t>
  </si>
  <si>
    <t>Estrategias de promoción y proyección para el desarrollo cultural de Boyacá, y de sus festivales, para el reconocimiento nacional e internacional implementadas.</t>
  </si>
  <si>
    <t>Estrategia de identificación y contacto de la comunidad Boyacense residente en Bogotá y el Exterior desarrollada.</t>
  </si>
  <si>
    <t>Eventos de articulación de las colonias y organizaciones boyacenses con el departamento realizados</t>
  </si>
  <si>
    <t>Feria Nacional que contribuya al reconocimiento y posicionamiento del departamento realizada</t>
  </si>
  <si>
    <t>Propuestas de innovación gastronómica con productos  boyacenses agrícolas y derivados de alto valor nutricional desarrolladas.</t>
  </si>
  <si>
    <t>CONOCIMIENTO E INNOVACIÓN</t>
  </si>
  <si>
    <t>TECNOLOGÍAS DE LA INFORMACIÓN</t>
  </si>
  <si>
    <t>Educación y Apropiación de TIC</t>
  </si>
  <si>
    <t>Generar estrategias que permitan fomentar el uso y apropiación de las TIC en las entidades públicas.</t>
  </si>
  <si>
    <t>Municipios apoyados con la entrega de herramientas TIC</t>
  </si>
  <si>
    <t>40      (Nuevos)</t>
  </si>
  <si>
    <t>77.1</t>
  </si>
  <si>
    <t>Alfabetización Digital</t>
  </si>
  <si>
    <t>Personas en formación de las TIC alfabetizadas.</t>
  </si>
  <si>
    <t>Jornadas educativas para fomentar la apropiación y uso responsable de las TIC realizadas.</t>
  </si>
  <si>
    <t>Personas con discapacidad, capacitadas en el desarrollo de habilidades en herramientas TIC.</t>
  </si>
  <si>
    <t>77.2</t>
  </si>
  <si>
    <t>Herramientas TIC a Instituciones Educativas Públicas.</t>
  </si>
  <si>
    <t>Aprovisionar terminales o herramientas TIC junto con contenidos educativos digitales a las instituciones educativas públicas del departamento y dotar de servidores con contenidos educativos digitales a instituciones educativas apartadas en zonas rurales que no cuentan con conectividad.</t>
  </si>
  <si>
    <t>Equipos terminales o herramientas TIC entregados a las Instituciones educativas públicas.</t>
  </si>
  <si>
    <t>Sedes rurales dotadas con servidores de contenidos educativos digitales.</t>
  </si>
  <si>
    <t>Kits de energías renovables y/o kits de electrónica entregados a instituciones educativas públicas.</t>
  </si>
  <si>
    <t>77.3</t>
  </si>
  <si>
    <t>Centros Tecnológicos</t>
  </si>
  <si>
    <t>Mejorar las condiciones de las salas de tecnología en las entidades públicas de tal forma que sean incluyentes y que permitan generar espacios de formación en TIC para personas con discapacidad.</t>
  </si>
  <si>
    <t xml:space="preserve">Centros tecnológicos construidos, dotados o adecuados incluyentes con la población con discapacidad. </t>
  </si>
  <si>
    <t xml:space="preserve">Conectividad TIC </t>
  </si>
  <si>
    <t>Asesorar entidades públicas en programas de conectividad TIC y Gobierno Abierto.</t>
  </si>
  <si>
    <t xml:space="preserve">Municipios apoyados en mejora de conectividad </t>
  </si>
  <si>
    <t>60
(40 Nuevos)</t>
  </si>
  <si>
    <t>78.1</t>
  </si>
  <si>
    <t>Apoyo en la Masificación de los Servicios de Telecomunicaciones</t>
  </si>
  <si>
    <t>Asistir a las entidades públicas y emisoras comunitarias o de interés público, en el despliegue de infraestructura de telecomunicaciones,  ampliar la cobertura de internet en zonas urbanas y rurales y la cobertura de Televisión Digital en el departamento de Boyacá.</t>
  </si>
  <si>
    <t>Puntos de acceso a internet en zonas urbanas y rurales implementados.</t>
  </si>
  <si>
    <t>Dispositivos para la recepción de televisión digital (decodificador y antena) entregados.</t>
  </si>
  <si>
    <t>Centros poblados rurales apartados mejorados en la cobertura de comunicaciones móviles.</t>
  </si>
  <si>
    <t>78.2</t>
  </si>
  <si>
    <t>Gestión de Disposición Final de Residuos de Aparatos Eléctricos y Electrónicos (RAEE).</t>
  </si>
  <si>
    <t>Jornadas de recolección de residuos de aparatos eléctricos y electrónicos (RAEE) realizadas</t>
  </si>
  <si>
    <t>Talento e Industria TI.</t>
  </si>
  <si>
    <t>(20 Nuevos)</t>
  </si>
  <si>
    <t>79.1</t>
  </si>
  <si>
    <t>Talento Digital</t>
  </si>
  <si>
    <t xml:space="preserve">Productos desarrollados por la industria TIC Boyacense que benefician a las entidades públicas del departamento </t>
  </si>
  <si>
    <t xml:space="preserve">Proyectos de investigación desarrollados que fortalezcan el sector productivo del departamento </t>
  </si>
  <si>
    <t>79.2</t>
  </si>
  <si>
    <t>Boyacá Avanza con la Industria TI</t>
  </si>
  <si>
    <t>Aplicaciones tecnológicas, que beneficien a los sectores productivos y sociales del departamento, desarrolladas o actualizadas.</t>
  </si>
  <si>
    <t>Entidades públicas o privadas capacitadas en el uso de herramientas tecnológicas para adoptar el teletrabajo.</t>
  </si>
  <si>
    <t>CIENCIA, TECNOLOGÍA E INNOVACIÓN</t>
  </si>
  <si>
    <t>Boyacá Avanza en la Consolidación de su Ecosistema Científico.</t>
  </si>
  <si>
    <t>Índice departamental de Innovación mejorado.</t>
  </si>
  <si>
    <t>36,02
(2 PP Nuevos)</t>
  </si>
  <si>
    <t>81.1</t>
  </si>
  <si>
    <t>Espacios para la Apropiación Social del Conocimiento.</t>
  </si>
  <si>
    <t>Alianza Público Privada para la operación del centro de ciencia conformada</t>
  </si>
  <si>
    <t>80.1</t>
  </si>
  <si>
    <t>80.2</t>
  </si>
  <si>
    <t>La CTeI Avanza en la Proyección Regional.</t>
  </si>
  <si>
    <t>Propiciar espacios de articulación de los actores del sistema regional de la CTeI y actualizar el PEDCTI, adoptándolo como política pública con visión de largo plazo para el desarrollo de la Ciencia, la Tecnología y la Innovación en el departamento de Boyacá.</t>
  </si>
  <si>
    <t>Espacios de participación ciudadana en Ciencia, Tecnología e Innovación desarrollados.</t>
  </si>
  <si>
    <t>Políticas públicas de CTeI adoptadas e implementadas.</t>
  </si>
  <si>
    <t>80.3</t>
  </si>
  <si>
    <t>Ciencia Tecnología e Innovación Para el Sector Agropecuario.</t>
  </si>
  <si>
    <t>Generar proyectos de CTeI qué contribuyan al desarrollo rural sostenible.</t>
  </si>
  <si>
    <t>Productores rurales beneficiados con proyectos de CTeI.</t>
  </si>
  <si>
    <t>Centro de biotecnología reproductiva animal implementado.</t>
  </si>
  <si>
    <t>Municipios atendidos con programas de Biotecnología reproductiva.</t>
  </si>
  <si>
    <t>Productores beneficiados con programas de Biotecnología reproductiva.</t>
  </si>
  <si>
    <t>80.4</t>
  </si>
  <si>
    <t xml:space="preserve"> Boyacá Minera Avanza en Ciencia Tecnología e Innovación</t>
  </si>
  <si>
    <t>Incentivar la modernización del sector minero mediante la formulación y ejecución de proyectos científico - tecnológico y de innovación</t>
  </si>
  <si>
    <t>Iniciativas formuladas en mejoramiento de procesos minero energéticos incluyendo CTeI.</t>
  </si>
  <si>
    <t>Avancemos en el Fortalecimiento de las Capacidades Científicas del Departamento.</t>
  </si>
  <si>
    <t>Aumentar los niveles de desempeño institucional que articule y fortalezca el Sistema Regional de Ciencia, Tecnología e Innovación en el departamento de Boyacá.</t>
  </si>
  <si>
    <t>Sistema regional de ciencia, tecnología e innovación fortalecido.</t>
  </si>
  <si>
    <t>Capacidad Institucional para la CTeI.</t>
  </si>
  <si>
    <t>Mejorar la arquitectura institucional que contribuya al mejoramiento de las capacidades científicas y la proximidad de los actores del SRCTeI y consolidaremos instancias interinstitucionales UEES que propendan por el desarrollo territorial a través de la investigación en los diferentes del PAED</t>
  </si>
  <si>
    <t>Redes de observatorios articulados con CTeI en el departamento.</t>
  </si>
  <si>
    <t>Misiones de fortalecimiento de las capacidades Científicas y Tecnológicas realizadas.</t>
  </si>
  <si>
    <t>Proyectos de ciencia y tecnología asesorados y financiados.</t>
  </si>
  <si>
    <t>ALTERNATIVAS ENERGÉTICAS</t>
  </si>
  <si>
    <t>Avanzamos en la Planificación Energética del Departamento.</t>
  </si>
  <si>
    <t>Desarrollar estrategias basadas en investigación científica, orientadas a la generación de soluciones sustentables en energías alternativas para el departamento de Boyacá.</t>
  </si>
  <si>
    <t>Documento de Planificación Energética Territorial generado.</t>
  </si>
  <si>
    <t>82.1</t>
  </si>
  <si>
    <t>Investigación para la Toma de Decisiones en Materia Energética.</t>
  </si>
  <si>
    <t>Diseñar estrategias orientadas a la generación, transferencia y apropiación del conocimiento para la estructuración de soluciones energéticas.</t>
  </si>
  <si>
    <t>Documentos de investigación generados.</t>
  </si>
  <si>
    <t>Instancias articuladoras para los procesos de desarrollos energéticos fortalecidas.</t>
  </si>
  <si>
    <t>Estrategia de transferencia de conocimiento implementada.</t>
  </si>
  <si>
    <t>Boyacá Avanza en la Implementación de Energías Alternativas.</t>
  </si>
  <si>
    <t>83.1</t>
  </si>
  <si>
    <t>Boyacá Avanza en Transformación Energética</t>
  </si>
  <si>
    <t>Fomentar el uso de energías limpias.</t>
  </si>
  <si>
    <t>Soluciones energéticas   formuladas y asesoradas.</t>
  </si>
  <si>
    <t>Proyectos cofinanciados y ejecutados.</t>
  </si>
  <si>
    <t>Eventos de capacitación, promoción de la normatividad para la implementación y uso de energías no convencionales.</t>
  </si>
  <si>
    <t>INFRAESTRUCTURA PARA EL TRANSPORTE</t>
  </si>
  <si>
    <t>Boyacá Avanza en Transporte y Logística.</t>
  </si>
  <si>
    <t>Posicionar al departamento de Boyacá como la plataforma o el eje logístico terrestre más importante de la Región Andina y una de las más importantes del país, como gran apuesta al desarrollo y conectividad, construyendo, mejorando, manteniendo y señalizando la Infraestructura de transporte, en sus diferentes nodos, a través de la cocreación de alianzas entre los actores involucrados.</t>
  </si>
  <si>
    <t xml:space="preserve">5,51
(0,6 P.P) </t>
  </si>
  <si>
    <t>84.1</t>
  </si>
  <si>
    <t>Avanzando en Cooperación</t>
  </si>
  <si>
    <t>Gestionar proyectos de cooperación con la nación en el marco del plan maestro de transporte intermodal (PMTI) del Mintransporte.</t>
  </si>
  <si>
    <t>Proyectos de cooperación gestionados con la nación</t>
  </si>
  <si>
    <t>84.2</t>
  </si>
  <si>
    <t>Avanzando en Infraestructura de Transporte Intermodal</t>
  </si>
  <si>
    <t>Estudio técnico para la adecuación y operación del puerto de carga del Rio Magdalena en el municipio de Puerto Boyacá, gestionado.</t>
  </si>
  <si>
    <t>84.3</t>
  </si>
  <si>
    <t>Avanzando en Infraestructura Sostenible</t>
  </si>
  <si>
    <t>Construir infraestructura de transporte y recreación alternativos que permitan reducir la emisión de GEI y aporten a mejorar la calidad de vida de los boyacenses.</t>
  </si>
  <si>
    <t>Ciclorrutas construidas en el departamento mejoradas y mantenidas.</t>
  </si>
  <si>
    <t>Kilómetros</t>
  </si>
  <si>
    <t>Mejores Vías para Boyacá que Avanza.</t>
  </si>
  <si>
    <t xml:space="preserve">Posicionar al departamento de Boyacá como la plataforma o el eje logístico terrestre más importante de la Región Andina y una de las más importantes del país.  </t>
  </si>
  <si>
    <t>Indicador Departamental de Competitividad (IDC), Puntaje del sub pilar infraestructura vial en Boyacá.</t>
  </si>
  <si>
    <t xml:space="preserve">3,32
(0,5 P.P) </t>
  </si>
  <si>
    <t>85.1</t>
  </si>
  <si>
    <t>Avanzando en Conexión Vial</t>
  </si>
  <si>
    <t>Mejoramiento de la Red vial primaria, secundaria y terciaria del departamento, realizado.</t>
  </si>
  <si>
    <t>kilómetros</t>
  </si>
  <si>
    <t>Mantenimiento rutinario y periódico de la red vial secundaria y terciaria del departamento realizado.</t>
  </si>
  <si>
    <t>Convenios de mantenimiento red vial terciaria celebrados</t>
  </si>
  <si>
    <t>Construcción y/o mejoramiento de puentes en la red vial secundaria y terciaria del departamento y municipios.</t>
  </si>
  <si>
    <t xml:space="preserve">Gestionar el mejoramiento y Mantenimiento de vías secundarias y terciarias del departamento, con el uso de materiales no convencionales. </t>
  </si>
  <si>
    <t>85.2</t>
  </si>
  <si>
    <t>Avanzando en Conexión Interprovincial</t>
  </si>
  <si>
    <t>Ejecutar acciones tendientes a garantizar el mantenimiento permanente de la red vial del departamento, a través de la suscripción de convenios con municipios, nación y alianzas público privadas.</t>
  </si>
  <si>
    <t>Plan Departamental de Vías Gestionado</t>
  </si>
  <si>
    <t>85.3</t>
  </si>
  <si>
    <t>Avanzando en Conexión Interdepartamental</t>
  </si>
  <si>
    <t xml:space="preserve">Mejorar la interconexión vial del departamento de Boyacá, con el resto del país, a través de proyectos innovadores, con el apoyo político y presupuestal necesario para garantizar el éxito en su implementación. </t>
  </si>
  <si>
    <t>85.4</t>
  </si>
  <si>
    <t>Avanzando en Gestión de la Infraestructura</t>
  </si>
  <si>
    <t xml:space="preserve">Desarrollar proyectos de señalización vial y actualizar y categorizar el inventario de la red vial administrada por el departamento, de conformidad con las Resoluciones 1321 y 1322 de 2018, identificando nuevas líneas de acción en políticas públicas en torno a la materia. </t>
  </si>
  <si>
    <t>Red vial señalizada.</t>
  </si>
  <si>
    <t>Inventario red vial a cargo del departamento actualizado.</t>
  </si>
  <si>
    <t>Red vial secundaria y terciaria a cargo del departamento categorizada, de acuerdo a la normatividad vigente del Ministerio de Transporte.</t>
  </si>
  <si>
    <t>SEGURIDAD VIAL</t>
  </si>
  <si>
    <t>Reducir las muertes por accidentes de tránsito en las vías departamentales, terciarias y municipal de los 116 municipios de Boyacá sin Secretaría de Tránsito al finalizar el cuatrienio para aportar a los indicadores de reducción de la nación.</t>
  </si>
  <si>
    <t>Víctimas fatales por accidentes de tránsito en vías departamentales y municipales disminuidas</t>
  </si>
  <si>
    <t>56
(-17 )</t>
  </si>
  <si>
    <t>86.2</t>
  </si>
  <si>
    <t>86.1</t>
  </si>
  <si>
    <t>Boyacá avanza con Seguridad Vial para la Movilidad</t>
  </si>
  <si>
    <t>Implementar acciones de prevención que permitan reducir la cantidad y severidad de los siniestros viales en el departamento de Boyacá y la adecuada administración del registro de tránsito automotor.</t>
  </si>
  <si>
    <t>Convenios suscritos con entidades públicas y/o privadas para mejorar la seguridad vial realizados.</t>
  </si>
  <si>
    <t>Puntos críticos señalizados.</t>
  </si>
  <si>
    <t>Personas en seguridad vial sensibilizadas.</t>
  </si>
  <si>
    <t>Campañas a motociclistas y ciclistas realizadas.</t>
  </si>
  <si>
    <t>Modernización Institucional del Instituto de Tránsito de Boyacá.</t>
  </si>
  <si>
    <t>Puntos de atención y sede administrativa conectados</t>
  </si>
  <si>
    <t>86.3</t>
  </si>
  <si>
    <t>Boyacá Avanza en el Registro de Tránsito</t>
  </si>
  <si>
    <t>Capacitaciones al personal de los puntos de atención sobre atención a los usuarios, marketing y ventas realizadas.</t>
  </si>
  <si>
    <t>Cuentas radicadas.</t>
  </si>
  <si>
    <t>Licencias de conducción expedidas.</t>
  </si>
  <si>
    <t>Matriculas expedidas.</t>
  </si>
  <si>
    <t>Planes de comercialización realizados y ejecutados.</t>
  </si>
  <si>
    <t>Puntos de atención adecuados y mejorados.</t>
  </si>
  <si>
    <t>Movilidad Sostenible.</t>
  </si>
  <si>
    <t>Generar capacidades de movilidad sostenible en las principales ciudades del departamento, propiciando nodos intermodales que faciliten el transporte urbano.</t>
  </si>
  <si>
    <t>87.1</t>
  </si>
  <si>
    <t>Bicicleta como Usos Alternativo de Transporte</t>
  </si>
  <si>
    <t xml:space="preserve">Articulaciones realizadas con instancias territoriales e instituciones de educación. </t>
  </si>
  <si>
    <t>GOBIERNO Y ASUNTOS PÚBLICOS</t>
  </si>
  <si>
    <t>EFICIENCIA INSTITUCIONAL</t>
  </si>
  <si>
    <t>Mejoramiento de la Gestión Pública Territorial</t>
  </si>
  <si>
    <t>Municipios con evaluación del desempeño integral</t>
  </si>
  <si>
    <t>88.1</t>
  </si>
  <si>
    <t>Boyacá Avanza en el Desempeño Municipal</t>
  </si>
  <si>
    <t>88.2</t>
  </si>
  <si>
    <t>Avanzamos en la Articulación de Sistemas de Planificación</t>
  </si>
  <si>
    <t>Brindar asistencia técnica a los municipios del departamento en la implementación de la metodología Sisbén IV y la revisión general de estratificación.</t>
  </si>
  <si>
    <t>Municipios apoyados en la implementación del Sisbén IV fase de barrido en el departamento de Boyacá.</t>
  </si>
  <si>
    <t>Municipios apoyados en la implementación del Sisbén IV fase de demanda en el departamento de Boyacá.</t>
  </si>
  <si>
    <t>Asistencias técnicas metodológicas de revisión general de estratificación realizada</t>
  </si>
  <si>
    <t>Municipios apoyados en la implementación del proceso de revisión general de la estratificación socioeconómica.</t>
  </si>
  <si>
    <t>Municipios apoyados con procesos de actualización catastral.</t>
  </si>
  <si>
    <t>Boyacá Avanza en Cultura del Dato.</t>
  </si>
  <si>
    <t>Fortalecer la producción, manejo y disposición de información estadística, geográfica normalizada, producida y/o administrada por la Gobernación de Boyacá, como insumo fundamental en la toma decisiones, en los procesos de formulación e implementación de políticas públicas.</t>
  </si>
  <si>
    <t>Sistema de infraestructura de datos para la toma de decisiones implementado y operando.</t>
  </si>
  <si>
    <t>89.1</t>
  </si>
  <si>
    <t>Observatorios Fortalecidos para Toma de Decisiones.</t>
  </si>
  <si>
    <t xml:space="preserve"> Liderar el funcionamiento de los observatorios social y económico.</t>
  </si>
  <si>
    <t>Comité académico de los observatorios operativizado.</t>
  </si>
  <si>
    <t>89.2</t>
  </si>
  <si>
    <t>Gestión de la Información para la Toma de Decisiones</t>
  </si>
  <si>
    <t>Publicar los anuarios estadísticos de la información producida por las sectoriales de la gobernación e implementar las operaciones identificadas y seleccionadas en el plan estadístico, dentro de la entidad.</t>
  </si>
  <si>
    <t>Anuarios estadísticos publicados</t>
  </si>
  <si>
    <t>Plan estadístico territorial implementado</t>
  </si>
  <si>
    <t>89.3</t>
  </si>
  <si>
    <t>Infraestructura de Datos Espaciales - IDE</t>
  </si>
  <si>
    <t>89.4</t>
  </si>
  <si>
    <t>Centro Documental Digital</t>
  </si>
  <si>
    <t>Centro documental en operación mantenido y fortalecido.</t>
  </si>
  <si>
    <t>Boyacá Avanza en Métodos de Gestión</t>
  </si>
  <si>
    <t>Índice de desempeño institucional incrementado</t>
  </si>
  <si>
    <t xml:space="preserve">80,4
(5 P.P Nuevo) </t>
  </si>
  <si>
    <t>90.1</t>
  </si>
  <si>
    <t>Un Gobierno con Enfoque de Calidad para Avanzar.</t>
  </si>
  <si>
    <t>Fortalecer el Modelo Integrado de Planeación y Gestión en el desempeño de las actividades diarias del talento humano de la Gobernación de Boyacá.</t>
  </si>
  <si>
    <t>Campañas de divulgación de MIPG realizadas</t>
  </si>
  <si>
    <t>Boyacá Avanza Hacía Una Administración Pública Eficiente E Innovadora.</t>
  </si>
  <si>
    <t>91.1</t>
  </si>
  <si>
    <t>Boyacá Administra sus Bienes Inmuebles y Conserva su Patrimonio Histórico.</t>
  </si>
  <si>
    <t>Espacios físicos intervenidos.</t>
  </si>
  <si>
    <t>Procesos de legalización, administración y/o productividad iniciados y documentados de los bienes inmuebles.</t>
  </si>
  <si>
    <t>Sede habilitada y/o construida para la administración del archivo Central del departamento.</t>
  </si>
  <si>
    <t>Centros Integrados de servicios en operación</t>
  </si>
  <si>
    <t>91.2</t>
  </si>
  <si>
    <t>Boyacá Administra Eficientemente sus Bienes Muebles</t>
  </si>
  <si>
    <t>91.3</t>
  </si>
  <si>
    <t>¡A Su Servicio Sumercé!</t>
  </si>
  <si>
    <t>91.4</t>
  </si>
  <si>
    <t>Boyacá Conserva y Custodia su Memoria Documental.</t>
  </si>
  <si>
    <t>Instrumentos archivísticos actualizados o implementados.</t>
  </si>
  <si>
    <t>91.5</t>
  </si>
  <si>
    <t>Boyacá Innova y Fortalece su Talento Humano.</t>
  </si>
  <si>
    <t>Implementar mecanismos que promuevan y fortalezcan la innovación y la gestión estratégica del talento humano como eje fundamental en el desarrollo institucional.</t>
  </si>
  <si>
    <t>Política de gestión estratégica del Talento Humano implementada.</t>
  </si>
  <si>
    <t>91.6</t>
  </si>
  <si>
    <t>Implementar actividades que mejoren la seguridad y salud en el trabajo.</t>
  </si>
  <si>
    <t>Plan de seguridad vial de la Gobernación de Boyacá diseñado e implementado.</t>
  </si>
  <si>
    <t>Eficiencia Fiscal y Financiera de la Secretaría de Hacienda.</t>
  </si>
  <si>
    <t>92.1</t>
  </si>
  <si>
    <t>Promover el Adecuado uso de los Recursos y Administrarlos Eficaz y Eficientemente</t>
  </si>
  <si>
    <t>Actualizar y mejorar procesos.  Fortalecer los instrumentos que faciliten la financiación. Aplicación de innovaciones tecnológicas que garanticen un seguimiento transparente en el sector.</t>
  </si>
  <si>
    <t>92.2</t>
  </si>
  <si>
    <t>Fortalecimiento de las Rentas Departamentales</t>
  </si>
  <si>
    <t>92.3</t>
  </si>
  <si>
    <t>Organización del archivo de la Dirección de Pasivos Pensionales</t>
  </si>
  <si>
    <t xml:space="preserve">Disponer de la información documental clara, oportuna y veraz, respecto de las solicitudes que se tramiten ante la Dirección Departamental de Pasivos Pensionales. </t>
  </si>
  <si>
    <t>Expedientes administrativos y de cuotas partes de Pasivos Pensionales organizados.</t>
  </si>
  <si>
    <t>Gestión Contractual del Departamento de Boyacá.</t>
  </si>
  <si>
    <t>Desarrollar estrategias para la transformación y el fortalecimiento de las competencias del proceso de contratación de la gobernación de Boyacá</t>
  </si>
  <si>
    <t>Eficiencia y eficacia de la gestión contractual del departamento de Boyacá mejorada.</t>
  </si>
  <si>
    <t>93.1</t>
  </si>
  <si>
    <t>Trámite y Culminación de los Procesos Contractuales</t>
  </si>
  <si>
    <t>Capital humano fortalecido en elaboración de estudios previos.</t>
  </si>
  <si>
    <t>Herramientas tecnológicas para el proceso de contratación optimizadas.</t>
  </si>
  <si>
    <t>Área del archivo adecuada y organizada.</t>
  </si>
  <si>
    <t>Avancemos Juntos por el Fortalecimiento de las Juntas de Acción Comunal</t>
  </si>
  <si>
    <t>Fortalecer el desarrollo de las JAC mediante herramientas informáticas y capacitaciones institucionales</t>
  </si>
  <si>
    <t>Herramientas para integrantes de las JAC fortalecidas.</t>
  </si>
  <si>
    <t>94.1</t>
  </si>
  <si>
    <t>Avanzando en el Fortalecimiento de las JAC</t>
  </si>
  <si>
    <t>Fortalecer a las JAC en la formulación de proyectos y normatividad que los rige, conocimientos que permitirán identificar los derechos y deberes que les corresponden, puedan replicar los conocimientos adquiridos y tengan acceso a los convenios.</t>
  </si>
  <si>
    <t>Convenios con J.A.C. promovidos y realizados “Convites”.</t>
  </si>
  <si>
    <t>Política Pública de Acción Comunal formulada</t>
  </si>
  <si>
    <t>94.2</t>
  </si>
  <si>
    <t>Boyacá Avanza Reconociendo la Labor de los Comunales en Beneficio de Sus Integrantes</t>
  </si>
  <si>
    <t>Realizar la correcta inspección, control y vigilancia de los organismos comunales, y la realización de conmemoración del día de la acción comunal.</t>
  </si>
  <si>
    <t>94.3</t>
  </si>
  <si>
    <t>Boyacá Avanza En Favor de Sus Comunidades.</t>
  </si>
  <si>
    <t>Ejercer la función de inspección control y vigilancia de manera directa y oportuna a los organismos comunales, entidades sin ánimo de lucro, apoyo a veedurías, participación ciudadana y control social mediante la atención descentralizada por provincias.</t>
  </si>
  <si>
    <t>Feria de servicios en las provincias realizados.</t>
  </si>
  <si>
    <t>94.4</t>
  </si>
  <si>
    <t>Comunales Avanzan con Soluciones Informáticas.</t>
  </si>
  <si>
    <t>Implementar, actualizar y mejorar de software incluyendo más servicios para las juntas de acción comunal.</t>
  </si>
  <si>
    <t>Boyacá Avanza Ejerciendo Un Adecuado Control de Recursos Públicos</t>
  </si>
  <si>
    <t>Propiciar mecanismos para el acceso de la comunidad a las veedurías ciudadanas.</t>
  </si>
  <si>
    <t>95.1</t>
  </si>
  <si>
    <t>Avanzando en el Control Social con la Participación de Jóvenes y Grupos Sociales en Veedurías Ciudadanas</t>
  </si>
  <si>
    <t>Generar acciones que conduzcan a la creación de nuevas veedurías ciudadanas mediante la motivación de la participación de jóvenes y demás ciudadanos para el control de recursos destinados a la contratación pública, así como a la capacitación de grupos organizados jóvenes, veedurías de control Social, JAC, ESALES y comunidad en general, que puedan certificar la asistencia.</t>
  </si>
  <si>
    <t>Grupos comunitarios y de jóvenes capacitados y fortalecidos ejerciendo las funciones y actividades como veedores ciudadanos</t>
  </si>
  <si>
    <t>Inspección, Vigilancia y Control a Entidades Sin Ánimo De Lucro</t>
  </si>
  <si>
    <t>Realizar las funciones de inspección, vigilancia y control de las entidades sin ánimo de lucro – ESALES</t>
  </si>
  <si>
    <t>Entidades sin ánimo de lucro fortalecidas en la inspección, la vigilancia y control.</t>
  </si>
  <si>
    <t>96.1</t>
  </si>
  <si>
    <t>Fortaleciendo las Entidades Sin Ánimo de Lucro.</t>
  </si>
  <si>
    <t>Jornadas de capacitación, asesoría y acompañamiento a   entidades sin ánimo de lucro desarrolladas</t>
  </si>
  <si>
    <t>Avanzamos En Boyacá Por Un Buen Gobierno</t>
  </si>
  <si>
    <t>Autoridades municipales del fortalecidas en temas de buen gobierno.</t>
  </si>
  <si>
    <t>97.1</t>
  </si>
  <si>
    <t>Boyacá y sus Alcaldes Avanzan Hacia un Buen Gobierno.</t>
  </si>
  <si>
    <t>Asesorar y capacitar a los alcaldes municipales y ediles de las Juntas Administradoras Locales (JAL) del departamento en temas relacionados con el desarrollo administrativo y de buen gobierno.</t>
  </si>
  <si>
    <t>Operativización del Proceso Planificador del Departamento de Boyacá</t>
  </si>
  <si>
    <t>Dinamizar la mejora continua como principio de Gestión Pública en las Entidades del orden central y descentralizado del departamento y ofrecer información para la toma de decisiones relacionadas con la optimización del proceso de creación de valor de lo público a fin de alcanzar el resultado esperado de la acción del Gobierno a su vez fortalecer los escenarios de participación ciudadana dentro de los procesos de planificación del departamento de Boyacá.</t>
  </si>
  <si>
    <t>Sistema departamental de planeación y de gestión de inversión pública funcionando</t>
  </si>
  <si>
    <t>100
(70 P.P Nuevos)</t>
  </si>
  <si>
    <t>98.1</t>
  </si>
  <si>
    <t>Sistema Integrado de Planificación Intra- Intersectorial</t>
  </si>
  <si>
    <t xml:space="preserve"> Garantizar la capacidad institucional para la formulación, seguimiento y evaluación del plan de desarrollo de departamental, retroalimentando el proceso de acuerdo a los resultados, el comportamiento y ejecución sectorial del plan en un periodo determinado, re direccionando, acciones, recursos, esfuerzos de ser necesario para lograr los objetivos del plan, a través del ciclo PHVA.</t>
  </si>
  <si>
    <t>Sesiones de trabajo Intersectoriales programadas y realizadas.</t>
  </si>
  <si>
    <t>98.2</t>
  </si>
  <si>
    <t>Boyacá Avanza Hacia una Administración Departamental Efectiva</t>
  </si>
  <si>
    <t>Sistema de inversión pública diseñado intersectorialmente</t>
  </si>
  <si>
    <t>Talleres de capacitación en teoría de proyectos (Formulación, Evaluación, Seguimiento,) realizados</t>
  </si>
  <si>
    <t>Proceso de gestión de proyectos de inversión actualizado y divulgado (Manual BPPID)</t>
  </si>
  <si>
    <t>Indice de Gestión de Proyectos de Regalías mejorado</t>
  </si>
  <si>
    <t>70 (5,5, p* Nuevos)</t>
  </si>
  <si>
    <t>98.3</t>
  </si>
  <si>
    <t xml:space="preserve">Boyacá Avanza en la Efectiva Inversión de Recursos del Sistema General de Regalías
</t>
  </si>
  <si>
    <t xml:space="preserve">Fortalecer los procesos de formulación, viabilización, priorización y aprobación de proyectos de inversión financiados con recursos del Sistema General de Regalías de la Gobernación de Boyacá; Realizar seguimiento, control y monitoreo a los proyectos financiados con recursos del SGR ejecutados por la Gobernación de Boyacá, velando de esta forma por la ejecución eficiente, eficaz y efectiva de estos recursos, brindar asistencia técnica y acompañamiento a los municipios del departamento en el proceso de formulación, priorización y aprobación de proyectos financiados con recursos del SGR a través de los OCAD municipales o los diferentes organismos establecidos por Ley para la ejecución de estos recursos  </t>
  </si>
  <si>
    <t>Municipios asesorados en el proceso de formulación y aprobación de proyectos del SGR</t>
  </si>
  <si>
    <t>Proyectos priorizados, viabilizados y aprobados con recursos de SGR (recursos municipales)</t>
  </si>
  <si>
    <t>Información mensual en el aplicativo Gesproy reportada</t>
  </si>
  <si>
    <t>Defensa jurídica Articulada y Estratégica que Avanza en lo Público</t>
  </si>
  <si>
    <t>Realizar Ejecución, control y seguimiento a los procesos judiciales del departamento.</t>
  </si>
  <si>
    <t>99.1</t>
  </si>
  <si>
    <t>Eficiencia y Control de los Procesos Judiciales y Conciliaciones</t>
  </si>
  <si>
    <t>Sistema de la prevención del daño antijurídico implementado y mantenido.</t>
  </si>
  <si>
    <t>Control Interno para una Gestión Pública Eficiente</t>
  </si>
  <si>
    <t>Evaluar el diseño y eficacia de controles diagnosticados de la Gobernación de Boyacá</t>
  </si>
  <si>
    <t>100.1</t>
  </si>
  <si>
    <t>Evaluación y Seguimiento a los Procesos y/o Subprocesos</t>
  </si>
  <si>
    <t>Seguimientos a planes de mejoramiento de los procesos y subprocesos realizados</t>
  </si>
  <si>
    <t>100.2</t>
  </si>
  <si>
    <t>Enfoque Preventivo al Autocontrol.</t>
  </si>
  <si>
    <t>Efectuar a los procesos asesorías, acompañamientos y campañas de autocontrol con el propósito de definir y aplicar medidas para la prevención de riesgos y el fortalecimiento de los objetivos institucionales, de tal manera que se genere en los servidores la capacidad de cumplir con sus funciones y tareas de forma efectiva.</t>
  </si>
  <si>
    <t>Procesos de la Gobernación de Boyacá con asesoría y/o acompañamiento</t>
  </si>
  <si>
    <t>Boyacá Avanza en el Fortalecimiento de la Justicia Disciplinaria</t>
  </si>
  <si>
    <t>101.1</t>
  </si>
  <si>
    <t>Fortalecimiento de la Función Preventiva</t>
  </si>
  <si>
    <t xml:space="preserve">Capacitar a los funcionarios públicos del orden central de la Gobernación de Boyacá, directivos docentes, docentes y administrativos de las Instituciones Educativas no certificadas del orden departamental sobre las faltas disciplinarias en las que pueden incurrir por acción u omisión en el desarrollo de sus funciones bajo la premisa "prevenir para no sancionar".  </t>
  </si>
  <si>
    <t>Jornadas de prevención "prevenir para no sancionar"</t>
  </si>
  <si>
    <t>Observatorio creado, implementados y mantenido</t>
  </si>
  <si>
    <t>Función correctiva ejecutada con eficiencia y celeridad</t>
  </si>
  <si>
    <t>101.2</t>
  </si>
  <si>
    <t>Fortalecimiento de la Función Correctiva</t>
  </si>
  <si>
    <t>Tramitar oportunamente las quejas y procesos disciplinarios adelantados ante esta oficina asesora bajo los principios de legalidad, ilicitud sustancial, debido proceso, dignidad humana, presunción de inocencia, ejecutoriedad, celeridad, culpabilidad, favorabilidad, gratuidad y derecho a la defensa.</t>
  </si>
  <si>
    <t xml:space="preserve">INSTITUCIONES MÁS PRODUCTIVAS </t>
  </si>
  <si>
    <t>La Lotería de Boyacá Avanza al Puesto Número 1 en Transferencias a la Salud del País</t>
  </si>
  <si>
    <t>Transferencias al sector salud realizadas.</t>
  </si>
  <si>
    <t>Moneda</t>
  </si>
  <si>
    <t>102.1</t>
  </si>
  <si>
    <t>Gestión Financiera y Administrativa Avanza</t>
  </si>
  <si>
    <t>Generar una gestión del desempeño institucional efectiva involucrando de manera integral los recursos que tiene la entidad</t>
  </si>
  <si>
    <t>102.2</t>
  </si>
  <si>
    <t>Innovación Comercial Avanza</t>
  </si>
  <si>
    <t>Sorteos extraordinarios realizados</t>
  </si>
  <si>
    <t>Fuerza de Venta de Lotería competitiva</t>
  </si>
  <si>
    <t>102.3</t>
  </si>
  <si>
    <t>Explotación de Juegos de Suerte y Azar Avanza</t>
  </si>
  <si>
    <t>Fiscalizar el chance, cumpliendo con la normatividad legal vigente y reinventando las gestiones realizadas con el entorno.</t>
  </si>
  <si>
    <t>La Nueva Licorera de Boyacá Avanza.</t>
  </si>
  <si>
    <t>Formular estrategias y proyectos que conlleven al aumento de las ventas de la NLB, lo que permita a su vez realizar transferencias significativas al sector salud y deporte, de la mano de iniciativas y planes que permitan hacer una presencia en los 123 municipios del departamento.</t>
  </si>
  <si>
    <t>Transferencias a la Gobernación de Boyacá, al sector salud y al sector deporte realizadas*</t>
  </si>
  <si>
    <t>103.1</t>
  </si>
  <si>
    <t>Crecer para Seguir Avanzando</t>
  </si>
  <si>
    <t>Aumentar la presencia de marca y ventas de unidades de productos de la Nueva Licorera de Boyacá, en todo el departamento.</t>
  </si>
  <si>
    <t>103.2</t>
  </si>
  <si>
    <t>Apertura de Mercados Nacionales e Internacionales</t>
  </si>
  <si>
    <t>Mercados nacionales para la venta de los productos de la NLB abiertos</t>
  </si>
  <si>
    <t>Mercados internacionales para la venta de los productos de la NLB abiertos</t>
  </si>
  <si>
    <t>Maquila de licores de otros departamentos producida e impulsada.</t>
  </si>
  <si>
    <t>103.3</t>
  </si>
  <si>
    <t>Gestión Estratégica del Talento Humano</t>
  </si>
  <si>
    <t>Asesorías jurídicas realizadas</t>
  </si>
  <si>
    <t>103.4</t>
  </si>
  <si>
    <t>Innovación para la reingeniería</t>
  </si>
  <si>
    <t>103.5</t>
  </si>
  <si>
    <t>Responsabilidad Social Empresarial</t>
  </si>
  <si>
    <t>Iniciativas de programas sociales articuladas y realizadas.</t>
  </si>
  <si>
    <t>Dinamización Financiera para el Desarrollo Social y Económico del Departamento</t>
  </si>
  <si>
    <t>Consolidar servicios financieros y de administración de recursos a entes territoriales, entidades públicas y de iniciativa privada con el fin de desarrollar proyectos, sociales, culturales y económicos en el territorio; mediante el acceso al régimen especial de la vigilancia de la Superintendencia Financiera de Colombia (SFC), así como también logrando mantener y/o   mejorar la calificación del riesgo financiero crediticio.</t>
  </si>
  <si>
    <t>104.1</t>
  </si>
  <si>
    <t>Posicionamiento y optimización Financiera</t>
  </si>
  <si>
    <t>Aunar esfuerzos que permitan dinamizar la estructura de información financiera del instituto asociado a la consolidación de una plataforma organizacional sólida.</t>
  </si>
  <si>
    <t>Autorización   de vigilancia de la Superintendencia Financiera de Colombia realizada</t>
  </si>
  <si>
    <t>104.2</t>
  </si>
  <si>
    <t>Mejoramiento financiero, Continuo y Estratégico</t>
  </si>
  <si>
    <t>Recapitalizaciones   en sociedades de IDEBOY realizadas</t>
  </si>
  <si>
    <t>Inversión en   infraestructura hotelera a cargo de IDEBOY   realizada</t>
  </si>
  <si>
    <t>Ingresos por sociedades y empresas de economía mixta incrementados</t>
  </si>
  <si>
    <t>Fomento y Desarrollo Territorial</t>
  </si>
  <si>
    <t>Aunar esfuerzos para fomentar el desarrollo territorial boyacense a partir del mejoramiento de la calidad de vida de la población mediante el apalancamiento de planes programas y proyectos   producto de la cofinanciación de planes de desarrollo en las entidades territoriales y el impacto en los municipios</t>
  </si>
  <si>
    <t>105.1</t>
  </si>
  <si>
    <t>Activos Estratégicos y Sinergias Productivas</t>
  </si>
  <si>
    <t>Acciones de responsabilidad social empresarial realizadas</t>
  </si>
  <si>
    <t>Actividades de aprovechamiento y optimización   predial ejecutadas</t>
  </si>
  <si>
    <t>Iniciativas de impacto regional realizadas</t>
  </si>
  <si>
    <t>Alianzas público privadas mantenidas e implementadas</t>
  </si>
  <si>
    <t>Municipios con la cofinanciación de planes, programas y proyectos   impactados</t>
  </si>
  <si>
    <t>Sistemas de gestión de la seguridad y salud en el trabajo implementados</t>
  </si>
  <si>
    <t>Articulaciones para el avance de la gestión   territorial por parte del IDEBOY desarrollados y mantenidos.</t>
  </si>
  <si>
    <t>Cofinanciaciones para la ejecución de planes de desarrollo en las entidades territoriales realizadas</t>
  </si>
  <si>
    <t xml:space="preserve">GOBIERNO ABIERTO  </t>
  </si>
  <si>
    <t xml:space="preserve"> Gobierno Abierto y Gestión Institucional de TI</t>
  </si>
  <si>
    <t xml:space="preserve"> Desarrollar un gobierno digital que potencie capacidades institucionales y servicios digitales de confianza.</t>
  </si>
  <si>
    <t>Proyectos e iniciativas con aprovechamiento de datos abiertos, dispuestos por entidades públicas.</t>
  </si>
  <si>
    <t>106.1</t>
  </si>
  <si>
    <t>Boyacá Avanza Hacia un Gobierno Abierto</t>
  </si>
  <si>
    <t>Promover las políticas públicas nacionales de gobierno digital y datos abiertos al interior de la entidad y acompañando a entidades públicas.</t>
  </si>
  <si>
    <t>Jornadas de socialización a la academia y grupos de interés para la explotación de datos abiertos realizadas.</t>
  </si>
  <si>
    <t>Índice de Gobierno abierto (IGA) medido por la Procuraduría General de la Nación incrementado.</t>
  </si>
  <si>
    <t>Políticas de transparencia y acceso a la información implementada.</t>
  </si>
  <si>
    <t xml:space="preserve">90
(45 P.P Nuevos) </t>
  </si>
  <si>
    <t>106.2</t>
  </si>
  <si>
    <t>Capacidades Institucionales con Mejores Servicios Tecnológicos</t>
  </si>
  <si>
    <t xml:space="preserve">Implementar soluciones tecnológicas de apoyo a las sectoriales, garantizando la eficiencia administrativa en la Gobernación de Boyacá y el acceso a la ciudadanía a plataformas web </t>
  </si>
  <si>
    <t>106.3</t>
  </si>
  <si>
    <t>Capacidades Institucionales con Mejores Sistemas de Información</t>
  </si>
  <si>
    <t>Aumentar la prestación de trámites y servicios en línea al ciudadano, aprovisionando sistemas de información y servicios que impulsen la participación ciudadana en asuntos del departamento de Boyacá, con articulación al portal único del Estado.</t>
  </si>
  <si>
    <t>Sistemas de información aprovisionados y/o desarrollados.</t>
  </si>
  <si>
    <t>Boyacá Avanza en la Participación Ciudadana Dentro del Proceso de Planificación</t>
  </si>
  <si>
    <t xml:space="preserve">Sistema departamental de planeación fortalecido </t>
  </si>
  <si>
    <t>107.1</t>
  </si>
  <si>
    <t>Fortaleciendo Los Consejos Territoriales de Planeación.</t>
  </si>
  <si>
    <t>Fortalecer los Consejos territoriales de planeación, a partir de escenarios de capacitación y apoyo logístico e instrumentos de información.</t>
  </si>
  <si>
    <t>Congreso del sistema departamental de planeación realizados</t>
  </si>
  <si>
    <t>Instancias de apoyo al Consejo Departamental de Planeación implementados</t>
  </si>
  <si>
    <t>107.2</t>
  </si>
  <si>
    <t>Boyacá Rinde Cuentas a la Ciudadanía</t>
  </si>
  <si>
    <t>Realizar eventos para rendir cuentas sobre las acciones del Gobierno Departamental</t>
  </si>
  <si>
    <t>Comunicación Visible, Oportuna y Eficaz</t>
  </si>
  <si>
    <t>Articulación con medios regionales y locales de índole público o privado para la divulgación de contenido informativo</t>
  </si>
  <si>
    <t>Política Pública para el sector del periodismo del departamento de Boyacá formulada.</t>
  </si>
  <si>
    <t>108.1</t>
  </si>
  <si>
    <t>108.2</t>
  </si>
  <si>
    <t xml:space="preserve">Comunicación Estratégica </t>
  </si>
  <si>
    <t>Espacios con desarrollo tecnológico para las comunicaciones institucionales creados y/o dotados</t>
  </si>
  <si>
    <t>108.3</t>
  </si>
  <si>
    <t>La Radiodifusión, Ondas y Contenido con Sentido Social</t>
  </si>
  <si>
    <t>Alianzas colaborativas con emisoras comunitarias del departamento suscritas.</t>
  </si>
  <si>
    <t>Tecnologías Para Avanzar en Eficiencia Administrativa</t>
  </si>
  <si>
    <t xml:space="preserve">Proceso tecnológico de inversión y seguimiento implementado </t>
  </si>
  <si>
    <t>109.1</t>
  </si>
  <si>
    <t>Avanzamos en la Implementación de Nuevas Tecnologías</t>
  </si>
  <si>
    <t>Articular, armonizaremos y sincronizaremos las distintas oficinas de la gobernación departamental en sus distintas actividades con tecnologías para avanzar en la eficiencia administrativa</t>
  </si>
  <si>
    <t>Herramienta digital para el seguimiento a PDD e inversión departamental implementada y mantenida.</t>
  </si>
  <si>
    <t>Jornadas de capacitación para el bueno uso y manejo de la herramienta realizadas</t>
  </si>
  <si>
    <t>Avanzamos En La Transformación Digital Con Gestión De Ti.</t>
  </si>
  <si>
    <t>Desarrollar un gobierno digital habilitando la seguridad y eficiencia en los procesos internos de negocio.</t>
  </si>
  <si>
    <t>Gobierno Digital Avanza Con Plan de Transformación Digital</t>
  </si>
  <si>
    <t>Ejercicios de arquitectura empresarial para la estrategia de TI (PETI)  desarrollados.</t>
  </si>
  <si>
    <t>110.2</t>
  </si>
  <si>
    <t>Gobierno Digital Avanza Con Seguridad Digital</t>
  </si>
  <si>
    <t>Desarrollar un gobierno digital con estrategia de TI articulada a los subprocesos de negocio a través de planes para aseguramiento de los activos de información de la entidad.</t>
  </si>
  <si>
    <t>Aseguramiento de los activos de información de la entidad diagnosticado.</t>
  </si>
  <si>
    <t>Solución tecnológica como iniciativa que apoya el Teletrabajo en el marco de un Sistema de Gestión de la Continuidad del Negocio (SGCN) implementada.</t>
  </si>
  <si>
    <t>Avanzamos Hacia Un Territorio Inteligente Con Innovación.</t>
  </si>
  <si>
    <t>Impulsar un territorio y ciudades inteligentes (Smart cities) en el marco de un Gobierno digital con estrategia de TI.</t>
  </si>
  <si>
    <t>Ciudades inteligentes en las cuales se mejora la calidad de vida y la economía local a través de la innovación en TI impulsadas.</t>
  </si>
  <si>
    <t>111.1</t>
  </si>
  <si>
    <t>Gobierno Digital Avanza Como Territorio Inteligente.</t>
  </si>
  <si>
    <t>Apoyar un territorio y ciudades inteligentes (Smart cities) a través de servicios para los ciudadanos que promuevan la utilización de las TIC en espacio público.</t>
  </si>
  <si>
    <t>Ciudades de Boyacá apoyadas en la utilización de las Tecnologías de la información y las Comunicaciones (TIC) con el objeto de transformarse en ciudades inteligentes</t>
  </si>
  <si>
    <t>OBJETIVO DE PROGRAMA</t>
  </si>
  <si>
    <t>TRIMESTRE 3 
2020</t>
  </si>
  <si>
    <t>TRIMESTRE 4
2020</t>
  </si>
  <si>
    <t>TRIMESTRE 1
2021</t>
  </si>
  <si>
    <t>TRIMESTRE 2
2021</t>
  </si>
  <si>
    <t>TRIMESTRE 1
2022</t>
  </si>
  <si>
    <t>TRIMESTRE 2
2022</t>
  </si>
  <si>
    <t>TRIMESTRE 3 
2021</t>
  </si>
  <si>
    <t>TRIMESTRE 4
2021</t>
  </si>
  <si>
    <t>TRIMESTRE 3 
2022</t>
  </si>
  <si>
    <t>TRIMESTRE 4
2022</t>
  </si>
  <si>
    <t>TRIMESTRE 1
2023</t>
  </si>
  <si>
    <t>TRIMESTRE 2
2023</t>
  </si>
  <si>
    <t>TRIMESTRE 3 
2023</t>
  </si>
  <si>
    <t>TRIMESTRE 4
2023</t>
  </si>
  <si>
    <t>2.1 Derechos y garantías para el ejercicio de la oposición política</t>
  </si>
  <si>
    <t>3.1 Cese al fuego y de hostilidades bilateral y definitivo y dejación de armas</t>
  </si>
  <si>
    <t>5.1 Esclarecimiento de la verdad</t>
  </si>
  <si>
    <t xml:space="preserve">0
</t>
  </si>
  <si>
    <t>GOBERNACIÓN DE BOYACÁ</t>
  </si>
  <si>
    <t>PLAN OPERATIVO ANUAL DE INVERSIONES 2020 - 2023 ($ Millones de Pesos)</t>
  </si>
  <si>
    <t>CODIGO</t>
  </si>
  <si>
    <t>PROGRAMA</t>
  </si>
  <si>
    <t>SECTORIAL</t>
  </si>
  <si>
    <t>SISTEMA GENERAL DE REGALIAS</t>
  </si>
  <si>
    <t xml:space="preserve"> TOTAL SISTEMA GENERAL DE REGALIAS</t>
  </si>
  <si>
    <t>PRESUPUESTO ORDINARIO</t>
  </si>
  <si>
    <t>TOTAL PRESUPUESTO ORDINARIO</t>
  </si>
  <si>
    <t>PRESUPUESTO ENTIDADES DESCENTRALIZADAS</t>
  </si>
  <si>
    <t xml:space="preserve"> TOTAL PRESUPUESTO ENTIDADES DESCENTRALIZADAS </t>
  </si>
  <si>
    <t>TOTAL PRESUPUESTO</t>
  </si>
  <si>
    <t>SISTEMA GENERAL DE PARTICIPACIONES</t>
  </si>
  <si>
    <t>INGRESOS CORRIENTES DE DESTINACIÓN ESPECIFICA</t>
  </si>
  <si>
    <t>INGRESOS CORRIENTES DE LIBRE DESTINACIÓN</t>
  </si>
  <si>
    <t>RECURSOS COFINANCIACIÓN</t>
  </si>
  <si>
    <t>RECURSOS DE CREDITO</t>
  </si>
  <si>
    <t>RECURSOS NACIONALES</t>
  </si>
  <si>
    <t>OTROS RECURSOS</t>
  </si>
  <si>
    <t>Suma de Total Sisitema General de Participaciones</t>
  </si>
  <si>
    <t>Suma de Total Destinación Especifica</t>
  </si>
  <si>
    <t>Suma de Total  Ingresos Corrientes Libre Destinación</t>
  </si>
  <si>
    <t>Suma de Total Recursos Cofinanciación</t>
  </si>
  <si>
    <t>Suma de Total Recursos Crédito</t>
  </si>
  <si>
    <t>Suma de Total Recursos Nacionales</t>
  </si>
  <si>
    <t xml:space="preserve">Suma de Total Otros Recursos </t>
  </si>
  <si>
    <t xml:space="preserve"> LINEA ESTRATEGICA HUMANA Y DE CAPACIDADES</t>
  </si>
  <si>
    <t xml:space="preserve"> COMPONENTE EDUCACIÓN</t>
  </si>
  <si>
    <t>1.1.1</t>
  </si>
  <si>
    <t xml:space="preserve">Educación Inicial para Avanzar </t>
  </si>
  <si>
    <t>EDUCACIÓN</t>
  </si>
  <si>
    <t>1.1.2</t>
  </si>
  <si>
    <t xml:space="preserve">Trayectoria Educativa para Avanzar </t>
  </si>
  <si>
    <t>1.1.3</t>
  </si>
  <si>
    <t xml:space="preserve">Escuela Campesina para Avanzar </t>
  </si>
  <si>
    <t>1.1.4</t>
  </si>
  <si>
    <t xml:space="preserve">Etnoeducación para Avanzar </t>
  </si>
  <si>
    <t>1.1.5</t>
  </si>
  <si>
    <t xml:space="preserve">Departamento del Conocimiento y Territorios Universitarios </t>
  </si>
  <si>
    <t>1.1.6</t>
  </si>
  <si>
    <t xml:space="preserve">Gestión Educativa Efectiva para Avanzar </t>
  </si>
  <si>
    <t>Total    COMPONENTE EDUCACIÓN</t>
  </si>
  <si>
    <t>1.2</t>
  </si>
  <si>
    <t xml:space="preserve"> COMPONENTE SALUD Y BIENESTAR</t>
  </si>
  <si>
    <t>1.2.1</t>
  </si>
  <si>
    <t>SALUD</t>
  </si>
  <si>
    <t>Total   COMPONENTE  SALUD Y BIENESTAR</t>
  </si>
  <si>
    <t>1.3</t>
  </si>
  <si>
    <t xml:space="preserve"> COMPONENTE VIVIENDA Y HÁBITAT</t>
  </si>
  <si>
    <t>1.3.1</t>
  </si>
  <si>
    <t xml:space="preserve">Hábitat Construido Adaptados al Medio Ambiente </t>
  </si>
  <si>
    <t>INFRAESTRUCTURA</t>
  </si>
  <si>
    <t>1.3.2</t>
  </si>
  <si>
    <t>1.3.3</t>
  </si>
  <si>
    <t xml:space="preserve">Boyacá Avanza En Cobertura De Energía </t>
  </si>
  <si>
    <t>MINAS</t>
  </si>
  <si>
    <t>1.3.4</t>
  </si>
  <si>
    <t>Boyacá Avanza en Cobertura de Gas Domiciliario</t>
  </si>
  <si>
    <t>Total   COMPONENTE VIVIENDA Y HÁBITAT</t>
  </si>
  <si>
    <t>1.4</t>
  </si>
  <si>
    <t xml:space="preserve">  COMPONENTE INCLUSIÓN SOCIAL</t>
  </si>
  <si>
    <t>1.4.1</t>
  </si>
  <si>
    <t>Boyacá Avanza Por La Inclusión</t>
  </si>
  <si>
    <t>INTEGRACIÓN SOCIAL</t>
  </si>
  <si>
    <t>1.4.2</t>
  </si>
  <si>
    <t>Boyacá avanza en el reconocimiento de la población migrante</t>
  </si>
  <si>
    <t>GOBIERNO Y ACCIÓN COMUNAL</t>
  </si>
  <si>
    <t>1.4.3</t>
  </si>
  <si>
    <t>Avanzamos por la Equidad y la Igualdad de las Mujeres Boyacenses.</t>
  </si>
  <si>
    <t>1.4.4</t>
  </si>
  <si>
    <t>Avanzando En El Reconocimiento Y Garantía De Los Derechos De Las Personas Adultas Mayores</t>
  </si>
  <si>
    <t>1.4.5</t>
  </si>
  <si>
    <t>Total   COMPONENTE INCLUSIÓN SOCIAL</t>
  </si>
  <si>
    <t>1.5</t>
  </si>
  <si>
    <t xml:space="preserve">  COMPONENTE INFANCIA, FAMILIA Y JUVENTUD</t>
  </si>
  <si>
    <t>1.5.1</t>
  </si>
  <si>
    <t>Boyacá Lidera La Gestión Social Integral</t>
  </si>
  <si>
    <t xml:space="preserve">GESTION SOCIAL </t>
  </si>
  <si>
    <t>1.5.2</t>
  </si>
  <si>
    <t>Boyacá Avanza Por La Primera Infancia</t>
  </si>
  <si>
    <t>1.5.3</t>
  </si>
  <si>
    <t>Boyacá Sigue Avanzando Hacia una Tierra Amiga y Libre de Violencias para la Infancia y la Adolescencia</t>
  </si>
  <si>
    <t>1.5.4</t>
  </si>
  <si>
    <t>Seguimos Afianzando Proyectos de Vida desde la Infancia y la Adolescencia</t>
  </si>
  <si>
    <t>1.5.5</t>
  </si>
  <si>
    <t>1.5.6</t>
  </si>
  <si>
    <t>Política Pública y Fortalecimiento Institucional, una Apuesta al Desarrollo Integral de La Niñez y Adolescencia</t>
  </si>
  <si>
    <t>1.5.7</t>
  </si>
  <si>
    <t>CASA DEL MENOR</t>
  </si>
  <si>
    <t>1.5.8</t>
  </si>
  <si>
    <t>1.5.9</t>
  </si>
  <si>
    <t>Jóvenes Emprendedores Avanzando Por Boyacá</t>
  </si>
  <si>
    <t>1.5.10</t>
  </si>
  <si>
    <t>Total   COMPONENTE INFANCIA, FAMILIA Y JUVENTUD</t>
  </si>
  <si>
    <t>1.6</t>
  </si>
  <si>
    <t xml:space="preserve">  COMPONENTE  INTERCULTURALIDAD</t>
  </si>
  <si>
    <t>1.6.1</t>
  </si>
  <si>
    <t>Boyacá Sigue Avanzando En El Reconocimiento De Su Diversidad Étnica</t>
  </si>
  <si>
    <t>Total   COMPONENTE  INTERCULTURALIDAD</t>
  </si>
  <si>
    <t>1.7</t>
  </si>
  <si>
    <t xml:space="preserve">  COMPONENTE  PAZ Y RECONCILIACIÓN</t>
  </si>
  <si>
    <t>1.7.1</t>
  </si>
  <si>
    <t>Avancemos Por Las Víctimas Del Departamento De Boyacá.</t>
  </si>
  <si>
    <t>1.7.2</t>
  </si>
  <si>
    <t xml:space="preserve">Boyacá Avanza En La Reintegración Y Reincorporación De Actores Armados.
</t>
  </si>
  <si>
    <t>1.7.3</t>
  </si>
  <si>
    <t>Boyacá Avanza en la Garantía de los Derechos Humanos y el Derecho Internacional Humanitario</t>
  </si>
  <si>
    <t>1.7.4</t>
  </si>
  <si>
    <t>Boyacá Avanza en la Lucha Contra La Trata De Personas.</t>
  </si>
  <si>
    <t>1.7.5</t>
  </si>
  <si>
    <t>Boyacá Avanza en La Seguridad y la Convivencia.</t>
  </si>
  <si>
    <t>1.7.6</t>
  </si>
  <si>
    <t>Total   COMPONENTE  PAZ Y RECONCILIACIÓN</t>
  </si>
  <si>
    <t>1.8</t>
  </si>
  <si>
    <t xml:space="preserve">  COMPONENTE DEPORTE</t>
  </si>
  <si>
    <t>1.8.1</t>
  </si>
  <si>
    <t>En Deporte Formativo "Boyacá Avanza</t>
  </si>
  <si>
    <t>INDEPORTES</t>
  </si>
  <si>
    <t>1.8.2</t>
  </si>
  <si>
    <t>Boyacá Avanza en Deporte Social Para Todos</t>
  </si>
  <si>
    <t>1.8.3</t>
  </si>
  <si>
    <t xml:space="preserve">Deporte Asociado- "BOYACA AVANZA PARA UN VERDE PORVENIR" </t>
  </si>
  <si>
    <t>1.8.4</t>
  </si>
  <si>
    <t>Boyacá Avanza En Infraestructura Deportiva</t>
  </si>
  <si>
    <t>1.8.5</t>
  </si>
  <si>
    <t>Indeportes Avanza En El Fortalecimiento Institucional</t>
  </si>
  <si>
    <t>Total   COMPONENTE DEPORTE</t>
  </si>
  <si>
    <t>1.9</t>
  </si>
  <si>
    <t xml:space="preserve"> COMPONENTE  DESIGUALDAD Y POBREZA</t>
  </si>
  <si>
    <t>1.9.1</t>
  </si>
  <si>
    <t>Boyacá se articula para el mejoramiento de la calidad de vida</t>
  </si>
  <si>
    <t>PLANEACIÓN</t>
  </si>
  <si>
    <t>Total   COMPONENTE  DESIGUALDAD Y POBREZA</t>
  </si>
  <si>
    <t>1.10</t>
  </si>
  <si>
    <t xml:space="preserve">  COMPONENTE CULTURA Y PATRIMONIO</t>
  </si>
  <si>
    <t>1.10.1</t>
  </si>
  <si>
    <t>Fortalecimiento del desarrollo artístico cultural de la población boyacense.</t>
  </si>
  <si>
    <t>CULTURA Y PATRIMONIO</t>
  </si>
  <si>
    <t>1.10.2</t>
  </si>
  <si>
    <t>1.10.3</t>
  </si>
  <si>
    <t>Fortalecimiento Del Desarrollo Artístico Cultural A Través De La Agenda Cultural Departamental.</t>
  </si>
  <si>
    <t>1.10.4</t>
  </si>
  <si>
    <t>Fortalecimiento  Del Patrimonio Cultural Del Departamento De Boyacá.</t>
  </si>
  <si>
    <t>Total   COMPONENTE CULTURA Y PATRIMONIO</t>
  </si>
  <si>
    <t>Total  LINEA ESTRATEGICA HUMANA Y DE CAPACIDADES</t>
  </si>
  <si>
    <t>LINEA  ESTRATEGICA ECONÓMICA Y DE OPORTUNIDADES</t>
  </si>
  <si>
    <t>2.1</t>
  </si>
  <si>
    <t xml:space="preserve">  COMPONENTE DESARROLLO AGRARIO</t>
  </si>
  <si>
    <t>2.1.1</t>
  </si>
  <si>
    <t>AGRICULTURA</t>
  </si>
  <si>
    <t>2.1.2</t>
  </si>
  <si>
    <t>2.1.3</t>
  </si>
  <si>
    <t>Total   COMPONENTE  DESARROLLO AGRARIO</t>
  </si>
  <si>
    <t xml:space="preserve">  COMPONENTE TURISMO</t>
  </si>
  <si>
    <t>2.2.1</t>
  </si>
  <si>
    <t>Institucionalidad Que Avanza Para Fortalecer el Turismo.</t>
  </si>
  <si>
    <t>TURISMO</t>
  </si>
  <si>
    <t>2.2.2</t>
  </si>
  <si>
    <t>El Destino Boyacá Avanza Fortalecido</t>
  </si>
  <si>
    <t>2.2.3</t>
  </si>
  <si>
    <t>Mejor Información y Conectividad para el Turismo</t>
  </si>
  <si>
    <t>2.2.4</t>
  </si>
  <si>
    <t>2.2.5</t>
  </si>
  <si>
    <t>2.2.6</t>
  </si>
  <si>
    <t>Boyacá Es Para Vivirla</t>
  </si>
  <si>
    <t>Total   COMPONENTE  TURISMO</t>
  </si>
  <si>
    <t xml:space="preserve">   COMPONENTE MINERÍA</t>
  </si>
  <si>
    <t>2.3.1</t>
  </si>
  <si>
    <t>2.3.2</t>
  </si>
  <si>
    <t>2.3.3</t>
  </si>
  <si>
    <t>2.3.4</t>
  </si>
  <si>
    <t>Agrominería Para el Desarrollo Sustentable de Boyacá</t>
  </si>
  <si>
    <t>2.3.5</t>
  </si>
  <si>
    <t>Boyacá Avanza en Mecanismos Alternativos de Solución de Conflictos Minero-Energéticos De Boyacá</t>
  </si>
  <si>
    <t>2.3.6</t>
  </si>
  <si>
    <t>Boyacá Minera Avanza en Ciencia Tecnología e Innovación</t>
  </si>
  <si>
    <t>Total   COMPONENTE  MINERÍA</t>
  </si>
  <si>
    <t xml:space="preserve">  COMPONENTE REACTIVACIÓN ECONÓMICA Y GENERACIÓN DE INGRESOS</t>
  </si>
  <si>
    <t>2.4.1</t>
  </si>
  <si>
    <t>DESARROLLO EMPRESARIAL</t>
  </si>
  <si>
    <t>2.4.2</t>
  </si>
  <si>
    <t>Total   COMPONENTE REACTIVACIÓN ECONÓMICA Y GENERACIÓN DE INGRESOS</t>
  </si>
  <si>
    <t>Total LINEA ESTRATEGICA  ECONÓMICA Y DE OPORTUNIDADES</t>
  </si>
  <si>
    <t>LINEA ESTRATEGICA SOCIOECOLÓGICA Y TERRITORIAL</t>
  </si>
  <si>
    <t xml:space="preserve">  COMPONENTE AMBIENTE Y BIODIVERSIDAD</t>
  </si>
  <si>
    <t>3.1.1</t>
  </si>
  <si>
    <t>AMBIENTE</t>
  </si>
  <si>
    <t>3.1.2</t>
  </si>
  <si>
    <t>3.1.3</t>
  </si>
  <si>
    <t>Total   COMPONENTE AMBIENTE Y BIODIVERSIDAD</t>
  </si>
  <si>
    <t>3.2</t>
  </si>
  <si>
    <t xml:space="preserve">  COMPONENTE GOBERNANZA DEL AGUA</t>
  </si>
  <si>
    <t>3.2.1</t>
  </si>
  <si>
    <t>Gobernanza Del Agua</t>
  </si>
  <si>
    <t xml:space="preserve">ESPB </t>
  </si>
  <si>
    <t>Total Gobernanza Del Agua</t>
  </si>
  <si>
    <t>3.2.2</t>
  </si>
  <si>
    <t>3.2.3</t>
  </si>
  <si>
    <t>Calidad del Agua Para Consumo Humano</t>
  </si>
  <si>
    <t>Total Calidad del Agua Para Consumo Humano</t>
  </si>
  <si>
    <t>3.2.4</t>
  </si>
  <si>
    <t>Total Cobertura del Agua</t>
  </si>
  <si>
    <t>3.2.5</t>
  </si>
  <si>
    <t>Total Cobertura de Alcantarillado</t>
  </si>
  <si>
    <t>Total   COMPONENTE GOBERNANZA DEL AGUA</t>
  </si>
  <si>
    <t>3.3</t>
  </si>
  <si>
    <t xml:space="preserve">  COMPONENTE  GESTIÓN INTEGRAL DE RESIDUOS</t>
  </si>
  <si>
    <t>3.3.1</t>
  </si>
  <si>
    <t>Total   COMPONENTE  GESTIÓN INTEGRAL DE RESIDUOS</t>
  </si>
  <si>
    <t>3.4</t>
  </si>
  <si>
    <t xml:space="preserve">  COMPONENTE CRISIS CLIMÁTICA Y GESTIÓN DEL RIESGO</t>
  </si>
  <si>
    <t>3.4.1</t>
  </si>
  <si>
    <t xml:space="preserve">PLANEACION </t>
  </si>
  <si>
    <t>3.4.2</t>
  </si>
  <si>
    <t>3.4.3</t>
  </si>
  <si>
    <t>Boyacá Sigue Avanzando En Gestión Del Riesgo</t>
  </si>
  <si>
    <t>UNIDAD ADMINISTRATIVA DE GESTIÓN DEL RIESGO</t>
  </si>
  <si>
    <t>Total   COMPONENTE CRISIS CLIMÁTICA Y GESTIÓN DEL RIESGO</t>
  </si>
  <si>
    <t>3.5</t>
  </si>
  <si>
    <t xml:space="preserve">  COMPONENTE  PLANIFICACIÓN TERRITORIAL</t>
  </si>
  <si>
    <t>3.5.1</t>
  </si>
  <si>
    <t>Ordenamiento Territorial Para El Desarrollo Departamental</t>
  </si>
  <si>
    <t>3.5.2</t>
  </si>
  <si>
    <t>Total   COMPONENTE  PLANIFICACIÓN TERRITORIAL</t>
  </si>
  <si>
    <t>3.6</t>
  </si>
  <si>
    <t xml:space="preserve">  COMPONENTE INTEGRACION REGIONAL Y COOPERACION </t>
  </si>
  <si>
    <t>3.6.1</t>
  </si>
  <si>
    <t>Globalización Territorial Con Enfoque Prospectivo</t>
  </si>
  <si>
    <t>PLANEACION</t>
  </si>
  <si>
    <t>3.6.2</t>
  </si>
  <si>
    <t>Cooperación Nacional e Internacional Articulada de Boyacá en Atención al COVID19 y Para el Desarrollo del Departamento</t>
  </si>
  <si>
    <t>UNIDAD ADMINISTRATINA  DE RELACIONES NACIONALES E INTERNACIONALES</t>
  </si>
  <si>
    <t xml:space="preserve">Total  COMPONENTE  INTEGRACION REGIONAL Y COOPERACION </t>
  </si>
  <si>
    <t>Total LINEA ESTRATEGICA SOCIOECOLÓGICA Y TERRITORIAL</t>
  </si>
  <si>
    <t xml:space="preserve"> LINEA ESTRATEGICA CONOCIMIENTO E INNOVACIÓN</t>
  </si>
  <si>
    <t xml:space="preserve">  COMPONENTE  TECNOLOGÍAS DE LA INFORMACIÓN</t>
  </si>
  <si>
    <t>4.1.1</t>
  </si>
  <si>
    <t>TIC</t>
  </si>
  <si>
    <t>4.1.2</t>
  </si>
  <si>
    <t>Conectividad TIC y Gobierno Abierto</t>
  </si>
  <si>
    <t>4.1.3</t>
  </si>
  <si>
    <t>Emprendimiento y Talento TIC</t>
  </si>
  <si>
    <t>Total   COMPONENTE  TECNOLOGÍAS DE LA INFORMACIÓN</t>
  </si>
  <si>
    <t>4.2</t>
  </si>
  <si>
    <t xml:space="preserve">  COMPONENTE CIENCIA Y TECNOLOGÍA</t>
  </si>
  <si>
    <t>4.2.1</t>
  </si>
  <si>
    <t>Avancemos en la Consolidación del Ecosistema Científico y De Gobernanza de la CTeI en Boyacá</t>
  </si>
  <si>
    <t>4.2.2</t>
  </si>
  <si>
    <t>Avancemos en el Fortalecimiento de las Capacidades Científicas del Departamento</t>
  </si>
  <si>
    <t>Total   COMPONENTE CIENCIA Y TECNOLOGÍA</t>
  </si>
  <si>
    <t>4.3</t>
  </si>
  <si>
    <t xml:space="preserve">  COMPONENTE ALTERNATIVAS ENERGÉTICAS</t>
  </si>
  <si>
    <t>4.3.1</t>
  </si>
  <si>
    <t>Avanzamos en la Planificación Energética del Departamento</t>
  </si>
  <si>
    <t>4.3.2</t>
  </si>
  <si>
    <t>Total   COMPONENTE ALTERNATIVAS ENERGÉTICAS</t>
  </si>
  <si>
    <t>Total  LINEA ESTRATEGICA CONOCIMIENTO E INNOVACIÓN</t>
  </si>
  <si>
    <t xml:space="preserve"> LINEA ESTRATEGICA CONECTIVIDAD Y TRANSPORTE</t>
  </si>
  <si>
    <t xml:space="preserve">  COMPONENTE  INFRAESTRUCTURA PARA EL TRANSPORTE</t>
  </si>
  <si>
    <t>5.1.1</t>
  </si>
  <si>
    <t>Boyacá Avanza en Transporte y Logística</t>
  </si>
  <si>
    <t>5.1.2</t>
  </si>
  <si>
    <t>Mejores Vías para Boyacá que Avanza</t>
  </si>
  <si>
    <t>Total   COMPONENTE  INFRAESTRUCTURA PARA EL TRANSPORTE</t>
  </si>
  <si>
    <t>5.2</t>
  </si>
  <si>
    <t xml:space="preserve">  COMPONENTE  MOVILIDAD Y SEGURIDAD VIAL</t>
  </si>
  <si>
    <t>5.2.1</t>
  </si>
  <si>
    <t xml:space="preserve">Boyacá Avanza en la Gestión de la Seguridad Vial y el Registro de Tránsito en el Departamento de Boyacá </t>
  </si>
  <si>
    <t>5.2.2</t>
  </si>
  <si>
    <t>Movilidad Sostenible</t>
  </si>
  <si>
    <t>Total   COMPONENTE  MOVILIDAD Y SEGURIDAD VIAL</t>
  </si>
  <si>
    <t>Total LINEA ESTRATEGICA  CONECTIVIDAD Y TRANSPORTE</t>
  </si>
  <si>
    <t xml:space="preserve"> LINEA ESTRATEGICA GOBIERNO Y ASUNTOS PÚBLICOS</t>
  </si>
  <si>
    <t xml:space="preserve">  COMPONENTE  EFICIENCIA INSTITUCIONAL</t>
  </si>
  <si>
    <t>6.1.1</t>
  </si>
  <si>
    <t>Mejoramiento De La Gestión Publica Territorial</t>
  </si>
  <si>
    <t>6.1.2</t>
  </si>
  <si>
    <t>Boyacá Avanza En Cultura Del Dato</t>
  </si>
  <si>
    <t>6.1.3</t>
  </si>
  <si>
    <t>Boyacá Avanza En Métodos De Gestión</t>
  </si>
  <si>
    <t>6.1.4</t>
  </si>
  <si>
    <t>Boyacá Avanza Hacía Una Administración Pública Eficiente e Innovadora.</t>
  </si>
  <si>
    <t>GENERAL</t>
  </si>
  <si>
    <t>6.1.5</t>
  </si>
  <si>
    <t>Eficiencia Fiscal y Financiera de la Secretaría de Hacienda</t>
  </si>
  <si>
    <t>HACIENDA</t>
  </si>
  <si>
    <t>6.1.6</t>
  </si>
  <si>
    <t>Gestión Contractual del Departamento De Boyacá.</t>
  </si>
  <si>
    <t>CONTRATACIÓN</t>
  </si>
  <si>
    <t>6.1.7</t>
  </si>
  <si>
    <t>Avancemos Juntos Por El Fortalecimiento de Las Juntas de Acción Comunal</t>
  </si>
  <si>
    <t>6.1.8</t>
  </si>
  <si>
    <t>6.1.9</t>
  </si>
  <si>
    <t>Inspección, Vigilancia Y Control A Entidades Sin Ánimo De Lucro</t>
  </si>
  <si>
    <t>6.1.10</t>
  </si>
  <si>
    <t>6.1.11</t>
  </si>
  <si>
    <t>Operativización Del Proceso Planificador Del Departamento De Boyacá</t>
  </si>
  <si>
    <t>6.1.12</t>
  </si>
  <si>
    <t>Defensa jurídica Articulada Y Estratégica Que Avanza En Lo Publico</t>
  </si>
  <si>
    <t>UNIDAD ADMINISTRATIVA DE DEFENSA JURIDICA</t>
  </si>
  <si>
    <t>6.1.13</t>
  </si>
  <si>
    <t>Control Interno Para Una Gestión Pública Eficiente</t>
  </si>
  <si>
    <t>OACIG</t>
  </si>
  <si>
    <t>6.1.14</t>
  </si>
  <si>
    <t>Boyacá Avanza en el Fortalecimiento de La Justicia Disciplinaria</t>
  </si>
  <si>
    <t>OACID</t>
  </si>
  <si>
    <t>Total   COMPONENTE  EFICIENCIA INSTITUCIONAL</t>
  </si>
  <si>
    <t>6.2</t>
  </si>
  <si>
    <t xml:space="preserve">  COMPONENTE INSTITUCIONES MÁS PRODUCTIVAS</t>
  </si>
  <si>
    <t>6.2.1</t>
  </si>
  <si>
    <t>LOTERIA DE BOYACÁ</t>
  </si>
  <si>
    <t>6.2.2</t>
  </si>
  <si>
    <t>La Nueva Licorera de Boyacá Avanza</t>
  </si>
  <si>
    <t>NLB</t>
  </si>
  <si>
    <t>6.2.3</t>
  </si>
  <si>
    <t>Dinamización Financiera para el desarrollo Social y económico del Departamento</t>
  </si>
  <si>
    <t>6.2.4</t>
  </si>
  <si>
    <t>Total   COMPONENTE INSTITUCIONES MÁS PRODUCTIVAS</t>
  </si>
  <si>
    <t>6.3</t>
  </si>
  <si>
    <t xml:space="preserve">  COMPONENTE  GOBIERNO ABIERTO</t>
  </si>
  <si>
    <t>6.3.1</t>
  </si>
  <si>
    <t>Fortalecemos Capacidades Institucionales Con Gestión de TI</t>
  </si>
  <si>
    <t>6.3.2</t>
  </si>
  <si>
    <t>Boyacá Avanza En La Participación Ciudadana Dentro Del Proceso De Planificación</t>
  </si>
  <si>
    <t>6.3.3</t>
  </si>
  <si>
    <t>Un Gobierno En Contacto Con Su Gente</t>
  </si>
  <si>
    <t>UNIDAD ADMINITRATIVA DE COMUNICAIONES Y PROTOCOLO</t>
  </si>
  <si>
    <t>Total   COMPONENTE  GOBIERNO ABIERTO</t>
  </si>
  <si>
    <t>6.4</t>
  </si>
  <si>
    <t xml:space="preserve">  COMPONENTE  INNOVACIÓN PÚBLICA</t>
  </si>
  <si>
    <t>6.4.1</t>
  </si>
  <si>
    <t>Tecnologías Para Avanzar En Eficiencia Administrativa</t>
  </si>
  <si>
    <t>6.4.2</t>
  </si>
  <si>
    <t>Avanzamos En La Transformación Digital Con Gestión De TI</t>
  </si>
  <si>
    <t>6.4.3</t>
  </si>
  <si>
    <t>Total   COMPONENTE  INNOVACIÓN PÚBLICA</t>
  </si>
  <si>
    <t>Total LINEA ESTRATEGICA GOBIERNO Y ASUNTOS PÚBLICOS</t>
  </si>
  <si>
    <t>TOTAL GENERAL</t>
  </si>
  <si>
    <t>Cooperación Nacional e Internacional Articulada de Boyacá – En Atención a la Emergencia y Post-Emergencia COVID-20</t>
  </si>
  <si>
    <t>Posicionar el sector minero energético a nivel departamental y nacional, mejorando la percepción del sector a través de estrategias de comunicación.</t>
  </si>
  <si>
    <t>FINANCIERO 2020</t>
  </si>
  <si>
    <t>FINANCIERO 2021</t>
  </si>
  <si>
    <t>FINANCIERO2022</t>
  </si>
  <si>
    <t>FINANCIERO 2023</t>
  </si>
  <si>
    <t>FINANCIERO CUATRIENIO</t>
  </si>
  <si>
    <t>PLAN INDICATIVO 2020- 2023</t>
  </si>
  <si>
    <t>Descripción de Meta Producto</t>
  </si>
  <si>
    <t>Descripción de Meta de Resultado</t>
  </si>
  <si>
    <t>Un Gobierno en Contacto con su Gente.</t>
  </si>
  <si>
    <t>Acciones de inspección, vigilancia y control realizadas.</t>
  </si>
  <si>
    <t>34.4</t>
  </si>
  <si>
    <t>Boyacá avanza en recreación</t>
  </si>
  <si>
    <t>Beneficiar a la primera infancia, infancia, adolescencia, juventud, madres y lactantes con espacios lúdicos recreativos que contribuyan mejoramiento
de la calidad de vida.</t>
  </si>
  <si>
    <t>Personas beneficiadas con actividades lúdico, recreativas.</t>
  </si>
  <si>
    <t>Grupos regulares de lúdica y recreación,
conformados.</t>
  </si>
  <si>
    <t>Promotores de recreación, estrategia Todos por Colombia en el marco de la emergencia del COVID – 19 vinculados.</t>
  </si>
  <si>
    <t>Implementar 1 sistema para la prevención del daño antijurídico</t>
  </si>
  <si>
    <t>Boyacá Avanza en la Seguridad Vial y el Registro de Tránsito en el Departamento de Boyacá.</t>
  </si>
  <si>
    <t>Lograr conectividad de todos los puntos de atención y la sede central del Instituto de Tránsito de Boyacá ITBOY.</t>
  </si>
  <si>
    <t>Incluir 8404 personas con discapacidad en programas, proyectos, procesos y acciones institucionales</t>
  </si>
  <si>
    <t>Implementar 64 estrategias de formación de capacidades para el fortalecimiento institucional</t>
  </si>
  <si>
    <t>Realizar 168 acciones intersectoriales de articulación para la implementación de la política pública  de discapacidad en el departamento.</t>
  </si>
  <si>
    <t>Crear 1 fondo para las personas con discapacidad en el departamento de Boyacá</t>
  </si>
  <si>
    <t>Realizar 3 procesos de formación para personas con discapacidad</t>
  </si>
  <si>
    <t>Mantener el 45 % de la implementación de la Política Pública de Mujer y Género en el departamento de Boyacá</t>
  </si>
  <si>
    <t>Implementar el 35 % de la Política Pública de Mujer y Género en el departamento</t>
  </si>
  <si>
    <t>Implementar   1 plan de acción para la mujer rural en el departamento de Boyacá</t>
  </si>
  <si>
    <t>Formular 1 Política Pública para la mujer rural en el departamento de Boyacá</t>
  </si>
  <si>
    <t>Desarrollar  4 apuestas productivas e innovadoras para las mujeres boyacenses</t>
  </si>
  <si>
    <t>Implementar 1 Ruta integral de atención para el reconocimiento de los derechos de la persona adulta mayor.</t>
  </si>
  <si>
    <t xml:space="preserve">Difundir 1 ruta de atención de violencia contra la persona adulta mayor. </t>
  </si>
  <si>
    <t>Desarrollar 1 documento diagnostico para determinar las condiciones de los centros vida y centros de protección del departamento de Boyacá.</t>
  </si>
  <si>
    <t xml:space="preserve">Realizar 3 encuentros departamentales para la participación, la recreación, y la difusión de saberes de las personas adultas mayores. </t>
  </si>
  <si>
    <t>Implementar 1 espacio de formación  de las personas adultas mayores.</t>
  </si>
  <si>
    <t xml:space="preserve">Realizar 3 jornadas de reconocimiento y  difusión de saberes de las personas adultas mayores, en el departamento de Boyacá. </t>
  </si>
  <si>
    <t>Formular 1 plan estratégico integral para la atención de la población con identidad de género y orientación sexual diversa del departamento</t>
  </si>
  <si>
    <t xml:space="preserve">Formular  1 Política Pública para la población con orientación sexual   e identidades de género diverso </t>
  </si>
  <si>
    <t xml:space="preserve">Operativizar 1 consejo Departamental de Política Social acorde  a los lineamientos del orden nacional. </t>
  </si>
  <si>
    <t>Realizar seguimiento a las  16  sesiones  y sus   compromisos del Consejo Departamental de Política Social.</t>
  </si>
  <si>
    <t>Monitorear  al 100% las instancias de operación del sistema de gestión social</t>
  </si>
  <si>
    <t xml:space="preserve">Aumentar en un 75% la atención integral de niños y niñas de 0 a 5 años en los entornos
hogar, salud, educación y espacio
público </t>
  </si>
  <si>
    <t>Dotar 10 Unidades de Servicio de Bienestar Familiar.</t>
  </si>
  <si>
    <t xml:space="preserve">Instalar 10 Parques infantiles especializados para la primera infancia. </t>
  </si>
  <si>
    <t>Implementar 100 actividades lúdico pedagógicas al interior de la ludoteca móvil.</t>
  </si>
  <si>
    <t xml:space="preserve">Monitorear en los 123 municipios la implementación de la estrategia " Epigenética y neurodesarrollo para Boyacá" </t>
  </si>
  <si>
    <t>Formular 1 política pública departamental de primera infancia y radicarla en la Asamblea Departamental</t>
  </si>
  <si>
    <t xml:space="preserve">Cualificar 6 municipios en atención integral a la primera infancia. </t>
  </si>
  <si>
    <t>Capacitar a los 123 municipios en el Sistema único de Información del Nuevo Ciudadano Boyacense (SUINCB).</t>
  </si>
  <si>
    <t>Beneficiar  a 3000 padres de familia y/o cuidadores con estrategias de prevención de violencias.</t>
  </si>
  <si>
    <t>Beneficiar a 4000 personas mediante la estrategia de prevención de violencias en el entorno educativo y comunitario.</t>
  </si>
  <si>
    <t>Implementar 3 estrategias, para la construcción de habilidades en la infancia y la adolescencia.</t>
  </si>
  <si>
    <t xml:space="preserve">Realizar 4 procesos de fortalecimiento en prácticas amorosas y de crianza </t>
  </si>
  <si>
    <t>Atender a 1000 Niños,  Niñas y adolescentes con acciones para la  reducción y prevención del trabajo infantil</t>
  </si>
  <si>
    <t>Desarrollar 1 estrategia para la prevención y transformación de imaginarios culturales.</t>
  </si>
  <si>
    <t>Beneficiar a 1000 Niños, niñas y adolescentes en riesgo y en trabajo infantil con estrategias para el fortalecimiento de habilidades para la vida</t>
  </si>
  <si>
    <t>Formular 1 línea de política pública departamental para la prevención y erradicación del trabajo infantil y presentarla ante la Asamblea Departamental.</t>
  </si>
  <si>
    <t xml:space="preserve">Actualizar 1 Política Pública Departamental de infancia y adolescencia, con proceso de difusión e implementación. </t>
  </si>
  <si>
    <t xml:space="preserve">Asistir técnicamente a 248 instancias de operación y desarrollo técnico en política pública de infancia y adolescencia. </t>
  </si>
  <si>
    <t>Implementar 2 rutas de atención integral a la infancia y la adolescencia en articulación institucional.</t>
  </si>
  <si>
    <t>Asesorar técnicamente los 123 municipios en la ejecución de la Política Pública Departamental de familia</t>
  </si>
  <si>
    <t xml:space="preserve">Dinamizar 1 Red Departamental de Protección a la Familia. </t>
  </si>
  <si>
    <t>Asesorar técnicamente el 50% de los municipios que no poseen Política Pública de Familia Municipal, para su creación y puesta en funcionamiento.</t>
  </si>
  <si>
    <t>Implementar 1 espacio virtual y/o presencial para la formación de las familias.</t>
  </si>
  <si>
    <t xml:space="preserve">Beneficiar 5000 familias con la estrategia integral para la prevención y disminución de la violencia intrafamiliar </t>
  </si>
  <si>
    <t>Formular 1 Política pública indígena del departamento de Boyacá.</t>
  </si>
  <si>
    <t>Implementar 4 proyectos productivos y sociales en las comunidades étnicas del departamento.</t>
  </si>
  <si>
    <t>Mejorar 3 infraestructuras de resguardos indígenas del departamento.</t>
  </si>
  <si>
    <t>Implementar 1 Proceso de innovación social que permita el reconocimiento, salvaguarda y la soberanía de los pueblos indígenas del departamento.</t>
  </si>
  <si>
    <t>Crear 1 espacio de dialogo intercultural del departamento.</t>
  </si>
  <si>
    <t>Hacia un nuevo campo colombiano</t>
  </si>
  <si>
    <t xml:space="preserve">Consolidar tres (3) cadenas productivas como negocios verdes en el departamento </t>
  </si>
  <si>
    <t>Beneficiar a los 123 municipios con el fortalecimiento de programas de educación ambiental</t>
  </si>
  <si>
    <t>Asesorar 48 asociaciones en la legalización de acueductos rurales durante el cuatrienio</t>
  </si>
  <si>
    <t>Asesorar 48 asociaciones en el manejo contable de acueductos rurales durante el cuatrienio</t>
  </si>
  <si>
    <t>Asesorar 3 asociaciones de acueductos del sector rural en estudios de costos y tarifas durante el periodo de gobierno</t>
  </si>
  <si>
    <t>Optimizar 3 sistemas de tratamiento de agua potable durante la administración</t>
  </si>
  <si>
    <t>Realizar 15 estudios y diseños de sistemas de captación y/o sistemas de tratamiento de agua potable durante el cuatrienio</t>
  </si>
  <si>
    <t>Optimizar 4 acueductos rurales durante el periodo de gobierno</t>
  </si>
  <si>
    <t>Construir 2 bancos rurales de agua durante el cuatrienio</t>
  </si>
  <si>
    <t>Construir 80 sistemas de disposición de aguas residuales in situ durante el cuatrienio</t>
  </si>
  <si>
    <t xml:space="preserve">Asistir técnicamente a15 prestadores y operadores en esquemas tarifarios para su elaboración </t>
  </si>
  <si>
    <t xml:space="preserve">Realizar 80 Asesorías de fortalecimiento administrativo, comercial, financiero e institucional a los entes prestadores y operadores </t>
  </si>
  <si>
    <t>Formular 8 programas de agua no contabilizada (IANC) para los municipios priorizados</t>
  </si>
  <si>
    <t xml:space="preserve"> Actualizar 11 Nuevos planes Uso eficiente y Ahorro del Agua (PUEA)</t>
  </si>
  <si>
    <t>Capacitar 30 Municipios en educación sanitaria, dirigidos a clubs defensores del agua, comunidades y líderes e indígenas.</t>
  </si>
  <si>
    <t>Optimizar 6 acueductos urbanos para ampliar la cobertura de la prestación del servicio de agua potable</t>
  </si>
  <si>
    <t>Optimizar 3 sistemas de tratamiento de aguas residuales y puestos en operación.</t>
  </si>
  <si>
    <t>Asistir a 40 Municipios en la implementación de los diferentes componentes del Plan de Gestión Integral de Residuos Sólidos.</t>
  </si>
  <si>
    <t xml:space="preserve">Asistir técnicamente a 16 prestadores para la  actualización y/o formulación de los planes de emergencia y contingencia de los Servicios Públicos </t>
  </si>
  <si>
    <t>Cofinanciar 5 municipios con el mantenimiento preventivo en alcantarillado.</t>
  </si>
  <si>
    <t>Ejecutar el 70% de la evaluación al diseño y eficacia de controles de la Gobernación de Boyacá en el cuatrienio</t>
  </si>
  <si>
    <t>Realizar el 75% de las auditorías programadas en el Plan Anual de Auditorías para cada vigencia del cuatrienio</t>
  </si>
  <si>
    <t>Ejecutar el 100% de los seguimientos a planes de mejoramiento de los procesos y subprocesos durante el periodo de gobierno</t>
  </si>
  <si>
    <t>Mantener 12 evaluaciones a la administración del riesgo  en el cuatrienio</t>
  </si>
  <si>
    <t>Sostener la asesoría y/o acompañamiento a los 14 procesos de la Gobernación de Boyacá en el cuatrienio</t>
  </si>
  <si>
    <t>Implementar al 100% un  plan integral de atención a la población migrante</t>
  </si>
  <si>
    <t>Realizar 1 plan de sensibilización social a través del sistema educativo y medios de comunicación para la prevención de la xenofobia.</t>
  </si>
  <si>
    <t>Desarrollar 10 estrategias de sensibilización y capacitación articuladas con personerías municipales a grupos sociales en el respeto de los derechos de la población migrante</t>
  </si>
  <si>
    <t>Realizar 13 capacitaciones para la elección de los consejos municipales de juventud</t>
  </si>
  <si>
    <t xml:space="preserve">Convocar las 116 plataformas municipales juveniles conformadas en el departamento </t>
  </si>
  <si>
    <t>Conformar 7 nuevas plataformas juveniles municipales en el departamento</t>
  </si>
  <si>
    <t>Asistir Técnicamente las 123 plataformas municipales de juventud</t>
  </si>
  <si>
    <t xml:space="preserve">Socializar en las 13 provincias del departamento la Política Pública de Juventud </t>
  </si>
  <si>
    <t>Implementar 1 Política Pública Departamental de Juventud.</t>
  </si>
  <si>
    <t>Realizar 4 encuentros departamentales de juventud.</t>
  </si>
  <si>
    <t>Crear 4 mecanismos de participación ciudadana para jóvenes en el departamento</t>
  </si>
  <si>
    <t>Realizar 4 conmemoraciones de la "Semana de la Juventud" en el departamento</t>
  </si>
  <si>
    <t>Desarrollar 4 campamentos juveniles en el departamento</t>
  </si>
  <si>
    <t>Desarrollar 1 estrategia de inclusión de jóvenes en condición de discapacidad</t>
  </si>
  <si>
    <t>Realizar 1 encuentro departamental de juegos tradicionales para la juventud boyacense</t>
  </si>
  <si>
    <t>Implementar 4 iniciativas "Jóvenes sembrando esperanza por Boyacá"</t>
  </si>
  <si>
    <t>Realizar 4 jornadas de capacitación a mujeres jóvenes del departamento</t>
  </si>
  <si>
    <t>Generar 15 emprendimientos y proyectos productivos de los jóvenes del departamento</t>
  </si>
  <si>
    <t>Divulgar 4 estrategias de ofertas labores orientadas a jóvenes en el departamento</t>
  </si>
  <si>
    <t>Ejecutar 1 iniciativa de jóvenes rurales participando en las rutas turísticas del departamento</t>
  </si>
  <si>
    <t>Implementar 1 estrategia juventud naranja en el departamento</t>
  </si>
  <si>
    <t>Implementar 1 Plan de Acción Territorial con enfoque diferencial</t>
  </si>
  <si>
    <t>Realizar13 jornadas de prevención de uso, utilización, reclutamiento y violencia sexual contra niños, niñas y adolescentes en el departamento</t>
  </si>
  <si>
    <t>Realizar 16 jornadas de conmemoración y visibilización de las víctimas del conflicto armado en el departamento</t>
  </si>
  <si>
    <t>Publicar 1 documento de hechos victimizantes relevantes sucedidos en el departamento</t>
  </si>
  <si>
    <t>Realizar asistencia técnica al 100% de municipios que la requieran en política pública de víctimas</t>
  </si>
  <si>
    <t>Beneficiar a 400 familias, víctimas del conflicto armado en proyectos de generación de ingresos</t>
  </si>
  <si>
    <t>Realizar 3 jornadas integrales de atención de la población víctima del conflicto armado del departamento de Boyacá</t>
  </si>
  <si>
    <t>Ejecutar 1 Plan de reintegración y reincorporación de actores armados en el departamento</t>
  </si>
  <si>
    <t>Crear 1 mesa departamental de reintegración y reincorporación</t>
  </si>
  <si>
    <t>Desarrollar 10 proyectos de generación de ingresos a familias de reinsertados respaldados técnica y económicamente</t>
  </si>
  <si>
    <t>Formular 1 Política Pública Departamental de Prevención a la violación de los Derechos Humanos y el Derecho Internacional Humanitario</t>
  </si>
  <si>
    <t>Desarrollar 4 jornadas de capacitación para la prevención, la promoción y la protección de los Derechos Humanos a organizaciones de jóvenes promotores</t>
  </si>
  <si>
    <t>Crear 1 Mesa Departamental de Libertad Religiosa y de Cultos</t>
  </si>
  <si>
    <t>Implementar 1 consejo territorial de paz, reconciliación y convivencia de Boyacá</t>
  </si>
  <si>
    <t>Operativizar 52 consejos municipales de paz</t>
  </si>
  <si>
    <t xml:space="preserve">Implementar 1 estrategia de mediación de conflictos sociales </t>
  </si>
  <si>
    <t xml:space="preserve">Socializar en las13 provincias del departamento de Boyacá  la agenda de paz </t>
  </si>
  <si>
    <t>Realizar 8 jornadas de capacitación dirigidas a los jóvenes del departamento para la promoción, la prevención y la protección de Derechos Humanos y del Derecho Internacional Humanitario</t>
  </si>
  <si>
    <t>Adoptar 5 medidas para la prevención, el combate y la erradicación del delito de trata de personas</t>
  </si>
  <si>
    <t>Realizar 1 diagnóstico de trata de personas en el departamento de Boyacá</t>
  </si>
  <si>
    <t>Realizar 4 jornadas de formación de formadores para la prevención y estrategias de protección contra el delito de la trata de personas</t>
  </si>
  <si>
    <t>Implementar 3 estrategias en pro del mantenimiento y mejoramiento de la seguridad en el departamento</t>
  </si>
  <si>
    <t xml:space="preserve"> Implementar 1 Plan Integral de Seguridad y Convivencia Ciudadana en el departamento</t>
  </si>
  <si>
    <t>Implementar 1 Código Departamental de Seguridad y Convivencia</t>
  </si>
  <si>
    <t>Realizar 3 campañas preventivas e informativas de seguridad en el departamento de Boyacá</t>
  </si>
  <si>
    <t>Actualizar 1mapa de riesgos de seguridad y orden público del departamento</t>
  </si>
  <si>
    <t>Realizar el 100% de monitoreos de seguridad en provincias donde se vea alterado el orden público en el departamento</t>
  </si>
  <si>
    <t>Realizar 1 seguimiento al sistema de alertas tempranas en el departamento</t>
  </si>
  <si>
    <t>impulsar la creación de 1 Unidad de Reacción Inmediata - URI Ambiental</t>
  </si>
  <si>
    <t>Implementar 1 Comité de Seguimiento Penitenciario y Carcelario</t>
  </si>
  <si>
    <t>Implementar 1 Plan de Prevención y Protección a líderes sociales</t>
  </si>
  <si>
    <t>Elaborar 1 diagnóstico para la identificación de riesgos de defensores de Derechos Humanos, líderes sociales y comunales</t>
  </si>
  <si>
    <t xml:space="preserve">Operativizar 1 mesa interinstitucional de entidades del Estado para defensa y protección de defensores de Derechos Humanos, líderes y lideresas sociales </t>
  </si>
  <si>
    <t xml:space="preserve">Implementar 1 estrategia integral y permanente de protección de derechos de líderes y lideresas sociales </t>
  </si>
  <si>
    <t>Generar 2 herramientas informáticas para integrantes de las Juntas de Acción Comunal</t>
  </si>
  <si>
    <t>realizar 120 convenios con Juntas de Acción Comunal “Convites”.</t>
  </si>
  <si>
    <t>Formular 1 Política Pública departamental de Acción Comunal</t>
  </si>
  <si>
    <t>Realizar 100   capacitaciones a las Juntas de Acción Comunal del departamento</t>
  </si>
  <si>
    <t>Conmemorar en 4 fechas el día de la acción comunal en el departamento de Boyacá</t>
  </si>
  <si>
    <t>Realizar 13 ferias de servicios en las provincias del departamento</t>
  </si>
  <si>
    <t>Implementar 1 solución informática o APP para interacción con la comunidad</t>
  </si>
  <si>
    <t>Mantener 1 software al servicio de las Juntas de Acción Comunal actualizado y mejorado.</t>
  </si>
  <si>
    <t xml:space="preserve"> Desarrollar 10 acciones orientadas a la conformación de nuevas veedurías ciudadanas para el control de recursos públicos</t>
  </si>
  <si>
    <t>Capacitar a 40 grupos comunitarios y de jóvenes  ejerciendo las funciones y actividades como veedores ciudadanos</t>
  </si>
  <si>
    <t>Desarrollar 50 jornadas de capacitación, asesoría y acompañamiento a entidades sin ánimo de lucro</t>
  </si>
  <si>
    <t>Mantener las 123 autoridades municipales fortalecidas en temas de buen gobierno.</t>
  </si>
  <si>
    <t>Capacitar a las 123 autoridades Municipales  del Departamento en temas de buen gobierno</t>
  </si>
  <si>
    <t>Implementar 24 encuentros provinciales a través de la estrategia "Formador de formadores" en el Departamento</t>
  </si>
  <si>
    <t>Realizar 4 actividades lúdicas con los adolescentes que integran el sistema de responsabilidad y sus familias.</t>
  </si>
  <si>
    <t xml:space="preserve">Intervenir 560 organizaciones agropecuarias que les permitan mejorar la rentabilidad de la producción agropecuaria y agroindustrial </t>
  </si>
  <si>
    <t xml:space="preserve">Implementar 1 plan de formación y asistencia técnica para organizaciones de productores y agroindustrias </t>
  </si>
  <si>
    <t>Asesorar 10 asociaciones y/o productores en procesos de certificación comercial</t>
  </si>
  <si>
    <t>Asesorar 20 asociaciones y/o productores en innovación de mercados</t>
  </si>
  <si>
    <t xml:space="preserve">Instalar 4 puntos de venta asociativo para realizar prácticas comerciales sostenibles </t>
  </si>
  <si>
    <t>Realizar 5 eventos comerciales para la participación de organizaciones agropecuarias</t>
  </si>
  <si>
    <t>Establecer 10 alianzas comerciales que permitan mejorar la rentabilidad agropecuaria y agroindustrial</t>
  </si>
  <si>
    <t xml:space="preserve">Mantener 30 organizaciones de productores con alianzas comerciales </t>
  </si>
  <si>
    <t xml:space="preserve">Beneficiar 90 organizaciones de productores con alianzas comerciales </t>
  </si>
  <si>
    <t>Incentivar a 90 organizaciones en la participación de eventos comerciales y/o de formación</t>
  </si>
  <si>
    <t>Participar  en 12 eventos comerciales del sector agropecuario a nivel nacional e internacional</t>
  </si>
  <si>
    <t>Asesorar 40 planes de mejora en inocuidad y calidad de alimentos en el departamento de Boyacá</t>
  </si>
  <si>
    <t>Implementar 3 convocatorias del Fondo Incentivo a la Capitalización - FINCA Creemos en el Campo,  en el departamento de Boyacá,</t>
  </si>
  <si>
    <t>Beneficiar a 117 organizaciones con acceso a bienes y/o servicios productivos</t>
  </si>
  <si>
    <t>Realizar 1 inventario de la red de bienes públicos agropecuarios del departamento</t>
  </si>
  <si>
    <t>Adecuar 4 plantas para agroindustria y generación de valor agregado nuevas y/o mejoradas</t>
  </si>
  <si>
    <t>Realizar 1 articulación con el Sistema de Información de Abastecimiento Alimentario de la RAPE  - Región Central que promueven alianzas estratégicas en el sector</t>
  </si>
  <si>
    <t>Realizar 1 Plan Logístico integrado a la Región Central para dinamizar el sector agropecuario y líneas productivas priorizadas</t>
  </si>
  <si>
    <t xml:space="preserve">Conectar 130 organizaciones de productores a plataformas de agronegocios </t>
  </si>
  <si>
    <t>Integrar 60 organizaciones de productores a procesos de abastecimiento alimentario regional de la RAPE</t>
  </si>
  <si>
    <t>Actualizar 15 planes de acción integral de las líneas productivas priorizadas en el departamento</t>
  </si>
  <si>
    <t>Beneficiar 34900 productores rurales a través del acceso a proyectos de desarrollo rural integral</t>
  </si>
  <si>
    <t>Elaborar 2 estudios y diseños de distritos de riego en el departamento de Boyacá</t>
  </si>
  <si>
    <t>Mejorar 2 distritos de riego en el departamento de Boyacá</t>
  </si>
  <si>
    <t>Adecuar 1200 hectáreas mediante sistemas de irrigación</t>
  </si>
  <si>
    <t xml:space="preserve">Mantener 220 productores con sistemas de riego intrapredial alternativos no convencionales </t>
  </si>
  <si>
    <t xml:space="preserve">Beneficiar 600 productores con sistemas de riego intrapredial alternativos no convencionales </t>
  </si>
  <si>
    <t>Elaborar 1 inventario de los bienes existentes: bancos de maquinaria, plantas de beneficio animal, distritos de riego y adecuación de tierras</t>
  </si>
  <si>
    <t>Adquirir 60 bancos de maquinaria agrícola que optimicen los procesos productivos</t>
  </si>
  <si>
    <t>Desarrollar 1 Plan Departamental de Manejo Integral Ganadero</t>
  </si>
  <si>
    <t>Ejecutar 1 proyecto para adquisición de equipos e implementos para preservar la bioseguridad de los productores rurales del Departamento</t>
  </si>
  <si>
    <t>Dotar 5 plantas de beneficio animal para optimizar los procesos productivos</t>
  </si>
  <si>
    <t>Implementar 1 sistema de información para uso y manejo del ordenamiento productivo del sector agropecuario</t>
  </si>
  <si>
    <t>Realizar 1 zonificación para el ordenamiento social de la producción .</t>
  </si>
  <si>
    <t>Formular 1 plan estratégico para la formalización de la propiedad rural en Boyacá</t>
  </si>
  <si>
    <t>Mantener 1 proyecto de extensión agropecuaria bajo los lineamientos de la ley 1876 de 2017</t>
  </si>
  <si>
    <t>Ejecutar 3 proyectos de extensión agropecuaria bajo los lineamientos de la ley 1876 de 2017</t>
  </si>
  <si>
    <t>Beneficiar 3000 productores con proyectos de extensión agropecuaria</t>
  </si>
  <si>
    <t>Asesorar 123 municipios en la prestación del servicio extensión agropecuaria</t>
  </si>
  <si>
    <t>Beneficiar 200 productores agropecuarios en proyectos de diversificación de cultivos</t>
  </si>
  <si>
    <t>Implementar 1 proyecto de adaptación a la crisis climática en el departamento de Boyacá</t>
  </si>
  <si>
    <t>Beneficiar 600 productores con proyectos de adaptación a crisis climática en el Departamento</t>
  </si>
  <si>
    <t>Implementar 32 proyectos productivos con enfoque agroecológico en el Departamento de Boyacá</t>
  </si>
  <si>
    <t>Atender 12.000 productores rurales afectados por eventos de variabilidad y crisis climática</t>
  </si>
  <si>
    <t>Implementar 3 bancos de alimentación animal en el Departamento de Boyacá</t>
  </si>
  <si>
    <t>Adquirir 150 bancos de cosecha de agua para ser implementados en el Departamento de Boyacá</t>
  </si>
  <si>
    <t>Formular 1 política pública de Agricultura Familiar, Campesina y Comunitaria para el Departamento de Boyacá</t>
  </si>
  <si>
    <t xml:space="preserve">Beneficiar 14650  familias campesinas con la implementación de  estrategias sociales y productivas que les permita mejorar su nivel de vida </t>
  </si>
  <si>
    <t>Beneficiar 1.200 Mujeres campesinas y jóvenes rurales con procesos de fortalecimiento de las capacidades empresariales y asociativas</t>
  </si>
  <si>
    <t xml:space="preserve">Beneficiar 14650  familias campesinas con la implementación de  estrategias sociales y productivas que les permita  mejorar  su nivel de vida </t>
  </si>
  <si>
    <t xml:space="preserve"> Operativizar 4 proyectos productivos de agroturismo, turismo rural o turismo de naturaleza</t>
  </si>
  <si>
    <t>Operativizar 123 consejos municipales de desarrollo rural - CMDR en el departamento de Boyacá</t>
  </si>
  <si>
    <t>Desarrollar 16 sesiones del Consejo Seccional Agropecuario, Forestal y Pesquero - CONSEA</t>
  </si>
  <si>
    <t>Conformar 1 red de mercados campesinos en el departamento de Boyacá</t>
  </si>
  <si>
    <t>Implementar 4 proyectos de seguridad alimentaria en el departamento de Boyacá</t>
  </si>
  <si>
    <t>Beneficiar 120 familias campesinas con proyectos de seguridad alimentaria</t>
  </si>
  <si>
    <t>Implementar 1 centro de biotecnología reproductiva animal en el departamento de Boyacá</t>
  </si>
  <si>
    <t>Atender 70 municipios con programas de biotecnología reproductiva animal</t>
  </si>
  <si>
    <t>Beneficiar 10000 productores con programas de biotecnología reproductiva animal en el departamento</t>
  </si>
  <si>
    <t>Mantener en 75% del recaudo de tributos departamentales</t>
  </si>
  <si>
    <t>Incrementar en  8% el recaudo de tributos departamentales</t>
  </si>
  <si>
    <t xml:space="preserve">Formular 1 proyecto de cooperación con la Nación </t>
  </si>
  <si>
    <t xml:space="preserve"> Entregar  1 aeropuerto departamental en operación y servicio</t>
  </si>
  <si>
    <t>Realizar el mejoramiento de 150 Km de la Red vial primaria, secundaria y terciaria</t>
  </si>
  <si>
    <t>Mantener de manera rutinaria y periódica 5138 Km de la red vial secundaria y terciaria del Departamento</t>
  </si>
  <si>
    <t>Mejorar  10 Km de vías secundarias o terciarias del Departamento con el uso de materiales no convencionales</t>
  </si>
  <si>
    <t xml:space="preserve">Suscribir 100 convenios de mantenimiento de la red vial terciaria  </t>
  </si>
  <si>
    <t>Crear 2 alianzas público- privadas para el mantenimiento o mejoramiento de la red vial secundaria y terciaria.</t>
  </si>
  <si>
    <t>Ajustar el Plan Departamental vial, por medio de la actualización del inventario vial y teniendo en cuenta la categorización vial.</t>
  </si>
  <si>
    <t>Formalizar un proyecto de infraestructura vial  y equipamiento de las vías, del Contrato Plan Boyacá Bicentenario y el Pacto territorial del Bicentenario.</t>
  </si>
  <si>
    <t>Señalizar 160 Km de red vial secundaria y primaria del Departamento</t>
  </si>
  <si>
    <t>Actualizar el inventario de 1000 Km de la red vial del Departamento.</t>
  </si>
  <si>
    <t>Elaborar la categorización de 2200 Km de la red vial secundaria y terciaria a cargo del Departamento, de acuerdo a la normatividad vigente del Ministerio de Transporte.</t>
  </si>
  <si>
    <t>Conectar a los10 puntos de atención, durante el primer año de Administración</t>
  </si>
  <si>
    <t>Entregar en 40 municipios herramientas TIC a entidades públicas</t>
  </si>
  <si>
    <t>Alfabetizar a 1.500 personas en formación de las TIC en el departamento de Boyacá</t>
  </si>
  <si>
    <t>Desarrollar 190 jornadas educativas para fomentar la apropiación y  uso de las TIC</t>
  </si>
  <si>
    <t>Entregar 6.200 equipos terminales o herramientas TIC a instituciones educativas públicas</t>
  </si>
  <si>
    <t>Dotar con 200 servidores de contenidos educativos las instituciones educativas públicas del departamento de Boyacá</t>
  </si>
  <si>
    <t>Asistir técnicamente a 60 entidades públicas o emisoras comunitarias en el adecuado despliegue de infraestructura de telecomunicaciones</t>
  </si>
  <si>
    <t>Proveer 400 puntos acceso a internet en zonas urbanas y rurales  en el departamento de Boyacá</t>
  </si>
  <si>
    <t xml:space="preserve">Entregar 1.000 dispositivos para la recepción de televisión digital  (decodificador y
Antena)
</t>
  </si>
  <si>
    <t>Mejorar en 50 centros poblados rurales apartados en la cobertura de comunicaciones móviles</t>
  </si>
  <si>
    <t>Desarrollar 6 jornadas de recolección de residuos de aparatos eléctricos y electrónicos (RAEE)</t>
  </si>
  <si>
    <t xml:space="preserve">
Promover el desarrollo de 12 productos de la industria TIC boyacense que benefician a las entidades públicas del departamento  
</t>
  </si>
  <si>
    <t>Incentivar 3 proyectos de investigación que fortalezcan el sector productivo del departamento</t>
  </si>
  <si>
    <t>Actualizar 12 aplicaciones tecnológicas que beneficien a los sectores productivos y
sociales del departamento.</t>
  </si>
  <si>
    <t>Desarrollar 8 aplicaciones tecnológicas que beneficien a los sectores productivos y
sociales del departamento.</t>
  </si>
  <si>
    <t>Capacitar a 8 entidades púbicas o privadas en el uso de herramientas para adoptar el teletrabajo</t>
  </si>
  <si>
    <t>Asesorar 123 municipios en la adopción de la estrategia nacional de Gobierno Digital</t>
  </si>
  <si>
    <t>Realizar 6 jornadas de socialización a la academia y grupos de interés para la explotación de datos abiertos</t>
  </si>
  <si>
    <t>Actualizar  25 conjuntos de datos abiertos en el portal datos.gov.co y divulgarlos</t>
  </si>
  <si>
    <t>Mantener optimizada el 68% de la infraestructura de TI en el cuatrienio</t>
  </si>
  <si>
    <t>Aprovisionar en un 22% adicional la infraestructura de TI en el cuatrienio</t>
  </si>
  <si>
    <t>Mantener en un 74% el licenciamiento de software de acuerdo a las necesidades de las sectoriales en el cuatrienio</t>
  </si>
  <si>
    <t>Aumentar en un 21% el licenciamiento de software de acuerdo a las necesidades de las sectoriales en el cuatrienio</t>
  </si>
  <si>
    <t>Mantener 3 servicios en la nube (cloud computing) en el cuatrienio</t>
  </si>
  <si>
    <t>Implementar 3 servicios nuevos en la nube (cloud computing) en el cuatrienio</t>
  </si>
  <si>
    <t>Realizar 4 programas de sensibilización de TI en el Cuatrienio</t>
  </si>
  <si>
    <t>Disponer de 15 trámites, servicios de acceso a la información y procedimientos prestados digitalmente durante el periodo de gobierno</t>
  </si>
  <si>
    <t>Desarrollar 19 nuevos ejercicios de arquitectura empresarial para la estrategia de TI (PETI)</t>
  </si>
  <si>
    <t xml:space="preserve">Implementar de manera articulada 12 Iniciativas y proyectos de la Estrategia de TI (PETI) </t>
  </si>
  <si>
    <t>Optimizar 10 Compras de TI aplicando un procedimiento que incorpora casos de negocio y criterios de evaluación de soluciones de TI</t>
  </si>
  <si>
    <t>Optimizar el soporte y mantenimiento de 15 sistemas de información aplicando Acuerdos de Nivel de Servicio (ANS)</t>
  </si>
  <si>
    <t>Desarrollar la estrategia de TI en 22 Subprocesos de negocio que aseguran su información bajo un Sistema de Gestión de Seguridad de la Información</t>
  </si>
  <si>
    <t>Impulsar 1 ciudad inteligente en la cual se mejora la calidad de vida y la economía local a través de la innovación en TI</t>
  </si>
  <si>
    <t>Incrementar  al 59%  las capacidades institucionales para una  administración eficiente de los bienes del departamento.</t>
  </si>
  <si>
    <t>Administrar 168 bienes inmuebles propiedad del Departamento de Boyacá</t>
  </si>
  <si>
    <t>Realizar 2 acciones para un parque automotor optimizado.</t>
  </si>
  <si>
    <t>Desarrollar 232 acciones para el fortalecimiento  del capital humano y la atención integral al ciudadano</t>
  </si>
  <si>
    <t>Implementar 3 herramientas digitales de accesibilidad universal.</t>
  </si>
  <si>
    <t>Ejecutar 8 estrategias por una cultura institucional de servicio al ciudadano.</t>
  </si>
  <si>
    <t>Implementar 1 herramienta  Tecnológica para la gestión del archivo general del departamento</t>
  </si>
  <si>
    <t>Realizar 70 Asistencias Técnicas a Entes Territoriales  en Gestión Documental.</t>
  </si>
  <si>
    <t>Incrementar en un 10 % los avances de implementación de la Política de Gestión del Talento Humano</t>
  </si>
  <si>
    <t>Mantener 3 Programas de prevención y promoción de seguridad y salud en el trabajo.</t>
  </si>
  <si>
    <t>Implementar 5 Programas de prevención y promoción de seguridad y salud en el trabajo.</t>
  </si>
  <si>
    <t>Mantener 1 Medida para identificación, control y mitigación de riesgos.</t>
  </si>
  <si>
    <t>Implementar 7 Medidas  para identificación, control y mitigación de riesgos.</t>
  </si>
  <si>
    <t>Optimizar 1 Software Financiero del IDEBOY.</t>
  </si>
  <si>
    <t>Implementar 3 acciones para el posicionamiento de la imagen del IDEBOY</t>
  </si>
  <si>
    <t xml:space="preserve">Generar $2.000.000.000 de utilidades para el IDEBOY </t>
  </si>
  <si>
    <t xml:space="preserve">Mantener 3 recapitalizaciones en Sociedades del IDEBOY </t>
  </si>
  <si>
    <t>Realizar 3 recapitalizaciones en sociedades del IDEBOY</t>
  </si>
  <si>
    <t>Invertir $3.200.000.000  en infraestructura hotelera  a cargo del IDEBOY</t>
  </si>
  <si>
    <t>Incrementar en $5.457.328.036 los ingresos por negocios hoteleros.</t>
  </si>
  <si>
    <t>Generar $629.644.270 en ingresos por negocios en predios del IDEBOY</t>
  </si>
  <si>
    <t>Liquidar 3 sociedades que no cumplan con su objeto social</t>
  </si>
  <si>
    <t>Optimizar el 30% de los activos improductivos del IDEBOY</t>
  </si>
  <si>
    <t>Mantener 3 acciones de responsabilidad social empresarial</t>
  </si>
  <si>
    <t>Realizar 2 acciones de desarrollo y fomento de las regiones</t>
  </si>
  <si>
    <t>Cofinanciar 12 Planes, programas y proyectos en municipios del Departamento</t>
  </si>
  <si>
    <t>Cofinanciar con $ 1.500.000.000 planes de desarrollo en la entidades territoriales.</t>
  </si>
  <si>
    <t>Difundir efectivamente el 100% de las acciones desplegadas por el Gobierno Departamental</t>
  </si>
  <si>
    <t>Publicar el 100% de los hechos noticiosos producidos por la Gobernación de Boyacá</t>
  </si>
  <si>
    <t>Realizar 300 promociones publicitarias del material noticioso producido por la Gobernación de Boyacá</t>
  </si>
  <si>
    <t>Formular 1 Política Pública para el sector del periodismo del departamento de Boyacá</t>
  </si>
  <si>
    <t xml:space="preserve">Implementar 70 campañas de comunicación estratégica producidas </t>
  </si>
  <si>
    <t>Adecuar 1  espacio con desarrollo tecnológico para las comunicaciones institucionales del Departamento de Boyacá</t>
  </si>
  <si>
    <t xml:space="preserve">Emitir 150 programas noticiosos producidos por la Emisora Departamental </t>
  </si>
  <si>
    <t>Suscribir 4 alianzas colaborativas con emisoras comunitarias del departamento de Boyacá</t>
  </si>
  <si>
    <t>Realizar 4 acciones de mejora de la infraestructura de radiodifusión sonora de la Emisora Departamental</t>
  </si>
  <si>
    <t>Incrementar en un 50% la función preventiva</t>
  </si>
  <si>
    <t xml:space="preserve">Realizar 6 jornadas de prevención "prevenir para no sancionar" </t>
  </si>
  <si>
    <t>Mantener al 100% los impulsos procesales y decisiones de fondo resueltas</t>
  </si>
  <si>
    <t>Instalar  en 500 viviendas el   servicio de energía eléctrica con el fin de ampliar la cobertura  en el departamento de Boyacá</t>
  </si>
  <si>
    <t>Conectar  2000 nuevos suscriptores al  servicio de gas  domiciliario con el fin de mejorar la cobertura de este servicio  en el departamento.</t>
  </si>
  <si>
    <t>Desarrollar  en 60 municipios del departamento actividades de promoción de la actividad minero energética para mejorar  la percepción del sector</t>
  </si>
  <si>
    <t>Realizar 16 campañas publicitarias  referentes al  sector minero  energético en  el   Departamento</t>
  </si>
  <si>
    <t>Desarrollar 3 programas  de promoción y fomento  del sector minero energético</t>
  </si>
  <si>
    <t xml:space="preserve">Realizar 10 eventos  de promoción y fomento  del sector minero energético </t>
  </si>
  <si>
    <t>Formular 1 documento de Plan de Desarrollo minero energético del Departamento visión 20-40</t>
  </si>
  <si>
    <t xml:space="preserve">Formular 1 política pública de minería como hoja  de ruta para planear el desarrollo del sector </t>
  </si>
  <si>
    <t>Realizar 40 planes de mejora a unidades de producción minera con  las respectivas recomendaciones técnicas y ambientales</t>
  </si>
  <si>
    <t>Asistir técnicamente a 40 mineros tradicionales y de subsistencia para mejorar sus condiciones legales  y técnicas</t>
  </si>
  <si>
    <t>Fortalecer 20 procesos de regularización de  minería tradicional y/o de subsistencia  en el departamento de Boyacá</t>
  </si>
  <si>
    <t>Realizar 40 visitas de  asistencia técnica a mineros tradicionales y/o de subsistencia, para acompañarlos en su procesos de regularización minera</t>
  </si>
  <si>
    <t>Desarrollar en 2255 personas  del  sector minero energético capacidades y competencias en  pro de una minería mas responsable</t>
  </si>
  <si>
    <t xml:space="preserve">Formar  a 15 trabajadores mineros  con un curso adelantado  de su ciclo educativo </t>
  </si>
  <si>
    <t>Capacitar  a 40 personas del sector minero energético en temas  empresariales para que mejoren la administración y manejo de su empresa minera.</t>
  </si>
  <si>
    <t>Capacitar a 200  autoridades y funcionarios en temas de competencias mineras para coordinar  las  acciones del sector</t>
  </si>
  <si>
    <t xml:space="preserve">Capacitar  a 500 personas  interesadas en temas minero energéticos  </t>
  </si>
  <si>
    <t>Beneficiar a 10 familias mineras con proyectos agropecuarios y/o forestales para mejorar sus condiciones económicas y sociales en zonas de impacto minero</t>
  </si>
  <si>
    <t>Identificar  10 títulos mineros  potenciales para el desarrollo  de  iniciativas de agrominería</t>
  </si>
  <si>
    <t>Realizar 20 jornadas de socialización  para la implementación de actividades de agrominería</t>
  </si>
  <si>
    <t>Implementar 2 iniciativas de agrominería sustentable en áreas de influencia minera.</t>
  </si>
  <si>
    <t xml:space="preserve">Atender   10  conflictos del sector minero energético promoviendo procesos de concertación </t>
  </si>
  <si>
    <t xml:space="preserve">Desarrollar 7 mesas de diálogo y concertación en municipios donde se presenten conflictos relacionados con la actividad minero energética del departamento </t>
  </si>
  <si>
    <t>Concientizar a 500 personas  en procesos de concertación y resolución de conflictos minero energéticos</t>
  </si>
  <si>
    <t xml:space="preserve">Formular  5 soluciones energéticas  que fomenten el uso de energías limpias  </t>
  </si>
  <si>
    <t xml:space="preserve">Ejecutar 3 proyectos cofinanciados donde  se implemente el uso de energía limpias </t>
  </si>
  <si>
    <t xml:space="preserve">Realizar 5 eventos de capacitación para la promoción de  la normatividad aplicable a la implementación y uso de energías no convencionales </t>
  </si>
  <si>
    <t xml:space="preserve">Asignar 450 subsidios de vivienda nuevas  campesinas. </t>
  </si>
  <si>
    <t xml:space="preserve">Actualizar el 100%  del banco de información de vivienda departamental. </t>
  </si>
  <si>
    <t xml:space="preserve">Realizar $102.503.105,828 en transferencias al sector Salud, Deporte y Gobernación de Boyacá </t>
  </si>
  <si>
    <t>Vender 6.286.524 unidades de producto</t>
  </si>
  <si>
    <t>Producir 1 maquila de otro departamento</t>
  </si>
  <si>
    <t>Generar 4 estrategias de articulación para el posicionamiento de marca</t>
  </si>
  <si>
    <t>Generar 4 procesos de gestión estratégica del talento humano</t>
  </si>
  <si>
    <t>Implementar 2 proyectos con enfoque de Branding y aprovechamiento ambiental de empaques</t>
  </si>
  <si>
    <t>Obtener 2 certificaciones una en BPM y en Calidad</t>
  </si>
  <si>
    <t>Realizar 4 procesos de modernización de planta y equipo</t>
  </si>
  <si>
    <t>Impulsar 1 proceso de desarrollo agrícola en el departamento</t>
  </si>
  <si>
    <t>Realizar 4 acciones de comunicación encaminadas a la socialización del uso de las transferencias</t>
  </si>
  <si>
    <t xml:space="preserve">Ejecutar 3 iniciativas de fomento al deporte articuladas </t>
  </si>
  <si>
    <t>Transferir $92.792.129.179 al sector salud.</t>
  </si>
  <si>
    <t>Mantener el 62 %  de la Implementación de estrategias integrales de Planeación y Gestión.</t>
  </si>
  <si>
    <t>Incrementar en un 13%  la implementación de estrategias integrales de Planeación y Gestión</t>
  </si>
  <si>
    <t xml:space="preserve">Recaudar $2.400.000.000 por concepto de  otros ingresos </t>
  </si>
  <si>
    <t>Mantener el cumplimiento de los 9  indicadores de rentabilidad como operador de los juegos de suerte y azar.</t>
  </si>
  <si>
    <t>Realizar 100 actividades novedosas de comercialización.</t>
  </si>
  <si>
    <t>Realizar 4 Sorteos extraordinarios</t>
  </si>
  <si>
    <t>Obtener  $45.000.000.000 en Ventas por Innovación del Canal de Distribución.</t>
  </si>
  <si>
    <t xml:space="preserve">Realizar 1 Innovación al  Plan de premios </t>
  </si>
  <si>
    <t>Realizar 1 Estudio de Mercados</t>
  </si>
  <si>
    <t>Alcanzar un 80% en fortalecimiento a Satisfacción del cliente.</t>
  </si>
  <si>
    <t>Mantener en el  85% la difusión de la Pedagogía del Control del Juego Ilegal.</t>
  </si>
  <si>
    <t>Incrementar en un 15% la difusión de la pedagogía del Control de Juego Ilegal.</t>
  </si>
  <si>
    <t>Realizar 3 Sorteos Bicentenarios de conmemoración histórica.</t>
  </si>
  <si>
    <t>Mantener la competitividad de 2.000 integrantes de la fuerza de venta de lotería.</t>
  </si>
  <si>
    <t>Mantener el 85% de la implementación de acciones de fiscalización y control.</t>
  </si>
  <si>
    <t>Aumentar en un 15% la Implementación de acciones de fiscalización y control.</t>
  </si>
  <si>
    <t xml:space="preserve">Crear 1 sistema de turismo departamental que articule la institucionalidad </t>
  </si>
  <si>
    <t>Mantener en operatividad  16 consejos de turismo, comités y mesas técnicas, fortaleciendo la articulación público-privada</t>
  </si>
  <si>
    <t xml:space="preserve">Asistir técnicamente 3 proyectos de gestión de recursos  identificados por los prestadores de servicios turísticos </t>
  </si>
  <si>
    <t>Implementar 2 productos turísticos de naturaleza y cultura con impacto regional y supraregional y su cadena de valor en el Departamento</t>
  </si>
  <si>
    <t xml:space="preserve">Implementar 1 metodología de planificación turística en los territorios </t>
  </si>
  <si>
    <t>Ajustar 1 política pública de turismo del Departamento</t>
  </si>
  <si>
    <t>Realizar 1 estrategia de recolección y actualización de inventarios turísticos del Departamento</t>
  </si>
  <si>
    <t>Desarrollar 1 programa de conectividad e información que fortalezca la infraestructura turística del departamento</t>
  </si>
  <si>
    <t>Consolidar 1 Sistema de Información Turística en el Departamento, como herramienta de desarrollo para el sector turismo</t>
  </si>
  <si>
    <t>Diseñar 1 herramienta digital para la promoción turística del Departamento</t>
  </si>
  <si>
    <t>Mantener los 21 PITS existentes en el Departamento en constante operatividad</t>
  </si>
  <si>
    <t>Implementar 6 nuevos PITS en Boyacá que proporcionen información a los turistas que visiten Boyacá</t>
  </si>
  <si>
    <t>Mantener los 2 Puntos de Información Turística a cargo del  Departamento en constante operatividad</t>
  </si>
  <si>
    <t>Señalizar 3 recorridos o rutas turísticas en el Departamento</t>
  </si>
  <si>
    <t xml:space="preserve"> Realizar 3 campañas de marketing digital y promoción del SITUR  Boyacá </t>
  </si>
  <si>
    <t xml:space="preserve"> Realizar 3 investigaciones en inteligencia de mercados</t>
  </si>
  <si>
    <t>Desarrollar 1 programa de cultura turística en el Departamento</t>
  </si>
  <si>
    <t xml:space="preserve"> Generar 3 alianzas para disminuir la informalidad de los empresarios de servicios turísticos en Boyacá</t>
  </si>
  <si>
    <t xml:space="preserve"> Realizar 3 estrategias para la implementación de NTS y de bioseguridad turística en el Departamento</t>
  </si>
  <si>
    <t>Realizar 4 estrategias para el desarrollo de turismo sostenible en el departamento de Boyacá.</t>
  </si>
  <si>
    <t>Implementar 4 campañas de responsabilidad social en turismo para todos, dirigidas a  los prestadores de servicios turísticos en el departamento de Boyacá.</t>
  </si>
  <si>
    <t>Realizar 2 campañas de comercio justo, en alianza con entidades públicas y privadas del Departamento.</t>
  </si>
  <si>
    <t>Realizar  3 estrategias de asistencia técnica en acceso a convocatorias e invitaciones dirigidas a  los prestadores de servicios turísticos de Boyacá.</t>
  </si>
  <si>
    <t xml:space="preserve">Realizar 4 ruedas de  encadenamiento turístico  dirigidas a  operadores y prestadores de servicios turísticos del Departamento. </t>
  </si>
  <si>
    <t>Implementar 1 estrategia de reactivación económica y social con el sector público y privado para la reapertura de la actividad turística en Boyacá</t>
  </si>
  <si>
    <t>Desarrollar 1 programa de formación para los prestadores  de servicios turísticos del Departamento</t>
  </si>
  <si>
    <t>Generar 3 alianzas con instituciones de formación en turismo para  mejorar las   habilidades y competencias de los empresarios del sector</t>
  </si>
  <si>
    <t xml:space="preserve">Mantener los 14 Colegios amigos del turismo del Departamento activos en el programa del Viceministerio </t>
  </si>
  <si>
    <t xml:space="preserve">Vincular 1 Institución Educativa al programa Colegios amigos del turismo </t>
  </si>
  <si>
    <t>Realizar 2 investigaciones en turismo para el desarrollo del sector en el Departamento</t>
  </si>
  <si>
    <t>Implementar 1 programa de promoción y comercialización  turística del Departamento</t>
  </si>
  <si>
    <t>Generar 4 campañas de promoción para el posicionamiento del destino Boyacá</t>
  </si>
  <si>
    <t>Realizar 2 estrategias conjuntas de promoción de escala regional a partir de la oferta turística más relevante, dispuesta por cada uno de los territorios de la RAPE Región Central y el IDT de Bogotá</t>
  </si>
  <si>
    <t>Implementar 16 estrategias de participación en Ferias y eventos de turismo regionales, suprarregionales, nacionales e internacionales</t>
  </si>
  <si>
    <t xml:space="preserve">Realizar 1 concurso El pueblo más lindo de  Boyacá </t>
  </si>
  <si>
    <t>Dotar 58 sedes de Instituciones Educativas con material pedagógico y/o didáctico para el nivel de preescolar.</t>
  </si>
  <si>
    <t>Desarrollar 12 encuentros formativos a familias de estudiantes del nivel preescolar.</t>
  </si>
  <si>
    <t>Implementar 4 acciones para atenuar el impacto del COVID-19 en la comunidad educativa.</t>
  </si>
  <si>
    <t>Mantener una Tasa de Deserción Intra-Anual de 2,29% en las Instituciones Educativas Oficiales de los Municipios No Certificados de Boyacá.</t>
  </si>
  <si>
    <t>Crear 1  Plan Maestro de Infraestructura Educativa Pública, para las Instituciones Educativas de los Municipios No Certificados de Boyacá.</t>
  </si>
  <si>
    <t xml:space="preserve">Legalizar 56 nuevos predios de sedes de Instituciones Educativas Oficiales en Municipios No Certificados de Boyacá.                                                                                                                                                                                                                                 </t>
  </si>
  <si>
    <t>Dotar 94 sedes de Instituciones Educativas Oficiales que impacte en los Ambientes Escolares.</t>
  </si>
  <si>
    <t>Mantener en 84,9% la Tasa Neta de Cobertura Total en Las Instituciones Educativas de los Municipios No Certificados de Boyacá.</t>
  </si>
  <si>
    <t>Mantener al 50% la tasa de matrícula oportuna.</t>
  </si>
  <si>
    <t>Incrementar en 20% la tasa de matrícula oportuna.</t>
  </si>
  <si>
    <t>Mantener el 80% de docentes nombrados oportunamente en  las Instituciones Educativas Oficiales de los Municipios no certificados de Boyacá.</t>
  </si>
  <si>
    <t>Incrementar el 5% los docentes nombrados oportunamente, en  las Instituciones Educativas Oficiales de los Municipios no certificados de Boyacá.</t>
  </si>
  <si>
    <t>Implementar 1 Piloto de Educación por Ciclos en Institución Educativa Oficial de Municipio no certificado de Boyacá.</t>
  </si>
  <si>
    <t>Mantener en 5,96%, la Tasa de Reprobación Escolar en las Instituciones Educativas Oficiales.</t>
  </si>
  <si>
    <t>Atender 12907 estudiantes pertenecientes a población vulnerable con educación pertinente.</t>
  </si>
  <si>
    <t>Implementar 1 plan piloto de atención especial a población en extrema pobreza</t>
  </si>
  <si>
    <t>Mantener al 100% la atención de los estudiantes migrantes matriculados con educación pertinente</t>
  </si>
  <si>
    <t>Implementar 1 plan piloto de apoyo a iniciativas estudiantiles</t>
  </si>
  <si>
    <t>Dotar 39 sedes rurales de módulos pedagógicos acordes al modelo flexible implementado, en Instituciones Educativas Oficiales de Municipios No Certificados de Boyacá.</t>
  </si>
  <si>
    <t>Atender al 55% de los estudiantes de etnias matriculados en el marco de una educación pertinente.</t>
  </si>
  <si>
    <t xml:space="preserve">Dotar a 200 estudiantes con material pedagógico y/o didáctico  pertinente para población étnica </t>
  </si>
  <si>
    <t>Crear 1 Institución Educativa para estudiantes pertenecientes a población étnica</t>
  </si>
  <si>
    <t>Formar 22 étnoeducadores de Instituciones educativas en el departamento</t>
  </si>
  <si>
    <t xml:space="preserve">Atender al 100% de los estudiantes de población étnica con complemento alimentario diferenciado </t>
  </si>
  <si>
    <t>Beneficiar a 146 estudiantes de población étnica con actividades artísticas, culturales y deportivas</t>
  </si>
  <si>
    <t>Realizar  7 acciones  de articulación entre los establecimientos de Educación Superior, la sociedad civil, las empresas y el estado.</t>
  </si>
  <si>
    <t>Implementar 3 acciones de gestión jurídica estratégica para la Secretaria de Educación de Boyacá</t>
  </si>
  <si>
    <t>Implementar 10 acciones de mejoramiento de la gestión institucional de la Secretaria de Educación de Boyacá</t>
  </si>
  <si>
    <t>Desarrollar en 980 empresas capacidades en emprendimiento, mejoramiento de sus condiciones de productividad y acceso a mercados.</t>
  </si>
  <si>
    <t xml:space="preserve">Caracterizar 500 emprendimientos multisectoriales en el Departamento de Boyacá </t>
  </si>
  <si>
    <t>Constituir 1 Fondo de Capital de Oportunidades de Boyacá</t>
  </si>
  <si>
    <t>Realizar 2 convocatorias para financiar emprendimientos innovadores y escalables</t>
  </si>
  <si>
    <t>Mantener 135 empresas con herramientas gerenciales e innovación</t>
  </si>
  <si>
    <t>Mejorar 50 empresas con herramientas gerenciales e innovación</t>
  </si>
  <si>
    <t>Implementar 5 instrumentos de fortalecimiento al sector de alimentos procesados</t>
  </si>
  <si>
    <t>Ampliar en 70 empresas el cumplimiento a la normatividad sectorial</t>
  </si>
  <si>
    <t>Mejorar en 40 empresas sus capacidades Administrativas y comerciales</t>
  </si>
  <si>
    <t>Generar 2 alianzas interinstitucionales para el mejoramiento de unidades productivas</t>
  </si>
  <si>
    <t>Realizar 4 estrategias para facilitar el comercio exterior</t>
  </si>
  <si>
    <t>Vincular 30 actores en el desarrollo territorial del Departamento</t>
  </si>
  <si>
    <t>Ejecutar 8 estrategias de encadenamiento productivo</t>
  </si>
  <si>
    <t>Implementar 4 estrategias para la competitividad Territorial</t>
  </si>
  <si>
    <t>Generar 4 estrategias en el Departamento para un buen Clima para los Negocios</t>
  </si>
  <si>
    <t>Incrementar al 100% de los estudiantes del sistema de responsabilidad penal con educación pertinente</t>
  </si>
  <si>
    <t>Formular 4 proyectos de cooperación internacional y apoyos humanitarios para la emergencia, el desarrollo social, ambiental, cultural y económico del departamento</t>
  </si>
  <si>
    <t>Capacitar a 200 empresarios y emprendedores jóvenes en el manejo de una segunda lengua para mejorar sus competencias laborales en el mercado global</t>
  </si>
  <si>
    <t>Capacitar a 300 informadores y guías turísticos en el manejo de una segunda lengua para fortalecer sus competencias laborales para el turismo internacional</t>
  </si>
  <si>
    <t>Realizar 4 eventos deportivos de Escuelas de formación en el departamento de Boyacá</t>
  </si>
  <si>
    <t>Realizar 65 Validas en las diferentes modalidades del ciclismo.</t>
  </si>
  <si>
    <t>Realizar 12 capacitaciones referentes a los procesos de formación en ciclismo, en todas sus modalidades.</t>
  </si>
  <si>
    <t xml:space="preserve">Identificar 120 deportistas con talento deportivo, como bases para el deporte de alto rendimiento en el departamento </t>
  </si>
  <si>
    <t>Beneficiar a 3.198 personas en el departamento con estrategias para el fomento y el desarrollo del deporte social comunitario</t>
  </si>
  <si>
    <t>Vincular a 3.000 deportistas en el desarrollo de juegos deportivos departamentales.</t>
  </si>
  <si>
    <t>Desarrollar 2 eventos deportivos a nivel provincial en el departamento</t>
  </si>
  <si>
    <t>Desarrollar 3 eventos deportivos a nivel departamental</t>
  </si>
  <si>
    <t>Mantener 35 contratos y/o convenios que permitan apoyar a las ligas deportivas legalmente constituidas</t>
  </si>
  <si>
    <t>Construir 1 Escenario deportivo, que mejore la capacidad en infraestructura deportiva del departamento de Boyacá</t>
  </si>
  <si>
    <t>Implementar 1 Plan Institucional de Archivo (PINAR), para Indeportes Boyacá</t>
  </si>
  <si>
    <t xml:space="preserve">Presentar 7 postulaciones como sede de eventos deportivos nacionales y/o internacionales </t>
  </si>
  <si>
    <t>Patrocinar 1 Equipo Profesional de ciclismo de nivel regional (RAPE)</t>
  </si>
  <si>
    <t>Mantener en los 123 municipios la cobertura de la vigilancia de la calidad del agua  en el área urbana</t>
  </si>
  <si>
    <t>Mantener 399 acueductos con vigilancia de la calidad del agua  en el área rural</t>
  </si>
  <si>
    <t>Incrementar en 41 acueductos la cobertura de la vigilancia de la calidad del agua  en el área rural</t>
  </si>
  <si>
    <t xml:space="preserve">Implementar en 2 municipios la  estrategia ciudades, entornos y ruralidades saludables- CERS </t>
  </si>
  <si>
    <t xml:space="preserve"> Implementar una política de salud mental en el departamento </t>
  </si>
  <si>
    <t>Implementar en el 100% de los municipios la política de salud mental  formulada por el departamento</t>
  </si>
  <si>
    <t>Implementar en 5 municipios la ruta integral de atención para personas con consumo de alcohol o sustancias psicoactivas</t>
  </si>
  <si>
    <t>Incrementar en el 24% los municipios que han adoptado estrategias de prevención, detección temprana, control y seguimiento de presunto feminicidio</t>
  </si>
  <si>
    <t>Desarrollar en 4.000 familias con niños menores de 8 años prácticas de crianza positiva y normativas</t>
  </si>
  <si>
    <t xml:space="preserve">Desarrollar al 50%  de menores de cincos años tamizaje nutricional </t>
  </si>
  <si>
    <t>Incrementar  en 102  restaurantes escolares de las instituciones públicas las acciones de vigilancia y control en  cumplimiento de requisitos higiénico sanitarios</t>
  </si>
  <si>
    <t xml:space="preserve">Implementar en 98 municipios las rutas intersectoriales para el abordaje integral de las  violencias de género </t>
  </si>
  <si>
    <t>Monitorear 124 servicios amigables para adolescentes y jóvenes</t>
  </si>
  <si>
    <t>Mantener al 89,6% de las gestantes con 4 o más controles prenatales</t>
  </si>
  <si>
    <t>Incrementar en 0,4% las gestantes con 4 o más controles prenatales</t>
  </si>
  <si>
    <t>Mantener en el 99,05% los partos atendidos en una institución prestadora de servicios de salud</t>
  </si>
  <si>
    <t>Incrementar en 6% el número de personas con tuberculosis que han recibido tratamiento</t>
  </si>
  <si>
    <t>Incrementar en el 5%  las personas con enfermedad de Hansen que han recibido tratamiento</t>
  </si>
  <si>
    <t>Mantener en 93,17% las coberturas de vacunación  en menores cinco años en los biológicos del Programa Ampliado de inmunizaciones</t>
  </si>
  <si>
    <t>Incrementar en 1,83% las coberturas de vacunación  en niños de cinco años en los biológicos del Programa Ampliado de inmunizaciones</t>
  </si>
  <si>
    <t>Mantener en el 97,97% las coberturas de vacunación  en menores de 1 año en los biológicos del Programa Ampliado de inmunizaciones</t>
  </si>
  <si>
    <t xml:space="preserve">Incrementar en 15 municipios con certificación internacional de la interrupción de la transmisión del T.cruzi por vectores </t>
  </si>
  <si>
    <t>Mantener42 municipios con estrategia de gestión integrada de vectores</t>
  </si>
  <si>
    <t>Mantener en el 82% las coberturas de vacunación canina y felina</t>
  </si>
  <si>
    <t>Incrementar en el 5% la cobertura de vacunación en caninos y felinos</t>
  </si>
  <si>
    <t>Incrementar en el 30% las Empresas Sociales del Estado con adherencia a protocolos y guías para la atención de enfermedades zoonóticas</t>
  </si>
  <si>
    <t>Medir en 4 hospitales el índice de seguridad hospitalaria</t>
  </si>
  <si>
    <t xml:space="preserve">Caracterizar 800 trabajadores del sector informal de la economía  en condiciones de salud y trabajo </t>
  </si>
  <si>
    <t>Actualizar a 6.450 personas con registro de localización y caracterización con discapacidad</t>
  </si>
  <si>
    <t>Implementar en 4 municipios rutas de atención integral con enfoque etnocultural</t>
  </si>
  <si>
    <t>Mantener el 100% de los eventos de interés en salud pública notificados</t>
  </si>
  <si>
    <t xml:space="preserve">Incrementar en el 7,7%  el cumplimiento de estándares del Laboratorio departamental de salud </t>
  </si>
  <si>
    <t>Mantener a 565 establecimientos farmacéuticos con verificación de cumplimiento de requisitos</t>
  </si>
  <si>
    <t>Verificar a 135 establecimientos farmacéuticos el cumplimiento de requisitos</t>
  </si>
  <si>
    <t>Prestar a 10 IPS asistencia técnica en el proceso de acreditación</t>
  </si>
  <si>
    <t>Implementar en 60 prestadores la política de seguridad del paciente</t>
  </si>
  <si>
    <t>Certificar a 120 prestadores de servicios de salud en sistema de habilitación</t>
  </si>
  <si>
    <t>Mantener en 91,97% la cobertura de afiliación al sistema de salud</t>
  </si>
  <si>
    <t>Incrementar en 3,03% la cobertura de afiliación al sistema de salud</t>
  </si>
  <si>
    <t>Mantener a los 123 municipios con asistencia técnica en el proceso de planeación integral en salud</t>
  </si>
  <si>
    <t>Mantener a los 123 municipios con espacios de participación social</t>
  </si>
  <si>
    <t>Implementar una política de atención integral en salud</t>
  </si>
  <si>
    <t>Controlar el 100% de la oferta y disponibilidad de camas de unidades de cuidado intensivo e intermedio para la atención del COVID19</t>
  </si>
  <si>
    <t>Implementar en el 100% el área de biología molecular en el laboratorio de salud pública para la vigilancia del SARS CoV2 por PCRT-RT</t>
  </si>
  <si>
    <t>Realizar 4 capacitaciones para mejorar el conocimiento del riesgo de desastres en el departamento de Boyacá</t>
  </si>
  <si>
    <t>Realizar 4 estudios de conocimiento del riesgo de desastres en el departamento de Boyacá</t>
  </si>
  <si>
    <t>Atender el 100% de solicitudes con carrotanque como respuesta ante el desabastecimiento</t>
  </si>
  <si>
    <t>Atender el 100% de solicitudes con carrotanque como respuesta ante incendios</t>
  </si>
  <si>
    <t xml:space="preserve">Realizar 4 proyectos de suministros para el fortalecimiento de organismos de socorro en el departamento de Boyacá </t>
  </si>
  <si>
    <t>Brindar asistencia técnica a 123 municipios en procesos de desarrollo artístico cultural en el cuatrienio.</t>
  </si>
  <si>
    <t>Implementar 2 estrategias de innovación tecnológica, conexión virtual y comunicación dirigida al sector artístico y cultura.</t>
  </si>
  <si>
    <t>Desarrollar 2 alianzas interinstitucionales para la formación artística y cultural en Boyacá.</t>
  </si>
  <si>
    <t>Financiar 22 procesos de investigación, edición y/o publicación de libros de la Academia Boyacense de Historia, otras academias, organizaciones culturales y grupos de investigación del departamento de Boyacá.</t>
  </si>
  <si>
    <t>Financiar 3 proyectos culturales dirigidos a población con enfoque diferencial, del departamento de Boyacá.</t>
  </si>
  <si>
    <t>Realizar 4 convocatorias de estímulos en el departamento de Boyacá.</t>
  </si>
  <si>
    <t>Realizar 4 convocatorias de concertación cultural en el departamento de Boyacá.</t>
  </si>
  <si>
    <t>Mantener 60 creadores y gestores culturales con beneficios de seguridad social y beneficios económicos periódicos - BEPS, del departamento de Boyacá.</t>
  </si>
  <si>
    <t>Atender 150 creadores y gestores culturales con beneficios de seguridad social y beneficios económicos periódicos - BEPS, del departamento de Boyacá.</t>
  </si>
  <si>
    <t>Crear 2 redes de servicios culturales en el departamento de Boyacá.</t>
  </si>
  <si>
    <t>Operacionalizar 8 Redes de servicios culturales para su fortalecimiento en el Departamento de Boyacá.</t>
  </si>
  <si>
    <t>Operacionalizar 13 Consejos Provinciales de cultura en el departamento de Boyacá.</t>
  </si>
  <si>
    <t>Crear 13 Consejos Provinciales de cultura en el departamento de Boyacá.</t>
  </si>
  <si>
    <t>Desarrollar 4 programas de agenda cultural en el cuatrienio.</t>
  </si>
  <si>
    <t>Realizar 6 acciones encaminadas a la implementación de la Política Pública de Cultura y Patrimonio del departamento de Boyacá.</t>
  </si>
  <si>
    <t>Difundir 9 contenidos visuales, sonoros y convergentes de comunicación cultural en el departamento de Boyacá.</t>
  </si>
  <si>
    <t>Participar en 2 versiones de Feria Internacional del Libro FILBO con stand y la vinculación de escritores boyacenses a través del CEAB, en representación del departamento de Boyacá.</t>
  </si>
  <si>
    <t>Financiar 40 solicitudes de las agendas culturales municipales en sus distintas categorías (nuevos eventos, emergentes de 1 a 3 años, de trayectoria de 3 a 5 años) y difusión de eventos culturales haciendo uso de los distintos medios de comunicación, del departamento de Boyacá.</t>
  </si>
  <si>
    <t>Diseñar 15 circuitos regionales para la movilidad de los procesos y prácticas culturales en el Departamento de Boyacá.</t>
  </si>
  <si>
    <t xml:space="preserve"> Identificar 10 bienes de patrimonio cultural del departamento de Boyacá.</t>
  </si>
  <si>
    <t>Asesorar  la puesta en marcha de 3 planes especiales de salvaguardia del departamento de Boyacá.</t>
  </si>
  <si>
    <t>Formular 3 planes especiales de salvaguardia del departamento de Boyacá.</t>
  </si>
  <si>
    <t>Realizar 4 declaratorias del patrimonio material del ámbito departamental.</t>
  </si>
  <si>
    <t>Incrementar al 100 % los requisitos exigidos por la Superintendencia Financiera de Colombia.</t>
  </si>
  <si>
    <t>90                                                              (10 p p nuevos)</t>
  </si>
  <si>
    <t>100                                                              (30 p p nuevos)</t>
  </si>
  <si>
    <t>59                                                              (9 p p nuevos)</t>
  </si>
  <si>
    <t>Empoderar 10  grupos sociales para el ejercicio del control de recursos públicos y actividades públicas</t>
  </si>
  <si>
    <t>Incrementar en un 5% el Índice de Gobierno abierto (IGA) medido por la Procuraduría General</t>
  </si>
  <si>
    <t>Diagnosticar el 60% los activos de información de la entidad en términos de su aseguramiento</t>
  </si>
  <si>
    <t>Implementar en un 25% el Plan de control operacional del Sistema de Gestión de Seguridad de la Información (SGSI)</t>
  </si>
  <si>
    <t>Implementar 1 solución tecnológica como iniciativa que apoya el Teletrabajo en el marco de un Sistema de Gestión de la Continuidad del Negocio (SGCN)</t>
  </si>
  <si>
    <t xml:space="preserve"> Garantizar un gobierno abierto, transparente y participativo, ampliando la difusión de la gestión de la Gobernación de Boyacá de manera eficaz y eficiente</t>
  </si>
  <si>
    <t>Aumentar la  asistencia al 61.66% del total de las asociaciones de suscriptores de acueductos rurales en el departamento</t>
  </si>
  <si>
    <t>Aumentar al 64.61% la cobertura de acueducto rural en los cuatro años de la administración</t>
  </si>
  <si>
    <t>Ampliar al 99.3%  la cobertura de los sistemas de acueductos en el sector Urbano</t>
  </si>
  <si>
    <t>Ampliar al 9,86% la cobertura de alcantarillado rural durante el cuatrienio</t>
  </si>
  <si>
    <t>Aumentar al 98% la Cobertura de Alcantarillado en el sector Urbano</t>
  </si>
  <si>
    <t>Constituir una Instancia departamental  de articulación y trabajo por el Lago de tota</t>
  </si>
  <si>
    <t xml:space="preserve">Incrementar a 327 toneladas los residuos sólidos recuperados en el departamento de Boyacá durante el cuatrienio </t>
  </si>
  <si>
    <t>Ampliar al 98.99% la cobertura de aseo  en el departamento.</t>
  </si>
  <si>
    <t>Aumentar a 96 Nuevos prestadores la asistencia técnica en la gestión de riesgo sectorial</t>
  </si>
  <si>
    <t>Mantener en la 10 posición al departamento de Boyacá en el índice departamental de competitividad</t>
  </si>
  <si>
    <t>Disminuir a 56 el numero de victimas fatales por accidentes de transito en vías departamentales y municipales de Boyacá</t>
  </si>
  <si>
    <t>Aumentar a un 90% la inversión de los procesos de negocio mediante la optimización de la infraestructura tecnológica durante el periodo de gobierno</t>
  </si>
  <si>
    <t>Mantener 8 Espacios físicos Intervenidos</t>
  </si>
  <si>
    <t>Iniciar 10 procesos de legalización, administración y/o productividad de  bienes inmuebles</t>
  </si>
  <si>
    <t>Actualizar 4 instrumentos archivísticos contribuyendo al cumplimiento de la política de gestión Documental.</t>
  </si>
  <si>
    <t>Desarrollar 3 actividades que permitan gestionar el conocimiento y la innovación en la entidad.</t>
  </si>
  <si>
    <t>Mantener el 73,4% de la implementación de la Política de Gestión estratégica del Talento Humano.</t>
  </si>
  <si>
    <t>Implementar 1 Plan de seguridad vial de la Gobernación de Boyacá</t>
  </si>
  <si>
    <t>Mantener en 80% los procesos fiscales y financieros, con implementación de innovación tecnológica.</t>
  </si>
  <si>
    <t xml:space="preserve">Incrementar en  4% los procesos fiscales y financieros,  con implementación de innovación tecnológica </t>
  </si>
  <si>
    <t xml:space="preserve">Mantener en 35% la organización de los expedientes administrativos y de cuotas partes de la Dirección departamental de  pasivos pensionales </t>
  </si>
  <si>
    <t xml:space="preserve">Aumentar  un 50%  la organización de los expedientes administrativos y de cuotas partes de la Dirección departamental de  pasivos pensionales </t>
  </si>
  <si>
    <t>Capacitar y asesorar al 4%  el capital humano de la Gobernación de Boyacá en la elaboración de estudios previos.</t>
  </si>
  <si>
    <t>Optimizar 1 herramienta tecnológica para el proceso de Contratación.</t>
  </si>
  <si>
    <t>Mantener adecuada y organizada el 30% del área del archivo de la Secretaria de Contratación.</t>
  </si>
  <si>
    <t>Organizar en un 55%  el área del archivo de Gestión de la Secretaria de Contratación.</t>
  </si>
  <si>
    <t>Realizar 8 campañas de fomento a la cultura de autocontrol en la Gobernación de Boyacá durante el periodo de gobierno</t>
  </si>
  <si>
    <t>Realizar $300.000.000.000 en ventas en lotería</t>
  </si>
  <si>
    <t>Incrementar la competitividad en 3.000 integrantes de la fuerza de venta de lotería.</t>
  </si>
  <si>
    <t>Asegurar el 100 % del fomento de una cultura de consumo responsable en el Departamento</t>
  </si>
  <si>
    <t>Ejecutar 3 iniciativas de programas sociales articuladas</t>
  </si>
  <si>
    <t xml:space="preserve">Realizar las 4 actividades para mantener la calificación de riesgo crediticio. </t>
  </si>
  <si>
    <t>Incrementar en 15% los ingresos por sociedades y empresas de economía mixta.</t>
  </si>
  <si>
    <t>Realizar  5 actividades de aprovechamiento y optimización predial</t>
  </si>
  <si>
    <t>Mantener 1 acción de desarrollo y fomento de las regiones</t>
  </si>
  <si>
    <t>Realizar 1 acción de aprovechamiento forestal y reforestación</t>
  </si>
  <si>
    <t>Mantener 1 sistemas de gestión de seguridad y salud en el trabajo implementado.</t>
  </si>
  <si>
    <t>Mantener 1 articulación para el avance de la gestión territorial  por parte del IDEBOY</t>
  </si>
  <si>
    <t>Articular con 50 medios regionales y locales de Índole público o privado la divulgación de contenido informativo de la Gobernación de Boyacá</t>
  </si>
  <si>
    <t>Incrementar en un 45%  la implementación del Plan de tratamiento de riesgos de seguridad digital</t>
  </si>
  <si>
    <t>Coadyuvar a  1 municipio de Boyacá en la utilización de las Tecnologías de la información y las Comunicaciones (TIC) con el objeto de transformarse en ciudad inteligente</t>
  </si>
  <si>
    <t xml:space="preserve">Incrementar al 84% a la gestión fiscal, recaudo de los tributos, mecanismos financieros y operativos existentes </t>
  </si>
  <si>
    <t>Mejorar al 100% la Gestión Contractual del Departamento de Boyacá</t>
  </si>
  <si>
    <t xml:space="preserve">Mantener al 100% las solitudes  de  Inspección, la Vigilancia y el Control de las Entidades sin ánimo de lucro </t>
  </si>
  <si>
    <t>Mantener el 100% de la defensa jurídica y patrimonio público eficientemente atendido y mejorado.</t>
  </si>
  <si>
    <t>Incrementar al  90 % la calificación de riesgo financiero del Instituto de fomento y desarrollo de Boyacá</t>
  </si>
  <si>
    <t>Promover 10 proyectos e iniciativas que aprovechen los datos abiertos dispuestos por entidades públicas</t>
  </si>
  <si>
    <t xml:space="preserve">Desarrollar la estrategia de TI en 25 Subprocesos de negocio bajo una arquitectura empresarial para mejorar su capacidad </t>
  </si>
  <si>
    <t>Incrementar a 22% la cobertura en el nivel preescolar en el marco de la atención integral en los 120 municipios no certificados del departamento.</t>
  </si>
  <si>
    <t>Intervenir 8 sedes con nivel preescolar con ambientes escolares en municipios no certificados del departamento</t>
  </si>
  <si>
    <t>Implementar 1 piloto de atención integral en grados pre jardín y jardín en Instituciones Educativas del Departamento</t>
  </si>
  <si>
    <t>Mantener  393 sedes  de Instituciones Educativas oficiales con  tutores educativos  en el departamento</t>
  </si>
  <si>
    <t>Acompañar a 107 nuevas sedes  de Instituciones Educativas oficiales con  tutores educativos en el departamento</t>
  </si>
  <si>
    <t>Incrementar  en 30 sedes de Instituciones Educativas la calidad en el aprendizaje en  diferentes lenguas extranjeras en los municipios no certificados del departamento.</t>
  </si>
  <si>
    <t xml:space="preserve">Beneficiar a 1416 estudiantes con el desarrollo de las competencias comunicativas y literarias en Instituciones Educativas oficiales de municipios no certificados </t>
  </si>
  <si>
    <t>Implementar en 32 sedes de Instituciones Educativas estrategias innovadoras de aprendizaje, aprovechando las tecnologías y entornos disponibles</t>
  </si>
  <si>
    <t xml:space="preserve">Implementar en 100 sedes de Instituciones Educativas de municipios no certificados  proyectos pedagógicos y/o emprendimientos </t>
  </si>
  <si>
    <t>Capacitar a 2691 nuevos docentes  y directivos docentes en metodologías pertinentes para prestar un servicio educativo de calidad.</t>
  </si>
  <si>
    <t>Beneficiar a 12 docentes y directivos docentes con incentivos académicos y pedagógicos.</t>
  </si>
  <si>
    <t xml:space="preserve">Reorientar en 42  Instituciones Educativas de municipios no certificados los proyectos educativos institucionales PEI </t>
  </si>
  <si>
    <t xml:space="preserve">Actualizar en 108 Instituciones Educativas de municipios no certificados los Proyectos Educativos Institucionales PEI </t>
  </si>
  <si>
    <t>Asistir técnicamente a 64 Instituciones Educativas de municipios no certificados en entornos educativos integrales.</t>
  </si>
  <si>
    <t>Incrementar  en 60   Instituciones Educativas de municipios no certificados estrategias de entornos educativos integrales que permitan el desarrollo socio-emocional y cultural del estudiante.</t>
  </si>
  <si>
    <t>Desarrollar 124 encuentros formativos que vinculen a la familia en los procesos educativos de estudiantes del nivel básica y media en los municipios no certificados del departamento.</t>
  </si>
  <si>
    <t>Mantener el 12,78  porciento de sedes de Instituciones Educativas con conectividad.</t>
  </si>
  <si>
    <t>Beneficiar a 6% de los estudiantes de las sedes de Instituciones Educativas Oficiales con intervención en la Infraestructura Física en Municipios No Certificados de Boyacá</t>
  </si>
  <si>
    <t xml:space="preserve">Focalizar 1.200 estudiantes la de Instituciones Educativas oficiales con la estrategia de Seguimiento Individual, teniendo en cuenta el tránsito entre niveles </t>
  </si>
  <si>
    <t xml:space="preserve">Implementar 1 Piloto en Institución Educativa Oficial para fortalecer la permanencia en Municipios de frontera </t>
  </si>
  <si>
    <t>Beneficiar 500 nuevos estudiantes de Instituciones Educativas Oficiales, con estrategias de Transporte Escolar.</t>
  </si>
  <si>
    <t xml:space="preserve">Aumentar en 2 puntos porcentuales estudiantes con discapacidad matriculados atendidos con educación pertinente </t>
  </si>
  <si>
    <t xml:space="preserve">Mantener el 100% de la atención a estudiantes en extra-edad matriculados con educación pertinente </t>
  </si>
  <si>
    <t>Reducir en 0,2 % la tasa de analfabetismo en los 120 municipios no certificados del departamento</t>
  </si>
  <si>
    <t>Mantener 176 Instituciones Educativas articuladas con educación superior.</t>
  </si>
  <si>
    <t>Articular 14 Instituciones Educativas mediante la organización curricular de la Educación Media  y otras estrategias, con  la educación superior.</t>
  </si>
  <si>
    <t>Reenfocar 40 Instituciones Educativas con oferta de las especialidades de la Educación Media, de acuerdo a las necesidades e intereses de la región.</t>
  </si>
  <si>
    <t xml:space="preserve">Mantener las  68  Instituciones Educativas fortalecidas con estrategias de orientación socio-ocupacional  </t>
  </si>
  <si>
    <t xml:space="preserve">Incrementar en 59  Instituciones Educativas con estrategias de orientación socio-ocupacional </t>
  </si>
  <si>
    <t>Mantener 8 escuelas normales con estrategias de calidad</t>
  </si>
  <si>
    <t>Aumentar a 58 % la tasa neta de cobertura en educación media.</t>
  </si>
  <si>
    <t>Disminuir a 76 % la brecha de Cobertura Neta entre la zona urbana y rural, en Educación Preescolar, Básica y Media.</t>
  </si>
  <si>
    <t>Beneficiar a 130 estudiantes con medios de transporte para el acceso a sedes rurales de Instituciones Educativas Oficiales.</t>
  </si>
  <si>
    <t>Beneficiar 39 Instituciones Educativas Oficiales con emisoras Escolares comunitarias en Municipios No Certificados de Boyacá.</t>
  </si>
  <si>
    <t>Beneficiar  300 nuevos estudiantes con acciones que faciliten el acceso y permanencia en sedes rurales de Instituciones Educativas Oficiales.</t>
  </si>
  <si>
    <t>Implementar 1 Piloto en Sede Rural con prestación de Servicio Educativo Integral.</t>
  </si>
  <si>
    <t>Intervenir 3 sedes de Instituciones Educativas con ambientes escolares para población étnica   de los municipios no certificados del departamento</t>
  </si>
  <si>
    <t>Reorientar en 3 Instituciones Educativas con población étnica  Proyectos Educativos Institucionales PEI y/o Proyectos Educativos Comunitarios PEC</t>
  </si>
  <si>
    <t>Implementar en 10 instituciones educativas la cátedra de estudios Afrocolombianos (CEA)</t>
  </si>
  <si>
    <t>Incrementar a 45 % la tasa de tránsito inmediato a la educación superior.</t>
  </si>
  <si>
    <t>Beneficiar a 197 estudiantes con estrategias de acceso y permanencia en la educación superior.</t>
  </si>
  <si>
    <t>Adelantar 2 convenios interinstitucionales para infraestructura de Instituciones Educativas de Educación Superior</t>
  </si>
  <si>
    <t xml:space="preserve">Adecuar 8 dependencias por medio de la adquisición de mobiliario o  mejoramiento de la planta física </t>
  </si>
  <si>
    <t>Crear 14 instancias participativas a nivel departamental y territorial en los municipios no certificados en el departamento de Boyacá</t>
  </si>
  <si>
    <t>Implementar 100 acciones de presencia institucional a través de núcleos educativos en las instituciones educativas oficiales y privadas en los municipios no certificados en el departamento de Boyacá</t>
  </si>
  <si>
    <t>Incrementar a 100 % la satisfacción del servicio en el sector educativo del departamento de Boyacá.</t>
  </si>
  <si>
    <t xml:space="preserve">Reducir a 34,82 por cada 100.000 nacidos vivos la razón de mortalidad materna </t>
  </si>
  <si>
    <t>Mantener en 8,37  por 1.000 nacidos vivos la tasa de mortalidad infantil</t>
  </si>
  <si>
    <t>Mantener en un 5,23 por cada 1.000 habitantes la tasa de mortalidad general</t>
  </si>
  <si>
    <t xml:space="preserve">Incrementar en 63 municipios con mapas de riesgo de calidad de agua como herramienta para la toma de decisiones </t>
  </si>
  <si>
    <t>Monitorear en 105 Empresas Sociales del Estado ESE las acciones de prevención y detección temprana de las enfermedades no transmisibles (cardiovasculares, cáncer de colon, útero y mama) y de las alteraciones auditivas</t>
  </si>
  <si>
    <t xml:space="preserve">Asesorar técnicamente a 3 municipios con  la estrategia ciudades, entornos y ruralidades saludables- CERS </t>
  </si>
  <si>
    <t>Incrementar en 111 municipios del departamento acciones colectivas para la prevención de las alteraciones de salud bucal</t>
  </si>
  <si>
    <t>Implementar 1 programa para el manejo y rehabilitación de consumidores de sustancias psicoactivas en el departamento</t>
  </si>
  <si>
    <t>Mantener  a 105 Empresas Sociales del Estado ESE con asistencia técnica para la adopción de la ruta integral de atención a la desnutrición aguda en menores de 5 años</t>
  </si>
  <si>
    <t>Incrementar en 107 municipios el desarrollo de planes de seguridad alimentaria y nutricional</t>
  </si>
  <si>
    <t>Incrementar en 24 Empresas Sociales del Estado ESE  con asistencia técnica  en la adopción de estrategias para mejorar atención en salud y nutrición materna e infantil</t>
  </si>
  <si>
    <t>Mantener 63  restaurantes de centros de desarrollo infantil con vigilancia y control en  cumplimiento de requisitos higiénico sanitarios</t>
  </si>
  <si>
    <t>Incrementar  8 restaurantes de centros de desarrollo infantil con vigilancia y control en  cumplimiento de requisitos higiénico sanitarios</t>
  </si>
  <si>
    <t>Mantener 508  restaurantes escolares de las instituciones públicas con  acciones de vigilancia y control en  cumplimiento de requisitos higiénico sanitarios</t>
  </si>
  <si>
    <t>Implementar en 60 municipios con asistencia técnica el plan de respuesta ante las infecciones de transmisión sexual (ITS), el VIH, la coinfección TB/VIH y las Hepatitis B y C.</t>
  </si>
  <si>
    <t>Mantener al 74% de personas con tuberculosis en tratamiento y con seguimiento</t>
  </si>
  <si>
    <t>Mantener al 80% de personas con enfermedad de Hansen en tratamiento y con seguimiento</t>
  </si>
  <si>
    <t>Incrementar en 20 municipios la aplicación de la estrategia de gestión integrada de vectores</t>
  </si>
  <si>
    <t>Mantener los 123 municipios con capacidades para la atención integral  con enfoque diferencial a poblaciones vulnerables</t>
  </si>
  <si>
    <t>Autorizar a 10 Instituciones Prestadoras de Salud IPS para certificar la discapacidad</t>
  </si>
  <si>
    <t>Mantener a 85 Empresas Sociales del Estado ESE con equilibrio fiscal y financiero</t>
  </si>
  <si>
    <t>Incrementar en 4 Empresas Sociales del Estado ESE con servicio de telemedicina</t>
  </si>
  <si>
    <t>Mejorar en 10 Empresas Sociales del Estado ESE la infraestructura o dotación hospitalaria</t>
  </si>
  <si>
    <t>Atender al 100% de casos de COVID-19 con acciones de vigilancia en salud pública</t>
  </si>
  <si>
    <t>Asistir técnicamente al 95% de prestadores de la red de laboratorios y toma de muestras para la vigilancia por laboratorio del SARS COV2</t>
  </si>
  <si>
    <t>Reducir a 5,1 % el déficit cuantitativo de vivienda</t>
  </si>
  <si>
    <t xml:space="preserve">Reducir al 29,13 % el déficit cualitativo de vivienda </t>
  </si>
  <si>
    <t>Asignar 45 subsidios de viviendas nuevas  campesinas a familias de grupos poblacionales de interés constitucional.</t>
  </si>
  <si>
    <t>Asignar 400 subsidios de mejoramientos de vivienda a población campesina.</t>
  </si>
  <si>
    <t>Asignar 40 subsidios de mejoramiento de vivienda  campesina  a población de interés constitucional.</t>
  </si>
  <si>
    <t>Otorgar  160 subsidios de mejoramiento de vivienda urbana en el departamento</t>
  </si>
  <si>
    <t>Otorgar  16  subsidios de mejoramiento de vivienda urbana a familias de grupos poblacionales de interés constitucional</t>
  </si>
  <si>
    <t>Otorgar  160 subsidios de vivienda nueva  en el departamento</t>
  </si>
  <si>
    <t>Otorgar  16 subsidios de vivienda nueva urbana a familias de grupos poblacionales de interés constitucional.</t>
  </si>
  <si>
    <t>Atender a 60 familias en riesgo o que hayan sido  víctimas de desastres naturales</t>
  </si>
  <si>
    <t>Impulsar 15 proyectos de espacio público con  inclusión social  dirigido a la población del departamento.</t>
  </si>
  <si>
    <t xml:space="preserve"> Impulsar 15 proyectos de edificaciones y equipamientos  con  inclusión social  dirigido a la población del departamento.</t>
  </si>
  <si>
    <t xml:space="preserve">Realizar 30 nuevas intervenciones  para mejorar  el entorno social en el departamento </t>
  </si>
  <si>
    <t xml:space="preserve">Asesorar 1 proceso de expansión de infraestructura eléctrica para ampliar el índice de cobertura  </t>
  </si>
  <si>
    <t>Ejecutar 5 proyectos de gasificación domiciliaria cofinanciados para la ampliación la cobertura  del  servicio.</t>
  </si>
  <si>
    <t>Mantener la asistencia técnica a 20 municipios dentro del sistema territorial de discapacidad</t>
  </si>
  <si>
    <t>Mantener 12 acciones del sistema departamental de discapacidad (CDD)</t>
  </si>
  <si>
    <t>Crear 1 grupo de aprendizaje de lengua de señas.</t>
  </si>
  <si>
    <t>Mantener 1 grupo de lenguaje de señas implementado</t>
  </si>
  <si>
    <t>Operativizar 1 fondo para las personas con  discapacidad en el departamento de Boyacá</t>
  </si>
  <si>
    <t>Mantener el apoyo a 25 municipios en la implementación del sistema Registro de Localización y Caracterización de Personas con discapacidad RLCPD</t>
  </si>
  <si>
    <t>Realizar  con 98 municipios procesos para la implementación del sistema Registro de Localización y Caracterización de Personas con discapacidad RLCPD</t>
  </si>
  <si>
    <t>Generar 1 material pedagógico para apoyo de personas con discapacidad</t>
  </si>
  <si>
    <t>Divulgar 1 material pedagógico para el apoyo a las personas con discapacidad</t>
  </si>
  <si>
    <t xml:space="preserve">Implementar 1 estrategia de Rehabilitación Basada en Comunidad RBC para familias y cuidadores de las personas con discapacidad </t>
  </si>
  <si>
    <t xml:space="preserve">Mantener 1 estrategia de Rehabilitación Basada en Comunidad RBC para familias y cuidadores de las personas con discapacidad </t>
  </si>
  <si>
    <t>Implementar 1 estrategia Rehabilitación Basada en Comunidad RBC para deconstruir imaginarios y prácticas sociales en torno a las personas con discapacidad.</t>
  </si>
  <si>
    <t>Mantener  1 estrategia Rehabilitación Basada en Comunidad RBC para deconstruir imaginarios y prácticas sociales entorno a las personas con discapacidad.</t>
  </si>
  <si>
    <t xml:space="preserve">Formular 1 estrategia para la protección de los derechos de la población migrante </t>
  </si>
  <si>
    <t>Beneficiar a 20.000 mujeres y niñas para la superación de brechas en el departamento de Boyacá</t>
  </si>
  <si>
    <t>Mantener 1 instancia de genero en el departamento de Boyacá</t>
  </si>
  <si>
    <t>Mantener 35 consejos consultivos de mujeres en Boyacá</t>
  </si>
  <si>
    <t>Mantener 30 redes y organizaciones de mujeres existente en el departamento</t>
  </si>
  <si>
    <t>Crear 15 redes  y organizaciones de mujeres en el departamento</t>
  </si>
  <si>
    <t>Mantener 1 Escuela de formación y liderazgo para las mujeres boyacenses</t>
  </si>
  <si>
    <t>Realizar 4 jornadas en formulación de proyectos productivos para mujeres y hogares boyacenses.</t>
  </si>
  <si>
    <t>Mantener 4 estrategias de transformación de imaginarios sociales y culturales que naturalizan la violencia  en el departamento de Boyacá</t>
  </si>
  <si>
    <t>Implementar 3 estrategias de transformación de imaginarios sociales y culturales que naturalizan la violencia en el departamento Boyacá</t>
  </si>
  <si>
    <t>Mantener 1 Comité para el abordaje integral de violencias de género en el departamento Boyacá.</t>
  </si>
  <si>
    <t xml:space="preserve">Implementar 3 estrategias para  la promoción de     la paridad de género y la inclusión en la agenda pública de la mejora integral de las condiciones de las mujeres y las niñas </t>
  </si>
  <si>
    <t xml:space="preserve">Atender 1200 personas adultas mayores con programas y estrategias para la garantía de los derechos que permitan su valoración y reconocimiento de saberes </t>
  </si>
  <si>
    <t>Implementar  1  estrategia para la financiación y cofinanciación, orientada al bienestar de la persona adulta mayor.</t>
  </si>
  <si>
    <t>Implementar 2 campañas pedagógicas para la promoción del buen trato y la atención adecuada al adulto mayor.</t>
  </si>
  <si>
    <t>Implementar en 44  centros de protección  del departamento  un programa de  fortalecimiento a la atención y el aprovechamiento productivo del tiempo libre</t>
  </si>
  <si>
    <t>Asistir técnica y financieramente 3 iniciativas de generación de ingresos de las personas adultas mayores.</t>
  </si>
  <si>
    <t>Implementar 1 estrategia para para la participación de la población LGTBI en el comité departamental.</t>
  </si>
  <si>
    <t xml:space="preserve">Implementar 3 Campañas para la prevención de estigmatización y discriminación en contra de la población LGBTI </t>
  </si>
  <si>
    <t>Operativizar 124 instancias departamental y municipales para la gestión pública social en su operación y funcionamiento</t>
  </si>
  <si>
    <t>Realizar 110 encuentros  departamentales para el fortalecimiento  la gestión social en el departamento</t>
  </si>
  <si>
    <t>Dotar 10 salas de lectura y lúdica especializadas para la primera infancia</t>
  </si>
  <si>
    <t>Implementar en los 123 municipios encuentros formativos en dinámica familiar y promoción de la no violencia.</t>
  </si>
  <si>
    <t xml:space="preserve">Reducir al 69,1 la tasa de violencia por 100.000 habitantes hacia niños, niñas y adolescentes  de 6 a 17 de edad </t>
  </si>
  <si>
    <t>Beneficiar a 5000 personas mediante la estrategia para la reducción de la violencia sexual hacia las niñas, niños y adolescentes en el departamento de Boyacá</t>
  </si>
  <si>
    <t xml:space="preserve">Mantener 1 instancias departamental  de participación efectiva de Niños, Niñas y Adolescentes </t>
  </si>
  <si>
    <t>Implementar 12  instancias  municipales de participación efectiva de Niños, Niñas y Adolescentes .</t>
  </si>
  <si>
    <t xml:space="preserve">Beneficiar a 1500 Niños, Niños y Adolescentes, con estrategias para la prevención de embarazos y el consumo de sustancias psicoactivas </t>
  </si>
  <si>
    <t xml:space="preserve">Beneficiar a 6000 Adolescentes en alternativas para el fortalecimiento de proyectos de vida y uso del tiempo libre </t>
  </si>
  <si>
    <t xml:space="preserve">Beneficiar 9 familias en el desarrollo de iniciativas productivas para la disminución del trabajo infantil. </t>
  </si>
  <si>
    <t xml:space="preserve">Realizar 400 talleres de prevención de los delitos </t>
  </si>
  <si>
    <t>Implementar 5 escuelas de formación deportiva y/o artística como estrategia de prevención del delito</t>
  </si>
  <si>
    <t>Realizar 1800 talleres de prevención y de formación con niños, niñas, adolescentes, familias y comunidades del Departamento</t>
  </si>
  <si>
    <t>Implementar 16 procesos de formación  "Por la cultura de la legalidad" con población focalizada</t>
  </si>
  <si>
    <t>Realizar 4 procesos de formación dirigidos a autoridades, directivos y docentes del departamento, en sistema de responsabilidad penal adolescente</t>
  </si>
  <si>
    <t>Socializar en los 123 municipios del Departamento la Política Pública de previsión y prevención de infracción a la Ley penal adolescente</t>
  </si>
  <si>
    <t>Realizar el 100% del seguimiento a las actividades ejecutadas por las diferentes instituciones responsables de la construcción del Centro de Atención Especializada CAE.</t>
  </si>
  <si>
    <t>Desarrollar con 100 adolescentes en condición de medidas no privativas de la libertad, procesos de orientación en proyecto de vida.</t>
  </si>
  <si>
    <t>Premiar 4 actividades deportivas con los adolescentes que integran el sistema de responsabilidad penal, en el Centro de Atención Especializada CAE.</t>
  </si>
  <si>
    <t>Implementar 4 procesos de formación cultural para los adolescentes que cumplen sanción privativa de la libertad.</t>
  </si>
  <si>
    <t>Beneficiar a 1500 jóvenes en espacios de participación</t>
  </si>
  <si>
    <t>Realizar 13 capacitaciones en mecanismos de participación ciudadana con jóvenes del departamento.</t>
  </si>
  <si>
    <t>Implementar 1 carpeta de estímulos para jóvenes del departamento</t>
  </si>
  <si>
    <t xml:space="preserve">Disminuir a 174,3 la tasa por 100.000 habitantes de violencia intrafamiliar y de pareja </t>
  </si>
  <si>
    <t>Implementar 1 municipio piloto con estrategia integral contra la violencia intrafamiliar.</t>
  </si>
  <si>
    <t>Capacitar 1500 familias en el fortalecimiento de los vínculos al interior del hogar.</t>
  </si>
  <si>
    <t>Implementar 1 estrategia de fortalecimiento psicosocial de familias monoparentales.</t>
  </si>
  <si>
    <t>Realizar 6 encuentros para el rescate de la identidad cultural de los grupos étnicos</t>
  </si>
  <si>
    <t>Mantener 2 espacios de participación para las comunidades étnicas del departamento.</t>
  </si>
  <si>
    <t>Mantener 1 espacio de dialogo intercultural del departamento.</t>
  </si>
  <si>
    <t>Incrementar a un 70 % el reconocimiento de los derechos de la población víctima del conflicto armado en el departamento</t>
  </si>
  <si>
    <t xml:space="preserve">Mantener 1 Comité Departamental de Justicia Transicional  </t>
  </si>
  <si>
    <t xml:space="preserve">Mantener 4 Subcomités de Justicia Transicional </t>
  </si>
  <si>
    <t>Ejecutar el 100% de asistencias humanitarias inmediatas a los municipios que lo requieran</t>
  </si>
  <si>
    <t>Operativizar 1 punto regional de atención de víctimas del conflicto armado</t>
  </si>
  <si>
    <t xml:space="preserve">Mantener 1 Mesa Departamental de Víctimas </t>
  </si>
  <si>
    <t>Mantener 1 Comité Departamental de Derechos Humanos y el Derecho Internacional Humanitario DDHH y DHI</t>
  </si>
  <si>
    <t>Mantener 1 Comité Departamental contra el delito por trata de personas</t>
  </si>
  <si>
    <t>Implementar 1 Plan Integral de Prevención y Contingencia</t>
  </si>
  <si>
    <t>Mantener a 13.534 niños, niñas y adolescentes en procesos de formación de escuelas deportivas legalmente constituidas en el departamento de Boyacá.</t>
  </si>
  <si>
    <t>Vincular a 200 niños, niñas y adolescentes en procesos de formación de escuelas deportivas legalmente constituidas en el departamento de Boyacá.</t>
  </si>
  <si>
    <t>Mantener 7 procesos de formación en diferentes disciplinas deportivas  en el departamento</t>
  </si>
  <si>
    <t>Aumentar 13 procesos de formación en diferentes disciplinas deportivas  en el departamento</t>
  </si>
  <si>
    <t xml:space="preserve">Mantener la participación de  123 municipios del departamentos en los Juegos Intercolegiados </t>
  </si>
  <si>
    <t>Asesorar a los 123 municipios en el desarrollo y ejecución de los programas deportivos del departamento</t>
  </si>
  <si>
    <t>Mantener 16 estrategias con reporte de información en el observatorio departamental del deporte</t>
  </si>
  <si>
    <t>Realizar 14 publicaciones por parte del Observatorio Departamental del Deporte</t>
  </si>
  <si>
    <t>Beneficiar a 3.280 ciclistas con el programa Boyacá Raza de Campeones</t>
  </si>
  <si>
    <t>Realizar 30 eventos ciclísticos en el departamento</t>
  </si>
  <si>
    <t xml:space="preserve">Atender a 120 deportistas con talento deportivo dentro del programa de ciencias aplicadas </t>
  </si>
  <si>
    <t>Asistir técnicamente al 50% de los municipios del departamento en programas de deporte social</t>
  </si>
  <si>
    <t xml:space="preserve">Asistir a 184 hogares en actividades de consejería en hábitos y estilos de vida saludable </t>
  </si>
  <si>
    <t>Mantener 1 evento deportivos a nivel provincial en el departamento</t>
  </si>
  <si>
    <t xml:space="preserve">Beneficiar a 759 deportistas con programas deportivos de alto rendimiento </t>
  </si>
  <si>
    <t xml:space="preserve">Beneficiar a 210 deportistas de alto rendimiento con incentivos por sus altos logros alcanzados </t>
  </si>
  <si>
    <t>Generar 3 contratos y/o convenios que permitan apoyar a las ligas deportivas legalmente constituidas</t>
  </si>
  <si>
    <t>Implementar 4 Programas de desarrollo deportivo  (CENDEZ) en las provincias del departamento</t>
  </si>
  <si>
    <t>Vincular 94 entrenadores e instructores para preparación virtual de deportistas en el departamento</t>
  </si>
  <si>
    <t>Mantener la realización de 210 valoraciones médicas, nutricionales, fisioterapeutas y psicológicas a deportistas en procesos de formación y preparación.</t>
  </si>
  <si>
    <t>Conformar 1 Equipo interdisciplinario que permita realizar la clasificación funcional de deportistas con discapacidad.</t>
  </si>
  <si>
    <t>Asistir técnicamente 19 proyectos de infraestructura deportiva de los diferentes municipios del departamento</t>
  </si>
  <si>
    <t>Adecuar 1 Centro médico deportivo que mejore la atención a los deportistas del departamento</t>
  </si>
  <si>
    <t>Realizar1 Alianza público privada, que permita la construcción de escenarios deportivos y recreativos para el departamento</t>
  </si>
  <si>
    <t>Formular 1 proyecto de infraestructura, que permita la gestión de recursos por medio del Sistema General de Regalías SGR para el mejoramiento de escenarios deportivos en el departamento</t>
  </si>
  <si>
    <t>Implementar al 100% un sistema de información que permita la recopilación datos del sector  en articulación con el Observatorio Departamental del Deporte</t>
  </si>
  <si>
    <t>Actualizar al 70% los procesos y procedimientos de planeación y gestión de Indeportes Boyacá</t>
  </si>
  <si>
    <t>Mantener la asistencia técnica a 50 municipios para el fortalecimiento de escuelas de formación artística y cultural.</t>
  </si>
  <si>
    <t>Asistir técnicamente a 20  municipios para la creación de escuelas de formación artística y cultural.</t>
  </si>
  <si>
    <t>Mantener 1 alianza interinstitucional para la formación artística y cultural en Boyacá.</t>
  </si>
  <si>
    <t xml:space="preserve">Publicar 3 ediciones de la revista Cultura </t>
  </si>
  <si>
    <t>Realizar una convocatoria de emergencia COVID-19 para los gestores culturales y artistas en el departamento de Boyacá.</t>
  </si>
  <si>
    <t>Realizar 4 convocatorias a municipios de sexta categoría beneficiados con procesos de formación artístico cultural del departamento de Boyacá.</t>
  </si>
  <si>
    <t xml:space="preserve">Realizar 4 convocatorias del Consejo Editorial de Autores Boyacenses CEAB </t>
  </si>
  <si>
    <t>Realizar en 13 provincias del Departamento estrategias de socialización de la  Política Pública de Cultura y Patrimonio de Boyacá.</t>
  </si>
  <si>
    <t>Operativizar 9 Consejos Departamentales de cultura de Boyacá.</t>
  </si>
  <si>
    <t>Asistir técnicamente a 123 municipios para el fortalecimiento del sistema municipal de cultura del departamento de Boyacá.</t>
  </si>
  <si>
    <t>Implementar 1 Observatorio de Cultura y Patrimonio con el sector artístico cultural del departamento de Boyacá.</t>
  </si>
  <si>
    <t>Realizar 1 caracterización del sector artístico y cultural del departamento de Boyacá.</t>
  </si>
  <si>
    <t>Ajustar 1 documento técnico de política pública de cultura (Ordenanza 043 de 2019 artículo 3. parágrafo) del departamento de Boyacá.</t>
  </si>
  <si>
    <t>Formular una Política  Pública de cinematografía para el Departamento de Boyacá.</t>
  </si>
  <si>
    <t>Conformar una instancia de evaluación y seguimiento de la política pública de cultura y patrimonio</t>
  </si>
  <si>
    <t xml:space="preserve">Beneficiar 123 municipios con servicios culturales a través del sistema departamental de cultura </t>
  </si>
  <si>
    <t>Desarrollar 12 eventos culturales interinstitucionales (encuentros regionales de bandas, concurso nacional de bandas entre otros) en el departamento de Boyacá.</t>
  </si>
  <si>
    <t>Financiar 8 iniciativas comunitarias y/o emprendimientos culturales en el marco del diálogo intercultural</t>
  </si>
  <si>
    <t>Tramitar 3 manifestaciones culturales incluyéndolas en la Lista Representativa del patrimonio cultural inmaterial</t>
  </si>
  <si>
    <t xml:space="preserve">Financiar 2 programas de sabores y saberes ancestrales para la promoción y salvaguardia de la cocina tradicional y semillas ancestrales </t>
  </si>
  <si>
    <t>Asesorar técnicamente 5 planes especiales de manejo y protección PEMP para su implementación en el departamento de Boyacá.</t>
  </si>
  <si>
    <t>Asesorar técnicamente 3 planes especiales de manejo y protección PEMP para su formulación en el Departamento de Boyacá.</t>
  </si>
  <si>
    <t>Asesorar 4 declaratorias del patrimonio material ya reconocidas para su divulgación en el departamento</t>
  </si>
  <si>
    <t>Financiar 6 acciones para la conservación y protección de bienes patrimoniales  del departamento</t>
  </si>
  <si>
    <t xml:space="preserve"> Identificar 10 bienes de patrimonio cultural material del departamento </t>
  </si>
  <si>
    <t xml:space="preserve"> Identificar 2 hallazgos de patrimonio arqueológico y/o paleontológico del departamento</t>
  </si>
  <si>
    <t xml:space="preserve">Financiar 3 museos, archivos, bibliotecas o centros de memoria del departamento </t>
  </si>
  <si>
    <t>Alcanzar la identificación de  77 bienes de patrimonio cultural inmaterial en el cuatrienio.</t>
  </si>
  <si>
    <t>Alcanzar la identificación de 82 bienes de patrimonio cultural material en el cuatrienio.</t>
  </si>
  <si>
    <t>Construir 1 plataforma de comercio electrónico de productos agropecuarios "Del Campo Boyacense" en articulación con el Ministerio de Agricultura y Desarrollo Rural</t>
  </si>
  <si>
    <t>Implementar 2 proyectos de reducción y mitigación de los emisiones de Gases Efecto Invernadero-GEI</t>
  </si>
  <si>
    <t>Implementar 43 proyectos productivos para mujeres y jóvenes rurales en el Departamento de Boyacá</t>
  </si>
  <si>
    <t>Implementar 2 productos y/o rutas culturales suprarregionales para su comercialización  y promoción, como ruta libertadora, ruta Leyenda el  Dorado, ruta turismo religioso , ruta navideña, turismo paleontológico, turismo histórico, patrimonial, gastronómico, geoturismo, ferias y fiestas</t>
  </si>
  <si>
    <t>Realizar 40 visitas de seguimiento  al avance en las recomendaciones dadas en el plan de mejora a las Unidades de Producción Minera</t>
  </si>
  <si>
    <t>Mantener  3 mesas de diálogo y concertación en municipios donde se han presentado conflictos con el sector minero energético del departamento</t>
  </si>
  <si>
    <t>Consolidar 4 informes de análisis al seguimiento de la política pública de trabajo decente</t>
  </si>
  <si>
    <t>Implementar en el 40% de los municipios programas de prevención y atención de enfermedades respiratorias y diarreicas agudas</t>
  </si>
  <si>
    <t>Desarrollar 6 estudios poblacionales y/o producción científica asociada a la vigilancia del comportamiento del SARS-COV2 y otros patógenos asociados a la enfermedad respiratoria aguda</t>
  </si>
  <si>
    <t>Dotar 34 unidades de cuidados intensivos para la atención del COVID19</t>
  </si>
  <si>
    <t>Ejecutar 1 proyecto cofinanciado de  energía eléctrica con el fin de suministrar energía a zonas de difícil acceso</t>
  </si>
  <si>
    <t>Asistir técnicamente a 103 municipios dentro del sistema territorial de discapacidad</t>
  </si>
  <si>
    <t>Ejecutar 6 iniciativas de emprendimiento de Personas con discapacidad o sus familias y cuidadores</t>
  </si>
  <si>
    <t xml:space="preserve">Crear 30  consejos  consultivos de mujeres en el departamento de Boyacá </t>
  </si>
  <si>
    <t>Adoptar 1  trazador presupuestal con enfoque de genero y garantía de derechos en el departamento de Boyacá.</t>
  </si>
  <si>
    <t>Implementar 1  trazador presupuestal con enfoque de genero y garantía de derechos en el departamento de Boyacá.</t>
  </si>
  <si>
    <t>Formular   1 plan de acción para la mujer rural en el departamento de Boyacá</t>
  </si>
  <si>
    <t>Desarrollar 9 jornadas de identificación y restablecimiento de los derechos de la persona adulta mayor.</t>
  </si>
  <si>
    <t>Conformar 10 instancias de voluntariado, participación y veedurías en beneficio de las personas adultas mayores.</t>
  </si>
  <si>
    <t>Asistir técnicamente  a los 123 Consejos Municipales de Política Social.</t>
  </si>
  <si>
    <t xml:space="preserve">Beneficiar 1000 familias con estrategias de prevención en salud y nutrición. </t>
  </si>
  <si>
    <t xml:space="preserve">Asistir técnicamente  las 123 mesas municipales de primera infancia. </t>
  </si>
  <si>
    <t>Desarrollar 3 estrategias de prevención de embarazo adolescente, consumo de sustancias psicoactivas y conductas que afectan la salud mental de Niños, Niñas y adolescentes.</t>
  </si>
  <si>
    <t>Implementar 1  plataforma virtual interactiva de auto capacitación e información para niños, niñas y adolescentes.</t>
  </si>
  <si>
    <t>Plataforma virtual interactiva de auto capacitación e información para   niñas, niños y adolescentes creada e implementada.</t>
  </si>
  <si>
    <t xml:space="preserve">Beneficiar a 400 niños, niñas y adolescentes migrantes y de vida en calle con estrategias para la promoción en  la garantía de sus derechos. </t>
  </si>
  <si>
    <t xml:space="preserve">Asistir técnicamente 124 entes territoriales institucionalmente para la garantía de derechos de la niñez y la adolescencia </t>
  </si>
  <si>
    <t>Asistir técnicamente 128 comisarias de familia en la garantía y restablecimiento de derechos</t>
  </si>
  <si>
    <t xml:space="preserve">Brindar a 128 comisarias de familia una herramienta informática de monitoreo a los procesos de restablecimiento de derechos </t>
  </si>
  <si>
    <t>Disminuir a 242 los delitos cometidos por la población adolescentes entre 14 y 18 años, medido de acuerdo a los ingresos al Sistema de Responsabilidad Penal Adolescente</t>
  </si>
  <si>
    <t>Suscribir 2 convenios Interinstitucionales con universidades del Departamento.</t>
  </si>
  <si>
    <t>Elaborar 1 documento de caracterización de la población joven del departamento</t>
  </si>
  <si>
    <t>Asistir técnicamente a 100% de los consejos municipales de juventud del departamento</t>
  </si>
  <si>
    <t xml:space="preserve">Realizar 10 asistencias técnicas para la formulación y desarrollo de iniciativas de emprendimiento </t>
  </si>
  <si>
    <t>Realizar 4 ferias de emprendimiento Joven en el departamento</t>
  </si>
  <si>
    <t>Incluir 4 comunidades étnicas y organizaciones afrocolombianas en los diferentes programas sociales del departamento.</t>
  </si>
  <si>
    <t>Realizar 10 jornadas de identificación de la comunidad étnica del departamento de Boyacá.</t>
  </si>
  <si>
    <t>Formular 1 Política pública para comunidades Negra, afrocolombiana, Raizal, Palenquera NARP del departamento</t>
  </si>
  <si>
    <t>Realizar 10 jornadas de capacitación con enfoque diferencial a la población víctima del conflicto armado</t>
  </si>
  <si>
    <t>Realizar 1 caracterización socioeconómica y de habilidades a la población reintegrada y reincorporada en el departamento</t>
  </si>
  <si>
    <t>Crear 30 consejos municipales de paz</t>
  </si>
  <si>
    <t>Activar al 100% la ruta para la protección según demanda teniendo en cuenta las amenazas contra la población</t>
  </si>
  <si>
    <t>Atender a 45.517 personas de la población Boyacense con los programas deportivos de iniciación y formación, buscando el mejoramiento de su calidad de vida</t>
  </si>
  <si>
    <t>Vincular a 200 niños, niñas, adolescentes y adultos, con discapacidad vinculados en escuelas de formación deportiva, según lo estipulado en la Ordenanza 050 de 2019.</t>
  </si>
  <si>
    <t>Dotar 4 Escuelas de formación con elementos para la practica deportiva.</t>
  </si>
  <si>
    <t xml:space="preserve">Vincular 9 Promotores de escuelas de formación deportiva, bajo la estrategia "Todos por Colombia" en el marco de la emergencia COVID-19 </t>
  </si>
  <si>
    <t xml:space="preserve">Mantener inscritos a 28.233 niños, niñas, adolescentes y jóvenes para participar en los Juegos Intercolegiados </t>
  </si>
  <si>
    <t xml:space="preserve">Mantener a 10 niños, niñas, adolescentes y jóvenes con discapacidad participando en los Juegos Intercolegiados  </t>
  </si>
  <si>
    <t xml:space="preserve">Incrementar en 140 niños, niñas, adolescentes y jóvenes con discapacidad participando en los Juegos Intercolegiados </t>
  </si>
  <si>
    <t>Municipios participantes de juegos Intercolegiados</t>
  </si>
  <si>
    <t>Capacitar a 100 docentes del departamento, en pedagogía de la educación física en primaria</t>
  </si>
  <si>
    <t xml:space="preserve">Realizar 18 eventos académicos y de capacitación </t>
  </si>
  <si>
    <t>Garantizar a 120 deportistas con talento deportivo, apoyo educativo en los niveles de educación básica y superior</t>
  </si>
  <si>
    <t xml:space="preserve">Atender a 124.323 personas  con actividades de deporte social, que permita el mejoramiento de su calidad de vida </t>
  </si>
  <si>
    <t>Beneficiar a 8.576 personas mediante estrategias de actividad física musicalizada</t>
  </si>
  <si>
    <t xml:space="preserve">Mantener 55 grupos regulares en actividad física musicalizada en el departamento </t>
  </si>
  <si>
    <t xml:space="preserve">Conformar 5 grupos regulares en actividad física musicalizada en el departamento </t>
  </si>
  <si>
    <t>Asesorar a 160 instituciones u organizaciones para brindar herramientas de aplicación de hábitos y estilos de vida saludable en el departamento</t>
  </si>
  <si>
    <t>Mantener 40 eventos masivos en hábitos y estilos de vida saludable en distintos municipios del departamento</t>
  </si>
  <si>
    <t>Realizar 12 eventos masivos en hábitos y estilos de vida saludable en distintos municipios del departamento</t>
  </si>
  <si>
    <t>Implementar 8 Vías activas y saludables en diferentes municipios del departamento</t>
  </si>
  <si>
    <t>Realizar 50 sesiones virtuales de actividad física mediante los medios digitales disponibles, en el marco de la emergencia COVID -19</t>
  </si>
  <si>
    <t xml:space="preserve">Desarrollar 7 estrategias de actividad física musicalizada con Promotores en el marco de la emergencia COVID-19 </t>
  </si>
  <si>
    <t xml:space="preserve">Mantener a 1.119 personas mayores en procesos de actividad física a través del programa persona mayor activa </t>
  </si>
  <si>
    <t xml:space="preserve">Beneficiar a 381 personas mayores en procesos de actividad física a través del programa persona mayor activa </t>
  </si>
  <si>
    <t xml:space="preserve">Beneficiar a 800 personas mayores con instrumentos de evaluación que permitan evidenciar el mejoramiento de las capacidades físicas </t>
  </si>
  <si>
    <t>Realizar 30 sesiones virtuales de actividad física  para la persona mayor mediante los medios digitales disponibles, en el marco de la emergencia COVID -19</t>
  </si>
  <si>
    <t>Formar a 800 jóvenes lideres comunitarios y campistas  en actividades lúdicas, recreativas, deportivas y prácticas de campismo</t>
  </si>
  <si>
    <t>Desarrollar 40 jornadas de asistencia técnica a grupos no regulares de campistas en el departamento de Boyacá</t>
  </si>
  <si>
    <t xml:space="preserve">Realizar 8 encuentros provinciales y departamentales de adolescentes y jóvenes campistas </t>
  </si>
  <si>
    <t xml:space="preserve">Mantener la participación de  35 jóvenes campistas en el Encuentro Nacional de Campamentos Juveniles </t>
  </si>
  <si>
    <t xml:space="preserve">Garantizar la asistencia de 15 jóvenes campistas en el Encuentro Nacional de Campamentos Juveniles </t>
  </si>
  <si>
    <t>Realizar 20 sesiones virtuales de formación de los 5 ejes temáticos para adolescentes y jóvenes, mediante los medios digitales disponibles, en el marco de la emergencia COVID -19</t>
  </si>
  <si>
    <t>Vincular a 25.079 personas en actividades lúdicas y recreativas.</t>
  </si>
  <si>
    <t>Crear 6 grupos regulares que permitan desarrollar actividades lúdicas y recreativas para la población</t>
  </si>
  <si>
    <t>Mantener 89 grupos regulares en el territorio boyacense que permitan desarrollar actividades lúdicas y recreativas para la población</t>
  </si>
  <si>
    <t xml:space="preserve">Vincular 14 promotores de recreación de la estrategia Todos por Colombia, en el marco de la emergencia COVID-19 </t>
  </si>
  <si>
    <t xml:space="preserve">Vincular 2 promotores de la estrategia de recreación a público con enfoque diferencial  en el marco de la emergencia COVID-19 </t>
  </si>
  <si>
    <t>Mantener la participación de 509 deportistas clasificados de alto rendimiento la participación en los Juegos Nacionales y Para nacionales</t>
  </si>
  <si>
    <t>Deportistas clasificados a Juegos nacionales y para nacionales,  apoyados.</t>
  </si>
  <si>
    <t>Incrementar en 41 deportistas clasificados de alto rendimiento la participación en los Juegos Nacionales y Para nacionales</t>
  </si>
  <si>
    <t>Otorgar 190  estímulos a deportistas medallistas de alto rendimiento de juegos nacionales y para nacionales</t>
  </si>
  <si>
    <t>Estímulos a deportistas medallistas de juegos nacionales y para nacionales, otorgados.</t>
  </si>
  <si>
    <t>Entregar a 10 deportistas medallistas de alto rendimiento estímulos según los resultados de los Juegos Nacionales y Para nacionales</t>
  </si>
  <si>
    <t>Mantener la asistencia técnica a 5 organismos deportivos constituidos según lo dispuesto en la Ley 1946 de 2019 (Sistema Paralímpico) y la Ordenanza 050 de 2019</t>
  </si>
  <si>
    <t>Asistir técnicamente 3 organismos deportivos  nuevos constituidos  según lo dispuesto en la Ley 1946 de 2019 (Sistema Paralímpico) y la Ordenanza 050 de 2019</t>
  </si>
  <si>
    <t xml:space="preserve">Alcanzar  274 logros deportivos en los Juegos Nacionales y Para nacionales </t>
  </si>
  <si>
    <t>Medallería que determina la posición del departamento en los juegos nacionales y para nacionales lograda.</t>
  </si>
  <si>
    <t>Realizar 120 valoraciones medicas, nutricionales, fisioterapeutas y psicológicas a deportistas en procesos de formación y preparación.</t>
  </si>
  <si>
    <t>Brindar 18.000 atenciones en servicios médicos, nutricionales, fisioterapeutas y psicológicos a deportistas.</t>
  </si>
  <si>
    <t xml:space="preserve">Formular 9 proyectos  que permitan el mejoramiento, mantenimiento, adecuación, ampliación y construcción, de escenarios deportivos y recreativos. </t>
  </si>
  <si>
    <t>Mantener la infraestructura física de los 8 escenarios deportivos de la Villa Olímpica</t>
  </si>
  <si>
    <t>Desarrollar 16 Comités Institucionales de Gestión y Desempeño</t>
  </si>
  <si>
    <t>Elaborar 4 informes FURAG como soporte del índice de desempeño institucional.</t>
  </si>
  <si>
    <t xml:space="preserve">Realizar 3 versiones del festival Internacional de la cultura a través de convocatoria de artistas boyacense </t>
  </si>
  <si>
    <t>Participación en la feria internacional del libro FILBO con stand y la vinculación de escritores boyacenses a través del CEAB, apoyadas.</t>
  </si>
  <si>
    <t xml:space="preserve">Realizar 6 procesos de formación dirigidos a gestores culturales, vigías e investigadores para el fortalecimiento del patrimonio cultural a través de Min cultura y/o sector educativo </t>
  </si>
  <si>
    <t>Procesos de formación dirigidos a gestores culturales, vigías e investigadores para el fortalecimiento del patrimonio cultural a través de Min cultura y/o sector educativo implementados</t>
  </si>
  <si>
    <t xml:space="preserve">Financiar 3 proyectos para el fortalecimiento del patrimonio cultural a través de los grupos de vigías </t>
  </si>
  <si>
    <t>Desarrollar 1 caracterización y gestión del recurso hídrico para uso agropecuario, en el marco de la crisis climática</t>
  </si>
  <si>
    <t xml:space="preserve">Presentar 1 Plan departamental de extensión agropecuaria - PDEA a la Asamblea Departamental 2020 -2023 </t>
  </si>
  <si>
    <t>Realizar 5 convenios de cooperación interinstitucional públicas y privada para la diversificación productiva</t>
  </si>
  <si>
    <t>Implementar 1 instrumento de apalancamiento y financiamiento del sector agropecuario</t>
  </si>
  <si>
    <t>Implementar 1 estrategia de "Boyacá nos Alimenta" para garantizar la seguridad y soberanía alimentaria en el Departamento</t>
  </si>
  <si>
    <t>Estrategia "Boyacá Nos Alimenta “implementada</t>
  </si>
  <si>
    <t>Beneficiar 4.000 productores con la estrategia " Boyacá Nos Alimenta" en el Departamento</t>
  </si>
  <si>
    <t>Beneficiar 13.300 Familias vulnerables con la
estrategia “Boyacá te Abraza” para garantizar el abastecimiento alimentario</t>
  </si>
  <si>
    <t xml:space="preserve">Identificar  13 productos y/o paquetes turísticos y documentarlos a nivel provincial </t>
  </si>
  <si>
    <t>Entregar 10 kits de energía renovable y/o kits de electrónica a las instituciones educativas públicas</t>
  </si>
  <si>
    <t>Entregar 8 centros tecnológicos incluyentes a entidades públicas del departamento de Boyacá</t>
  </si>
  <si>
    <t>Mejorar el nivel Agroempresarial y comercial de las organizaciones de productores y agroindustrias del departamento.</t>
  </si>
  <si>
    <t>Caracterizar 400 organizaciones de productores y agroindustrias para mejorar el nivel Agroempresarial y comercial</t>
  </si>
  <si>
    <t>Mantener 70 organizaciones de productores y agroindustrias para mejorar el nivel Agroempresarial y comercial</t>
  </si>
  <si>
    <t>Intervenir 130 organizaciones de productores y agroindustrias para mejorar el nivel Agroempresarial y comercial</t>
  </si>
  <si>
    <t>Productos y/o rutas culturales suprarregionales, implementadas para su comercialización y promoción, ruta libertadora, ruta leyenda el dorado, ruta turismo religioso, ruta navideña, turismo paleontológico, turismo, histórico, patrimonial, gastronómico geoturismo, ferias y fiestas.</t>
  </si>
  <si>
    <t>Desarrollar 16 estrategias de comunicación para promocionar turísticamente a Boyacá como destino turístico</t>
  </si>
  <si>
    <t xml:space="preserve">Realizar 1 documento de caracterización diagnóstico y prospectiva  que sirva como insumo de planes de desarrollo, política pública y de consulta para otros estudios del sector </t>
  </si>
  <si>
    <t>Mejorar  en 40 unidades de producción minera los estándares  de formalización y competitividad</t>
  </si>
  <si>
    <t>Capacitar a 1000 personas en seguridad minera con el fin de mejorar las condiciones de seguridad del sector minero de Boyacá</t>
  </si>
  <si>
    <t xml:space="preserve">Mejorar 100 estrategias emprendedoras con  asesoría y acompañamiento </t>
  </si>
  <si>
    <t>Desarrollar en 980 empresas capacidades en emprendimiento, mejoramiento de sus condiciones de productividad  y acceso a mercados.</t>
  </si>
  <si>
    <t xml:space="preserve">Mejorar  300 unidades productivas de artesanos como empresa en el Departamento, </t>
  </si>
  <si>
    <t>Implementar 3 estrategias de apropiación y posicionamiento de la marca región "Soy Boyacá"</t>
  </si>
  <si>
    <t>Realizar 7 estrategias para la implementación de la política de trabajo decente</t>
  </si>
  <si>
    <t xml:space="preserve"> SOCIOECOLÓGICA Y TERRITORIAL</t>
  </si>
  <si>
    <t>Aumentar a 10  los ecosistemas estratégicos intervenidos para su  y recuperación.</t>
  </si>
  <si>
    <t>Construir 1 sistema de información de usuarios de recursos hídrico durante el periodo de gobierno</t>
  </si>
  <si>
    <t>Cumplir con el 93% del plan de Aseguramiento para el fortalecimiento institucional a los prestadores de servicios públicos APSB</t>
  </si>
  <si>
    <t xml:space="preserve">Cumplir con el 100% del plan de Gestión Social del Plan Departamental de Aguas. </t>
  </si>
  <si>
    <t xml:space="preserve">Asistir 30 municipios en la conformación y fortalecimiento de veedurías ciudadanas y comités de control social </t>
  </si>
  <si>
    <t>Disminuir  al 40%  el Índice de Riesgo de Calidad de Agua para el consumo Humano en el sector Rural</t>
  </si>
  <si>
    <t>Proteger 3 fuentes hídricas de abastecimiento durante el cuatrienio</t>
  </si>
  <si>
    <t>Disminuir  al 4.54%  el Índice de Riesgo de Calidad de Agua para el consumo Humano en el sector Urbano</t>
  </si>
  <si>
    <t>Asesorar 40 asociaciones rurales técnicamente en los sistemas de acueducto durante el periodo de gobierno</t>
  </si>
  <si>
    <t>Actualizar 6 Nuevos planes de Gestión Integral de Residuos Sólidos.</t>
  </si>
  <si>
    <t>Contribuir financiera y/o técnicamente a 3 Obras de reducción y/o mitigación de riesgo.</t>
  </si>
  <si>
    <t>Asistir técnicamente a los 123 municipios del departamento de Boyacá en Gestión del riesgo de desastres</t>
  </si>
  <si>
    <t>Realizar 425 asistencias técnicas para mejorar el conocimiento del riesgo de desastres en el departamento de Boyacá</t>
  </si>
  <si>
    <t>Adquirir 5 equipos para el fortalecimiento de la capacidad de asistencia técnica en el departamento.</t>
  </si>
  <si>
    <t>Realizar 4 caracterizaciones en Gestión del riesgo de desastres de la infraestructura sectorial de orden departamental</t>
  </si>
  <si>
    <t>Crear 1 sistema estadístico de emergencia para el departamento de Boyacá</t>
  </si>
  <si>
    <t xml:space="preserve">Atender 170 solicitudes con equipo vactor para la reducción del riesgo por inundaciones en redes de alcantarillados municipales </t>
  </si>
  <si>
    <t>Capacitar a los 123 municipios del departamento de Boyacá en la incorporación de la gestión del riesgo de desastres en la planificación territorial</t>
  </si>
  <si>
    <t>Mantener los 34 seguros de protección financiera de la maquinaria de gestión del riesgo del departamento de Boyacá</t>
  </si>
  <si>
    <t>Atender 8 solicitudes con maquinaria amarilla para reducir el riesgo por inundación en el departamento de Boyacá</t>
  </si>
  <si>
    <t>Atender 10 solicitudes con maquinaria amarilla para la reducción del riesgo por fenómenos de remoción en masa en el departamento de Boyacá</t>
  </si>
  <si>
    <t>Generar 4 documentos de análisis de la situación bomberil en el departamento de Boyacá</t>
  </si>
  <si>
    <t>Realizar 72 reportes de seguimiento al cumplimiento de la prestación bomberil en el departamento de Boyacá</t>
  </si>
  <si>
    <t>Verificar el correcto funcionamiento de los 279 servidores de contenidos educativos instalados en las instituciones educativas públicas del departamento de Boyacá</t>
  </si>
  <si>
    <t>Valor Esperado
2021</t>
  </si>
  <si>
    <t>Valor Esperado
2020</t>
  </si>
  <si>
    <t>Valor Esperado
2022</t>
  </si>
  <si>
    <t>Valor Esperado
2023</t>
  </si>
  <si>
    <t xml:space="preserve">Consolidar 3 cadenas productivas como negocios verdes en el departamento </t>
  </si>
  <si>
    <t>Constituir 1 Instancia departamental  de articulación y trabajo por el Lago de tota</t>
  </si>
  <si>
    <t xml:space="preserve">Recuperar 300  toneladas los residuos sólidos recuperados en el departamento de Boyacá durante el cuatrienio </t>
  </si>
  <si>
    <t>Desarrollar 3 acciones para la protección y conservación de ecosistemas de páramos</t>
  </si>
  <si>
    <t>Mantener 12 predios de interés hídrico, con estrategia de guardapáramos y guardabosques establecidas.</t>
  </si>
  <si>
    <t>Mantener una 1 estrategia de compensación  de áreas de interés hídrico.</t>
  </si>
  <si>
    <t>Implementar  2 estrategias de compensación  de áreas de interés hídrico.</t>
  </si>
  <si>
    <t>Desarrollar 2 acciones para la protección y conservación de ecosistemas de recurso hídrico</t>
  </si>
  <si>
    <t>Implementar  3 acciones para el bienestar y protección animal del departamento.</t>
  </si>
  <si>
    <t xml:space="preserve">Realizar 5 ruedas de negocios verdes durante el cuatrienio </t>
  </si>
  <si>
    <t xml:space="preserve">Impulsar 3 proyectos de negocios verdes durante el periodo de gobierno </t>
  </si>
  <si>
    <t xml:space="preserve">Construir 2 viveros para fortalecer la capacidad de recuperación de los ecosistemas naturales </t>
  </si>
  <si>
    <t xml:space="preserve">Optimizar 4 viveros para fortalecer la capacidad de recuperación de los ecosistemas naturales </t>
  </si>
  <si>
    <t>Ejecutar 120 actividades en el jardín botánico en pro de la educación, conservación y manejo de los Recursos Naturales</t>
  </si>
  <si>
    <t xml:space="preserve">Emitir ochenta 80 programas de radio en temas de medio ambiente </t>
  </si>
  <si>
    <t>Implementar 3 estrategias de comunicación y divulgación educativa para el departamento</t>
  </si>
  <si>
    <t xml:space="preserve">Consolidar 2 proyectos Ciudadanos de Educación Ambiental PROCEDA en el departamento </t>
  </si>
  <si>
    <t xml:space="preserve"> Asistir 1 Proyecto Ambiental Universitario PRAU  para su fortalecimiento durante el cuatrienio </t>
  </si>
  <si>
    <t xml:space="preserve">Asistir  30 Proyectos Ambientales Escolares - PRAE para su fortalecimiento en el departamento </t>
  </si>
  <si>
    <t>Realizar 3 Encuentros Regionales de Educación Ambiental durante el periodo de gobierno</t>
  </si>
  <si>
    <t>Realizar 12 Comités Técnicos del Comité Interinstitucional de Educación Ambiental de Boyacá CIDEABOY durante el cuatrienio</t>
  </si>
  <si>
    <t>Realizar 6 Comités Técnicos de Salud ambiental COSAB durante el cuatrienio</t>
  </si>
  <si>
    <t xml:space="preserve">Formular  1 Política Pública Ambiental para el departamento </t>
  </si>
  <si>
    <t>Crear 9 espacios para la prevención y resolución de conflictos socioambientales de Boyacá</t>
  </si>
  <si>
    <t>Capacitar 120 asociaciones de acueductos rurales en cultura del agua durante el cuatrienio</t>
  </si>
  <si>
    <t>Asesorar 6 asociaciones de acueductos rurales en el Plan de uso y ahorro eficiente del agua PUAEA durante la administración</t>
  </si>
  <si>
    <t>Asesorar 8 asociaciones de acueductos rurales  en la elaboración de planes de contingencia durante el cuatrienio</t>
  </si>
  <si>
    <t>Adelantar en 30 municipios la difusión y socialización de las actuaciones del Plan Departamental de Aguas.</t>
  </si>
  <si>
    <t>Capacitar 40 operadores rurales de la Planta de tratamiento de agua potable, PTAP   durante el cuatrienio</t>
  </si>
  <si>
    <t xml:space="preserve">Formular 1 estrategia para el mejoramiento de los acueductos Urbanos </t>
  </si>
  <si>
    <t>Certificar 100 Operadores en competencias Laborales para la operación de plantas de tratamiento de agua potable PTAP</t>
  </si>
  <si>
    <t>Construir 1  pozo profundo, acueducto de nuevas fuentes y/o embalses.</t>
  </si>
  <si>
    <t>Asistir  8 Estudios y diseños para la Optimización y/o Construcción de alcantarillado en su proceso de elaboración.</t>
  </si>
  <si>
    <t xml:space="preserve">Optimizar 8 Alcantarillados, o construirlos para dar  cumplimiento al Plan de Saneamiento y manejo de vertimientos </t>
  </si>
  <si>
    <t>Formular 1 Plan estratégico para la Salvaguarda del Lago de tota</t>
  </si>
  <si>
    <t>Tramitar4 acciones encaminadas a la recuperación y restauración del Lago de Tota</t>
  </si>
  <si>
    <t xml:space="preserve">Asesorar a 30) municipios con la estrategia de reducción de plásticos de un solo uso y manejo adecuado de residuos sólidos </t>
  </si>
  <si>
    <t xml:space="preserve">Realizar 3 campañas de recolección de residuos posconsumo durante el periodo de gobierno </t>
  </si>
  <si>
    <t>Realizar 6 campañas de recolección de residuos agroquímicos durante el cuatrienio</t>
  </si>
  <si>
    <t xml:space="preserve">Implementar 3 proyectos para el manejo de residuos orgánicos en el departamento </t>
  </si>
  <si>
    <t>Formular 1 Plan Integral de Residuos Sólidos del Departamento.</t>
  </si>
  <si>
    <t>Implementar el 100% de las estrategias para el manejo de la disposición de desechos de pacientes con COVID 19 que se encuentran en hogares en el departamento de Boyacá.</t>
  </si>
  <si>
    <t>Elaborar 15 publicaciones para la comunicación de la gestión del riesgo de desastres GRD a entidades publicas, privadas y comunidad</t>
  </si>
  <si>
    <t xml:space="preserve">Realizar en 10 municipios del departamento el inventario de asentamientos en riesgo </t>
  </si>
  <si>
    <t>Realizar 4 Misiones comerciales, ruedas de negocios, ferias, exposiciones, show rooms a nivel Nacional .</t>
  </si>
  <si>
    <t xml:space="preserve">Presentar 2 propuestas de innovación gastronómica con productos boyacenses agrícolas y derivados de alto valor nutricional para la promoción del departamento a nivel nacional e internacional. </t>
  </si>
  <si>
    <t xml:space="preserve">Implementar 2  estrategias de promoción, proyección y realce nacional e internacional de sus festivales para el desarrollo cultural de Boyacá </t>
  </si>
  <si>
    <t xml:space="preserve"> Desarrollar 1 estrategia  para identificar, actualizar y  contactar a la comunidad boyacense residente en Bogotá y en el Exterior</t>
  </si>
  <si>
    <t>Realizar  10 eventos de articulación de las colonias y organizaciones boyacenses para la atención humanitaria y el desarrollo del departamento</t>
  </si>
  <si>
    <t xml:space="preserve">Realizar 1 Feria Nacional que contribuya al reconocimiento y posicionamiento del departamento </t>
  </si>
  <si>
    <t>Mejorar 40 KM de Ciclorutas construidas en del Departamento</t>
  </si>
  <si>
    <t>Mejorar 15 puentes o construirlos en la red vial secundaria y terciaria del Departamento y Municipios</t>
  </si>
  <si>
    <t>Asistir 20 empresas y/o emprendedores de la industria TIC en el departamento de Boyacá</t>
  </si>
  <si>
    <t xml:space="preserve">Incrementar a 36.02 puntos el índice departamental de innovación </t>
  </si>
  <si>
    <t>Capacitar a 900 personas con discapacidad en el desarrollo de habilidades y herramientas TIC</t>
  </si>
  <si>
    <t>Implementar 30 proyectos en Ciencia Tecnología e Innovación-CTeI para el sector agropecuario que contribuyan al desarrollo rural del departamento</t>
  </si>
  <si>
    <t>Beneficiar 1500 productores rurales con proyectos de Ciencia Tecnología e Innovación CTeI</t>
  </si>
  <si>
    <t>Formular 4 iniciativas en mejoramiento de procesos mineroenergéticos incluyendo  Ciencia Tecnología e Innovación CTeI</t>
  </si>
  <si>
    <t>Ejecutar 2 iniciativas de apropiación  de  Ciencia Tecnología e Innovación CTeI en el sector minero energético</t>
  </si>
  <si>
    <t>Incorporar en 2 empresas minero energéticas iniciativas de  Ciencia Tecnología e Innovación CTeI dentro de sus procesos productivos</t>
  </si>
  <si>
    <t>Aumentar a 253,5 puntos porcentuales el índice Global de Calidad Educativa en Pruebas SABER 11.</t>
  </si>
  <si>
    <t>Prog Cof Dpto. 2020</t>
  </si>
  <si>
    <t>Prog Crédito 
2020</t>
  </si>
  <si>
    <t>Prog SGP Educación 2020</t>
  </si>
  <si>
    <t>Prog SGP Libre Inv. 2020</t>
  </si>
  <si>
    <t>Prog SGP Rio Magdalena 2020</t>
  </si>
  <si>
    <t>Prog Cof Dpto. 2021</t>
  </si>
  <si>
    <t>Prog Crédito 
2021</t>
  </si>
  <si>
    <t>Prog SGP Educación 2021</t>
  </si>
  <si>
    <t>Prog SGP Libre Inv. 2021</t>
  </si>
  <si>
    <t>Prog SGP Rio Magdalena 2021</t>
  </si>
  <si>
    <t>Prog Cof Dpto. 2022</t>
  </si>
  <si>
    <t>Prog Crédito 
2022</t>
  </si>
  <si>
    <t>Prog SGP Educación 2022</t>
  </si>
  <si>
    <t>Prog SGP Libre Inv. 2022</t>
  </si>
  <si>
    <t>Prog SGP Rio Magdalena 2022</t>
  </si>
  <si>
    <t>Prog Cof Dpto. 2023</t>
  </si>
  <si>
    <t>Prog Crédito 
2023</t>
  </si>
  <si>
    <t>Prog SGP Educación 2023</t>
  </si>
  <si>
    <t>Prog SGP Libre Inv. 2023</t>
  </si>
  <si>
    <t>Prog SGP Rio Magdalena 2023</t>
  </si>
  <si>
    <t>Implementar 1 piloto de atención en grado transición integral en sedes de Instituciones Educativas del departamento</t>
  </si>
  <si>
    <t>Tasa de deserción Intra-anual mantenido</t>
  </si>
  <si>
    <t xml:space="preserve">Atender el 100% de los estudiantes focalizados y priorizados de las Instituciones Educativas Oficiales de los Municipios No Certificados con Complemento Alimentario. </t>
  </si>
  <si>
    <t>Vincular el 17% de estudiantes de Instituciones Educativas oficiales, a Jornada única.</t>
  </si>
  <si>
    <t>Entregar 200 Kits a estudiantes víctimas del conflicto armado atendidos con educación pertinente</t>
  </si>
  <si>
    <t>Implementar 1 plan de bienestar del personal adscrito a la Secretaria de Educación del departamento de Boyacá</t>
  </si>
  <si>
    <t>Implementar 1 plan de fortalecimiento de capacidades para personal de planta adscrito a la Secretaria de Educación del departamento de Boyacá</t>
  </si>
  <si>
    <t>Formular 1 política pública para el sector educación en el departamento de Boyacá</t>
  </si>
  <si>
    <t>Implementar en 25 municipios la estrategia de entornos saludables en el departamento</t>
  </si>
  <si>
    <t>Desarrollar una herramienta tecnológica para la difusión de resultados del  Observatorio de Cultura y Patrimonio de Boyacá.</t>
  </si>
  <si>
    <t>Implementar 2 productos y/o rutas naturales suprarregionales para su comercialización  y promoción, como biciturismo, ecoturismo, turismo de bienestar, orniturismo, turismo de aventura, entre otros</t>
  </si>
  <si>
    <t>Transformación Empresarial Agrominería</t>
  </si>
  <si>
    <t>Asistir 2 proyectos  de restauración de ecosistemas de bosques en el proceso de  formulación y/o ejecución.</t>
  </si>
  <si>
    <t>Adquirir 400 Hectáreas en predios de interés hídrico  para su protección y manejo</t>
  </si>
  <si>
    <t>Implementar en 3 nuevos predios de interés hídrico la estrategia de guarda páramos para la protección de ecosistemas</t>
  </si>
  <si>
    <t>Elaborar 1 Plan de Acción de política pública de protección y bienestar animal del departamento</t>
  </si>
  <si>
    <t>Producir  200.000 plántulas y entregarlas para el fortalecimiento de  la capacidad de recuperación de los ecosistemas naturales</t>
  </si>
  <si>
    <t>Desarrollar 1 proyecto de investigación en Ciencia Tecnología e Investigación para su formulación y/o  ejecución</t>
  </si>
  <si>
    <t xml:space="preserve"> Operativizar  30 Comités Interinstitucionales de Educación Ambiental CIDEA en el cuatrienio</t>
  </si>
  <si>
    <t>Realizar 20 asistencias para el fortalecimiento administrativo, comercial y financiero de los prestadores priorizados por el  Plan de Acción Cuatrienal Ambiental PACA .</t>
  </si>
  <si>
    <t>Asistir a1 ente prestador y operador de servicio bajo la figura de esquemas regionales en transformación empresarial</t>
  </si>
  <si>
    <t xml:space="preserve">Realizar  40 Asesorarías técnicas a asociaciones de acueducto rural para el tratamiento de agua potable </t>
  </si>
  <si>
    <t xml:space="preserve">Construir 6 plantas de tratamiento de agua potable PTAP rurales para el mejoramiento de la calidad del agua </t>
  </si>
  <si>
    <t>Elaborar 7 estudios y diseños con su correspondiente asistencia técnica para la optimización y/o construcción de plantas de tratamiento de agua potable PTAP</t>
  </si>
  <si>
    <t>Optimizar 4 Nuevas pantas de tratamiento de agua potable PTAP para el mejoramiento de la calidad del agua.</t>
  </si>
  <si>
    <t>Construir 10 Acueductos Rurales que permitan su optimización</t>
  </si>
  <si>
    <t xml:space="preserve">Elaborar 10 estudios y diseños con su correspondiente asistencia técnica para la optimización y/o construcción de acueductos </t>
  </si>
  <si>
    <t>Elaborar 1  estudio y diseño con su correspondiente asesoría técnica para la optimización y/o construcción de pozos profundos, acueductos de nuevas fuentes y/o embalses.</t>
  </si>
  <si>
    <t xml:space="preserve">Elaborar 2 estudios y diseños para la optimización y/o construcción de plantas de tratamiento de aguas residuales PTAR con su respectivo acompañamiento.  </t>
  </si>
  <si>
    <t>Desarrollar 10 Planes de saneamiento y Manejo de Vertimientos (PSMV) para modificación.</t>
  </si>
  <si>
    <t>Asesorar 3 proyectos regionales para la gestión de los residuos sólidos con fines de implementación.</t>
  </si>
  <si>
    <t>Realizar 2 Estudios de alternativas para el tratamiento de residuos sólidos; la ampliación y/o nuevos rellenos sanitarios.</t>
  </si>
  <si>
    <t>Mantener actualizado un sistema estadístico de emergencias del departamento de Boyacá</t>
  </si>
  <si>
    <t>Actualizar 2 planes departamentales de gestión del riesgo de desastres y la estrategia departamental de respuesta a emergencias del departamento de Boyacá</t>
  </si>
  <si>
    <t>Implementar en 15 municipios la estrategia de conectividad y comunicación asociada a la gestión del riesgo de desastres</t>
  </si>
  <si>
    <t>Realizar 1 misión comercial y/o encuentro internacional de comercio, cooperación e inversión para Boyacá para exponer sus potencialidades en diferentes sectores</t>
  </si>
  <si>
    <t>Realizar 4 exposiciones y muestras artísticas y culturales , gastronómicas y turísticas para mostrar el  desarrollos de la comunidad</t>
  </si>
  <si>
    <t>Elaborar 1  estrategia multimedia de Boyacá como Destino de captación  y oferente de Cooperación para la proyección del departamento de   escala internacional</t>
  </si>
  <si>
    <t>Desarrollar 1 acción de promoción regional y nacional y de experiencias turísticas asociadas a las  al legado cultural material e inmaterial del departamento</t>
  </si>
  <si>
    <t>Transferir 1 práctica internacional exitosa a provincias del departamento</t>
  </si>
  <si>
    <t>Asistir en 60 municipios la conectividad en el departamento de Boyacá</t>
  </si>
  <si>
    <t>Beneficiar a 8 municipios con soluciones de energías alternativas</t>
  </si>
  <si>
    <t>Aumentar a 5,51 la puntuación del indicador departamental de competitividad (IDC) ( subpilar Conectividad en Boyacá)</t>
  </si>
  <si>
    <t>Ejecutar 1 proyecto de transporte férreo de carga y turístico en el departamento</t>
  </si>
  <si>
    <t xml:space="preserve">Elaborar 1 estudio técnico para la adecuación y operación del puerto de  carga del rio magdalena en el municipio de puerto Boyacá </t>
  </si>
  <si>
    <t xml:space="preserve">Acondicionar  1 terminal para transporte y  logística </t>
  </si>
  <si>
    <t xml:space="preserve">Desarrollar  3 proyectos de infraestructura de transporte alternativo y ecológico </t>
  </si>
  <si>
    <t>Aumentar a 3,32  la puntuación del indicador departamental de competitividad (IDC) ( subpilar Infraestructura vial en Boyacá)</t>
  </si>
  <si>
    <t>Realizar 500 controles operativos y vigilancia en la vía en el cuatrienio</t>
  </si>
  <si>
    <t>Realizar  la inscripción de 15 convenios con entidades públicas y/o privadas para mejorar la seguridad vial, en el cuatrienio</t>
  </si>
  <si>
    <t>Efectuar la señalización de 70 puntos críticos de accidentalidad vial, en el cuatrienio</t>
  </si>
  <si>
    <t>Realizar en 180.000 personas procesos  de sensibilización en  seguridad vial, en el cuatrienio</t>
  </si>
  <si>
    <t>Realizar 4 campañas a motociclistas en seguridad vial, en el cuatrienio</t>
  </si>
  <si>
    <t>Mantener 11 puntos de atención conectados durante los últimos tres años de Administración</t>
  </si>
  <si>
    <t>Realizar 8 capacitaciones al personal de los puntos de atención sobre atención a los usuarios, marketing y ventas, durante el cuatrienio</t>
  </si>
  <si>
    <t>Radicar 4.553 cuentas en el cuatrienio</t>
  </si>
  <si>
    <t>Expedir 25.197 licencias de conducción, en el cuatrienio</t>
  </si>
  <si>
    <t>Expedir 9.951 Matriculas en el cuatrienio</t>
  </si>
  <si>
    <t xml:space="preserve">Realizar 3 planes de comercialización y  ejecutarlos, durante el cuatrienio </t>
  </si>
  <si>
    <t>Efectuar en 5 puntos de atención adecuaciones y mejoras, durante el cuatrienio</t>
  </si>
  <si>
    <t>84                                                                          (22 P.P nuevos)</t>
  </si>
  <si>
    <t xml:space="preserve">100                                                                              ( 6 P.P nuevos) </t>
  </si>
  <si>
    <t>Desarrollar 4 articulaciones para el avance de la gestión territorial por parte del IDEBOY</t>
  </si>
  <si>
    <t>Mantener 16 sistemas de información en el cuatrienio</t>
  </si>
  <si>
    <t>Aprovisionar 6 sistemas de información en el cuatrienio</t>
  </si>
  <si>
    <t xml:space="preserve">Incrementar en un  50%  la función preventiva </t>
  </si>
  <si>
    <t xml:space="preserve">Ejecutar el 100% de la función correctiva  con eficiencia y celeridad </t>
  </si>
  <si>
    <t>Incrementar al  90% la calificación de riesgo financiero del Instituto de fomento y desarrollo de Boyacá</t>
  </si>
  <si>
    <t>Intervenir 10 espacios Físicos para la optimización de la administración de los bienes inmuebles del departamento</t>
  </si>
  <si>
    <t>Construir 1 sede para la administración del archivo central del departamento</t>
  </si>
  <si>
    <t>Crear 1 centro integrado de servicios</t>
  </si>
  <si>
    <t>Adecuar 12 bienes muebles para mejorar la prestación de servicios</t>
  </si>
  <si>
    <t xml:space="preserve">Mantener 2 herramientas digitales de accesibilidad universal </t>
  </si>
  <si>
    <t>Asistir a 123 Municipios para fortalecimiento en política de atención al ciudadano.</t>
  </si>
  <si>
    <t>Implementar 2 herramientas tecnológicas para el fortalecimiento del capital humano mediante el uso y apropiación del uso de las Tecnologías de la Información y las Comunicaciones TIC.</t>
  </si>
  <si>
    <t>Asistir a 2663 Juntas de Acción Comunal con acciones de Inspección, Control y Vigilancia en el departamento de Boyacá</t>
  </si>
  <si>
    <t>Realizar al 100%  acciones de inspección, vigilancia y control a Entidades sin ánimo de lucro - ESALES que lo soliciten</t>
  </si>
  <si>
    <t>Mantener 1 sistema para la prevención del daño antijurídico</t>
  </si>
  <si>
    <t>Mantener el 100% de procesos atendidos y eficientemente representados.</t>
  </si>
  <si>
    <t>Mantener el 100% de solicitudes de conciliación analizadas.</t>
  </si>
  <si>
    <t xml:space="preserve">Crear  1 observatorio de la función pública </t>
  </si>
  <si>
    <t xml:space="preserve"> Mantener 1 observatorio de la función pública </t>
  </si>
  <si>
    <t>Mantener en 60 municipios del Departamento presencia de marca y ventas de unidades de producto de la Nueva Licorera de Boyacá</t>
  </si>
  <si>
    <t>Aumentar en 63 municipios del Departamento la presencia de marca y ventas de unidades de producto de la Nueva Licorera de Boyacá</t>
  </si>
  <si>
    <t>Abrir 3 mercados nacionales para la venta y comercialización de los productos de la Nueva Licorera de Boyacá</t>
  </si>
  <si>
    <t>Abrir 1 mercado internacional para la venta y comercialización de los productos de la Nueva Licorera de Boyacá</t>
  </si>
  <si>
    <t>Formular 8 planes o políticas enfocados en el mejoramiento administrativo, productivo, de mercadeo y del talento humano de la Nueva Licorera de Boyacá</t>
  </si>
  <si>
    <t>Formular 4 planes o políticas enfocados a la asesoría jurídica de la Nueva Licorera de Boyacá</t>
  </si>
  <si>
    <t>Implementar 1proyecto de I+D+i con enfoque al desarrollo empresarial de la Nueva Licorera de Boyacá</t>
  </si>
  <si>
    <t>Administrar $100.000.000.000 de recursos por depósitos realizados por entidades territoriales.</t>
  </si>
  <si>
    <t xml:space="preserve">Realizar 2 iniciativas de Impacto Regional </t>
  </si>
  <si>
    <t xml:space="preserve">Mantener 1 alianza público privada </t>
  </si>
  <si>
    <t>Realizar 1 alianza público privada</t>
  </si>
  <si>
    <t>Publicar 20 conjuntos de datos abiertos en el portal datos.gov.co  y divulgarlos</t>
  </si>
  <si>
    <t>Realizar en 5%   la Implementación de la  Política de transparencia y acceso a la información</t>
  </si>
  <si>
    <t>Mantener 9 trámites, servicios de información y/o Otros Procedimientos Administrativos OPAS transformados digitalmente en el cuatrienio</t>
  </si>
  <si>
    <t>Implementar 11 trámites, servicios de información y/o Procedimientos Administrativos OPAS transformados digitalmente en el cuatrienio</t>
  </si>
  <si>
    <t>Tramitar 6 servicios de información aplicando el plan de calidad de la información y de analítica de datos</t>
  </si>
  <si>
    <t>Implementar 1  instancia para la lucha de la pobreza y pobreza extrema en el departamento</t>
  </si>
  <si>
    <t>Implementar 1 instancia para la lucha de la pobreza y pobreza extrema en el departamento</t>
  </si>
  <si>
    <t xml:space="preserve">Operativizar  1 mesa de coordinación y focalización de pobreza multidimensional  de carácter interinstitucional e intersectorial que permita la focalización de acciones en beneficio de la población vulnerable.  </t>
  </si>
  <si>
    <t>Beneficiar 9 municipios con inversiones que disminuyan directamente el Índice de Pobreza Multidimensional</t>
  </si>
  <si>
    <t>Incrementar al 30 %  la atención a municipios con acciones y estrategias para afrontar los efectos adversos al cambio climático</t>
  </si>
  <si>
    <t>Realizar 50 capacitaciones en Mitigación y Adaptación del Cambio Climático</t>
  </si>
  <si>
    <t>Formular 1 Plan Integral de Gestión del Cambio Climático para el Departamento de Boyacá</t>
  </si>
  <si>
    <t>Implementar 2 Estrategias de Movilidad Sostenible en el Departamento.</t>
  </si>
  <si>
    <t>Implementar 30 Unidades  de Reconversión Productiva en el Departamento.</t>
  </si>
  <si>
    <t>Desarrollar 1 Estrategia de Energías Limpias en el Departamento.</t>
  </si>
  <si>
    <t>Asesorar 2 Municipios en la Implementación de Proyectos Sostenibles.</t>
  </si>
  <si>
    <t>Realizar 3 Documentos Diagnósticos de la Calidad del aire en el Departamento.</t>
  </si>
  <si>
    <t>Alcanzar el 60% de  la Formulación del Plan de Ordenamiento Territorial Departamental</t>
  </si>
  <si>
    <t xml:space="preserve">Mantener en 20 municipios del departamento  el acompañamiento técnico en los procesos de actualización del ordenamiento territorial </t>
  </si>
  <si>
    <t xml:space="preserve">Aumentar en 92 municipios del departamento  el acompañamiento técnico en los procesos  de actualización del ordenamiento territorial </t>
  </si>
  <si>
    <t xml:space="preserve"> Mantener  2 documentos actualizados de lineamientos de ordenamiento territorial departamental </t>
  </si>
  <si>
    <t>Formular 3 documentos con lineamiento de ordenamiento departamental</t>
  </si>
  <si>
    <t>Llegar a 107 documentos de componentes jurídicos, históricos y/o sociales para la solución de conflictos limítrofes</t>
  </si>
  <si>
    <t>Elaborar 3 estudios técnicos limítrofes municipales en el Departamento.</t>
  </si>
  <si>
    <t>Elaborar 2 estudios técnicos limítrofes departamentales</t>
  </si>
  <si>
    <t>Consolidar 2  instancias de articulación supra departamental</t>
  </si>
  <si>
    <t>Mantener 1 programa de fortalecimiento a la conectividad vial</t>
  </si>
  <si>
    <t>Consolidar 2  instancias de articulación supra departamental.</t>
  </si>
  <si>
    <t>Tramitar 1programa de fortalecimiento a la conectividad vial</t>
  </si>
  <si>
    <t>Tramitar 1  programa de fortalecimiento a la competitividad turística</t>
  </si>
  <si>
    <t xml:space="preserve">Implementar 1  plan integral de prospectiva del departamento </t>
  </si>
  <si>
    <t xml:space="preserve">Implementar 1  plan de internacionalización del departamento </t>
  </si>
  <si>
    <t xml:space="preserve">Mantener 1  esquema  asociativo con asesoría en su funcionamiento </t>
  </si>
  <si>
    <t>Implementar 4  procesos de asesoría en conformación y funcionamiento en esquemas asociativos</t>
  </si>
  <si>
    <t>Incrementar a 36,02 puntos el índice departamental de innovación</t>
  </si>
  <si>
    <t>Construir 1 centro de ciencia  dotado con material necesario para su funcionamiento</t>
  </si>
  <si>
    <t xml:space="preserve">Consolidar 1 alianza público privada para la operación del centro de ciencia  </t>
  </si>
  <si>
    <t>Implementar 1 estrategia de apropiación  social del conocimiento</t>
  </si>
  <si>
    <t>Implementar  1  política pública de Ciencia, Tecnología e Innovación</t>
  </si>
  <si>
    <t>Fortalecer 1 sistema regional de Ciencia, Tecnología e Innovación en el departamento</t>
  </si>
  <si>
    <t>Crear 1  Red de Observatorios de Ciencia, Tecnología e Innovación en el departamento</t>
  </si>
  <si>
    <t>Realizar 3 misiones para el fortalecimiento de las capacidades científicas y tecnológicas del departamento</t>
  </si>
  <si>
    <t>Desarrollar 6 proyectos de Ciencia Tecnología e Innovación por la Gobernación de Boyacá</t>
  </si>
  <si>
    <t>Generar 1 documento de Planificación Energética Territorial</t>
  </si>
  <si>
    <t>Generar 1 documento de investigación para la estructuración de soluciones energéticas en el departamento</t>
  </si>
  <si>
    <t xml:space="preserve">Generar 1 instancia de articulación para los procesos de desarrollo energético. </t>
  </si>
  <si>
    <t xml:space="preserve">Implementar 1 estrategia de transferencia de conocimiento en materia energética. </t>
  </si>
  <si>
    <t>Implementar 2 planes de movilidad sostenible en el departamento de Boyacá</t>
  </si>
  <si>
    <t>Implementar 1 estrategia pedagógica de movilidad sostenible en el departamento</t>
  </si>
  <si>
    <t>Realizar 3 articulaciones con instancias territoriales e instituciones educativas</t>
  </si>
  <si>
    <t>Dotar 3 unidades operativas con infraestructura,  tecnología e implementos</t>
  </si>
  <si>
    <t xml:space="preserve">Asistir técnicamente a los 123 municipios en la evaluación de desempeño integral que permita el fortalecimiento los procesos de gestión pública </t>
  </si>
  <si>
    <t>Asesorar técnicamente 300 funcionarios de  las administraciones municipales</t>
  </si>
  <si>
    <t xml:space="preserve">Presentar 4 documentos de lineamientos presupuestales que mejoren el desempeño municipal en el departamento </t>
  </si>
  <si>
    <t>Implementar en los 123 municipios del departamento las metodologías y lineamientos del Departamento Nacional de Planeación DNP</t>
  </si>
  <si>
    <t xml:space="preserve">Implementar al 100 % el sistema de infraestrucructura de datos para la toma de decisiones </t>
  </si>
  <si>
    <t>Mantener 1 comité académico de observatorios operativizado</t>
  </si>
  <si>
    <t>Generar 4 espacios académicos de socialización de resultados de los observatorios</t>
  </si>
  <si>
    <t>Realizar 4 publicaciones de los observatorios del Departamento</t>
  </si>
  <si>
    <t>Mantener el 20 % de la funcionalidad del plan estadístico territorial</t>
  </si>
  <si>
    <t>Realizar 4 actualizaciones de la arquitectura e infraestructura tecnológica de la Infraestructura de Datos Espaciales IDE del departamento</t>
  </si>
  <si>
    <t>Mantener 1  centro documental operativizado</t>
  </si>
  <si>
    <t>Mantener 245 registros calcográficos actualizados en la plataforma KOHA</t>
  </si>
  <si>
    <t>Realizar 820 registros calcográficos en la plataforma KOHA</t>
  </si>
  <si>
    <t>Alcanzar el 80,4 % del índice de desempeño institucional departamental</t>
  </si>
  <si>
    <t>Realizar 2 campañas de divulgación de Modelo Integrado de Planeación y Gestión MIPG en el departamento.</t>
  </si>
  <si>
    <t xml:space="preserve">Realizar 4 informes de seguimiento a la implementación del Modelo Integrado de Planeación y Gestión en la Gobernación de Boyacá para su cargue en la plataforma FURAG II. </t>
  </si>
  <si>
    <t>Informes de seguimiento realizados del Modelo Integrado de Planeación y Gestión</t>
  </si>
  <si>
    <t xml:space="preserve">Mantener operativas las 18 políticas del Modelo Integrado de Planeación y Gestión. </t>
  </si>
  <si>
    <t>Políticas del Modelo Integrado de Planeación y Gestión mantenidas y mejoradas</t>
  </si>
  <si>
    <t>Capacitar 37 servidores públicos en normas de calidad.</t>
  </si>
  <si>
    <t>Servidores públicos formados en normas de calidad.</t>
  </si>
  <si>
    <t>Alcanzar al 100 % la funcionalidad del Sistema Departamental de Planeación y de Gestión de Inversión Pública.</t>
  </si>
  <si>
    <t>Formular 1 Plan Departamental de Desarrollo</t>
  </si>
  <si>
    <t>Mantener 1 Tablero de Control actualizado y operando</t>
  </si>
  <si>
    <t>Publicar 14 Informes de Gestión y Seguimiento al Plan Departamental de Desarrollo</t>
  </si>
  <si>
    <t xml:space="preserve">Publicar  1 Informe de Gestión del Departamento. </t>
  </si>
  <si>
    <t>Realizar 7 Sesiones de trabajo Intersectorial.</t>
  </si>
  <si>
    <t>Diseñar 1 sistema intersectorial de inversión pública .</t>
  </si>
  <si>
    <t>Realizar 20 talleres de capacitación en teoría de proyectos (Formulación, Evaluación, Seguimiento)</t>
  </si>
  <si>
    <t xml:space="preserve">Mantener 1 proceso de gestión de proyectos de inversión actualizado y divulgado
</t>
  </si>
  <si>
    <t>Alcanzar 70 puntos en  el Indice de Gestión de Proyectos de Regalías</t>
  </si>
  <si>
    <t>Asesorar 123 municipios en el proceso de formulación y aprobación de proyectos del Sistema General de Regalias SGR.</t>
  </si>
  <si>
    <t>Realizar 4 capacitaciones para la formulación, aprobación y seguimiento de proyectos del  Sistema General de Regalías SGR</t>
  </si>
  <si>
    <t>Aprobar 123 Proyectos con recursos municipales del Sistema General de Regalías SGR</t>
  </si>
  <si>
    <t>Realizar 42 reportes de información en el aplicativo GESPROY</t>
  </si>
  <si>
    <t xml:space="preserve">Fortalecer 1 Sistema Departamental de Planeación </t>
  </si>
  <si>
    <t>Capacitar 123 Consejos Territoriales de Planeación del departamento</t>
  </si>
  <si>
    <t>Realizar 3 Congresos del Sistema Departamental de Planeación</t>
  </si>
  <si>
    <t>Capacitar 123 Administraciones Municipales en procesos de planeación participativa</t>
  </si>
  <si>
    <t>Implementar 4 Instancias de apoyo al Consejo Departamental  de Planeación.</t>
  </si>
  <si>
    <t>Realizar 4 capacitaciones al Consejo Departamental de Planeación.</t>
  </si>
  <si>
    <t>Publicar 8 Boletines de Información del sistema departamental de planeación</t>
  </si>
  <si>
    <t xml:space="preserve">Realizar 4 Jornadas de Rendición de cuentas interna con Funcionarios de la Gobernación de Boyacá. </t>
  </si>
  <si>
    <t>Realizar 1 Audiencia Pública de Rendición de cuentas con Infancia, adolescencia y juventud.</t>
  </si>
  <si>
    <t>Realizar 7 Audiencias Públicas de rendición de cuentas  con el Consejo Departamental de Planeación.</t>
  </si>
  <si>
    <t>Implementar 1 Herramienta Digital para el Seguimiento al Plan Departamental de Desarrollo e Inversión Pública.</t>
  </si>
  <si>
    <t>Realizar 6 Jornadas de capacitación para el buen uso y manejo de  Herramientas Digitales de Seguimiento.</t>
  </si>
  <si>
    <t>Implementar 9 estrategias para la promoción y acceso a oportunidades de generación de en municipios del departamento con mayor índice de pobreza multidimensional</t>
  </si>
  <si>
    <t>Publicar 1 documento de análisis de índices pobreza en el departamento</t>
  </si>
  <si>
    <t>Aumentar a 5 los ecosistemas estratégicos intervenidos para su protección, conservación y recuperación.</t>
  </si>
  <si>
    <t xml:space="preserve">Mantener en 6 municipios la asistencia técnica y cofinanciamiento de los  procesos de actualización de los planes de ordenamiento territorial </t>
  </si>
  <si>
    <t>Incrementar en 9 municipios la asesoría técnica y cofinanciamiento para la actualización de los planes de ordenamiento territorial</t>
  </si>
  <si>
    <t>Realizar 120 procesos de socialización de líneas limítrofes municipales y departamentales</t>
  </si>
  <si>
    <t xml:space="preserve">Incrementar  a 5,25 Puntos el índice de competitividad del departamento, en el pilar de sofisticación y diversificación </t>
  </si>
  <si>
    <t>Impulsar 4 programas de desarrollo en articulación con la Región  Administrativa y de Planeación Especial RAPE</t>
  </si>
  <si>
    <t>Desarrollar 7 espacios de participación ciudadana en Ciencia, tecnología e Innovación.</t>
  </si>
  <si>
    <t>Presentar  4 informes de medición del desempeño municipal y de viabilidad financiera.</t>
  </si>
  <si>
    <t xml:space="preserve">Realizar 4 Jornadas de Capacitación en implementación de instrumentos y métodos de planeación, ejecución, evaluación y seguimiento. </t>
  </si>
  <si>
    <t>Implementar en 17 municipios del departamento  la fase de barrido del SISBEN IV</t>
  </si>
  <si>
    <t>Implementar en los 123 municipios del departamento asistencia técnica para el desarrollo de la fase de demanda del SISBEN IV</t>
  </si>
  <si>
    <t xml:space="preserve">Realizar en los 123 municipios del departamento asistencia técnica para revisión general de estratificación </t>
  </si>
  <si>
    <t>Implementar en 15 municipios del departamento procesos de acompañamiento en la revisión general de la estratificación socioeconómica.</t>
  </si>
  <si>
    <t>Realizar en 10 municipios de departamento asesoría para la actualización catastral</t>
  </si>
  <si>
    <t>Publicar 4 anuarios estadísticos con la información  producida en la Gobernación de Boyacá.</t>
  </si>
  <si>
    <t xml:space="preserve">Incrementar en 60 % el funcionamiento del plan estadístico del departamento. </t>
  </si>
  <si>
    <t>Realizar 4 Audiencias Públicas de Rendición de cuentas con la Ciudadanía.</t>
  </si>
  <si>
    <t>Implementar 1  proceso Tecnológico de Seguimiento a la Inversión pública y al Plan de Desarrollo.</t>
  </si>
  <si>
    <t>ESTRATÉGICO 2020</t>
  </si>
  <si>
    <t>ESTRATÉGICO 2021</t>
  </si>
  <si>
    <t>ESTRATÉGICO 2022</t>
  </si>
  <si>
    <t>ESTRATÉGICO 2023</t>
  </si>
  <si>
    <t>LÍNEA ESTRATÉGICA</t>
  </si>
  <si>
    <t xml:space="preserve">Elaborar 1 estudio prospectivo de identificación de oferta comercial y la oferta exportable del departamento asociada a sectores y escenarios estratégicos </t>
  </si>
  <si>
    <t>Formular Plan de Internacionalización para articular la oferta y demanda de cooperación del departamento para su orientación a nivel regional, nacional e internacional</t>
  </si>
  <si>
    <t xml:space="preserve">Formular el plan de internacionalización del departamento para la cooperación, atracción de inversión, gestión de alianzas a nivel regional, nacional e internacional en los sectores estrategicos incluyendo la Emergencia,  la Postemergencia y los sectores de la Gobernación </t>
  </si>
  <si>
    <t>Sectores del Manual de Clasificación de la Inversión</t>
  </si>
  <si>
    <t>04</t>
  </si>
  <si>
    <t>Información Estadística</t>
  </si>
  <si>
    <t>12</t>
  </si>
  <si>
    <t>Justicia y del Derecho</t>
  </si>
  <si>
    <t>17</t>
  </si>
  <si>
    <t>Agricultura y Desarrollo Rural</t>
  </si>
  <si>
    <t>19</t>
  </si>
  <si>
    <t xml:space="preserve">Salud y Protección Social </t>
  </si>
  <si>
    <t>21</t>
  </si>
  <si>
    <t>Minas y energía</t>
  </si>
  <si>
    <t>23</t>
  </si>
  <si>
    <t>Tecnologías de la Información y las Comunicaciones</t>
  </si>
  <si>
    <t>24</t>
  </si>
  <si>
    <t>32</t>
  </si>
  <si>
    <t>Ambiente y Desarrollo Sostenible</t>
  </si>
  <si>
    <t>33</t>
  </si>
  <si>
    <t>35</t>
  </si>
  <si>
    <t>Comercio, Industria y Turismo</t>
  </si>
  <si>
    <t>36</t>
  </si>
  <si>
    <t>Trabajo</t>
  </si>
  <si>
    <t>39</t>
  </si>
  <si>
    <t>Ciencia, Tecnología e Innovación</t>
  </si>
  <si>
    <t>40</t>
  </si>
  <si>
    <t>43</t>
  </si>
  <si>
    <t>Deporte y Recreación</t>
  </si>
  <si>
    <t>45</t>
  </si>
  <si>
    <t>Gobierno Territorial</t>
  </si>
  <si>
    <t>41</t>
  </si>
  <si>
    <t>Inclusión Social</t>
  </si>
  <si>
    <t xml:space="preserve">Código Sectores </t>
  </si>
  <si>
    <t>Valor Esperado
2024</t>
  </si>
  <si>
    <t>Valor Esperado
2025</t>
  </si>
  <si>
    <t>Valor Esperado
2026</t>
  </si>
  <si>
    <t>Valor Esperado
2027</t>
  </si>
  <si>
    <t>ICLD</t>
  </si>
  <si>
    <t>ICDE</t>
  </si>
  <si>
    <t>SGP Educación</t>
  </si>
  <si>
    <t>SGP Salud</t>
  </si>
  <si>
    <t>SGP APSB</t>
  </si>
  <si>
    <t>Recursos Propios Entidades Descentralizadas</t>
  </si>
  <si>
    <t>Sistema General de Regalías - SGR</t>
  </si>
  <si>
    <t>Crédito</t>
  </si>
  <si>
    <t>Total</t>
  </si>
  <si>
    <t>Gestión</t>
  </si>
  <si>
    <t>Cofinanciación</t>
  </si>
  <si>
    <t>Otros Recursos</t>
  </si>
  <si>
    <t>TOTAL 2024</t>
  </si>
  <si>
    <t>ESTRATEGIA</t>
  </si>
  <si>
    <t>DIMENSIÓN</t>
  </si>
  <si>
    <t>APUESTA PARA EL DESARROLLO TERRITORIAL</t>
  </si>
  <si>
    <t>OBJETIVO (APD)</t>
  </si>
  <si>
    <t>CÓDIGO</t>
  </si>
  <si>
    <t>MEDIDO A TRAVÉS DE</t>
  </si>
  <si>
    <t>INDICADOR</t>
  </si>
  <si>
    <t>FUENTE</t>
  </si>
  <si>
    <t>META</t>
  </si>
  <si>
    <t>TOTAL 2025</t>
  </si>
  <si>
    <t>TOTAL 2026</t>
  </si>
  <si>
    <t>TOTAL 2027</t>
  </si>
  <si>
    <t>TOTAL 2024-2027</t>
  </si>
  <si>
    <t>1. Tierra del conocimiento</t>
  </si>
  <si>
    <t>1.1 Transformación, conectividad e innovación digital para una Boyacá Grande</t>
  </si>
  <si>
    <t>Promover el desarrollo de habilidades y capacidades a través de las TIC en los Boyacenses.</t>
  </si>
  <si>
    <t>Facilitar el acceso y uso de las Tecnologías de la Información y las Comunicaciones en todo el territorio nacional</t>
  </si>
  <si>
    <t>Número de personas</t>
  </si>
  <si>
    <t>Personas capacitadas en tecnologías de la información y las comunicaciones</t>
  </si>
  <si>
    <t>Gobernación de Boyacá, Secretaría TIC y Gobierno Abierto (2023)</t>
  </si>
  <si>
    <t xml:space="preserve">Secretaría TIC y Gobierno Abierto </t>
  </si>
  <si>
    <t>Fomento del desarrollo de aplicaciones, software y contenidos para impulsar la apropiación de las Tecnologías de la Información y las Comunicaciones (TIC)</t>
  </si>
  <si>
    <t>Número de estudiantes</t>
  </si>
  <si>
    <t>Terminales de cómputo con contenidos digitales entregadas</t>
  </si>
  <si>
    <t>Número de eventos</t>
  </si>
  <si>
    <t>Número de emprendimientos y empresas</t>
  </si>
  <si>
    <t>Emprendimientos y empresas del sector de contenido y aplicaciones digitales acompañados</t>
  </si>
  <si>
    <t>1.1.2  Todos conectados por un Boyacá digital</t>
  </si>
  <si>
    <t>Conectar a más Boyacenses al mundo digital en el área rural y urbana permitiendo acceder a todas las oportunidades que trae la tecnología</t>
  </si>
  <si>
    <t>Número de conexiones a internet</t>
  </si>
  <si>
    <t>Conexiones a internet fijo y / o móvil</t>
  </si>
  <si>
    <t>Comisión de Regulación de Comunicaciones, 2023 (3T)</t>
  </si>
  <si>
    <t>Número de municipios</t>
  </si>
  <si>
    <t>Municipios y áreas no municipalizadas conectados a redes de servicio</t>
  </si>
  <si>
    <t>Gobernación de Boyacá, Secretaría TIC y Gobierno Abierto</t>
  </si>
  <si>
    <t>Municipios asistidos en despliegue de infraestructura (TDT y radio)</t>
  </si>
  <si>
    <t>Numero de Centros</t>
  </si>
  <si>
    <t>Centros de acceso comunitario en zonar urbanas y/o rurales y/o apartadas funcionando</t>
  </si>
  <si>
    <t>1.2 Educación superior pertinente y de calidad para todos y todas las boyacenses</t>
  </si>
  <si>
    <t>Estudiantes beneficiados con estrategias de promoción del bilingüismo</t>
  </si>
  <si>
    <t>Secretaría de Educación</t>
  </si>
  <si>
    <t>Número de estudios</t>
  </si>
  <si>
    <t>Estudiantes vinculados a procesos de orientación socio ocupacional</t>
  </si>
  <si>
    <t>Calidad, cobertura y fortalecimiento de la educación inicial, prescolar, básica y media</t>
  </si>
  <si>
    <t>Numero de beneficiarios</t>
  </si>
  <si>
    <t>Cobertura Educativa Lider Dirección Técnico Pedagógica 
Año: 2023</t>
  </si>
  <si>
    <t>Número de sedes</t>
  </si>
  <si>
    <t>Sedes educativas mejoradas</t>
  </si>
  <si>
    <t>Infraestructura Educativa. Asesora para Infraestructura. Año 2023</t>
  </si>
  <si>
    <t>Sedes de instituciones de Educación superior construidas</t>
  </si>
  <si>
    <t>Número de docentes y agentes educativos</t>
  </si>
  <si>
    <t>Calidad Educativa. Dirección Técnico Pedagógica</t>
  </si>
  <si>
    <t>Número de instituciones</t>
  </si>
  <si>
    <t>Instituciones de Educación Superior que implementan procesos de innovación pedagógica</t>
  </si>
  <si>
    <t>1.3 Educación preescolar, básica y media integral para consolidar la Boyacá grande.</t>
  </si>
  <si>
    <t>1.3.1  Para aprender en grande en todas las etapas de la vida.</t>
  </si>
  <si>
    <t>Implementar y fortalecer ambientes de aprendizaje inclusivos, mediante la aplicación de modelos educativos flexibles, promoviendo la interacción activa entre maestros y estudiantes, garantizando así una educación adaptada a sus necesidades individuales y contextos particulares.</t>
  </si>
  <si>
    <t>Calidad, cobertura y fortalecimiento de la educación inicial, preescolar, básica y media</t>
  </si>
  <si>
    <t>Número de ambientes de aprendizaje</t>
  </si>
  <si>
    <t>Ambientes de aprendizaje dotados (Nivel Preescolar)</t>
  </si>
  <si>
    <t>Fuente: Cobertura Educativa. Líder Primera Infancia Año 2023 Dirección Técnico Pedagógica</t>
  </si>
  <si>
    <t>Fuente: Cobertura Educativa. Líder Educación Inclusiva Dirección Técnico Pedagógica, base 2023</t>
  </si>
  <si>
    <t>Personas beneficiarias de estrategias de permanencia (Víctimas)</t>
  </si>
  <si>
    <t>Número de beneficiarios</t>
  </si>
  <si>
    <t>Número de coberturas</t>
  </si>
  <si>
    <t>Coberturas obtenidas (Arl- Pólizas)</t>
  </si>
  <si>
    <t>Número de establecimientos educativos</t>
  </si>
  <si>
    <t>Número de comunidades</t>
  </si>
  <si>
    <t>Comunidades asistidas técnicamente (Emisoras)</t>
  </si>
  <si>
    <t>95*</t>
  </si>
  <si>
    <t xml:space="preserve">1.3.2  Acceso y permanencia educativa para todas y todos en nuestra Boyacá. </t>
  </si>
  <si>
    <t>Mantener la cobertura y la permanencia en los niveles de Preescolar, Básica y media con formación integral, brindando oportunidades educativas a los niños, niñas, jóvenes, adolescentes velando por la garantía del derecho a la educación en Boyacá</t>
  </si>
  <si>
    <t>Número de documentos</t>
  </si>
  <si>
    <t>Documentos sobre evaluación de permanencia en la educación elaborados (Deserción)</t>
  </si>
  <si>
    <t>Número de raciones</t>
  </si>
  <si>
    <t>Raciones contratadas (PAE)</t>
  </si>
  <si>
    <t>Personas beneficiarias con modelos de alfabetización</t>
  </si>
  <si>
    <t>Beneficiarios de transporte escolar</t>
  </si>
  <si>
    <t>1.3.3  Educación de calidad para incidir en el saber y el desarrollo integral.</t>
  </si>
  <si>
    <t>Garantizar una Educación pertinente y de calidad, potenciando competencias y habilidades en los estudiantes para su formación integral</t>
  </si>
  <si>
    <t>Número de entidades y organizaciones</t>
  </si>
  <si>
    <t>Sedes educativas apoyadas en la implementación de la ruta de atención integral para la convivencia escolar</t>
  </si>
  <si>
    <t>Número de asistencias técnicas</t>
  </si>
  <si>
    <t>Estudiantes con acceso a contenidos web en el establecimiento educativo (Conectividad)</t>
  </si>
  <si>
    <t>Entidades y organizaciones asistidas técnicamente (Temas Ambientales)</t>
  </si>
  <si>
    <t>1.3.4  Infraestructura digna, para construir la Boyacá grande.</t>
  </si>
  <si>
    <t>Garantizar espacios y ambientes educativos donde los estudiantes se sientan felices, motivados y seguros en el marco de la atención integral, con criterios de calidad y pertinencia en los municipios no certificados de Boyacá</t>
  </si>
  <si>
    <t>Sedes educativas nuevas construidas</t>
  </si>
  <si>
    <t>Fuente: Infraestructura Educativa. Asesora para Infraestructura. Año 2023</t>
  </si>
  <si>
    <t>Sedes dotadas</t>
  </si>
  <si>
    <t>1.3.5  Dinamización y fortalecimiento del talento educativo, por una Boyacá Grande.</t>
  </si>
  <si>
    <t>Generar procesos dinámicos en enfoques específicos de bienestar del personal de la planta central de la secretaría, personal administrativo, directivo docente y docente, fortaleciendo los diversos talentos, competencias y habilidades de los funcionarios</t>
  </si>
  <si>
    <t>Personas beneficiadas con procesos de formación informal (Formación Docente por áreas)</t>
  </si>
  <si>
    <t>Asistencias Técnicas Realizadas</t>
  </si>
  <si>
    <t>Fortalecimiento del Modelo Integrado de Planeación y Gestión MIPG y El Sistema de Gestión de Seguridad y Salud en el Trabajo SGSST.</t>
  </si>
  <si>
    <t>Número de programas, proyectos y estrategias</t>
  </si>
  <si>
    <t>Programas, proyectos y estrategias evaluadas (Exaltación al mérito educativo)</t>
  </si>
  <si>
    <t>Número de entidades</t>
  </si>
  <si>
    <t>Número de escuelas</t>
  </si>
  <si>
    <t>Escuelas de padres apoyadas</t>
  </si>
  <si>
    <t>Número de docentes</t>
  </si>
  <si>
    <t>Docentes del nivel inicial, preescolar, básica o media contratados</t>
  </si>
  <si>
    <t>Fuente: Gestión de personal, Dirección administrativa Año 2023</t>
  </si>
  <si>
    <t>Número de sistemas</t>
  </si>
  <si>
    <t>Sistema de gestión documental implementado</t>
  </si>
  <si>
    <t>1.4 Patrimonio, saberes y cultura de la tierra de la libertad</t>
  </si>
  <si>
    <t>Fortalecer los procesos de formación artístico cultural apoyados por la Secretaría de cultura y patrimonio de Boyacá, para el afianzamiento de los valores éticos-estéticos-políticos, en la población que habita en el departamento de Boyacá</t>
  </si>
  <si>
    <t>Promoción y acceso efectivo a procesos culturales y artísticos</t>
  </si>
  <si>
    <t>Personas capacitadas</t>
  </si>
  <si>
    <t>Secretaría de Cultura y Patrimonio de Boyacá-Informes de gestión 2023</t>
  </si>
  <si>
    <t>Secretaría de Cultura y Patrimonio</t>
  </si>
  <si>
    <t>Personas capacitadas (Profesionalización)</t>
  </si>
  <si>
    <t>Número de estímulos</t>
  </si>
  <si>
    <t>Asistencias técnicas realizadas</t>
  </si>
  <si>
    <t>123*</t>
  </si>
  <si>
    <t>Número de procesos de formación</t>
  </si>
  <si>
    <t>Procesos de formación atendidos</t>
  </si>
  <si>
    <t>7*</t>
  </si>
  <si>
    <t>1.4.2  Fortalecimiento de la gobernanza cultural para Boyacá Grande.</t>
  </si>
  <si>
    <t>Fortalecer la participación comunitaria incluyente, efectiva e incidente - en el marco de la gobernanza del sistema de cultura - en los asuntos de interés público cultural, en beneficio de los habitantes del departamento de Boyacá</t>
  </si>
  <si>
    <t>Personas asistidas técnicamente</t>
  </si>
  <si>
    <t>Documentos de lineamientos técnicos realizados</t>
  </si>
  <si>
    <t>Documentos normativos realizados</t>
  </si>
  <si>
    <t>Número de encuentros</t>
  </si>
  <si>
    <t>Encuentros realizados</t>
  </si>
  <si>
    <t>Sesiones de Consejos realizadas en el área de Teatro y Circo</t>
  </si>
  <si>
    <t>Sesiones de Consejos realizadas en el área de Literatura y Libro</t>
  </si>
  <si>
    <t>Sesiones de Consejos realizadas en el área de artes visuales</t>
  </si>
  <si>
    <t>Sesiones de Consejos realizadas en el área de Música</t>
  </si>
  <si>
    <t>Sesiones de Consejos realizadas en el área de danza</t>
  </si>
  <si>
    <t>Consejos apoyados</t>
  </si>
  <si>
    <t>Número de materiales de lectura</t>
  </si>
  <si>
    <t>Materiales de lectura disponibles en bibliotecas públicas y espacios no convencionales</t>
  </si>
  <si>
    <t>1.4.3  Afianzamiento del diálogo cultural y la convivencia ciudadana en Boyacá Grande.</t>
  </si>
  <si>
    <t>Fortalecer el diálogo cultural entre las diversas comunidades para la convivencia ciudadana en el departamento de Boyacá</t>
  </si>
  <si>
    <t>Número de eventos de promoción</t>
  </si>
  <si>
    <t>Eventos de promoción de actividades culturales realizados</t>
  </si>
  <si>
    <t>Actividades culturales para la promoción de la cultura realizadas</t>
  </si>
  <si>
    <t>Número de centros culturales</t>
  </si>
  <si>
    <t>Centros culturales construidos</t>
  </si>
  <si>
    <t>Centros culturales adecuados</t>
  </si>
  <si>
    <t>Gestión, protección y salvaguardia del patrimonio cultural colombiano</t>
  </si>
  <si>
    <t>Estudios y diseños elaborados</t>
  </si>
  <si>
    <t>Número de salas</t>
  </si>
  <si>
    <t>Salas de cine adecuadas</t>
  </si>
  <si>
    <t>Personas beneficiadas</t>
  </si>
  <si>
    <t>Número de creadores y gestores culturales</t>
  </si>
  <si>
    <t>Creadores y gestores culturales beneficiados</t>
  </si>
  <si>
    <t>Número de procesos</t>
  </si>
  <si>
    <t>Procesos implementados</t>
  </si>
  <si>
    <t>1.4.4  Reconocimiento y empoderamiento del patrimonio cultural en Boyacá Grande.</t>
  </si>
  <si>
    <t>Coordinar con los municipios acciones para el reconocimiento y empoderamiento del patrimonio cultural, como referentes históricos simbólicos de la memoria colectiva, fundamental en la estructuración del desarrollo de las comunidades boyacenses</t>
  </si>
  <si>
    <t>Documentos con los planes especiales de manejo y protección de bienes de interés cultural del ámbito nacional realizados</t>
  </si>
  <si>
    <t>Documentos con los planes especiales de salvaguardia de manifestaciones inmateriales realizados</t>
  </si>
  <si>
    <t>Documentos normativos realizados (Declaratorias)</t>
  </si>
  <si>
    <t>Número de obras</t>
  </si>
  <si>
    <t>Obras recuperadas</t>
  </si>
  <si>
    <t>Secretaría de Cultura y Patrimonio de Boyacá-Informes de gestión 2024</t>
  </si>
  <si>
    <t>Número de bienes bibliográficos y documentales</t>
  </si>
  <si>
    <t>Bienes bibliográficos y documentales preservados</t>
  </si>
  <si>
    <t>Número de capacitaciones</t>
  </si>
  <si>
    <t>Capacitaciones realizadas (Patrimonio)</t>
  </si>
  <si>
    <t>Capacitaciones realizadas (Vigias)</t>
  </si>
  <si>
    <t>Asistencias técnicas realizadas al sector bibliotecario, del libro y la lectura</t>
  </si>
  <si>
    <t>Número de museos</t>
  </si>
  <si>
    <t>Museos ampliados (Puente de Boyacá)</t>
  </si>
  <si>
    <t>Asistencias técnicas realizadas a entidades territoriales (Arqueología)</t>
  </si>
  <si>
    <t>Número de procesos de salvaguardia efectiva del patrimonio inmaterial</t>
  </si>
  <si>
    <t>Procesos de salvaguardia efectiva del patrimonio inmaterial realizados</t>
  </si>
  <si>
    <t>Museos asesorados</t>
  </si>
  <si>
    <t>Asistencias técnicas realizadas (Visitas de Patrimonio)</t>
  </si>
  <si>
    <t>Número de publicaciones</t>
  </si>
  <si>
    <t>Publicaciones realizadas</t>
  </si>
  <si>
    <t>Número de restauraciones</t>
  </si>
  <si>
    <t>1.5 Promoción de la investigación, desarrollo e innovación aplicada al territorio</t>
  </si>
  <si>
    <t>1.5.1  Donde la tradición se fusiona con la innovación científica</t>
  </si>
  <si>
    <t>Fortalecer el ecosistema de Ciencia, Tecnología e innovación del departamento en sinergia con los diferentes actores</t>
  </si>
  <si>
    <t>Levantamiento y actualización de información estadística de calidad</t>
  </si>
  <si>
    <t>Número de cuadros</t>
  </si>
  <si>
    <t>Secretaría de Planeación</t>
  </si>
  <si>
    <t>Fomento a vocaciones y formación, generación, uso y apropiación social del conocimiento de la ciencia, tecnología e innovación</t>
  </si>
  <si>
    <t>Número de programas y proyectos</t>
  </si>
  <si>
    <t>Programas y proyectos financiados</t>
  </si>
  <si>
    <t>Fortalecimiento de la gobernanza e institucionalidad multinivel del sector de CTeI</t>
  </si>
  <si>
    <t>Número de asistencias</t>
  </si>
  <si>
    <t>Número de cursos</t>
  </si>
  <si>
    <t>Cursos realizados</t>
  </si>
  <si>
    <t>Número de empresas</t>
  </si>
  <si>
    <t>Empresas apoyadas</t>
  </si>
  <si>
    <t>Fortalecimiento a la gestión y dirección de la administración pública territorial</t>
  </si>
  <si>
    <t>Número de sistemas de información</t>
  </si>
  <si>
    <t>Sistemas de información implementados</t>
  </si>
  <si>
    <t>2*</t>
  </si>
  <si>
    <t>Número de actores</t>
  </si>
  <si>
    <t>Actores reconocidos</t>
  </si>
  <si>
    <t>Estrategias de apropiación realizadas</t>
  </si>
  <si>
    <t>Niños y niñas apoyados en su vocación científica</t>
  </si>
  <si>
    <t>Cursos de actualización científica realizados</t>
  </si>
  <si>
    <t>Ciencia, tecnología e innovación agropecuaria</t>
  </si>
  <si>
    <t>Documentos de planeación elaborados</t>
  </si>
  <si>
    <t>Secretaría de Agricultura</t>
  </si>
  <si>
    <t>Número de productores</t>
  </si>
  <si>
    <t>Productores atendidos con servicio de extensión agropecuaria</t>
  </si>
  <si>
    <t>Secretaria de Agricultura, Gobernación de Boyacá, Final de Empalme, Equipo Boyacá Grande</t>
  </si>
  <si>
    <t>Número de paquetes tecnológicos</t>
  </si>
  <si>
    <t>Paquetes tecnológicos implementados</t>
  </si>
  <si>
    <t>Sistemas de información actualizados</t>
  </si>
  <si>
    <t>Secretaria de Agricultura, Gobernación de Boyacá,2023</t>
  </si>
  <si>
    <t>1.6 Boyacá grande, en donde todas las voces son escuchadas</t>
  </si>
  <si>
    <t>1.6.1  Boyacá Grande de la mano de los periodistas y comunicadores.</t>
  </si>
  <si>
    <t>Promover acciones intersectoriales e interinstitucionales para dignificar la labor de los periodistas vinculados a medios de comunicación en Boyacá, en pro de la producción de información de calidad a la ciudadanía, de cara a contribuir con el libre acceso a la información y la construcción de democracia.</t>
  </si>
  <si>
    <t>Fortalecimiento de la convivencia y la seguridad ciudadana</t>
  </si>
  <si>
    <t>Unidad Administrativa de Comunicaciones y Protocolo</t>
  </si>
  <si>
    <t>. UACP/2023</t>
  </si>
  <si>
    <t>1.6.2  Por una Boyacá Grande con Visión, Estrategia y Acción</t>
  </si>
  <si>
    <t>Fortalecer la capacidad de gestión y generación de resultados de desarrollo de la Boyacá Grande.</t>
  </si>
  <si>
    <t>Documentos de planeación realizados</t>
  </si>
  <si>
    <t>Reporte plan de desarrollo 2020-2023</t>
  </si>
  <si>
    <t>Fortalecimiento del buen gobierno para el respeto y garantía de los derechos humanos</t>
  </si>
  <si>
    <t>Número de iniciativas</t>
  </si>
  <si>
    <t>Espacios de participación promovidos</t>
  </si>
  <si>
    <t>Instancias formales y no formales de participación fortalecidas</t>
  </si>
  <si>
    <t>Rendición de cuentas realizadas</t>
  </si>
  <si>
    <t>10*</t>
  </si>
  <si>
    <t>Número de entidades, organismos y dependencias</t>
  </si>
  <si>
    <t>Entidades, organismos y dependencias asistidos técnicamente</t>
  </si>
  <si>
    <t>Sistema de Gestión implementado</t>
  </si>
  <si>
    <t>Cuadros de resultados para la temática de pobreza y condiciones de vida publicados</t>
  </si>
  <si>
    <t>1.6.3  Grupos comunitarios como protagonistas del desarrollo de los territorios en la Boyacá Grande.</t>
  </si>
  <si>
    <t>Ejercer adecuada asistencia, inspección, vigilancia y control a las entidades, organizaciones, corporaciones cívicas sin ánimo de lucro y veedurías ciudadanas del departamento de Boyacá</t>
  </si>
  <si>
    <t>Iniciativas organizativas de participación ciudadana promovidas</t>
  </si>
  <si>
    <t>Registro de la dirección participación y acción comunal, informe de empalme, 2023</t>
  </si>
  <si>
    <t>Secretaría de Gobierno y Acción Comunal</t>
  </si>
  <si>
    <t>Informe de empalme 2023 Subprograma 94.2 PDD</t>
  </si>
  <si>
    <t>Documentos de política elaborados</t>
  </si>
  <si>
    <t>Organismos asistidos técnicamente</t>
  </si>
  <si>
    <t>Registro de la dirección participación y acción comunal, informe de gestión anual, 2023</t>
  </si>
  <si>
    <t>Número de instancias</t>
  </si>
  <si>
    <t>Entidades asistidas técnicamente</t>
  </si>
  <si>
    <t>Número de municipios de Boyacá</t>
  </si>
  <si>
    <t>PDD 2020 - 2023 Subprograma 95.1, 2020.</t>
  </si>
  <si>
    <t>1.6.4  Jóvenes activos en las agendas públicas de los territorios de la Boyacá Grande.</t>
  </si>
  <si>
    <t>Aumentar la participación e incidencia en la vida pública por parte de los jóvenes del departamento de Boyacá</t>
  </si>
  <si>
    <t>Consolidado 2020 al 2023 de Informes Trimestrales de Seguimiento al PDD Indicador 273, 279, 280</t>
  </si>
  <si>
    <t>Consolidado 2020 al 2023 de Informes Trimestrales de Seguimiento al PDD Indicador 272,269</t>
  </si>
  <si>
    <t>Estrategias de promoción a la participación ciudadana implementadas</t>
  </si>
  <si>
    <t>Consolidado 2020 al 2023 de Informes Trimestrales de Seguimiento al PDD Indicador 270,279, 278, 280</t>
  </si>
  <si>
    <t>Documentos de investigación elaborados</t>
  </si>
  <si>
    <t>Gobernación de Boyacá- Diagnóstico de infancia, adolescencia y juventud/ 2016</t>
  </si>
  <si>
    <t>Secretaria de Gobierno</t>
  </si>
  <si>
    <t>Gobernación de Boyacá- Informe de empalme indicador 274/2023</t>
  </si>
  <si>
    <t>Desarrollo integral de la primera infancia a la juventud, y fortalecimiento de las capacidades de las familias de niñas, niños y adolescentes</t>
  </si>
  <si>
    <t>Número de agentes</t>
  </si>
  <si>
    <t>Agentes de la institucionalidad de infancia, adolescencia y juventud asistidos técnicamente</t>
  </si>
  <si>
    <t>Informe de empalme/ Plan de Desarrollo 2019-2023 Gobernacion de Boyacá 2023.</t>
  </si>
  <si>
    <t>Jóvenes atendidos</t>
  </si>
  <si>
    <t>Informe de empalme/ 2019-2023 Gobernación de Boyacá 2023</t>
  </si>
  <si>
    <t>1.6.5  Gestión social y gobernanza del agua para una Boyacá Grande.</t>
  </si>
  <si>
    <t>Garantizar la participación ciudadana como un derecho fundamental para el mejoramiento de la gobernanza del agua.</t>
  </si>
  <si>
    <t>Acceso de la población a los servicios de agua potable y saneamiento básico</t>
  </si>
  <si>
    <t>Número de entidades territoriales</t>
  </si>
  <si>
    <t>Asesorías y acompañamientos realizados</t>
  </si>
  <si>
    <t>Empresa Departamental de Servicios Públicos de Boyacá SA. ESP. - 2024</t>
  </si>
  <si>
    <t>Empresa Departamental de Servicios Públicos</t>
  </si>
  <si>
    <t>2. Tierra para Crecer y Productiva</t>
  </si>
  <si>
    <t>2.1 Competitividad e innovación para una Boyacá Grande</t>
  </si>
  <si>
    <t>2.1.1  Fortalecimiento del sector minero energético para mejorar su competitividad</t>
  </si>
  <si>
    <t>Posicionar el sector minero energético a nivel departamental y nacional, mejorando su competitividad, promoción y fomento mediante capacitación, asistencia técnica, investigación.</t>
  </si>
  <si>
    <t>Consolidación productiva del sector minero</t>
  </si>
  <si>
    <t>Eventos de divulgación realizados</t>
  </si>
  <si>
    <t>Secretaría de Minas y Energía de Boyacá/2023</t>
  </si>
  <si>
    <t>Secretaría de Minas y Energías</t>
  </si>
  <si>
    <t>Gestión de la información en el sector minero energético</t>
  </si>
  <si>
    <t>Número de informes</t>
  </si>
  <si>
    <t>Informes de divulgación realizados</t>
  </si>
  <si>
    <t>Desarrollo ambiental sostenible del sector minero energético</t>
  </si>
  <si>
    <t>Empresas apoyadas con incentivos</t>
  </si>
  <si>
    <t>Número de unidades de producción minera</t>
  </si>
  <si>
    <t>Unidades de producción minera asistidas técnicamente</t>
  </si>
  <si>
    <t>Número de asociaciones</t>
  </si>
  <si>
    <t>Asociaciones apoyadas</t>
  </si>
  <si>
    <t>Personas asistidas técnicamente (Titulares)</t>
  </si>
  <si>
    <t>Personas certificadas</t>
  </si>
  <si>
    <t>Capacitaciones realizadas</t>
  </si>
  <si>
    <t>2.1.2 Excelencia Empresarial</t>
  </si>
  <si>
    <t>Brindar fortalecimiento al tejido empresarial de Boyacá, desde el emprendimiento hasta la consolidación y la excelencia empresarial.</t>
  </si>
  <si>
    <t>Productividad y competitividad de las empresas colombianas</t>
  </si>
  <si>
    <t>Número de unidades productivas</t>
  </si>
  <si>
    <t>Plan de Desarrollo 2020-2023 Secretaría de Desarrollo Empresarial / 2023</t>
  </si>
  <si>
    <t>3500*</t>
  </si>
  <si>
    <t>Secretaría de Desarrollo Empresarial</t>
  </si>
  <si>
    <t>Número de programas</t>
  </si>
  <si>
    <t>Programas de gestión empresarial ejecutados en unidades productivas</t>
  </si>
  <si>
    <t>2.1.3  Boyacá es para vivirla</t>
  </si>
  <si>
    <t>Generar estrategias de promoción que den a conocer las bondades, riquezas y oferta turística que posicionan a Boyacá como el Departamento preferido por visitantes de nivel local, nacional e internacional.</t>
  </si>
  <si>
    <t>Número de campañas</t>
  </si>
  <si>
    <t>Campañas realizadas (Promoción Turistica)</t>
  </si>
  <si>
    <t>Secretaría de Turismo Gobernación de Boyacá. Informes seguimiento plan de desarrollo 2020-2023/dic 2023</t>
  </si>
  <si>
    <t xml:space="preserve">Secretaría de Turismo </t>
  </si>
  <si>
    <t>Eventos de promoción realizados</t>
  </si>
  <si>
    <t>2.1.4  Boyacá territorio de atracción de inversión e internacionalización de la economía</t>
  </si>
  <si>
    <t>Implementar instrumentos dirigidos a concretar oportunidades de internacionalización, intercambio comercial, de atracción de inversión y de negocios para Boyacá.</t>
  </si>
  <si>
    <t>Empresas asistidas técnicamente: Exportación 30.. Rondas 10.</t>
  </si>
  <si>
    <t>Documentos de planeación elaborados: Atracción de inversión</t>
  </si>
  <si>
    <t>2.1.5  Gobernanza del territorio, base del desarrollo económico y social</t>
  </si>
  <si>
    <t>Mejorar los niveles de gobernanza y gobernabilidad del tejido empresarial de Boyacá en materia de productividad y competitividad.</t>
  </si>
  <si>
    <t>Fomento de la investigación, desarrollo tecnológico e innovación del sector trabajo</t>
  </si>
  <si>
    <t>Documentos de investigación elaborados: Trabajo Decente</t>
  </si>
  <si>
    <t>Documentos realizados: Resoluciones, acuerdos, Políticas</t>
  </si>
  <si>
    <t>Número de clústeres</t>
  </si>
  <si>
    <t>Clústeres asistidos en la implementación de los planes de acción</t>
  </si>
  <si>
    <t>Red Clúster Colombia – Ministerio de Industria Comercio y Turismo/ 2024</t>
  </si>
  <si>
    <t>Número de proyectos</t>
  </si>
  <si>
    <t>Proyectos de alto impacto asistidos para el fortalecimiento de cadenas productivas</t>
  </si>
  <si>
    <t>Número de planes de trabajo</t>
  </si>
  <si>
    <t>Planes de trabajo concertados con las CRC para su consolidación</t>
  </si>
  <si>
    <t>2.1.6  Jóvenes Boyacenses construyendo oportunidades para su proyecto de vida en la Boyacá Grande</t>
  </si>
  <si>
    <t>Impulsar las capacidades y competencias de los jóvenes Boyacenses, propiciando su inserción en la vida laboral y productiva en condiciones de calidad y estabilidad, promoviendo el desarrollo de proyectos productivos y la generación de ingresos.</t>
  </si>
  <si>
    <t>Generación y formalización del empleo</t>
  </si>
  <si>
    <t>Personas orientadas laboralmente</t>
  </si>
  <si>
    <t>Informe de empalme – Gobernacion de Boyacà/ 2023</t>
  </si>
  <si>
    <t>Inclusión social y productiva para la población en situación de vulnerabilidad</t>
  </si>
  <si>
    <t>personas asistidas técnicamente</t>
  </si>
  <si>
    <t>41.</t>
  </si>
  <si>
    <t>Número de unidades</t>
  </si>
  <si>
    <t>Unidades productivas capitalizadas (Carpeta de estimulos)</t>
  </si>
  <si>
    <t>2.1.7  Mejor agroindustria en un campo productivo para la Boyacá Grande</t>
  </si>
  <si>
    <t>Fortalecer infraestructura para el almacenamiento, comercialización y transformación de productos agropecuarios y beneficio animal.</t>
  </si>
  <si>
    <t>Infraestructura productiva y comercialización</t>
  </si>
  <si>
    <t>Número de plantas de beneficio</t>
  </si>
  <si>
    <t>Plantas de beneficio animal adecuada</t>
  </si>
  <si>
    <t>Número de infraestructura para transformación de productos agropecuarios</t>
  </si>
  <si>
    <t>Infraestructura para la transformación de productos agropecuarios adecuada</t>
  </si>
  <si>
    <t>Número de plazas de mercado</t>
  </si>
  <si>
    <t>Plazas de mercado adecuadas</t>
  </si>
  <si>
    <t>Secretaria de Agricultura, 2023</t>
  </si>
  <si>
    <t>Plazas de mercado dotada</t>
  </si>
  <si>
    <t>Secretaria de Agricultura, Drive Dirección de Productividad Agropecuaria, Fondo Finca 2023</t>
  </si>
  <si>
    <t>Número de maquinaria y equipos</t>
  </si>
  <si>
    <t>Maquinaria y equipos para la producción agropecuaria adquiridos</t>
  </si>
  <si>
    <t>Secretaria de Agricultura, Drive Dirección de Productividad Agropecuaria, Fondo Finca y Maquinaria Agrícola 2023</t>
  </si>
  <si>
    <t>Número de centros logísticos</t>
  </si>
  <si>
    <t>Centros logísticos agropecuarios adecuados</t>
  </si>
  <si>
    <t>Secretaria de Agricultura. Gobernación de Boyacá</t>
  </si>
  <si>
    <t>2.1.8  La bioeconomía, herramienta de transformación empresarial sostenible</t>
  </si>
  <si>
    <t>Articular nueva matriz económica, compuesta de Unidades productivas y encadenamientos sostenibles sobre los fundamentos de la bioeconomía.</t>
  </si>
  <si>
    <t>Empresas intervenidas en temas de economía circular y sostenibilidad</t>
  </si>
  <si>
    <t>2.1.9  La agroindustria motor de la competitividad</t>
  </si>
  <si>
    <t>Brindar herramientas para la competitividad del sector agroindustrial sobre la base del valor agregado, la industria y el encadenamiento productivo hasta la conquista de los mercados.</t>
  </si>
  <si>
    <t>Empresas asistidas técnicamente en temas de legalidad y/o formalización: Territorio de Sabores</t>
  </si>
  <si>
    <t>Unidades productivas fortalecidas</t>
  </si>
  <si>
    <t>Inclusión productiva de pequeños productores rurales</t>
  </si>
  <si>
    <t>Número de organizaciones</t>
  </si>
  <si>
    <t>Organizaciones de productores formales apoyadas</t>
  </si>
  <si>
    <t>2.1.10  Confianza por la innovación Empresarial – Red InnovAcción</t>
  </si>
  <si>
    <t>Impulsar la innovación y el desarrollo empresarial en el departamento de Boyacá, potenciando un ecosistema propicio para la generación de ideas innovadoras, el intercambio de conocimientos y la implementación de proyectos estratégicos.</t>
  </si>
  <si>
    <t>Número de estrategias</t>
  </si>
  <si>
    <t>Proyectos Váuchers de Innovación Boyacá e Innovación más País / 2022</t>
  </si>
  <si>
    <t>Número de prototipos</t>
  </si>
  <si>
    <t>Prototipos desarrollados</t>
  </si>
  <si>
    <t>2.2 Desarrollo agropecuario como eje de la Boyacá grande</t>
  </si>
  <si>
    <t>2.2.1  Bienestar Campesino y agro sostenibilidad para la Boyacá Grande</t>
  </si>
  <si>
    <t>Promover el bienestar del campesino a través de la seguridad alimentaria de las familias campesinas, la transición a sistemas agroecológicos sostenibles, e implementación de políticas públicas que procuran una ruralidad autónoma y productiva con tejido social.</t>
  </si>
  <si>
    <t>Número de grupos</t>
  </si>
  <si>
    <t>Secretaria de Agricultura, Drive Dirección de Bienestar Campesino,2023</t>
  </si>
  <si>
    <t>Inclusión productiva a pequeños productores rurales</t>
  </si>
  <si>
    <t>Número de productores agropecuarios</t>
  </si>
  <si>
    <t>Productores agropecuarios apoyados (Boyacá Nos Alimenta - ACFC)</t>
  </si>
  <si>
    <t>Secretaria de Agricultura, Drive Dirección de Bienestar Campesino, Seguridad Alimentaria 2023</t>
  </si>
  <si>
    <t>Secretaria de Agricultura, Drive Dirección de Bienestar Campesino, Mujer Rural, Joven Rural 2023</t>
  </si>
  <si>
    <t>Número de Familias</t>
  </si>
  <si>
    <t>Familias beneficiarias (Bancarización -Seguros y/o Incentivos)</t>
  </si>
  <si>
    <t>Número de rutas agroecológicas</t>
  </si>
  <si>
    <t>Rutas agroecológicas implementadas</t>
  </si>
  <si>
    <t>Secretaria de Agricultura, Drive Dirección de Bienestar Campesino, Turismo rural comunitario Rural 2023</t>
  </si>
  <si>
    <t>Número de centros de acopio</t>
  </si>
  <si>
    <t>Secretaria de Agricultura, Drive Dirección de Bienestar 2023</t>
  </si>
  <si>
    <t>Documento de política elaborado (Implementacion Agricultura Campesina Familiar y Comunitaria)</t>
  </si>
  <si>
    <t>Secretaria de Agricultura, Drive Políticas Públicas 2023</t>
  </si>
  <si>
    <t>iniciativas organizativas de participación ciudadana promovidas</t>
  </si>
  <si>
    <t xml:space="preserve">2.2.2  Más desarrollo agropecuario y competitividad para la Boyacá Grande </t>
  </si>
  <si>
    <t>Fomentar el desarrollo productivo mejorando las capacidades tecnológicas, asociativas, competitivas y de innovación en los productores agropecuarios del departamento.</t>
  </si>
  <si>
    <t>Número de cadenas productivas</t>
  </si>
  <si>
    <t>Cadenas productivas apoyadas</t>
  </si>
  <si>
    <t>Proyectos productivos cofinanciados (Convocatorias- Incentivos a la Producción)</t>
  </si>
  <si>
    <t>Productores apoyados con activos productivos y de comercialización</t>
  </si>
  <si>
    <t>400*</t>
  </si>
  <si>
    <t>957*</t>
  </si>
  <si>
    <t>Organizaciones de productores formales apoyadas (Eventos Comerciales, Mercados Campesinos, Ruedas de Negocio)</t>
  </si>
  <si>
    <t>Aprovechamiento de Mercados Externos</t>
  </si>
  <si>
    <t>Número de participaciones</t>
  </si>
  <si>
    <t>Participaciones en ferias nacionales e internacionales</t>
  </si>
  <si>
    <t>Servicio de análisis y diagnóstico sanitario, fitosanitario e inocuidad</t>
  </si>
  <si>
    <t>Número de análisis y diagnósticos</t>
  </si>
  <si>
    <t>Análisis y diagnósticos realizados</t>
  </si>
  <si>
    <t>Secretaria de Agricultura, Drive Dirección de Productividad, 2023</t>
  </si>
  <si>
    <t xml:space="preserve">2.2.3 Gestión del agua para la producción y adecuación de tierras para la Boyacá Grande </t>
  </si>
  <si>
    <t>Incrementar la productividad agropecuaria y promover el desarrollo rural integral en las zonas con agricultura campesina, familiar y comunitaria, a través del aprovisionamiento de infraestructura de riego, drenaje y control de inundaciones.</t>
  </si>
  <si>
    <t>Hectáreas con estudios y diseño</t>
  </si>
  <si>
    <t>Área con estudios de pre-inversión para adecuación de tierras elaborados (factibilidad)</t>
  </si>
  <si>
    <t>Hectáreas con distritos de adecuación de tierras</t>
  </si>
  <si>
    <t>Hectáreas con distritos de adecuación de tierras construidos y ampliados</t>
  </si>
  <si>
    <t>Documento Regional de Boyacá, UPRA unidad de planificación agropecuaria, 2023</t>
  </si>
  <si>
    <t>Hectáreas con distritos de adecuación de tierras rehabilitados, complementados y modernizados</t>
  </si>
  <si>
    <t>Ordenamiento social y uso productivo del territorio rural</t>
  </si>
  <si>
    <t>Número de mapas</t>
  </si>
  <si>
    <t>Mapas de zonificación elaborados</t>
  </si>
  <si>
    <t>Gestión integral del recurso hídrico</t>
  </si>
  <si>
    <t>Metros cúbicos de agua</t>
  </si>
  <si>
    <t>2.3 Desarrollo turístico para conocer, explorar y disfrutar la Boyacá Grande</t>
  </si>
  <si>
    <t>2.3.1 Boyacá turística, con enfoque integral en información, calidad e infraestructura</t>
  </si>
  <si>
    <t>Mejorar la calidad y sostenibilidad en el destino Boyacá, fortaleciendo la infraestructura turística y el Sistema de Información Turística SITUR Boyacá.</t>
  </si>
  <si>
    <t>Número de portales</t>
  </si>
  <si>
    <t>Portales integrados (Situr mantenimiento)</t>
  </si>
  <si>
    <t>Portales integrados (herramienta tecnológica)</t>
  </si>
  <si>
    <t>Documentos de lineamientos técnicos elaborados</t>
  </si>
  <si>
    <t>N/D</t>
  </si>
  <si>
    <t>Entidades territoriales asistidas técnicamente (Proyectos de infraestructura turística apoyados, Estudios realizados)</t>
  </si>
  <si>
    <t>2.3.2 Boyacá turística, un destino planificado y competitivo</t>
  </si>
  <si>
    <t>Contribuir al desarrollo de los destinos mediante la implementación de herramientas de planificación que dinamicen la economía y los hagan más competitivos.</t>
  </si>
  <si>
    <t>Documentos de planeación elaborados(Documentos de diseños de productos turísticos)</t>
  </si>
  <si>
    <t>2.3.3  Boyacá turística, un territorio seguro inclusivo y sostenible, con un talento humano fortalecido</t>
  </si>
  <si>
    <t>Fortalecer las capacidades y habilidades del talento humano, fomentar la cultura del turismo y propender por la adecuada administración de los recursos naturales involucrados en la actividad turística mediante el desarrollo de estrategias de turismo responsable y sostenible.</t>
  </si>
  <si>
    <t>Personas formadas en habilidades y competencias (Bilingüismo, NTC, entre otros)</t>
  </si>
  <si>
    <t>Documentos sobre medición y análisis de información turística realizados</t>
  </si>
  <si>
    <t>Secretaría de Turismo, Gobernación de Boyacá</t>
  </si>
  <si>
    <t>Número de Senderos</t>
  </si>
  <si>
    <t>Senderos mejorados</t>
  </si>
  <si>
    <t xml:space="preserve">2.3.4  Por una Boyacá turística, un buen gobierno para el sector </t>
  </si>
  <si>
    <t>Mantener en operatividad los Consejos de Turismo, redes y mesas técnicas del sector, con el fin de engranar y garantizar la gobernanza.</t>
  </si>
  <si>
    <t>Documentos de planeación Elaborados(Planes de acción consejos de Turismo)</t>
  </si>
  <si>
    <t>2.4 Modernización, conectividad y transporte multimodal para la Boyacá Grande</t>
  </si>
  <si>
    <t>2.4.1  Conectividad segura para un Boyacá grande</t>
  </si>
  <si>
    <t>Mejorar las condiciones de movilidad y conectividad en el territorio boyacense y su articulación nacional a través de una red de carreteras con capacidad, niveles de servicios, sostenible y seguridades adecuadas para la demanda de transporte actual y sobreviniente</t>
  </si>
  <si>
    <t>Infraestructura red vial primaria</t>
  </si>
  <si>
    <t>Kilómetros de vías</t>
  </si>
  <si>
    <t>Vías primarias mejorada</t>
  </si>
  <si>
    <t>957.45</t>
  </si>
  <si>
    <t>SIP-Estado vías -2023</t>
  </si>
  <si>
    <t>987.45</t>
  </si>
  <si>
    <t>Secretaría de Infraestructura Pública y Vivienda</t>
  </si>
  <si>
    <t>Infraestructura red vial regional</t>
  </si>
  <si>
    <t>Kilómetros de vías secundarias</t>
  </si>
  <si>
    <t>Vía secundaria mejorada</t>
  </si>
  <si>
    <t>700.27</t>
  </si>
  <si>
    <t>Kilómetros de vías terciaria</t>
  </si>
  <si>
    <t>Vía terciaria mejorada</t>
  </si>
  <si>
    <t>1.39</t>
  </si>
  <si>
    <t>Vía secundaria con mantenimiento (rutinario) (**)</t>
  </si>
  <si>
    <t>Vía secundaria con mantenimiento (periodico) (**)</t>
  </si>
  <si>
    <t>Kilómetros de vías urbanas</t>
  </si>
  <si>
    <t>Vía urbana mejorada</t>
  </si>
  <si>
    <t>Secretaría de Infraestructura</t>
  </si>
  <si>
    <t>Vía terciaria con mantenimiento (**)</t>
  </si>
  <si>
    <t>2000*</t>
  </si>
  <si>
    <t>Número de puentes</t>
  </si>
  <si>
    <t>Puentes construidos en vías secundarias</t>
  </si>
  <si>
    <t>N. D</t>
  </si>
  <si>
    <t xml:space="preserve">2.4.2  Sistema de gestión de infraestructura </t>
  </si>
  <si>
    <t>Consolidar información que contribuya a planificar el desarrollo y crecimiento de la infraestructura vial del departamento, y como soporte a la función y trámites administrativos de la entidad.</t>
  </si>
  <si>
    <t>Estudios de pre-inversión realizados</t>
  </si>
  <si>
    <t>Vías regionales o urbanas inventariadas</t>
  </si>
  <si>
    <t>1146.3</t>
  </si>
  <si>
    <t>SIP-ACTUALIZACION INVENTARIO 2023</t>
  </si>
  <si>
    <t>2.4.3 Infraestructura de transporte intermodal y/o sostenibles de integración regional y/o local</t>
  </si>
  <si>
    <t xml:space="preserve">Promover y acompañar la ejecución de proyectos de transporte intermodal, que permitan la integración y oferta de bienes y servicios a nivel nacional. Y a nivel local y urbano impulsar proyectos de transporte alternativo sostenible. </t>
  </si>
  <si>
    <t>Infraestructura de transporte férreo</t>
  </si>
  <si>
    <t>Número de estudios de preinversión</t>
  </si>
  <si>
    <t>Estudios de preinversión realizados</t>
  </si>
  <si>
    <t>PDD - SIP 2020-2023</t>
  </si>
  <si>
    <t>Infraestructura y servicios de transporte aéreo</t>
  </si>
  <si>
    <t>Número de aeropuertos</t>
  </si>
  <si>
    <t>Aeropuertos mejorados</t>
  </si>
  <si>
    <t>5*</t>
  </si>
  <si>
    <t>Infraestructura de transporte fluvial</t>
  </si>
  <si>
    <t>Obras de infraestructura fluvial con apoyo financiero</t>
  </si>
  <si>
    <t>Metros lineales de ciclo infraestructura</t>
  </si>
  <si>
    <t>Ciclo infraestructura urbana construida</t>
  </si>
  <si>
    <t>Ciclo infraestructura de la red secundaria con mantenimiento</t>
  </si>
  <si>
    <t>2.4.4 Boyacá hacia un territorio sin víctimas en los siniestros viales</t>
  </si>
  <si>
    <t xml:space="preserve">Reducir la tasa de fatalidades en siniestros viales en el departamento de Boyacá, mediante la implementación de medidas integrales de seguridad vial y la efectiva articulación de los diferentes sectores involucrados, transformando el comportamiento de los actores viales.  </t>
  </si>
  <si>
    <t>Seguridad de transporte</t>
  </si>
  <si>
    <t>Número de zonas escolares</t>
  </si>
  <si>
    <t>Zonas escolares señalizadas y con obras de seguridad vial</t>
  </si>
  <si>
    <t>Informe gestión Boyacá 2020/2023</t>
  </si>
  <si>
    <t>Vías con dispositivos de control y señalización instaladas</t>
  </si>
  <si>
    <t>24*</t>
  </si>
  <si>
    <t>Campañas realizadas</t>
  </si>
  <si>
    <t>Número de operativos de control</t>
  </si>
  <si>
    <t>Operativos de control realizados</t>
  </si>
  <si>
    <t>800*</t>
  </si>
  <si>
    <t>Personas sensibilizadas</t>
  </si>
  <si>
    <t>2.4.5  Transformación digital, modernización tecnológica y operativa del Instituto de Tránsito de Boyacá.</t>
  </si>
  <si>
    <t>Brindar mejor servicio al ciudadano, a través de la Transformación digital y modernización tecnológica del Instituto de Tránsito de Boyacá.</t>
  </si>
  <si>
    <t>Fortalecimiento de la gestión y dirección del sector Planeación</t>
  </si>
  <si>
    <t>Sedes mantenidas (itboy)</t>
  </si>
  <si>
    <t>Fortalecimiento de la gestión y dirección del sector Información Estadística</t>
  </si>
  <si>
    <t>Servicio de información de seguridad vial</t>
  </si>
  <si>
    <t>Licencias de Tránsito</t>
  </si>
  <si>
    <t>Licencias de conducción expedidas (Este indicador mide únicamente las licencias expedidas sin contar las anuladas)</t>
  </si>
  <si>
    <t>Registro de vehículos realizado (este indicador incluye la totalidad de automotores públicos y privados, y motocicletas)</t>
  </si>
  <si>
    <t>2.5. Boyacá grande al servicio de los y las ciudadanas</t>
  </si>
  <si>
    <t>2.5.1  Por una Boyacá Grande con información para todas y todos</t>
  </si>
  <si>
    <t>Realizar y organizar campañas, estrategias, eventos y productos comunicativos, que permitan dar a conocer la gestión de la Gobernación de Boyacá con las comunidades.</t>
  </si>
  <si>
    <t>Número de productos digitales</t>
  </si>
  <si>
    <t>Productos digitales desarrollados</t>
  </si>
  <si>
    <t>Fortalecimiento del buen gobierno para el respeto y garantía de derechos</t>
  </si>
  <si>
    <t>Iniciativas organizativas de participación ciudadana promovidas. (Comunicaciones y Protocolo)</t>
  </si>
  <si>
    <t>Informe de Gestión UACP / 2023</t>
  </si>
  <si>
    <t>2.5.2  Por una Boyacá grande con servidores proactivos e información transparente y accesible al servicio de las ciudadanías.</t>
  </si>
  <si>
    <t>Desarrollar acciones para mejorar la Gestión Estratégica del Talento Humano, orientándola al fortalecimiento integral de los servidores públicos haciéndolos más idóneos, comprometidos, competentes, generando valor a lo público, con vocación de servicio y sentido de pertenencia para el cumplimiento de las metas y objetivos institucionales.</t>
  </si>
  <si>
    <t>Documentos de lineamientos técnicos realizados( Nota: Hace parte del documento técnico de reorganización institucional y los informes de Política Estratégica de TH.</t>
  </si>
  <si>
    <t>Informe de Empalme 2020-2023 de la Secretaría General</t>
  </si>
  <si>
    <t>Número de espacios</t>
  </si>
  <si>
    <t>Espacios de integración de oferta pública generados</t>
  </si>
  <si>
    <t>Diagnóstico 2024 de la Secretaría General</t>
  </si>
  <si>
    <t>2.6 Un gobierno eficiente y transparente para una Boyacá Grande</t>
  </si>
  <si>
    <t>2.6.1  Boyacá Grande en sintonía con los territorios.</t>
  </si>
  <si>
    <t xml:space="preserve">Ampliar la cobertura de radio y televisión pública de Boyacá para que la información pública llegue a más hogares de manera eficaz.  </t>
  </si>
  <si>
    <t>Número de estaciones</t>
  </si>
  <si>
    <t>Estaciones mejoradas en funcionamiento</t>
  </si>
  <si>
    <t>Subdirección de Radio y Televisión Gobernación de Boyacá / 2023</t>
  </si>
  <si>
    <t>Estudios de video en funcionamiento</t>
  </si>
  <si>
    <t>Subdirección de Radio y Televisión Gobernación de Boýacá / 2023</t>
  </si>
  <si>
    <t>Soluciones Tecnológicas apoyadas</t>
  </si>
  <si>
    <t>2.6.2  Impulsando a Boyacá́ hacia un territorio innovador e inteligente con tecnologías que transforman</t>
  </si>
  <si>
    <t>Promover la sociedad digital en los boyacenses democratizando las TIC para su participación y contribuir a una mejor relación Estado - Ciudadanía.</t>
  </si>
  <si>
    <t>Fomento del desarrollo de aplicaciones, software y contenidos para impulsar la apropiación de las Tecnologías de la Información y las Comunicaciones (TIC).</t>
  </si>
  <si>
    <t>Entidades del orden territorial beneficiadas con asistencia técnica para la implementación de la Estrategia de Gobierno digital</t>
  </si>
  <si>
    <t>Fortalecimiento a la gestión y dirección de la administración pública territorial.</t>
  </si>
  <si>
    <t>Sistema de gestión documental actualizado</t>
  </si>
  <si>
    <t>Porcentaje de capacidad</t>
  </si>
  <si>
    <t>Índice de capacidad en la prestación de servicios de tecnología</t>
  </si>
  <si>
    <t>Personas capacitadas en uso de Tecnologías de Información y Comunicaciones (TIC)</t>
  </si>
  <si>
    <t>Proyectos asistidos técnicamente</t>
  </si>
  <si>
    <t>Sistemas de información actualizados.</t>
  </si>
  <si>
    <t>Sistema de Gestión implementados</t>
  </si>
  <si>
    <t xml:space="preserve">2.6.3  Gestión Jurídica Eficaz y Eficiente en el Departamento </t>
  </si>
  <si>
    <t xml:space="preserve">Generar conocimiento a través de procesos investigativos que aporten al fortalecimiento de la defensa de la entidad territorial, la prevención del daño antijurídico y al apoyo administrativo, proyectando el servicio de la sectorial hacia el territorio. </t>
  </si>
  <si>
    <t>Defensa Jurídica del Estado</t>
  </si>
  <si>
    <t>Documentos de investigación realizados</t>
  </si>
  <si>
    <t>Archivo Unidad Administrativa Especial de Asesoría Jurídica, 2023</t>
  </si>
  <si>
    <t>Unidad Administrativa Especial de Asesoría Jurídica</t>
  </si>
  <si>
    <t>Informe Gestión Comité de Conciliación del Departamento, 2023</t>
  </si>
  <si>
    <t>Fortalecimiento de la gestión y dirección del sector justicia y del derecho</t>
  </si>
  <si>
    <t>Número de Personas</t>
  </si>
  <si>
    <t>2.6.4  Boyacá Ancestralmente Integra</t>
  </si>
  <si>
    <t>Adelantar las acciones disciplinarias de los servidores públicos del nivel central y planta docente y administrativa de las instituciones educativas del Departamento de Boyacá, con el fin de garantizar la prevalencia de la justicia, el cumplimiento de los derechos y el debido proceso de los que intervienen.</t>
  </si>
  <si>
    <t>Personas Capacitadas</t>
  </si>
  <si>
    <t>Plan Dptal de desarrollo 2020-2023</t>
  </si>
  <si>
    <t xml:space="preserve">Oficina Asesora de Control Interno Disciplinario </t>
  </si>
  <si>
    <t>Eventos de divulgación en temas de lucha contra la corrupción realizados</t>
  </si>
  <si>
    <t>Oficina Asesora de Control Interno Disciplinario 2023</t>
  </si>
  <si>
    <t>Lucha contra la corrupción</t>
  </si>
  <si>
    <t>Documentos de Investigación realizados</t>
  </si>
  <si>
    <t>Fortalecimiento de la gestión y dirección del sector Organismos de Control</t>
  </si>
  <si>
    <t>2.6.5  Boyacá grande con la recuperación de sus bienes para mejorar las condiciones laborales, el acceso a la oferta de servicios institucionales, facilitar la custodia y consulta de la gestión documental</t>
  </si>
  <si>
    <t xml:space="preserve">Administrar, mantener y custodiar la propiedad, planta y equipo del Departamento de Boyacá y prestar servicios de apoyo logístico requeridos por todos los procesos, así como el mejoramiento del proceso gestión documental de la entidad para facilitar su adecuada consulta y archivo.  </t>
  </si>
  <si>
    <t>Sedes Mantenidas</t>
  </si>
  <si>
    <t>Informe de Empalme 2020-2023 de la S. General</t>
  </si>
  <si>
    <t>N/A</t>
  </si>
  <si>
    <t>2.6.6  Compras y Contratación Pública en la Boyacá Grande</t>
  </si>
  <si>
    <t>Mejorar la Política de Compras y Contratación Pública en el Departamento de Boyacá.</t>
  </si>
  <si>
    <t>Programa de saneamiento fiscal y financiero ejecutado.</t>
  </si>
  <si>
    <t>Secretaría de Contratación</t>
  </si>
  <si>
    <t>Número de Sistemas</t>
  </si>
  <si>
    <t>Archivos gestionados</t>
  </si>
  <si>
    <t>Número de Sistemas de Información.</t>
  </si>
  <si>
    <t>2.6.7  Control interno enfocado en la óptima administración y gestión del riesgo para una Boyacá Grande y transparente</t>
  </si>
  <si>
    <t>Proyectar para la Boyacá grande una administración del riesgo eficaz, elevando significativamente la valoración en rango fuerte en la entidad.</t>
  </si>
  <si>
    <t>Fortalecimiento del control y la vigilancia de la gestión fiscal y resarcimiento al daño del patrimonio pùblico</t>
  </si>
  <si>
    <t>Documento Política de Control Interno, Gobernación de Boyacá. 2023</t>
  </si>
  <si>
    <t>Secretaría de la Oficina Asesora de Control Interno de Gestión</t>
  </si>
  <si>
    <t>Fortalecimiento del Control y la vigilancia de la gestiòn fiscal y resarcimiento al daño del patrimonio</t>
  </si>
  <si>
    <t>Informe de gestión desarrollados</t>
  </si>
  <si>
    <t>Fortalecimiento a la gestiòn y direcciòn de la administrsaciòn pùblica territorial</t>
  </si>
  <si>
    <t>Documentos de evaluación elaborados</t>
  </si>
  <si>
    <t>Plan Anual de Auditoría2023</t>
  </si>
  <si>
    <t>Fortalecimiento a la gestiòn y direcciòn de la administraciòn pùblica territorial</t>
  </si>
  <si>
    <t>Número de entidades organismos y dependencias</t>
  </si>
  <si>
    <t>Entidades organismos y Dependencias asistidas técnicamente</t>
  </si>
  <si>
    <t>Fortalecimiento del control y la vigilancia de la gestiòn fiscal y resarcimiento al daño del patrimonio pùblico</t>
  </si>
  <si>
    <t>Documentos metodológicos para el control y vigilancia fiscal elaborados</t>
  </si>
  <si>
    <t>Plan anual de Auditorias OACIG 2023</t>
  </si>
  <si>
    <t>2.6.8  Un control interno enfocado en la prevención y mejora continua que permita la integralidad de la Boyacá Grande</t>
  </si>
  <si>
    <t xml:space="preserve">Proyectar a la Boyacá Grande, como referente a nivel nacional en la medición de la efectividad de la Cultura del Autocontrol.                              </t>
  </si>
  <si>
    <t>Fortalecimiento del control y la vigilancia de la gestión fiscal y resarcimiento al daño del patrimonio público</t>
  </si>
  <si>
    <t>Dependencia s asistidas técnicamente</t>
  </si>
  <si>
    <t>Plan anual de auditorias OACIG 2023</t>
  </si>
  <si>
    <t>2.7  Mayor autonomía fiscal</t>
  </si>
  <si>
    <t>Apoyar el Fortalecimiento Institucional de la Secretaría de Hacienda mediante acciones que permitan mejorar la sostenibilidad financiera del departamento con el fin de solventar el pasivo prestacional y financiero, cumplir con los objetivos del plan de desarrollo y apoyar contable, tesoral y administrativamente los programas y proyectos misionales de las demás dependencias de la Gobernación de Boyacá.</t>
  </si>
  <si>
    <t>GOBIERNO TERRITORIAL</t>
  </si>
  <si>
    <t>Sistema de gestión implementado</t>
  </si>
  <si>
    <t>secretaría de Hacienda/2023</t>
  </si>
  <si>
    <t>Secretaría de Hacienda</t>
  </si>
  <si>
    <t>Programa de saneamiento fiscal y financiero ejecutado</t>
  </si>
  <si>
    <t>secretaria de .Hacienda/2023</t>
  </si>
  <si>
    <t>Numero de Documentos</t>
  </si>
  <si>
    <t>2.7.2  Desarrollar actividades de fomento para el desarrollo económico, social, cultural, empresarial y turístico del Departamento de Boyacá</t>
  </si>
  <si>
    <t>Lograr la vigilancia de la Superintendencia Financiera, Mantener y/o mejorar la calificación de riesgo financiero crediticio, así como la eficiencia financiera y administrativa de convenios, bienes y sociedades incrementando las utilidades e ingresos y creando nuevas líneas de negocio.</t>
  </si>
  <si>
    <t>Estados Financieros IDEBOY - Diciembre 2023</t>
  </si>
  <si>
    <t>Número de Proyectos</t>
  </si>
  <si>
    <t>2.7.3 La nueva licorera de Boyacá como fuente de crecimiento en la Boyacá Grande</t>
  </si>
  <si>
    <t>Realizar transferencias a la gobernación de Boyacá, al sector salud y al sector deporte generados de la producción y comercialización de nuestros productos.</t>
  </si>
  <si>
    <t>Nueva Licorera de Boyacá/2023</t>
  </si>
  <si>
    <t>Nueva Licorera de Boyacá</t>
  </si>
  <si>
    <t>Documentos de análisis de cadena de valor realizados</t>
  </si>
  <si>
    <t>Instrumentos para el mejoramiento productivo implementados</t>
  </si>
  <si>
    <t>Atención, asistencia y reparación integral a las victimas</t>
  </si>
  <si>
    <t>Numero</t>
  </si>
  <si>
    <t>2.7.4  Transferencias que aportan a una Boyacá grande más saludable”</t>
  </si>
  <si>
    <t>Realizar transferencias para recursos de la salud, generados por la explotación y comercialización de juegos de suerte y azar.</t>
  </si>
  <si>
    <t>Productividad y Competitividad de las empresas Colombianas</t>
  </si>
  <si>
    <t>Unidades productivas beneficiadas en la implementación de la estrategias para incrementar su productividad)</t>
  </si>
  <si>
    <t>Lotería de Boyacá/Gestiòn Financiera/2023</t>
  </si>
  <si>
    <t>Lotería de Boyacá</t>
  </si>
  <si>
    <t>Documentos de lineamientos técnicos realizados (venta de Loterìa)</t>
  </si>
  <si>
    <t>Lotería de Boyacá/Subgerencia comercial/2023</t>
  </si>
  <si>
    <t>Lotería de Boyacá/2023</t>
  </si>
  <si>
    <t>Formación para el trabajo</t>
  </si>
  <si>
    <t>Estrategias realizadas</t>
  </si>
  <si>
    <t>Productividad y competitividad de las empresas Colombianas</t>
  </si>
  <si>
    <t>Nùmero de proyectos</t>
  </si>
  <si>
    <t>Lotterìa de Boyacà/2023</t>
  </si>
  <si>
    <t>2.8 Boyacá Grande: referente nacional e internacional</t>
  </si>
  <si>
    <t>2.8.1  Boyacá grande exportadora y conectada con el mundo.</t>
  </si>
  <si>
    <t>Acompañar, facilitar y promover la articulación a nivel nacional e internacional para la promoción de la cultura exportadora, la transferencia de conocimiento, la cooperación internacional y la inversión privada en el Departamento.</t>
  </si>
  <si>
    <t>Unidad de Relaciones Nacionales e Internacionales</t>
  </si>
  <si>
    <t>Generación de la información geográfica del territorio nacional</t>
  </si>
  <si>
    <t>3.1 Transición energética y sostenibilidad como principio orientador del desarrollo económico en la Boyacá Grande</t>
  </si>
  <si>
    <t xml:space="preserve">3.1.1 La nueva licorera de Boyacá (NLB) Impulsadora de procesos de desarrollo agrícola en el departamento de la Boyacá grande </t>
  </si>
  <si>
    <t xml:space="preserve">Impulsar procesos de desarrollo agrícola en el departamento que dinamicen la bioeconomía con la investigación y nuevos usos, como base de esfuerzos para alcanzar los objetivos medioambientales del Gran Plan por Boyacá. </t>
  </si>
  <si>
    <t>Pequeños productores apoyados</t>
  </si>
  <si>
    <t>Unidades productivas beneficiadas</t>
  </si>
  <si>
    <t>3.1.2  Conocimiento integral del riesgo de desastres para una Boyacá grande</t>
  </si>
  <si>
    <t>Generar acciones que permitan la producción de información técnica necesaria para abordar el proceso de conocimiento del riesgo de desastres en el Departamento de Boyacá.</t>
  </si>
  <si>
    <t>Gestión del riesgo de desastres y emergencias</t>
  </si>
  <si>
    <t>Instancias territoriales asistidas</t>
  </si>
  <si>
    <t>UAEGRD, Gobernación de Boyacá. Plan de Desarrollo 2020 – 2023 /2023</t>
  </si>
  <si>
    <t>Unidad Adminsitrativa Especial de Gestión de Riesgos y Desastres</t>
  </si>
  <si>
    <t>Número de Documentos</t>
  </si>
  <si>
    <t>UAEGRD, Gobernación de Boyacá/2023</t>
  </si>
  <si>
    <t>Sistemas de Alerta Temprana implementados</t>
  </si>
  <si>
    <t>3.1.3  Formalización del pequeño minero boyacense para una minería climáticamente responsable</t>
  </si>
  <si>
    <t xml:space="preserve">Promover la formalización a pequeños mineros y de subsistencia que no se encuentran regularizados, fortalecer a los que se encuentran en dicho proceso y acciones de reconversión productiva a los que no pueden acceder a la legalización. </t>
  </si>
  <si>
    <t>Espacios de diálogo generados</t>
  </si>
  <si>
    <t>Secretaría de Minas y Energía /2023</t>
  </si>
  <si>
    <t>Número de unidades productivas mineras</t>
  </si>
  <si>
    <t>Unidades productivas mineras beneficiarias de asistencia técnica para regularización</t>
  </si>
  <si>
    <t>Mejorar la calidad de vida de los habitantes que se encuentran en zonas apartadas y difícil acceso del departamento aumentando el nivel de cobertura de redes eléctricas convencionales y no convencionales, promoviendo a la vez la implementación de sistemas energéticos no convencionales en las zonas más apartadas.</t>
  </si>
  <si>
    <t>Consolidación productiva del sector de energía eléctrica</t>
  </si>
  <si>
    <t>Metros de redes de alumbrado público</t>
  </si>
  <si>
    <t>Redes de alumbrado público ampliadas</t>
  </si>
  <si>
    <t>Redes de alumbrado público construidas</t>
  </si>
  <si>
    <t>Redes de alumbrado público mejoradas</t>
  </si>
  <si>
    <t>Kilómetros de redes del sistema de distribución local</t>
  </si>
  <si>
    <t>Redes del sistema de distribución local ampliada</t>
  </si>
  <si>
    <t>Redes del sistema de distribución local construida</t>
  </si>
  <si>
    <t>Kilómetros de redes del sistema de transmisión regional</t>
  </si>
  <si>
    <t>Redes del sistema de transmisión regional ampliada</t>
  </si>
  <si>
    <t>Redes del sistema de transmisión regional construida</t>
  </si>
  <si>
    <t>Número de viviendas</t>
  </si>
  <si>
    <t>Viviendas conectadas a la red del sistema de distribución local de energía eléctrica</t>
  </si>
  <si>
    <t>Unidades de generación fotovoltáica de energía eléctrica con mantenimiento</t>
  </si>
  <si>
    <t>Unidades de generación fotovoltaica de energía eléctrica instaladas</t>
  </si>
  <si>
    <t>Recursos recibidos por cooperación</t>
  </si>
  <si>
    <t>Número de Estudios de pre inversión realizados</t>
  </si>
  <si>
    <t>Estudios de pre inversión realizados</t>
  </si>
  <si>
    <t>Coordinar acciones y estrategias de preparación de respuesta a emergencias y manejo de desastres, dirigidas a complementar la acción municipal en términos de concurrencia y subsidiariedad.</t>
  </si>
  <si>
    <t>Personas afectadas por situaciones de emergencia, desastre o declaratorias de calamidad pública apoyadas</t>
  </si>
  <si>
    <t>UAEGRD, Gobernación de Boyacá/2020 - 2023</t>
  </si>
  <si>
    <t>Centros logísticos para la gestión del riesgo de desastres construidos</t>
  </si>
  <si>
    <t>3.1.6  Reducción del riesgo de desastres para una Boyacá Grande</t>
  </si>
  <si>
    <t>Reducir el riesgo en los territorios a través de la implementación de intervenciones correctivas y prospectivas buscando disminuir el impacto probable de las amenazas.</t>
  </si>
  <si>
    <t>Número de organismos</t>
  </si>
  <si>
    <t>Organismos de atención de emergencias fortalecidos</t>
  </si>
  <si>
    <t>Obras de infraestructura para la reducción del riesgo de desastres realizadas</t>
  </si>
  <si>
    <t>3.2 Conservación y protección de la riqueza natural de la Boyacá Grande</t>
  </si>
  <si>
    <t xml:space="preserve">Implementar estrategias para la recuperación, protección y conservación de ecosistemas de importancia ecológica del departamento. </t>
  </si>
  <si>
    <t>Conservación de la biodiversidad y sus servicios ecosistémicos</t>
  </si>
  <si>
    <t>Hectáreas de áreas</t>
  </si>
  <si>
    <t>Áreas de ecosistemas protegidas</t>
  </si>
  <si>
    <t xml:space="preserve">Informe de análisis y gestión de resultados del plan de desarrollo tercer trimestre, año 2023 y cuatrienio. Pacto social por Boyacá: Tierra que sigue avanzando  </t>
  </si>
  <si>
    <t>Secretaría de Ambiente y Desarrollo Sostenible</t>
  </si>
  <si>
    <t>Áreas con esquemas de Pago por Servicios Ambientales implementados</t>
  </si>
  <si>
    <t>Fortalecimiento del desempeño ambiental de los sectores productivos</t>
  </si>
  <si>
    <t>Documentos de planeación realizados (Política pública ambiental)</t>
  </si>
  <si>
    <t>Número de negocios verdes</t>
  </si>
  <si>
    <t>Negocios verdes consolidados</t>
  </si>
  <si>
    <t>Educación ambiental</t>
  </si>
  <si>
    <t>Número de Estrategias</t>
  </si>
  <si>
    <t>Gestión de la información y el conocimiento ambiental</t>
  </si>
  <si>
    <t>Número de jardines botánicos</t>
  </si>
  <si>
    <t>Jardines botánicos mejorados y dotados</t>
  </si>
  <si>
    <t>Gestión integral de mares, costas y recursos acuáticos</t>
  </si>
  <si>
    <t>Número de instrumentos de planeación</t>
  </si>
  <si>
    <t>Instrumentos de planeación para el control de especies invasoras y exóticas realizados</t>
  </si>
  <si>
    <t>Secretaría de ambiente y desarrollo sostenible</t>
  </si>
  <si>
    <t>Número de programas de recolección de residuos</t>
  </si>
  <si>
    <t>Estrategias educativo ambientales y de participación implementadas (plásticos de un solo uso)</t>
  </si>
  <si>
    <t>Proyecto de acueducto, alcantarillado y aseo apoyados financieramente (residuos sólidos)</t>
  </si>
  <si>
    <t>Desarrollar acciones orientadas a la mitigación y adaptación al cambio climático en el departamento de Boyacá, con el fin de generar una población resiliente con la naturaleza.</t>
  </si>
  <si>
    <t>Gestión del cambio climático para un desarrollo bajo en carbono y resiliente al clima</t>
  </si>
  <si>
    <t>Campañas de información en gestión de cambio climático realizadas</t>
  </si>
  <si>
    <t>Número de pilotos</t>
  </si>
  <si>
    <t>Pilotos con acciones de mitigación y adaptación al cambio climático desarrollados</t>
  </si>
  <si>
    <t>Número de plántulas</t>
  </si>
  <si>
    <t>Plántulas producidas</t>
  </si>
  <si>
    <t>Hectáreas de plantaciones</t>
  </si>
  <si>
    <t>Plantaciones forestales realizadas</t>
  </si>
  <si>
    <t>Estrategias implementadas (bicikids escuelas rurales)</t>
  </si>
  <si>
    <t>Implementar programas, estrategias y proyectos a través de la educación ambiental para fortalecer y promover la participación activa en la conservación y protección del medio ambiente en el departamento de Boyacá.</t>
  </si>
  <si>
    <t>Estrategias educativo ambientales y de participación implementadas</t>
  </si>
  <si>
    <t>Campañas de educación ambiental y participación implementadas</t>
  </si>
  <si>
    <t xml:space="preserve">Fomentar la vida y trato digno de los animales a través de la política pública de Protección y Bienestar Animal en el departamento de Boyacá </t>
  </si>
  <si>
    <t>Campañas de educación ambiental y participación implementadas (bienestar animal)</t>
  </si>
  <si>
    <t>Informe de análisis y gestión de resultados del plan de desarrollo tercer trimestre, año 2023 y cuatrienio. Pacto social por Boyacá: Tierra que sigue avanzando</t>
  </si>
  <si>
    <t>Numero de animales</t>
  </si>
  <si>
    <t>Animales atendidos (Esterilizaciones)</t>
  </si>
  <si>
    <t>Secretaria de ambiente (2023)</t>
  </si>
  <si>
    <t>4.1 Boyacá Grande: territorio saludable</t>
  </si>
  <si>
    <t xml:space="preserve">4.1.1  Servicio de gas natural domiciliario asequible para una Boyacá más Grande </t>
  </si>
  <si>
    <t>Aumentar el nivel de cobertura de servicio público de gas combustible por red, promoviendo la sustitución de recursos energéticos especialmente quienes cocinan con leña.</t>
  </si>
  <si>
    <t>Acceso al servicio público domiciliario de gas combustible</t>
  </si>
  <si>
    <t>Gestión y estructuración de proyectos de gas</t>
  </si>
  <si>
    <t>Viviendas con red interna de gas combustible instalada</t>
  </si>
  <si>
    <t>4.1.2. Boyacá grande comprometida con los entornos saludables</t>
  </si>
  <si>
    <t>Liderar acciones y gestionar a nivel sectorial, intersectorial y transectorial, intervenciones que impacten positivamente sobre los determinantes sociales de la salud mediante la gestión de políticas públicas participativas.</t>
  </si>
  <si>
    <t>Salud Pública</t>
  </si>
  <si>
    <t>Campañas de gestión del riesgo para abordar condiciones crónicas prevalentes implementadas</t>
  </si>
  <si>
    <t>2023. Informe de gestión. Plan de desarrollo</t>
  </si>
  <si>
    <t>Secretaría de Salud</t>
  </si>
  <si>
    <t>Campañas de gestión del riesgo para abordar situaciones prevalentes de origen laboral implementadas</t>
  </si>
  <si>
    <t>4.1.3  Derecho humano a la alimentación, engrandece a Boyacá</t>
  </si>
  <si>
    <t>Desarrollar de forma articulada e integral, acciones transectoriales e intersectoriales que contribuyan al mejoramiento de las condiciones productivas, alimentarias y nutricionales de la población, con la activa participación de la sociedad civil organizada, avanzando hacia la garantía del derecho humano a la alimentación.</t>
  </si>
  <si>
    <t>Salud pública</t>
  </si>
  <si>
    <t>Campañas de gestión del riesgo para temas de consumo, aprovechamiento biológico, calidad e inocuidad de los alimentos implementadas</t>
  </si>
  <si>
    <t>4.1.4  Boyacá grande, con atención integral en salud basada en la “atención primaria en salud centrada en la familia y la comunidad”</t>
  </si>
  <si>
    <t>Consolidar una Boyacá saludable que posee una organización gerencial y estratégica más funcional y resolutiva en el ejercicio de su rectoría, con alta capacidad de liderazgo y convocatoria sectorial e intersectorial.</t>
  </si>
  <si>
    <t>Campañas de gestión del riesgo en temas de salud sexual y reproductiva implementadas</t>
  </si>
  <si>
    <t>2023. Informe de gestión Plan de desarrollo</t>
  </si>
  <si>
    <t>Estrategias de promoción de la salud implementadas (Mortalidad materna)</t>
  </si>
  <si>
    <t>Inspección, vigilancia y control</t>
  </si>
  <si>
    <t>Número de visitas</t>
  </si>
  <si>
    <t>Visitas Realizadas</t>
  </si>
  <si>
    <t>Informes de evento generados en la vigencia</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</si>
  <si>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(municipios)</t>
  </si>
  <si>
    <t>Aseguramiento y prestación integral de servicios de salud</t>
  </si>
  <si>
    <t>Número de hospitales</t>
  </si>
  <si>
    <t>Hospitales de primer nivel de atención adecuados</t>
  </si>
  <si>
    <t>Hospitales de primer nivel de atención dotados</t>
  </si>
  <si>
    <t>Hospitales de primer nivel de atención dotados (telemedicina)</t>
  </si>
  <si>
    <t>Hospitales de segundo nivel de atención adecuados</t>
  </si>
  <si>
    <t>Hospitales de segundo nivel de atención dotados</t>
  </si>
  <si>
    <t>Hospitales de segundo nivel de atención dotados (telemedicina)</t>
  </si>
  <si>
    <t>Número de Hospitales</t>
  </si>
  <si>
    <t>Hospitales de tercer nivel de atención adecuados</t>
  </si>
  <si>
    <t>Hospitales de tercer nivel de atención dotados</t>
  </si>
  <si>
    <t>Entidades de la red pública en salud apoyadas en la adquisición de ambulancias</t>
  </si>
  <si>
    <t>Número de unidades móviles</t>
  </si>
  <si>
    <t>Unidades móviles para la atención médica adquiridas y dotadas</t>
  </si>
  <si>
    <t>Número de Instituciones</t>
  </si>
  <si>
    <t>Instituciones financiadas para la atención en salud a la población</t>
  </si>
  <si>
    <t>Instituciones Prestadoras de Servicios de Salud asistidas técnicamente</t>
  </si>
  <si>
    <t>Número Personas afiliadas</t>
  </si>
  <si>
    <t>Personas afiliadas al régimen subsidiado</t>
  </si>
  <si>
    <t>Hospitales de segundo nivel de atención construidos (Sede CRIB)</t>
  </si>
  <si>
    <t>Documentos de planeación con seguimiento realizados</t>
  </si>
  <si>
    <t>Campañas de gestión del riesgo en temas de consumo de sustancias psicoactivas implementadas</t>
  </si>
  <si>
    <t>Campañas de gestión del riesgo en temas de trastornos mentales implementadas</t>
  </si>
  <si>
    <t>Campañas de gestión del riesgo para enfermedades emergentes, reemergentes y desatendidas implementada</t>
  </si>
  <si>
    <t>Salud y Bienestar</t>
  </si>
  <si>
    <t>Número de Campañas</t>
  </si>
  <si>
    <t>Campañas de gestión del riesgo para enfermedades inmunoprevenibles implementadas</t>
  </si>
  <si>
    <t>Personas con servicio de certificación de discapacidad</t>
  </si>
  <si>
    <t>Personas víctimas del conflicto armado atendidas con atención psicosocial</t>
  </si>
  <si>
    <t>Número de Personas atendidas</t>
  </si>
  <si>
    <t>Personas atendidas en centros reguladores de urgencias, emergencias y desastres</t>
  </si>
  <si>
    <t>Número de laboratorios</t>
  </si>
  <si>
    <t>Laboratorios de salud pública dotado</t>
  </si>
  <si>
    <t>Estrategias de promoción de la participación social en salud implementadas</t>
  </si>
  <si>
    <t>Estrategias de promoción de la salud implementadas</t>
  </si>
  <si>
    <t>4.2 Boyacá Grande: Tierra de paz</t>
  </si>
  <si>
    <t>4.2.1  Boyacá grande a través del deporte formativo</t>
  </si>
  <si>
    <t>Incrementar la participación de niñas, niños y jóvenes en actividades deportivas y académicas para contribuir con el desarrollo integral y mejoramiento de la Calidad de vida sana de los boyacenses durante el presente cuatrienio.</t>
  </si>
  <si>
    <t>Fomento a la recreación, la actividad física y el deporte</t>
  </si>
  <si>
    <t>Número de niños, niñas, adolescentes y jóvenes</t>
  </si>
  <si>
    <t>Niños, niñas, adolescentes y jóvenes inscritos en Escuelas Deportivas</t>
  </si>
  <si>
    <t>PDD-INDEPORTES 2023</t>
  </si>
  <si>
    <t>Personas que acceden a servicios deportivos, recreativos y de actividad física</t>
  </si>
  <si>
    <t>30000*</t>
  </si>
  <si>
    <t>Municipios vinculados al programa Supérate-Intercolegiados</t>
  </si>
  <si>
    <t>Formación y preparación de deportistas</t>
  </si>
  <si>
    <t>4.2.2  Boyacá Grande como el territorio más seguro de Colombia</t>
  </si>
  <si>
    <t>Implementar y adoptar estrategias para la prevención y atención en la comisión de conductas punibles, así como en los comportamientos contrarios a la convivencia, que busquen mitigar y prevenir el daño en las comunidades urbanas y rurales del departamento de Boyacá.</t>
  </si>
  <si>
    <t>Planes Integrales de Seguridad y Convivencia - PISCC con enfoque de género elaborados</t>
  </si>
  <si>
    <t>Iniciativas para la promoción de la convivencia implementadas</t>
  </si>
  <si>
    <t>Número de proyectos de seguridad ciudadana.</t>
  </si>
  <si>
    <t>Proyectos de convivencia y seguridad ciudadana apoyados financieramente</t>
  </si>
  <si>
    <t>Informe de empalme, Gobernación de Boyacá/ 2023</t>
  </si>
  <si>
    <t>Promoción al acceso a la justicia</t>
  </si>
  <si>
    <t>Casas de justicia dotadas</t>
  </si>
  <si>
    <t>4.2.3  Dignificación y Reconocimiento de la Población Víctima y Vulnerable en la Boyacá Grande</t>
  </si>
  <si>
    <t>Fortalecer las garantías de la población víctima y vulnerable mediante la implementación de los diferentes objetivos establecidos en la política pública para víctimas, con el fin de asegurar y restablecer sus derechos vulnerados.</t>
  </si>
  <si>
    <t>Informe de empalme, Gobernación de Boyacá 2023</t>
  </si>
  <si>
    <t>Fortalecimiento de la gestión y dirección del sector Inclusión Social y Reconciliación</t>
  </si>
  <si>
    <t>Personas victimas con ayuda humanitaria</t>
  </si>
  <si>
    <t>Resoluciones de Pago 2023 No. 063</t>
  </si>
  <si>
    <t>Eventos de participación realizados</t>
  </si>
  <si>
    <t>Planes de acción articulados</t>
  </si>
  <si>
    <t>Informe de empalme -plan de desarrollo/ Gobernación de Boyacá 2023</t>
  </si>
  <si>
    <t>4.3 Boyacá Grande: territorio ordenado e integrado</t>
  </si>
  <si>
    <t>4.3.1  Agua para todos, agua para la vida por una Boyacá Grande</t>
  </si>
  <si>
    <t>Ampliar el porcentaje de cobertura de los sistemas de acueductos en el sector rural y urbano del departamento de Boyacá.</t>
  </si>
  <si>
    <t>Acueductos construidos (rurales)</t>
  </si>
  <si>
    <t>Empresa Departamental de Servicios Públicos de Boyacá -2024</t>
  </si>
  <si>
    <t>Acueductos optimizados (rurales-urbanos)</t>
  </si>
  <si>
    <t>Empresa Departamental de Servicios Públicos de Boyacá --2024</t>
  </si>
  <si>
    <t>Número de estudios y diseños</t>
  </si>
  <si>
    <t>Estudios o diseños realizados (rurales-urbanos)</t>
  </si>
  <si>
    <t>4.3.2  Territorial Por La Boyacá Grande En Escenarios Deportivos Para La Vida</t>
  </si>
  <si>
    <t>Garantizar a la ciudadanía escenarios adecuados y más seguros, mediante la formulación y ejecución de proyectos para el mejoramiento, mantenimiento, adecuación, ampliación, construcción y cofinanciación de escenarios deportivos y recreativos.</t>
  </si>
  <si>
    <t>Número de infraestructuras deportivas</t>
  </si>
  <si>
    <t>Infraestructura deportiva mantenida</t>
  </si>
  <si>
    <t>PDD INDEPORTES 2023</t>
  </si>
  <si>
    <t>Número de canchas</t>
  </si>
  <si>
    <t>Canchas multifuncionales construidas</t>
  </si>
  <si>
    <t>PDD INFRAESTRUCTURA 2023</t>
  </si>
  <si>
    <t>Canchas multifuncionales adecuadas</t>
  </si>
  <si>
    <t>Número de centros de alto rendimiento</t>
  </si>
  <si>
    <t>Centro de alto rendimiento construido</t>
  </si>
  <si>
    <t>Número de estadios</t>
  </si>
  <si>
    <t>Estadios construidos</t>
  </si>
  <si>
    <t>Número de pistas</t>
  </si>
  <si>
    <t>Pistas mejoradas</t>
  </si>
  <si>
    <t>Número de piscinas</t>
  </si>
  <si>
    <t>Piscinas mejoradas</t>
  </si>
  <si>
    <t>Número de coliseos</t>
  </si>
  <si>
    <t>Coliseos mantenidos</t>
  </si>
  <si>
    <t>Número de polideportivos</t>
  </si>
  <si>
    <t>Polideportivos mejorados</t>
  </si>
  <si>
    <t>4.3.3  Gobernanza del agua</t>
  </si>
  <si>
    <t>Fortalecer la gestión comunitaria en la prestación de los servicios públicos rurales para garantizar la accesibilidad, disponibilidad de agua y saneamiento básico en el departamento de Boyacá.</t>
  </si>
  <si>
    <t>Proyectos para el mejoramiento de la calidad del recurso hídrico formulados</t>
  </si>
  <si>
    <t>Proyectos para el mejoramiento de la calidad del recurso hídrico formulados (POMCA’S)</t>
  </si>
  <si>
    <t>Héctareas de área</t>
  </si>
  <si>
    <t>Secretaria de ambiente y desarrollo sostenible</t>
  </si>
  <si>
    <t>Documentos de lineamientos técnicos para la evaluación de los recursos naturales elaborados)</t>
  </si>
  <si>
    <t>Número de acueductos</t>
  </si>
  <si>
    <t>Viviendas beneficiadas con la construcción de Unidades sanitarias</t>
  </si>
  <si>
    <t>4.3.4  Manejo sostenible de los residuos sólidos para una Boyacá Grande.</t>
  </si>
  <si>
    <t>Desarrollar estrategias para el aprovechamiento, la adecuada recolección y disposición de   residuos sólidos.</t>
  </si>
  <si>
    <t>Empresa Departamental de Servicios Públicos de Boyacá SA. ESP. 2022</t>
  </si>
  <si>
    <t>4.3.5  Más escenarios para la vida, el deporte, la cultura, la seguridad y convivencia Ciudadana</t>
  </si>
  <si>
    <t>Lograr zonas de convivencia por medio de equipamientos urbanos y comunitarios que contribuyan a generar seguridad económica y social, como una herramienta esencial para la transformación y el mejoramiento de los patrones espaciales de alta diferenciación social y segregación urbana (centros culturales, bibliotecas, escenarios deportivos, plazas de mercado, Centros de acopio, Hogares agrupados, centros vida, de Seguridad y Convivencia.</t>
  </si>
  <si>
    <t>Número de edificaciones</t>
  </si>
  <si>
    <t>Edificaciones de atención integral a la primera infancia construidas</t>
  </si>
  <si>
    <t>Matriz empalme secretaría de infraestructura (vivienda) 2023</t>
  </si>
  <si>
    <t>Edificaciones de atención a la adolescencia y juventud construidas</t>
  </si>
  <si>
    <t>Número de centros</t>
  </si>
  <si>
    <t>Centros comunitarios construidos</t>
  </si>
  <si>
    <t>Centros comunitarios adecuados</t>
  </si>
  <si>
    <t>Atención integral de población en situación permanente de desprotección social y/o familiar</t>
  </si>
  <si>
    <t>Centros de protección social para el adulto mayor construidos</t>
  </si>
  <si>
    <t>Centros de atención integral para personas con discapacidad construidos</t>
  </si>
  <si>
    <t>Número de infraestructura</t>
  </si>
  <si>
    <t>Centros o laboratorios construidos y dotados</t>
  </si>
  <si>
    <t>Estudios y diseños de infraestructura cultural</t>
  </si>
  <si>
    <t>Programa de Gobierno</t>
  </si>
  <si>
    <t>Número de monumentos</t>
  </si>
  <si>
    <t>Monumento histórico construido</t>
  </si>
  <si>
    <t>Número de bibliotecas</t>
  </si>
  <si>
    <t>Bibliotecas construidas</t>
  </si>
  <si>
    <t>Bibliotecas modificadas</t>
  </si>
  <si>
    <t>Centros culturales modificados</t>
  </si>
  <si>
    <t>Restauraciones realizadas</t>
  </si>
  <si>
    <t>Centros de acopio modificados</t>
  </si>
  <si>
    <t>Secretaria de agricultura</t>
  </si>
  <si>
    <t>Centros logísticos agropecuarios modificados</t>
  </si>
  <si>
    <t>Centros logísticos agropecuarios construidos</t>
  </si>
  <si>
    <t>Proyectos estratégicos 2024-2027</t>
  </si>
  <si>
    <t>Plantas de beneficio animal ampliadas</t>
  </si>
  <si>
    <t>Secretaría de agricultura departamental</t>
  </si>
  <si>
    <t>Plantas de beneficio animal construidas</t>
  </si>
  <si>
    <t>Plazas de mercado construidas</t>
  </si>
  <si>
    <t>Plazas de mercado modificadas</t>
  </si>
  <si>
    <t>Número de infraestructura para almacenamiento</t>
  </si>
  <si>
    <t>Infraestructura para el almacenamiento construida</t>
  </si>
  <si>
    <t>Estudios realizados</t>
  </si>
  <si>
    <t>Proyectos de infraestructura turística apoyados</t>
  </si>
  <si>
    <t>Número de terminales de transporte</t>
  </si>
  <si>
    <t>Terminales de transporte construidas</t>
  </si>
  <si>
    <t>Infraestructura</t>
  </si>
  <si>
    <t>4.3.6  Más espacio público para una mejor calidad de vida</t>
  </si>
  <si>
    <t>Garantizar a la población un mayor porcentaje de espacio público, generando proyectos fortaleciendo el tejido social, mejorando la calidad de vida de la comunidad y articulado a la creación de la política de paisajes boyacenses.</t>
  </si>
  <si>
    <t>Ordenamiento territorial y desarrollo urbano</t>
  </si>
  <si>
    <t>Metros cuadrados de espacio público</t>
  </si>
  <si>
    <t>Espacio público construido</t>
  </si>
  <si>
    <t>Espacio público adecuado</t>
  </si>
  <si>
    <t>Parques construidos</t>
  </si>
  <si>
    <t>Metros cuadrados de espacio publico</t>
  </si>
  <si>
    <t>Parques mejorados</t>
  </si>
  <si>
    <t>Plazas construidas</t>
  </si>
  <si>
    <t>Plazas mejoradas</t>
  </si>
  <si>
    <t>Estudios o diseños realizados</t>
  </si>
  <si>
    <t>4.3.7  Más vivienda digna y condiciones básicas de habitabilidad.</t>
  </si>
  <si>
    <t>Generar oportunidades de adquisición de vivienda para los sectores más vulnerables de la población, por medio de incentivos para la construcción, adquisición y acceso a diferentes subsidios, disminuyendo el déficit cuantitativo y cualitativo de vivienda, impactando positivamente la calidad de vida.</t>
  </si>
  <si>
    <t>Acceso a soluciones de vivienda</t>
  </si>
  <si>
    <t>Vivienda de Interés Prioritario construidas</t>
  </si>
  <si>
    <t>Vivienda de Interés Social construidas</t>
  </si>
  <si>
    <t>Vivienda de Interés Social construidas en sitio propio</t>
  </si>
  <si>
    <t>Vivienda de Interés Social mejoradas</t>
  </si>
  <si>
    <t>Vivienda de Interés Prioritario construidas en sitio propio</t>
  </si>
  <si>
    <t>4.3.8  Mejor calidad de agua para todos por una Boyacá Grande</t>
  </si>
  <si>
    <t>Reducir el índice de riesgo de calidad del agua para el consumo humano en el Departamento de Boyacá.</t>
  </si>
  <si>
    <t>Soluciones alternativas para el acceso al agua para consumo humano implementadas</t>
  </si>
  <si>
    <t>Empresa Departamental de Servicios Públicos de Boyacá 2024</t>
  </si>
  <si>
    <t>Acueductos optimizados (Plantas de tratamiento de agua potable optimizadas urbano-rural)</t>
  </si>
  <si>
    <t>Acueductos construidos (Plantas de tratamiento de agua potable construidas urbano-rural)</t>
  </si>
  <si>
    <t>Estudios o diseños realizados (PTAP urbano-rural)</t>
  </si>
  <si>
    <t>Empresa Departamental de Servicios Públicos de Boyacá SA. ESP. 2024</t>
  </si>
  <si>
    <t xml:space="preserve">4.3.9 Boyacá grande con saneamiento ambiental y calidad hídrica. </t>
  </si>
  <si>
    <t>Aumentar la cobertura de alcantarillado en el departamento, a fin de disminuir la contaminación de las fuentes hídricas por la inadecuada disposición de las aguas residuales.</t>
  </si>
  <si>
    <t>Número de alcantarillados</t>
  </si>
  <si>
    <t>Alcantarillados construidos</t>
  </si>
  <si>
    <t>Alcantarillados optimizados</t>
  </si>
  <si>
    <t>Estudios o diseños realizados (alcantarillados y PTAR)</t>
  </si>
  <si>
    <t>4.3.10 Mitigación del riesgo en la prestación de los servicios de acueducto, alcantarillado y aseo.</t>
  </si>
  <si>
    <t>Apoyar a los prestadores de los servicios públicos de Acueducto, Alcantarillado y Aseo en la identificación del riesgo que impide la continuidad de los servicios, a fin de mejorar la capacidad de formulación y/o actualización de los planes de emergencia y contingencia.</t>
  </si>
  <si>
    <t xml:space="preserve">4.3.11 Fortalecimiento y capacitación a los prestadores de servicios públicos. </t>
  </si>
  <si>
    <t>Asegurar la eficiente prestación de los servicios públicos domiciliarios del departamento de Boyacá.</t>
  </si>
  <si>
    <t>Asistencias técnicas realizadas (técnico operativo)</t>
  </si>
  <si>
    <t>Asistencias técnicas realizadas (capacitaciones)</t>
  </si>
  <si>
    <t>Asistencias técnicas realizadas (cargue SUI)</t>
  </si>
  <si>
    <t>Asistencias técnicas realizadas (para la implementación de la fase I del Plan de Aseguramiento)</t>
  </si>
  <si>
    <t xml:space="preserve">4.3.12  Integración regional y ordenamiento territorial para la Boyacá grande   </t>
  </si>
  <si>
    <t>Fortalecer al departamento, a sus municipios y a la región centro oriente para la integración y gestión enfocadas en la generación de información y conocimiento ajustado a la realidad del territorio.</t>
  </si>
  <si>
    <t>base de datos dirección de sistemas de información territorial de Boyacá 2024</t>
  </si>
  <si>
    <t>Documentos de estudios técnicos realizados</t>
  </si>
  <si>
    <t>4.4 Boyacá Grande Tierra De Campeones</t>
  </si>
  <si>
    <t>Garantizar el apoyo técnico, administrativo y financiero, a las ligas deportivas legalmente constituidas del departamento de Boyacá con el fin de contribuir en sus procesos de masificación, formación, preparación y participación en eventos deportivos a nivel nacional e internacional.</t>
  </si>
  <si>
    <t>FORMACION Y PREPARACION DE DEPORTISTAS</t>
  </si>
  <si>
    <t>Número de atletas</t>
  </si>
  <si>
    <t>Atletas preparados CLASIFICADOS JNP (Deportistas Clasificados a Juegos Nacionales y Juegos Paranacionales)</t>
  </si>
  <si>
    <t>FORMACIÓN Y PREPARACIÓN DE DEPORTISTAS</t>
  </si>
  <si>
    <t>ATLETAS PREPARADOS RESERVA DEPORTIVA (Ligas departamentales)</t>
  </si>
  <si>
    <t>Estímulos entregados (Medallistas Juegos Nacionales y Paranacionales)</t>
  </si>
  <si>
    <t>246*</t>
  </si>
  <si>
    <t>Atletas beneficiados con estímulos financieros ((Ciclistas Boyacá Raza de Campeones y Equipo continental)</t>
  </si>
  <si>
    <t>Personas con talento deportivo identificadas</t>
  </si>
  <si>
    <t>PDD-INDEPORTES</t>
  </si>
  <si>
    <t>60 *</t>
  </si>
  <si>
    <t>Número de deportistas</t>
  </si>
  <si>
    <t>Número de organismos deportivos</t>
  </si>
  <si>
    <t>Organismos deportivos asistidos</t>
  </si>
  <si>
    <t>Fortalecer los procesos y procedimientos de INDEPORTES Boyacá, en el marco del modelo integrado de planeación y gestión, en pro de mejorar los servicios prestados a la población boyacense.</t>
  </si>
  <si>
    <t>Ultimo resultado del índice de desempeño institucional 2023</t>
  </si>
  <si>
    <t>1*</t>
  </si>
  <si>
    <t>Mejorar la calidad de vida y el bienestar de la población a través de la práctica regular de actividad física, recreación y deporte social que garanticen el sano esparcimiento y generen hábitos y estilos de vida saludables.</t>
  </si>
  <si>
    <t>5.1 Boyacá Grande: tierra del cuidado</t>
  </si>
  <si>
    <t>Desarrollar estrategias e iniciativas que prevengan la comisión de delitos y promuevan los derechos de niños, niñas y adolescentes en ámbitos comunitarios, familiares e institucionales del departamento.</t>
  </si>
  <si>
    <t>Casa del Meno/r 2023</t>
  </si>
  <si>
    <t>500 </t>
  </si>
  <si>
    <t>Casa del Menor</t>
  </si>
  <si>
    <t>Personas atendidas por los programas de recreación, deporte social comunitario, actividad física y aprovechamiento del tiempo libre (Población Vulnerable)</t>
  </si>
  <si>
    <t>Casa del Menor/2023</t>
  </si>
  <si>
    <t>Personas capacitadas (Factores de riesgo psicosocial)</t>
  </si>
  <si>
    <t>Documentos metodológicos realizados</t>
  </si>
  <si>
    <t>Número de acciones</t>
  </si>
  <si>
    <t>Acciones ejecutadas con las comunidades</t>
  </si>
  <si>
    <t>Campañas de promoción realizadas</t>
  </si>
  <si>
    <t>Instituciones y entidades asistidas técnicamente</t>
  </si>
  <si>
    <t>Secretaría de Intregración Social</t>
  </si>
  <si>
    <t>Centros comunitarios dotados</t>
  </si>
  <si>
    <t>Beneficiarios potenciales para quienes se gestiona la oferta social</t>
  </si>
  <si>
    <t>Secretaría de Integración Social. Informe de empalme/2023</t>
  </si>
  <si>
    <t>5.2 Boyacá no deja a nadie atrás</t>
  </si>
  <si>
    <t>5.2.1  Tierra que reconoce el interés superior y prevalente de las niñas, niños y adolescentes</t>
  </si>
  <si>
    <t>Implementar acciones estratégicas para promover el reconocimiento, garantía y protección de derechos de los niños, niñas y adolescentes boyacenses.</t>
  </si>
  <si>
    <t>Número Niños, niñas, adolescentes y jóvenes</t>
  </si>
  <si>
    <t>9..000</t>
  </si>
  <si>
    <t>Secretaría de Integración Social /2023</t>
  </si>
  <si>
    <t>5.2.3  Entornos seguros para la atención de la primera infancia</t>
  </si>
  <si>
    <t>Fortalecer entornos amigables para la atención integral de la primera infancia del departamento.</t>
  </si>
  <si>
    <t>Edificaciones de atención a la primera infancia dotadas</t>
  </si>
  <si>
    <t>Plan de Desarrollo Boyacá 2015-2019 y Plan de Desarrollo Boyacá 2020-2023</t>
  </si>
  <si>
    <t>Número de niños y niñas</t>
  </si>
  <si>
    <t>Niños y niñas atendidos en Servicio tradicionales</t>
  </si>
  <si>
    <t>Número de agentes educativos</t>
  </si>
  <si>
    <t>Agentes educativos cualificados</t>
  </si>
  <si>
    <t>Niños y niñas atendidos en Servicio integrales (Ludoteca)</t>
  </si>
  <si>
    <t>Número de usuarios</t>
  </si>
  <si>
    <t>Usuarios del sistema (SUINCB)</t>
  </si>
  <si>
    <t>Número de instituciones y organizaciones</t>
  </si>
  <si>
    <t>Desarrollar estrategias e iniciativas que permitan el fortalecimiento de las habilidades de los adolescentes del sistema de responsabilidad penal.</t>
  </si>
  <si>
    <t>Número de niños, niñas y adolescentes</t>
  </si>
  <si>
    <t>Niños, niñas, adolescentes y jóvenes atendidos en los servicios de restablecimiento en la administración de justicia</t>
  </si>
  <si>
    <t>Centros de Atención Especializada - CAE para el restablecimiento de derechos adecuados</t>
  </si>
  <si>
    <t>Número de familias</t>
  </si>
  <si>
    <t>Familias atendidas</t>
  </si>
  <si>
    <t>5.2.5  Por las Etnias en la Boyacá Grande</t>
  </si>
  <si>
    <t>Fortalecer acciones y esfuerzos institucionales, que permitan la garantía de derechos e igualdad de las comunidades negras, afrocolombianas, raizales, palenqueras e indígenas del departamento de Boyacá a través de la participación, fortalecimiento e inclusión de estas en los diferentes programas, proyectos e inversión de la Gobernación de Boyacá.</t>
  </si>
  <si>
    <t>Secretaría de Integración Social. Informe de empalme/2023Boyacá</t>
  </si>
  <si>
    <t>5.2.6  Mujer es Boyacá</t>
  </si>
  <si>
    <t>Promover la garantía y el ejercicio de derechos y ciudadanía de las mujeres boyacenses a partir de la superación de la discriminación, las inequidades de género y las múltiples violencias que afectan a este grupo poblacional.</t>
  </si>
  <si>
    <t>Documentos de lineamientos técnicos elaborados (Documento de violencias)</t>
  </si>
  <si>
    <t>Instancias territoriales de coordinación institucional asistidas y apoyadas (Consejo Consultivo Departamental de Mujeres)</t>
  </si>
  <si>
    <t>Instancias territoriales de coordinación institucional asistidas y apoyadas (Comisarias, de familia, Colegios, Policía nacional, Ejercito Nacional. Enlaces Municipales)</t>
  </si>
  <si>
    <t>Personas capacitadas (Escuela de liderazgo y formación Política, Capacitación a Mujeres (Mujer rural y campesina))</t>
  </si>
  <si>
    <t>Estrategias de promoción de la garantía de derechos implementadas (Fortalecimiento CCDM, Estrategias prevención violencias, Estrategias de emprendimiento, Tour violeta)</t>
  </si>
  <si>
    <t>5.2.7  Fortalecimiento de la autonomía, el empoderamiento y la inclusión de las personas con Discapacidad, sus familias y cuidadores</t>
  </si>
  <si>
    <t>Crear e implementar proyectos, estrategias, y actividades encaminadas a fortalecer la autonomía, el empoderamiento y el goce efectivo de los derechos de las personas con discapacidad, sus familias y cuidadores.</t>
  </si>
  <si>
    <t>Estrategias de promoción de la garantía de derechos implementadas (Fondisboy, Fortalecimiento a PcD, Valoraciones de Apoyo)</t>
  </si>
  <si>
    <t>Instancias territoriales asistidas técnicamente (Referentes Municipales de Discapacidad y Comités municipales de discapacidad)</t>
  </si>
  <si>
    <t>Numero Entidades organismos y dependencias</t>
  </si>
  <si>
    <t>Entidades organismos y dependencia asistidos técnicamente (Comité Departamental de Discapacidad)</t>
  </si>
  <si>
    <t>5.2.8  Sembramos cuidado y reconocimiento hacia las personas mayores</t>
  </si>
  <si>
    <t>Educar, formar y transformar los entornos hacia una correcta cultura de envejecimiento en la sociedad Boyacense.</t>
  </si>
  <si>
    <t>Número de cuidadores</t>
  </si>
  <si>
    <t>Cuidadores cualificados (En envejecimiento saludable y cuidado integral)</t>
  </si>
  <si>
    <t>Secretaría de Integración Social/2023</t>
  </si>
  <si>
    <t>Acciones ejecutadas con las comunidades (Reconocimiento de saberes, Encuentros de persona mayor, reconocimiento de saberes, veedurías de persona mayor)</t>
  </si>
  <si>
    <t>Adultos mayores atendidos con servicios integrales (Fortalecimiento de centros de atención)</t>
  </si>
  <si>
    <t>Documentos de planeación realizados (Plan decenal de envejecimiento activo y saludable)</t>
  </si>
  <si>
    <t>5.2.9  Tierra que cuida a las familias boyacenses</t>
  </si>
  <si>
    <t>Fortalecer el entorno familiar, promoviendo una cultura del cuidado, protección y buen trato.</t>
  </si>
  <si>
    <t>Instituciones y entidades asistidas técnicamente (en fortalecimiento familiar)</t>
  </si>
  <si>
    <t>Familias atendidas (En fortalecimiento de vínculos relacionales)</t>
  </si>
  <si>
    <t>Número de hogares</t>
  </si>
  <si>
    <t>5.2.10  Fortalecimiento de los procesos culturales incluyentes de los grupos con enfoque diferencial y poblacional en Boyacá Grande</t>
  </si>
  <si>
    <t>Asistir a los municipios para el fortalecimiento de los procesos culturales incluyentes de los grupos con enfoque diferencial y poblacional y las diversas comunidades del departamento de Boyacá.</t>
  </si>
  <si>
    <t>Número usuarios</t>
  </si>
  <si>
    <t>Codigo Interno</t>
  </si>
  <si>
    <t>Dependencia Responsable</t>
  </si>
  <si>
    <t xml:space="preserve">Estrategia De  Desarrollo </t>
  </si>
  <si>
    <t xml:space="preserve">Dimensiones De Desarrollo </t>
  </si>
  <si>
    <t xml:space="preserve">No De Apuesta Para El Desarrollo  Territorial </t>
  </si>
  <si>
    <t xml:space="preserve">Apuesta Para El Desarrollo  Territorial </t>
  </si>
  <si>
    <t xml:space="preserve">Objetivo Apuesta Para El Desarrollo  Territorial </t>
  </si>
  <si>
    <t>Nombre Indicador De Resultado</t>
  </si>
  <si>
    <t>Línea Base</t>
  </si>
  <si>
    <t>Sector</t>
  </si>
  <si>
    <t xml:space="preserve">Descripcion Del Indicador De Producto </t>
  </si>
  <si>
    <t>Trimestre 2024-1</t>
  </si>
  <si>
    <t>Trimestre 2024-2</t>
  </si>
  <si>
    <t>Trimestre 2024-3</t>
  </si>
  <si>
    <t>Trimestre 2024-4</t>
  </si>
  <si>
    <t>Dimensión de Pobreza Multidimensional</t>
  </si>
  <si>
    <t>Variable de Pobreza Multidimensional</t>
  </si>
  <si>
    <t>Orientación</t>
  </si>
  <si>
    <t>Validación de la Programación</t>
  </si>
  <si>
    <t>Dimensión</t>
  </si>
  <si>
    <t>Dimensión_1</t>
  </si>
  <si>
    <t>Dimensión_2</t>
  </si>
  <si>
    <t>Dimensión_3</t>
  </si>
  <si>
    <t>Dimensión_4</t>
  </si>
  <si>
    <t>Dimensión_5</t>
  </si>
  <si>
    <t>Dimensión 1 – Condiciones Educativas Del Hogar</t>
  </si>
  <si>
    <t>Bajo logro educativo - V1</t>
  </si>
  <si>
    <t>Inasistencia Escolar - V1</t>
  </si>
  <si>
    <t>Tasa de dependencia - V1</t>
  </si>
  <si>
    <t>Sin aseguramiento en Salud - V1</t>
  </si>
  <si>
    <t>Sin Acceso a Funtes de Agua mejorada - V1</t>
  </si>
  <si>
    <t>Dimensión 2 - Condiciones De La Niñez Y Juventud</t>
  </si>
  <si>
    <t>Analfabetismo - V2</t>
  </si>
  <si>
    <t>Rezago Escolar -V2</t>
  </si>
  <si>
    <t>Trabajo informal - V2</t>
  </si>
  <si>
    <t>Barreras de acceso a servicios de Salud - V2</t>
  </si>
  <si>
    <t>Inadecuada eliminación de excretas - V2</t>
  </si>
  <si>
    <t>Dimensión 3- Trabajo</t>
  </si>
  <si>
    <t>Barreras a servicios para cuidado de la primera infancia - V3</t>
  </si>
  <si>
    <t>Material inadecuado de pisos -V3</t>
  </si>
  <si>
    <t>Dimensión 4 – Salud</t>
  </si>
  <si>
    <t>Trabajo Infantil - V4</t>
  </si>
  <si>
    <t>Material inadecuado de paredes exteriores - V4</t>
  </si>
  <si>
    <t>Dimensión 5 - Condiciones De La Vivienda Y Acceso A Servicios Públicos Domiciliarios.</t>
  </si>
  <si>
    <t>Hacinamiento crítico - V5</t>
  </si>
  <si>
    <t>Nombres</t>
  </si>
  <si>
    <t>Apellidos</t>
  </si>
  <si>
    <t>Tipo de vinculación</t>
  </si>
  <si>
    <t>Sectorial</t>
  </si>
  <si>
    <t>Correo de la Sectorial</t>
  </si>
  <si>
    <t>Correo Personal</t>
  </si>
  <si>
    <t>Número Telefonico</t>
  </si>
  <si>
    <t>Trimestre 2025-1</t>
  </si>
  <si>
    <t>Trimestre 2025-2</t>
  </si>
  <si>
    <t>Trimestre 2025-3</t>
  </si>
  <si>
    <t>Trimestre 2025-4</t>
  </si>
  <si>
    <t>Trimestre 2026-1</t>
  </si>
  <si>
    <t>Trimestre 2026-2</t>
  </si>
  <si>
    <t>Trimestre 2026-3</t>
  </si>
  <si>
    <t>Trimestre 2026-4</t>
  </si>
  <si>
    <t>Trimestre 2027-1</t>
  </si>
  <si>
    <t>Trimestre 2027-2</t>
  </si>
  <si>
    <t>Trimestre 2027-3</t>
  </si>
  <si>
    <t>Trimestre 2027-4</t>
  </si>
  <si>
    <t>Codigo Interno del Indicador</t>
  </si>
  <si>
    <t>Nombre del Indicador</t>
  </si>
  <si>
    <t>ICLD 2024-1</t>
  </si>
  <si>
    <t>ICDE 2024-1</t>
  </si>
  <si>
    <t>SGP Educación 2024-1</t>
  </si>
  <si>
    <t>SGP Salud 2024-1</t>
  </si>
  <si>
    <t>SGP APSB 2024-1</t>
  </si>
  <si>
    <t>Recursos Propios Entidades Descentralizadas 2024-1</t>
  </si>
  <si>
    <t>Sistema General de Regalías - SGR 2024-1</t>
  </si>
  <si>
    <t>Crédito 2024-1</t>
  </si>
  <si>
    <t>Total 2024-1</t>
  </si>
  <si>
    <t>Gestión 2024-1</t>
  </si>
  <si>
    <t>Cofinanciación 2024-1</t>
  </si>
  <si>
    <t>Otros Recursos 2024-1</t>
  </si>
  <si>
    <t>Total Gestión 2024-1</t>
  </si>
  <si>
    <t>Total Hacienda 2024-1</t>
  </si>
  <si>
    <t>ICLD 2025-1</t>
  </si>
  <si>
    <t>ICDE 2025-1</t>
  </si>
  <si>
    <t>SGP Educación 2025-1</t>
  </si>
  <si>
    <t>SGP Salud 2025-1</t>
  </si>
  <si>
    <t>SGP APSB 2025-1</t>
  </si>
  <si>
    <t>Recursos Propios Entidades Descentralizadas 2025-1</t>
  </si>
  <si>
    <t>Sistema General de Regalías - SGR 2025-1</t>
  </si>
  <si>
    <t>Crédito 2025-1</t>
  </si>
  <si>
    <t>Total 2025-1</t>
  </si>
  <si>
    <t>Gestión 2025-1</t>
  </si>
  <si>
    <t>Cofinanciación 2025-1</t>
  </si>
  <si>
    <t>Otros Recursos 2025-1</t>
  </si>
  <si>
    <t>Total Gestión 2025-1</t>
  </si>
  <si>
    <t>Recursos Propios Entidades Descentralizadas 2024-2</t>
  </si>
  <si>
    <t>Sistema General de Regalías - SGR 2024-2</t>
  </si>
  <si>
    <t>Crédito 2024-2</t>
  </si>
  <si>
    <t>Total 2024-2</t>
  </si>
  <si>
    <t>Gestión 2024-2</t>
  </si>
  <si>
    <t>Cofinanciación 2024-2</t>
  </si>
  <si>
    <t>Otros Recursos 2024-2</t>
  </si>
  <si>
    <t>Total Gestión 2024-2</t>
  </si>
  <si>
    <t>ICLD 2024-2</t>
  </si>
  <si>
    <t>ICDE 2024-2</t>
  </si>
  <si>
    <t>SGP Educación 2024-2</t>
  </si>
  <si>
    <t>SGP Salud 2024-2</t>
  </si>
  <si>
    <t>SGP APSB 2024-2</t>
  </si>
  <si>
    <t>ICLD 2024-3</t>
  </si>
  <si>
    <t>ICDE 2024-3</t>
  </si>
  <si>
    <t>SGP Educación 2024-3</t>
  </si>
  <si>
    <t>SGP Salud 2024-3</t>
  </si>
  <si>
    <t>SGP APSB 2024-3</t>
  </si>
  <si>
    <t>Recursos Propios Entidades Descentralizadas 2024-3</t>
  </si>
  <si>
    <t>Sistema General de Regalías - SGR 2024-3</t>
  </si>
  <si>
    <t>Crédito 2024-3</t>
  </si>
  <si>
    <t>Total 2024-3</t>
  </si>
  <si>
    <t>Gestión 2024-3</t>
  </si>
  <si>
    <t>Cofinanciación 2024-3</t>
  </si>
  <si>
    <t>Otros Recursos 2024-3</t>
  </si>
  <si>
    <t>Total Gestión 2024-3</t>
  </si>
  <si>
    <t>ICLD 2024-4</t>
  </si>
  <si>
    <t>ICDE 2024-4</t>
  </si>
  <si>
    <t>SGP Educación 2024-4</t>
  </si>
  <si>
    <t>SGP Salud 2024-4</t>
  </si>
  <si>
    <t>SGP APSB 2024-4</t>
  </si>
  <si>
    <t>Recursos Propios Entidades Descentralizadas 2024-4</t>
  </si>
  <si>
    <t>Sistema General de Regalías - SGR 2024-4</t>
  </si>
  <si>
    <t>Crédito 2024-4</t>
  </si>
  <si>
    <t>Total 2024-4</t>
  </si>
  <si>
    <t>Gestión 2024-4</t>
  </si>
  <si>
    <t>Cofinanciación 2024-4</t>
  </si>
  <si>
    <t>Otros Recursos 2024-4</t>
  </si>
  <si>
    <t>Total Gestión 2024-4</t>
  </si>
  <si>
    <t>Total Hacienda 2024-4</t>
  </si>
  <si>
    <t>Total Vigencia 2024</t>
  </si>
  <si>
    <t>Total Hacienda 2025-1</t>
  </si>
  <si>
    <t>ICLD 2025-2</t>
  </si>
  <si>
    <t>ICDE 2025-2</t>
  </si>
  <si>
    <t>SGP Educación 2025-2</t>
  </si>
  <si>
    <t>SGP Salud 2025-2</t>
  </si>
  <si>
    <t>SGP APSB 2025-2</t>
  </si>
  <si>
    <t>Recursos Propios Entidades Descentralizadas 2025-2</t>
  </si>
  <si>
    <t>Sistema General de Regalías - SGR 2025-2</t>
  </si>
  <si>
    <t>Crédito 2025-2</t>
  </si>
  <si>
    <t>Total 2025-2</t>
  </si>
  <si>
    <t>Gestión 2025-2</t>
  </si>
  <si>
    <t>Cofinanciación 2025-2</t>
  </si>
  <si>
    <t>Otros Recursos 2025-2</t>
  </si>
  <si>
    <t>Total Gestión 2025-2</t>
  </si>
  <si>
    <t>ICLD 2025-3</t>
  </si>
  <si>
    <t>ICDE 2025-3</t>
  </si>
  <si>
    <t>SGP Educación 2025-3</t>
  </si>
  <si>
    <t>SGP Salud 2025-3</t>
  </si>
  <si>
    <t>SGP APSB 2025-3</t>
  </si>
  <si>
    <t>Recursos Propios Entidades Descentralizadas 2025-3</t>
  </si>
  <si>
    <t>Sistema General de Regalías - SGR 2025-3</t>
  </si>
  <si>
    <t>Crédito 2025-3</t>
  </si>
  <si>
    <t>Total 2025-3</t>
  </si>
  <si>
    <t>Gestión 2025-3</t>
  </si>
  <si>
    <t>Cofinanciación 2025-3</t>
  </si>
  <si>
    <t>Otros Recursos 2025-3</t>
  </si>
  <si>
    <t>Total Gestión 2025-3</t>
  </si>
  <si>
    <t>ICLD 2025-4</t>
  </si>
  <si>
    <t>ICDE 2025-4</t>
  </si>
  <si>
    <t>SGP Educación 2025-4</t>
  </si>
  <si>
    <t>SGP Salud 2025-4</t>
  </si>
  <si>
    <t>SGP APSB 2025-4</t>
  </si>
  <si>
    <t>Recursos Propios Entidades Descentralizadas 2025-4</t>
  </si>
  <si>
    <t>Sistema General de Regalías - SGR 2025-4</t>
  </si>
  <si>
    <t>Crédito 2025-4</t>
  </si>
  <si>
    <t>Total Hacienda 2025-4</t>
  </si>
  <si>
    <t>Gestión 2025-4</t>
  </si>
  <si>
    <t>Cofinanciación 2025-4</t>
  </si>
  <si>
    <t>Otros Recursos 2025-4</t>
  </si>
  <si>
    <t>Total Gestión 2025-4</t>
  </si>
  <si>
    <t>Total Vigencia 2025</t>
  </si>
  <si>
    <t>Total 2025-4</t>
  </si>
  <si>
    <t>ICLD 2026-1</t>
  </si>
  <si>
    <t>ICDE 2026-1</t>
  </si>
  <si>
    <t>SGP Educación 2026-1</t>
  </si>
  <si>
    <t>SGP Salud 2026-1</t>
  </si>
  <si>
    <t>SGP APSB 2026-1</t>
  </si>
  <si>
    <t>Recursos Propios Entidades Descentralizadas 2026-1</t>
  </si>
  <si>
    <t>Sistema General de Regalías - SGR 2026-1</t>
  </si>
  <si>
    <t>Crédito 2026-1</t>
  </si>
  <si>
    <t>Total Hacienda 2026-1</t>
  </si>
  <si>
    <t>Gestión 2026-1</t>
  </si>
  <si>
    <t>Cofinanciación 2026-1</t>
  </si>
  <si>
    <t>Otros Recursos 2026-1</t>
  </si>
  <si>
    <t>Total Gestión 2026-1</t>
  </si>
  <si>
    <t>Total 2026-1</t>
  </si>
  <si>
    <t>ICLD 2026-2</t>
  </si>
  <si>
    <t>ICDE 2026-2</t>
  </si>
  <si>
    <t>SGP Educación 2026-2</t>
  </si>
  <si>
    <t>SGP Salud 2026-2</t>
  </si>
  <si>
    <t>SGP APSB 2026-2</t>
  </si>
  <si>
    <t>Recursos Propios Entidades Descentralizadas 2026-2</t>
  </si>
  <si>
    <t>Sistema General de Regalías - SGR 2026-2</t>
  </si>
  <si>
    <t>Crédito 2026-2</t>
  </si>
  <si>
    <t>Total 2026-2</t>
  </si>
  <si>
    <t>Gestión 2026-2</t>
  </si>
  <si>
    <t>Cofinanciación 2026-2</t>
  </si>
  <si>
    <t>Otros Recursos 2026-2</t>
  </si>
  <si>
    <t>Total Gestión 2026-2</t>
  </si>
  <si>
    <t>ICLD 2026-3</t>
  </si>
  <si>
    <t>ICDE 2026-3</t>
  </si>
  <si>
    <t>SGP Educación 2026-3</t>
  </si>
  <si>
    <t>SGP Salud 2026-3</t>
  </si>
  <si>
    <t>SGP APSB 2026-3</t>
  </si>
  <si>
    <t>Recursos Propios Entidades Descentralizadas 2026-3</t>
  </si>
  <si>
    <t>Sistema General de Regalías - SGR 2026-3</t>
  </si>
  <si>
    <t>Crédito 2026-3</t>
  </si>
  <si>
    <t>Total 2026-3</t>
  </si>
  <si>
    <t>Gestión 2026-3</t>
  </si>
  <si>
    <t>Cofinanciación 2026-3</t>
  </si>
  <si>
    <t>Otros Recursos 2026-3</t>
  </si>
  <si>
    <t>Total Gestión 2026-3</t>
  </si>
  <si>
    <t>ICLD 2026-4</t>
  </si>
  <si>
    <t>ICDE 2026-4</t>
  </si>
  <si>
    <t>SGP Educación 2026-4</t>
  </si>
  <si>
    <t>SGP Salud 2026-4</t>
  </si>
  <si>
    <t>SGP APSB 2026-4</t>
  </si>
  <si>
    <t>Recursos Propios Entidades Descentralizadas 2026-4</t>
  </si>
  <si>
    <t>Sistema General de Regalías - SGR 2026-4</t>
  </si>
  <si>
    <t>Crédito 2026-4</t>
  </si>
  <si>
    <t>Total Hacienda 2026-4</t>
  </si>
  <si>
    <t>Gestión 2026-4</t>
  </si>
  <si>
    <t>Cofinanciación 2026-4</t>
  </si>
  <si>
    <t>Otros Recursos 2026-4</t>
  </si>
  <si>
    <t>Total Gestión 2026-4</t>
  </si>
  <si>
    <t>Total Vigencia 2026</t>
  </si>
  <si>
    <t>ICLD 2027-1</t>
  </si>
  <si>
    <t>ICDE 2027-1</t>
  </si>
  <si>
    <t>SGP Educación 2027-1</t>
  </si>
  <si>
    <t>SGP Salud 2027-1</t>
  </si>
  <si>
    <t>SGP APSB 2027-1</t>
  </si>
  <si>
    <t>Recursos Propios Entidades Descentralizadas 2027-1</t>
  </si>
  <si>
    <t>Sistema General de Regalías - SGR 2027-1</t>
  </si>
  <si>
    <t>Crédito 2027-1</t>
  </si>
  <si>
    <t>Total Hacienda 2027-1</t>
  </si>
  <si>
    <t>Gestión 2027-1</t>
  </si>
  <si>
    <t>Cofinanciación 2027-1</t>
  </si>
  <si>
    <t>Otros Recursos 2027-1</t>
  </si>
  <si>
    <t>Total Gestión 2027-1</t>
  </si>
  <si>
    <t>Total 2027-1</t>
  </si>
  <si>
    <t>ICLD 2027-2</t>
  </si>
  <si>
    <t>ICDE 2027-2</t>
  </si>
  <si>
    <t>SGP Educación 2027-2</t>
  </si>
  <si>
    <t>SGP Salud 2027-2</t>
  </si>
  <si>
    <t>SGP APSB 2027-2</t>
  </si>
  <si>
    <t>Recursos Propios Entidades Descentralizadas 2027-2</t>
  </si>
  <si>
    <t>Sistema General de Regalías - SGR 2027-2</t>
  </si>
  <si>
    <t>Crédito 2027-2</t>
  </si>
  <si>
    <t>Total 2027-2</t>
  </si>
  <si>
    <t>Gestión 2027-2</t>
  </si>
  <si>
    <t>Cofinanciación 2027-2</t>
  </si>
  <si>
    <t>Otros Recursos 2027-2</t>
  </si>
  <si>
    <t>Total Gestión 2027-2</t>
  </si>
  <si>
    <t>ICLD 2027-3</t>
  </si>
  <si>
    <t>ICDE 2027-3</t>
  </si>
  <si>
    <t>SGP Educación 2027-3</t>
  </si>
  <si>
    <t>SGP Salud 2027-3</t>
  </si>
  <si>
    <t>SGP APSB 2027-3</t>
  </si>
  <si>
    <t>Recursos Propios Entidades Descentralizadas 2027-3</t>
  </si>
  <si>
    <t>Sistema General de Regalías - SGR 2027-3</t>
  </si>
  <si>
    <t>Crédito 2027-3</t>
  </si>
  <si>
    <t>Total 2027-3</t>
  </si>
  <si>
    <t>Gestión 2027-3</t>
  </si>
  <si>
    <t>Cofinanciación 2027-3</t>
  </si>
  <si>
    <t>Otros Recursos 2027-3</t>
  </si>
  <si>
    <t>Total Gestión 2027-3</t>
  </si>
  <si>
    <t>ICLD 2027-4</t>
  </si>
  <si>
    <t>ICDE 2027-4</t>
  </si>
  <si>
    <t>SGP Educación 2027-4</t>
  </si>
  <si>
    <t>SGP Salud 2027-4</t>
  </si>
  <si>
    <t>SGP APSB 2027-4</t>
  </si>
  <si>
    <t>Recursos Propios Entidades Descentralizadas 2027-4</t>
  </si>
  <si>
    <t>Sistema General de Regalías - SGR 2027-4</t>
  </si>
  <si>
    <t>Crédito 2027-4</t>
  </si>
  <si>
    <t>Total Hacienda 2027-4</t>
  </si>
  <si>
    <t>Gestión 2027-4</t>
  </si>
  <si>
    <t>Cofinanciación 2027-4</t>
  </si>
  <si>
    <t>Otros Recursos 2027-4</t>
  </si>
  <si>
    <t>Total Gestión 2027-4</t>
  </si>
  <si>
    <t>Total Vigencia 2027</t>
  </si>
  <si>
    <t>Total Cuatrienio</t>
  </si>
  <si>
    <t>Validación de Techo 2024</t>
  </si>
  <si>
    <t>Total Hacienda 2024-2</t>
  </si>
  <si>
    <t>Total Hacienda 2024-3</t>
  </si>
  <si>
    <t>Código indicador de resultado</t>
  </si>
  <si>
    <t>Nombre indicador de resultado</t>
  </si>
  <si>
    <t>Unidad de medida</t>
  </si>
  <si>
    <t>Fuente/año</t>
  </si>
  <si>
    <t>Meta 2027</t>
  </si>
  <si>
    <t>Transformación PND</t>
  </si>
  <si>
    <t>Meta ODS</t>
  </si>
  <si>
    <t>N. A</t>
  </si>
  <si>
    <t xml:space="preserve">Índice de Brecha digital </t>
  </si>
  <si>
    <t>Posición</t>
  </si>
  <si>
    <t>Ministerio TIC, Colombia TIC 2022</t>
  </si>
  <si>
    <t>Conectividad digital para cambiar vidas</t>
  </si>
  <si>
    <t>9.C</t>
  </si>
  <si>
    <t>Vivienda y acceso a servicios públicos - Cobertura de Internet</t>
  </si>
  <si>
    <t>54.1%</t>
  </si>
  <si>
    <t>Encuesta Calidad de Vida del DANE-ECV 2022</t>
  </si>
  <si>
    <t>70.9%</t>
  </si>
  <si>
    <t>Ordenamiento alrededor del agua y justicia ambiental</t>
  </si>
  <si>
    <t>Tasa de tránsito Inmediato E.S.  Proporción de bachilleres que ingresan a programas de educación superior en el año inmediatamente siguiente a la culminación de la educación media.</t>
  </si>
  <si>
    <t>SIMAT – SNIES Año 2021</t>
  </si>
  <si>
    <t>Convergencia regional</t>
  </si>
  <si>
    <t>4.c</t>
  </si>
  <si>
    <t>Permanencia y rezago - Tasa de repitencia del sector oficial en educación básica y media (Desde transición hasta once)</t>
  </si>
  <si>
    <t xml:space="preserve">8.9% </t>
  </si>
  <si>
    <t>Sistema Integrado de Matrícula SIMAT-Secretaría de Educación de Boyacá. Abril 1-2023</t>
  </si>
  <si>
    <t>5.5%</t>
  </si>
  <si>
    <t xml:space="preserve">4.a </t>
  </si>
  <si>
    <t>Acceso a la educación - Cobertura bruta en educación – Total</t>
  </si>
  <si>
    <t>4.a</t>
  </si>
  <si>
    <t xml:space="preserve">N.A </t>
  </si>
  <si>
    <t>Índice global de calidad educativa en  Pruebas SABER 11</t>
  </si>
  <si>
    <t>Instituto Colombiano para la Evaluación de la Educación - ICFES noviembre 2023</t>
  </si>
  <si>
    <t>Paz total e integral</t>
  </si>
  <si>
    <t>Índice global de calidad educativa en Pruebas SABER 11</t>
  </si>
  <si>
    <t>&lt;</t>
  </si>
  <si>
    <t>Cultura - Tasa de cobertura municipal con beneficiarios de convocatorias públicas de las culturas, las artes y los saberes</t>
  </si>
  <si>
    <t>Número.</t>
  </si>
  <si>
    <t xml:space="preserve">4.7 </t>
  </si>
  <si>
    <t>N.A</t>
  </si>
  <si>
    <t xml:space="preserve">Fortalecimiento de los espacios de participación cultural legalmente constituidos </t>
  </si>
  <si>
    <t>Transformación productiva, internacionalización y acción climática</t>
  </si>
  <si>
    <t xml:space="preserve">16.7 </t>
  </si>
  <si>
    <t>Municipios de Boyacá asistidos para el fortalecimiento del diálogo cultural</t>
  </si>
  <si>
    <t>Seguridad Humana y Justicia Social</t>
  </si>
  <si>
    <t>16.7</t>
  </si>
  <si>
    <t>Fortalecimiento de la apropiación social del patrimonio cultural del departamento de Boyacá</t>
  </si>
  <si>
    <t>Seguridad humana y justicia social</t>
  </si>
  <si>
    <t>11.4</t>
  </si>
  <si>
    <t>Indice Departamental de innovación para Colombia - IDIC</t>
  </si>
  <si>
    <t>IDIC 2021</t>
  </si>
  <si>
    <t>17.6</t>
  </si>
  <si>
    <t>Incremento en el nivel de alcance estratégico de la Política Pública de Periodismo</t>
  </si>
  <si>
    <t xml:space="preserve">Porcentaje </t>
  </si>
  <si>
    <t>Resultados encuentros provinciales, encuestas y mesas de trabajo UACP /2023</t>
  </si>
  <si>
    <t>Trabajo digno y decente. (Seguridad humana y justicia social).</t>
  </si>
  <si>
    <t>4, 08, 17</t>
  </si>
  <si>
    <t>4.3 -4.4 - 8.3 - 8.5 - 8.6 - 8.8 - 17.17</t>
  </si>
  <si>
    <t>Medición de desempeño departamental - MDD</t>
  </si>
  <si>
    <t>Informe DNP 2022</t>
  </si>
  <si>
    <t>16.6</t>
  </si>
  <si>
    <t>Organismos de acción comunal del departamento fortalecidos</t>
  </si>
  <si>
    <t>Convergencia Regional</t>
  </si>
  <si>
    <t xml:space="preserve">Índice de Desempeño Institucional - Política de Participación Ciudadana </t>
  </si>
  <si>
    <t>FURAG 2022</t>
  </si>
  <si>
    <t>Jóvenes con Derechos que lideran las transformaciones para la vida: Jóvenes con Derechos que lideran las transformaciones para la vida: * *Juventudes protagonistas de las transformaciones</t>
  </si>
  <si>
    <t xml:space="preserve">Cobertura de municipios atendidos desde el Plan de Gestión Social del PDA </t>
  </si>
  <si>
    <t>4,7 - 6.b - 13,3</t>
  </si>
  <si>
    <t>Economía - Porcentaje del PIB por actividades económicas - Explotación de minas y canteras (Explotación de minas y canteras)</t>
  </si>
  <si>
    <t>DNP con información del DANE 2022</t>
  </si>
  <si>
    <t>Transformación Productiva. Internacionalización y acción climática. Convergencia Regional</t>
  </si>
  <si>
    <t>9, 8</t>
  </si>
  <si>
    <t>9.4, 9.1, 8.1, 8.3</t>
  </si>
  <si>
    <t>Economía - Porcentaje del PIB por actividades económicas - Industrias manufactureras (Industrias manufactureras)</t>
  </si>
  <si>
    <t>transformación productiva e internacionalización y acción climática</t>
  </si>
  <si>
    <t>9, 12</t>
  </si>
  <si>
    <t>8.2, 9.2, 12.1</t>
  </si>
  <si>
    <t xml:space="preserve">Estrategia de mercado - Índice de Competitividad Turística departamental </t>
  </si>
  <si>
    <t>5.43</t>
  </si>
  <si>
    <t>Documento: Índice de competitividad Turística Regional de Colombia-ICTRC /2023</t>
  </si>
  <si>
    <t>5.53</t>
  </si>
  <si>
    <t>17.17</t>
  </si>
  <si>
    <t>Índice Departamental de Competitividad - Pilar sofisticación y diversidicación (Diversificación de mercados de destino de exportaciones)</t>
  </si>
  <si>
    <t>IDC 2023</t>
  </si>
  <si>
    <t>8, 9, 12</t>
  </si>
  <si>
    <t>8.2, 8.5, 9.2, 12.1</t>
  </si>
  <si>
    <t>Índice Departamental de Competitividad - IDC</t>
  </si>
  <si>
    <t>Mercado laboral - Población joven que ni estudia ni trabaja (NINIS)</t>
  </si>
  <si>
    <t>DANE/2023</t>
  </si>
  <si>
    <t xml:space="preserve">Jóvenes con Derechos que lideran las transformaciones </t>
  </si>
  <si>
    <t xml:space="preserve">8.6 </t>
  </si>
  <si>
    <t>Capacidad agroindustrial del departamento</t>
  </si>
  <si>
    <t>Porcentual</t>
  </si>
  <si>
    <t>15.6%</t>
  </si>
  <si>
    <t xml:space="preserve">Secretaria de Agricultura, Gobernación de Boyacá Informe Final de Empalme, Equipo Boyacá Grande diciembre 2023. </t>
  </si>
  <si>
    <t>17.1%</t>
  </si>
  <si>
    <t>9.4</t>
  </si>
  <si>
    <t>Índice Departamental de Competitividad - Pilar sostenibilidad ambiental (Negocios verdes)</t>
  </si>
  <si>
    <t>Índice Departamental de Competitividad - Pilar Tamaño del Mercado interno</t>
  </si>
  <si>
    <t>SOFN-514</t>
  </si>
  <si>
    <t>Índice Departamental de Innovación para Colombia - Financiación empresarial del gasto en I+D (%)</t>
  </si>
  <si>
    <t>1.58</t>
  </si>
  <si>
    <t>índice de pobreza extrema y hambre 0 en las áreas rurales en Boyacá</t>
  </si>
  <si>
    <t>14.9%</t>
  </si>
  <si>
    <t>Secretaria de Agricultura, PDD Pacto Social por Boyacá tierra que sigue avanzando 2020-2023</t>
  </si>
  <si>
    <t>7.8%</t>
  </si>
  <si>
    <t>Derecho humano a la alimentación</t>
  </si>
  <si>
    <t>Incremento en las capacidades productivas y asociativas en el sector agropecuario que incidan en la participación del PIB departamental agropecuario - PIB departamental.</t>
  </si>
  <si>
    <t>4.2%</t>
  </si>
  <si>
    <t xml:space="preserve">Secretaria de Agricultura, Gobernación de Boyacá,Informe Final de Empalme, Equipo Boyacá Grande diciembre 2023.  </t>
  </si>
  <si>
    <t>5.6%</t>
  </si>
  <si>
    <t>Áreas de adecuación de tierras con fines de irrigación y zonificación productiva - áreas con potencial con fines de irrigación</t>
  </si>
  <si>
    <t>2, 11</t>
  </si>
  <si>
    <t>2.4, 11b</t>
  </si>
  <si>
    <t xml:space="preserve">Factor Gestión del Destino -Índice de Competitividad Turística </t>
  </si>
  <si>
    <t>5.56</t>
  </si>
  <si>
    <t>Documento: Índice de Competitividad Turística Regional de Colombia – ICTRC /2023</t>
  </si>
  <si>
    <t>8.9</t>
  </si>
  <si>
    <t>Nivel de alcance estratégico de la Política Pública de turismo de Boyacá</t>
  </si>
  <si>
    <t>Secretaría de turismo, Gobernación de Boyacá</t>
  </si>
  <si>
    <t>Nivel de satisfacción del turista en los servicios recibidos</t>
  </si>
  <si>
    <t>84.4%</t>
  </si>
  <si>
    <t>Eduin Contreras. Medición de la calidad percibida del servicio, satisfacción e intención de revisita del turista en los destinos de Tunja, Paipa y Villa de Leyva/2021</t>
  </si>
  <si>
    <t>4.7</t>
  </si>
  <si>
    <t xml:space="preserve">Incrimentar la participación municipal en el Sistema de turismo departamental </t>
  </si>
  <si>
    <t>Índice Departamental de Competividad - infraestructura vial</t>
  </si>
  <si>
    <t>Índice Departamental de Competividad - Porcentaje de vías a cargo del departamento en buen estado</t>
  </si>
  <si>
    <t>IDC 2024</t>
  </si>
  <si>
    <t>Estado de la infraestructura de transporte de influencia en el departamento (Proyectos de infraestructura de transporte)</t>
  </si>
  <si>
    <t>Porcentaje infraestructura</t>
  </si>
  <si>
    <t>16.67%</t>
  </si>
  <si>
    <t>Convivencia y seguridad ciudadana - Tasa de homicidios en accidentes de tránsito por cada 100.000 habitantes</t>
  </si>
  <si>
    <t>DANE 2022</t>
  </si>
  <si>
    <t xml:space="preserve">3.  </t>
  </si>
  <si>
    <t>Índice de Desempeño Institucional - Política Servicio al ciudadano</t>
  </si>
  <si>
    <t>MDI 2022 - ITBOY</t>
  </si>
  <si>
    <t>Indice de Desempeño Institucional- Dimensión de Información y Comunicación</t>
  </si>
  <si>
    <t>Acceso, uso y aprovechamiento de datos para impulsar la transformación social. (Seguridad humana y justicia social</t>
  </si>
  <si>
    <t>16.6-6.10</t>
  </si>
  <si>
    <t>Índice de Desempeño Institucional - Gestión estratégica talento humano</t>
  </si>
  <si>
    <t>93.5</t>
  </si>
  <si>
    <t>95.5</t>
  </si>
  <si>
    <t>8.8</t>
  </si>
  <si>
    <t>Cobertura ampliada de la emisora de interés público del Departamento</t>
  </si>
  <si>
    <t>Subdirección de Radio y Televisión / 2023</t>
  </si>
  <si>
    <t>Conectividad digital para cambiar vidas (Seguridad humana y justicia social)</t>
  </si>
  <si>
    <t>4-9-10-16</t>
  </si>
  <si>
    <t>43-44-9.c-10.3-16.10</t>
  </si>
  <si>
    <t>Índice de gobierno digital en entidades del orden territorial</t>
  </si>
  <si>
    <t>76.4</t>
  </si>
  <si>
    <t>Índice de Gobierno Digital FURAG-DAFP- MinTIC 2023</t>
  </si>
  <si>
    <t>Transformación digital pública para fortalecer el vínculo Estado - Ciudadanía</t>
  </si>
  <si>
    <t>Justicia y derecho - Acuerdo - Derecho contencioso administrativo</t>
  </si>
  <si>
    <t>Informe de Contingencia Judicial/2023, Unidad jurídica</t>
  </si>
  <si>
    <t>Seguridad Humana y Justicia Social Art. 206 PND</t>
  </si>
  <si>
    <t xml:space="preserve">16.6 </t>
  </si>
  <si>
    <t>Índice de desempeño institucional - Política Integridad</t>
  </si>
  <si>
    <t>Puntos</t>
  </si>
  <si>
    <t>16.</t>
  </si>
  <si>
    <t>16.5.</t>
  </si>
  <si>
    <t>Índice de desempeño institucional - Política Gestión documental</t>
  </si>
  <si>
    <t>89.9</t>
  </si>
  <si>
    <t>91.9</t>
  </si>
  <si>
    <t>Índice de desempeño institucional - Política de contratación y compra</t>
  </si>
  <si>
    <t>83.78</t>
  </si>
  <si>
    <t>Indice desempeño institucional 2022</t>
  </si>
  <si>
    <t>Medición de la efectividad en la gestión y la administración del riesgo de la Entidad.</t>
  </si>
  <si>
    <t>Plan a Anual de Auditorias   2023.</t>
  </si>
  <si>
    <t>Seguridad Humana y Justicia social</t>
  </si>
  <si>
    <t>Medición de la Efectividad del fomento de la cultura del Control</t>
  </si>
  <si>
    <t>Informe de la Cultura y el Autocontrol.</t>
  </si>
  <si>
    <t>Índice de desempeño institucional - Política de Gestión Presupuestal y eficiencia del gasto público</t>
  </si>
  <si>
    <t>FURAG 2021</t>
  </si>
  <si>
    <t>16.5</t>
  </si>
  <si>
    <t>UTILIDAD NETA DEL IDEBOY</t>
  </si>
  <si>
    <t>4. E-1-b b. (Banca de desarrollo e instrumentos alternativos de financiamiento para la reindustrialización)</t>
  </si>
  <si>
    <t>8.</t>
  </si>
  <si>
    <t>8.10</t>
  </si>
  <si>
    <t>Transferencias realizadas a la Gobernación de Boyacà</t>
  </si>
  <si>
    <t>Pesos</t>
  </si>
  <si>
    <t>NLB/2023</t>
  </si>
  <si>
    <t xml:space="preserve">Estabilidad macoeconòmica-progresividad y sostenibilidad fiscal  </t>
  </si>
  <si>
    <t xml:space="preserve">16. </t>
  </si>
  <si>
    <t>Rentas del monopolio</t>
  </si>
  <si>
    <t xml:space="preserve">Estabilidad macroeconómica-progresividad y sostenibilidad fiscal </t>
  </si>
  <si>
    <t xml:space="preserve">3.c </t>
  </si>
  <si>
    <t>Índice Departamental de Internacionalización (IDI)</t>
  </si>
  <si>
    <t>Puntaje (1-5)</t>
  </si>
  <si>
    <t>Transformación Productiva, Internacionalización y Acción Climática</t>
  </si>
  <si>
    <t xml:space="preserve">Diversificación en cadenas de valor del sector agrícola </t>
  </si>
  <si>
    <t>Número de líneas de negocio</t>
  </si>
  <si>
    <t>Ambiente - Inversión en conocimiento del riesgo</t>
  </si>
  <si>
    <t>Miles de pesos constantes</t>
  </si>
  <si>
    <t>Ordenamiento Territorial - Porcentaje conflicto - De tipo minero</t>
  </si>
  <si>
    <t>0, 06%</t>
  </si>
  <si>
    <t>15. Vida de ecosistemas terrestres</t>
  </si>
  <si>
    <t>15.3</t>
  </si>
  <si>
    <t>Vivienda y acceso a servicios públicos – Cobertura de energía eléctrica rural</t>
  </si>
  <si>
    <t>UPME/2023 Boletín Estadístico 2018-2022</t>
  </si>
  <si>
    <t xml:space="preserve">7. </t>
  </si>
  <si>
    <t>7.1 - 7.2 - 7.3 - 7.a - 7.b</t>
  </si>
  <si>
    <t>N.A.</t>
  </si>
  <si>
    <t>Atención oportuna de situaciones de emergencias reportadas al Departamento</t>
  </si>
  <si>
    <t>11.5</t>
  </si>
  <si>
    <t>Ambiente - Inversión en reducción del riesgo</t>
  </si>
  <si>
    <t>Actores diferenciales para el cambio</t>
  </si>
  <si>
    <t>15.1, 15.4</t>
  </si>
  <si>
    <t xml:space="preserve">Toneladas </t>
  </si>
  <si>
    <t>DANE</t>
  </si>
  <si>
    <t>11,12,13</t>
  </si>
  <si>
    <t>11.6,12.4,13.1,13.2,13.3</t>
  </si>
  <si>
    <t>Buenas prácticas adoptadas en gestión de cambio climático</t>
  </si>
  <si>
    <t xml:space="preserve">Organización de as naciones unidas para la alimentación y la agricultura. Resiliencia al cambio climático. Indicadores de resultado e impacto. </t>
  </si>
  <si>
    <t>11, 12, 13</t>
  </si>
  <si>
    <t>11.6, 12.4, 13.1, 13.2, 13.3</t>
  </si>
  <si>
    <t>Transformaciones culturales esperadas a través de procesos de educación ambiental</t>
  </si>
  <si>
    <t>DAGMA (Departamento administrativo de gestión del medio ambiente)</t>
  </si>
  <si>
    <t xml:space="preserve">NA </t>
  </si>
  <si>
    <t>Cobertura institucional en la protección de la vida, trato digno y bienestar animal en los municipios del departamento</t>
  </si>
  <si>
    <t>9.38%</t>
  </si>
  <si>
    <t>26.62%</t>
  </si>
  <si>
    <t>Vivienda y acceso a servicios públicos - Cobertura de gas natural</t>
  </si>
  <si>
    <t>94.72%</t>
  </si>
  <si>
    <t>DANE/2022. Encuesta Nacional de Calidad de Vida. Secretaría de Minas y energía PDD 2020-2023</t>
  </si>
  <si>
    <t>98.47%</t>
  </si>
  <si>
    <t xml:space="preserve">7.1  </t>
  </si>
  <si>
    <t xml:space="preserve">Tasa de mortalidad prematura por enfermedades crónicas no transmisibles (población de 30 a 70 años) </t>
  </si>
  <si>
    <t>Defunciones por cada 100.000 habitantes entre 30 y 70 años</t>
  </si>
  <si>
    <t>2022 Análisis de la situación de salud –ASIS 2023. Gobernación de Boyacá</t>
  </si>
  <si>
    <t>Tasa de mortalidad asociada a desnutrición aguda, por cada 100.000 menores de 5 años</t>
  </si>
  <si>
    <t>Casos por 100.000 menores de 5 años</t>
  </si>
  <si>
    <t>Análisis de la situación de salud (ASIS) 2023
Gobernación de Boyacá 2023</t>
  </si>
  <si>
    <t>Tasa de mortalidad general</t>
  </si>
  <si>
    <t>Número de defunciones por 1,000 habitantes</t>
  </si>
  <si>
    <t>2021.  Análisis de la situación de salud 2023(ASIS)
Gobernación de Boyacá</t>
  </si>
  <si>
    <t>3.8</t>
  </si>
  <si>
    <t xml:space="preserve">Posición nacional en juegos Intercolegiados </t>
  </si>
  <si>
    <t>Puesto</t>
  </si>
  <si>
    <t>Plan de desarrollo nacional: 2. Seguridad humana y justicia social - Transformación # 3 (Expansión de las Capacidades) Catalizador # 3 Derecho al deporte, la recreación y la actividad física para la convivencia y La Paz</t>
  </si>
  <si>
    <t>Capturas por diferentes delitos en el Departamento de Boyacá</t>
  </si>
  <si>
    <t>Índices de criminalidad policía Nacional/ 2023</t>
  </si>
  <si>
    <t>Cumplimiento de las medidas de asistencia y protección de derechos humanos y derecho internacional humanitario en la población víctima del departamento de Boyacá.</t>
  </si>
  <si>
    <t xml:space="preserve"> Porcentaje</t>
  </si>
  <si>
    <t>Informe de Avance PAT Víctimas vigencia 2023 - CJT</t>
  </si>
  <si>
    <t xml:space="preserve">Vivienda y acceso a servicios públicos - Cobertura de acueducto </t>
  </si>
  <si>
    <t>Ministerio de Vivienda, Ciudad y Territorio – SINAS 2022</t>
  </si>
  <si>
    <t xml:space="preserve">1,4; 3.9; 6.1 </t>
  </si>
  <si>
    <t xml:space="preserve">Infraestructura para deporte de alto rendimiento en la capital  </t>
  </si>
  <si>
    <t>Número de escenarios deportivos intervenidos de INDEPORTES Boyacá/ Número de escenarios deportivos a disponibles de INDEPORTES Boyacá</t>
  </si>
  <si>
    <t>11.7</t>
  </si>
  <si>
    <t>Vivienda y acceso a servicios públicos - Cobertura de acueducto y alcantarillado rural</t>
  </si>
  <si>
    <t>6.6</t>
  </si>
  <si>
    <t>Cobertura de aseo</t>
  </si>
  <si>
    <t xml:space="preserve">3.8, 6.2, 11.1, 11.6 </t>
  </si>
  <si>
    <t>Accesibilidad a servicios deportivos, recreativos y de sano esparcimiento</t>
  </si>
  <si>
    <t>4.</t>
  </si>
  <si>
    <t>Metros cuadrados de espacio público efectivo por habitante</t>
  </si>
  <si>
    <t>Metro cuadrado</t>
  </si>
  <si>
    <t>Vivienda y acceso a servicios públicos - Déficit cualitativo de vivienda (Censo)</t>
  </si>
  <si>
    <t>Porcentaje (el valor está multiplicado por 100</t>
  </si>
  <si>
    <t>24.8% (108 mil)</t>
  </si>
  <si>
    <t>Boletín Técnico/ Déficit Habitacional- Encuesta Nacional de Calidad de vida – DANE 2021</t>
  </si>
  <si>
    <t>Reducir el déficit cualitativo departamental a un 24.1% (3000 mejoramientos)</t>
  </si>
  <si>
    <t>10.</t>
  </si>
  <si>
    <t xml:space="preserve"> 10.1.  10.2.</t>
  </si>
  <si>
    <t>Municipios sin riesgo de calidad del agua para consumo humano</t>
  </si>
  <si>
    <t>Secretaria Departamental de Salud 2023</t>
  </si>
  <si>
    <t>1.4, 3.8, 6.1</t>
  </si>
  <si>
    <t>Cobertura de alcantarillado</t>
  </si>
  <si>
    <t>Ministerio de Vivienda, Ciudad y Territorio – 2022 - SINAS</t>
  </si>
  <si>
    <t>1.4, 3.9, 6.3</t>
  </si>
  <si>
    <t>Cobertura de los servicios de acueducto, alcantarillado y aseo en el marco de la gestión de riesgos sectorial.</t>
  </si>
  <si>
    <t>6.1, 6.4, 11.1</t>
  </si>
  <si>
    <t>Prestadores atendidos desde el Plan de Aseguramiento según Resolución 895 de 2021 (y/o sus modificaciones)</t>
  </si>
  <si>
    <t>Índice desempeño institucional - Política Gestión de la información estadística</t>
  </si>
  <si>
    <t xml:space="preserve"> </t>
  </si>
  <si>
    <t>Medallería en juegos Nacionales y Paranacionales</t>
  </si>
  <si>
    <t>Índice de Desempeño Institucional de INDEPORTES  Boyacá</t>
  </si>
  <si>
    <t xml:space="preserve">Puntaje </t>
  </si>
  <si>
    <t>Plan de desarrollo nacional: 2. Seguridad humana y justicia social - Transformación # 3 (Expansión de las Capacidades ) Catalizador # 3 Derecho al deporte, la recreación y la actividad física para la convivencia y La Paz</t>
  </si>
  <si>
    <t>II</t>
  </si>
  <si>
    <t>11.A</t>
  </si>
  <si>
    <t xml:space="preserve">Cobertura Provincias y Zonas de manejo especial con programas de actividad física, recreación y deporte social comunitario </t>
  </si>
  <si>
    <t>3.4, 3.5</t>
  </si>
  <si>
    <t>Aceptación- satisfacción en las intervenciones realizadas en los 123 municipios del departamento de Boyacá</t>
  </si>
  <si>
    <t>Porcentaje (el valor está multiplicado por 100)</t>
  </si>
  <si>
    <t>CASA DEL MENOR/2023</t>
  </si>
  <si>
    <t>16,1; 16,2; 16,7</t>
  </si>
  <si>
    <t>Acceso a la oferta social integral en temas de cuidado familiar</t>
  </si>
  <si>
    <t>5, 10, 16</t>
  </si>
  <si>
    <t>5.4, 10.2, 10.3, 16.2, 16.3</t>
  </si>
  <si>
    <t>Niños, niñas y adolescentes en Boyacá alcanzados con estrategias para pleno reconocimiento y garantía de derechos</t>
  </si>
  <si>
    <t xml:space="preserve">Seguridad Humana y Justicia Social </t>
  </si>
  <si>
    <t xml:space="preserve">10. </t>
  </si>
  <si>
    <t>10.2, 10.3</t>
  </si>
  <si>
    <t>Cobertura de la población LGTBIQ+ OSIGD, beneficiadas con estrategias de prevención de violencias en el departamento</t>
  </si>
  <si>
    <t>Seguridad Humana</t>
  </si>
  <si>
    <t>5.2, 10.2, 10.3, 16.1, 16.2</t>
  </si>
  <si>
    <t>Cobertura de niñas y niños de 0 a 5 años beneficiados con oferta en atención integral.</t>
  </si>
  <si>
    <t xml:space="preserve">28.07% </t>
  </si>
  <si>
    <t>Seguridad  Humana y Justicia Social</t>
  </si>
  <si>
    <t>4, 3, 16</t>
  </si>
  <si>
    <t>4.1, 4.2, 3.1, 3.2, 16.1</t>
  </si>
  <si>
    <t>Infracciones de la ley penal por parte de los (as) adolescentes del departamento de Boyacá</t>
  </si>
  <si>
    <t>número</t>
  </si>
  <si>
    <t>Fiscalía general de la nación/2021</t>
  </si>
  <si>
    <t>Cobertura a diferentes comunidades Étnicas  del departamento  con programas sociales con enfoque étnico diferencial</t>
  </si>
  <si>
    <t>1, 2, 4, 10, 11</t>
  </si>
  <si>
    <t xml:space="preserve"> 1.4, 2.3, 4.7, 10.2, 11.4</t>
  </si>
  <si>
    <t>Cobertura de mujeres beneficiadas con estrategias de promoción de derechos, prevención de violencias y generación de oportunidades en el Departamento de Boyacá</t>
  </si>
  <si>
    <t>0.91</t>
  </si>
  <si>
    <t>DANE 2018/Secretaría de Integración Social. Informe de empalme/2023, Ordenanza 022/2015</t>
  </si>
  <si>
    <t>4.58</t>
  </si>
  <si>
    <t>Transformación seguridad humana y convergencia regional</t>
  </si>
  <si>
    <t>5.2, 5.1, 5.4</t>
  </si>
  <si>
    <t>Cobertura de Personas con discapacidad y cuidadores impactados por las estrategias, actividades y acciones institucionales</t>
  </si>
  <si>
    <t>24.98%</t>
  </si>
  <si>
    <t>1, 4, 8, 10, 11, 16</t>
  </si>
  <si>
    <t>1.3, 4.5, 10.2, 11.7, 16.6</t>
  </si>
  <si>
    <t>Cobertura de Adultos mayores beneficiados con acciones estratégicas para el reconocimiento y garantía de sus derechos</t>
  </si>
  <si>
    <t xml:space="preserve">Seguridad Humana y Justicia Social              </t>
  </si>
  <si>
    <t>Tasa de violencia intrafamiliar por cada 100.000 habitantes (Violencia de pareja)</t>
  </si>
  <si>
    <t>Tasa por cada 100.000 habitantes</t>
  </si>
  <si>
    <t>Forensis/2022</t>
  </si>
  <si>
    <t>10, 16</t>
  </si>
  <si>
    <t xml:space="preserve"> 10.2, 10.3, 16.1, 16.2</t>
  </si>
  <si>
    <t>Fortalecimiento del diálogo cultural y ciudadanía incluyente entre los grupos poblacionales minoritarios y los diversos grupos poblacionales.</t>
  </si>
  <si>
    <t>Seguridad humana y justicia social.</t>
  </si>
  <si>
    <t>10. 2.</t>
  </si>
  <si>
    <t>Programa</t>
  </si>
  <si>
    <t>Código</t>
  </si>
  <si>
    <t>Medido A Través De</t>
  </si>
  <si>
    <t>Indicador</t>
  </si>
  <si>
    <t>Fuente</t>
  </si>
  <si>
    <t>Código Indicador De Resultado</t>
  </si>
  <si>
    <t>Unidad De Medida</t>
  </si>
  <si>
    <t>Fuente/Año</t>
  </si>
  <si>
    <t>Meta Producto Cuatrienio</t>
  </si>
  <si>
    <t>Validación 2024</t>
  </si>
  <si>
    <t>Validación 2025</t>
  </si>
  <si>
    <t>Validación 2026</t>
  </si>
  <si>
    <t>2. Debe diligenciar en orden el documento, sin los datos de enlace, el archivo no funcionara, pues no sabrá quien diligencia.</t>
  </si>
  <si>
    <t>Parte Financiera</t>
  </si>
  <si>
    <t>3. Esta Matriz será diligenciada Trimestres a Trimestre, según requerimientos DNP.</t>
  </si>
  <si>
    <t>Matriz de control</t>
  </si>
  <si>
    <t>1. Esta Matriz esta bloqueada, si origino algún cambio forzado, las casillas mostrarán un error en la formulación</t>
  </si>
  <si>
    <t>2. Si el valor es diferente a cero, usted erro en la programación presupuestal</t>
  </si>
  <si>
    <t>2.1. Si el valor es un negativo, le falta programar ese valor, en ese tipo de recurso</t>
  </si>
  <si>
    <t>2. Los valores los encontrará discriminados por indicador</t>
  </si>
  <si>
    <t>2.2. Si el valor es positivo, usted sobrepaso el techo presupuestal asignado.</t>
  </si>
  <si>
    <t>DESCRIPCIÓN</t>
  </si>
  <si>
    <t>Formación en Educación Digital orientada para comunidad en condición de discapacidad</t>
  </si>
  <si>
    <t>Equipos de cómputo a entregar a la comunidad educativa.</t>
  </si>
  <si>
    <t>Hackáthones o encuentros con comunidades de Industria TI</t>
  </si>
  <si>
    <t>Emprendimientos – Apuestas sectoriales.</t>
  </si>
  <si>
    <t>Comunidades de Conectividad</t>
  </si>
  <si>
    <t>Asistencia Técnica a municipios para eliminación de barreras – TDT – Radio</t>
  </si>
  <si>
    <t>Centros de innovación y modernización de vivelab y puntos vive digital.</t>
  </si>
  <si>
    <t>Transición efectiva a programas de Bilingüismo para estudiantes de educación media.</t>
  </si>
  <si>
    <t>Realizar Ferias Universitarias, para orientar la trayectoria personal y profesional de los estudiantes de educación Media.</t>
  </si>
  <si>
    <t xml:space="preserve">Becas estudiantiles
Educación superior
</t>
  </si>
  <si>
    <t>Mejoramiento de infraestructura para la educación superior promoviendo universidades verdes.</t>
  </si>
  <si>
    <t>Construcción de establecimientos de Educación Superior.</t>
  </si>
  <si>
    <t>Formación de Alto nivel para Directivos Docentes y Docentes</t>
  </si>
  <si>
    <t>Dotación Material didáctico y Pedagógico Nivel Preescolar</t>
  </si>
  <si>
    <t>Apoyar a las I.E. con el Programa Educación Sin Límites (Inclusión)</t>
  </si>
  <si>
    <t>Dotar con implementos educativos a la Población Víctima del conflicto.</t>
  </si>
  <si>
    <t>Fortalecer los estudiantes de Preescolar, Básica Primaria, Media y Escuelas Normales en lengua Extranjera.</t>
  </si>
  <si>
    <t>Suministrar a estudiantes de educación Media Técnica y Pólizas para Salidas Pedagógicas</t>
  </si>
  <si>
    <t>Fortalecimiento y creación de Emisoras Comunitarias y Escolares</t>
  </si>
  <si>
    <t>Realización de estudios y Análisis de Deserción Escolar en las I.E. Oficiales de municipios no certificados de Boyacá.</t>
  </si>
  <si>
    <t>Generar Resolución para el Proceso de Cobertura y realizar jornadas de Matrícula.</t>
  </si>
  <si>
    <t>Brindar complemento alimentario a todos los niños que se encuentran matriculados a través del Programa Alimentación Escolar. PAE</t>
  </si>
  <si>
    <t>Asignar cupos por parte del MEN (Ciclo I), donde se garantizará programas de alfabetización</t>
  </si>
  <si>
    <t>Acciones de prevención y Seguridad Vial (adquisición de vehículos de transporte escolar) (*)</t>
  </si>
  <si>
    <t>Fortalecer la Cátedra de Paz, Cátedra de estudios Afrocolombianos, Ciudadanía, Resolución de Conflictos, Manuales de Convivencia y transversales</t>
  </si>
  <si>
    <t>Desarrollar Foro Educativo Territorial, Refuerzo Escolar en Lenguaje y Matemáticas, Programa Todos a Aprender y SDC</t>
  </si>
  <si>
    <t>Implementación de Jornada Única y jornada complementaria en I.E.</t>
  </si>
  <si>
    <t>Dotar con Laboratorios STEM, TIC a sedes de I.E.</t>
  </si>
  <si>
    <t>Garantizar conectividad a Instituciones Educativas Oficiales.</t>
  </si>
  <si>
    <t>Apoyo a propuestas de sostenibilidad con educación ambiental y estrategias de productividad verde (escuelas verdes y huertas escolares PRAES)</t>
  </si>
  <si>
    <t>Construir nuevas sedes del nivel Preescolar, Primaria, Secundaria y Media</t>
  </si>
  <si>
    <t>Dotar I.E. de Preescolar, Básica Primaria, Secundaria y Media</t>
  </si>
  <si>
    <t>Formación Docente por áreas- Docentes Orientadores, Directivos y Administrativos- FESCONAL, Pera de Oro, Plan de Lectura y Escritura.</t>
  </si>
  <si>
    <t>Asistencias Técnicas realizadas</t>
  </si>
  <si>
    <t>Incentivar a los mejores en Educación con la Exaltación al Mérito Educativo.</t>
  </si>
  <si>
    <t>Visitas de Inspección y Vigilancia a Instituciones Educativas.</t>
  </si>
  <si>
    <t>Cuidado y Crianza para la vida, Educación Preescolar, Primaria, Secundaria y Media</t>
  </si>
  <si>
    <t>Realizar asistencia técnica a los procesos misionales de la Secretaría de Educación.</t>
  </si>
  <si>
    <t>Bienestar Laboral Docente y estrategias de prevención socio-emocional - Inducción y Reinducción Docentes Directivos, Docentes y Administrativos</t>
  </si>
  <si>
    <t>Digitalización de Historias Laborales</t>
  </si>
  <si>
    <t>Cursos formales en expresiones artísticas conducentes a título</t>
  </si>
  <si>
    <t>Apoyo financiero para ejecución de proyectos culturales</t>
  </si>
  <si>
    <t>Asesoría a municipios para la formación artística y cultural</t>
  </si>
  <si>
    <t>Dotación de instrumentos y elementos para el desarrollo de procesos de formación en expresiones artísticas</t>
  </si>
  <si>
    <t>Elaboración de documentos técnicos de cine (Cinemateca, comisión fílmica y ventanilla única).</t>
  </si>
  <si>
    <t>Ordenanza del plan estratégico decenal de cine.</t>
  </si>
  <si>
    <t>Reuniones de los consejos de teatro y de circo</t>
  </si>
  <si>
    <t>Reuniones de los consejos de Literatura y CEAB</t>
  </si>
  <si>
    <t>Reuniones del consejo de artes plásticas y visuales</t>
  </si>
  <si>
    <t>Reuniones del consejo de música</t>
  </si>
  <si>
    <t>Reuniones del consejo de danza</t>
  </si>
  <si>
    <t>Reuniones de los consejos provinciales, departamental, medios de comunicación, patrimonio, historia y cine</t>
  </si>
  <si>
    <t>Dotación a bibliotecas públicas de la red departamental</t>
  </si>
  <si>
    <t>Apoyo eventos Agenda Cultural</t>
  </si>
  <si>
    <t>Adecuación teatro Santa Rosa de Viterbo y otro</t>
  </si>
  <si>
    <t>Estudios y diseños para infraestructura cultural</t>
  </si>
  <si>
    <t>Adecuación teatro Cinema Boyacá</t>
  </si>
  <si>
    <t>Población beneficiada con proyecciones cinematográficas</t>
  </si>
  <si>
    <t>Asesoría a responsables municipales de cultura</t>
  </si>
  <si>
    <t>Circulación producciones audiovisuales</t>
  </si>
  <si>
    <t>Documentos de manejo y protección PEMP</t>
  </si>
  <si>
    <t>Documentos especiales de salvaguardia PES</t>
  </si>
  <si>
    <t>Obras bibliográficas y documentales recuperadas (depósito legal, otros)</t>
  </si>
  <si>
    <t>Bienes bibliográficos preservados del Fondo Histórico de Boyacá</t>
  </si>
  <si>
    <t>Capacitaciones al público en patrimonio cultural</t>
  </si>
  <si>
    <t>Capacitaciones a vigías del patrimonio cultural</t>
  </si>
  <si>
    <t>Asistencia a bibliotecarios de la red departamental en patrimonio documental</t>
  </si>
  <si>
    <t>Museo ampliado del Puente de Boyacá</t>
  </si>
  <si>
    <t>Asistencia a municipios en patrimonio arqueológico</t>
  </si>
  <si>
    <t>Inventarios de patrimonio inmaterial</t>
  </si>
  <si>
    <t>Asistencia a museos</t>
  </si>
  <si>
    <t>Asistencia a municipios en patrimonio cultural</t>
  </si>
  <si>
    <t>Publicaciones (Academia de Historia, CEAB, Revista Cultura, otras)</t>
  </si>
  <si>
    <t>Restauraciones (Pantano de Vargas, Templos doctrineros, Auditorio José Mosser)</t>
  </si>
  <si>
    <t>Reportes de observatorios social, económica, de género, ambiental, CteI</t>
  </si>
  <si>
    <t>proyectos de investigación, desarrollo experimental, procesos de innovación y desarrollo tecnológico apoyados</t>
  </si>
  <si>
    <t xml:space="preserve">Cursos MOOC para fortalecer capacidades en CteI
Capacitar a 300 personas en uso, apropiación y seguridad de las TIC en todos los grupos poblacionales.
</t>
  </si>
  <si>
    <t xml:space="preserve">
Red de observatorios de Boyacá fortalecida y operando.</t>
  </si>
  <si>
    <t>convocatoria para desarrolladores de herramientas digitales y tecnologías 4,0 para el desarrollo de soluciones de gestión empresariales innovadoras para el sector productivo del departamento</t>
  </si>
  <si>
    <t xml:space="preserve">Estrategia para la consolidación de la cultura de innovación en las comunidades organizaciones sociales
Agenda de I+D+I en industrias culturales y creativas.
3 Jornadas de transferencia, uso y apropiación de nuevas tecnologías para el uso eficiente de, la biomasa
estrategia de comunicación y divulgación de la ciencia
</t>
  </si>
  <si>
    <t xml:space="preserve">estrategia que fortalezca la relación entre universidad e instituciones educativas de básica y media en procesos de I+D+i
I.E acompañadas en procesos de formación de docentes y semilleros para niños, niñas, adolescentes y jóvenes en programas de ASCTI e I+D+i
</t>
  </si>
  <si>
    <t xml:space="preserve">Programas para el fomento de vocaciones, procesos y estímulos para la CTeI en niños, niñas, adolescentes y jóvenes en área urbana y rural
Grupos de investigación integrados por niños, niñas, adolescentes y jóvenes, promuevan una cultura de la CteI
</t>
  </si>
  <si>
    <t>sensibilización para el reconocimiento, aprovechamiento y uso responsable de los derechos de propiedad intelectual, protección del conocimiento y del patrimonio.</t>
  </si>
  <si>
    <t>Documento Plan Departamental de Extensión Agropecuaria -PDEA aprobado por Ordenanza</t>
  </si>
  <si>
    <t>Sistema de información con plataforma o software independiente comercial.</t>
  </si>
  <si>
    <t>Formar y actualizar conocimientos de periodistas para mejorar productos y condiciones laborales.</t>
  </si>
  <si>
    <t>Apoyo económico a medios de comunicación de Boyacá.</t>
  </si>
  <si>
    <t>Documentos de planificación y tomas de decisiones de inversión pública</t>
  </si>
  <si>
    <t>Espacios de participación con consejos de planeación y CteI</t>
  </si>
  <si>
    <t>Consejo de departamental planeación</t>
  </si>
  <si>
    <t>Plan de desarrollo ley 152</t>
  </si>
  <si>
    <t>Municipios asesorados en Sisbén, proyectos, regalías, estratificación, eficiencia, eficacia y ordenamiento territorial y planeación</t>
  </si>
  <si>
    <t>Seguimiento plan de desarrollo</t>
  </si>
  <si>
    <t>Modelo Integrado de Planeación y Gestión para el desempeño, enfocados en la eficiencia y eficacia, a través de estrategias propias del modelo, con el seguimiento y monitoreo.</t>
  </si>
  <si>
    <t>Boletines pobreza ODS</t>
  </si>
  <si>
    <t>Realización de convites comunales que aporten al desarrollo de los territorios.</t>
  </si>
  <si>
    <t>Realización del día de Acción Comunal</t>
  </si>
  <si>
    <t>Asambleas, Cumbres de Liderazgo, Campamentos, Encuentros y reconocimientos</t>
  </si>
  <si>
    <t>Apoyar la activación y funcionamiento del subsistema de participación juvenil</t>
  </si>
  <si>
    <t>Diagnóstico de Caracterización de Juventud y juventud rural.</t>
  </si>
  <si>
    <t>Guía Jurídica sobre Estatuto de Ciudadanía Juvenil, Guía de creación y funcionamiento de Organizaciones Juveniles campesinas</t>
  </si>
  <si>
    <t>Fomentar la creación de Organizaciones Campesinas y asistencia técnica para la formalización de veedurías.</t>
  </si>
  <si>
    <t>Espacios de Participación, Grupos de valor</t>
  </si>
  <si>
    <t>Eventos y campañas de promoción y fomento minero</t>
  </si>
  <si>
    <t>Observatorio Minero Energético Departamental</t>
  </si>
  <si>
    <t>Asistencia técnica integral a Unidades de Producción minera</t>
  </si>
  <si>
    <t>Apoyo en temas administrativos, organización, liderazgo</t>
  </si>
  <si>
    <t>Asistencia técnica para la innovación y desarrollo tecnológico a Unidad de Producción Minera</t>
  </si>
  <si>
    <t>Aprobación de la política pública minera</t>
  </si>
  <si>
    <t>Capacitación en temas de seguridad minera, s técnicos, ambientales, administrativos</t>
  </si>
  <si>
    <t>Plan departamental de capacitación para el fomento y la formalización minera en Boyacá.</t>
  </si>
  <si>
    <t>Empresas beneficiadas</t>
  </si>
  <si>
    <t>Fondo de oportunidades para el desarrollo económico de Boyacá</t>
  </si>
  <si>
    <t>Sistema para dinamizar la excelencia empresarial</t>
  </si>
  <si>
    <t>Campañas para la promoción turística de Boyacá</t>
  </si>
  <si>
    <t>Participación en ferias y eventos de carácter turístico nacional e internacional</t>
  </si>
  <si>
    <t>Zona franca, propuestas de valor para atracción de inversión</t>
  </si>
  <si>
    <t>Seguimiento a Política de Trabajo decente, ORMET y estudios de mercado del trabajo</t>
  </si>
  <si>
    <t>Territorialización de la política de reindustrialización</t>
  </si>
  <si>
    <t>Dinamización de iniciativas clúster</t>
  </si>
  <si>
    <t>Comisión regional de competitividad (CRC)</t>
  </si>
  <si>
    <t>Talleres y Capacitación en temas de Empleabilidad.</t>
  </si>
  <si>
    <t>Asistencia técnica y capacitación en emprendimiento e ideas de negocio.</t>
  </si>
  <si>
    <t>Estímulos económicos a emprendimientos juveniles</t>
  </si>
  <si>
    <t>Plantas de beneficia adecuadas de acuerdo a la normatividad vigente.</t>
  </si>
  <si>
    <t>Apoyo en adecuación de infraestructura para transformación de producto para acceso a nuevos mercados</t>
  </si>
  <si>
    <t>Adecuación de Plazas de Mercado activas en el departamento</t>
  </si>
  <si>
    <t>Dotación de Plazas de Mercado activas en el departamento</t>
  </si>
  <si>
    <t>Adquisición de maquinaria verde para el fortalecimiento operacional de los municipios y organizaciones</t>
  </si>
  <si>
    <t>Centro logístico del oriente adecuado con agro industrialización.</t>
  </si>
  <si>
    <t>Fortalecimiento a empresas para cumplimiento normativo sectorial</t>
  </si>
  <si>
    <t>Empresas ancla comercialización y logística Agroindustrial</t>
  </si>
  <si>
    <t>Fortalecimiento a organizaciones agropecuarias para ingresar a la industria de alimentos</t>
  </si>
  <si>
    <t>Ecosistema y red de innovación, vigilancia tecnológica. Sofisticación de empresas y sectores con uso de conocimiento</t>
  </si>
  <si>
    <t>Proyectos de innovación empresarial</t>
  </si>
  <si>
    <t>Grupos Fortalecidos (pequeños productores – plan abrigo)</t>
  </si>
  <si>
    <t>Apoyo con insumos agropecuarios para mejorar productividad y competitividad de los productores.</t>
  </si>
  <si>
    <t>Proyectos productivos cofinanciados (Mujeres, Jóvenes, plan abrigo)</t>
  </si>
  <si>
    <t>Apoyo con recursos para la cofinanciación de proyectos a los grupos poblacionales de especial protección constitucional</t>
  </si>
  <si>
    <t>Programa de seguros cosecha y/o incentivo tasas para créditos rurales</t>
  </si>
  <si>
    <t>Construcción de rutas y Talleres Teórico huertas circulares, negocios verdes, cosechas de agua, bio-insumos en otras prácticas agroecológicas.</t>
  </si>
  <si>
    <t>Centros de acopio adecuados (Sistema Agroalimentario, plan abrigo)</t>
  </si>
  <si>
    <t>Implementación del sistema agroalimentario o ciclo corto de comercialización</t>
  </si>
  <si>
    <t>Implementación de la política a través de ordenanza departamental</t>
  </si>
  <si>
    <t>Formalización de las cadenas y Fortalecimiento en los procesos de producción, transformación y comercialización para la apertura a nuevos mercados</t>
  </si>
  <si>
    <t>Cofinanciación de proyectos como ALIANZAS, DISTRITOS DE RIEGO entre otros proyectos que aumentas las capacidades productivas</t>
  </si>
  <si>
    <t>Programas de fortalecimiento de capacidades productivas a organizaciones agropecuarias conformadas</t>
  </si>
  <si>
    <t>Asociaciones fortalecidas (Mujeres Rurales, plan abrigo</t>
  </si>
  <si>
    <t>Programas de fortalecimiento administrativo, financiero y técnico de a organizaciones agropecuarias conformadas nuevas</t>
  </si>
  <si>
    <t>Organización y participación en eventos comerciales nacionales e internacionales</t>
  </si>
  <si>
    <t>Analítica de datos e información para la construcción de proyectos</t>
  </si>
  <si>
    <t>Estudios y diseños de distritos de riego</t>
  </si>
  <si>
    <t>Construcción o ampliación de distritos de riego</t>
  </si>
  <si>
    <t>Rehabilitación o complemento de distritos de riego</t>
  </si>
  <si>
    <t>Convenio UPRA para información de ordenamiento productivo</t>
  </si>
  <si>
    <t>Cofinanciación para construcción de Reservorios</t>
  </si>
  <si>
    <t>Cofinanciación para construcción de proyectos de usos eficiente del recurso hídrico -cosechas de agua</t>
  </si>
  <si>
    <t>Mantenimiento y operatividad de la página de promoción SITUR Boyacá</t>
  </si>
  <si>
    <t>Desarrollo y mantenimiento de APP para la promoción turística</t>
  </si>
  <si>
    <t>Acompañamiento a 6 municipios para certificación de destino y 4 campañas de formalización</t>
  </si>
  <si>
    <t>3 señalizaciones de atractivos turísticos y 1 estudio para el parque temático</t>
  </si>
  <si>
    <t>Documentos realizados (Política Pública de Turismo)</t>
  </si>
  <si>
    <t>Actualización de la Política Pública de Turismo</t>
  </si>
  <si>
    <t>Generar productos turísticos</t>
  </si>
  <si>
    <t>Capacitar al talento humano del sector turismo en Bilingüismo, NTC, entre otros.</t>
  </si>
  <si>
    <t>Investigación para el turismo “Caracterización de agencias de viajes”</t>
  </si>
  <si>
    <t>Cursos ofrecidos (sensibilización turística, beneficiando personas del Plan Abrigo)</t>
  </si>
  <si>
    <t>Sensibilización sobre cultura turística, calidad, comercio justo, turismo responsable, y turismo para todos</t>
  </si>
  <si>
    <t>Fomentar el desarrollo del turismo responsable y la sostenibilidad turística en la cadena del valor del sector.</t>
  </si>
  <si>
    <t>Caracterización de senderos ecoturísticos</t>
  </si>
  <si>
    <t>Acompañamiento en la creación de Consejos Municipales de Turismo</t>
  </si>
  <si>
    <t>Vías primarias pavimentadas</t>
  </si>
  <si>
    <t>Vías secundarias pavimentadas.</t>
  </si>
  <si>
    <t>Mejoramiento vías terciarias</t>
  </si>
  <si>
    <t>Mejoramiento de vías urbanas municipales</t>
  </si>
  <si>
    <t>Mantenimiento vial periódico</t>
  </si>
  <si>
    <t>Construcción de puentes</t>
  </si>
  <si>
    <t>Mantenimiento de puentes</t>
  </si>
  <si>
    <t>Fábrica de estudios y diseños.</t>
  </si>
  <si>
    <t>Estudio de factibilidad</t>
  </si>
  <si>
    <t>Inversión infraestructura fluvial</t>
  </si>
  <si>
    <t xml:space="preserve">Ciclo-vías construidas
</t>
  </si>
  <si>
    <t>Ciclo-vías con mantenimiento.</t>
  </si>
  <si>
    <t>Construcción, Demarcación y señalización garantizando entornos seguros y adecuados para la movilidad de estudiantes y peatones.</t>
  </si>
  <si>
    <t>Instalación de señalización vial con el propósito de mejorar la seguridad vial y la gestión del tránsito</t>
  </si>
  <si>
    <t>Descripción de requisitos y condiciones para establecer colaboraciones con otras entidades y empresas para promover la seguridad vial</t>
  </si>
  <si>
    <t>dirigidas a los usuarios viales, con el objetivo de promover una conducta segura y aumentar la conciencia sobre temas clave de seguridad vial</t>
  </si>
  <si>
    <t>controles de velocidad, verificación de documentos vehiculares, detección de conductores bajo influencia de alcohol o drogas, estado técnico de vehículos y seguridad.</t>
  </si>
  <si>
    <t>en seguridad vial, mediante la implementación de campañas educativas, charlas informativas, distribución de material didáctico que promuevan el conocimiento y la conciencia sobre prácticas seguras en el tránsito</t>
  </si>
  <si>
    <t>Hacer mantenimiento y adecuaciones a las sedes para mejorar el servicio</t>
  </si>
  <si>
    <t>Con recursos físicos, humanos y tecnológicos para mejorar su funcionamiento</t>
  </si>
  <si>
    <t>número total de permisos otorgados a conductores para circular legalmente en Colombia</t>
  </si>
  <si>
    <t>Número total de documentos legales emitidos que autorizan operar vehículos motorizados en Colombia.</t>
  </si>
  <si>
    <t>Registro automóviles, públicos, privados, motocicletas, que han sido formalmente inscritos en la entidad.</t>
  </si>
  <si>
    <t>Medir el consumo e impacto de los productos comunicativos publicados</t>
  </si>
  <si>
    <t>Determinar el número de productos comunicativos elaborados (boletines, cuñas, videos, piezas digitales, post de redes, noticieros, historias, transmisiones en vivo, entre otras).</t>
  </si>
  <si>
    <t>Medir el número de eventos organizados y apoyados protocolaria y comunicacionalmente</t>
  </si>
  <si>
    <t>Política estratégica del Talento Humano y rediseño Institucional</t>
  </si>
  <si>
    <t>Herramienta tecnológica para el fortalecimiento de las actividades de Talento Humano</t>
  </si>
  <si>
    <t>Mantenimiento y fortalecimiento del Sistema de Gestión de Seguridad y Salud en el Trabajo</t>
  </si>
  <si>
    <t>Centro Integrado de Servicios para el fortalecimiento de los canales y escenarios de acceso a la oferta pública de trámites y servicios</t>
  </si>
  <si>
    <t>Desarrollar quince (15) encuentros provinciales e implementar ocho (8) estrategias para fortalecimiento institucional y territorial en materia de relacionamiento con las ciudadanías.</t>
  </si>
  <si>
    <t>Construcción de un estudio profesional de televisión</t>
  </si>
  <si>
    <t>Mejoramiento tecnológico y compra de equipos y materiales para la UACP y sus diferentes áreas</t>
  </si>
  <si>
    <t xml:space="preserve">Implementación de la
Ley 2345 de 2023
(Manual de identidad visual de las entidades estatales)
</t>
  </si>
  <si>
    <t>Estrategia de Gobierno Digital en Territorio Boyacense</t>
  </si>
  <si>
    <t>Centro de analítica y monitoreo de datos.</t>
  </si>
  <si>
    <t>Actualización de sistema de gestión documental QUYNE.</t>
  </si>
  <si>
    <t>Transformación digital y trámites en línea.</t>
  </si>
  <si>
    <t>Renovación de la Infraestructura Tecnológica</t>
  </si>
  <si>
    <t>Programas de sensibilización (seguridad informática y uso de tecnologías) en la entidad.</t>
  </si>
  <si>
    <t>Plan Estratégico de Tecnologías y Sistemas de la Información PETI. Asistencia técnica en los casos de negocio para estructuración de proyectos.</t>
  </si>
  <si>
    <t>Estrategia de Seguridad de la Información</t>
  </si>
  <si>
    <t xml:space="preserve">Acuerdos Comité de Conciliación
-Manuales 
</t>
  </si>
  <si>
    <t>Diplomados en administración pública</t>
  </si>
  <si>
    <t>Fortalecer los conocimientos de los servidores públicos.</t>
  </si>
  <si>
    <t>espacios académicos y de participación sobre derecho disciplinario</t>
  </si>
  <si>
    <t>Adelantar los procesos disciplinarios de manera eficiente y oportuna, respetando el debido proceso.</t>
  </si>
  <si>
    <t>Implementar dos Sistemas de fácil Consulta y acceso, frente a la actuación disciplinaria</t>
  </si>
  <si>
    <t>Modernización de los bienes muebles en las sedes de la administración departamental.</t>
  </si>
  <si>
    <t>Asistencia mediante los procesos de logística y transporte que solicitan las diferentes secretarías de la Entidad.</t>
  </si>
  <si>
    <t>Mantenimiento y mejoramiento del Sistema de Gestión Documental de la entidad</t>
  </si>
  <si>
    <t>Un (1) estudio y diseño técnico para la construcción del archivo de la entidad y seis (6) estudios de legalización de inmuebles</t>
  </si>
  <si>
    <t>una Estrategia de seguimiento y depuración de reservas presupuestales y pasivos exigibles, generados por obligaciones contractuales.</t>
  </si>
  <si>
    <t>Mantenimiento y Actualización de la Política de Control Interno</t>
  </si>
  <si>
    <t>Informe de Seguimiento a la política de Control Interno</t>
  </si>
  <si>
    <t xml:space="preserve">Entrega de Informes de evaluación:
Informe. Control Interno Contable.
Informe de Riesgos
Informe del Sistema de Control Interno.
Informe de evaluación por dependencias.
Informe Final de Auditorias
</t>
  </si>
  <si>
    <t>Elaboración de Informe de Asesorías y acompañamientos con alcance de todos los subprocesos</t>
  </si>
  <si>
    <t xml:space="preserve">Elaboración de documentos de seguimiento tales como:
Seguimiento a Plan de Desarrollo.
Informe Plan Anticorrupción y de Atención al Ciudadano.
Informe de Austeridad en el Gasto
Informe de Secop, Sía, Sireci.
Informe Gesproy.
Seguimiento Acciones Populares y temas litigiosos.
</t>
  </si>
  <si>
    <t>Elaboración y Publicación del Informe de Fomento de la Cultura y Autocontrol</t>
  </si>
  <si>
    <t>Informe de Asesorías y Acompañamientos; en donde se refleja el Numero de Subprocesos Asistidos por la Oficina de Control Interno</t>
  </si>
  <si>
    <t>Herramienta tecnológica que permite calcular las prestaciones pensionales.</t>
  </si>
  <si>
    <t>Programa para aumentar el recaudo de todos los tributos</t>
  </si>
  <si>
    <t>Planes estrategicos elaborados (Plan anti-contrabando)</t>
  </si>
  <si>
    <t>Plan para evitar, prevenir y disminuir el contrabando.</t>
  </si>
  <si>
    <t>Actividades para lograr la vigilancia Especial de la Superintendencia Financiera</t>
  </si>
  <si>
    <t>Actividades para el Fomento del Desarrollo Social</t>
  </si>
  <si>
    <t>Estrategias de Inversión que fomenten Rentabilidad en Bienes y Sociedades del IDEBOY</t>
  </si>
  <si>
    <t xml:space="preserve">Inversión en Proyectos Estratégicos 
de desarrollo Económico, Social, Cultural y Turístico
</t>
  </si>
  <si>
    <t>Gestión Comercial (Mercados Nacionales- internacionales -Nuevos productos</t>
  </si>
  <si>
    <t>Gestión de bienes muebles e inmuebles</t>
  </si>
  <si>
    <t>Sistema de Cuidado</t>
  </si>
  <si>
    <t>Referido a planes operativos y planes de premios que reflejan las ventas de la lotería</t>
  </si>
  <si>
    <t>Instrumentos de expansión Y productividad (Gestión inmobiliaria de bienes mueble e inmuebles)</t>
  </si>
  <si>
    <t>Entidades sectoriales y las provincias del departamento</t>
  </si>
  <si>
    <t>Mercados artesanales – Compra Café, Cacao, Naranja</t>
  </si>
  <si>
    <t>Mercados productivos - (Tafias, Panela)</t>
  </si>
  <si>
    <t>Visitas de asistencia técnica realizadas por los profesionales de la UAEGRD</t>
  </si>
  <si>
    <t>Estrategia Municipal de Respuesta ante emergencia (EMRE) y a los Planes Municipales de Gestión del Riesgo de Desastre (PMGRD)</t>
  </si>
  <si>
    <t>Capacitaciones en Gestión del Riesgo de Desastres</t>
  </si>
  <si>
    <t>Guías, cartillas y preventines de temas relacionados con la Gestión del Riesgo de Desastres</t>
  </si>
  <si>
    <t>Actualización de la información contenida en la plataforma ArcGIS online sobre las visitas de asistencia técnica realizada por los profesionales de la UAEGRD</t>
  </si>
  <si>
    <t>Asistencia técnica integral a Unidades de Producción Minera en proceso de formalización o regularización</t>
  </si>
  <si>
    <t>Proyectos productivos para reconversión socio laboral y productiva minera</t>
  </si>
  <si>
    <t>Documento de planificación energética 2024-2050</t>
  </si>
  <si>
    <t>Ampliación de redes de alumbrado púbico rural</t>
  </si>
  <si>
    <t>Construcción de nuevas redes de alumbrado público</t>
  </si>
  <si>
    <t>Mejoramiento de redes de alumbrado público</t>
  </si>
  <si>
    <t>Ampliación de redes de baja tensión</t>
  </si>
  <si>
    <t>Construcción de nuevas redes de baja tensión</t>
  </si>
  <si>
    <t>Ampliación de redes de media tensión</t>
  </si>
  <si>
    <t>Construcción de nuevas redes de media tensión</t>
  </si>
  <si>
    <t>Subsidios para conexión de viviendas a las redes locales de energía</t>
  </si>
  <si>
    <t>Mantenimiento a unidades fotovoltaicas instaladas en proyectos anteriores</t>
  </si>
  <si>
    <t>Instalación de kits fotovoltaicos a viviendas y escuelas</t>
  </si>
  <si>
    <t>Proyectos cofinanciados con recursos nacionales o internacionales para desarrollar proyectos fuentes no convencionales de energía.</t>
  </si>
  <si>
    <t>Capacitación en temas de eficiencia energética y uso racional de energía</t>
  </si>
  <si>
    <t>Ayudas humanitarias suministradas en atención a emergencias, desastres y calamidades públicas</t>
  </si>
  <si>
    <t>Construcción de infraestructura -Centro Logístico Humanitario</t>
  </si>
  <si>
    <t>Fortalecimiento operativo de los organismos de socorro y de atención de emergencias mediante el suministro de equipos y elementos</t>
  </si>
  <si>
    <t>Construcción de obras de reducción ante eventos como procesos de remoción en masa y socavación lateral</t>
  </si>
  <si>
    <t>Formulación y ejecución de proyectos de conservación restauración, aislamiento a ecosistemas estratégicos del departamento de Boyacá. Implementación de planes de manejo</t>
  </si>
  <si>
    <t>Formulación de documentos de lineamientos técnicos con esquemas de pagos por Servicio ambientales</t>
  </si>
  <si>
    <t>Entrega de incentivos a los usuarios de las areas, de manera que continúen ofreciendo un servicio ambiental (ecológico) que beneficia a la sociedad como un todo.</t>
  </si>
  <si>
    <t>Formulación de la Política pública ambiental del departamento</t>
  </si>
  <si>
    <t>Fortalecer e impulsar los sectores de las categorías enmarcadas en el Plan Nacional de Negocios Verdes</t>
  </si>
  <si>
    <t>Estrategias de guarda paramos y capacitación como protectores de la naturaleza en las 13 provincias del departamento</t>
  </si>
  <si>
    <t>Apoyo a jardines botánicos constituidos in situ dentro de las reservas de la sociedad civil en la provincia de Ricaurte</t>
  </si>
  <si>
    <t>Generar alternativas de conocimiento frente a diferentes problemáticas ambientales del departamento (Flora y Fauna, Bienestar Animal)</t>
  </si>
  <si>
    <t>Formulación y ejecución de acciones orientadas a controlar las especies exóticas invasoras, en pro de la identificación de las áreas de invasión, estrategias para evitar la propagación y dispersión de estas.</t>
  </si>
  <si>
    <t>Programas de recolección de residuos posconsumo evaluados</t>
  </si>
  <si>
    <t>Estrategias para el aprovechamiento de plásticos de un solo uso, fomentando la economía circular</t>
  </si>
  <si>
    <t>Proyectos orientados al aprovechamiento y tratamiento de residuos orgánicos, fomentando la economía circular</t>
  </si>
  <si>
    <t>Realización de campañas de información en gestión de cambio climático, divulgación del PIGCCT, capacitación en mitigación y adaptación al cambio climático (articulación con educación ambiental.)</t>
  </si>
  <si>
    <t>Formulación ejecución de proyectos en energías limpias, calidad de aire, ecoturismo, corredores de vida</t>
  </si>
  <si>
    <t>Producción de material vegetal para actividades de restauración con el fin de crear sumideros de carbono</t>
  </si>
  <si>
    <t>Creación de bosques urbanos para el reverdecimiento de espacios como estrategia para la disminución de gases GEI</t>
  </si>
  <si>
    <t>Estrategias de movilidad sostenible, mediante entrega de bicikits</t>
  </si>
  <si>
    <t>Asesoría y fortalecimiento mediante entrega de insumos o recursos para el mejoramiento del proceso que se lleva a cabo dentro del PROCEDA</t>
  </si>
  <si>
    <t>Fortalecimiento y acompañamiento a los 123 CIDEA municipales en su activación y articulación de actividades en sus planes de acción; fortalecimiento a 63 PRAE mediante capacitaciones en temas de Gestión Integral de Residuos Sólidos, Ahorro y Uso Eficiente del Agua, Mitigación y Adaptación al Cambio climático, Tenencia responsable de animales; fortalecimiento a 4 PRAU mediante capacitaciones o apoyo logístico en sus actividades ambientales</t>
  </si>
  <si>
    <t>Acciones de la política pública de bienestar animal</t>
  </si>
  <si>
    <t>Formulación de estudios de prefactibilidad para la creación del Instituto de Protección y Bienestar Animal</t>
  </si>
  <si>
    <t>Conformación del comité departamental de bienestar animal</t>
  </si>
  <si>
    <t>Esterilizaciones a caninos y felinos en condición de vulnerabilidad de los municipios categorías 4, 5 y 6</t>
  </si>
  <si>
    <t>Proyectos financiados</t>
  </si>
  <si>
    <t>Subsidios a usuarios para conexiones internas de gas</t>
  </si>
  <si>
    <t>Subsidios a usuarios para conexión de redes domiciliarias de gas</t>
  </si>
  <si>
    <t>Gestión del riesgo de las enfermedades no transmisibles (cardiovascular, metabólico y renal)</t>
  </si>
  <si>
    <t>identificación de los Riesgos ocupacionales en trabajadores del sector informal de la economía</t>
  </si>
  <si>
    <t>Implementación de estrategias de entornos saludables</t>
  </si>
  <si>
    <t>Brindar asistencia técnica para la promoción y prevención de enfermedades no transmisibles</t>
  </si>
  <si>
    <t>asistencia técnica, inspección y vigilancia para disminuir la probabilidad de ocurrencia de eventos no deseados, evitables y negativos para la salud</t>
  </si>
  <si>
    <t>Asistencia para el derecho humano a la alimentación</t>
  </si>
  <si>
    <t>campañas para rutas materno perinatal,</t>
  </si>
  <si>
    <t>Implementación del plan para la prevención y atención de cáncer</t>
  </si>
  <si>
    <t>Servicios de laboratorio de salud pública como apoyo a la vigilancia, control sanitario, acciones de fortalecimiento técnico, evaluación y seguimiento de la red de laboratorios</t>
  </si>
  <si>
    <t>inspección, vigilancia y control a sujetos sanitarios</t>
  </si>
  <si>
    <t>Informes del Sistema de vigilancia epidemiológica-SIVIGILA</t>
  </si>
  <si>
    <t>Municipios con vigilancia de la calidad del agua para consumo humano, y vigilancia y control a seguridad química y residuos peligrosos</t>
  </si>
  <si>
    <t>Municipios con estrategias de promoción, prevención, vigilancia y control de vectores y zoonosis</t>
  </si>
  <si>
    <t>Infraestructura hospitalaria de primer nivel de atención en salud, adecuada yo construida</t>
  </si>
  <si>
    <t>Infraestructura hospitalaria de primer nivel de atención en salud, dotada</t>
  </si>
  <si>
    <t>Infraestructura hospitalaria de primer nivel de atención en salud, dotada con tecnología para la modalidad de telemedicina</t>
  </si>
  <si>
    <t>Infraestructura hospitalaria de segundo nivel de atención en salud, adecuada</t>
  </si>
  <si>
    <t>Infraestructura hospitalaria de segundo nivel de atención en salud, dotados</t>
  </si>
  <si>
    <t>Sedes de Hospitales de segundo nivel de atención dotados con tecnologías para la modalidad de telemedicina</t>
  </si>
  <si>
    <t>Infraestructura hospitalaria de tercer nivel de atención en salud, adecuada</t>
  </si>
  <si>
    <t>Infraestructura hospitalaria de tercer nivel de atención en salud, dotadas</t>
  </si>
  <si>
    <t>Cofinanciar la prestación de los servicios de salud en municipios donde la red pública es único prestador (Subsidio a la oferta)</t>
  </si>
  <si>
    <t>Prestar servicios de salud a población pobre no afiliada y servicios no incluidos en el plan de beneficios subsidiado</t>
  </si>
  <si>
    <t>Asistir técnicamente a prestadores de servicios de salud (sistema único de habilitación y acreditación)</t>
  </si>
  <si>
    <t>Cofinanciación de la afiliación de la población al régimen subsidiado</t>
  </si>
  <si>
    <t>Acompañamiento a los municipios para la gestión del proceso del aseguramiento</t>
  </si>
  <si>
    <t>Sedes del Centro de Rehabilitación Integral de Boyacá construidas</t>
  </si>
  <si>
    <t>Plan Territorial de Salud formulado</t>
  </si>
  <si>
    <t>Planes territoriales de salud con seguimiento realizado</t>
  </si>
  <si>
    <t>campañas para la ruta de atención integral en consumo de sustancias psicoactivas</t>
  </si>
  <si>
    <t>Campañas de atención integral en salud mental, implementada</t>
  </si>
  <si>
    <t>gestión del riesgo para Hansen, tuberculosis, y enfermedades raras</t>
  </si>
  <si>
    <t>Campañas de coberturas útiles de vacunación en los biológicos del programa ampliado de inmunizaciones. PAI</t>
  </si>
  <si>
    <t>registro, localización y caracterización de personas con discapacidad y generación de certificación de la discapacidad</t>
  </si>
  <si>
    <t>Personas víctimas del conflicto armado atendidas con atención psicosocial en el ámbito individual, familiar y comunitario</t>
  </si>
  <si>
    <t>Personas con respuesta ante situaciones de urgencia, emergencia y desastres (Centro Regulador de urgencias y emergencias de Boyacá)</t>
  </si>
  <si>
    <t>Laboratorio de salud pública dotado para su operación</t>
  </si>
  <si>
    <t>Acciones colectivas de promoción en salud y prevención de la enfermedad, pobreza menstrual, entre otras.</t>
  </si>
  <si>
    <t>Cupos para la atención de mujeres víctimas de violencia de género en casas de acogida</t>
  </si>
  <si>
    <t>Capacitar en las áreas de educación física , administración deportiva, infraestructura convencional y adaptada, entrenamiento deportivo en el área urbana y rura</t>
  </si>
  <si>
    <t>Plan Integral de Seguridad y Convivencia</t>
  </si>
  <si>
    <t>Seguimiento a implementación del Plan Integral de Seguridad y Convivencia</t>
  </si>
  <si>
    <t>Proyectos apalancados con recursos FONSET</t>
  </si>
  <si>
    <t>Apoyo con dotación de herramientas y elementos para fortalecer operatividad de casas de justicia del Departamento</t>
  </si>
  <si>
    <t>Apoyos subsidiarios de atención humanitaria</t>
  </si>
  <si>
    <t>Comité de Justicia transicional y sus subcomités.</t>
  </si>
  <si>
    <t>Formulación y seguimiento al Plan de Acción Territorial de los espacios de participación promovidos</t>
  </si>
  <si>
    <t>Acueductos rurales</t>
  </si>
  <si>
    <t>Acueductos urbanos y rurales</t>
  </si>
  <si>
    <t>Urbanos y rurales</t>
  </si>
  <si>
    <t>Mantenimiento permanente a Escenarios de la villa olímpica en Tunja (8) y en Sogamoso (1)</t>
  </si>
  <si>
    <t>Construir 30 canchas multifuncionales</t>
  </si>
  <si>
    <t>Adecuar 20 canchas multifuncionales</t>
  </si>
  <si>
    <t>2 estudio y diseño a demanda</t>
  </si>
  <si>
    <t>1 estudio y diseño para Centro de Alto Rendimiento</t>
  </si>
  <si>
    <t>Construir un centro de alto rendimiento</t>
  </si>
  <si>
    <t>Construir un estadio</t>
  </si>
  <si>
    <t>Mejorar una Pista Atlética</t>
  </si>
  <si>
    <t>Mejorar 2 piscinas</t>
  </si>
  <si>
    <t>Mantener 2 coliseos</t>
  </si>
  <si>
    <t>Mejorar 3 polideportivos</t>
  </si>
  <si>
    <t>Realizar un documento normativo para la Alianza público-privada que garantice la construcción del Centro de Alto Rendimiento y Escenarios del lote de la Villa Olímpica Tunja</t>
  </si>
  <si>
    <t>Proyectos de protección y aislamiento a zonas de captación, proyectos mejoramiento en calidad del recurso hídrico, reforestación y/o aislamiento a sistemas de captación de acueductos rurales, protección del recurso hídrico</t>
  </si>
  <si>
    <t>Acciones en los planes de ordenación y manejo de cuencas hidrográficas</t>
  </si>
  <si>
    <t>Adquisición y compra de predios en áreas estratégicas contempladas en el artículo 111 de la ley 99 de 1993</t>
  </si>
  <si>
    <t>Acompañamiento y asesoría técnica a los sistemas de acueducto rurales</t>
  </si>
  <si>
    <t>Estudios y diseños de los sistemas de captación de agua para obtención de concesiones y sistema de tratamiento de acueducto rural para la autorización sanitaria</t>
  </si>
  <si>
    <t>Acompañamiento y asesoría administrativa a las asociaciones de suscriptores de acueductos rurales y fortalecimiento institucional</t>
  </si>
  <si>
    <t>Optimización de la infraestructura de los sistemas de acueducto rural</t>
  </si>
  <si>
    <t>Construcción de sistemas de tratamiento para la potabilización de agua en áreas rurales del departamento</t>
  </si>
  <si>
    <t>Sistema de disposición de las aguas residuales in situ en viviendas rurales</t>
  </si>
  <si>
    <t>Acueductos optimizados (PROVISION, CALIDAD Y CONTINUIDAD)</t>
  </si>
  <si>
    <t>Diseño y/o construcción de captaciones, bancos de agua y pozos profundos</t>
  </si>
  <si>
    <t>Usuarios beneficiados con 20 Vehículos compactadores adquiridos</t>
  </si>
  <si>
    <t>Asistencias para plantas integrales de residuos</t>
  </si>
  <si>
    <t>Construcción de edificaciones y equipamientos dirigidos a la primera infancia</t>
  </si>
  <si>
    <t>Construcción de edificaciones y equipamientos dirigidos a la adolescencia y juventud</t>
  </si>
  <si>
    <t>Construcción de un centro comunitario</t>
  </si>
  <si>
    <t>Adecuación de centros comunitarios (territorio de cuidado)</t>
  </si>
  <si>
    <t>Construcción de un centro de protección social para el adulto mayo</t>
  </si>
  <si>
    <t>Adecuación de un centro día para el adulto mayor</t>
  </si>
  <si>
    <t>Construcción de un centro de atención integral para personas con discapacidad</t>
  </si>
  <si>
    <t>Centro ciencia y laboratorios para la I+D*I</t>
  </si>
  <si>
    <t>Elaboración de estudios y diseños para edificaciones y equipamientos culturales</t>
  </si>
  <si>
    <t>Construcción de un monumento histórico</t>
  </si>
  <si>
    <t>Construcción de una biblioteca</t>
  </si>
  <si>
    <t>Modificación de una biblioteca</t>
  </si>
  <si>
    <t>Modificación de un centro cultural</t>
  </si>
  <si>
    <t>Restauración de un proyecto de edificaciones y equipamientos culturales</t>
  </si>
  <si>
    <t>Museos del departamento con reforzamiento realizado</t>
  </si>
  <si>
    <t>Modificación de un Centro logístico agropecuario</t>
  </si>
  <si>
    <t>Construcción de un centro logístico agropecuario construidos</t>
  </si>
  <si>
    <t>Ampliación de una planta de beneficio animal</t>
  </si>
  <si>
    <t>Construcción de plantas de beneficio animal</t>
  </si>
  <si>
    <t>Construcción de plazas de mercado</t>
  </si>
  <si>
    <t>Modificación de plazas de mercado</t>
  </si>
  <si>
    <t>Construcción Infraestructura para el almacenamiento</t>
  </si>
  <si>
    <t>Estudios de prefactibilidad centro agroindustrial</t>
  </si>
  <si>
    <t>Elaboración de estudios para un proyecto de edificaciones y equipamientos turísticos</t>
  </si>
  <si>
    <t>Apoyo en un proyecto de infraestructura turística</t>
  </si>
  <si>
    <t>Prefactibilidad parque temático de Boyacá</t>
  </si>
  <si>
    <t>Construcción de una terminal de transporte</t>
  </si>
  <si>
    <t>Estudios preinversión aeropuerto en el departamento d Boyacá</t>
  </si>
  <si>
    <t>Construcción de 10000m2 espacio público</t>
  </si>
  <si>
    <t>Adecuación de 1000 metros cuadrados de espacio público</t>
  </si>
  <si>
    <t>Construcción de parques</t>
  </si>
  <si>
    <t>Mejoramiento de parques (40.000 metros cuadrados)</t>
  </si>
  <si>
    <t>Construcción de plazas (2.500 metros cuadrados)</t>
  </si>
  <si>
    <t>Mejoramiento de plazas (2.000 metros cuadrados)</t>
  </si>
  <si>
    <t>Elaboración de estudios y diseños para un proyecto de espacio público</t>
  </si>
  <si>
    <t>Construcción de 250 Viviendas de Interés Prioritario</t>
  </si>
  <si>
    <t>Construcción de 500 Viviendas de Interés social</t>
  </si>
  <si>
    <t>Construcción de 1.000 Viviendas de Interés social construidas en sitio propio</t>
  </si>
  <si>
    <t>Sistemas de potabilización instituciones educativas</t>
  </si>
  <si>
    <t>Plantas de tratamiento de agua potable optimizadas urbano-rural</t>
  </si>
  <si>
    <t>Plantas de tratamiento de agua potable construidas urbano-rural)</t>
  </si>
  <si>
    <t>PTAP urbano-rural</t>
  </si>
  <si>
    <t>Plantas de tratamiento de aguas residuales construidas</t>
  </si>
  <si>
    <t>alcantarillados y PTAR</t>
  </si>
  <si>
    <t>Planes de emergencia y contingencia AAA actualizados</t>
  </si>
  <si>
    <t>técnico operativo</t>
  </si>
  <si>
    <t>capacitaciones)</t>
  </si>
  <si>
    <t>cargue SUI</t>
  </si>
  <si>
    <t>para la implementación de la fase I del Plan de Aseguramiento</t>
  </si>
  <si>
    <t>para la implementación de la fase II y III del Plan de Aseguramiento</t>
  </si>
  <si>
    <t>Infraestructura de datos espaciales</t>
  </si>
  <si>
    <t>Ordenamiento y limites</t>
  </si>
  <si>
    <t>Plan estadístico</t>
  </si>
  <si>
    <t>Fortalecimiento de la RAPE</t>
  </si>
  <si>
    <t>Deportistas clasificados a juegos nacionales y Paranacionales</t>
  </si>
  <si>
    <t>Ciclistas en procesos de formación, especialización y alto rendimiento deportivo</t>
  </si>
  <si>
    <t>Deportistas en escuelas especializadas de las ligas deportivas Convencionales y Paranacionales</t>
  </si>
  <si>
    <t>Estímulos económicos a deportistas medallistas de Juegos Deportivos Nacionales y Paranacionales</t>
  </si>
  <si>
    <t>Estímulos y servicios para deportistas con logros deportivos del programa de Juegos Nacionales y Paranacionales</t>
  </si>
  <si>
    <t>Estímulos y servicios para Ciclistas pertenecientes al Team Boyacá es para Vivirla en sus diferentes modalidades y categorías y el equipo continental.</t>
  </si>
  <si>
    <t>Estímulos y servicios para deportistas con logros deportivos de las categorías previas a categoría mayores</t>
  </si>
  <si>
    <t>Copa Boyacá Raza de Campeones, eventos competitivos a nivel departamental, nacional e internacional en las diferentes modalidades y categorías</t>
  </si>
  <si>
    <t xml:space="preserve">Eventos deportivos de alto rendimiento con sede en Colombia realizados
</t>
  </si>
  <si>
    <t>Candidatura para ser sede de los próximos juegos deportivos Nacionales y Paranacionales y apoyo a los deportistas de Boyacá que participen</t>
  </si>
  <si>
    <t>Asistencia técnica administrativa y financiera a Ligas de deporte convencional y paralímpico legalmente constituidas que cumplen con los parámetros establecidos</t>
  </si>
  <si>
    <t>Actividades para fortalecer el Modelo Integrado de Planeación y Gestión (MIPG)</t>
  </si>
  <si>
    <t>Actividades recreativas, y deportivas dirigidas a los diferentes ciclos de vida, grupos poblacionales y sistema de cuidado</t>
  </si>
  <si>
    <t>Procesos de cualificación y formación en actividad física, recreación y deporte social comunitario</t>
  </si>
  <si>
    <t>Estrategia deportiva para Población vulnerable)</t>
  </si>
  <si>
    <t>Actividad lúdica recreativa en Población Vulnerable</t>
  </si>
  <si>
    <t>Intervenciones de prevención factores de riesgo</t>
  </si>
  <si>
    <t>Diseño de documento lúdico-pedagógico</t>
  </si>
  <si>
    <t>Acciones de impacto familiar</t>
  </si>
  <si>
    <t>Capacitación autoridades del departamento</t>
  </si>
  <si>
    <t>Procesos de prevención y promoción en riesgos psicosociales</t>
  </si>
  <si>
    <t>Actualización de política pública.</t>
  </si>
  <si>
    <t>Operatividad del consejo Departamental de Política social</t>
  </si>
  <si>
    <t>Asistencia técnica a secretarios técnicos de los Consejos municipales de política social</t>
  </si>
  <si>
    <t>Personas beneficiadas con las acciones del plan abrigo</t>
  </si>
  <si>
    <t>Formulación de documentos con objetivos y estrategias para la población vulnerable habitante de calle</t>
  </si>
  <si>
    <t>Programa Escuelas para la vida módulo: Habilidades parentales</t>
  </si>
  <si>
    <t>Estrategia para la prevención de abuso sexual y violencias hacia NNA</t>
  </si>
  <si>
    <t>Programa Escuelas para la vida módulo: Fortalecimiento de proyecto de vida en la infancia y adolescencia</t>
  </si>
  <si>
    <t>Programa de promoción del derecho a la participación, liderazgo y toma de decisiones</t>
  </si>
  <si>
    <t>Programas de prevención del consumo de SPA y cuidado de la Salud mental, a través de la promoción de estilos de vida saludable</t>
  </si>
  <si>
    <t>Acuerdos Departamentales para la Niñez con autoridades locales y agentes educativos</t>
  </si>
  <si>
    <t>4 Programas para prevención de trabajo infantil y 4 programas para promoción del derecho al juego</t>
  </si>
  <si>
    <t>Formulación de política pública para la población diversa LGBTIQ+/OSIGD</t>
  </si>
  <si>
    <t>Proyectos productivos formulados</t>
  </si>
  <si>
    <t>Formulación de un proyecto económico dirigido a la población LGBTIQ+ OSIGD</t>
  </si>
  <si>
    <t>Creación de programas enfocados en la inclusión y promoción de derechos, conmemoración de fechas significativas e</t>
  </si>
  <si>
    <t>Transferencia de conocimientos y estrategias educativas que tienen como objetivo brindar oportunidades a la población LGBTIQ+ OSIGD en políticas planes proyectos y programas de apoyo a la dirección y gestión de la administración territorial.</t>
  </si>
  <si>
    <t>Asistencia técnica a municipios y gobernación sobre prevención de violencias hacia la comunidad LGBTIQ+ OSIGD</t>
  </si>
  <si>
    <t>Parques,laboratorios creativos, ludoteca, salas de lectura, salas de lactancia, UDS</t>
  </si>
  <si>
    <t>Epigenética y neurodesarrollo</t>
  </si>
  <si>
    <t>Cuidadores cualificados en atención de la Primera Infancia</t>
  </si>
  <si>
    <t>Ludoteca móvil, estrategias de promoción en salud y nutrición, dinámica familiar y de la no violencia</t>
  </si>
  <si>
    <t>SUINCB</t>
  </si>
  <si>
    <t>Mesas técnicas de primera infancia</t>
  </si>
  <si>
    <t>Procesos de capacitación</t>
  </si>
  <si>
    <t>Gestión infraestructura</t>
  </si>
  <si>
    <t>Procesos de formación recreativa y cultural</t>
  </si>
  <si>
    <t>Estrategias de fortalecimiento familiar.</t>
  </si>
  <si>
    <t>apoyo logístico a la Consultiva NAR</t>
  </si>
  <si>
    <t>Promoción, creación y apoyo de espacios dedicados al encuentro de saberes, el fortalecimiento del tejido social y de la identidad cultural de las comunidades Indígenas</t>
  </si>
  <si>
    <t>Pesos de recursos</t>
  </si>
  <si>
    <t>Numero de personas</t>
  </si>
  <si>
    <t>Elaboración de documento técnico sobre prevención de violencias y/o Actualización de la Política Publica de Mujer y Género</t>
  </si>
  <si>
    <t>Formulación e implementación proyectos económicos del Fondo Mujer</t>
  </si>
  <si>
    <t>Apoyo logístico al Consejo Consultivo Departamental de Mujeres</t>
  </si>
  <si>
    <t>Apoyo técnico a Comisarias de Familia, Colegios, Policía Nacional, Ejercito Nacional y Enlaces municipales sobre violencias hacia la Mujer</t>
  </si>
  <si>
    <t>Creación de Escuela de liderazgo y formación política y Capacitación a Mujeres (Rural y Campesina)</t>
  </si>
  <si>
    <t>Apoyo técnico a municipios creación consejos consultivos de mujeres, Creación y mantenimiento estrategias prevención violencias y Tour Violeta</t>
  </si>
  <si>
    <t>Apoyo psico-jurídico a la población en violencias hacia la mujer.</t>
  </si>
  <si>
    <t>Mantenimiento y seguimiento a Fondisboy, Apoyo psicosocial población con discapacidad, y Cumplimiento de la ley 1996 de 2019 (Valoraciones de Apoyo)</t>
  </si>
  <si>
    <t>Apoyo técnico a referentes municipales de discapacidad y Comités Municipales de Discapacidad</t>
  </si>
  <si>
    <t>Apoyo técnico y logístico al Comité Departamental de Discapacidad En calidad de secretaría técnica, con la realización de los subcomités, sesión del comité y consolidación de informe de la resolución 3317 del 2012</t>
  </si>
  <si>
    <t>Capacitación a cuidadores en envejecimiento saludable y cuidado integral</t>
  </si>
  <si>
    <t>Reconocimiento de saberes, Encuentros persona mayor, encuentros intergeneracionales, veedurías persona mayor y promoción del voluntariado en centros vida</t>
  </si>
  <si>
    <t>Fortalecimiento de servicios en centros de atención de persona mayor, mediante trasferencia de recursos de estampilla</t>
  </si>
  <si>
    <t>Actualización de Política pública de adulto mayor</t>
  </si>
  <si>
    <t>Fortalecimiento técnico institucional en temas de familia a través de encuentros y asistencias</t>
  </si>
  <si>
    <t>Programa escuelas para la vida módulos: hogares monoparentales y paternidad presente y afectiva</t>
  </si>
  <si>
    <t>Actualización PP de familia</t>
  </si>
  <si>
    <t>Capacitaciones a población con enfoque diferencial y poblacional</t>
  </si>
  <si>
    <t>Usuarios atendidos a través de las bibliotecas</t>
  </si>
  <si>
    <t>Descripción del Indicador</t>
  </si>
  <si>
    <t>1. Encontrara los datos de su responsabilidad, luego de diligenciar los datos del enlace. Diligencie las columnas de color Purpura</t>
  </si>
  <si>
    <t>1. Al abrir el documento, no actualice vínculos, si le dio actualizar, salga y no guarde cambios.</t>
  </si>
  <si>
    <t>3. Cuenta con una matriz de referencia, si requiere validar datos, si no, remítase a diligenciar los datos de "Parte estratégica"</t>
  </si>
  <si>
    <t>Parte Estratégica</t>
  </si>
  <si>
    <t>2. Arriba de la columna "A." En centrara 2 números, seleccione el Número "1", Las columnas se agruparán y usted tendrá los datos necesarios de referencia para diligenciamiento, Si presiona "2", las columnas mostrarán todo el contenido.</t>
  </si>
  <si>
    <t>5. Los datos de la Matriz estratégica, deben ser coherentes a lo diligenciado en el plan plurianual de inversiones, por lo cual, la matriz dará guía de acuerdo al indicador, para que diligencie el periodo.</t>
  </si>
  <si>
    <t>Instrucciones Generales</t>
  </si>
  <si>
    <t>2. Esta Matriz le dirá que fuente de financiación debería programar, de acuerdo a su Planeación presupuestal y su programación Física (Parte estratégica)</t>
  </si>
  <si>
    <t>En caso, 2.1. o 2.2. desde regresar a la matriz financiera y reprogramar de acuerdo a lo que se requiera.</t>
  </si>
  <si>
    <r>
      <rPr>
        <b/>
        <sz val="11"/>
        <color theme="1"/>
        <rFont val="Century Gothic"/>
        <family val="2"/>
      </rPr>
      <t>Nota:</t>
    </r>
    <r>
      <rPr>
        <sz val="11"/>
        <color theme="1"/>
        <rFont val="Century Gothic"/>
        <family val="2"/>
      </rPr>
      <t xml:space="preserve"> Por favor leer antes de diligenciar, no se atenderá soporte si la información esta contemplada por este instructivo.</t>
    </r>
  </si>
  <si>
    <t>Validación de Techo 2025</t>
  </si>
  <si>
    <t>Total Hacienda 2025-2</t>
  </si>
  <si>
    <t>Total Hacienda 2025-3</t>
  </si>
  <si>
    <t>Validación de Techo 2026</t>
  </si>
  <si>
    <t>Total Hacienda 2026-2</t>
  </si>
  <si>
    <t>Total Hacienda 2026-3</t>
  </si>
  <si>
    <t>Total Hacienda 2027-2</t>
  </si>
  <si>
    <t>Total Hacienda 2027-3</t>
  </si>
  <si>
    <t>Validación de Techo 2027</t>
  </si>
  <si>
    <t>Validación 2027</t>
  </si>
  <si>
    <t>Servicio de Extensión agropecuaria a pequeños y medianos productores (con especial atención a quienes implementen el uso de fertilizantes y abonos orgánicos)</t>
  </si>
  <si>
    <t>Capacitar a JAC, JAL, ESALES y otras organizaciones sociales en temas administrativos y técnicos,contables y financieros.</t>
  </si>
  <si>
    <t>Apoyo y acompañamiento a enlaces de Juntas de acción comunal y juntas administradoras locales de los 123 municipios</t>
  </si>
  <si>
    <t xml:space="preserve">Fomentar la creación y fortalecimiento de las veedurías ciudadanas.
Fomentar la participación de JAC y JAL en el Plan abrigo.
</t>
  </si>
  <si>
    <t>Fortalecimiento al 100% de consejos municipales de desarrollo rural y CONSEA departamental</t>
  </si>
  <si>
    <t>Kilómetros de vías primarias</t>
  </si>
  <si>
    <t>42.8</t>
  </si>
  <si>
    <t>Mantenimiento vial periódico (Incluye fondo de mantenimiento víal)</t>
  </si>
  <si>
    <t>Mejoramiento de vías secundarias rutinarias</t>
  </si>
  <si>
    <t>Número de Estudios de preinversión</t>
  </si>
  <si>
    <t>Obras como rehabilitación, adecuación, evaluar la viabilidad.</t>
  </si>
  <si>
    <t>Documentos de estudio de audiencia realizados</t>
  </si>
  <si>
    <t xml:space="preserve">Documentos metodológicos realizados
</t>
  </si>
  <si>
    <t>Entidades territoriales asistidas técnicamente (internacionalización)</t>
  </si>
  <si>
    <t>Proyectos para fuentes de energía no convencionales y renovables, gestionar la creación de comunidades energéticas urbanas y rurales en el departamento.</t>
  </si>
  <si>
    <t>Estrategias educativo-ambientales y de participación implementadas</t>
  </si>
  <si>
    <t>Procesos de formación y masificación del deporte convencional y paralímpico incluye niños y jovenes de los sectores rurales.</t>
  </si>
  <si>
    <t>Número de salones comunales</t>
  </si>
  <si>
    <t>Salón comunal construido</t>
  </si>
  <si>
    <t>Territorios del cuidado dotados (Corresponde a los 17 pilotajes de abrigo)</t>
  </si>
  <si>
    <t>Usuarios atendidos (“Red Abrigo”)</t>
  </si>
  <si>
    <t>ODS Indicador de Producto</t>
  </si>
  <si>
    <t>Mantenimiento/Incremento</t>
  </si>
  <si>
    <t>META ODS</t>
  </si>
  <si>
    <t>4_9</t>
  </si>
  <si>
    <t>4B_9C</t>
  </si>
  <si>
    <t>9_10</t>
  </si>
  <si>
    <t>9C_10.2</t>
  </si>
  <si>
    <t>9C</t>
  </si>
  <si>
    <t>9.2_9.C</t>
  </si>
  <si>
    <t>9A_9C</t>
  </si>
  <si>
    <t>1_9</t>
  </si>
  <si>
    <t>1.4_9C</t>
  </si>
  <si>
    <t>4.4_4.7</t>
  </si>
  <si>
    <t>4.3_4.4</t>
  </si>
  <si>
    <t>4.3_4.5</t>
  </si>
  <si>
    <t>4A</t>
  </si>
  <si>
    <t>4.1_4.2</t>
  </si>
  <si>
    <t>4.5_4A</t>
  </si>
  <si>
    <t>4.5</t>
  </si>
  <si>
    <t>4.6</t>
  </si>
  <si>
    <t>4.5_9B</t>
  </si>
  <si>
    <t>4.7_9C</t>
  </si>
  <si>
    <r>
      <t>4.5</t>
    </r>
    <r>
      <rPr>
        <b/>
        <sz val="12"/>
        <color rgb="FF00FFFF"/>
        <rFont val="Arial Narrow"/>
        <family val="2"/>
      </rPr>
      <t>_4.7</t>
    </r>
  </si>
  <si>
    <t>4C</t>
  </si>
  <si>
    <t>4.1_4.2_4C</t>
  </si>
  <si>
    <t>4.A</t>
  </si>
  <si>
    <t>10_11</t>
  </si>
  <si>
    <r>
      <t>10.3</t>
    </r>
    <r>
      <rPr>
        <b/>
        <sz val="12"/>
        <color rgb="FF00FFFF"/>
        <rFont val="Arial Narrow"/>
        <family val="2"/>
      </rPr>
      <t>_11.4</t>
    </r>
  </si>
  <si>
    <t>17.18</t>
  </si>
  <si>
    <t>9.1_9A_9B</t>
  </si>
  <si>
    <t>9.1_9.5_9A_9B</t>
  </si>
  <si>
    <r>
      <t>9.1_9A</t>
    </r>
    <r>
      <rPr>
        <b/>
        <sz val="12"/>
        <color rgb="FF00FFCC"/>
        <rFont val="Arial Narrow"/>
        <family val="2"/>
      </rPr>
      <t>_</t>
    </r>
    <r>
      <rPr>
        <b/>
        <sz val="12"/>
        <color rgb="FF00FFFF"/>
        <rFont val="Arial Narrow"/>
        <family val="2"/>
      </rPr>
      <t>9.5</t>
    </r>
    <r>
      <rPr>
        <b/>
        <sz val="12"/>
        <color rgb="FF00FFCC"/>
        <rFont val="Arial Narrow"/>
        <family val="2"/>
      </rPr>
      <t>_</t>
    </r>
    <r>
      <rPr>
        <sz val="12"/>
        <color rgb="FF00FFCC"/>
        <rFont val="Arial Narrow"/>
        <family val="2"/>
      </rPr>
      <t>9B</t>
    </r>
  </si>
  <si>
    <r>
      <t>9.1_9A_</t>
    </r>
    <r>
      <rPr>
        <b/>
        <sz val="12"/>
        <color rgb="FF00FFFF"/>
        <rFont val="Arial Narrow"/>
        <family val="2"/>
      </rPr>
      <t>9.5_</t>
    </r>
    <r>
      <rPr>
        <sz val="12"/>
        <color rgb="FF00FFCC"/>
        <rFont val="Arial Narrow"/>
        <family val="2"/>
      </rPr>
      <t>9B</t>
    </r>
  </si>
  <si>
    <t>9B</t>
  </si>
  <si>
    <t>16_7</t>
  </si>
  <si>
    <r>
      <t>1_</t>
    </r>
    <r>
      <rPr>
        <sz val="12"/>
        <color rgb="FF94DCF8"/>
        <rFont val="Arial Narrow"/>
        <family val="2"/>
      </rPr>
      <t>16</t>
    </r>
  </si>
  <si>
    <r>
      <t>1.3_</t>
    </r>
    <r>
      <rPr>
        <sz val="12"/>
        <color rgb="FF94DCF8"/>
        <rFont val="Arial Narrow"/>
        <family val="2"/>
      </rPr>
      <t>16.6</t>
    </r>
  </si>
  <si>
    <r>
      <t>1_</t>
    </r>
    <r>
      <rPr>
        <sz val="12"/>
        <color rgb="FF94DCF8"/>
        <rFont val="Arial Narrow"/>
        <family val="2"/>
      </rPr>
      <t>16_</t>
    </r>
    <r>
      <rPr>
        <sz val="12"/>
        <color rgb="FF00FFFF"/>
        <rFont val="Arial Narrow"/>
        <family val="2"/>
      </rPr>
      <t>17</t>
    </r>
  </si>
  <si>
    <t>1.2_16.10_17.9_17.18</t>
  </si>
  <si>
    <r>
      <t>16_</t>
    </r>
    <r>
      <rPr>
        <sz val="12"/>
        <color rgb="FF00FFFF"/>
        <rFont val="Arial Narrow"/>
        <family val="2"/>
      </rPr>
      <t>17</t>
    </r>
  </si>
  <si>
    <r>
      <t>16.7_</t>
    </r>
    <r>
      <rPr>
        <sz val="12"/>
        <color rgb="FF00FFFF"/>
        <rFont val="Arial Narrow"/>
        <family val="2"/>
      </rPr>
      <t>17.14</t>
    </r>
  </si>
  <si>
    <t>8_13_15_16</t>
  </si>
  <si>
    <t>8.6_8B_13.3_15.2_15.4_16.7</t>
  </si>
  <si>
    <r>
      <t>16.7_</t>
    </r>
    <r>
      <rPr>
        <sz val="12"/>
        <color rgb="FF00FFFF"/>
        <rFont val="Arial Narrow"/>
        <family val="2"/>
      </rPr>
      <t>16.10</t>
    </r>
  </si>
  <si>
    <r>
      <t>4_6_13_</t>
    </r>
    <r>
      <rPr>
        <sz val="12"/>
        <color rgb="FF00FFFF"/>
        <rFont val="Arial Narrow"/>
        <family val="2"/>
      </rPr>
      <t>16</t>
    </r>
  </si>
  <si>
    <r>
      <t>4.7_6B_13.3_</t>
    </r>
    <r>
      <rPr>
        <sz val="12"/>
        <color rgb="FF00FFFF"/>
        <rFont val="Arial Narrow"/>
        <family val="2"/>
      </rPr>
      <t>16.7</t>
    </r>
  </si>
  <si>
    <t>16_17</t>
  </si>
  <si>
    <t>16.10_17.18</t>
  </si>
  <si>
    <r>
      <t>7_8_</t>
    </r>
    <r>
      <rPr>
        <sz val="12"/>
        <color rgb="FF61CBF3"/>
        <rFont val="Arial Narrow"/>
        <family val="2"/>
      </rPr>
      <t>9</t>
    </r>
  </si>
  <si>
    <r>
      <t>7.3_8.3_8.4_</t>
    </r>
    <r>
      <rPr>
        <sz val="12"/>
        <color rgb="FF61CBF3"/>
        <rFont val="Arial Narrow"/>
        <family val="2"/>
      </rPr>
      <t>9.3</t>
    </r>
  </si>
  <si>
    <t>8.3_8.4</t>
  </si>
  <si>
    <r>
      <t>8_</t>
    </r>
    <r>
      <rPr>
        <sz val="12"/>
        <color rgb="FF61CBF3"/>
        <rFont val="Arial Narrow"/>
        <family val="2"/>
      </rPr>
      <t>9_</t>
    </r>
    <r>
      <rPr>
        <sz val="12"/>
        <color rgb="FF00FFFF"/>
        <rFont val="Arial Narrow"/>
        <family val="2"/>
      </rPr>
      <t>16</t>
    </r>
  </si>
  <si>
    <r>
      <t>8.3_</t>
    </r>
    <r>
      <rPr>
        <sz val="12"/>
        <color rgb="FF61CBF3"/>
        <rFont val="Arial Narrow"/>
        <family val="2"/>
      </rPr>
      <t xml:space="preserve"> </t>
    </r>
    <r>
      <rPr>
        <sz val="12"/>
        <color rgb="FF434343"/>
        <rFont val="Arial Narrow"/>
        <family val="2"/>
      </rPr>
      <t>9.3</t>
    </r>
    <r>
      <rPr>
        <sz val="12"/>
        <color rgb="FF61CBF3"/>
        <rFont val="Arial Narrow"/>
        <family val="2"/>
      </rPr>
      <t>_</t>
    </r>
    <r>
      <rPr>
        <sz val="12"/>
        <color rgb="FF00FFFF"/>
        <rFont val="Arial Narrow"/>
        <family val="2"/>
      </rPr>
      <t>16.7</t>
    </r>
  </si>
  <si>
    <t>8_9</t>
  </si>
  <si>
    <t>8.2_9.1_9B</t>
  </si>
  <si>
    <r>
      <t>9_</t>
    </r>
    <r>
      <rPr>
        <sz val="12"/>
        <color rgb="FF00FFFF"/>
        <rFont val="Arial Narrow"/>
        <family val="2"/>
      </rPr>
      <t>17</t>
    </r>
  </si>
  <si>
    <r>
      <t xml:space="preserve">9.5_ </t>
    </r>
    <r>
      <rPr>
        <sz val="12"/>
        <color rgb="FF00FFFF"/>
        <rFont val="Arial Narrow"/>
        <family val="2"/>
      </rPr>
      <t>17.14</t>
    </r>
  </si>
  <si>
    <r>
      <t>8.5_</t>
    </r>
    <r>
      <rPr>
        <sz val="12"/>
        <color rgb="FF00FFFF"/>
        <rFont val="Arial Narrow"/>
        <family val="2"/>
      </rPr>
      <t>8.8</t>
    </r>
  </si>
  <si>
    <r>
      <t>8_9_</t>
    </r>
    <r>
      <rPr>
        <sz val="12"/>
        <color rgb="FF00FFFF"/>
        <rFont val="Arial Narrow"/>
        <family val="2"/>
      </rPr>
      <t>10</t>
    </r>
    <r>
      <rPr>
        <sz val="12"/>
        <color theme="1"/>
        <rFont val="Arial Narrow"/>
        <family val="2"/>
      </rPr>
      <t>_12</t>
    </r>
  </si>
  <si>
    <r>
      <t>8.2_</t>
    </r>
    <r>
      <rPr>
        <sz val="12"/>
        <color rgb="FF00FFFF"/>
        <rFont val="Arial Narrow"/>
        <family val="2"/>
      </rPr>
      <t>8.3</t>
    </r>
    <r>
      <rPr>
        <sz val="12"/>
        <color theme="1"/>
        <rFont val="Arial Narrow"/>
        <family val="2"/>
      </rPr>
      <t>_9.2_</t>
    </r>
    <r>
      <rPr>
        <sz val="12"/>
        <color rgb="FF00FFFF"/>
        <rFont val="Arial Narrow"/>
        <family val="2"/>
      </rPr>
      <t>10.2_10.3</t>
    </r>
    <r>
      <rPr>
        <sz val="12"/>
        <color theme="1"/>
        <rFont val="Arial Narrow"/>
        <family val="2"/>
      </rPr>
      <t>_12.1</t>
    </r>
  </si>
  <si>
    <r>
      <t xml:space="preserve">8.2_ </t>
    </r>
    <r>
      <rPr>
        <sz val="12"/>
        <color rgb="FF00FFFF"/>
        <rFont val="Arial Narrow"/>
        <family val="2"/>
      </rPr>
      <t>8.3</t>
    </r>
    <r>
      <rPr>
        <sz val="12"/>
        <color theme="1"/>
        <rFont val="Arial Narrow"/>
        <family val="2"/>
      </rPr>
      <t xml:space="preserve">_8.5_ 9.2_ </t>
    </r>
    <r>
      <rPr>
        <sz val="12"/>
        <color rgb="FF00FFFF"/>
        <rFont val="Arial Narrow"/>
        <family val="2"/>
      </rPr>
      <t>9.3_10.2_10.3</t>
    </r>
    <r>
      <rPr>
        <sz val="12"/>
        <color theme="1"/>
        <rFont val="Arial Narrow"/>
        <family val="2"/>
      </rPr>
      <t>_12.1</t>
    </r>
  </si>
  <si>
    <r>
      <t>8.2_</t>
    </r>
    <r>
      <rPr>
        <sz val="12"/>
        <color rgb="FF00FFFF"/>
        <rFont val="Arial Narrow"/>
        <family val="2"/>
      </rPr>
      <t>8.3</t>
    </r>
    <r>
      <rPr>
        <sz val="12"/>
        <color theme="1"/>
        <rFont val="Arial Narrow"/>
        <family val="2"/>
      </rPr>
      <t>_8.5_9.2_</t>
    </r>
    <r>
      <rPr>
        <sz val="12"/>
        <color rgb="FF00FFFF"/>
        <rFont val="Arial Narrow"/>
        <family val="2"/>
      </rPr>
      <t>10.2_10.3</t>
    </r>
    <r>
      <rPr>
        <sz val="12"/>
        <color theme="1"/>
        <rFont val="Arial Narrow"/>
        <family val="2"/>
      </rPr>
      <t>_12.1</t>
    </r>
  </si>
  <si>
    <r>
      <t>8_12_</t>
    </r>
    <r>
      <rPr>
        <sz val="12"/>
        <color theme="1"/>
        <rFont val="Arial Narrow"/>
        <family val="2"/>
      </rPr>
      <t>17</t>
    </r>
  </si>
  <si>
    <t>8.9_12B_17.17</t>
  </si>
  <si>
    <r>
      <t>8_9_12_</t>
    </r>
    <r>
      <rPr>
        <sz val="12"/>
        <color rgb="FF00FFFF"/>
        <rFont val="Arial Narrow"/>
        <family val="2"/>
      </rPr>
      <t>17</t>
    </r>
  </si>
  <si>
    <r>
      <t>8.2_8.5_9.2_12.1_</t>
    </r>
    <r>
      <rPr>
        <sz val="12"/>
        <color rgb="FF00FFFF"/>
        <rFont val="Arial Narrow"/>
        <family val="2"/>
      </rPr>
      <t>17.10_17.11_17.12_17.17</t>
    </r>
  </si>
  <si>
    <r>
      <t>8_9_</t>
    </r>
    <r>
      <rPr>
        <sz val="12"/>
        <color rgb="FF00FFFF"/>
        <rFont val="Arial Narrow"/>
        <family val="2"/>
      </rPr>
      <t>10</t>
    </r>
    <r>
      <rPr>
        <sz val="12"/>
        <color theme="1"/>
        <rFont val="Arial Narrow"/>
        <family val="2"/>
      </rPr>
      <t>_12_</t>
    </r>
    <r>
      <rPr>
        <sz val="12"/>
        <color rgb="FF00FFFF"/>
        <rFont val="Arial Narrow"/>
        <family val="2"/>
      </rPr>
      <t>17</t>
    </r>
  </si>
  <si>
    <r>
      <t>8.2_</t>
    </r>
    <r>
      <rPr>
        <sz val="12"/>
        <color rgb="FF00FFFF"/>
        <rFont val="Arial Narrow"/>
        <family val="2"/>
      </rPr>
      <t>8.3</t>
    </r>
    <r>
      <rPr>
        <sz val="12"/>
        <color theme="1"/>
        <rFont val="Arial Narrow"/>
        <family val="2"/>
      </rPr>
      <t>_8.5_9.2_</t>
    </r>
    <r>
      <rPr>
        <sz val="12"/>
        <color rgb="FF00FFFF"/>
        <rFont val="Arial Narrow"/>
        <family val="2"/>
      </rPr>
      <t>10.2_10.3</t>
    </r>
    <r>
      <rPr>
        <sz val="12"/>
        <color theme="1"/>
        <rFont val="Arial Narrow"/>
        <family val="2"/>
      </rPr>
      <t>_12.1_</t>
    </r>
    <r>
      <rPr>
        <sz val="12"/>
        <color rgb="FF00FFFF"/>
        <rFont val="Arial Narrow"/>
        <family val="2"/>
      </rPr>
      <t>17.14</t>
    </r>
  </si>
  <si>
    <r>
      <t>8.2_</t>
    </r>
    <r>
      <rPr>
        <sz val="12"/>
        <color rgb="FF00FFFF"/>
        <rFont val="Arial Narrow"/>
        <family val="2"/>
      </rPr>
      <t>8.3</t>
    </r>
    <r>
      <rPr>
        <sz val="12"/>
        <color theme="1"/>
        <rFont val="Arial Narrow"/>
        <family val="2"/>
      </rPr>
      <t>_8.5_9.2_1</t>
    </r>
    <r>
      <rPr>
        <sz val="12"/>
        <color rgb="FF00FFFF"/>
        <rFont val="Arial Narrow"/>
        <family val="2"/>
      </rPr>
      <t>0.2_10.3</t>
    </r>
    <r>
      <rPr>
        <sz val="12"/>
        <color theme="1"/>
        <rFont val="Arial Narrow"/>
        <family val="2"/>
      </rPr>
      <t>_12.1_17.14</t>
    </r>
  </si>
  <si>
    <r>
      <t>8.2_</t>
    </r>
    <r>
      <rPr>
        <sz val="12"/>
        <color rgb="FF00FFFF"/>
        <rFont val="Arial Narrow"/>
        <family val="2"/>
      </rPr>
      <t>8.3</t>
    </r>
    <r>
      <rPr>
        <sz val="12"/>
        <color theme="1"/>
        <rFont val="Arial Narrow"/>
        <family val="2"/>
      </rPr>
      <t>_8.5_9.2_</t>
    </r>
    <r>
      <rPr>
        <sz val="12"/>
        <color rgb="FF00FFFF"/>
        <rFont val="Arial Narrow"/>
        <family val="2"/>
      </rPr>
      <t>9.3_9.4_10.2_10.3</t>
    </r>
    <r>
      <rPr>
        <sz val="12"/>
        <color theme="1"/>
        <rFont val="Arial Narrow"/>
        <family val="2"/>
      </rPr>
      <t>_12.1</t>
    </r>
  </si>
  <si>
    <t>8_9_12</t>
  </si>
  <si>
    <r>
      <t>8.2_</t>
    </r>
    <r>
      <rPr>
        <sz val="12"/>
        <color rgb="FF00FFFF"/>
        <rFont val="Arial Narrow"/>
        <family val="2"/>
      </rPr>
      <t>8.3</t>
    </r>
    <r>
      <rPr>
        <sz val="12"/>
        <color theme="1"/>
        <rFont val="Arial Narrow"/>
        <family val="2"/>
      </rPr>
      <t>_8.5_9.2_12.1</t>
    </r>
  </si>
  <si>
    <r>
      <t>8.2_</t>
    </r>
    <r>
      <rPr>
        <sz val="12"/>
        <color rgb="FF00FFFF"/>
        <rFont val="Arial Narrow"/>
        <family val="2"/>
      </rPr>
      <t>8.3</t>
    </r>
    <r>
      <rPr>
        <sz val="12"/>
        <color theme="1"/>
        <rFont val="Arial Narrow"/>
        <family val="2"/>
      </rPr>
      <t>_8.5_9.2_12.1_</t>
    </r>
    <r>
      <rPr>
        <sz val="12"/>
        <color rgb="FF00FFFF"/>
        <rFont val="Arial Narrow"/>
        <family val="2"/>
      </rPr>
      <t>17.10_17.17</t>
    </r>
  </si>
  <si>
    <t>8.5_8.6</t>
  </si>
  <si>
    <t>8.5_8.6_8B</t>
  </si>
  <si>
    <r>
      <t>8</t>
    </r>
    <r>
      <rPr>
        <sz val="12"/>
        <color theme="1"/>
        <rFont val="Arial Narrow"/>
        <family val="2"/>
      </rPr>
      <t>_9</t>
    </r>
  </si>
  <si>
    <r>
      <t>8.2_8.3</t>
    </r>
    <r>
      <rPr>
        <sz val="12"/>
        <color theme="1"/>
        <rFont val="Arial Narrow"/>
        <family val="2"/>
      </rPr>
      <t>_9.4</t>
    </r>
  </si>
  <si>
    <t>8.2_8.5_9.4</t>
  </si>
  <si>
    <t>2_8_10</t>
  </si>
  <si>
    <t>2.3_2A_8.2_8.5_10.3</t>
  </si>
  <si>
    <t>2_8_9</t>
  </si>
  <si>
    <t>2.3_2A_8.2_8.5_9.4</t>
  </si>
  <si>
    <t>7_8_9_12</t>
  </si>
  <si>
    <r>
      <t>7.3_</t>
    </r>
    <r>
      <rPr>
        <sz val="12"/>
        <color rgb="FF434343"/>
        <rFont val="Arial Narrow"/>
        <family val="2"/>
      </rPr>
      <t>8.2_9.2_12.1</t>
    </r>
    <r>
      <rPr>
        <sz val="12"/>
        <color rgb="FF00FFFF"/>
        <rFont val="Arial Narrow"/>
        <family val="2"/>
      </rPr>
      <t>_12.6</t>
    </r>
  </si>
  <si>
    <t>7.3_8.2_9.2_12.1_12.6</t>
  </si>
  <si>
    <t>8.3_8.5_8.8_9.2_12.1</t>
  </si>
  <si>
    <r>
      <t>8.2_</t>
    </r>
    <r>
      <rPr>
        <sz val="12"/>
        <color rgb="FF00FFFF"/>
        <rFont val="Arial Narrow"/>
        <family val="2"/>
      </rPr>
      <t>8.3</t>
    </r>
    <r>
      <rPr>
        <sz val="12"/>
        <color theme="1"/>
        <rFont val="Arial Narrow"/>
        <family val="2"/>
      </rPr>
      <t>_8.5_9.2_</t>
    </r>
    <r>
      <rPr>
        <sz val="12"/>
        <color rgb="FF00FFFF"/>
        <rFont val="Arial Narrow"/>
        <family val="2"/>
      </rPr>
      <t>9.5</t>
    </r>
    <r>
      <rPr>
        <sz val="12"/>
        <color theme="1"/>
        <rFont val="Arial Narrow"/>
        <family val="2"/>
      </rPr>
      <t>_12.1</t>
    </r>
  </si>
  <si>
    <r>
      <t>2</t>
    </r>
    <r>
      <rPr>
        <sz val="12"/>
        <color theme="1"/>
        <rFont val="Arial Narrow"/>
        <family val="2"/>
      </rPr>
      <t>_8_9_12</t>
    </r>
  </si>
  <si>
    <t>2.3_2.4_8.2_8.3_8.5_9.2_12.1</t>
  </si>
  <si>
    <r>
      <t>8.2_9.2_</t>
    </r>
    <r>
      <rPr>
        <sz val="12"/>
        <color rgb="FF00FFFF"/>
        <rFont val="Arial Narrow"/>
        <family val="2"/>
      </rPr>
      <t>9B</t>
    </r>
    <r>
      <rPr>
        <sz val="12"/>
        <color theme="1"/>
        <rFont val="Arial Narrow"/>
        <family val="2"/>
      </rPr>
      <t>_12.1_</t>
    </r>
    <r>
      <rPr>
        <sz val="12"/>
        <color rgb="FF00FFFF"/>
        <rFont val="Arial Narrow"/>
        <family val="2"/>
      </rPr>
      <t>12.6</t>
    </r>
  </si>
  <si>
    <r>
      <t>2_</t>
    </r>
    <r>
      <rPr>
        <sz val="12"/>
        <color rgb="FF00FFFF"/>
        <rFont val="Arial Narrow"/>
        <family val="2"/>
      </rPr>
      <t>8_10_12</t>
    </r>
  </si>
  <si>
    <r>
      <t>2.3_</t>
    </r>
    <r>
      <rPr>
        <sz val="12"/>
        <color rgb="FF00FFFF"/>
        <rFont val="Arial Narrow"/>
        <family val="2"/>
      </rPr>
      <t>8.3_10.3_12.8</t>
    </r>
  </si>
  <si>
    <r>
      <t>2_3_</t>
    </r>
    <r>
      <rPr>
        <sz val="12"/>
        <color rgb="FF00FFFF"/>
        <rFont val="Arial Narrow"/>
        <family val="2"/>
      </rPr>
      <t>8_10</t>
    </r>
  </si>
  <si>
    <r>
      <t>2.3_</t>
    </r>
    <r>
      <rPr>
        <sz val="12"/>
        <color rgb="FF00FFFF"/>
        <rFont val="Arial Narrow"/>
        <family val="2"/>
      </rPr>
      <t>2A</t>
    </r>
    <r>
      <rPr>
        <sz val="12"/>
        <color theme="1"/>
        <rFont val="Arial Narrow"/>
        <family val="2"/>
      </rPr>
      <t>_3.9_</t>
    </r>
    <r>
      <rPr>
        <sz val="12"/>
        <color rgb="FF00FFFF"/>
        <rFont val="Arial Narrow"/>
        <family val="2"/>
      </rPr>
      <t>8.2_8.3_10.3</t>
    </r>
  </si>
  <si>
    <r>
      <t>2_</t>
    </r>
    <r>
      <rPr>
        <sz val="12"/>
        <color rgb="FF00FFFF"/>
        <rFont val="Arial Narrow"/>
        <family val="2"/>
      </rPr>
      <t>8_9_10</t>
    </r>
  </si>
  <si>
    <r>
      <t>2.3_</t>
    </r>
    <r>
      <rPr>
        <sz val="12"/>
        <color rgb="FF00FFFF"/>
        <rFont val="Arial Narrow"/>
        <family val="2"/>
      </rPr>
      <t>2A_8.2_8.3_9.3_10.3</t>
    </r>
  </si>
  <si>
    <t>2_8_12</t>
  </si>
  <si>
    <t>2.4_8.2_8.4_12.6</t>
  </si>
  <si>
    <t>2.3_8.2_8.5_9.4_</t>
  </si>
  <si>
    <t>2_16_17</t>
  </si>
  <si>
    <r>
      <t>2.3_</t>
    </r>
    <r>
      <rPr>
        <sz val="12"/>
        <color rgb="FF00FFFF"/>
        <rFont val="Arial Narrow"/>
        <family val="2"/>
      </rPr>
      <t>16.7_17.14</t>
    </r>
  </si>
  <si>
    <t>16.7_16.10</t>
  </si>
  <si>
    <r>
      <t>2_</t>
    </r>
    <r>
      <rPr>
        <sz val="12"/>
        <color rgb="FF00FFFF"/>
        <rFont val="Arial Narrow"/>
        <family val="2"/>
      </rPr>
      <t>8_10</t>
    </r>
  </si>
  <si>
    <r>
      <t>2.3_</t>
    </r>
    <r>
      <rPr>
        <sz val="12"/>
        <color rgb="FF00FFFF"/>
        <rFont val="Arial Narrow"/>
        <family val="2"/>
      </rPr>
      <t>8.2_8.3_10.3</t>
    </r>
  </si>
  <si>
    <r>
      <t>2.3_</t>
    </r>
    <r>
      <rPr>
        <sz val="12"/>
        <color rgb="FF00FFFF"/>
        <rFont val="Arial Narrow"/>
        <family val="2"/>
      </rPr>
      <t>8.2_8.3_9.3_10.3</t>
    </r>
  </si>
  <si>
    <r>
      <t>2_</t>
    </r>
    <r>
      <rPr>
        <sz val="12"/>
        <color rgb="FF00FFFF"/>
        <rFont val="Arial Narrow"/>
        <family val="2"/>
      </rPr>
      <t>5_8_9_10</t>
    </r>
  </si>
  <si>
    <r>
      <t>2.3_</t>
    </r>
    <r>
      <rPr>
        <sz val="12"/>
        <color rgb="FF00FFFF"/>
        <rFont val="Arial Narrow"/>
        <family val="2"/>
      </rPr>
      <t>2A_5.5_5A_8.2_8.3_9.3_10.3</t>
    </r>
  </si>
  <si>
    <r>
      <t>2_</t>
    </r>
    <r>
      <rPr>
        <sz val="12"/>
        <color rgb="FF00FFFF"/>
        <rFont val="Arial Narrow"/>
        <family val="2"/>
      </rPr>
      <t>8_10_17</t>
    </r>
  </si>
  <si>
    <r>
      <t>2.3_</t>
    </r>
    <r>
      <rPr>
        <sz val="12"/>
        <color rgb="FF00FFFF"/>
        <rFont val="Arial Narrow"/>
        <family val="2"/>
      </rPr>
      <t>8.2_8.3_10.3_17.10_17.12</t>
    </r>
  </si>
  <si>
    <r>
      <t>2_</t>
    </r>
    <r>
      <rPr>
        <sz val="12"/>
        <color rgb="FF00FFFF"/>
        <rFont val="Arial Narrow"/>
        <family val="2"/>
      </rPr>
      <t>9</t>
    </r>
  </si>
  <si>
    <r>
      <t>2.4_</t>
    </r>
    <r>
      <rPr>
        <sz val="12"/>
        <color rgb="FF00FFFF"/>
        <rFont val="Arial Narrow"/>
        <family val="2"/>
      </rPr>
      <t>9A</t>
    </r>
  </si>
  <si>
    <r>
      <t>2_</t>
    </r>
    <r>
      <rPr>
        <sz val="12"/>
        <color rgb="FF00FFFF"/>
        <rFont val="Arial Narrow"/>
        <family val="2"/>
      </rPr>
      <t>8_9</t>
    </r>
  </si>
  <si>
    <r>
      <t>2.4_</t>
    </r>
    <r>
      <rPr>
        <sz val="12"/>
        <color rgb="FF00FFFF"/>
        <rFont val="Arial Narrow"/>
        <family val="2"/>
      </rPr>
      <t>8.2_8.4_9.1</t>
    </r>
  </si>
  <si>
    <r>
      <t>2.4_</t>
    </r>
    <r>
      <rPr>
        <sz val="12"/>
        <color rgb="FF00FFFF"/>
        <rFont val="Arial Narrow"/>
        <family val="2"/>
      </rPr>
      <t>8.2_8.4_9.4</t>
    </r>
  </si>
  <si>
    <r>
      <t>11_</t>
    </r>
    <r>
      <rPr>
        <sz val="12"/>
        <color rgb="FF00FFFF"/>
        <rFont val="Arial Narrow"/>
        <family val="2"/>
      </rPr>
      <t>17</t>
    </r>
  </si>
  <si>
    <r>
      <t>11A_</t>
    </r>
    <r>
      <rPr>
        <sz val="12"/>
        <color rgb="FF00FFFF"/>
        <rFont val="Arial Narrow"/>
        <family val="2"/>
      </rPr>
      <t>17.17_17.18</t>
    </r>
  </si>
  <si>
    <r>
      <t>8_</t>
    </r>
    <r>
      <rPr>
        <sz val="12"/>
        <color rgb="FF00FFFF"/>
        <rFont val="Arial Narrow"/>
        <family val="2"/>
      </rPr>
      <t>12</t>
    </r>
  </si>
  <si>
    <r>
      <t>8.9_</t>
    </r>
    <r>
      <rPr>
        <sz val="12"/>
        <color rgb="FF00FFFF"/>
        <rFont val="Arial Narrow"/>
        <family val="2"/>
      </rPr>
      <t>12B</t>
    </r>
  </si>
  <si>
    <t>8_12</t>
  </si>
  <si>
    <r>
      <t>8.9</t>
    </r>
    <r>
      <rPr>
        <sz val="12"/>
        <color rgb="FF94DCF8"/>
        <rFont val="Arial Narrow"/>
        <family val="2"/>
      </rPr>
      <t>_12B</t>
    </r>
  </si>
  <si>
    <r>
      <t>8.9</t>
    </r>
    <r>
      <rPr>
        <sz val="12"/>
        <color rgb="FF94DCF8"/>
        <rFont val="Arial Narrow"/>
        <family val="2"/>
      </rPr>
      <t>_9.1</t>
    </r>
  </si>
  <si>
    <r>
      <t>8_</t>
    </r>
    <r>
      <rPr>
        <sz val="12"/>
        <color rgb="FF00FFFF"/>
        <rFont val="Arial Narrow"/>
        <family val="2"/>
      </rPr>
      <t>17</t>
    </r>
  </si>
  <si>
    <r>
      <t>8.2_</t>
    </r>
    <r>
      <rPr>
        <sz val="12"/>
        <color rgb="FF00FFFF"/>
        <rFont val="Arial Narrow"/>
        <family val="2"/>
      </rPr>
      <t>17.14</t>
    </r>
  </si>
  <si>
    <t>8.9_12B</t>
  </si>
  <si>
    <t>8_12_13_15</t>
  </si>
  <si>
    <t>8.9_12B_13.3_15.1_15.9</t>
  </si>
  <si>
    <r>
      <t>8_</t>
    </r>
    <r>
      <rPr>
        <sz val="12"/>
        <color rgb="FF00FFFF"/>
        <rFont val="Arial Narrow"/>
        <family val="2"/>
      </rPr>
      <t>9_15</t>
    </r>
  </si>
  <si>
    <r>
      <t>8.2_</t>
    </r>
    <r>
      <rPr>
        <sz val="12"/>
        <color rgb="FF00FFFF"/>
        <rFont val="Arial Narrow"/>
        <family val="2"/>
      </rPr>
      <t>9.1_15.1</t>
    </r>
  </si>
  <si>
    <r>
      <t>16_</t>
    </r>
    <r>
      <rPr>
        <sz val="12"/>
        <color theme="1"/>
        <rFont val="Arial Narrow"/>
        <family val="2"/>
      </rPr>
      <t>17</t>
    </r>
  </si>
  <si>
    <r>
      <t>16.7</t>
    </r>
    <r>
      <rPr>
        <sz val="12"/>
        <color theme="1"/>
        <rFont val="Arial Narrow"/>
        <family val="2"/>
      </rPr>
      <t>_17.17</t>
    </r>
  </si>
  <si>
    <t>META ODS Indicador de Producto</t>
  </si>
  <si>
    <t>¿Es indicador de Plan Abrigo?</t>
  </si>
  <si>
    <t>Si</t>
  </si>
  <si>
    <t>No</t>
  </si>
  <si>
    <t>Plan Abrigo</t>
  </si>
  <si>
    <t># del Indicador Plan Abrigo</t>
  </si>
  <si>
    <t>Suma Programación Cuatrienio</t>
  </si>
  <si>
    <t>Indicador de Producto</t>
  </si>
  <si>
    <t>Descripción del Indicador de Producto</t>
  </si>
  <si>
    <t xml:space="preserve">ICLD </t>
  </si>
  <si>
    <t xml:space="preserve">ICDE </t>
  </si>
  <si>
    <t xml:space="preserve">SGP Educación </t>
  </si>
  <si>
    <t xml:space="preserve">SGP Salud </t>
  </si>
  <si>
    <t xml:space="preserve">SGP APSB </t>
  </si>
  <si>
    <t xml:space="preserve">Recursos Propios Entidades Descentralizadas </t>
  </si>
  <si>
    <t xml:space="preserve">Sistema General de Regalías - SGR </t>
  </si>
  <si>
    <t xml:space="preserve">Crédito </t>
  </si>
  <si>
    <t xml:space="preserve">Total Hacienda </t>
  </si>
  <si>
    <t xml:space="preserve">Gestión </t>
  </si>
  <si>
    <t xml:space="preserve">Cofinanciación </t>
  </si>
  <si>
    <t xml:space="preserve">Otros Recursos </t>
  </si>
  <si>
    <t xml:space="preserve">Total Gestión </t>
  </si>
  <si>
    <t xml:space="preserve">Total </t>
  </si>
  <si>
    <t>indicador</t>
  </si>
  <si>
    <t>El diligenciamiento de la presente programación debe realizarse en Office 2021 o superior, si presenta dificultad para el diligenciamiento la gobernación tiene dispuesta para cada cuenta institucional Office 365. Por favor diligenciarlo desde allí, en su espacio online.
Si el office no es el indicado, la matriz no le permitirá diligenciar los registros, debido a los elementos sobre la cual fue diseñada.</t>
  </si>
  <si>
    <t>Suma de ICLD 5</t>
  </si>
  <si>
    <t>Suma de SGP Educación 5</t>
  </si>
  <si>
    <t>Suma de ICDE 5</t>
  </si>
  <si>
    <t>Suma de SGP Salud 5</t>
  </si>
  <si>
    <t>Suma de SGP APSB 5</t>
  </si>
  <si>
    <t>Suma de Recursos Propios Entidades Descentralizadas 5</t>
  </si>
  <si>
    <t>Suma de Sistema General de Regalías - SGR 5</t>
  </si>
  <si>
    <t>Suma de Crédito 5</t>
  </si>
  <si>
    <t>Suma de Gestión 5</t>
  </si>
  <si>
    <t>Suma de Cofinanciación 5</t>
  </si>
  <si>
    <t>Suma de Otros Recursos 5</t>
  </si>
  <si>
    <t>Tipo de Recurso</t>
  </si>
  <si>
    <t>Valor Cuatrienio</t>
  </si>
  <si>
    <t>3. Tierra  Verde y Biodiversa</t>
  </si>
  <si>
    <t>4. Tierra para Vivir Dignamente y Segura</t>
  </si>
  <si>
    <t>5. Tierra del Cuidado y la Inclusión</t>
  </si>
  <si>
    <t>1.1.1 Boyacá la más educada: conectando saberes con el TIC</t>
  </si>
  <si>
    <t>1.2.1 Fortalecimiento de las capacidades hacia un Tránsito Para La Educación Superior, Por Una Boyacá Grande</t>
  </si>
  <si>
    <t>1.4.1  Desarrollo, formación cultural para Boyacá Grande.</t>
  </si>
  <si>
    <t>2.7.1  Por la eficiencia Administrativa y fiscal para una Boyacá grande.</t>
  </si>
  <si>
    <t>2.7.1  Po la eficiencia Administrativa y fiscal para una Boyacá grande.</t>
  </si>
  <si>
    <t xml:space="preserve">3.1.4. Por la Boyacá grande en energía eléctrica convencional y no convencional </t>
  </si>
  <si>
    <t xml:space="preserve">3.1.5  Por una Boyacá Grande manejo efectivo de desastres </t>
  </si>
  <si>
    <t>3.2.1  Por la Naturaleza biodiversa</t>
  </si>
  <si>
    <t>3.2.2  Por la Naturaleza transformadora de residuos sólidos</t>
  </si>
  <si>
    <t xml:space="preserve">3.2.3  Por la Naturaleza viva y sostenible </t>
  </si>
  <si>
    <t xml:space="preserve">3.2.4  Por la Educación ambiental para un futuro sostenible </t>
  </si>
  <si>
    <t>3.2.5  Por la Naturaleza para la protección y el bienestar animal</t>
  </si>
  <si>
    <t>4.4.1 Por la Boyacá grande con el deporte asociado</t>
  </si>
  <si>
    <t>4.4.2  Con el Fortalecimiento Institucional En El Deporte Para Una Boyacá Grande</t>
  </si>
  <si>
    <t>4.4.3  Estilos de vida en deporte social para una Boyacá grande</t>
  </si>
  <si>
    <t>5.1.1  Por una Boyacá grande, con acciones de prevención y promoción de derechos de niños, niñas y adolescentes</t>
  </si>
  <si>
    <t>5.1.2  Por la gestión social y la  Red integral de cuidado y bienestar de Boyacá "Plan Abrigo</t>
  </si>
  <si>
    <t>5.2.2  Una Boyacá grande, diversa, incluyente y no excluyente, por el respeto y garantías de los derechos de la ´población LGTBIQ+ / OSIGD</t>
  </si>
  <si>
    <t>5.2.4  Desde la Boyacá Grande, se construyen segundas oportunidades para los adolescentes que hacen parte del sistema de responsabilidad penal”</t>
  </si>
  <si>
    <t>Generar estrategias para promover el tránsito de estudiantes de Educación Media a la Educación Superior, fortaleciendo su formación integral.</t>
  </si>
  <si>
    <t>Fortalecer los procesos de formación artística cultural apoyados por la Secretaría de cultura y patrimonio de Boyacá, para el afianzamiento de los valores éticos-estéticos-políticos, en la población que habita en el departamento de Boyacá</t>
  </si>
  <si>
    <t>Fomentar la economía circular a través del tratamiento, aprovechamiento y valorización de residuos sólidos en el departamento de Boyacá.</t>
  </si>
  <si>
    <t>Promover e implementar  la Red integral de cuidado y bienestar de Boyacá “Plan Abrigo” en el departamento a partir de políticas y estrategias de cuidados con enfoque de género y territorial para garantizar el derecho a las personas a cuidar y ser cuidados, a partir de la inclusión y la gestión social.</t>
  </si>
  <si>
    <t>Promover la garantía y el ejercicio de derechos y ciudadanía de la comunidad LGBTIQ+ y OSIGD del departamento de Boyacá a partir del fortalecimiento organizacional, la superación de la discriminación y el apoyo a las instancias de participación en los territorios.</t>
  </si>
  <si>
    <t>Formación en Educación Digital para la ciudadanía</t>
  </si>
  <si>
    <t>Personas de la comunidad con discapacidad capacitadas en TIC para la inclusión en el uso de las TIC.(“Plan Abrigo” cuidado)</t>
  </si>
  <si>
    <t>Eventos para  promoción  de productos y Servicio de la industria TI realizados</t>
  </si>
  <si>
    <t xml:space="preserve">Red Troncal Neutra para mejorar el tráfico de internet </t>
  </si>
  <si>
    <t xml:space="preserve">Número de estudiantes </t>
  </si>
  <si>
    <t>Subdirección de Calidad Educativa Líder Bilingüismo  DIRECCIÓN TÉCNICO PEDAGÓGICA  Año:2023</t>
  </si>
  <si>
    <t xml:space="preserve">Numero de estudios </t>
  </si>
  <si>
    <t>Fuente: Subdirección Calidad Educativa, Dirección Técnico
 Año: 2023</t>
  </si>
  <si>
    <t>Calidad y fomento de la educación superior</t>
  </si>
  <si>
    <t xml:space="preserve">Beneficiarios de estrategias o programas de  apoyo financiero para la permanencia en la educación superior </t>
  </si>
  <si>
    <t xml:space="preserve">Calidad y formento de la educación superior </t>
  </si>
  <si>
    <t>Docentes y agentes educativos  de educación inicial, preescolar, básica y media, beneficiados con estrategias de mejoramiento de sus capacidades</t>
  </si>
  <si>
    <t>Participación de docentes, directivos, docentes, en eventos de innovación pedagógicas ofrecidas por Instituciones de educación superior</t>
  </si>
  <si>
    <t xml:space="preserve">Subdirección Calidad educativa – Dirección Técnico pedagógica año 2023 </t>
  </si>
  <si>
    <t>Sedes educativas con apoyo pedagógico para  la oferta de educación inclusiva para preescolar, básica y media</t>
  </si>
  <si>
    <t>Fuente: Cobertura Educativa. Líder Población Víctima Dirección Técnico Pedagógica, año 2023</t>
  </si>
  <si>
    <t>Beneficiarios atendidos con modelos educativos flexibles (Escuela Nueva - ABP básica, primaria y secundaria)</t>
  </si>
  <si>
    <t>Fortalecer e implementar los modelos de    Aprendizaje basado en Proyectos ABP, en Básica primaria, secundaria y media</t>
  </si>
  <si>
    <t>Fuente: Cobertura Educativa. Líder Educación Inclusiva Dirección Técnico Pedagógica
 Año: 2023</t>
  </si>
  <si>
    <t>Fuente: Subdirección de Calidad Educativa Líder Bilingüismo  DIRECCIÓN TÉCNICO PEDAGÓGICA
 Año: 2023</t>
  </si>
  <si>
    <t>Fuente: Subdirección de Calidad Educativa  DIRECCIÓN TÉCNICO PEDAGÓGICA
 Año: 2023</t>
  </si>
  <si>
    <t xml:space="preserve">Establecimientos educativos beneficiados </t>
  </si>
  <si>
    <t>Apoyar Proyectos Pedagógicos Productivos - SDC) Incluye instituciones educativas con modalidad agropecuaria</t>
  </si>
  <si>
    <t>Fuente: Lider comunicaciones Secretaría de Educación
 Año: 2023</t>
  </si>
  <si>
    <t>Fuente: Cobertura Educativa  Dirección Técnico Pedagógica Año 2022</t>
  </si>
  <si>
    <t>Personas beneficiadas con estrategias de fomento para el acceso a la educación inicial, preescolar, básica y media. (matrículaton)</t>
  </si>
  <si>
    <t>Fuente: Cobertura Educativa Líder PAE Dirección Técnico-Pedagógica
 Año: 2023</t>
  </si>
  <si>
    <t xml:space="preserve">Personas beneficiarias de ciclos lectivos especiales integrados </t>
  </si>
  <si>
    <t>Ofrecer Educación para Jóvenes en Extraedad y adultos. SDC</t>
  </si>
  <si>
    <t>Fuente: Cobertura Educativa, Líder Jóvenes en Extraedad y Adultos. Dirección Técnico Pedagógica
  Año: 2023</t>
  </si>
  <si>
    <t>Fuente: Cobertura Educativa, Líder Jóvenes en Extraedad y Adultos.
 Año: 2023</t>
  </si>
  <si>
    <t xml:space="preserve">Dirección Técnico-Pedagógica
Año 2023
</t>
  </si>
  <si>
    <t xml:space="preserve">Entidades y organizaciones asistidas técnicamente </t>
  </si>
  <si>
    <t>Apoyar y acompañar los Planes de mejoramiento de los PEI de las Instituciones Educativas y realizar asistencia técnica en educación inicial, preescolar, básica y media en  entornos urbanos y rurales</t>
  </si>
  <si>
    <t xml:space="preserve">Calidad, cobertura y fortalecimiento de la educación inicial, preescolar, básica y media </t>
  </si>
  <si>
    <t>Personas beneficiadas con procesos de formación informal  (Foro educativo territorial)</t>
  </si>
  <si>
    <t>Fuente: Subdirección de Calidad Educativa  DIRECCIÓN TÉCNICO PEDAGÓGICA  Año: 2023</t>
  </si>
  <si>
    <t xml:space="preserve">Asistencias Técnicas Realizadas </t>
  </si>
  <si>
    <t>Fuente. Cobertura Educativa. Líder Jornada única Dirección Técnico Pedagógica  Año: 2023</t>
  </si>
  <si>
    <t>Establecimientos educativos apoyados para la  implementación de modelos de innovación educativa (STEM, TIC)</t>
  </si>
  <si>
    <t>Fuente: Bienes y servicios y sistemas de información  Año: 2023</t>
  </si>
  <si>
    <t xml:space="preserve">Fuente: Subdirección de Calidad Educativa  DIRECCIÓN TÉCNICO PEDAGÓGICA  Año: 2023 </t>
  </si>
  <si>
    <t xml:space="preserve">Mejorar sedes educativas oficiales con nivel Preescolar, Primaria, Secundaria y Media y Construcción de Cubiertas. </t>
  </si>
  <si>
    <t xml:space="preserve">Docentes y agentes educativos  de educación inicial, preescolar, básica y media beneficiados con estrategias de mejoramiento de sus capacidades </t>
  </si>
  <si>
    <t>Realizar estudios en los diferentes niveles educativos con el fin de que estos fortalezcan sus capacidades.  Igualmente, con Jornadas Pedagógica, Recreativas y Deportivas - Culturales y Festival Escolar Étnico</t>
  </si>
  <si>
    <t>Fuente: Oficina de Gestión Estratégica Líder MIPG  Año: 2023</t>
  </si>
  <si>
    <t xml:space="preserve">Entidades asistidas técnicamente
 (Inspección y Vigilancia)
</t>
  </si>
  <si>
    <t xml:space="preserve">Fuente: Subdirección Inspección y Vigilancia DIRECCIÓN TÉCNICO PEDAGÓGICA
 Año: 2023
</t>
  </si>
  <si>
    <t xml:space="preserve">Garantizar el servicio educativo a través del trabajo de los docentes y directivos docentes. </t>
  </si>
  <si>
    <t>Despacho Secretaria de Educación  Año: 2023</t>
  </si>
  <si>
    <t>Coberturas obtenidas (Bienestar Laboral, Docente y estrategias de prevención socio-emocional -  Inducción y Reinducción Docentes Directivos Docentes y Administrativos)</t>
  </si>
  <si>
    <t xml:space="preserve">Fuente: Dirección Administrativa y Financiera
 Año: 2023
</t>
  </si>
  <si>
    <t xml:space="preserve">Capacitaciones No formales en expresiones artísticas y manifestaciones culturales </t>
  </si>
  <si>
    <t xml:space="preserve"> Estímulos otorgados</t>
  </si>
  <si>
    <t>Asistencias técnicas para el fortalecimiento de las bibliotecas públicas Municipales.</t>
  </si>
  <si>
    <t>Encuentros de áreas artísticas, las redes y patrimonio cultural</t>
  </si>
  <si>
    <t>Realización de eventos culturales (FICC, zonales y departamental de bandas de música, festival de muralismo, entre otros)</t>
  </si>
  <si>
    <t>Sede, biblioteca departamental y otro</t>
  </si>
  <si>
    <t>Declaratorias, bienes de patrimonio cultural</t>
  </si>
  <si>
    <t>Restauraciones realizadas (Pantano de Vargas, Auditorios, Templos doctríneros)</t>
  </si>
  <si>
    <t>Cuadros de Resultados  temática Tecnología e Innovación producidos</t>
  </si>
  <si>
    <t>Ordenanza 040. PP de CTeI</t>
  </si>
  <si>
    <t xml:space="preserve">Áreas creadas para brindar asistencia técnica a los actores del sistema regional de CTeI.
Brindar asistencia técnica a 13 provincias y dos (2) distritos especiales del departamento.
Alianzas público-comunitarias y campesinas, con enfoque diferencial y degenero para  la gobernanza de CTeI  generadas
3 acuerdos con Cámaras de Comercio de Boyacá, Gobernación y municipios para la reducción de trámites
</t>
  </si>
  <si>
    <t>Empresas apoyadas con recursos financieros o en especie para fortalecer procesos de innovación</t>
  </si>
  <si>
    <t>Realizar acompañamiento a  actores del SRCTeI en procesos de fortalecimiento institucional para ser reconocidos ante Minciencias</t>
  </si>
  <si>
    <t>Cursos de desarrollo tecnológico e innovación realizados</t>
  </si>
  <si>
    <t>Curso transferencia de innovación para el aprovechamiento y la valorización de residuos sólidos</t>
  </si>
  <si>
    <t xml:space="preserve">Secretaria de Agricultura, Gobernación de Boyacá, Final de Empalme, Equipo Boyacá Grande, diciembre 2023. </t>
  </si>
  <si>
    <t>Programas y proyectos de ciencia tecnología e innovación agropecuaria (puede incluir  la creación de un banco de semillas nativas de Boyacá ligado a proyectos de ciencia e investigación agropecuaria)</t>
  </si>
  <si>
    <t>Gobernación de Boyacá, Cambio Climático, Brechas, Boyacá bío, Boyacá (Regalías) Agro 2023</t>
  </si>
  <si>
    <t>Personas capacitadas  (Formación Tecnica)</t>
  </si>
  <si>
    <t>UACP  /2023</t>
  </si>
  <si>
    <t>Empresas apoyadas  para el desarrollo de Contenidos Digitales</t>
  </si>
  <si>
    <t xml:space="preserve">Política pública de Acción Comunal,  actualización de Política Pública de juventud, veteranos de la fuerza pública e institucionalización de la carpeta de estímulos  </t>
  </si>
  <si>
    <t>Estrategias de promoción a la participación ciudadana (implementadas "Plan Abrigo")</t>
  </si>
  <si>
    <t>Escuela de         Liderazgo, de                               Formación          Campesina, Semana juventud, Ferias de                                          emprendimiento y                                                                          empleabilidad, Siembra de árboles,         guarda páramos</t>
  </si>
  <si>
    <t>Capacitación y asistencia técnica a los 123 Enlaces Municipales de Juventud en:
*Convocatoria de Actualización de Plataforma Juveniles
*Consejos Municipales Juveniles
*Estatuto de Ciudadanía Juvenil</t>
  </si>
  <si>
    <t>Jornadas de capacitación y sensibilización.
*Salud mental
*Prevención del Consumo de Sustancias Psicoactivas y alcohol
*Prevención del Embarazo
*Talleres artísticos- Culturales
* Talleres dirigidos a Personas con capacidades diferentes
* Talleres a la Comunidad LQTBIQ+</t>
  </si>
  <si>
    <t>Empresas mineras apoyadas para la gestión de recursos para la eficiencia energética (puede incluir
 implementación de paneles solares en hospitales públicos del departamento, como programa de transición energética.)</t>
  </si>
  <si>
    <t xml:space="preserve">Unidades productivas beneficiadas en la implementación de estrategias para incrementar su productividad. </t>
  </si>
  <si>
    <t>Fortalecimiento empresarial, desde el emprendimiento hasta consolidar la excelencia empresarial (Emprendimiento, Artesanías, Subsector Cosméticos, Sector Construcción, Marketing territorial, Herramientas  Gerenciales,  “Plan Abrigo”, Galardón a la excelencia empresarial.)</t>
  </si>
  <si>
    <t xml:space="preserve">1235
</t>
  </si>
  <si>
    <t>Ruta exportadora, misiones internacionales, macrorruedas, operación de la SCI y la 
agencia de cooperación internacional</t>
  </si>
  <si>
    <t>Desarrollo local - ADEL, denominaciones de origen, marcas colectivas 8 puede incluir  la asistencia, acompañamiento y apoyo a proyectos de emprendimiento desarrollados por Institutos y universidades públicas</t>
  </si>
  <si>
    <t xml:space="preserve">36. </t>
  </si>
  <si>
    <t xml:space="preserve">41. </t>
  </si>
  <si>
    <t xml:space="preserve">Secretaria de Agricultura, Informe Final de Empalme, Equipo Boyacá Grande diciembre 2023. </t>
  </si>
  <si>
    <t>Secretaria de Agricultura, Drive Dirección de Productividad Agropecuaria  2023</t>
  </si>
  <si>
    <t>Acompañamiento empresarial en bioeconomía, energías renovables y economía 
circular</t>
  </si>
  <si>
    <t xml:space="preserve">Número de empresas </t>
  </si>
  <si>
    <t>Funcionarios capacitados en cultura organizacional y mentalidad del cambio en torno a temas de 
economía circular, valor compartido y sostenibilidad</t>
  </si>
  <si>
    <t>Cultura organizacional y mentalidad del cambio en bioeconomía, energías 
renovables y economía circular</t>
  </si>
  <si>
    <t>Talleres, cursos, encuentros de saberes sistemas de educación informal</t>
  </si>
  <si>
    <t>Desarrollo de convocatorias como FONDO FINCA, FONDO Y CONPES LACTEOS, entre otros programas que aumentas las capacidades productivas</t>
  </si>
  <si>
    <t xml:space="preserve">Secretaria de Agricultura, Gobernación de Boyacá, PDD Creemos en Boyacá 2016 – 2019, PDD Pacto Social por Boyacá, Tierra que sigue avanzando 2020 – 2023, Informe Final de Empalme, Equipo Boyacá Grande diciembre 2023. </t>
  </si>
  <si>
    <t xml:space="preserve">Secretaria de Agricultura, Drive Dirección de Productividad, Asociatividad, Plan de Intervención 2022. </t>
  </si>
  <si>
    <t xml:space="preserve">Secretaria de Agricultura, Drive Dirección de Productividad, Eventos Comerciales Dirección de Bienestar Campesino, Red de Mercados 2023. </t>
  </si>
  <si>
    <t xml:space="preserve">Secretaria de Agricultura, Drive Dirección de Productividad, Eventos Comerciales 2023. </t>
  </si>
  <si>
    <t xml:space="preserve">Secretaria de Agricultura, Informe Final de Empalme, Equipo Boyacá Grande diciembre, Documentos Anexos, Adecuación de Tierras, 2023. </t>
  </si>
  <si>
    <t xml:space="preserve">Secretaria de Agricultura, Drive Dirección de Desarrollo Rural Integral, Ordenamiento productivo 2023. </t>
  </si>
  <si>
    <t xml:space="preserve">Agua almacenada (Reservorios para temas agropecuarios)
</t>
  </si>
  <si>
    <t xml:space="preserve">Proyectos para la promoción del uso eficiente y ahorro del agua formulados </t>
  </si>
  <si>
    <t>Unidades productivas  beneficiadas en la implementación de estrategias para incrementar su productividad</t>
  </si>
  <si>
    <t xml:space="preserve">Elaboración de planes de acción para los Consejos de Turismo </t>
  </si>
  <si>
    <t>Asistencias  Técnicas realizadas</t>
  </si>
  <si>
    <t xml:space="preserve">SIP – Inventario vial </t>
  </si>
  <si>
    <t xml:space="preserve">Puentes construidos en vías terciarias </t>
  </si>
  <si>
    <t xml:space="preserve">Puentes de la red terciaria con mantenimiento </t>
  </si>
  <si>
    <t xml:space="preserve">Puentes de la red secundaria con mantenimiento </t>
  </si>
  <si>
    <t xml:space="preserve">Dirección de vivienda </t>
  </si>
  <si>
    <t>Inventario vial, terciarias a cargo del departamento</t>
  </si>
  <si>
    <t xml:space="preserve"> Secretaría de Infraestructura</t>
  </si>
  <si>
    <t xml:space="preserve">Modernización sistemas de información misional y de apoyo </t>
  </si>
  <si>
    <t xml:space="preserve">Área de comunicación digital UACP /2023 </t>
  </si>
  <si>
    <t xml:space="preserve">   Informe de Gestión UACP / 2023 </t>
  </si>
  <si>
    <t>Fortalecimiento a la gestión y dirección de la administración pública territorial  Nota. Indicador intersectorial  con TIC</t>
  </si>
  <si>
    <t xml:space="preserve">Número de sistemas </t>
  </si>
  <si>
    <t xml:space="preserve">Sistema de Gestión implementado </t>
  </si>
  <si>
    <t xml:space="preserve">Construcción de una torre auto soportada de transmisión de 40 metros de alto  </t>
  </si>
  <si>
    <t xml:space="preserve">Fomento del desarrollo de aplicaciones, software y contenidos para impulsar la apropiación de las Tecnologías de la Información y las Comunicaciones (TIC) </t>
  </si>
  <si>
    <t xml:space="preserve">Número de soluciones tecnológicas </t>
  </si>
  <si>
    <t xml:space="preserve">Contratación UACP - Gobernación de Boyacá / 2020 - 2023  </t>
  </si>
  <si>
    <t xml:space="preserve">Facilitar el acceso y uso de las Tecnologías de la Información y las Comunicaciones en todo el territorio nacional </t>
  </si>
  <si>
    <t xml:space="preserve">Número de documentos  </t>
  </si>
  <si>
    <t xml:space="preserve">Informe gestión UACP /2023 </t>
  </si>
  <si>
    <t xml:space="preserve">Convenios de financiación y capacitación con emisoras comunitarias  </t>
  </si>
  <si>
    <t xml:space="preserve">Sec. TIC  </t>
  </si>
  <si>
    <t xml:space="preserve">Número de documentos </t>
  </si>
  <si>
    <t xml:space="preserve">Artículos de investigación sobre ciclo de defensa jurídica </t>
  </si>
  <si>
    <t>Número de documentos  realizados</t>
  </si>
  <si>
    <t xml:space="preserve">Decretos adoptando lineamientos </t>
  </si>
  <si>
    <t xml:space="preserve">Personas capacitadas </t>
  </si>
  <si>
    <t xml:space="preserve"> Lucha contra la corrupción</t>
  </si>
  <si>
    <t xml:space="preserve"> Número de eventos de divulgación</t>
  </si>
  <si>
    <t xml:space="preserve"> Sedes Mantenidas</t>
  </si>
  <si>
    <t xml:space="preserve">Optimizar los inmuebles del departamento realizando actividades de mantenimiento, mejoramiento, conservación y preservación de los mismos. </t>
  </si>
  <si>
    <t>Secretaria de Contratación – Gobernación  de Boyacá 2023</t>
  </si>
  <si>
    <t xml:space="preserve">Mantener la aplicación del procedimiento de Gestión Documental </t>
  </si>
  <si>
    <t xml:space="preserve">Crear un Micrositio denominado “Escuela de Contratación Pública” en la página WEB de la Gobernación </t>
  </si>
  <si>
    <t xml:space="preserve">Actualizar la información de los procesos contractuales en las plataformas SECOP I, SECOP II, SIA OBSERVA, SIGEP II y Pagina WEB de la Gobernación </t>
  </si>
  <si>
    <t>Secretaria de Contratación – Gobernación  de Boyacá 2023.</t>
  </si>
  <si>
    <t xml:space="preserve">Capacitar y asesorar, en lo relacionado con la Gestión Contractual, a las juntas de acción de comunal, MiPymes y dependencias de la Gobernación </t>
  </si>
  <si>
    <t>Documento Política de Control Interno, Gobernación de Boyacá.  OACIG 2023</t>
  </si>
  <si>
    <t xml:space="preserve"> Informe de Asesorías y acompañamientos- OACIG 2023</t>
  </si>
  <si>
    <t>Plan Anual de Auditorias  OACIG 2023</t>
  </si>
  <si>
    <t xml:space="preserve"> porcentaje</t>
  </si>
  <si>
    <t>Entidades organismos y dependencias asistidas  Técnicamente</t>
  </si>
  <si>
    <t xml:space="preserve">Asistir administrativa y financieramente a los 123 municipios y las sectoriales de la </t>
  </si>
  <si>
    <t>Estrategias de promoción de la garantía de derechos implementadas  (Sistema de Cuidado)</t>
  </si>
  <si>
    <t xml:space="preserve">Empresas beneficiadas </t>
  </si>
  <si>
    <t xml:space="preserve">Proyectos de alto impacto asistidos para el fortalecimiento de cadenas productivas </t>
  </si>
  <si>
    <t xml:space="preserve">Maquilas de otros Departamentos </t>
  </si>
  <si>
    <t xml:space="preserve">Automatización – Modernización de Planta </t>
  </si>
  <si>
    <t xml:space="preserve">Instrumentos para el mejoramiento productivo implementados </t>
  </si>
  <si>
    <t xml:space="preserve">Iniciativas comunitarias apoyada </t>
  </si>
  <si>
    <t xml:space="preserve">Intervenciones en sectores de interés que incluyen un plan de acción y una medición final </t>
  </si>
  <si>
    <t>Fortalecimiento de la gestión y dirección del sector Comercio, Industria y Turismo</t>
  </si>
  <si>
    <t>Documentos de caracterización de grupos de valor mediante la actualización  software CRM</t>
  </si>
  <si>
    <t>Diseño e implementación de  estrategias de  control de Juego Ilegal (Cultura del cuidado)</t>
  </si>
  <si>
    <t>Instrumentos para el mejoramiento productivo  implementado (Gestión de bienes muebles e inmuebles)</t>
  </si>
  <si>
    <t>Revisar anterior Plan de internacionalización de Boyacá, actualizar, ajustar y  plan de trabajo.</t>
  </si>
  <si>
    <t>Implementación de sistema para advertir a la comunidad de zonas con  riego ante la eventual manifestación de un fenómeno natural</t>
  </si>
  <si>
    <t>Mesas de atención  a conflictos, agendas permanentes, articulación institucional</t>
  </si>
  <si>
    <t xml:space="preserve">Personas asistidas técnicamente </t>
  </si>
  <si>
    <t xml:space="preserve">Plan departamental de capacitación para la reconversión  </t>
  </si>
  <si>
    <t xml:space="preserve">Proyectos productivos implementados </t>
  </si>
  <si>
    <t xml:space="preserve"> Número de personas</t>
  </si>
  <si>
    <t xml:space="preserve"> Número de obras</t>
  </si>
  <si>
    <t>Campañas departamentales de recolección de residuos agroquímicos.
 Residuos posconsumo fomentando la economía circular</t>
  </si>
  <si>
    <t xml:space="preserve">Informe de análisis y gestión de resultados del plan de desarrollo tercer trimestre, año 2023 y cuatrienio. Pacto social por Boyacá: Tierra que sigue avanzando   </t>
  </si>
  <si>
    <t>Conservación de la Biodiversidad y sus servicios ecosistémicos</t>
  </si>
  <si>
    <t xml:space="preserve"> Número de campañas</t>
  </si>
  <si>
    <t xml:space="preserve"> Número de instancias</t>
  </si>
  <si>
    <t xml:space="preserve">Instancias territoriales de coordinación institucional asistidas y apoyadas </t>
  </si>
  <si>
    <t>Fortalecimiento de la convivencia y seguridad ciudadana</t>
  </si>
  <si>
    <t>Número de Vivendas</t>
  </si>
  <si>
    <t>Campañas de promoción de la salud  y prevención de riesgos asociados a condiciones no transmisibles implementadas</t>
  </si>
  <si>
    <t xml:space="preserve">2023. Informe de gestión. Plan de desarrollo </t>
  </si>
  <si>
    <t xml:space="preserve">Analisis realizados </t>
  </si>
  <si>
    <t xml:space="preserve">2023 Laboratorio de salud publica </t>
  </si>
  <si>
    <t>Número de distritos (Municipios)</t>
  </si>
  <si>
    <t>Municipios con acciones de promoción, prevención, vigilancia  y control de vectores y zoonosis realizadas</t>
  </si>
  <si>
    <t xml:space="preserve">Personas atendidas con servicio de salud </t>
  </si>
  <si>
    <t>estrategias para la política de participación social en salud, implementada (puede incluir el  desarrollo de mesas de concertación regional en salud, que sirvan como herramienta de promoción y prevención, así como de seguimiento y análisis de la prestación del servicio y derecho a la salud.)</t>
  </si>
  <si>
    <t>Estrategias de promoción de la garantía de derechos implementadas ( “Plan Abrigo”)</t>
  </si>
  <si>
    <t xml:space="preserve">14.000* </t>
  </si>
  <si>
    <t>Deportistas de las instituciones educativas que participan de Juegos Intercolegiados en todas las fases (incluye niños y jóvenes de los sectores rurales.)</t>
  </si>
  <si>
    <t xml:space="preserve">Personas de los municipios que  participan de Juegos Intercolegiados en todas las fases. </t>
  </si>
  <si>
    <t xml:space="preserve"> Número de documentos</t>
  </si>
  <si>
    <t xml:space="preserve"> Informe de empalme, Gobernación de Boyacá /2023</t>
  </si>
  <si>
    <t xml:space="preserve"> Informe de empalme, Gobernación de Boyacá/ 2023</t>
  </si>
  <si>
    <t xml:space="preserve"> Número de iniciativas</t>
  </si>
  <si>
    <t>Comité de orden público
 Consejo de seguridad
 Mesa de líderes
 Estupefacientes
 Mesa de pólvora</t>
  </si>
  <si>
    <t xml:space="preserve"> Número de casas de justicia</t>
  </si>
  <si>
    <t xml:space="preserve"> No disponible</t>
  </si>
  <si>
    <t>Comité de trata de personas, comité derechos humanos, mesa migratoria, consejo de paz, mesa de libertad religiosa, mesa de reincorporados, apoyo para la construcción de Política Pública de Libertad religiosa</t>
  </si>
  <si>
    <t xml:space="preserve"> Número de Eventos</t>
  </si>
  <si>
    <t xml:space="preserve"> Número de planes de acción articulados</t>
  </si>
  <si>
    <t xml:space="preserve"> Números de Acueductos</t>
  </si>
  <si>
    <t>9*</t>
  </si>
  <si>
    <t>3*</t>
  </si>
  <si>
    <t>Áreas protegidas (Predio de interés  hídrico)</t>
  </si>
  <si>
    <t>Plataformas colaborativas para observancia de los principales cuerpos de agua en el departamento</t>
  </si>
  <si>
    <t>Asistencias técnicas realizadas (Ténicas rurales)</t>
  </si>
  <si>
    <t>Estudios o Diseños realizados (Captaciones Y Sistema De Tratamiento Rural)</t>
  </si>
  <si>
    <t>Asistencias técnicas realizadas (Administrativas)</t>
  </si>
  <si>
    <t>Acueductos optimizados (Rurales)</t>
  </si>
  <si>
    <t>Plantas de tratamiento de agua potable optimizadas (Rural)</t>
  </si>
  <si>
    <t xml:space="preserve"> Número de usuarios</t>
  </si>
  <si>
    <t xml:space="preserve">Usuarios con acceso al servicio de aseo </t>
  </si>
  <si>
    <t>Matriz empalme secretaría de infraestructura (vivienda 2023)</t>
  </si>
  <si>
    <t xml:space="preserve"> N/D</t>
  </si>
  <si>
    <t xml:space="preserve">Plan Abrigo </t>
  </si>
  <si>
    <t>Centros vida para el adulto mayor adecuados</t>
  </si>
  <si>
    <t xml:space="preserve">N/D </t>
  </si>
  <si>
    <t>Construcción  de Salones comunales en terrenos no construidos</t>
  </si>
  <si>
    <t xml:space="preserve">Museos con reforzamiento estructural </t>
  </si>
  <si>
    <t>Modificación de un Centro de acopio</t>
  </si>
  <si>
    <t xml:space="preserve">Número de estudios </t>
  </si>
  <si>
    <t xml:space="preserve">SECRETARIA DE INFRAESTRUCTURA  </t>
  </si>
  <si>
    <t xml:space="preserve"> SECRETARIA DE INFRAESTRUCTURA  </t>
  </si>
  <si>
    <t>Mejoramiento de Viviendas de Interés Social</t>
  </si>
  <si>
    <t>Construcción de 250 Viviendas de Interés prioritario construidas en sitio propio</t>
  </si>
  <si>
    <t>Elaboración de estudios y diseños de un proyecto de  desarrollo urbano</t>
  </si>
  <si>
    <t xml:space="preserve"> Números de soluciones</t>
  </si>
  <si>
    <t xml:space="preserve">  Número de acueductos</t>
  </si>
  <si>
    <t xml:space="preserve"> Número de estudios y diseños</t>
  </si>
  <si>
    <t>Plantas de tratamiento de aguas residuales  construidas</t>
  </si>
  <si>
    <t>Asistencias técnicas realizadas (para la implementación de la fase II  y III del Plan de Aseguramiento )</t>
  </si>
  <si>
    <t>ATLETAS PREPARADOS (BRC) (Ciclistas programa Boyacá Raza de Campeones) EQUIPO CONTINENTAL (Ciclistas del equipo continental)</t>
  </si>
  <si>
    <t>656  *</t>
  </si>
  <si>
    <t>Atletas beneficiados con estímulos financieros  (Deportistas Priorizados de las ligas deportivas) Mantenimiento</t>
  </si>
  <si>
    <t>Deportistas que participan en eventos deportivos de alto rendimiento en Colombia (ciclistas Raza de campeones)</t>
  </si>
  <si>
    <t xml:space="preserve"> Personas atendidas por los programas de recreación, deporte social comunitario, actividad física y aprovechamiento del tiempo libre</t>
  </si>
  <si>
    <t>Eventos recreativos comunitarios realizados (Juegos comunales, juegos de la paz, entre otros)</t>
  </si>
  <si>
    <t>Juegos Campesinos Juegos Indígenas Juegos Inter docentes Juegos Comunitarios Juegos de la Paz apoyo juegos Nacionales Juveniles, juegos departamentales y carrera atlética de la Boyacensidad, festival de juegos extremos, entre otros</t>
  </si>
  <si>
    <t>Fomento a la recreación, la actividad física y el deporte para desarrollar entornos de convivencia y paz</t>
  </si>
  <si>
    <t xml:space="preserve">Niños, niñas, adolescentes y jóvenes inscritos en Escuelas Deportivas </t>
  </si>
  <si>
    <t xml:space="preserve">Agentes de la institucionalidad de infancia, adolescencia y juventud asistidos técnicamente (SRPA) </t>
  </si>
  <si>
    <t xml:space="preserve">Personas asistidas en temas de desarrollo de habilidades no cognitivas </t>
  </si>
  <si>
    <t>Niños, niñas, adolescentes y jóvenes beneficiados</t>
  </si>
  <si>
    <t xml:space="preserve">Niños, niñas, adolescentes y jóvenes beneficiados </t>
  </si>
  <si>
    <t xml:space="preserve">Número de  Agentes  </t>
  </si>
  <si>
    <t xml:space="preserve">Numero de documentos </t>
  </si>
  <si>
    <t>Estrategias de promoción de la garantía de derechos implementadas ( LGBTIQ+ OSIGD  )</t>
  </si>
  <si>
    <t xml:space="preserve">Número de instancias </t>
  </si>
  <si>
    <t xml:space="preserve">Instancias territoriales asistidas técnicamente </t>
  </si>
  <si>
    <t>Proyectos productivos formulados
( NEGRA, AFROCOLOMBIANA, RAIZAL Y PALENQUERA e Indígenas)</t>
  </si>
  <si>
    <t>Formulación de proyectos económicos dirigido a las poblaciones Indígenas y  NEGRA, AFROCOLOMBIANA, RAIZAL Y PALENQUERA</t>
  </si>
  <si>
    <t>Espacios de participación promovidos (Consultiva  NEGRA, AFROCOLOMBIANA, RAIZAL Y PALENQUERA)</t>
  </si>
  <si>
    <t>Estrategias de promoción de la garantía de derechos implementadas
( NEGRA, AFROCOLOMBIANA, RAIZAL Y PALENQUERA encuentro de saberes, paz y tejido social, celebración identidad cultural)</t>
  </si>
  <si>
    <t>Promoción, creación y apoyo de espacios dedicados al intercambio de conocimientos, la construcción de paz, el fortalecimiento del tejido social y de la identidad cultural de las comunidades  NEGRA, AFROCOLOMBIANA, RAIZAL Y PALENQUERA</t>
  </si>
  <si>
    <t>Estrategias de promoción de la garantía de derechos implementadas (Indígenas encuentro de saberes celebración de  la identidad cultural )</t>
  </si>
  <si>
    <t>Proyectos productivos formulados (formulación e  implementación de proyectos fondo mujer)</t>
  </si>
  <si>
    <t xml:space="preserve">Número de instancias  </t>
  </si>
  <si>
    <t xml:space="preserve">Estrategias de acceso a la justicia desarrolladas </t>
  </si>
  <si>
    <t>Creación de Grupo aprendizaje Lengua de Señas Colombiana
 (Grupo de aprendizaje de Lengua de Señas Colombiana, Programas de formación, Diplomado)</t>
  </si>
  <si>
    <t>Número adultos mayores</t>
  </si>
  <si>
    <t>Programa escuelas para la vida módulo: parejas y encuentros familiares para el fortalecimiento de vínculos relacionales. Promoción de la cultura del cuidado familiar al interior de las empresas y conmemoración del día de la familia</t>
  </si>
  <si>
    <t xml:space="preserve">Hogares con acompañamiento familiar </t>
  </si>
  <si>
    <t>Documentos de planeación realizados (Actualización PP de familia)</t>
  </si>
  <si>
    <t>Procesos de educación con enfoque diferencial y acción sin daño realizados (“Plan Abrigo”)</t>
  </si>
  <si>
    <t>Logro Unidos</t>
  </si>
  <si>
    <t>Línea base2</t>
  </si>
  <si>
    <t>Total3</t>
  </si>
  <si>
    <t>ICLD4</t>
  </si>
  <si>
    <t>ICDE5</t>
  </si>
  <si>
    <t>SGP Educación6</t>
  </si>
  <si>
    <t>SGP Salud7</t>
  </si>
  <si>
    <t>SGP APSB8</t>
  </si>
  <si>
    <t>Recursos Propios Entidades Descentralizadas9</t>
  </si>
  <si>
    <t>Sistema General de Regalías - SGR10</t>
  </si>
  <si>
    <t>Crédito11</t>
  </si>
  <si>
    <t>Total12</t>
  </si>
  <si>
    <t>Gestión13</t>
  </si>
  <si>
    <t>Cofinanciación14</t>
  </si>
  <si>
    <t>Otros Recursos15</t>
  </si>
  <si>
    <t>Total16</t>
  </si>
  <si>
    <t>ICLD17</t>
  </si>
  <si>
    <t>ICDE18</t>
  </si>
  <si>
    <t>SGP Educación19</t>
  </si>
  <si>
    <t>SGP Salud20</t>
  </si>
  <si>
    <t>SGP APSB21</t>
  </si>
  <si>
    <t>Recursos Propios Entidades Descentralizadas22</t>
  </si>
  <si>
    <t>Sistema General de Regalías - SGR23</t>
  </si>
  <si>
    <t>Crédito24</t>
  </si>
  <si>
    <t>Total25</t>
  </si>
  <si>
    <t>Gestión26</t>
  </si>
  <si>
    <t>Cofinanciación27</t>
  </si>
  <si>
    <t>Otros Recursos28</t>
  </si>
  <si>
    <t>Total29</t>
  </si>
  <si>
    <t>ICLD30</t>
  </si>
  <si>
    <t>ICDE31</t>
  </si>
  <si>
    <t>SGP Educación32</t>
  </si>
  <si>
    <t>SGP Salud33</t>
  </si>
  <si>
    <t>SGP APSB34</t>
  </si>
  <si>
    <t>Recursos Propios Entidades Descentralizadas35</t>
  </si>
  <si>
    <t>Sistema General de Regalías - SGR36</t>
  </si>
  <si>
    <t>Crédito37</t>
  </si>
  <si>
    <t>Total38</t>
  </si>
  <si>
    <t>Gestión39</t>
  </si>
  <si>
    <t>Cofinanciación40</t>
  </si>
  <si>
    <t>Otros Recursos41</t>
  </si>
  <si>
    <t>Total42</t>
  </si>
  <si>
    <t>ICLD43</t>
  </si>
  <si>
    <t>ICDE44</t>
  </si>
  <si>
    <t>SGP Educación45</t>
  </si>
  <si>
    <t>SGP Salud46</t>
  </si>
  <si>
    <t>SGP APSB47</t>
  </si>
  <si>
    <t>Recursos Propios Entidades Descentralizadas48</t>
  </si>
  <si>
    <t>Sistema General de Regalías - SGR49</t>
  </si>
  <si>
    <t>Crédito50</t>
  </si>
  <si>
    <t>Gestión51</t>
  </si>
  <si>
    <t>Cofinanciación52</t>
  </si>
  <si>
    <t>Otros Recursos53</t>
  </si>
  <si>
    <t>1. Todos los integrantes del hogar tienen su documento de identificación.</t>
  </si>
  <si>
    <t xml:space="preserve">2. Todos los integrantes del hogar están afiliados al Sistema General de Seguridad Social en Salud (SGSSS).
</t>
  </si>
  <si>
    <t>3. Los niños y niñas del hogar menores de seis (6) años tienen el esquema completo de vacunación para la edad</t>
  </si>
  <si>
    <t xml:space="preserve"> 4. Los niños y niñas mayores de seis (6) meses y menores de cinco (5) años no presentan tamizaje positivo por desnutrición aguda.</t>
  </si>
  <si>
    <t>5. Los niños y niñas menores de dos (2) años asisten a controles de crecimiento y desarrollo.</t>
  </si>
  <si>
    <t>6.  Los niños y niñas mayores de dos (2) años y menores de cinco (5) años asisten a modalidades de educación inicial, incluyendo los niños y niñas con discapacidad que puedan participar en estos espacios de educación.</t>
  </si>
  <si>
    <t>7. Los niños, niñas y adolescentes en edad escolar mayores de cinco (5) años y menores de dieciocho (18) años acceden al sistema educativo formal, incluidos los integrantes del hogar con discapacidad (menores de 23 años) que puedan participar en estos espacios</t>
  </si>
  <si>
    <t>8. Los niños y niñas menores de 16 años no trabajan.</t>
  </si>
  <si>
    <t>9. La vivienda del hogar cuenta con una fuente adecuada de acceso a agua.</t>
  </si>
  <si>
    <t>10. La vivienda del hogar cuenta con un sistema adecuado de saneamiento básico.</t>
  </si>
  <si>
    <t xml:space="preserve"> 11. El ingreso por cada integrante del hogar es igual o superior al valor del umbral de pobreza extrema según su dominio geográfico.</t>
  </si>
  <si>
    <t>13. Todos los integrantes del hogar con discapacidad están incluidos en el Registro para la Localización y Caracterización de Personas con Discapacidad – RLCPD.</t>
  </si>
  <si>
    <t>14. Todos los integrantes del hogar con discapacidad a los que les prescribieron un producto de apoyo o rehabilitación funcional, lo recibieron.</t>
  </si>
  <si>
    <t>15. El hogar no presenta inseguridad alimentaria moderada o severa.</t>
  </si>
  <si>
    <t>16. Todos los integrantes del hogar mayores de 10 años reciben orientación sobre derechos sexuales y reproductivos.</t>
  </si>
  <si>
    <t>17. Todos los integrantes del hogar mayores de 15 años saben leer y escribir, incluidos los integrantes del hogar con discapacidad que puedan participar en los espacios educativos.</t>
  </si>
  <si>
    <t>18. Al menos uno de los integrantes del hogar está cursando o ha culminado estudios post secundarios, incluidos los integrantes del hogar con discapacidad que puedan part</t>
  </si>
  <si>
    <t>20. Al menos uno de los integrantes del hogar, mayor de 18 años, recibe educación financiera en alguno de los siguientes servicios: ahorro, crédito o seguros.</t>
  </si>
  <si>
    <t>21. La vivienda del hogar cuenta con materiales adecuados de pisos.</t>
  </si>
  <si>
    <t>22. La vivienda del hogar cuenta con materiales adecuados en paredes.</t>
  </si>
  <si>
    <t>23. En el hogar no se presenta hacinamiento crítico.</t>
  </si>
  <si>
    <t xml:space="preserve">24. Todos los integrantes del hogar mayores de 60 años (y adultos con discapacidad permanente) tienen un ingreso propio. </t>
  </si>
  <si>
    <t>25. Al menos uno de los integrantes del hogar, mayor de 18 años, se encuentra vinculado a alguna actividad productiva que le genera ingresos.</t>
  </si>
  <si>
    <t>26. El hogar cuenta con la seguridad jurídica del predio que destina a la explotación agropecuaria o autoconsumo (Aplica solo para el Modelo Rural).</t>
  </si>
  <si>
    <t>6. Para cada vigencia, según lo que programo presupuestalmente en el plan plurianual, le aparecera "Diligenciar la vigencia, tiene presupuesto programado" si programos recursos, de ser asi, es donde usted programará su meta física</t>
  </si>
  <si>
    <t>7. Revise la columna llamada "Valor Esperado" y verifique según sea mantenimiento o incremento, la orientación de su meta.</t>
  </si>
  <si>
    <t>4. En la columna "Orientación" Debe diligenciar si el indicador es de "Incremento" o "Mantenimiento"</t>
  </si>
  <si>
    <t>8. Al final de las vigencia hay una columna de validación la cual le brindará ayuda para ver si su programación fisica fue correcta o necesita devolverse a corregir.</t>
  </si>
  <si>
    <t>9. Debe seleccionar si esta meta hace parte de la Estrategia de "Plan Abrigo"</t>
  </si>
  <si>
    <t>10. Encontrará una listas de validación al final de la matriz, estas corresponden a metas de Pobreza Multimensional, estas muestran las variables dependiendo la dimensión que seleccione, seleccione una dimensión y una variable a la que su indicador apunta.</t>
  </si>
  <si>
    <t>11. Seleccione de la lista desplegable una opción esta estrategia "Logro Unidos" dependiendo de las caracteristicas de su indicador.</t>
  </si>
  <si>
    <t>1. Continue de la forma que venia con la parte estratégica, si siguió los pasos descritos, la matriz le traerá únicamente los indicadores que debe diligenciar, de la misma forma que en la Matriz de "Parte Estrategica", tenga en cuenta que la meta para este caso debe ser inferior o igual a la de "Parte Financiera"</t>
  </si>
  <si>
    <t>1. Con base a lo que diligencio en la parte estratégica, esta hoja lo guiara, asi que le aparecera "Digite", donde usted debe diligenciar un valor de acuerdo a la fuente de financiación.</t>
  </si>
  <si>
    <t>1.1. "Digite le aparecera en color amarillo, a lo largo de la matriz</t>
  </si>
  <si>
    <t>1.2. Si su programación es cero, cambie en la matriz "Digite" por un cero</t>
  </si>
  <si>
    <t>ITEM</t>
  </si>
  <si>
    <t>Codigo Final</t>
  </si>
  <si>
    <t>24_1</t>
  </si>
  <si>
    <t>24_2</t>
  </si>
  <si>
    <t>54_1</t>
  </si>
  <si>
    <t>54_2</t>
  </si>
  <si>
    <t>55_1</t>
  </si>
  <si>
    <t>55_2</t>
  </si>
  <si>
    <t>97_1</t>
  </si>
  <si>
    <t>97_2</t>
  </si>
  <si>
    <t>114_1</t>
  </si>
  <si>
    <t>111_4</t>
  </si>
  <si>
    <t>131_1</t>
  </si>
  <si>
    <t>131_2</t>
  </si>
  <si>
    <t>213_1</t>
  </si>
  <si>
    <t>213_2</t>
  </si>
  <si>
    <t>221_1</t>
  </si>
  <si>
    <t>221_2</t>
  </si>
  <si>
    <t>227_1</t>
  </si>
  <si>
    <t>229_1</t>
  </si>
  <si>
    <t>229_2</t>
  </si>
  <si>
    <t>339_1</t>
  </si>
  <si>
    <t>339_2</t>
  </si>
  <si>
    <t>401_1</t>
  </si>
  <si>
    <t>401_2</t>
  </si>
  <si>
    <t>402_1</t>
  </si>
  <si>
    <t>402_2</t>
  </si>
  <si>
    <t>403_1</t>
  </si>
  <si>
    <t>403_2</t>
  </si>
  <si>
    <t>417_1</t>
  </si>
  <si>
    <t>417_2</t>
  </si>
  <si>
    <t>426_1</t>
  </si>
  <si>
    <t>426_2</t>
  </si>
  <si>
    <t>504_1</t>
  </si>
  <si>
    <t>504_2</t>
  </si>
  <si>
    <t>507_1</t>
  </si>
  <si>
    <t>507_2</t>
  </si>
  <si>
    <t>508_1</t>
  </si>
  <si>
    <t>508_2</t>
  </si>
  <si>
    <t>509_1</t>
  </si>
  <si>
    <t>509_2</t>
  </si>
  <si>
    <t>510_1</t>
  </si>
  <si>
    <t>510_2</t>
  </si>
  <si>
    <t>Secretaría de Educación, Secretaría de Cultura y Patrimonio, Secretaría de Planeación, Secretaría de Gobierno y Acción Comunal, Secretaría de Infraestructura Pública y Vivienda, ITBOY, Secretaría de Salud, INDEPORTES</t>
  </si>
  <si>
    <t>Mantenimiento -Incremento</t>
  </si>
  <si>
    <t>Solo debe ser diligenciado por Secretaría de Educación, Secretaría de Cultura y Patrimonio, Secretaría de Planeación, Secretaría de Gobierno y Acción Comunal, Secretaría de Infraestructura Pública y Vivienda, ITBOY, Secretaría de Salud, INDEPORTES, Pues son las sectoriales que tienen indicadores de Mantenimiento/Incremento</t>
  </si>
  <si>
    <t>Diligenciar con los parametros antes entregados.</t>
  </si>
  <si>
    <t xml:space="preserve">Julian Jose </t>
  </si>
  <si>
    <t>Ramos Ebratt</t>
  </si>
  <si>
    <t>Libre Nombramiento y remocion</t>
  </si>
  <si>
    <t>planeacion@loteriadeboyaca.gov.co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</si>
</sst>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 #,##0;[Red]\-&quot;$&quot;\ #,##0"/>
    <numFmt numFmtId="165" formatCode="&quot;$&quot;\ #,##0.00;[Red]\-&quot;$&quot;\ #,##0.00"/>
    <numFmt numFmtId="166" formatCode="_-* #,##0_-;\-* #,##0_-;_-* &quot;-&quot;_-;_-@_-"/>
    <numFmt numFmtId="167" formatCode="_-&quot;$&quot;\ * #,##0.00_-;\-&quot;$&quot;\ * #,##0.00_-;_-&quot;$&quot;\ * &quot;-&quot;??_-;_-@_-"/>
    <numFmt numFmtId="168" formatCode="_-&quot;$&quot;* #,##0_-;\-&quot;$&quot;* #,##0_-;_-&quot;$&quot;* &quot;-&quot;_-;_-@_-"/>
    <numFmt numFmtId="169" formatCode="#,##0.0"/>
    <numFmt numFmtId="170" formatCode="&quot;$&quot;\ #,##0"/>
    <numFmt numFmtId="171" formatCode="#,##0.000"/>
    <numFmt numFmtId="172" formatCode="0.000"/>
    <numFmt numFmtId="173" formatCode="_-&quot;$&quot;\ * #,##0_-;\-&quot;$&quot;\ * #,##0_-;_-&quot;$&quot;\ * &quot;-&quot;??_-;_-@_-"/>
    <numFmt numFmtId="174" formatCode="_-* #,##0_-;\-* #,##0_-;_-* &quot;-&quot;_-;_-@"/>
  </numFmts>
  <fonts count="94">
    <font>
      <sz val="11"/>
      <color theme="1"/>
      <name val="Arial"/>
    </font>
    <font>
      <sz val="11"/>
      <color theme="1"/>
      <name val="Calibri"/>
      <family val="2"/>
      <scheme val="minor"/>
    </font>
    <font>
      <sz val="11"/>
      <color theme="1"/>
      <name val="Century Gothic"/>
      <family val="2"/>
    </font>
    <font>
      <b/>
      <sz val="16"/>
      <color theme="1"/>
      <name val="Century Gothic"/>
      <family val="2"/>
    </font>
    <font>
      <sz val="11"/>
      <color theme="1"/>
      <name val="Arial"/>
      <family val="2"/>
    </font>
    <font>
      <sz val="14"/>
      <color rgb="FF333333"/>
      <name val="Arial"/>
      <family val="2"/>
    </font>
    <font>
      <b/>
      <sz val="11"/>
      <color rgb="FF000000"/>
      <name val="Verdana"/>
      <family val="2"/>
    </font>
    <font>
      <sz val="11"/>
      <color rgb="FF000000"/>
      <name val="Verdana"/>
      <family val="2"/>
    </font>
    <font>
      <b/>
      <u/>
      <sz val="12"/>
      <color theme="1"/>
      <name val="Franklin Gothic Book"/>
      <family val="2"/>
    </font>
    <font>
      <sz val="8"/>
      <color theme="1"/>
      <name val="Franklin Gothic Book"/>
      <family val="2"/>
    </font>
    <font>
      <b/>
      <sz val="18"/>
      <color theme="1"/>
      <name val="Century Gothic"/>
      <family val="2"/>
    </font>
    <font>
      <b/>
      <sz val="12"/>
      <color theme="1"/>
      <name val="Century Gothic"/>
      <family val="2"/>
    </font>
    <font>
      <b/>
      <sz val="16"/>
      <color theme="1"/>
      <name val="Calibri"/>
      <family val="2"/>
      <scheme val="minor"/>
    </font>
    <font>
      <sz val="12"/>
      <color theme="1"/>
      <name val="Century Gothic"/>
      <family val="2"/>
    </font>
    <font>
      <sz val="10"/>
      <color theme="1"/>
      <name val="Century Gothic"/>
      <family val="2"/>
    </font>
    <font>
      <b/>
      <sz val="11"/>
      <color theme="1"/>
      <name val="Century Gothic"/>
      <family val="2"/>
    </font>
    <font>
      <b/>
      <sz val="14"/>
      <color theme="1"/>
      <name val="Century Gothic"/>
      <family val="2"/>
    </font>
    <font>
      <u/>
      <sz val="11"/>
      <color theme="10"/>
      <name val="Arial"/>
      <family val="2"/>
    </font>
    <font>
      <u/>
      <sz val="11"/>
      <color theme="11"/>
      <name val="Arial"/>
      <family val="2"/>
    </font>
    <font>
      <b/>
      <sz val="20"/>
      <name val="Century Gothic"/>
      <family val="2"/>
    </font>
    <font>
      <sz val="12"/>
      <color rgb="FF000000"/>
      <name val="Century Gothic"/>
      <family val="2"/>
    </font>
    <font>
      <sz val="11"/>
      <color rgb="FF000000"/>
      <name val="Century Gothic"/>
      <family val="2"/>
    </font>
    <font>
      <b/>
      <sz val="14"/>
      <name val="Century Gothic"/>
      <family val="2"/>
    </font>
    <font>
      <sz val="10"/>
      <name val="Century Gothic"/>
      <family val="2"/>
    </font>
    <font>
      <sz val="14"/>
      <color theme="1"/>
      <name val="Arial"/>
      <family val="2"/>
    </font>
    <font>
      <sz val="20"/>
      <color theme="1"/>
      <name val="Arial"/>
      <family val="2"/>
    </font>
    <font>
      <b/>
      <sz val="11"/>
      <color theme="1"/>
      <name val="Arial"/>
      <family val="2"/>
    </font>
    <font>
      <b/>
      <i/>
      <sz val="12"/>
      <name val="Century Gothic"/>
      <family val="2"/>
    </font>
    <font>
      <b/>
      <i/>
      <sz val="12"/>
      <color theme="1"/>
      <name val="Century Gothic"/>
      <family val="2"/>
    </font>
    <font>
      <b/>
      <i/>
      <sz val="11"/>
      <name val="Century Gothic"/>
      <family val="2"/>
    </font>
    <font>
      <b/>
      <i/>
      <sz val="14"/>
      <name val="Century Gothic"/>
      <family val="2"/>
    </font>
    <font>
      <i/>
      <sz val="14"/>
      <name val="Century Gothic"/>
      <family val="2"/>
    </font>
    <font>
      <b/>
      <i/>
      <sz val="16"/>
      <name val="Century Gothic"/>
      <family val="2"/>
    </font>
    <font>
      <b/>
      <i/>
      <sz val="16"/>
      <color theme="1"/>
      <name val="Arial"/>
      <family val="2"/>
    </font>
    <font>
      <sz val="13"/>
      <color theme="1"/>
      <name val="Century Gothic"/>
      <family val="2"/>
    </font>
    <font>
      <b/>
      <sz val="13"/>
      <name val="Century Gothic"/>
      <family val="2"/>
    </font>
    <font>
      <sz val="13"/>
      <name val="Century Gothic"/>
      <family val="2"/>
    </font>
    <font>
      <b/>
      <i/>
      <sz val="13"/>
      <name val="Century Gothic"/>
      <family val="2"/>
    </font>
    <font>
      <i/>
      <sz val="14"/>
      <color theme="1"/>
      <name val="Century Gothic"/>
      <family val="2"/>
    </font>
    <font>
      <i/>
      <sz val="15"/>
      <color theme="1"/>
      <name val="Century Gothic"/>
      <family val="2"/>
    </font>
    <font>
      <b/>
      <i/>
      <sz val="15"/>
      <name val="Century Gothic"/>
      <family val="2"/>
    </font>
    <font>
      <i/>
      <sz val="15"/>
      <name val="Century Gothic"/>
      <family val="2"/>
    </font>
    <font>
      <b/>
      <sz val="9"/>
      <color indexed="81"/>
      <name val="Tahoma"/>
      <family val="2"/>
    </font>
    <font>
      <sz val="9"/>
      <color indexed="81"/>
      <name val="Tahoma"/>
      <family val="2"/>
    </font>
    <font>
      <b/>
      <sz val="11"/>
      <color rgb="FF6F6F6E"/>
      <name val="Calibri"/>
      <family val="2"/>
      <scheme val="minor"/>
    </font>
    <font>
      <b/>
      <sz val="10"/>
      <name val="Calibri"/>
      <family val="2"/>
      <scheme val="minor"/>
    </font>
    <font>
      <sz val="10"/>
      <color theme="1"/>
      <name val="Calibri"/>
      <family val="2"/>
      <scheme val="minor"/>
    </font>
    <font>
      <b/>
      <sz val="11"/>
      <name val="Century Gothic"/>
      <family val="2"/>
    </font>
    <font>
      <sz val="11"/>
      <color theme="1"/>
      <name val="Arial"/>
      <family val="2"/>
    </font>
    <font>
      <sz val="12"/>
      <name val="Arial Narrow"/>
      <family val="2"/>
    </font>
    <font>
      <sz val="12"/>
      <color theme="1"/>
      <name val="Calibri"/>
      <family val="2"/>
      <scheme val="minor"/>
    </font>
    <font>
      <b/>
      <sz val="12"/>
      <color theme="0"/>
      <name val="Arial Narrow"/>
      <family val="2"/>
    </font>
    <font>
      <sz val="9"/>
      <name val="Arial Narrow"/>
      <family val="2"/>
    </font>
    <font>
      <sz val="9"/>
      <name val="Urbanist"/>
    </font>
    <font>
      <b/>
      <sz val="10"/>
      <color theme="1"/>
      <name val="Century Gothic"/>
      <family val="2"/>
    </font>
    <font>
      <sz val="9"/>
      <color theme="1"/>
      <name val="Arial"/>
      <family val="2"/>
    </font>
    <font>
      <sz val="8"/>
      <color theme="1"/>
      <name val="Arial"/>
      <family val="2"/>
    </font>
    <font>
      <sz val="8"/>
      <name val="Arial"/>
      <family val="2"/>
    </font>
    <font>
      <b/>
      <sz val="8"/>
      <color theme="0"/>
      <name val="Century Gothic"/>
      <family val="2"/>
    </font>
    <font>
      <b/>
      <sz val="8"/>
      <color theme="0"/>
      <name val="Arial"/>
      <family val="2"/>
    </font>
    <font>
      <b/>
      <sz val="10"/>
      <color rgb="FFFFFFFF"/>
      <name val="Century Gothic"/>
      <family val="2"/>
    </font>
    <font>
      <sz val="11"/>
      <color theme="1"/>
      <name val="Calibri"/>
      <family val="2"/>
    </font>
    <font>
      <sz val="11"/>
      <color theme="0"/>
      <name val="Arial"/>
      <family val="2"/>
    </font>
    <font>
      <b/>
      <sz val="11"/>
      <color theme="0"/>
      <name val="Arial"/>
      <family val="2"/>
    </font>
    <font>
      <b/>
      <sz val="9"/>
      <color theme="0"/>
      <name val="Arial Narrow"/>
      <family val="2"/>
    </font>
    <font>
      <b/>
      <sz val="8"/>
      <color theme="0"/>
      <name val="Arial Narrow"/>
      <family val="2"/>
    </font>
    <font>
      <b/>
      <sz val="9"/>
      <name val="Calibri"/>
      <family val="2"/>
      <scheme val="minor"/>
    </font>
    <font>
      <b/>
      <sz val="9"/>
      <name val="Arial Narrow"/>
      <family val="2"/>
    </font>
    <font>
      <sz val="9"/>
      <color theme="1"/>
      <name val="Calibri"/>
      <family val="2"/>
      <scheme val="minor"/>
    </font>
    <font>
      <sz val="9"/>
      <name val="Calibri"/>
      <family val="2"/>
      <scheme val="minor"/>
    </font>
    <font>
      <sz val="9"/>
      <name val="Arial"/>
      <family val="2"/>
    </font>
    <font>
      <sz val="9"/>
      <name val="&quot;Arial Narrow&quot;"/>
    </font>
    <font>
      <sz val="11"/>
      <name val="Arial Narrow"/>
      <family val="2"/>
    </font>
    <font>
      <sz val="11"/>
      <name val="Calibri"/>
      <family val="2"/>
      <scheme val="minor"/>
    </font>
    <font>
      <sz val="12"/>
      <name val="&quot;Arial Narrow&quot;"/>
    </font>
    <font>
      <b/>
      <sz val="9"/>
      <color theme="0"/>
      <name val="Century Gothic"/>
      <family val="2"/>
    </font>
    <font>
      <b/>
      <sz val="9"/>
      <color theme="0"/>
      <name val="Arial"/>
      <family val="2"/>
    </font>
    <font>
      <b/>
      <sz val="9"/>
      <color theme="1"/>
      <name val="Century Gothic"/>
      <family val="2"/>
    </font>
    <font>
      <b/>
      <sz val="12"/>
      <color theme="1"/>
      <name val="Arial Narrow"/>
      <family val="2"/>
    </font>
    <font>
      <sz val="12"/>
      <color theme="1"/>
      <name val="Arial Narrow"/>
      <family val="2"/>
    </font>
    <font>
      <b/>
      <sz val="12"/>
      <color rgb="FF00FFFF"/>
      <name val="Arial Narrow"/>
      <family val="2"/>
    </font>
    <font>
      <sz val="12"/>
      <color rgb="FF00FFCC"/>
      <name val="Arial Narrow"/>
      <family val="2"/>
    </font>
    <font>
      <sz val="12"/>
      <color rgb="FF00FFFF"/>
      <name val="Arial Narrow"/>
      <family val="2"/>
    </font>
    <font>
      <sz val="12"/>
      <color rgb="FF0000FF"/>
      <name val="Arial Narrow"/>
      <family val="2"/>
    </font>
    <font>
      <b/>
      <sz val="12"/>
      <color rgb="FF0000FF"/>
      <name val="Arial Narrow"/>
      <family val="2"/>
    </font>
    <font>
      <b/>
      <sz val="12"/>
      <color rgb="FF00FFCC"/>
      <name val="Arial Narrow"/>
      <family val="2"/>
    </font>
    <font>
      <sz val="12"/>
      <color rgb="FFFF0000"/>
      <name val="Arial Narrow"/>
      <family val="2"/>
    </font>
    <font>
      <b/>
      <sz val="12"/>
      <color rgb="FFFF0000"/>
      <name val="Arial Narrow"/>
      <family val="2"/>
    </font>
    <font>
      <sz val="12"/>
      <color rgb="FF94DCF8"/>
      <name val="Arial Narrow"/>
      <family val="2"/>
    </font>
    <font>
      <sz val="12"/>
      <color rgb="FF61CBF3"/>
      <name val="Arial Narrow"/>
      <family val="2"/>
    </font>
    <font>
      <sz val="12"/>
      <color rgb="FF434343"/>
      <name val="Arial Narrow"/>
      <family val="2"/>
    </font>
    <font>
      <b/>
      <sz val="8"/>
      <color theme="1"/>
      <name val="Century Gothic"/>
      <family val="2"/>
    </font>
    <font>
      <sz val="8"/>
      <name val="Arial Narrow"/>
      <family val="2"/>
    </font>
    <font>
      <u/>
      <sz val="11"/>
      <color theme="10"/>
      <name val="Arial"/>
    </font>
  </fonts>
  <fills count="65">
    <fill>
      <patternFill patternType="none"/>
    </fill>
    <fill>
      <patternFill patternType="gray125"/>
    </fill>
    <fill>
      <patternFill patternType="solid">
        <fgColor theme="6" tint="0.39997558519241921"/>
        <bgColor indexed="64"/>
      </patternFill>
    </fill>
    <fill>
      <patternFill patternType="solid">
        <fgColor theme="9"/>
        <bgColor indexed="64"/>
      </patternFill>
    </fill>
    <fill>
      <patternFill patternType="solid">
        <fgColor rgb="FFF9F9F9"/>
        <bgColor indexed="64"/>
      </patternFill>
    </fill>
    <fill>
      <patternFill patternType="solid">
        <fgColor rgb="FFF1F1F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CCFFCC"/>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8"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59999389629810485"/>
        <bgColor rgb="FF000000"/>
      </patternFill>
    </fill>
    <fill>
      <patternFill patternType="solid">
        <fgColor theme="4" tint="0.59999389629810485"/>
        <bgColor indexed="64"/>
      </patternFill>
    </fill>
    <fill>
      <patternFill patternType="solid">
        <fgColor rgb="FFECECEC"/>
        <bgColor indexed="64"/>
      </patternFill>
    </fill>
    <fill>
      <patternFill patternType="solid">
        <fgColor theme="0"/>
        <bgColor theme="0" tint="-0.14999847407452621"/>
      </patternFill>
    </fill>
    <fill>
      <patternFill patternType="solid">
        <fgColor theme="8"/>
        <bgColor indexed="64"/>
      </patternFill>
    </fill>
    <fill>
      <patternFill patternType="solid">
        <fgColor theme="6" tint="0.79998168889431442"/>
        <bgColor indexed="65"/>
      </patternFill>
    </fill>
    <fill>
      <patternFill patternType="solid">
        <fgColor theme="2" tint="-0.749992370372631"/>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9" tint="0.79998168889431442"/>
        <bgColor theme="0"/>
      </patternFill>
    </fill>
    <fill>
      <patternFill patternType="solid">
        <fgColor theme="9" tint="0.39997558519241921"/>
        <bgColor indexed="64"/>
      </patternFill>
    </fill>
    <fill>
      <patternFill patternType="solid">
        <fgColor theme="9" tint="0.79998168889431442"/>
        <bgColor rgb="FFFF0000"/>
      </patternFill>
    </fill>
    <fill>
      <patternFill patternType="solid">
        <fgColor theme="9" tint="0.79998168889431442"/>
        <bgColor rgb="FF00FF00"/>
      </patternFill>
    </fill>
    <fill>
      <patternFill patternType="solid">
        <fgColor theme="9" tint="0.79998168889431442"/>
        <bgColor rgb="FFFF66CC"/>
      </patternFill>
    </fill>
    <fill>
      <patternFill patternType="solid">
        <fgColor theme="4" tint="-0.499984740745262"/>
        <bgColor indexed="64"/>
      </patternFill>
    </fill>
    <fill>
      <patternFill patternType="solid">
        <fgColor rgb="FF00B050"/>
        <bgColor indexed="64"/>
      </patternFill>
    </fill>
    <fill>
      <patternFill patternType="solid">
        <fgColor theme="8" tint="-0.499984740745262"/>
        <bgColor indexed="64"/>
      </patternFill>
    </fill>
    <fill>
      <patternFill patternType="solid">
        <fgColor theme="7" tint="-0.499984740745262"/>
        <bgColor indexed="64"/>
      </patternFill>
    </fill>
    <fill>
      <patternFill patternType="solid">
        <fgColor theme="5"/>
        <bgColor indexed="64"/>
      </patternFill>
    </fill>
    <fill>
      <patternFill patternType="solid">
        <fgColor rgb="FF4472C4"/>
        <bgColor indexed="64"/>
      </patternFill>
    </fill>
    <fill>
      <patternFill patternType="solid">
        <fgColor rgb="FFD9E2F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rgb="FF215967"/>
        <bgColor indexed="64"/>
      </patternFill>
    </fill>
    <fill>
      <patternFill patternType="solid">
        <fgColor rgb="FF4F6228"/>
        <bgColor indexed="64"/>
      </patternFill>
    </fill>
    <fill>
      <patternFill patternType="solid">
        <fgColor rgb="FFF79646"/>
        <bgColor indexed="64"/>
      </patternFill>
    </fill>
    <fill>
      <patternFill patternType="solid">
        <fgColor rgb="FF494529"/>
        <bgColor indexed="64"/>
      </patternFill>
    </fill>
    <fill>
      <patternFill patternType="solid">
        <fgColor rgb="FF60497A"/>
        <bgColor indexed="64"/>
      </patternFill>
    </fill>
    <fill>
      <patternFill patternType="solid">
        <fgColor rgb="FF808080"/>
        <bgColor indexed="64"/>
      </patternFill>
    </fill>
    <fill>
      <patternFill patternType="solid">
        <fgColor rgb="FF00FFFF"/>
        <bgColor indexed="64"/>
      </patternFill>
    </fill>
    <fill>
      <patternFill patternType="solid">
        <fgColor rgb="FFFFFFFF"/>
        <bgColor indexed="64"/>
      </patternFill>
    </fill>
    <fill>
      <patternFill patternType="solid">
        <fgColor theme="4" tint="0.79998168889431442"/>
        <bgColor theme="4" tint="0.79998168889431442"/>
      </patternFill>
    </fill>
    <fill>
      <patternFill patternType="solid">
        <fgColor rgb="FFFFFF00"/>
        <bgColor theme="0"/>
      </patternFill>
    </fill>
  </fills>
  <borders count="8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top style="medium">
        <color rgb="FFDDDDDD"/>
      </top>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diagonal/>
    </border>
    <border>
      <left style="thin">
        <color rgb="FF000000"/>
      </left>
      <right style="thin">
        <color rgb="FF000000"/>
      </right>
      <top style="thin">
        <color rgb="FF000000"/>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rgb="FF000000"/>
      </right>
      <top/>
      <bottom style="thin">
        <color rgb="FF00000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rgb="FF000000"/>
      </left>
      <right/>
      <top style="thin">
        <color rgb="FF000000"/>
      </top>
      <bottom/>
      <diagonal/>
    </border>
    <border>
      <left style="thin">
        <color rgb="FF000000"/>
      </left>
      <right/>
      <top/>
      <bottom style="thin">
        <color rgb="FF000000"/>
      </bottom>
      <diagonal/>
    </border>
    <border>
      <left style="medium">
        <color auto="1"/>
      </left>
      <right style="medium">
        <color auto="1"/>
      </right>
      <top style="medium">
        <color auto="1"/>
      </top>
      <bottom style="medium">
        <color auto="1"/>
      </bottom>
      <diagonal/>
    </border>
    <border>
      <left style="thin">
        <color rgb="FF000000"/>
      </left>
      <right/>
      <top style="medium">
        <color auto="1"/>
      </top>
      <bottom style="medium">
        <color auto="1"/>
      </bottom>
      <diagonal/>
    </border>
    <border>
      <left style="thin">
        <color rgb="FF000000"/>
      </left>
      <right style="medium">
        <color auto="1"/>
      </right>
      <top style="medium">
        <color auto="1"/>
      </top>
      <bottom style="medium">
        <color auto="1"/>
      </bottom>
      <diagonal/>
    </border>
    <border>
      <left style="thin">
        <color rgb="FF000000"/>
      </left>
      <right/>
      <top/>
      <bottom style="medium">
        <color auto="1"/>
      </bottom>
      <diagonal/>
    </border>
    <border>
      <left style="thin">
        <color rgb="FF000000"/>
      </left>
      <right style="medium">
        <color auto="1"/>
      </right>
      <top/>
      <bottom style="medium">
        <color auto="1"/>
      </bottom>
      <diagonal/>
    </border>
    <border>
      <left/>
      <right style="thin">
        <color rgb="FF000000"/>
      </right>
      <top/>
      <bottom/>
      <diagonal/>
    </border>
    <border>
      <left style="thin">
        <color rgb="FF000000"/>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rgb="FF000000"/>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522B57"/>
      </left>
      <right style="thin">
        <color rgb="FF522B57"/>
      </right>
      <top style="thin">
        <color rgb="FF522B57"/>
      </top>
      <bottom style="thin">
        <color rgb="FF522B57"/>
      </bottom>
      <diagonal/>
    </border>
    <border>
      <left style="thin">
        <color auto="1"/>
      </left>
      <right style="thin">
        <color auto="1"/>
      </right>
      <top style="medium">
        <color auto="1"/>
      </top>
      <bottom/>
      <diagonal/>
    </border>
    <border>
      <left style="thin">
        <color indexed="64"/>
      </left>
      <right/>
      <top style="medium">
        <color indexed="64"/>
      </top>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top style="medium">
        <color rgb="FFCCCCCC"/>
      </top>
      <bottom style="medium">
        <color rgb="FF000000"/>
      </bottom>
      <diagonal/>
    </border>
    <border>
      <left/>
      <right/>
      <top style="medium">
        <color rgb="FFCCCCCC"/>
      </top>
      <bottom style="medium">
        <color rgb="FFCCCCCC"/>
      </bottom>
      <diagonal/>
    </border>
    <border>
      <left/>
      <right/>
      <top/>
      <bottom style="medium">
        <color rgb="FF000000"/>
      </bottom>
      <diagonal/>
    </border>
    <border>
      <left/>
      <right/>
      <top style="medium">
        <color rgb="FFCCCCCC"/>
      </top>
      <bottom/>
      <diagonal/>
    </border>
    <border>
      <left/>
      <right/>
      <top/>
      <bottom style="medium">
        <color rgb="FFCCCCCC"/>
      </bottom>
      <diagonal/>
    </border>
    <border>
      <left style="medium">
        <color indexed="64"/>
      </left>
      <right style="medium">
        <color indexed="64"/>
      </right>
      <top/>
      <bottom style="medium">
        <color indexed="64"/>
      </bottom>
      <diagonal/>
    </border>
    <border>
      <left/>
      <right style="thin">
        <color auto="1"/>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medium">
        <color indexed="64"/>
      </top>
      <bottom/>
      <diagonal/>
    </border>
    <border>
      <left style="thin">
        <color auto="1"/>
      </left>
      <right style="thin">
        <color auto="1"/>
      </right>
      <top style="thin">
        <color indexed="64"/>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s>
  <cellStyleXfs count="1691">
    <xf numFmtId="0" fontId="0" fillId="0" borderId="0"/>
    <xf numFmtId="166" fontId="4" fillId="0" borderId="0" applyFont="0" applyFill="0" applyBorder="0" applyAlignment="0" applyProtection="0"/>
    <xf numFmtId="168" fontId="4"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44" fillId="30" borderId="61">
      <alignment horizontal="center" vertical="center" wrapText="1"/>
    </xf>
    <xf numFmtId="167" fontId="48" fillId="0" borderId="0" applyFont="0" applyFill="0" applyBorder="0" applyAlignment="0" applyProtection="0"/>
    <xf numFmtId="0" fontId="1" fillId="33" borderId="0" applyNumberFormat="0" applyBorder="0" applyAlignment="0" applyProtection="0"/>
    <xf numFmtId="0" fontId="50" fillId="0" borderId="3"/>
    <xf numFmtId="0" fontId="93" fillId="0" borderId="0" applyNumberFormat="0" applyFill="0" applyBorder="0" applyAlignment="0" applyProtection="0"/>
  </cellStyleXfs>
  <cellXfs count="684">
    <xf numFmtId="0" fontId="0" fillId="0" borderId="0" xfId="0"/>
    <xf numFmtId="0" fontId="4" fillId="0" borderId="0" xfId="0" applyFont="1"/>
    <xf numFmtId="0" fontId="5" fillId="0" borderId="0" xfId="0" applyFont="1" applyAlignment="1">
      <alignment vertical="center" wrapText="1"/>
    </xf>
    <xf numFmtId="0" fontId="6" fillId="4" borderId="6" xfId="0" applyFont="1" applyFill="1" applyBorder="1" applyAlignment="1">
      <alignment horizontal="left" vertical="top" wrapText="1"/>
    </xf>
    <xf numFmtId="0" fontId="7" fillId="5" borderId="6" xfId="0" applyFont="1" applyFill="1" applyBorder="1" applyAlignment="1">
      <alignment vertical="top" wrapText="1"/>
    </xf>
    <xf numFmtId="0" fontId="7" fillId="4" borderId="6" xfId="0" applyFont="1" applyFill="1" applyBorder="1" applyAlignment="1">
      <alignment vertical="top" wrapText="1"/>
    </xf>
    <xf numFmtId="0" fontId="4" fillId="0" borderId="0" xfId="0" applyFont="1" applyAlignment="1">
      <alignment horizontal="center"/>
    </xf>
    <xf numFmtId="14" fontId="4" fillId="0" borderId="0" xfId="0" applyNumberFormat="1" applyFont="1"/>
    <xf numFmtId="0" fontId="8" fillId="0" borderId="3" xfId="0" applyFont="1" applyBorder="1" applyAlignment="1">
      <alignment horizontal="center" vertical="center" wrapText="1"/>
    </xf>
    <xf numFmtId="0" fontId="8" fillId="6" borderId="8" xfId="0" applyFont="1" applyFill="1" applyBorder="1" applyAlignment="1">
      <alignment horizontal="center" vertical="center" wrapText="1"/>
    </xf>
    <xf numFmtId="0" fontId="9" fillId="0" borderId="7" xfId="0" applyFont="1" applyBorder="1" applyAlignment="1">
      <alignment horizontal="left" vertical="center"/>
    </xf>
    <xf numFmtId="0" fontId="11" fillId="0" borderId="0" xfId="0" applyFont="1" applyAlignment="1">
      <alignment horizontal="center" vertical="center"/>
    </xf>
    <xf numFmtId="0" fontId="13" fillId="0" borderId="0" xfId="0" applyFont="1" applyAlignment="1">
      <alignment horizontal="center" vertical="center"/>
    </xf>
    <xf numFmtId="0" fontId="13" fillId="9" borderId="30" xfId="2" applyNumberFormat="1" applyFont="1" applyFill="1" applyBorder="1" applyAlignment="1">
      <alignment horizontal="center" vertical="center" wrapText="1"/>
    </xf>
    <xf numFmtId="0" fontId="13" fillId="9" borderId="32" xfId="2" applyNumberFormat="1" applyFont="1" applyFill="1" applyBorder="1" applyAlignment="1">
      <alignment horizontal="center" vertical="center" wrapText="1"/>
    </xf>
    <xf numFmtId="0" fontId="13" fillId="9" borderId="33" xfId="2" applyNumberFormat="1" applyFont="1" applyFill="1" applyBorder="1" applyAlignment="1">
      <alignment horizontal="center" vertical="center" wrapText="1"/>
    </xf>
    <xf numFmtId="0" fontId="13" fillId="7" borderId="30" xfId="2" applyNumberFormat="1" applyFont="1" applyFill="1" applyBorder="1" applyAlignment="1">
      <alignment horizontal="center" vertical="center" wrapText="1"/>
    </xf>
    <xf numFmtId="0" fontId="13" fillId="7" borderId="32" xfId="2" applyNumberFormat="1" applyFont="1" applyFill="1" applyBorder="1" applyAlignment="1">
      <alignment horizontal="center" vertical="center" wrapText="1"/>
    </xf>
    <xf numFmtId="0" fontId="13" fillId="11" borderId="32" xfId="2" applyNumberFormat="1" applyFont="1" applyFill="1" applyBorder="1" applyAlignment="1">
      <alignment horizontal="center" vertical="center" wrapText="1"/>
    </xf>
    <xf numFmtId="0" fontId="13" fillId="12" borderId="32" xfId="2" applyNumberFormat="1" applyFont="1" applyFill="1" applyBorder="1" applyAlignment="1">
      <alignment horizontal="center" vertical="center" wrapText="1"/>
    </xf>
    <xf numFmtId="0" fontId="13" fillId="13" borderId="32" xfId="2" applyNumberFormat="1" applyFont="1" applyFill="1" applyBorder="1" applyAlignment="1">
      <alignment horizontal="center" vertical="center" wrapText="1"/>
    </xf>
    <xf numFmtId="0" fontId="13" fillId="14" borderId="32" xfId="2" applyNumberFormat="1" applyFont="1" applyFill="1" applyBorder="1" applyAlignment="1">
      <alignment horizontal="center" vertical="center" wrapText="1"/>
    </xf>
    <xf numFmtId="0" fontId="13" fillId="2" borderId="32" xfId="2" applyNumberFormat="1" applyFont="1" applyFill="1" applyBorder="1" applyAlignment="1">
      <alignment horizontal="center" vertical="center" wrapText="1"/>
    </xf>
    <xf numFmtId="0" fontId="13" fillId="8" borderId="32" xfId="2" applyNumberFormat="1" applyFont="1" applyFill="1" applyBorder="1" applyAlignment="1">
      <alignment horizontal="center" vertical="center" wrapText="1"/>
    </xf>
    <xf numFmtId="0" fontId="13" fillId="8" borderId="33" xfId="2" applyNumberFormat="1" applyFont="1" applyFill="1" applyBorder="1" applyAlignment="1">
      <alignment horizontal="center" vertical="center" wrapText="1"/>
    </xf>
    <xf numFmtId="0" fontId="13" fillId="10" borderId="30" xfId="2" applyNumberFormat="1" applyFont="1" applyFill="1" applyBorder="1" applyAlignment="1">
      <alignment horizontal="center" vertical="center" wrapText="1"/>
    </xf>
    <xf numFmtId="0" fontId="13" fillId="10" borderId="32" xfId="2" applyNumberFormat="1" applyFont="1" applyFill="1" applyBorder="1" applyAlignment="1">
      <alignment horizontal="center" vertical="center" wrapText="1"/>
    </xf>
    <xf numFmtId="0" fontId="13" fillId="10" borderId="31" xfId="2" applyNumberFormat="1" applyFont="1" applyFill="1" applyBorder="1" applyAlignment="1">
      <alignment horizontal="center" vertical="center" wrapText="1"/>
    </xf>
    <xf numFmtId="0" fontId="11" fillId="15" borderId="7" xfId="0" applyFont="1" applyFill="1" applyBorder="1" applyAlignment="1">
      <alignment horizontal="center" vertical="center"/>
    </xf>
    <xf numFmtId="0" fontId="13" fillId="16" borderId="7" xfId="0" applyFont="1" applyFill="1" applyBorder="1" applyAlignment="1">
      <alignment horizontal="center" vertical="center"/>
    </xf>
    <xf numFmtId="0" fontId="13" fillId="0" borderId="7" xfId="0" applyFont="1" applyBorder="1" applyAlignment="1">
      <alignment horizontal="center" vertical="center"/>
    </xf>
    <xf numFmtId="0" fontId="14" fillId="0" borderId="7" xfId="0" applyFont="1" applyBorder="1" applyAlignment="1">
      <alignment horizontal="center" vertical="center" wrapText="1"/>
    </xf>
    <xf numFmtId="0" fontId="13" fillId="0" borderId="7" xfId="0" applyFont="1" applyBorder="1" applyAlignment="1">
      <alignment wrapText="1"/>
    </xf>
    <xf numFmtId="0" fontId="14"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0" fillId="2" borderId="14" xfId="0" applyFill="1" applyBorder="1" applyAlignment="1">
      <alignment horizontal="center"/>
    </xf>
    <xf numFmtId="0" fontId="0" fillId="2" borderId="15" xfId="0" applyFill="1" applyBorder="1" applyAlignment="1">
      <alignment horizontal="center"/>
    </xf>
    <xf numFmtId="168" fontId="11" fillId="15" borderId="7" xfId="2" applyFont="1" applyFill="1" applyBorder="1"/>
    <xf numFmtId="168" fontId="13" fillId="15" borderId="7" xfId="2" applyFont="1" applyFill="1" applyBorder="1"/>
    <xf numFmtId="168" fontId="13" fillId="16" borderId="7" xfId="2" applyFont="1" applyFill="1" applyBorder="1"/>
    <xf numFmtId="168" fontId="13" fillId="0" borderId="7" xfId="2" applyFont="1" applyBorder="1"/>
    <xf numFmtId="168" fontId="11" fillId="17" borderId="7" xfId="2" applyFont="1" applyFill="1" applyBorder="1"/>
    <xf numFmtId="168" fontId="13" fillId="18" borderId="7" xfId="2" applyFont="1" applyFill="1" applyBorder="1"/>
    <xf numFmtId="168" fontId="13" fillId="19" borderId="7" xfId="2" applyFont="1" applyFill="1" applyBorder="1"/>
    <xf numFmtId="2" fontId="2" fillId="0" borderId="0" xfId="1" applyNumberFormat="1"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0" fillId="0" borderId="3" xfId="0" applyBorder="1" applyProtection="1">
      <protection hidden="1"/>
    </xf>
    <xf numFmtId="168" fontId="11" fillId="14" borderId="7" xfId="2" applyFont="1" applyFill="1" applyBorder="1" applyAlignment="1">
      <alignment horizontal="center" vertical="center"/>
    </xf>
    <xf numFmtId="168" fontId="11" fillId="2" borderId="7" xfId="2" applyFont="1" applyFill="1" applyBorder="1" applyAlignment="1">
      <alignment horizontal="center" vertical="center"/>
    </xf>
    <xf numFmtId="168" fontId="11" fillId="8" borderId="7" xfId="2" applyFont="1" applyFill="1" applyBorder="1" applyAlignment="1">
      <alignment horizontal="center" vertical="center"/>
    </xf>
    <xf numFmtId="168" fontId="11" fillId="8" borderId="27" xfId="2" applyFont="1" applyFill="1" applyBorder="1" applyAlignment="1">
      <alignment horizontal="center" vertic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12" xfId="0" applyFont="1" applyFill="1" applyBorder="1" applyAlignment="1">
      <alignment horizontal="center"/>
    </xf>
    <xf numFmtId="0" fontId="11" fillId="2" borderId="16"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30" xfId="0" applyFont="1" applyFill="1" applyBorder="1" applyAlignment="1">
      <alignment horizontal="center" vertical="center"/>
    </xf>
    <xf numFmtId="0" fontId="11" fillId="2" borderId="17" xfId="2" applyNumberFormat="1" applyFont="1" applyFill="1" applyBorder="1" applyAlignment="1">
      <alignment horizontal="center" vertical="center" wrapText="1"/>
    </xf>
    <xf numFmtId="0" fontId="11" fillId="2" borderId="23" xfId="2" applyNumberFormat="1" applyFont="1" applyFill="1" applyBorder="1" applyAlignment="1">
      <alignment horizontal="center" vertical="center" wrapText="1"/>
    </xf>
    <xf numFmtId="0" fontId="11" fillId="2" borderId="31" xfId="2" applyNumberFormat="1" applyFont="1" applyFill="1" applyBorder="1" applyAlignment="1">
      <alignment horizontal="center" vertical="center" wrapText="1"/>
    </xf>
    <xf numFmtId="0" fontId="11" fillId="2" borderId="18" xfId="2" applyNumberFormat="1" applyFont="1" applyFill="1" applyBorder="1" applyAlignment="1">
      <alignment horizontal="center" vertical="center" wrapText="1"/>
    </xf>
    <xf numFmtId="0" fontId="11" fillId="2" borderId="24" xfId="2" applyNumberFormat="1" applyFont="1" applyFill="1" applyBorder="1" applyAlignment="1">
      <alignment horizontal="center" vertical="center" wrapText="1"/>
    </xf>
    <xf numFmtId="168" fontId="11" fillId="9" borderId="10" xfId="2" applyFont="1" applyFill="1" applyBorder="1" applyAlignment="1">
      <alignment horizontal="center" vertical="center"/>
    </xf>
    <xf numFmtId="168" fontId="11" fillId="9" borderId="11" xfId="2" applyFont="1" applyFill="1" applyBorder="1" applyAlignment="1">
      <alignment horizontal="center" vertical="center"/>
    </xf>
    <xf numFmtId="168" fontId="11" fillId="9" borderId="25" xfId="2" applyFont="1" applyFill="1" applyBorder="1" applyAlignment="1">
      <alignment horizontal="center" vertical="center"/>
    </xf>
    <xf numFmtId="168" fontId="11" fillId="9" borderId="26" xfId="2" applyFont="1" applyFill="1" applyBorder="1" applyAlignment="1">
      <alignment horizontal="center" vertical="center"/>
    </xf>
    <xf numFmtId="168" fontId="12" fillId="3" borderId="19" xfId="2" applyFont="1" applyFill="1" applyBorder="1" applyAlignment="1">
      <alignment horizontal="center"/>
    </xf>
    <xf numFmtId="168" fontId="12" fillId="3" borderId="20" xfId="2" applyFont="1" applyFill="1" applyBorder="1" applyAlignment="1">
      <alignment horizontal="center"/>
    </xf>
    <xf numFmtId="168" fontId="11" fillId="10" borderId="10" xfId="2" applyFont="1" applyFill="1" applyBorder="1" applyAlignment="1">
      <alignment horizontal="center" vertical="center"/>
    </xf>
    <xf numFmtId="168" fontId="11" fillId="10" borderId="11" xfId="2" applyFont="1" applyFill="1" applyBorder="1" applyAlignment="1">
      <alignment horizontal="center" vertical="center"/>
    </xf>
    <xf numFmtId="168" fontId="11" fillId="10" borderId="12" xfId="2" applyFont="1" applyFill="1" applyBorder="1" applyAlignment="1">
      <alignment horizontal="center" vertical="center"/>
    </xf>
    <xf numFmtId="168" fontId="11" fillId="10" borderId="25" xfId="2" applyFont="1" applyFill="1" applyBorder="1" applyAlignment="1">
      <alignment horizontal="center" vertical="center"/>
    </xf>
    <xf numFmtId="168" fontId="11" fillId="10" borderId="26" xfId="2" applyFont="1" applyFill="1" applyBorder="1" applyAlignment="1">
      <alignment horizontal="center" vertical="center"/>
    </xf>
    <xf numFmtId="168" fontId="11" fillId="10" borderId="28" xfId="2" applyFont="1" applyFill="1" applyBorder="1" applyAlignment="1">
      <alignment horizontal="center" vertical="center"/>
    </xf>
    <xf numFmtId="168" fontId="11" fillId="7" borderId="22" xfId="2" applyFont="1" applyFill="1" applyBorder="1" applyAlignment="1">
      <alignment horizontal="center" vertical="center"/>
    </xf>
    <xf numFmtId="168" fontId="11" fillId="7" borderId="7" xfId="2" applyFont="1" applyFill="1" applyBorder="1" applyAlignment="1">
      <alignment horizontal="center" vertical="center"/>
    </xf>
    <xf numFmtId="168" fontId="11" fillId="11" borderId="7" xfId="2" applyFont="1" applyFill="1" applyBorder="1" applyAlignment="1">
      <alignment horizontal="center" vertical="center"/>
    </xf>
    <xf numFmtId="168" fontId="11" fillId="12" borderId="7" xfId="2" applyFont="1" applyFill="1" applyBorder="1" applyAlignment="1">
      <alignment horizontal="center" vertical="center"/>
    </xf>
    <xf numFmtId="0" fontId="11" fillId="10" borderId="18" xfId="2" applyNumberFormat="1" applyFont="1" applyFill="1" applyBorder="1" applyAlignment="1">
      <alignment horizontal="center" vertical="center" wrapText="1"/>
    </xf>
    <xf numFmtId="0" fontId="11" fillId="10" borderId="24" xfId="2" applyNumberFormat="1" applyFont="1" applyFill="1" applyBorder="1" applyAlignment="1">
      <alignment horizontal="center" vertical="center" wrapText="1"/>
    </xf>
    <xf numFmtId="0" fontId="3" fillId="2" borderId="21" xfId="2" applyNumberFormat="1" applyFont="1" applyFill="1" applyBorder="1" applyAlignment="1">
      <alignment horizontal="center" vertical="center" wrapText="1"/>
    </xf>
    <xf numFmtId="0" fontId="3" fillId="2" borderId="29" xfId="2" applyNumberFormat="1" applyFont="1" applyFill="1" applyBorder="1" applyAlignment="1">
      <alignment horizontal="center" vertical="center" wrapText="1"/>
    </xf>
    <xf numFmtId="168" fontId="11" fillId="13" borderId="7" xfId="2" applyFont="1" applyFill="1" applyBorder="1" applyAlignment="1">
      <alignment horizontal="center" vertical="center"/>
    </xf>
    <xf numFmtId="0" fontId="10" fillId="2" borderId="13" xfId="0" applyFont="1" applyFill="1" applyBorder="1" applyAlignment="1">
      <alignment horizontal="center"/>
    </xf>
    <xf numFmtId="0" fontId="11" fillId="9" borderId="18" xfId="2" applyNumberFormat="1" applyFont="1" applyFill="1" applyBorder="1" applyAlignment="1">
      <alignment horizontal="center" vertical="center" wrapText="1"/>
    </xf>
    <xf numFmtId="0" fontId="11" fillId="9" borderId="24" xfId="2" applyNumberFormat="1" applyFont="1" applyFill="1" applyBorder="1" applyAlignment="1">
      <alignment horizontal="center" vertical="center" wrapText="1"/>
    </xf>
    <xf numFmtId="0" fontId="11" fillId="3" borderId="18" xfId="2" applyNumberFormat="1" applyFont="1" applyFill="1" applyBorder="1" applyAlignment="1">
      <alignment horizontal="center" vertical="center" wrapText="1"/>
    </xf>
    <xf numFmtId="0" fontId="11" fillId="3" borderId="24" xfId="2" applyNumberFormat="1"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5" fillId="17" borderId="7" xfId="0" applyFont="1" applyFill="1" applyBorder="1" applyAlignment="1">
      <alignment horizontal="center" vertical="center" wrapText="1"/>
    </xf>
    <xf numFmtId="0" fontId="11" fillId="18" borderId="7" xfId="0" applyFont="1" applyFill="1" applyBorder="1" applyAlignment="1">
      <alignment horizontal="center" vertical="center" wrapText="1"/>
    </xf>
    <xf numFmtId="0" fontId="16" fillId="0" borderId="7" xfId="0" applyFont="1" applyBorder="1" applyAlignment="1">
      <alignment horizontal="center" vertical="center" wrapText="1"/>
    </xf>
    <xf numFmtId="0" fontId="11" fillId="15" borderId="7" xfId="0" applyFont="1" applyFill="1" applyBorder="1" applyAlignment="1">
      <alignment horizontal="center" vertical="center" wrapText="1"/>
    </xf>
    <xf numFmtId="0" fontId="13" fillId="0" borderId="32" xfId="0" applyFont="1" applyBorder="1" applyAlignment="1">
      <alignment horizontal="center" vertical="center"/>
    </xf>
    <xf numFmtId="0" fontId="13" fillId="0" borderId="34" xfId="0" applyFont="1" applyBorder="1" applyAlignment="1">
      <alignment horizontal="center" vertical="center"/>
    </xf>
    <xf numFmtId="0" fontId="13" fillId="19" borderId="27" xfId="0" applyFont="1" applyFill="1" applyBorder="1" applyAlignment="1">
      <alignment horizontal="center" wrapText="1"/>
    </xf>
    <xf numFmtId="0" fontId="13" fillId="19" borderId="35" xfId="0" applyFont="1" applyFill="1" applyBorder="1" applyAlignment="1">
      <alignment horizontal="center" wrapText="1"/>
    </xf>
    <xf numFmtId="0" fontId="13" fillId="19" borderId="36" xfId="0" applyFont="1" applyFill="1" applyBorder="1" applyAlignment="1">
      <alignment horizontal="center" wrapText="1"/>
    </xf>
    <xf numFmtId="0" fontId="0" fillId="0" borderId="0" xfId="0" applyAlignment="1">
      <alignment horizontal="center" vertical="center"/>
    </xf>
    <xf numFmtId="0" fontId="0" fillId="0" borderId="3" xfId="0" applyBorder="1" applyAlignment="1">
      <alignment horizontal="center" vertical="center"/>
    </xf>
    <xf numFmtId="0" fontId="2" fillId="0" borderId="0" xfId="0" applyFont="1" applyAlignment="1" applyProtection="1">
      <alignment vertical="center" wrapText="1"/>
      <protection hidden="1"/>
    </xf>
    <xf numFmtId="0" fontId="0" fillId="0" borderId="3" xfId="0" applyBorder="1"/>
    <xf numFmtId="3" fontId="23" fillId="0" borderId="2" xfId="0" applyNumberFormat="1"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3" fontId="23" fillId="0" borderId="1" xfId="0" applyNumberFormat="1" applyFont="1" applyBorder="1" applyAlignment="1" applyProtection="1">
      <alignment horizontal="center" vertical="center" wrapText="1"/>
      <protection hidden="1"/>
    </xf>
    <xf numFmtId="4" fontId="23" fillId="0" borderId="1" xfId="0" applyNumberFormat="1" applyFont="1" applyBorder="1" applyAlignment="1" applyProtection="1">
      <alignment horizontal="center" vertical="center" wrapText="1"/>
      <protection hidden="1"/>
    </xf>
    <xf numFmtId="169" fontId="23" fillId="0" borderId="1" xfId="0" applyNumberFormat="1" applyFont="1" applyBorder="1" applyAlignment="1" applyProtection="1">
      <alignment horizontal="center" vertical="center" wrapText="1"/>
      <protection hidden="1"/>
    </xf>
    <xf numFmtId="171" fontId="23" fillId="0" borderId="1" xfId="0" applyNumberFormat="1" applyFont="1" applyBorder="1" applyAlignment="1" applyProtection="1">
      <alignment horizontal="center" vertical="center" wrapText="1"/>
      <protection hidden="1"/>
    </xf>
    <xf numFmtId="0" fontId="23" fillId="0" borderId="39" xfId="0" applyFont="1" applyBorder="1" applyAlignment="1" applyProtection="1">
      <alignment horizontal="center" vertical="center" wrapText="1"/>
      <protection hidden="1"/>
    </xf>
    <xf numFmtId="3" fontId="23" fillId="0" borderId="39" xfId="0" applyNumberFormat="1" applyFont="1" applyBorder="1" applyAlignment="1" applyProtection="1">
      <alignment horizontal="center" vertical="center" wrapText="1"/>
      <protection hidden="1"/>
    </xf>
    <xf numFmtId="164" fontId="23" fillId="0" borderId="1" xfId="0" applyNumberFormat="1" applyFont="1" applyBorder="1" applyAlignment="1" applyProtection="1">
      <alignment horizontal="center" vertical="center" wrapText="1"/>
      <protection hidden="1"/>
    </xf>
    <xf numFmtId="2" fontId="22" fillId="20" borderId="41" xfId="1" applyNumberFormat="1" applyFont="1" applyFill="1" applyBorder="1" applyAlignment="1" applyProtection="1">
      <alignment horizontal="center" vertical="center" wrapText="1"/>
      <protection hidden="1"/>
    </xf>
    <xf numFmtId="0" fontId="22" fillId="21" borderId="41" xfId="0"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5" fillId="0" borderId="0" xfId="0" applyFont="1"/>
    <xf numFmtId="0" fontId="26" fillId="0" borderId="3" xfId="0" applyFont="1" applyBorder="1" applyProtection="1">
      <protection hidden="1"/>
    </xf>
    <xf numFmtId="0" fontId="28" fillId="0" borderId="3" xfId="0" applyFont="1" applyBorder="1" applyProtection="1">
      <protection hidden="1"/>
    </xf>
    <xf numFmtId="0" fontId="28" fillId="0" borderId="0" xfId="0" applyFont="1"/>
    <xf numFmtId="0" fontId="29" fillId="11" borderId="7" xfId="0" applyFont="1" applyFill="1" applyBorder="1" applyAlignment="1" applyProtection="1">
      <alignment horizontal="center" vertical="center" wrapText="1"/>
      <protection hidden="1"/>
    </xf>
    <xf numFmtId="3" fontId="23" fillId="0" borderId="9" xfId="0" applyNumberFormat="1" applyFont="1" applyBorder="1" applyAlignment="1" applyProtection="1">
      <alignment horizontal="center" vertical="center" wrapText="1"/>
      <protection hidden="1"/>
    </xf>
    <xf numFmtId="0" fontId="23" fillId="0" borderId="5" xfId="0" applyFont="1" applyBorder="1" applyAlignment="1" applyProtection="1">
      <alignment horizontal="center" vertical="center" wrapText="1"/>
      <protection hidden="1"/>
    </xf>
    <xf numFmtId="3" fontId="23" fillId="0" borderId="51" xfId="0" applyNumberFormat="1" applyFont="1" applyBorder="1" applyAlignment="1" applyProtection="1">
      <alignment horizontal="center" vertical="center" wrapText="1"/>
      <protection hidden="1"/>
    </xf>
    <xf numFmtId="0" fontId="23" fillId="0" borderId="51" xfId="0" applyFont="1" applyBorder="1" applyAlignment="1" applyProtection="1">
      <alignment horizontal="center" vertical="center" wrapText="1"/>
      <protection hidden="1"/>
    </xf>
    <xf numFmtId="164" fontId="23" fillId="0" borderId="9" xfId="0" applyNumberFormat="1" applyFont="1" applyBorder="1" applyAlignment="1" applyProtection="1">
      <alignment horizontal="center" vertical="center" wrapText="1"/>
      <protection hidden="1"/>
    </xf>
    <xf numFmtId="0" fontId="27" fillId="28" borderId="52" xfId="0" applyFont="1" applyFill="1" applyBorder="1" applyAlignment="1" applyProtection="1">
      <alignment horizontal="center" vertical="center" wrapText="1"/>
      <protection hidden="1"/>
    </xf>
    <xf numFmtId="0" fontId="27" fillId="28" borderId="34" xfId="0" applyFont="1" applyFill="1" applyBorder="1" applyAlignment="1" applyProtection="1">
      <alignment horizontal="center" vertical="center" wrapText="1"/>
      <protection hidden="1"/>
    </xf>
    <xf numFmtId="0" fontId="27" fillId="29" borderId="34" xfId="0" applyFont="1" applyFill="1" applyBorder="1" applyAlignment="1" applyProtection="1">
      <alignment horizontal="center" vertical="center" wrapText="1"/>
      <protection hidden="1"/>
    </xf>
    <xf numFmtId="0" fontId="27" fillId="29" borderId="52" xfId="0" applyFont="1" applyFill="1" applyBorder="1" applyAlignment="1" applyProtection="1">
      <alignment horizontal="center" vertical="center" wrapText="1"/>
      <protection hidden="1"/>
    </xf>
    <xf numFmtId="3" fontId="23" fillId="0" borderId="5" xfId="0" applyNumberFormat="1" applyFont="1" applyBorder="1" applyAlignment="1" applyProtection="1">
      <alignment horizontal="center" vertical="center" wrapText="1"/>
      <protection hidden="1"/>
    </xf>
    <xf numFmtId="168" fontId="20" fillId="0" borderId="36" xfId="2" applyFont="1" applyFill="1" applyBorder="1"/>
    <xf numFmtId="170" fontId="27" fillId="29" borderId="34" xfId="0" applyNumberFormat="1" applyFont="1" applyFill="1" applyBorder="1" applyAlignment="1" applyProtection="1">
      <alignment horizontal="center" vertical="center" wrapText="1"/>
      <protection hidden="1"/>
    </xf>
    <xf numFmtId="170" fontId="27" fillId="28" borderId="34" xfId="0" applyNumberFormat="1" applyFont="1" applyFill="1" applyBorder="1" applyAlignment="1" applyProtection="1">
      <alignment horizontal="center" vertical="center" wrapText="1"/>
      <protection hidden="1"/>
    </xf>
    <xf numFmtId="170" fontId="29" fillId="11" borderId="7" xfId="0" applyNumberFormat="1" applyFont="1" applyFill="1" applyBorder="1" applyAlignment="1" applyProtection="1">
      <alignment horizontal="center" vertical="center" wrapText="1"/>
      <protection hidden="1"/>
    </xf>
    <xf numFmtId="170" fontId="29" fillId="22" borderId="7" xfId="0" applyNumberFormat="1" applyFont="1" applyFill="1" applyBorder="1" applyAlignment="1" applyProtection="1">
      <alignment horizontal="center" vertical="center" wrapText="1"/>
      <protection hidden="1"/>
    </xf>
    <xf numFmtId="0" fontId="29" fillId="22" borderId="7" xfId="0" applyFont="1" applyFill="1" applyBorder="1" applyAlignment="1" applyProtection="1">
      <alignment horizontal="center" vertical="center" wrapText="1"/>
      <protection hidden="1"/>
    </xf>
    <xf numFmtId="0" fontId="29" fillId="22" borderId="27" xfId="0" applyFont="1" applyFill="1" applyBorder="1" applyAlignment="1" applyProtection="1">
      <alignment horizontal="center" vertical="center" wrapText="1" shrinkToFit="1"/>
      <protection hidden="1"/>
    </xf>
    <xf numFmtId="0" fontId="29" fillId="11" borderId="35" xfId="0" applyFont="1" applyFill="1" applyBorder="1" applyAlignment="1" applyProtection="1">
      <alignment horizontal="center" vertical="center" wrapText="1"/>
      <protection hidden="1"/>
    </xf>
    <xf numFmtId="0" fontId="29" fillId="22" borderId="35" xfId="0" applyFont="1" applyFill="1" applyBorder="1" applyAlignment="1" applyProtection="1">
      <alignment horizontal="center" vertical="center" wrapText="1"/>
      <protection hidden="1"/>
    </xf>
    <xf numFmtId="2" fontId="29" fillId="22" borderId="35" xfId="0" applyNumberFormat="1" applyFont="1" applyFill="1" applyBorder="1" applyAlignment="1" applyProtection="1">
      <alignment horizontal="center" vertical="center" wrapText="1"/>
      <protection hidden="1"/>
    </xf>
    <xf numFmtId="0" fontId="29" fillId="22" borderId="35" xfId="0" applyFont="1" applyFill="1" applyBorder="1" applyAlignment="1" applyProtection="1">
      <alignment horizontal="left" vertical="center" wrapText="1"/>
      <protection hidden="1"/>
    </xf>
    <xf numFmtId="2" fontId="29" fillId="11" borderId="35" xfId="0" applyNumberFormat="1" applyFont="1" applyFill="1" applyBorder="1" applyAlignment="1" applyProtection="1">
      <alignment horizontal="center" vertical="center" wrapText="1"/>
      <protection hidden="1"/>
    </xf>
    <xf numFmtId="3" fontId="29" fillId="22" borderId="35" xfId="0" applyNumberFormat="1" applyFont="1" applyFill="1" applyBorder="1" applyAlignment="1" applyProtection="1">
      <alignment horizontal="center" vertical="center" wrapText="1"/>
      <protection hidden="1"/>
    </xf>
    <xf numFmtId="0" fontId="29" fillId="22" borderId="35" xfId="0" applyFont="1" applyFill="1" applyBorder="1" applyAlignment="1" applyProtection="1">
      <alignment vertical="center" wrapText="1"/>
      <protection hidden="1"/>
    </xf>
    <xf numFmtId="0" fontId="29" fillId="11" borderId="35" xfId="0" applyFont="1" applyFill="1" applyBorder="1" applyAlignment="1" applyProtection="1">
      <alignment vertical="center" wrapText="1"/>
      <protection hidden="1"/>
    </xf>
    <xf numFmtId="0" fontId="29" fillId="11" borderId="36" xfId="0" applyFont="1" applyFill="1" applyBorder="1" applyAlignment="1" applyProtection="1">
      <alignment vertical="center" wrapText="1"/>
      <protection hidden="1"/>
    </xf>
    <xf numFmtId="0" fontId="27" fillId="28" borderId="53" xfId="0" applyFont="1" applyFill="1" applyBorder="1" applyAlignment="1" applyProtection="1">
      <alignment horizontal="center" vertical="center" wrapText="1"/>
      <protection hidden="1"/>
    </xf>
    <xf numFmtId="0" fontId="27" fillId="29" borderId="53" xfId="0" applyFont="1" applyFill="1" applyBorder="1" applyAlignment="1" applyProtection="1">
      <alignment horizontal="center" vertical="center" wrapText="1"/>
      <protection hidden="1"/>
    </xf>
    <xf numFmtId="170" fontId="27" fillId="29" borderId="54" xfId="0" applyNumberFormat="1" applyFont="1" applyFill="1" applyBorder="1" applyAlignment="1" applyProtection="1">
      <alignment horizontal="center" vertical="center" wrapText="1"/>
      <protection hidden="1"/>
    </xf>
    <xf numFmtId="0" fontId="29" fillId="22" borderId="32" xfId="0" applyFont="1" applyFill="1" applyBorder="1" applyAlignment="1" applyProtection="1">
      <alignment horizontal="center" vertical="center" wrapText="1"/>
      <protection hidden="1"/>
    </xf>
    <xf numFmtId="0" fontId="29" fillId="22" borderId="33" xfId="0" applyFont="1" applyFill="1" applyBorder="1" applyAlignment="1" applyProtection="1">
      <alignment horizontal="center" vertical="center" wrapText="1" shrinkToFit="1"/>
      <protection hidden="1"/>
    </xf>
    <xf numFmtId="0" fontId="29" fillId="11" borderId="55" xfId="0" applyFont="1" applyFill="1" applyBorder="1" applyAlignment="1" applyProtection="1">
      <alignment horizontal="center" vertical="center" wrapText="1"/>
      <protection hidden="1"/>
    </xf>
    <xf numFmtId="0" fontId="29" fillId="22" borderId="55" xfId="0" applyFont="1" applyFill="1" applyBorder="1" applyAlignment="1" applyProtection="1">
      <alignment horizontal="center" vertical="center" wrapText="1"/>
      <protection hidden="1"/>
    </xf>
    <xf numFmtId="2" fontId="29" fillId="22" borderId="55" xfId="0" applyNumberFormat="1" applyFont="1" applyFill="1" applyBorder="1" applyAlignment="1" applyProtection="1">
      <alignment horizontal="center" vertical="center" wrapText="1"/>
      <protection hidden="1"/>
    </xf>
    <xf numFmtId="0" fontId="29" fillId="22" borderId="55" xfId="0" applyFont="1" applyFill="1" applyBorder="1" applyAlignment="1" applyProtection="1">
      <alignment horizontal="left" vertical="center" wrapText="1"/>
      <protection hidden="1"/>
    </xf>
    <xf numFmtId="2" fontId="29" fillId="11" borderId="55" xfId="0" applyNumberFormat="1" applyFont="1" applyFill="1" applyBorder="1" applyAlignment="1" applyProtection="1">
      <alignment horizontal="center" vertical="center" wrapText="1"/>
      <protection hidden="1"/>
    </xf>
    <xf numFmtId="3" fontId="29" fillId="22" borderId="55" xfId="0" applyNumberFormat="1" applyFont="1" applyFill="1" applyBorder="1" applyAlignment="1" applyProtection="1">
      <alignment horizontal="center" vertical="center" wrapText="1"/>
      <protection hidden="1"/>
    </xf>
    <xf numFmtId="0" fontId="29" fillId="22" borderId="55" xfId="0" applyFont="1" applyFill="1" applyBorder="1" applyAlignment="1" applyProtection="1">
      <alignment vertical="center" wrapText="1"/>
      <protection hidden="1"/>
    </xf>
    <xf numFmtId="0" fontId="29" fillId="11" borderId="55" xfId="0" applyFont="1" applyFill="1" applyBorder="1" applyAlignment="1" applyProtection="1">
      <alignment vertical="center" wrapText="1"/>
      <protection hidden="1"/>
    </xf>
    <xf numFmtId="0" fontId="29" fillId="11" borderId="56" xfId="0" applyFont="1" applyFill="1" applyBorder="1" applyAlignment="1" applyProtection="1">
      <alignment vertical="center" wrapText="1"/>
      <protection hidden="1"/>
    </xf>
    <xf numFmtId="0" fontId="29" fillId="11" borderId="32" xfId="0" applyFont="1" applyFill="1" applyBorder="1" applyAlignment="1" applyProtection="1">
      <alignment horizontal="center" vertical="center" wrapText="1"/>
      <protection hidden="1"/>
    </xf>
    <xf numFmtId="0" fontId="27" fillId="28" borderId="27" xfId="0" applyFont="1" applyFill="1" applyBorder="1" applyAlignment="1" applyProtection="1">
      <alignment horizontal="center" vertical="center" wrapText="1"/>
      <protection hidden="1"/>
    </xf>
    <xf numFmtId="0" fontId="27" fillId="28" borderId="35" xfId="0" applyFont="1" applyFill="1" applyBorder="1" applyAlignment="1" applyProtection="1">
      <alignment horizontal="center" vertical="center" wrapText="1"/>
      <protection hidden="1"/>
    </xf>
    <xf numFmtId="0" fontId="27" fillId="28" borderId="35" xfId="0" applyFont="1" applyFill="1" applyBorder="1" applyAlignment="1" applyProtection="1">
      <alignment horizontal="center" vertical="center" wrapText="1" shrinkToFit="1"/>
      <protection hidden="1"/>
    </xf>
    <xf numFmtId="0" fontId="27" fillId="29" borderId="35" xfId="0" applyFont="1" applyFill="1" applyBorder="1" applyAlignment="1" applyProtection="1">
      <alignment vertical="center" wrapText="1"/>
      <protection hidden="1"/>
    </xf>
    <xf numFmtId="0" fontId="27" fillId="28" borderId="35" xfId="0" applyFont="1" applyFill="1" applyBorder="1" applyAlignment="1" applyProtection="1">
      <alignment horizontal="left" vertical="center" wrapText="1"/>
      <protection hidden="1"/>
    </xf>
    <xf numFmtId="2" fontId="27" fillId="29" borderId="35" xfId="0" applyNumberFormat="1" applyFont="1" applyFill="1" applyBorder="1" applyAlignment="1" applyProtection="1">
      <alignment horizontal="center" vertical="center" wrapText="1"/>
      <protection hidden="1"/>
    </xf>
    <xf numFmtId="2" fontId="27" fillId="28" borderId="35" xfId="0" applyNumberFormat="1" applyFont="1" applyFill="1" applyBorder="1" applyAlignment="1" applyProtection="1">
      <alignment horizontal="center" vertical="center" wrapText="1"/>
      <protection hidden="1"/>
    </xf>
    <xf numFmtId="3" fontId="27" fillId="28" borderId="35" xfId="0" applyNumberFormat="1" applyFont="1" applyFill="1" applyBorder="1" applyAlignment="1" applyProtection="1">
      <alignment horizontal="center" vertical="center" wrapText="1"/>
      <protection hidden="1"/>
    </xf>
    <xf numFmtId="0" fontId="27" fillId="28" borderId="35" xfId="0" applyFont="1" applyFill="1" applyBorder="1" applyAlignment="1" applyProtection="1">
      <alignment vertical="center" wrapText="1"/>
      <protection hidden="1"/>
    </xf>
    <xf numFmtId="0" fontId="27" fillId="29" borderId="36" xfId="0" applyFont="1" applyFill="1" applyBorder="1" applyAlignment="1" applyProtection="1">
      <alignment vertical="center" wrapText="1"/>
      <protection hidden="1"/>
    </xf>
    <xf numFmtId="0" fontId="27" fillId="28" borderId="33" xfId="0" applyFont="1" applyFill="1" applyBorder="1" applyAlignment="1" applyProtection="1">
      <alignment horizontal="center" vertical="center" wrapText="1"/>
      <protection hidden="1"/>
    </xf>
    <xf numFmtId="0" fontId="27" fillId="28" borderId="55" xfId="0" applyFont="1" applyFill="1" applyBorder="1" applyAlignment="1" applyProtection="1">
      <alignment horizontal="center" vertical="center" wrapText="1"/>
      <protection hidden="1"/>
    </xf>
    <xf numFmtId="0" fontId="27" fillId="28" borderId="55" xfId="0" applyFont="1" applyFill="1" applyBorder="1" applyAlignment="1" applyProtection="1">
      <alignment horizontal="center" vertical="center" wrapText="1" shrinkToFit="1"/>
      <protection hidden="1"/>
    </xf>
    <xf numFmtId="0" fontId="27" fillId="29" borderId="55" xfId="0" applyFont="1" applyFill="1" applyBorder="1" applyAlignment="1" applyProtection="1">
      <alignment vertical="center" wrapText="1"/>
      <protection hidden="1"/>
    </xf>
    <xf numFmtId="0" fontId="27" fillId="28" borderId="55" xfId="0" applyFont="1" applyFill="1" applyBorder="1" applyAlignment="1" applyProtection="1">
      <alignment horizontal="left" vertical="center" wrapText="1"/>
      <protection hidden="1"/>
    </xf>
    <xf numFmtId="2" fontId="27" fillId="29" borderId="55" xfId="0" applyNumberFormat="1" applyFont="1" applyFill="1" applyBorder="1" applyAlignment="1" applyProtection="1">
      <alignment horizontal="center" vertical="center" wrapText="1"/>
      <protection hidden="1"/>
    </xf>
    <xf numFmtId="2" fontId="27" fillId="28" borderId="55" xfId="0" applyNumberFormat="1" applyFont="1" applyFill="1" applyBorder="1" applyAlignment="1" applyProtection="1">
      <alignment horizontal="center" vertical="center" wrapText="1"/>
      <protection hidden="1"/>
    </xf>
    <xf numFmtId="3" fontId="27" fillId="28" borderId="55" xfId="0" applyNumberFormat="1" applyFont="1" applyFill="1" applyBorder="1" applyAlignment="1" applyProtection="1">
      <alignment horizontal="center" vertical="center" wrapText="1"/>
      <protection hidden="1"/>
    </xf>
    <xf numFmtId="0" fontId="27" fillId="28" borderId="55" xfId="0" applyFont="1" applyFill="1" applyBorder="1" applyAlignment="1" applyProtection="1">
      <alignment vertical="center" wrapText="1"/>
      <protection hidden="1"/>
    </xf>
    <xf numFmtId="0" fontId="27" fillId="29" borderId="56" xfId="0" applyFont="1" applyFill="1" applyBorder="1" applyAlignment="1" applyProtection="1">
      <alignment vertical="center" wrapText="1"/>
      <protection hidden="1"/>
    </xf>
    <xf numFmtId="0" fontId="31" fillId="23" borderId="38" xfId="0" applyFont="1" applyFill="1" applyBorder="1" applyAlignment="1" applyProtection="1">
      <alignment horizontal="center" vertical="center" wrapText="1"/>
      <protection hidden="1"/>
    </xf>
    <xf numFmtId="0" fontId="31" fillId="23" borderId="37" xfId="0" applyFont="1" applyFill="1" applyBorder="1" applyAlignment="1" applyProtection="1">
      <alignment horizontal="center" vertical="center" wrapText="1"/>
      <protection hidden="1"/>
    </xf>
    <xf numFmtId="0" fontId="31" fillId="23" borderId="37" xfId="0" applyFont="1" applyFill="1" applyBorder="1" applyAlignment="1" applyProtection="1">
      <alignment horizontal="center" vertical="center" wrapText="1" shrinkToFit="1"/>
      <protection hidden="1"/>
    </xf>
    <xf numFmtId="0" fontId="31" fillId="2" borderId="37" xfId="0" applyFont="1" applyFill="1" applyBorder="1" applyAlignment="1" applyProtection="1">
      <alignment horizontal="center" vertical="center" wrapText="1"/>
      <protection hidden="1"/>
    </xf>
    <xf numFmtId="166" fontId="31" fillId="23" borderId="37" xfId="1" applyFont="1" applyFill="1" applyBorder="1" applyAlignment="1" applyProtection="1">
      <alignment horizontal="center" vertical="center" wrapText="1"/>
      <protection hidden="1"/>
    </xf>
    <xf numFmtId="2" fontId="31" fillId="2" borderId="37" xfId="0" applyNumberFormat="1" applyFont="1" applyFill="1" applyBorder="1" applyAlignment="1" applyProtection="1">
      <alignment horizontal="center" vertical="center" wrapText="1"/>
      <protection hidden="1"/>
    </xf>
    <xf numFmtId="2" fontId="31" fillId="23" borderId="37" xfId="1" applyNumberFormat="1" applyFont="1" applyFill="1" applyBorder="1" applyAlignment="1" applyProtection="1">
      <alignment horizontal="center" vertical="center" wrapText="1"/>
      <protection hidden="1"/>
    </xf>
    <xf numFmtId="2" fontId="31" fillId="23" borderId="37" xfId="0" applyNumberFormat="1" applyFont="1" applyFill="1" applyBorder="1" applyAlignment="1" applyProtection="1">
      <alignment horizontal="center" vertical="center" wrapText="1"/>
      <protection hidden="1"/>
    </xf>
    <xf numFmtId="3" fontId="31" fillId="23" borderId="37" xfId="0" applyNumberFormat="1" applyFont="1" applyFill="1" applyBorder="1" applyAlignment="1" applyProtection="1">
      <alignment horizontal="center" vertical="center" wrapText="1"/>
      <protection hidden="1"/>
    </xf>
    <xf numFmtId="0" fontId="31" fillId="23" borderId="37" xfId="0" applyFont="1" applyFill="1" applyBorder="1" applyAlignment="1" applyProtection="1">
      <alignment vertical="center" wrapText="1"/>
      <protection hidden="1"/>
    </xf>
    <xf numFmtId="0" fontId="31" fillId="2" borderId="37" xfId="0" applyFont="1" applyFill="1" applyBorder="1" applyAlignment="1" applyProtection="1">
      <alignment vertical="center" wrapText="1"/>
      <protection hidden="1"/>
    </xf>
    <xf numFmtId="0" fontId="31" fillId="2" borderId="42" xfId="0" applyFont="1" applyFill="1" applyBorder="1" applyAlignment="1" applyProtection="1">
      <alignment vertical="center" wrapText="1"/>
      <protection hidden="1"/>
    </xf>
    <xf numFmtId="0" fontId="27" fillId="28" borderId="57" xfId="0" applyFont="1" applyFill="1" applyBorder="1" applyAlignment="1" applyProtection="1">
      <alignment horizontal="center" vertical="center" wrapText="1"/>
      <protection hidden="1"/>
    </xf>
    <xf numFmtId="0" fontId="27" fillId="28" borderId="58" xfId="0" applyFont="1" applyFill="1" applyBorder="1" applyAlignment="1" applyProtection="1">
      <alignment horizontal="center" vertical="center" wrapText="1"/>
      <protection hidden="1"/>
    </xf>
    <xf numFmtId="0" fontId="27" fillId="28" borderId="59" xfId="0" applyFont="1" applyFill="1" applyBorder="1" applyAlignment="1" applyProtection="1">
      <alignment horizontal="center" vertical="center" wrapText="1"/>
      <protection hidden="1"/>
    </xf>
    <xf numFmtId="170" fontId="27" fillId="29" borderId="60" xfId="0" applyNumberFormat="1" applyFont="1" applyFill="1" applyBorder="1" applyAlignment="1" applyProtection="1">
      <alignment horizontal="center" vertical="center" wrapText="1"/>
      <protection hidden="1"/>
    </xf>
    <xf numFmtId="170" fontId="27" fillId="29" borderId="58" xfId="0" applyNumberFormat="1" applyFont="1" applyFill="1" applyBorder="1" applyAlignment="1" applyProtection="1">
      <alignment horizontal="center" vertical="center" wrapText="1"/>
      <protection hidden="1"/>
    </xf>
    <xf numFmtId="3" fontId="23" fillId="0" borderId="7" xfId="0" applyNumberFormat="1" applyFont="1" applyBorder="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170" fontId="31" fillId="2" borderId="38" xfId="0" applyNumberFormat="1" applyFont="1" applyFill="1" applyBorder="1" applyAlignment="1" applyProtection="1">
      <alignment horizontal="center" vertical="center" wrapText="1"/>
      <protection hidden="1"/>
    </xf>
    <xf numFmtId="170" fontId="31" fillId="2" borderId="47" xfId="0" applyNumberFormat="1" applyFont="1" applyFill="1" applyBorder="1" applyAlignment="1" applyProtection="1">
      <alignment horizontal="center" vertical="center" wrapText="1"/>
      <protection hidden="1"/>
    </xf>
    <xf numFmtId="170" fontId="31" fillId="2" borderId="46" xfId="0" applyNumberFormat="1" applyFont="1" applyFill="1" applyBorder="1" applyAlignment="1" applyProtection="1">
      <alignment horizontal="center" vertical="center" wrapText="1"/>
      <protection hidden="1"/>
    </xf>
    <xf numFmtId="170" fontId="31" fillId="2" borderId="48" xfId="0" applyNumberFormat="1" applyFont="1" applyFill="1" applyBorder="1" applyAlignment="1" applyProtection="1">
      <alignment horizontal="center" vertical="center" wrapText="1"/>
      <protection hidden="1"/>
    </xf>
    <xf numFmtId="170" fontId="31" fillId="2" borderId="14" xfId="0" applyNumberFormat="1" applyFont="1" applyFill="1" applyBorder="1" applyAlignment="1" applyProtection="1">
      <alignment horizontal="center" vertical="center" wrapText="1"/>
      <protection hidden="1"/>
    </xf>
    <xf numFmtId="170" fontId="31" fillId="2" borderId="49" xfId="0" applyNumberFormat="1" applyFont="1" applyFill="1" applyBorder="1" applyAlignment="1" applyProtection="1">
      <alignment horizontal="center" vertical="center" wrapText="1"/>
      <protection hidden="1"/>
    </xf>
    <xf numFmtId="170" fontId="31" fillId="2" borderId="50" xfId="0" applyNumberFormat="1" applyFont="1" applyFill="1" applyBorder="1" applyAlignment="1" applyProtection="1">
      <alignment horizontal="center" vertical="center" wrapText="1"/>
      <protection hidden="1"/>
    </xf>
    <xf numFmtId="170" fontId="29" fillId="11" borderId="32" xfId="0" applyNumberFormat="1" applyFont="1" applyFill="1" applyBorder="1" applyAlignment="1" applyProtection="1">
      <alignment horizontal="center" vertical="center" wrapText="1"/>
      <protection hidden="1"/>
    </xf>
    <xf numFmtId="2" fontId="32" fillId="0" borderId="14" xfId="1" applyNumberFormat="1" applyFont="1" applyFill="1" applyBorder="1" applyAlignment="1" applyProtection="1">
      <alignment horizontal="center" vertical="center" wrapText="1"/>
      <protection hidden="1"/>
    </xf>
    <xf numFmtId="0" fontId="32" fillId="0" borderId="14" xfId="0" applyFont="1" applyBorder="1" applyAlignment="1" applyProtection="1">
      <alignment horizontal="center" vertical="center" wrapText="1"/>
      <protection hidden="1"/>
    </xf>
    <xf numFmtId="0" fontId="32" fillId="0" borderId="14" xfId="0" applyFont="1" applyBorder="1" applyAlignment="1" applyProtection="1">
      <alignment vertical="center" wrapText="1"/>
      <protection hidden="1"/>
    </xf>
    <xf numFmtId="0" fontId="33" fillId="0" borderId="0" xfId="0" applyFont="1"/>
    <xf numFmtId="0" fontId="30" fillId="23" borderId="37" xfId="0" applyFont="1" applyFill="1" applyBorder="1" applyAlignment="1" applyProtection="1">
      <alignment horizontal="center" vertical="center" wrapText="1" shrinkToFit="1"/>
      <protection hidden="1"/>
    </xf>
    <xf numFmtId="0" fontId="30" fillId="2" borderId="37" xfId="0" applyFont="1" applyFill="1" applyBorder="1" applyAlignment="1" applyProtection="1">
      <alignment horizontal="center" vertical="center" wrapText="1"/>
      <protection hidden="1"/>
    </xf>
    <xf numFmtId="166" fontId="30" fillId="23" borderId="37" xfId="1" applyFont="1" applyFill="1" applyBorder="1" applyAlignment="1" applyProtection="1">
      <alignment horizontal="center" vertical="center" wrapText="1"/>
      <protection hidden="1"/>
    </xf>
    <xf numFmtId="2" fontId="30" fillId="2" borderId="37" xfId="0" applyNumberFormat="1" applyFont="1" applyFill="1" applyBorder="1" applyAlignment="1" applyProtection="1">
      <alignment horizontal="center" vertical="center" wrapText="1"/>
      <protection hidden="1"/>
    </xf>
    <xf numFmtId="2" fontId="30" fillId="23" borderId="37" xfId="1" applyNumberFormat="1" applyFont="1" applyFill="1" applyBorder="1" applyAlignment="1" applyProtection="1">
      <alignment horizontal="center" vertical="center" wrapText="1"/>
      <protection hidden="1"/>
    </xf>
    <xf numFmtId="2" fontId="30" fillId="23" borderId="37" xfId="0" applyNumberFormat="1" applyFont="1" applyFill="1" applyBorder="1" applyAlignment="1" applyProtection="1">
      <alignment horizontal="center" vertical="center" wrapText="1"/>
      <protection hidden="1"/>
    </xf>
    <xf numFmtId="3" fontId="30" fillId="23" borderId="37" xfId="0" applyNumberFormat="1" applyFont="1" applyFill="1" applyBorder="1" applyAlignment="1" applyProtection="1">
      <alignment horizontal="center" vertical="center" wrapText="1"/>
      <protection hidden="1"/>
    </xf>
    <xf numFmtId="0" fontId="30" fillId="23" borderId="37" xfId="0" applyFont="1" applyFill="1" applyBorder="1" applyAlignment="1" applyProtection="1">
      <alignment vertical="center" wrapText="1"/>
      <protection hidden="1"/>
    </xf>
    <xf numFmtId="0" fontId="30" fillId="2" borderId="37" xfId="0" applyFont="1" applyFill="1" applyBorder="1" applyAlignment="1" applyProtection="1">
      <alignment vertical="center" wrapText="1"/>
      <protection hidden="1"/>
    </xf>
    <xf numFmtId="0" fontId="30" fillId="2" borderId="42" xfId="0" applyFont="1" applyFill="1" applyBorder="1" applyAlignment="1" applyProtection="1">
      <alignment vertical="center" wrapText="1"/>
      <protection hidden="1"/>
    </xf>
    <xf numFmtId="170" fontId="30" fillId="2" borderId="14" xfId="0" applyNumberFormat="1" applyFont="1" applyFill="1" applyBorder="1" applyAlignment="1" applyProtection="1">
      <alignment horizontal="center" vertical="center" wrapText="1"/>
      <protection hidden="1"/>
    </xf>
    <xf numFmtId="170" fontId="30" fillId="2" borderId="49" xfId="0" applyNumberFormat="1" applyFont="1" applyFill="1" applyBorder="1" applyAlignment="1" applyProtection="1">
      <alignment horizontal="center" vertical="center" wrapText="1"/>
      <protection hidden="1"/>
    </xf>
    <xf numFmtId="170" fontId="30" fillId="2" borderId="50" xfId="0" applyNumberFormat="1" applyFont="1" applyFill="1" applyBorder="1" applyAlignment="1" applyProtection="1">
      <alignment horizontal="center" vertical="center" wrapText="1"/>
      <protection hidden="1"/>
    </xf>
    <xf numFmtId="2" fontId="23" fillId="29" borderId="2" xfId="0" applyNumberFormat="1" applyFont="1" applyFill="1" applyBorder="1" applyAlignment="1" applyProtection="1">
      <alignment horizontal="center" vertical="center" wrapText="1"/>
      <protection hidden="1"/>
    </xf>
    <xf numFmtId="2" fontId="23" fillId="29" borderId="5" xfId="0" applyNumberFormat="1" applyFont="1" applyFill="1" applyBorder="1" applyAlignment="1" applyProtection="1">
      <alignment horizontal="center" vertical="center" wrapText="1"/>
      <protection hidden="1"/>
    </xf>
    <xf numFmtId="172" fontId="23" fillId="29" borderId="2" xfId="0" applyNumberFormat="1" applyFont="1" applyFill="1" applyBorder="1" applyAlignment="1" applyProtection="1">
      <alignment horizontal="center" vertical="center" wrapText="1"/>
      <protection hidden="1"/>
    </xf>
    <xf numFmtId="2" fontId="23" fillId="29" borderId="7" xfId="0" applyNumberFormat="1" applyFont="1" applyFill="1" applyBorder="1" applyAlignment="1" applyProtection="1">
      <alignment horizontal="center" vertical="center" wrapText="1"/>
      <protection hidden="1"/>
    </xf>
    <xf numFmtId="168" fontId="23" fillId="29" borderId="2" xfId="2" applyFont="1" applyFill="1" applyBorder="1" applyAlignment="1" applyProtection="1">
      <alignment horizontal="center" vertical="center" wrapText="1"/>
      <protection hidden="1"/>
    </xf>
    <xf numFmtId="168" fontId="23" fillId="29" borderId="5" xfId="2" applyFont="1" applyFill="1" applyBorder="1" applyAlignment="1" applyProtection="1">
      <alignment horizontal="center" vertical="center" wrapText="1"/>
      <protection hidden="1"/>
    </xf>
    <xf numFmtId="0" fontId="27" fillId="28" borderId="38" xfId="0" applyFont="1" applyFill="1" applyBorder="1" applyAlignment="1" applyProtection="1">
      <alignment horizontal="center" vertical="center" wrapText="1"/>
      <protection hidden="1"/>
    </xf>
    <xf numFmtId="0" fontId="27" fillId="28" borderId="42" xfId="0" applyFont="1" applyFill="1" applyBorder="1" applyAlignment="1" applyProtection="1">
      <alignment horizontal="center" vertical="center" wrapText="1"/>
      <protection hidden="1"/>
    </xf>
    <xf numFmtId="0" fontId="27" fillId="28" borderId="46" xfId="0" applyFont="1" applyFill="1" applyBorder="1" applyAlignment="1" applyProtection="1">
      <alignment horizontal="center" vertical="center" wrapText="1"/>
      <protection hidden="1"/>
    </xf>
    <xf numFmtId="170" fontId="30" fillId="20" borderId="41" xfId="0" applyNumberFormat="1" applyFont="1" applyFill="1" applyBorder="1" applyAlignment="1" applyProtection="1">
      <alignment horizontal="center" vertical="center" wrapText="1"/>
      <protection hidden="1"/>
    </xf>
    <xf numFmtId="170" fontId="31" fillId="29" borderId="2" xfId="0" applyNumberFormat="1" applyFont="1" applyFill="1" applyBorder="1" applyAlignment="1" applyProtection="1">
      <alignment horizontal="center" vertical="center" wrapText="1"/>
      <protection hidden="1"/>
    </xf>
    <xf numFmtId="170" fontId="31" fillId="29" borderId="1" xfId="0" applyNumberFormat="1" applyFont="1" applyFill="1" applyBorder="1" applyAlignment="1" applyProtection="1">
      <alignment horizontal="center" vertical="center" wrapText="1"/>
      <protection hidden="1"/>
    </xf>
    <xf numFmtId="170" fontId="31" fillId="29" borderId="9" xfId="0" applyNumberFormat="1" applyFont="1" applyFill="1" applyBorder="1" applyAlignment="1" applyProtection="1">
      <alignment horizontal="center" vertical="center" wrapText="1"/>
      <protection hidden="1"/>
    </xf>
    <xf numFmtId="170" fontId="31" fillId="29" borderId="39" xfId="0" applyNumberFormat="1" applyFont="1" applyFill="1" applyBorder="1" applyAlignment="1" applyProtection="1">
      <alignment horizontal="center" vertical="center" wrapText="1"/>
      <protection hidden="1"/>
    </xf>
    <xf numFmtId="170" fontId="31" fillId="29" borderId="51" xfId="0" applyNumberFormat="1" applyFont="1" applyFill="1" applyBorder="1" applyAlignment="1" applyProtection="1">
      <alignment horizontal="center" vertical="center" wrapText="1"/>
      <protection hidden="1"/>
    </xf>
    <xf numFmtId="170" fontId="31" fillId="29" borderId="7" xfId="0" applyNumberFormat="1" applyFont="1" applyFill="1" applyBorder="1" applyAlignment="1" applyProtection="1">
      <alignment horizontal="center" vertical="center" wrapText="1"/>
      <protection hidden="1"/>
    </xf>
    <xf numFmtId="170" fontId="31" fillId="29" borderId="5" xfId="0" applyNumberFormat="1" applyFont="1" applyFill="1" applyBorder="1" applyAlignment="1" applyProtection="1">
      <alignment horizontal="center" vertical="center" wrapText="1"/>
      <protection hidden="1"/>
    </xf>
    <xf numFmtId="170" fontId="30" fillId="20" borderId="43" xfId="0" applyNumberFormat="1" applyFont="1" applyFill="1" applyBorder="1" applyAlignment="1" applyProtection="1">
      <alignment horizontal="center" vertical="center" wrapText="1"/>
      <protection hidden="1"/>
    </xf>
    <xf numFmtId="170" fontId="40" fillId="20" borderId="7" xfId="0" applyNumberFormat="1" applyFont="1" applyFill="1" applyBorder="1" applyAlignment="1" applyProtection="1">
      <alignment horizontal="center" vertical="center" wrapText="1"/>
      <protection hidden="1"/>
    </xf>
    <xf numFmtId="170" fontId="41" fillId="0" borderId="2" xfId="0" applyNumberFormat="1" applyFont="1" applyBorder="1" applyAlignment="1" applyProtection="1">
      <alignment horizontal="center" vertical="center" wrapText="1"/>
      <protection hidden="1"/>
    </xf>
    <xf numFmtId="170" fontId="41" fillId="0" borderId="1" xfId="0" applyNumberFormat="1" applyFont="1" applyBorder="1" applyAlignment="1" applyProtection="1">
      <alignment horizontal="center" vertical="center" wrapText="1"/>
      <protection hidden="1"/>
    </xf>
    <xf numFmtId="170" fontId="41" fillId="0" borderId="9" xfId="0" applyNumberFormat="1" applyFont="1" applyBorder="1" applyAlignment="1" applyProtection="1">
      <alignment horizontal="center" vertical="center" wrapText="1"/>
      <protection hidden="1"/>
    </xf>
    <xf numFmtId="170" fontId="41" fillId="0" borderId="39" xfId="0" applyNumberFormat="1" applyFont="1" applyBorder="1" applyAlignment="1" applyProtection="1">
      <alignment horizontal="center" vertical="center" wrapText="1"/>
      <protection hidden="1"/>
    </xf>
    <xf numFmtId="170" fontId="41" fillId="0" borderId="51" xfId="0" applyNumberFormat="1" applyFont="1" applyBorder="1" applyAlignment="1" applyProtection="1">
      <alignment horizontal="center" vertical="center" wrapText="1"/>
      <protection hidden="1"/>
    </xf>
    <xf numFmtId="170" fontId="41" fillId="0" borderId="7" xfId="0" applyNumberFormat="1" applyFont="1" applyBorder="1" applyAlignment="1" applyProtection="1">
      <alignment horizontal="center" vertical="center" wrapText="1"/>
      <protection hidden="1"/>
    </xf>
    <xf numFmtId="170" fontId="41" fillId="0" borderId="5" xfId="0" applyNumberFormat="1" applyFont="1" applyBorder="1" applyAlignment="1" applyProtection="1">
      <alignment horizontal="center" vertical="center" wrapText="1"/>
      <protection hidden="1"/>
    </xf>
    <xf numFmtId="170" fontId="39" fillId="0" borderId="0" xfId="0" applyNumberFormat="1" applyFont="1" applyAlignment="1" applyProtection="1">
      <alignment horizontal="center" vertical="center" wrapText="1"/>
      <protection hidden="1"/>
    </xf>
    <xf numFmtId="170" fontId="30" fillId="21" borderId="7" xfId="0" applyNumberFormat="1" applyFont="1" applyFill="1" applyBorder="1" applyAlignment="1" applyProtection="1">
      <alignment horizontal="center" vertical="center" wrapText="1"/>
      <protection hidden="1"/>
    </xf>
    <xf numFmtId="0" fontId="30" fillId="23" borderId="38" xfId="0" applyFont="1" applyFill="1" applyBorder="1" applyAlignment="1" applyProtection="1">
      <alignment horizontal="center" vertical="center" wrapText="1"/>
      <protection hidden="1"/>
    </xf>
    <xf numFmtId="0" fontId="30" fillId="23" borderId="37" xfId="0" applyFont="1" applyFill="1" applyBorder="1" applyAlignment="1" applyProtection="1">
      <alignment horizontal="center" vertical="center" wrapText="1"/>
      <protection hidden="1"/>
    </xf>
    <xf numFmtId="1" fontId="0" fillId="0" borderId="0" xfId="0" applyNumberFormat="1" applyAlignment="1" applyProtection="1">
      <alignment horizontal="center" vertical="center"/>
      <protection hidden="1"/>
    </xf>
    <xf numFmtId="0" fontId="0" fillId="0" borderId="0" xfId="0" applyProtection="1">
      <protection hidden="1"/>
    </xf>
    <xf numFmtId="0" fontId="0" fillId="0" borderId="0" xfId="0" applyAlignment="1" applyProtection="1">
      <alignment vertical="center"/>
      <protection hidden="1"/>
    </xf>
    <xf numFmtId="170" fontId="34" fillId="0" borderId="0" xfId="0" applyNumberFormat="1" applyFont="1" applyProtection="1">
      <protection hidden="1"/>
    </xf>
    <xf numFmtId="170" fontId="38" fillId="0" borderId="0" xfId="0" applyNumberFormat="1" applyFont="1" applyProtection="1">
      <protection hidden="1"/>
    </xf>
    <xf numFmtId="170" fontId="38" fillId="0" borderId="3" xfId="0" applyNumberFormat="1" applyFont="1" applyBorder="1" applyProtection="1">
      <protection hidden="1"/>
    </xf>
    <xf numFmtId="170" fontId="39" fillId="0" borderId="7" xfId="0" applyNumberFormat="1" applyFont="1" applyBorder="1" applyProtection="1">
      <protection hidden="1"/>
    </xf>
    <xf numFmtId="1" fontId="22" fillId="21" borderId="40" xfId="0" applyNumberFormat="1" applyFont="1" applyFill="1" applyBorder="1" applyAlignment="1" applyProtection="1">
      <alignment horizontal="center" vertical="center" wrapText="1"/>
      <protection hidden="1"/>
    </xf>
    <xf numFmtId="1" fontId="22" fillId="21" borderId="41" xfId="0" applyNumberFormat="1" applyFont="1" applyFill="1" applyBorder="1" applyAlignment="1" applyProtection="1">
      <alignment horizontal="center" vertical="center" wrapText="1"/>
      <protection hidden="1"/>
    </xf>
    <xf numFmtId="1" fontId="22" fillId="21" borderId="41" xfId="1" applyNumberFormat="1" applyFont="1" applyFill="1" applyBorder="1" applyAlignment="1" applyProtection="1">
      <alignment horizontal="center" vertical="center" wrapText="1"/>
      <protection hidden="1"/>
    </xf>
    <xf numFmtId="2" fontId="22" fillId="21" borderId="41" xfId="0" applyNumberFormat="1" applyFont="1" applyFill="1" applyBorder="1" applyAlignment="1" applyProtection="1">
      <alignment horizontal="center" vertical="center" wrapText="1"/>
      <protection hidden="1"/>
    </xf>
    <xf numFmtId="170" fontId="22" fillId="21" borderId="41" xfId="0" applyNumberFormat="1" applyFont="1" applyFill="1" applyBorder="1" applyAlignment="1" applyProtection="1">
      <alignment horizontal="center" vertical="center" wrapText="1"/>
      <protection hidden="1"/>
    </xf>
    <xf numFmtId="1" fontId="23" fillId="0" borderId="2" xfId="0" applyNumberFormat="1" applyFont="1" applyBorder="1" applyAlignment="1" applyProtection="1">
      <alignment horizontal="center" vertical="center" wrapText="1"/>
      <protection hidden="1"/>
    </xf>
    <xf numFmtId="2" fontId="23" fillId="0" borderId="2" xfId="0" applyNumberFormat="1" applyFont="1" applyBorder="1" applyAlignment="1" applyProtection="1">
      <alignment horizontal="center" vertical="center" wrapText="1"/>
      <protection hidden="1"/>
    </xf>
    <xf numFmtId="170" fontId="36" fillId="0" borderId="2" xfId="0" applyNumberFormat="1" applyFont="1" applyBorder="1" applyAlignment="1" applyProtection="1">
      <alignment horizontal="center" vertical="center" wrapText="1"/>
      <protection hidden="1"/>
    </xf>
    <xf numFmtId="170" fontId="36" fillId="0" borderId="2" xfId="2" applyNumberFormat="1" applyFont="1" applyFill="1" applyBorder="1" applyAlignment="1" applyProtection="1">
      <alignment horizontal="center" vertical="center" wrapText="1"/>
      <protection hidden="1"/>
    </xf>
    <xf numFmtId="1" fontId="23" fillId="0" borderId="1" xfId="0" applyNumberFormat="1" applyFont="1" applyBorder="1" applyAlignment="1" applyProtection="1">
      <alignment horizontal="center" vertical="center" wrapText="1"/>
      <protection hidden="1"/>
    </xf>
    <xf numFmtId="170" fontId="36" fillId="0" borderId="1" xfId="0" applyNumberFormat="1" applyFont="1" applyBorder="1" applyAlignment="1" applyProtection="1">
      <alignment horizontal="center" vertical="center" wrapText="1"/>
      <protection hidden="1"/>
    </xf>
    <xf numFmtId="170" fontId="36" fillId="0" borderId="1" xfId="2" applyNumberFormat="1" applyFont="1" applyFill="1" applyBorder="1" applyAlignment="1" applyProtection="1">
      <alignment horizontal="center" vertical="center" wrapText="1"/>
      <protection hidden="1"/>
    </xf>
    <xf numFmtId="1" fontId="23" fillId="0" borderId="5" xfId="0" applyNumberFormat="1" applyFont="1" applyBorder="1" applyAlignment="1" applyProtection="1">
      <alignment horizontal="center" vertical="center" wrapText="1"/>
      <protection hidden="1"/>
    </xf>
    <xf numFmtId="1" fontId="23" fillId="0" borderId="9" xfId="0" applyNumberFormat="1" applyFont="1" applyBorder="1" applyAlignment="1" applyProtection="1">
      <alignment horizontal="center" vertical="center" wrapText="1"/>
      <protection hidden="1"/>
    </xf>
    <xf numFmtId="2" fontId="23" fillId="0" borderId="5" xfId="0" applyNumberFormat="1" applyFont="1" applyBorder="1" applyAlignment="1" applyProtection="1">
      <alignment horizontal="center" vertical="center" wrapText="1"/>
      <protection hidden="1"/>
    </xf>
    <xf numFmtId="170" fontId="36" fillId="0" borderId="9" xfId="0" applyNumberFormat="1" applyFont="1" applyBorder="1" applyAlignment="1" applyProtection="1">
      <alignment horizontal="center" vertical="center" wrapText="1"/>
      <protection hidden="1"/>
    </xf>
    <xf numFmtId="170" fontId="36" fillId="0" borderId="9" xfId="2" applyNumberFormat="1" applyFont="1" applyFill="1" applyBorder="1" applyAlignment="1" applyProtection="1">
      <alignment horizontal="center" vertical="center" wrapText="1"/>
      <protection hidden="1"/>
    </xf>
    <xf numFmtId="0" fontId="23" fillId="0" borderId="2" xfId="0" applyFont="1" applyBorder="1" applyAlignment="1" applyProtection="1">
      <alignment horizontal="center" vertical="center" wrapText="1" shrinkToFit="1"/>
      <protection hidden="1"/>
    </xf>
    <xf numFmtId="0" fontId="23" fillId="0" borderId="1"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shrinkToFit="1"/>
      <protection hidden="1"/>
    </xf>
    <xf numFmtId="0" fontId="23" fillId="0" borderId="9"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shrinkToFit="1"/>
      <protection hidden="1"/>
    </xf>
    <xf numFmtId="1" fontId="23" fillId="0" borderId="2" xfId="1" applyNumberFormat="1" applyFont="1" applyFill="1" applyBorder="1" applyAlignment="1" applyProtection="1">
      <alignment horizontal="center" vertical="center" wrapText="1"/>
      <protection hidden="1"/>
    </xf>
    <xf numFmtId="1" fontId="23" fillId="0" borderId="5" xfId="1" applyNumberFormat="1" applyFont="1" applyFill="1" applyBorder="1" applyAlignment="1" applyProtection="1">
      <alignment horizontal="center" vertical="center" wrapText="1"/>
      <protection hidden="1"/>
    </xf>
    <xf numFmtId="0" fontId="23" fillId="0" borderId="39" xfId="0" applyFont="1" applyBorder="1" applyAlignment="1" applyProtection="1">
      <alignment horizontal="center" vertical="center" wrapText="1" shrinkToFit="1"/>
      <protection hidden="1"/>
    </xf>
    <xf numFmtId="1" fontId="23" fillId="0" borderId="39" xfId="0" applyNumberFormat="1" applyFont="1" applyBorder="1" applyAlignment="1" applyProtection="1">
      <alignment horizontal="center" vertical="center" wrapText="1"/>
      <protection hidden="1"/>
    </xf>
    <xf numFmtId="2" fontId="23" fillId="0" borderId="39" xfId="0" applyNumberFormat="1" applyFont="1" applyBorder="1" applyAlignment="1" applyProtection="1">
      <alignment horizontal="center" vertical="center" wrapText="1"/>
      <protection hidden="1"/>
    </xf>
    <xf numFmtId="170" fontId="36" fillId="0" borderId="39" xfId="0" applyNumberFormat="1" applyFont="1" applyBorder="1" applyAlignment="1" applyProtection="1">
      <alignment horizontal="center" vertical="center" wrapText="1"/>
      <protection hidden="1"/>
    </xf>
    <xf numFmtId="0" fontId="23" fillId="0" borderId="51" xfId="0" applyFont="1" applyBorder="1" applyAlignment="1" applyProtection="1">
      <alignment horizontal="center" vertical="center" wrapText="1" shrinkToFit="1"/>
      <protection hidden="1"/>
    </xf>
    <xf numFmtId="2" fontId="23" fillId="0" borderId="51" xfId="0" applyNumberFormat="1" applyFont="1" applyBorder="1" applyAlignment="1" applyProtection="1">
      <alignment horizontal="center" vertical="center" wrapText="1"/>
      <protection hidden="1"/>
    </xf>
    <xf numFmtId="170" fontId="36" fillId="0" borderId="51" xfId="0" applyNumberFormat="1" applyFont="1" applyBorder="1" applyAlignment="1" applyProtection="1">
      <alignment horizontal="center" vertical="center" wrapText="1"/>
      <protection hidden="1"/>
    </xf>
    <xf numFmtId="2" fontId="23" fillId="0" borderId="2" xfId="0" quotePrefix="1" applyNumberFormat="1" applyFont="1" applyBorder="1" applyAlignment="1" applyProtection="1">
      <alignment horizontal="center" vertical="center" wrapText="1"/>
      <protection hidden="1"/>
    </xf>
    <xf numFmtId="0" fontId="23" fillId="27" borderId="2" xfId="0" applyFont="1" applyFill="1" applyBorder="1" applyAlignment="1" applyProtection="1">
      <alignment horizontal="center" vertical="center" wrapText="1"/>
      <protection hidden="1"/>
    </xf>
    <xf numFmtId="0" fontId="23" fillId="27" borderId="1" xfId="0" applyFont="1" applyFill="1" applyBorder="1" applyAlignment="1" applyProtection="1">
      <alignment horizontal="center" vertical="center" wrapText="1"/>
      <protection hidden="1"/>
    </xf>
    <xf numFmtId="0" fontId="23" fillId="27" borderId="9" xfId="0" applyFont="1" applyFill="1" applyBorder="1" applyAlignment="1" applyProtection="1">
      <alignment horizontal="center" vertical="center" wrapText="1"/>
      <protection hidden="1"/>
    </xf>
    <xf numFmtId="0" fontId="23" fillId="27" borderId="2" xfId="0" applyFont="1" applyFill="1" applyBorder="1" applyAlignment="1" applyProtection="1">
      <alignment horizontal="left" vertical="center" wrapText="1"/>
      <protection hidden="1"/>
    </xf>
    <xf numFmtId="0" fontId="23" fillId="27" borderId="1" xfId="0" applyFont="1" applyFill="1" applyBorder="1" applyAlignment="1" applyProtection="1">
      <alignment horizontal="left" vertical="center" wrapText="1"/>
      <protection hidden="1"/>
    </xf>
    <xf numFmtId="0" fontId="23" fillId="0" borderId="45" xfId="0" applyFont="1" applyBorder="1" applyAlignment="1" applyProtection="1">
      <alignment horizontal="center" vertical="center" wrapText="1"/>
      <protection hidden="1"/>
    </xf>
    <xf numFmtId="0" fontId="23" fillId="0" borderId="34" xfId="0" applyFont="1" applyBorder="1" applyAlignment="1" applyProtection="1">
      <alignment horizontal="center" vertical="center" wrapText="1"/>
      <protection hidden="1"/>
    </xf>
    <xf numFmtId="0" fontId="23" fillId="0" borderId="4" xfId="0" applyFont="1" applyBorder="1" applyAlignment="1" applyProtection="1">
      <alignment horizontal="center" vertical="center" wrapText="1"/>
      <protection hidden="1"/>
    </xf>
    <xf numFmtId="0" fontId="23" fillId="0" borderId="44" xfId="0" applyFont="1" applyBorder="1" applyAlignment="1" applyProtection="1">
      <alignment horizontal="center" vertical="center" wrapText="1"/>
      <protection hidden="1"/>
    </xf>
    <xf numFmtId="0" fontId="23" fillId="0" borderId="32" xfId="0" applyFont="1" applyBorder="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170" fontId="36" fillId="0" borderId="32" xfId="2" applyNumberFormat="1" applyFont="1" applyFill="1" applyBorder="1" applyAlignment="1" applyProtection="1">
      <alignment horizontal="center" vertical="center" wrapText="1"/>
      <protection hidden="1"/>
    </xf>
    <xf numFmtId="170" fontId="36" fillId="0" borderId="34" xfId="2" applyNumberFormat="1" applyFont="1" applyFill="1" applyBorder="1" applyAlignment="1" applyProtection="1">
      <alignment horizontal="center" vertical="center" wrapText="1"/>
      <protection hidden="1"/>
    </xf>
    <xf numFmtId="170" fontId="36" fillId="0" borderId="7" xfId="2" applyNumberFormat="1" applyFont="1" applyFill="1" applyBorder="1" applyAlignment="1" applyProtection="1">
      <alignment horizontal="center" vertical="center" wrapText="1"/>
      <protection hidden="1"/>
    </xf>
    <xf numFmtId="170" fontId="36" fillId="0" borderId="3" xfId="0" applyNumberFormat="1" applyFont="1" applyBorder="1" applyAlignment="1" applyProtection="1">
      <alignment horizontal="center" vertical="center" wrapText="1"/>
      <protection hidden="1"/>
    </xf>
    <xf numFmtId="0" fontId="23" fillId="0" borderId="7" xfId="0" applyFont="1" applyBorder="1" applyAlignment="1" applyProtection="1">
      <alignment horizontal="center" vertical="center" wrapText="1" shrinkToFit="1"/>
      <protection hidden="1"/>
    </xf>
    <xf numFmtId="1" fontId="23" fillId="0" borderId="7" xfId="1" applyNumberFormat="1" applyFont="1" applyFill="1" applyBorder="1" applyAlignment="1" applyProtection="1">
      <alignment horizontal="center" vertical="center" wrapText="1"/>
      <protection hidden="1"/>
    </xf>
    <xf numFmtId="2" fontId="23" fillId="0" borderId="7" xfId="0" applyNumberFormat="1" applyFont="1" applyBorder="1" applyAlignment="1" applyProtection="1">
      <alignment horizontal="center" vertical="center" wrapText="1"/>
      <protection hidden="1"/>
    </xf>
    <xf numFmtId="170" fontId="36" fillId="0" borderId="7" xfId="0" applyNumberFormat="1" applyFont="1" applyBorder="1" applyAlignment="1" applyProtection="1">
      <alignment horizontal="center" vertical="center" wrapText="1"/>
      <protection hidden="1"/>
    </xf>
    <xf numFmtId="0" fontId="23" fillId="0" borderId="3" xfId="0" applyFont="1" applyBorder="1" applyAlignment="1" applyProtection="1">
      <alignment vertical="center" wrapText="1"/>
      <protection hidden="1"/>
    </xf>
    <xf numFmtId="164" fontId="23" fillId="0" borderId="2" xfId="0" applyNumberFormat="1" applyFont="1" applyBorder="1" applyAlignment="1" applyProtection="1">
      <alignment horizontal="center" vertical="center" wrapText="1"/>
      <protection hidden="1"/>
    </xf>
    <xf numFmtId="168" fontId="23" fillId="0" borderId="2" xfId="2" applyFont="1" applyFill="1" applyBorder="1" applyAlignment="1" applyProtection="1">
      <alignment horizontal="center" vertical="center" wrapText="1"/>
      <protection hidden="1"/>
    </xf>
    <xf numFmtId="165" fontId="23" fillId="0" borderId="2" xfId="0" applyNumberFormat="1" applyFont="1" applyBorder="1" applyAlignment="1" applyProtection="1">
      <alignment horizontal="center" vertical="center" wrapText="1"/>
      <protection hidden="1"/>
    </xf>
    <xf numFmtId="165" fontId="23" fillId="0" borderId="1" xfId="0" applyNumberFormat="1" applyFont="1" applyBorder="1" applyAlignment="1" applyProtection="1">
      <alignment horizontal="center" vertical="center" wrapText="1"/>
      <protection hidden="1"/>
    </xf>
    <xf numFmtId="165" fontId="23" fillId="0" borderId="9" xfId="0" applyNumberFormat="1" applyFont="1" applyBorder="1" applyAlignment="1" applyProtection="1">
      <alignment horizontal="center" vertical="center" wrapText="1"/>
      <protection hidden="1"/>
    </xf>
    <xf numFmtId="168" fontId="23" fillId="0" borderId="5" xfId="2" applyFont="1" applyFill="1" applyBorder="1" applyAlignment="1" applyProtection="1">
      <alignment horizontal="center" vertical="center" wrapText="1"/>
      <protection hidden="1"/>
    </xf>
    <xf numFmtId="0" fontId="23" fillId="0" borderId="5" xfId="0" applyFont="1" applyBorder="1" applyAlignment="1" applyProtection="1">
      <alignment horizontal="center" vertical="center" wrapText="1" shrinkToFit="1"/>
      <protection hidden="1"/>
    </xf>
    <xf numFmtId="170" fontId="36" fillId="0" borderId="5" xfId="0" applyNumberFormat="1" applyFont="1" applyBorder="1" applyAlignment="1" applyProtection="1">
      <alignment horizontal="center" vertical="center" wrapText="1"/>
      <protection hidden="1"/>
    </xf>
    <xf numFmtId="0" fontId="32" fillId="0" borderId="42" xfId="0" applyFont="1" applyBorder="1" applyAlignment="1" applyProtection="1">
      <alignment vertical="center" wrapText="1"/>
      <protection hidden="1"/>
    </xf>
    <xf numFmtId="0" fontId="32" fillId="0" borderId="14" xfId="0" applyFont="1" applyBorder="1" applyAlignment="1" applyProtection="1">
      <alignment vertical="center" wrapText="1" shrinkToFit="1"/>
      <protection hidden="1"/>
    </xf>
    <xf numFmtId="1" fontId="32" fillId="0" borderId="14" xfId="1" applyNumberFormat="1" applyFont="1" applyFill="1" applyBorder="1" applyAlignment="1" applyProtection="1">
      <alignment horizontal="center" vertical="center" wrapText="1"/>
      <protection hidden="1"/>
    </xf>
    <xf numFmtId="0" fontId="32" fillId="0" borderId="14" xfId="0" applyFont="1" applyBorder="1" applyAlignment="1" applyProtection="1">
      <alignment horizontal="left" vertical="center" wrapText="1"/>
      <protection hidden="1"/>
    </xf>
    <xf numFmtId="2" fontId="32" fillId="0" borderId="14" xfId="0" applyNumberFormat="1" applyFont="1" applyBorder="1" applyAlignment="1" applyProtection="1">
      <alignment horizontal="center" vertical="center" wrapText="1"/>
      <protection hidden="1"/>
    </xf>
    <xf numFmtId="0" fontId="32" fillId="0" borderId="15" xfId="0" applyFont="1" applyBorder="1" applyAlignment="1" applyProtection="1">
      <alignment vertical="center" wrapText="1"/>
      <protection hidden="1"/>
    </xf>
    <xf numFmtId="170" fontId="37" fillId="0" borderId="34" xfId="0" applyNumberFormat="1" applyFont="1" applyBorder="1" applyAlignment="1" applyProtection="1">
      <alignment horizontal="center" vertical="center" wrapText="1"/>
      <protection hidden="1"/>
    </xf>
    <xf numFmtId="170" fontId="30" fillId="0" borderId="34" xfId="0" applyNumberFormat="1" applyFont="1" applyBorder="1" applyAlignment="1" applyProtection="1">
      <alignment horizontal="center" vertical="center" wrapText="1"/>
      <protection hidden="1"/>
    </xf>
    <xf numFmtId="170" fontId="40" fillId="0" borderId="34" xfId="0" applyNumberFormat="1" applyFont="1" applyBorder="1" applyAlignment="1" applyProtection="1">
      <alignment horizontal="center" vertical="center" wrapText="1"/>
      <protection hidden="1"/>
    </xf>
    <xf numFmtId="0" fontId="2" fillId="0" borderId="0" xfId="0" applyFont="1" applyAlignment="1" applyProtection="1">
      <alignment vertical="center" wrapText="1" shrinkToFit="1"/>
      <protection hidden="1"/>
    </xf>
    <xf numFmtId="1" fontId="2" fillId="0" borderId="0" xfId="1" applyNumberFormat="1" applyFont="1" applyFill="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2" fontId="2" fillId="0" borderId="0" xfId="0" applyNumberFormat="1" applyFont="1" applyAlignment="1" applyProtection="1">
      <alignment horizontal="center" vertical="center" wrapText="1"/>
      <protection hidden="1"/>
    </xf>
    <xf numFmtId="170" fontId="34" fillId="0" borderId="0" xfId="0" applyNumberFormat="1" applyFont="1" applyAlignment="1" applyProtection="1">
      <alignment horizontal="center" vertical="center" wrapText="1"/>
      <protection hidden="1"/>
    </xf>
    <xf numFmtId="0" fontId="0" fillId="0" borderId="0" xfId="0" applyAlignment="1" applyProtection="1">
      <alignment shrinkToFit="1"/>
      <protection hidden="1"/>
    </xf>
    <xf numFmtId="0" fontId="0" fillId="0" borderId="0" xfId="0" applyAlignment="1" applyProtection="1">
      <alignment horizontal="center" vertical="center"/>
      <protection hidden="1"/>
    </xf>
    <xf numFmtId="170" fontId="39" fillId="0" borderId="0" xfId="0" applyNumberFormat="1" applyFont="1" applyProtection="1">
      <protection hidden="1"/>
    </xf>
    <xf numFmtId="0" fontId="45" fillId="30" borderId="61" xfId="1686" applyFont="1">
      <alignment horizontal="center" vertical="center" wrapText="1"/>
    </xf>
    <xf numFmtId="0" fontId="46" fillId="31" borderId="7" xfId="0" applyFont="1" applyFill="1" applyBorder="1"/>
    <xf numFmtId="49" fontId="45" fillId="30" borderId="61" xfId="1686" applyNumberFormat="1" applyFont="1">
      <alignment horizontal="center" vertical="center" wrapText="1"/>
    </xf>
    <xf numFmtId="0" fontId="46" fillId="27" borderId="7" xfId="0" applyFont="1" applyFill="1" applyBorder="1"/>
    <xf numFmtId="0" fontId="47" fillId="21" borderId="41" xfId="0" applyFont="1" applyFill="1" applyBorder="1" applyAlignment="1" applyProtection="1">
      <alignment horizontal="center" vertical="center" wrapText="1"/>
      <protection hidden="1"/>
    </xf>
    <xf numFmtId="0" fontId="0" fillId="0" borderId="7" xfId="0" applyBorder="1"/>
    <xf numFmtId="0" fontId="49" fillId="36" borderId="53" xfId="0" applyFont="1" applyFill="1" applyBorder="1" applyAlignment="1">
      <alignment horizontal="left" vertical="center" wrapText="1"/>
    </xf>
    <xf numFmtId="0" fontId="49" fillId="36" borderId="27" xfId="0" applyFont="1" applyFill="1" applyBorder="1" applyAlignment="1">
      <alignment horizontal="left" vertical="center" wrapText="1"/>
    </xf>
    <xf numFmtId="0" fontId="51" fillId="34" borderId="7" xfId="0" applyFont="1" applyFill="1" applyBorder="1" applyAlignment="1">
      <alignment horizontal="center" vertical="center" wrapText="1"/>
    </xf>
    <xf numFmtId="0" fontId="55" fillId="0" borderId="0" xfId="0" applyFont="1"/>
    <xf numFmtId="0" fontId="56" fillId="0" borderId="0" xfId="0" applyFont="1" applyAlignment="1">
      <alignment horizontal="center"/>
    </xf>
    <xf numFmtId="0" fontId="0" fillId="0" borderId="0" xfId="0" applyAlignment="1">
      <alignment horizontal="center"/>
    </xf>
    <xf numFmtId="0" fontId="61" fillId="0" borderId="64" xfId="0" applyFont="1" applyBorder="1" applyAlignment="1">
      <alignment wrapText="1"/>
    </xf>
    <xf numFmtId="0" fontId="61" fillId="0" borderId="65" xfId="0" applyFont="1" applyBorder="1" applyAlignment="1">
      <alignment wrapText="1"/>
    </xf>
    <xf numFmtId="0" fontId="54" fillId="48" borderId="66" xfId="0" applyFont="1" applyFill="1" applyBorder="1" applyAlignment="1">
      <alignment vertical="center" wrapText="1"/>
    </xf>
    <xf numFmtId="0" fontId="54" fillId="48" borderId="67" xfId="0" applyFont="1" applyFill="1" applyBorder="1" applyAlignment="1">
      <alignment vertical="center" wrapText="1"/>
    </xf>
    <xf numFmtId="0" fontId="60" fillId="47" borderId="68" xfId="0" applyFont="1" applyFill="1" applyBorder="1" applyAlignment="1">
      <alignment horizontal="center" vertical="center" wrapText="1"/>
    </xf>
    <xf numFmtId="0" fontId="54" fillId="48" borderId="69" xfId="0" applyFont="1" applyFill="1" applyBorder="1" applyAlignment="1">
      <alignment vertical="center" wrapText="1"/>
    </xf>
    <xf numFmtId="0" fontId="54" fillId="47" borderId="68" xfId="0" applyFont="1" applyFill="1" applyBorder="1" applyAlignment="1">
      <alignment vertical="center" wrapText="1"/>
    </xf>
    <xf numFmtId="0" fontId="54" fillId="47" borderId="70" xfId="0" applyFont="1" applyFill="1" applyBorder="1" applyAlignment="1">
      <alignment vertical="center" wrapText="1"/>
    </xf>
    <xf numFmtId="0" fontId="54" fillId="48" borderId="66" xfId="0" applyFont="1" applyFill="1" applyBorder="1" applyAlignment="1">
      <alignment horizontal="center" vertical="center" wrapText="1"/>
    </xf>
    <xf numFmtId="0" fontId="54" fillId="48" borderId="67" xfId="0" applyFont="1" applyFill="1" applyBorder="1" applyAlignment="1">
      <alignment horizontal="center" vertical="center" wrapText="1"/>
    </xf>
    <xf numFmtId="0" fontId="54" fillId="48" borderId="69" xfId="0" applyFont="1" applyFill="1" applyBorder="1" applyAlignment="1">
      <alignment horizontal="center" vertical="center" wrapText="1"/>
    </xf>
    <xf numFmtId="0" fontId="62" fillId="49" borderId="7" xfId="0" applyFont="1" applyFill="1" applyBorder="1"/>
    <xf numFmtId="0" fontId="56" fillId="0" borderId="7" xfId="0" applyFont="1" applyBorder="1" applyAlignment="1">
      <alignment horizontal="center" vertical="center"/>
    </xf>
    <xf numFmtId="0" fontId="63" fillId="0" borderId="0" xfId="0" applyFont="1"/>
    <xf numFmtId="0" fontId="2" fillId="0" borderId="0" xfId="0" applyFont="1"/>
    <xf numFmtId="0" fontId="2" fillId="0" borderId="0" xfId="0" applyFont="1" applyAlignment="1">
      <alignment wrapText="1"/>
    </xf>
    <xf numFmtId="0" fontId="15" fillId="0" borderId="18" xfId="0" applyFont="1" applyBorder="1" applyAlignment="1">
      <alignment wrapText="1"/>
    </xf>
    <xf numFmtId="0" fontId="2" fillId="0" borderId="24" xfId="0" applyFont="1" applyBorder="1" applyAlignment="1">
      <alignment wrapText="1"/>
    </xf>
    <xf numFmtId="0" fontId="2" fillId="0" borderId="71" xfId="0" applyFont="1" applyBorder="1" applyAlignment="1">
      <alignment wrapText="1"/>
    </xf>
    <xf numFmtId="0" fontId="2" fillId="0" borderId="46" xfId="0" applyFont="1" applyBorder="1" applyAlignment="1">
      <alignment vertical="center" wrapText="1"/>
    </xf>
    <xf numFmtId="0" fontId="56" fillId="0" borderId="0" xfId="0" applyFont="1" applyAlignment="1" applyProtection="1">
      <alignment horizontal="center"/>
      <protection locked="0"/>
    </xf>
    <xf numFmtId="0" fontId="56" fillId="0" borderId="3" xfId="0" applyFont="1" applyBorder="1" applyAlignment="1" applyProtection="1">
      <alignment horizontal="center" wrapText="1"/>
      <protection locked="0"/>
    </xf>
    <xf numFmtId="173" fontId="65" fillId="50" borderId="72" xfId="1687" applyNumberFormat="1" applyFont="1" applyFill="1" applyBorder="1" applyAlignment="1" applyProtection="1">
      <alignment horizontal="center" vertical="center" wrapText="1"/>
      <protection locked="0"/>
    </xf>
    <xf numFmtId="173" fontId="65" fillId="50" borderId="62" xfId="1687" applyNumberFormat="1" applyFont="1" applyFill="1" applyBorder="1" applyAlignment="1" applyProtection="1">
      <alignment horizontal="center" vertical="center" wrapText="1"/>
      <protection locked="0"/>
    </xf>
    <xf numFmtId="173" fontId="65" fillId="42" borderId="62" xfId="1687" applyNumberFormat="1" applyFont="1" applyFill="1" applyBorder="1" applyAlignment="1" applyProtection="1">
      <alignment horizontal="center" vertical="center" wrapText="1"/>
      <protection locked="0"/>
    </xf>
    <xf numFmtId="173" fontId="65" fillId="56" borderId="62" xfId="1687" applyNumberFormat="1" applyFont="1" applyFill="1" applyBorder="1" applyAlignment="1" applyProtection="1">
      <alignment horizontal="center" vertical="center" wrapText="1"/>
      <protection locked="0"/>
    </xf>
    <xf numFmtId="0" fontId="0" fillId="0" borderId="0" xfId="0" applyProtection="1">
      <protection locked="0"/>
    </xf>
    <xf numFmtId="173" fontId="65" fillId="60" borderId="62" xfId="1687" applyNumberFormat="1" applyFont="1" applyFill="1" applyBorder="1" applyAlignment="1" applyProtection="1">
      <alignment horizontal="center" vertical="center" wrapText="1"/>
    </xf>
    <xf numFmtId="173" fontId="65" fillId="59" borderId="72" xfId="1687" applyNumberFormat="1" applyFont="1" applyFill="1" applyBorder="1" applyAlignment="1" applyProtection="1">
      <alignment horizontal="center" vertical="center" wrapText="1"/>
    </xf>
    <xf numFmtId="173" fontId="65" fillId="3" borderId="72" xfId="1687" applyNumberFormat="1" applyFont="1" applyFill="1" applyBorder="1" applyAlignment="1" applyProtection="1">
      <alignment horizontal="center" vertical="center" wrapText="1"/>
    </xf>
    <xf numFmtId="173" fontId="65" fillId="46" borderId="72" xfId="1687" applyNumberFormat="1" applyFont="1" applyFill="1" applyBorder="1" applyAlignment="1" applyProtection="1">
      <alignment horizontal="center" vertical="center" wrapText="1"/>
    </xf>
    <xf numFmtId="0" fontId="63" fillId="52" borderId="12" xfId="0" applyFont="1" applyFill="1" applyBorder="1" applyAlignment="1">
      <alignment vertical="center" wrapText="1"/>
    </xf>
    <xf numFmtId="167" fontId="0" fillId="0" borderId="3" xfId="0" applyNumberFormat="1" applyBorder="1"/>
    <xf numFmtId="167" fontId="0" fillId="0" borderId="74" xfId="0" applyNumberFormat="1" applyBorder="1"/>
    <xf numFmtId="173" fontId="65" fillId="60" borderId="72" xfId="1687" applyNumberFormat="1" applyFont="1" applyFill="1" applyBorder="1" applyAlignment="1" applyProtection="1">
      <alignment horizontal="center" vertical="center" wrapText="1"/>
    </xf>
    <xf numFmtId="173" fontId="65" fillId="51" borderId="72" xfId="1687" applyNumberFormat="1" applyFont="1" applyFill="1" applyBorder="1" applyAlignment="1" applyProtection="1">
      <alignment horizontal="center" vertical="center" wrapText="1"/>
    </xf>
    <xf numFmtId="173" fontId="65" fillId="53" borderId="72" xfId="1687" applyNumberFormat="1" applyFont="1" applyFill="1" applyBorder="1" applyAlignment="1" applyProtection="1">
      <alignment horizontal="center" vertical="center" wrapText="1"/>
    </xf>
    <xf numFmtId="173" fontId="65" fillId="51" borderId="62" xfId="1687" applyNumberFormat="1" applyFont="1" applyFill="1" applyBorder="1" applyAlignment="1" applyProtection="1">
      <alignment horizontal="center" vertical="center" wrapText="1"/>
    </xf>
    <xf numFmtId="1" fontId="58" fillId="44" borderId="75" xfId="0" applyNumberFormat="1" applyFont="1" applyFill="1" applyBorder="1" applyAlignment="1">
      <alignment horizontal="center" vertical="center" wrapText="1"/>
    </xf>
    <xf numFmtId="1" fontId="58" fillId="44" borderId="62" xfId="0" applyNumberFormat="1" applyFont="1" applyFill="1" applyBorder="1" applyAlignment="1">
      <alignment horizontal="center" vertical="center" wrapText="1"/>
    </xf>
    <xf numFmtId="0" fontId="59" fillId="44" borderId="37" xfId="0" applyFont="1" applyFill="1" applyBorder="1" applyAlignment="1">
      <alignment horizontal="center" vertical="center" wrapText="1"/>
    </xf>
    <xf numFmtId="1" fontId="0" fillId="0" borderId="3" xfId="0" applyNumberFormat="1" applyBorder="1"/>
    <xf numFmtId="173" fontId="67" fillId="3" borderId="56" xfId="1687" applyNumberFormat="1" applyFont="1" applyFill="1" applyBorder="1" applyAlignment="1" applyProtection="1">
      <alignment horizontal="center" vertical="center" wrapText="1"/>
    </xf>
    <xf numFmtId="173" fontId="67" fillId="3" borderId="32" xfId="1687" applyNumberFormat="1" applyFont="1" applyFill="1" applyBorder="1" applyAlignment="1" applyProtection="1">
      <alignment horizontal="center" vertical="center" wrapText="1"/>
    </xf>
    <xf numFmtId="173" fontId="67" fillId="32" borderId="58" xfId="1687" applyNumberFormat="1" applyFont="1" applyFill="1" applyBorder="1" applyAlignment="1" applyProtection="1">
      <alignment horizontal="center" vertical="center" wrapText="1"/>
    </xf>
    <xf numFmtId="173" fontId="64" fillId="34" borderId="63" xfId="1687" applyNumberFormat="1" applyFont="1" applyFill="1" applyBorder="1" applyAlignment="1" applyProtection="1">
      <alignment horizontal="center" vertical="center" wrapText="1"/>
    </xf>
    <xf numFmtId="173" fontId="67" fillId="32" borderId="32" xfId="1687" applyNumberFormat="1" applyFont="1" applyFill="1" applyBorder="1" applyAlignment="1" applyProtection="1">
      <alignment horizontal="center" vertical="center" wrapText="1"/>
    </xf>
    <xf numFmtId="173" fontId="64" fillId="35" borderId="8" xfId="1687" applyNumberFormat="1" applyFont="1" applyFill="1" applyBorder="1" applyAlignment="1" applyProtection="1">
      <alignment horizontal="center" vertical="center" wrapText="1"/>
    </xf>
    <xf numFmtId="173" fontId="64" fillId="35" borderId="63" xfId="1687" applyNumberFormat="1" applyFont="1" applyFill="1" applyBorder="1" applyAlignment="1" applyProtection="1">
      <alignment horizontal="center" vertical="center" wrapText="1"/>
    </xf>
    <xf numFmtId="173" fontId="68" fillId="33" borderId="7" xfId="1688" applyNumberFormat="1" applyFont="1" applyBorder="1" applyAlignment="1" applyProtection="1">
      <alignment horizontal="center" vertical="center" wrapText="1"/>
    </xf>
    <xf numFmtId="0" fontId="56" fillId="0" borderId="26" xfId="0" applyFont="1" applyBorder="1" applyAlignment="1">
      <alignment horizontal="center"/>
    </xf>
    <xf numFmtId="1" fontId="75" fillId="44" borderId="62" xfId="0" applyNumberFormat="1" applyFont="1" applyFill="1" applyBorder="1" applyAlignment="1">
      <alignment horizontal="center" vertical="center"/>
    </xf>
    <xf numFmtId="1" fontId="75" fillId="44" borderId="62" xfId="0" applyNumberFormat="1" applyFont="1" applyFill="1" applyBorder="1" applyAlignment="1">
      <alignment horizontal="center" vertical="center" wrapText="1"/>
    </xf>
    <xf numFmtId="0" fontId="55" fillId="0" borderId="3" xfId="0" applyFont="1" applyBorder="1" applyAlignment="1">
      <alignment horizontal="center" vertical="center"/>
    </xf>
    <xf numFmtId="1" fontId="75" fillId="55" borderId="62" xfId="0" applyNumberFormat="1" applyFont="1" applyFill="1" applyBorder="1" applyAlignment="1">
      <alignment horizontal="center" vertical="center" wrapText="1"/>
    </xf>
    <xf numFmtId="0" fontId="56" fillId="0" borderId="0" xfId="0" applyFont="1" applyAlignment="1">
      <alignment horizontal="center" vertical="center"/>
    </xf>
    <xf numFmtId="1" fontId="75" fillId="44" borderId="58" xfId="0" applyNumberFormat="1" applyFont="1" applyFill="1" applyBorder="1" applyAlignment="1">
      <alignment horizontal="center" vertical="center" wrapText="1"/>
    </xf>
    <xf numFmtId="1" fontId="76" fillId="44" borderId="11" xfId="0" applyNumberFormat="1" applyFont="1" applyFill="1" applyBorder="1" applyAlignment="1">
      <alignment horizontal="center" vertical="center" wrapText="1"/>
    </xf>
    <xf numFmtId="1" fontId="75" fillId="52" borderId="58" xfId="0" applyNumberFormat="1" applyFont="1" applyFill="1" applyBorder="1" applyAlignment="1">
      <alignment horizontal="center" vertical="center"/>
    </xf>
    <xf numFmtId="1" fontId="56" fillId="0" borderId="10" xfId="0" applyNumberFormat="1" applyFont="1" applyBorder="1" applyAlignment="1">
      <alignment horizontal="center" vertical="center"/>
    </xf>
    <xf numFmtId="1" fontId="56" fillId="0" borderId="11" xfId="0" applyNumberFormat="1" applyFont="1" applyBorder="1" applyAlignment="1">
      <alignment horizontal="center" vertical="center"/>
    </xf>
    <xf numFmtId="1" fontId="56" fillId="0" borderId="11" xfId="0" applyNumberFormat="1" applyFont="1" applyBorder="1" applyAlignment="1">
      <alignment horizontal="left" vertical="center"/>
    </xf>
    <xf numFmtId="1" fontId="56" fillId="0" borderId="11" xfId="0" applyNumberFormat="1" applyFont="1" applyBorder="1" applyAlignment="1">
      <alignment vertical="center" wrapText="1"/>
    </xf>
    <xf numFmtId="1" fontId="56" fillId="0" borderId="11" xfId="0" applyNumberFormat="1" applyFont="1" applyBorder="1" applyAlignment="1">
      <alignment horizontal="left" vertical="center" wrapText="1"/>
    </xf>
    <xf numFmtId="1" fontId="56" fillId="0" borderId="3" xfId="0" applyNumberFormat="1" applyFont="1" applyBorder="1" applyAlignment="1" applyProtection="1">
      <alignment horizontal="center" vertical="center"/>
      <protection locked="0"/>
    </xf>
    <xf numFmtId="1" fontId="0" fillId="0" borderId="11" xfId="0" applyNumberFormat="1" applyBorder="1" applyAlignment="1">
      <alignment vertical="center"/>
    </xf>
    <xf numFmtId="1" fontId="56" fillId="0" borderId="58" xfId="0" applyNumberFormat="1" applyFont="1" applyBorder="1" applyAlignment="1">
      <alignment horizontal="center" vertical="center"/>
    </xf>
    <xf numFmtId="1" fontId="56" fillId="0" borderId="3" xfId="0" applyNumberFormat="1" applyFont="1" applyBorder="1" applyAlignment="1">
      <alignment horizontal="center" vertical="center"/>
    </xf>
    <xf numFmtId="1" fontId="56" fillId="0" borderId="11" xfId="0" applyNumberFormat="1" applyFont="1" applyBorder="1" applyAlignment="1" applyProtection="1">
      <alignment horizontal="center" vertical="center"/>
      <protection locked="0"/>
    </xf>
    <xf numFmtId="1" fontId="56" fillId="0" borderId="12" xfId="0" applyNumberFormat="1" applyFont="1" applyBorder="1" applyAlignment="1" applyProtection="1">
      <alignment horizontal="center" vertical="center"/>
      <protection locked="0"/>
    </xf>
    <xf numFmtId="1" fontId="56" fillId="0" borderId="73" xfId="0" applyNumberFormat="1" applyFont="1" applyBorder="1" applyAlignment="1">
      <alignment horizontal="center"/>
    </xf>
    <xf numFmtId="1" fontId="56" fillId="0" borderId="3" xfId="0" applyNumberFormat="1" applyFont="1" applyBorder="1" applyAlignment="1">
      <alignment horizontal="center"/>
    </xf>
    <xf numFmtId="1" fontId="56" fillId="0" borderId="3" xfId="0" applyNumberFormat="1" applyFont="1" applyBorder="1" applyAlignment="1">
      <alignment horizontal="left"/>
    </xf>
    <xf numFmtId="1" fontId="56" fillId="0" borderId="3" xfId="0" applyNumberFormat="1" applyFont="1" applyBorder="1" applyAlignment="1">
      <alignment wrapText="1"/>
    </xf>
    <xf numFmtId="1" fontId="56" fillId="0" borderId="3" xfId="0" applyNumberFormat="1" applyFont="1" applyBorder="1" applyAlignment="1">
      <alignment horizontal="left" wrapText="1"/>
    </xf>
    <xf numFmtId="1" fontId="56" fillId="0" borderId="3" xfId="0" applyNumberFormat="1" applyFont="1" applyBorder="1" applyAlignment="1">
      <alignment horizontal="left" vertical="top" wrapText="1"/>
    </xf>
    <xf numFmtId="1" fontId="56" fillId="0" borderId="3" xfId="0" applyNumberFormat="1" applyFont="1" applyBorder="1" applyAlignment="1" applyProtection="1">
      <alignment horizontal="center" wrapText="1"/>
      <protection locked="0"/>
    </xf>
    <xf numFmtId="1" fontId="56" fillId="0" borderId="58" xfId="0" applyNumberFormat="1" applyFont="1" applyBorder="1" applyAlignment="1">
      <alignment horizontal="center" wrapText="1"/>
    </xf>
    <xf numFmtId="1" fontId="56" fillId="0" borderId="58" xfId="0" applyNumberFormat="1" applyFont="1" applyBorder="1" applyAlignment="1">
      <alignment horizontal="center"/>
    </xf>
    <xf numFmtId="1" fontId="56" fillId="0" borderId="3" xfId="0" applyNumberFormat="1" applyFont="1" applyBorder="1" applyAlignment="1" applyProtection="1">
      <alignment horizontal="center"/>
      <protection locked="0"/>
    </xf>
    <xf numFmtId="1" fontId="56" fillId="0" borderId="74" xfId="0" applyNumberFormat="1" applyFont="1" applyBorder="1" applyAlignment="1" applyProtection="1">
      <alignment horizontal="center"/>
      <protection locked="0"/>
    </xf>
    <xf numFmtId="1" fontId="56" fillId="0" borderId="26" xfId="0" applyNumberFormat="1" applyFont="1" applyBorder="1" applyAlignment="1">
      <alignment horizontal="center"/>
    </xf>
    <xf numFmtId="1" fontId="56" fillId="0" borderId="26" xfId="0" applyNumberFormat="1" applyFont="1" applyBorder="1" applyAlignment="1">
      <alignment horizontal="left"/>
    </xf>
    <xf numFmtId="1" fontId="56" fillId="0" borderId="26" xfId="0" applyNumberFormat="1" applyFont="1" applyBorder="1" applyAlignment="1">
      <alignment wrapText="1"/>
    </xf>
    <xf numFmtId="1" fontId="56" fillId="0" borderId="26" xfId="0" applyNumberFormat="1" applyFont="1" applyBorder="1" applyAlignment="1">
      <alignment horizontal="left" wrapText="1"/>
    </xf>
    <xf numFmtId="1" fontId="56" fillId="0" borderId="26" xfId="0" applyNumberFormat="1" applyFont="1" applyBorder="1" applyAlignment="1">
      <alignment horizontal="left" vertical="top" wrapText="1"/>
    </xf>
    <xf numFmtId="1" fontId="0" fillId="0" borderId="26" xfId="0" applyNumberFormat="1" applyBorder="1"/>
    <xf numFmtId="1" fontId="56" fillId="0" borderId="26" xfId="0" applyNumberFormat="1" applyFont="1" applyBorder="1" applyAlignment="1" applyProtection="1">
      <alignment horizontal="center"/>
      <protection locked="0"/>
    </xf>
    <xf numFmtId="1" fontId="56" fillId="0" borderId="28" xfId="0" applyNumberFormat="1" applyFont="1" applyBorder="1" applyAlignment="1" applyProtection="1">
      <alignment horizontal="center"/>
      <protection locked="0"/>
    </xf>
    <xf numFmtId="1" fontId="56" fillId="0" borderId="25" xfId="0" applyNumberFormat="1" applyFont="1" applyBorder="1" applyAlignment="1">
      <alignment horizontal="center"/>
    </xf>
    <xf numFmtId="1" fontId="56" fillId="0" borderId="0" xfId="0" applyNumberFormat="1" applyFont="1" applyAlignment="1">
      <alignment horizontal="center"/>
    </xf>
    <xf numFmtId="1" fontId="56" fillId="0" borderId="0" xfId="0" applyNumberFormat="1" applyFont="1" applyAlignment="1">
      <alignment horizontal="left"/>
    </xf>
    <xf numFmtId="1" fontId="56" fillId="0" borderId="0" xfId="0" applyNumberFormat="1" applyFont="1" applyAlignment="1">
      <alignment wrapText="1"/>
    </xf>
    <xf numFmtId="1" fontId="56" fillId="0" borderId="0" xfId="0" applyNumberFormat="1" applyFont="1" applyAlignment="1">
      <alignment horizontal="left" wrapText="1"/>
    </xf>
    <xf numFmtId="1" fontId="56" fillId="0" borderId="0" xfId="0" applyNumberFormat="1" applyFont="1" applyAlignment="1">
      <alignment horizontal="left" vertical="top" wrapText="1"/>
    </xf>
    <xf numFmtId="1" fontId="56" fillId="0" borderId="0" xfId="0" applyNumberFormat="1" applyFont="1" applyAlignment="1" applyProtection="1">
      <alignment horizontal="center"/>
      <protection locked="0"/>
    </xf>
    <xf numFmtId="1" fontId="0" fillId="0" borderId="0" xfId="0" applyNumberFormat="1"/>
    <xf numFmtId="1" fontId="56" fillId="0" borderId="3" xfId="0" applyNumberFormat="1" applyFont="1" applyBorder="1" applyAlignment="1">
      <alignment horizontal="center" wrapText="1"/>
    </xf>
    <xf numFmtId="1" fontId="56" fillId="0" borderId="3" xfId="0" applyNumberFormat="1" applyFont="1" applyBorder="1" applyAlignment="1">
      <alignment horizontal="center" vertical="center" wrapText="1"/>
    </xf>
    <xf numFmtId="1" fontId="0" fillId="0" borderId="3" xfId="0" applyNumberFormat="1" applyBorder="1" applyAlignment="1">
      <alignment vertical="center"/>
    </xf>
    <xf numFmtId="1" fontId="75" fillId="52" borderId="58" xfId="0" applyNumberFormat="1" applyFont="1" applyFill="1" applyBorder="1" applyAlignment="1">
      <alignment horizontal="center" vertical="center" wrapText="1"/>
    </xf>
    <xf numFmtId="1" fontId="75" fillId="46" borderId="32" xfId="1" applyNumberFormat="1" applyFont="1" applyFill="1" applyBorder="1" applyAlignment="1" applyProtection="1">
      <alignment horizontal="center" vertical="center" wrapText="1"/>
    </xf>
    <xf numFmtId="0" fontId="2" fillId="0" borderId="0" xfId="0" applyFont="1" applyAlignment="1">
      <alignment vertical="center"/>
    </xf>
    <xf numFmtId="167" fontId="0" fillId="0" borderId="3" xfId="0" applyNumberFormat="1" applyBorder="1" applyAlignment="1" applyProtection="1">
      <alignment horizontal="center"/>
      <protection locked="0"/>
    </xf>
    <xf numFmtId="167" fontId="0" fillId="0" borderId="3" xfId="0" applyNumberFormat="1" applyBorder="1" applyProtection="1">
      <protection locked="0"/>
    </xf>
    <xf numFmtId="173" fontId="0" fillId="0" borderId="3" xfId="1687" applyNumberFormat="1" applyFont="1" applyBorder="1" applyAlignment="1" applyProtection="1">
      <alignment horizontal="center"/>
      <protection locked="0"/>
    </xf>
    <xf numFmtId="173" fontId="0" fillId="0" borderId="3" xfId="1687" applyNumberFormat="1" applyFont="1" applyBorder="1" applyProtection="1">
      <protection locked="0"/>
    </xf>
    <xf numFmtId="173" fontId="0" fillId="0" borderId="3" xfId="1687" applyNumberFormat="1" applyFont="1" applyBorder="1"/>
    <xf numFmtId="173" fontId="0" fillId="0" borderId="0" xfId="1687" applyNumberFormat="1" applyFont="1" applyProtection="1">
      <protection locked="0"/>
    </xf>
    <xf numFmtId="173" fontId="0" fillId="0" borderId="0" xfId="1687" applyNumberFormat="1" applyFont="1"/>
    <xf numFmtId="173" fontId="0" fillId="21" borderId="3" xfId="1687" applyNumberFormat="1" applyFont="1" applyFill="1" applyBorder="1"/>
    <xf numFmtId="0" fontId="4" fillId="0" borderId="10" xfId="0" applyFont="1" applyBorder="1"/>
    <xf numFmtId="173" fontId="65" fillId="53" borderId="12" xfId="1687" applyNumberFormat="1" applyFont="1" applyFill="1" applyBorder="1" applyAlignment="1" applyProtection="1">
      <alignment horizontal="center" vertical="center" wrapText="1"/>
    </xf>
    <xf numFmtId="0" fontId="0" fillId="0" borderId="73" xfId="0" applyBorder="1"/>
    <xf numFmtId="0" fontId="0" fillId="0" borderId="13" xfId="0" applyBorder="1"/>
    <xf numFmtId="1" fontId="58" fillId="44" borderId="7" xfId="0" applyNumberFormat="1" applyFont="1" applyFill="1" applyBorder="1" applyAlignment="1">
      <alignment horizontal="center" vertical="center" wrapText="1"/>
    </xf>
    <xf numFmtId="173" fontId="67" fillId="3" borderId="7" xfId="1687" applyNumberFormat="1" applyFont="1" applyFill="1" applyBorder="1" applyAlignment="1" applyProtection="1">
      <alignment horizontal="center" vertical="center" wrapText="1"/>
    </xf>
    <xf numFmtId="173" fontId="67" fillId="57" borderId="7" xfId="1687" applyNumberFormat="1" applyFont="1" applyFill="1" applyBorder="1" applyAlignment="1" applyProtection="1">
      <alignment horizontal="center" vertical="center" wrapText="1"/>
    </xf>
    <xf numFmtId="173" fontId="67" fillId="32" borderId="7" xfId="1687" applyNumberFormat="1" applyFont="1" applyFill="1" applyBorder="1" applyAlignment="1" applyProtection="1">
      <alignment horizontal="center" vertical="center" wrapText="1"/>
    </xf>
    <xf numFmtId="1" fontId="0" fillId="0" borderId="7" xfId="0" applyNumberFormat="1" applyBorder="1" applyAlignment="1">
      <alignment horizontal="center"/>
    </xf>
    <xf numFmtId="173" fontId="0" fillId="0" borderId="7" xfId="1687" applyNumberFormat="1" applyFont="1" applyBorder="1" applyProtection="1"/>
    <xf numFmtId="0" fontId="56" fillId="0" borderId="0" xfId="0" applyFont="1" applyAlignment="1" applyProtection="1">
      <alignment horizontal="center" vertical="center"/>
      <protection locked="0"/>
    </xf>
    <xf numFmtId="0" fontId="64" fillId="34" borderId="7" xfId="0" applyFont="1" applyFill="1" applyBorder="1" applyAlignment="1">
      <alignment horizontal="center" vertical="center" wrapText="1"/>
    </xf>
    <xf numFmtId="0" fontId="64" fillId="43" borderId="7" xfId="0" applyFont="1" applyFill="1" applyBorder="1" applyAlignment="1">
      <alignment horizontal="center" vertical="center" wrapText="1"/>
    </xf>
    <xf numFmtId="0" fontId="64" fillId="58" borderId="7" xfId="0" applyFont="1" applyFill="1" applyBorder="1" applyAlignment="1">
      <alignment horizontal="center" vertical="center" wrapText="1"/>
    </xf>
    <xf numFmtId="1" fontId="64" fillId="34" borderId="7" xfId="0" applyNumberFormat="1" applyFont="1" applyFill="1" applyBorder="1" applyAlignment="1">
      <alignment horizontal="center" vertical="center" wrapText="1"/>
    </xf>
    <xf numFmtId="0" fontId="64" fillId="34" borderId="7" xfId="0" applyFont="1" applyFill="1" applyBorder="1" applyAlignment="1">
      <alignment vertical="center" wrapText="1"/>
    </xf>
    <xf numFmtId="0" fontId="66" fillId="26" borderId="7" xfId="0" applyFont="1" applyFill="1" applyBorder="1" applyAlignment="1">
      <alignment horizontal="center" vertical="center" wrapText="1"/>
    </xf>
    <xf numFmtId="0" fontId="78" fillId="0" borderId="65" xfId="0" applyFont="1" applyBorder="1" applyAlignment="1">
      <alignment vertical="center" wrapText="1"/>
    </xf>
    <xf numFmtId="0" fontId="52" fillId="36" borderId="7" xfId="0" applyFont="1" applyFill="1" applyBorder="1" applyAlignment="1">
      <alignment horizontal="center" wrapText="1"/>
    </xf>
    <xf numFmtId="0" fontId="52" fillId="36" borderId="7" xfId="0" applyFont="1" applyFill="1" applyBorder="1" applyAlignment="1">
      <alignment horizontal="left" vertical="center" wrapText="1"/>
    </xf>
    <xf numFmtId="0" fontId="52" fillId="36" borderId="7" xfId="0" applyFont="1" applyFill="1" applyBorder="1" applyAlignment="1">
      <alignment horizontal="center" vertical="center" wrapText="1"/>
    </xf>
    <xf numFmtId="1" fontId="52" fillId="36" borderId="34" xfId="0" applyNumberFormat="1" applyFont="1" applyFill="1" applyBorder="1" applyAlignment="1">
      <alignment horizontal="center" vertical="center" wrapText="1"/>
    </xf>
    <xf numFmtId="0" fontId="52" fillId="36" borderId="34" xfId="0" applyFont="1" applyFill="1" applyBorder="1" applyAlignment="1">
      <alignment horizontal="left" vertical="center" wrapText="1"/>
    </xf>
    <xf numFmtId="174" fontId="52" fillId="37" borderId="7" xfId="1689" applyNumberFormat="1" applyFont="1" applyFill="1" applyBorder="1" applyAlignment="1">
      <alignment wrapText="1"/>
    </xf>
    <xf numFmtId="174" fontId="52" fillId="37" borderId="7" xfId="1689" applyNumberFormat="1" applyFont="1" applyFill="1" applyBorder="1" applyAlignment="1">
      <alignment horizontal="left" vertical="center" wrapText="1"/>
    </xf>
    <xf numFmtId="173" fontId="72" fillId="25" borderId="7" xfId="1687" applyNumberFormat="1" applyFont="1" applyFill="1" applyBorder="1" applyAlignment="1" applyProtection="1">
      <alignment wrapText="1"/>
    </xf>
    <xf numFmtId="173" fontId="72" fillId="38" borderId="7" xfId="1687" applyNumberFormat="1" applyFont="1" applyFill="1" applyBorder="1" applyAlignment="1" applyProtection="1">
      <alignment wrapText="1"/>
    </xf>
    <xf numFmtId="173" fontId="72" fillId="11" borderId="7" xfId="1687" applyNumberFormat="1" applyFont="1" applyFill="1" applyBorder="1" applyAlignment="1" applyProtection="1">
      <alignment wrapText="1"/>
    </xf>
    <xf numFmtId="173" fontId="72" fillId="2" borderId="7" xfId="1687" applyNumberFormat="1" applyFont="1" applyFill="1" applyBorder="1" applyAlignment="1" applyProtection="1">
      <alignment horizontal="center" wrapText="1"/>
    </xf>
    <xf numFmtId="173" fontId="72" fillId="26" borderId="7" xfId="1687" applyNumberFormat="1" applyFont="1" applyFill="1" applyBorder="1" applyAlignment="1" applyProtection="1">
      <alignment wrapText="1"/>
    </xf>
    <xf numFmtId="173" fontId="72" fillId="26" borderId="27" xfId="1687" applyNumberFormat="1" applyFont="1" applyFill="1" applyBorder="1" applyAlignment="1" applyProtection="1">
      <alignment wrapText="1"/>
    </xf>
    <xf numFmtId="173" fontId="1" fillId="33" borderId="7" xfId="1688" applyNumberFormat="1" applyBorder="1" applyAlignment="1" applyProtection="1">
      <alignment wrapText="1"/>
    </xf>
    <xf numFmtId="173" fontId="52" fillId="0" borderId="0" xfId="0" applyNumberFormat="1" applyFont="1" applyAlignment="1">
      <alignment wrapText="1"/>
    </xf>
    <xf numFmtId="0" fontId="79" fillId="0" borderId="65" xfId="0" applyFont="1" applyBorder="1" applyAlignment="1">
      <alignment wrapText="1"/>
    </xf>
    <xf numFmtId="1" fontId="52" fillId="36" borderId="7" xfId="0" applyNumberFormat="1" applyFont="1" applyFill="1" applyBorder="1" applyAlignment="1">
      <alignment horizontal="center" vertical="center" wrapText="1"/>
    </xf>
    <xf numFmtId="0" fontId="79" fillId="61" borderId="65" xfId="0" applyFont="1" applyFill="1" applyBorder="1" applyAlignment="1">
      <alignment wrapText="1"/>
    </xf>
    <xf numFmtId="0" fontId="80" fillId="0" borderId="65" xfId="0" applyFont="1" applyBorder="1" applyAlignment="1">
      <alignment wrapText="1"/>
    </xf>
    <xf numFmtId="0" fontId="79" fillId="62" borderId="65" xfId="0" applyFont="1" applyFill="1" applyBorder="1" applyAlignment="1">
      <alignment wrapText="1"/>
    </xf>
    <xf numFmtId="0" fontId="52" fillId="37" borderId="7" xfId="1689" applyFont="1" applyFill="1" applyBorder="1" applyAlignment="1">
      <alignment wrapText="1"/>
    </xf>
    <xf numFmtId="174" fontId="52" fillId="37" borderId="7" xfId="1689" applyNumberFormat="1" applyFont="1" applyFill="1" applyBorder="1" applyAlignment="1">
      <alignment horizontal="center" vertical="center" wrapText="1"/>
    </xf>
    <xf numFmtId="0" fontId="81" fillId="0" borderId="65" xfId="0" applyFont="1" applyBorder="1" applyAlignment="1">
      <alignment wrapText="1"/>
    </xf>
    <xf numFmtId="0" fontId="82" fillId="0" borderId="65" xfId="0" applyFont="1" applyBorder="1" applyAlignment="1">
      <alignment wrapText="1"/>
    </xf>
    <xf numFmtId="0" fontId="83" fillId="0" borderId="65" xfId="0" applyFont="1" applyBorder="1" applyAlignment="1">
      <alignment wrapText="1"/>
    </xf>
    <xf numFmtId="174" fontId="52" fillId="36" borderId="7" xfId="1689" applyNumberFormat="1" applyFont="1" applyFill="1" applyBorder="1" applyAlignment="1">
      <alignment wrapText="1"/>
    </xf>
    <xf numFmtId="174" fontId="52" fillId="36" borderId="7" xfId="1689" applyNumberFormat="1" applyFont="1" applyFill="1" applyBorder="1" applyAlignment="1">
      <alignment horizontal="center" vertical="center" wrapText="1"/>
    </xf>
    <xf numFmtId="0" fontId="84" fillId="0" borderId="65" xfId="0" applyFont="1" applyBorder="1" applyAlignment="1">
      <alignment wrapText="1"/>
    </xf>
    <xf numFmtId="0" fontId="52" fillId="36" borderId="7" xfId="0" quotePrefix="1" applyFont="1" applyFill="1" applyBorder="1" applyAlignment="1">
      <alignment horizontal="center" vertical="center" wrapText="1"/>
    </xf>
    <xf numFmtId="0" fontId="69" fillId="36" borderId="7" xfId="0" applyFont="1" applyFill="1" applyBorder="1" applyAlignment="1">
      <alignment wrapText="1"/>
    </xf>
    <xf numFmtId="0" fontId="70" fillId="39" borderId="7" xfId="1689" applyFont="1" applyFill="1" applyBorder="1" applyAlignment="1">
      <alignment horizontal="center" wrapText="1"/>
    </xf>
    <xf numFmtId="0" fontId="52" fillId="36" borderId="7" xfId="0" applyFont="1" applyFill="1" applyBorder="1" applyAlignment="1">
      <alignment wrapText="1"/>
    </xf>
    <xf numFmtId="0" fontId="52" fillId="36" borderId="7" xfId="0" applyFont="1" applyFill="1" applyBorder="1" applyAlignment="1">
      <alignment vertical="center" wrapText="1"/>
    </xf>
    <xf numFmtId="0" fontId="86" fillId="0" borderId="65" xfId="0" applyFont="1" applyBorder="1" applyAlignment="1">
      <alignment wrapText="1"/>
    </xf>
    <xf numFmtId="0" fontId="87" fillId="0" borderId="65" xfId="0" applyFont="1" applyBorder="1" applyAlignment="1">
      <alignment wrapText="1"/>
    </xf>
    <xf numFmtId="0" fontId="67" fillId="36" borderId="7" xfId="0" applyFont="1" applyFill="1" applyBorder="1" applyAlignment="1">
      <alignment horizontal="left" vertical="center" wrapText="1"/>
    </xf>
    <xf numFmtId="0" fontId="52" fillId="37" borderId="7" xfId="1689" applyFont="1" applyFill="1" applyBorder="1" applyAlignment="1">
      <alignment horizontal="center" vertical="center" wrapText="1"/>
    </xf>
    <xf numFmtId="0" fontId="79" fillId="0" borderId="65" xfId="0" applyFont="1" applyBorder="1" applyAlignment="1">
      <alignment vertical="center"/>
    </xf>
    <xf numFmtId="3" fontId="52" fillId="37" borderId="7" xfId="1689" applyNumberFormat="1" applyFont="1" applyFill="1" applyBorder="1" applyAlignment="1">
      <alignment wrapText="1"/>
    </xf>
    <xf numFmtId="3" fontId="52" fillId="37" borderId="7" xfId="1689" applyNumberFormat="1" applyFont="1" applyFill="1" applyBorder="1" applyAlignment="1">
      <alignment horizontal="center" vertical="center" wrapText="1"/>
    </xf>
    <xf numFmtId="0" fontId="52" fillId="39" borderId="7" xfId="1689" applyFont="1" applyFill="1" applyBorder="1" applyAlignment="1">
      <alignment horizontal="center" vertical="center" wrapText="1"/>
    </xf>
    <xf numFmtId="4" fontId="52" fillId="37" borderId="7" xfId="1689" applyNumberFormat="1" applyFont="1" applyFill="1" applyBorder="1" applyAlignment="1">
      <alignment wrapText="1"/>
    </xf>
    <xf numFmtId="4" fontId="52" fillId="37" borderId="7" xfId="1689" applyNumberFormat="1" applyFont="1" applyFill="1" applyBorder="1" applyAlignment="1">
      <alignment horizontal="center" vertical="center" wrapText="1"/>
    </xf>
    <xf numFmtId="0" fontId="88" fillId="0" borderId="65" xfId="0" applyFont="1" applyBorder="1" applyAlignment="1">
      <alignment wrapText="1"/>
    </xf>
    <xf numFmtId="0" fontId="52" fillId="36" borderId="7" xfId="0" applyFont="1" applyFill="1" applyBorder="1" applyAlignment="1">
      <alignment horizontal="left" wrapText="1"/>
    </xf>
    <xf numFmtId="0" fontId="52" fillId="40" borderId="7" xfId="1689" applyFont="1" applyFill="1" applyBorder="1" applyAlignment="1">
      <alignment wrapText="1"/>
    </xf>
    <xf numFmtId="0" fontId="52" fillId="40" borderId="7" xfId="1689" applyFont="1" applyFill="1" applyBorder="1" applyAlignment="1">
      <alignment horizontal="center" vertical="center" wrapText="1"/>
    </xf>
    <xf numFmtId="0" fontId="71" fillId="41" borderId="7" xfId="1689" applyFont="1" applyFill="1" applyBorder="1" applyAlignment="1">
      <alignment wrapText="1"/>
    </xf>
    <xf numFmtId="0" fontId="71" fillId="41" borderId="7" xfId="1689" applyFont="1" applyFill="1" applyBorder="1" applyAlignment="1">
      <alignment horizontal="center" wrapText="1"/>
    </xf>
    <xf numFmtId="167" fontId="73" fillId="25" borderId="7" xfId="1687" applyFont="1" applyFill="1" applyBorder="1" applyAlignment="1" applyProtection="1">
      <alignment wrapText="1"/>
    </xf>
    <xf numFmtId="167" fontId="73" fillId="25" borderId="7" xfId="0" applyNumberFormat="1" applyFont="1" applyFill="1" applyBorder="1" applyAlignment="1">
      <alignment wrapText="1"/>
    </xf>
    <xf numFmtId="167" fontId="49" fillId="25" borderId="7" xfId="1687" applyFont="1" applyFill="1" applyBorder="1" applyAlignment="1" applyProtection="1">
      <alignment horizontal="left" vertical="center" wrapText="1"/>
    </xf>
    <xf numFmtId="9" fontId="52" fillId="37" borderId="7" xfId="1689" applyNumberFormat="1" applyFont="1" applyFill="1" applyBorder="1" applyAlignment="1">
      <alignment horizontal="center" vertical="center" wrapText="1"/>
    </xf>
    <xf numFmtId="0" fontId="52" fillId="39" borderId="7" xfId="1689" applyFont="1" applyFill="1" applyBorder="1" applyAlignment="1">
      <alignment wrapText="1"/>
    </xf>
    <xf numFmtId="0" fontId="52" fillId="36" borderId="7" xfId="1689" applyFont="1" applyFill="1" applyBorder="1" applyAlignment="1">
      <alignment wrapText="1"/>
    </xf>
    <xf numFmtId="0" fontId="52" fillId="36" borderId="7" xfId="1689" applyFont="1" applyFill="1" applyBorder="1" applyAlignment="1">
      <alignment horizontal="center" vertical="center" wrapText="1"/>
    </xf>
    <xf numFmtId="1" fontId="52" fillId="36" borderId="32" xfId="0" applyNumberFormat="1" applyFont="1" applyFill="1" applyBorder="1" applyAlignment="1">
      <alignment horizontal="center" vertical="center" wrapText="1"/>
    </xf>
    <xf numFmtId="0" fontId="52" fillId="36" borderId="32" xfId="0" applyFont="1" applyFill="1" applyBorder="1" applyAlignment="1">
      <alignment horizontal="left" vertical="center" wrapText="1"/>
    </xf>
    <xf numFmtId="173" fontId="72" fillId="25" borderId="32" xfId="1687" applyNumberFormat="1" applyFont="1" applyFill="1" applyBorder="1" applyAlignment="1" applyProtection="1">
      <alignment wrapText="1"/>
    </xf>
    <xf numFmtId="0" fontId="53" fillId="36" borderId="7" xfId="0" applyFont="1" applyFill="1" applyBorder="1" applyAlignment="1">
      <alignment wrapText="1"/>
    </xf>
    <xf numFmtId="167" fontId="74" fillId="25" borderId="7" xfId="1687" applyFont="1" applyFill="1" applyBorder="1" applyAlignment="1" applyProtection="1">
      <alignment horizontal="left" wrapText="1"/>
    </xf>
    <xf numFmtId="173" fontId="72" fillId="25" borderId="34" xfId="1687" applyNumberFormat="1" applyFont="1" applyFill="1" applyBorder="1" applyAlignment="1" applyProtection="1">
      <alignment wrapText="1"/>
    </xf>
    <xf numFmtId="0" fontId="0" fillId="0" borderId="0" xfId="0" pivotButton="1"/>
    <xf numFmtId="0" fontId="26" fillId="0" borderId="7" xfId="0" applyFont="1" applyBorder="1"/>
    <xf numFmtId="173" fontId="0" fillId="0" borderId="7" xfId="0" applyNumberFormat="1" applyBorder="1"/>
    <xf numFmtId="0" fontId="4" fillId="63" borderId="7" xfId="0" applyFont="1" applyFill="1" applyBorder="1"/>
    <xf numFmtId="0" fontId="4" fillId="63" borderId="34" xfId="0" applyFont="1" applyFill="1" applyBorder="1"/>
    <xf numFmtId="173" fontId="0" fillId="0" borderId="34" xfId="0" applyNumberFormat="1" applyBorder="1"/>
    <xf numFmtId="0" fontId="4" fillId="63" borderId="76" xfId="0" applyFont="1" applyFill="1" applyBorder="1"/>
    <xf numFmtId="173" fontId="0" fillId="0" borderId="76" xfId="0" applyNumberFormat="1" applyBorder="1"/>
    <xf numFmtId="0" fontId="26" fillId="63" borderId="34" xfId="0" applyFont="1" applyFill="1" applyBorder="1"/>
    <xf numFmtId="1" fontId="0" fillId="0" borderId="73" xfId="0" applyNumberFormat="1" applyBorder="1" applyAlignment="1">
      <alignment wrapText="1"/>
    </xf>
    <xf numFmtId="1" fontId="0" fillId="0" borderId="3" xfId="0" applyNumberFormat="1" applyBorder="1" applyAlignment="1">
      <alignment wrapText="1"/>
    </xf>
    <xf numFmtId="0" fontId="0" fillId="0" borderId="0" xfId="0" applyAlignment="1">
      <alignment wrapText="1"/>
    </xf>
    <xf numFmtId="0" fontId="64" fillId="34" borderId="36" xfId="0" applyFont="1" applyFill="1" applyBorder="1" applyAlignment="1">
      <alignment horizontal="center" vertical="center" wrapText="1"/>
    </xf>
    <xf numFmtId="0" fontId="52" fillId="36" borderId="26" xfId="0" applyFont="1" applyFill="1" applyBorder="1" applyAlignment="1">
      <alignment horizontal="left" vertical="center" wrapText="1"/>
    </xf>
    <xf numFmtId="0" fontId="52" fillId="36" borderId="35" xfId="0" applyFont="1" applyFill="1" applyBorder="1" applyAlignment="1">
      <alignment horizontal="left" vertical="center" wrapText="1"/>
    </xf>
    <xf numFmtId="0" fontId="52" fillId="36" borderId="35" xfId="0" applyFont="1" applyFill="1" applyBorder="1" applyAlignment="1">
      <alignment wrapText="1"/>
    </xf>
    <xf numFmtId="0" fontId="52" fillId="36" borderId="55" xfId="0" applyFont="1" applyFill="1" applyBorder="1" applyAlignment="1">
      <alignment horizontal="left" vertical="center" wrapText="1"/>
    </xf>
    <xf numFmtId="0" fontId="52" fillId="36" borderId="36" xfId="0" applyFont="1" applyFill="1" applyBorder="1" applyAlignment="1">
      <alignment horizontal="left" vertical="center" wrapText="1"/>
    </xf>
    <xf numFmtId="0" fontId="0" fillId="0" borderId="0" xfId="0" applyAlignment="1">
      <alignment horizontal="left" vertical="center" wrapText="1"/>
    </xf>
    <xf numFmtId="1" fontId="75" fillId="44" borderId="75" xfId="0" applyNumberFormat="1" applyFont="1" applyFill="1" applyBorder="1" applyAlignment="1">
      <alignment horizontal="center" vertical="center"/>
    </xf>
    <xf numFmtId="1" fontId="76" fillId="54" borderId="62" xfId="0" applyNumberFormat="1" applyFont="1" applyFill="1" applyBorder="1" applyAlignment="1">
      <alignment horizontal="center" vertical="center" wrapText="1"/>
    </xf>
    <xf numFmtId="1" fontId="75" fillId="54" borderId="62" xfId="1" applyNumberFormat="1" applyFont="1" applyFill="1" applyBorder="1" applyAlignment="1" applyProtection="1">
      <alignment horizontal="center" vertical="center" wrapText="1"/>
      <protection hidden="1"/>
    </xf>
    <xf numFmtId="1" fontId="75" fillId="54" borderId="62" xfId="0" applyNumberFormat="1" applyFont="1" applyFill="1" applyBorder="1" applyAlignment="1" applyProtection="1">
      <alignment horizontal="center" vertical="center" wrapText="1"/>
      <protection hidden="1"/>
    </xf>
    <xf numFmtId="1" fontId="75" fillId="45" borderId="62" xfId="0" applyNumberFormat="1" applyFont="1" applyFill="1" applyBorder="1" applyAlignment="1" applyProtection="1">
      <alignment horizontal="center" vertical="center" wrapText="1"/>
      <protection locked="0"/>
    </xf>
    <xf numFmtId="1" fontId="75" fillId="52" borderId="62" xfId="0" applyNumberFormat="1" applyFont="1" applyFill="1" applyBorder="1" applyAlignment="1">
      <alignment horizontal="center" vertical="center"/>
    </xf>
    <xf numFmtId="1" fontId="77" fillId="46" borderId="62" xfId="1" applyNumberFormat="1" applyFont="1" applyFill="1" applyBorder="1" applyAlignment="1" applyProtection="1">
      <alignment horizontal="center" vertical="center" wrapText="1"/>
    </xf>
    <xf numFmtId="1" fontId="75" fillId="45" borderId="8" xfId="0" applyNumberFormat="1"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protection locked="0"/>
    </xf>
    <xf numFmtId="1" fontId="56" fillId="0" borderId="13" xfId="0" applyNumberFormat="1" applyFont="1" applyBorder="1" applyAlignment="1">
      <alignment horizontal="center"/>
    </xf>
    <xf numFmtId="1" fontId="56" fillId="0" borderId="14" xfId="0" applyNumberFormat="1" applyFont="1" applyBorder="1" applyAlignment="1">
      <alignment horizontal="center"/>
    </xf>
    <xf numFmtId="1" fontId="56" fillId="0" borderId="14" xfId="0" applyNumberFormat="1" applyFont="1" applyBorder="1" applyAlignment="1">
      <alignment horizontal="left"/>
    </xf>
    <xf numFmtId="1" fontId="56" fillId="0" borderId="14" xfId="0" applyNumberFormat="1" applyFont="1" applyBorder="1" applyAlignment="1">
      <alignment wrapText="1"/>
    </xf>
    <xf numFmtId="1" fontId="56" fillId="0" borderId="14" xfId="0" applyNumberFormat="1" applyFont="1" applyBorder="1" applyAlignment="1">
      <alignment horizontal="left" wrapText="1"/>
    </xf>
    <xf numFmtId="1" fontId="56" fillId="0" borderId="14" xfId="0" applyNumberFormat="1" applyFont="1" applyBorder="1" applyAlignment="1">
      <alignment horizontal="left" vertical="top" wrapText="1"/>
    </xf>
    <xf numFmtId="1" fontId="56" fillId="0" borderId="14" xfId="0" applyNumberFormat="1" applyFont="1" applyBorder="1" applyAlignment="1" applyProtection="1">
      <alignment horizontal="center" vertical="center"/>
      <protection locked="0"/>
    </xf>
    <xf numFmtId="1" fontId="0" fillId="0" borderId="14" xfId="0" applyNumberFormat="1" applyBorder="1"/>
    <xf numFmtId="1" fontId="56" fillId="0" borderId="14" xfId="0" applyNumberFormat="1" applyFont="1" applyBorder="1" applyAlignment="1">
      <alignment horizontal="center" vertical="center"/>
    </xf>
    <xf numFmtId="1" fontId="56" fillId="0" borderId="14" xfId="0" applyNumberFormat="1" applyFont="1" applyBorder="1" applyAlignment="1" applyProtection="1">
      <alignment horizontal="center"/>
      <protection locked="0"/>
    </xf>
    <xf numFmtId="1" fontId="56" fillId="0" borderId="15" xfId="0" applyNumberFormat="1" applyFont="1" applyBorder="1" applyAlignment="1" applyProtection="1">
      <alignment horizontal="center"/>
      <protection locked="0"/>
    </xf>
    <xf numFmtId="1" fontId="75" fillId="44" borderId="63" xfId="0" applyNumberFormat="1" applyFont="1" applyFill="1" applyBorder="1" applyAlignment="1">
      <alignment horizontal="center" vertical="center" wrapText="1"/>
    </xf>
    <xf numFmtId="1" fontId="75" fillId="45" borderId="12" xfId="0" applyNumberFormat="1" applyFont="1" applyFill="1" applyBorder="1" applyAlignment="1" applyProtection="1">
      <alignment horizontal="center" vertical="center" wrapText="1"/>
      <protection locked="0"/>
    </xf>
    <xf numFmtId="1" fontId="75" fillId="45" borderId="75" xfId="0" applyNumberFormat="1" applyFont="1" applyFill="1" applyBorder="1" applyAlignment="1" applyProtection="1">
      <alignment horizontal="center" vertical="center" wrapText="1"/>
      <protection locked="0"/>
    </xf>
    <xf numFmtId="0" fontId="56" fillId="0" borderId="73"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1" fontId="56" fillId="0" borderId="3" xfId="0" applyNumberFormat="1" applyFont="1" applyBorder="1" applyAlignment="1">
      <alignment horizontal="left" vertical="center" wrapText="1"/>
    </xf>
    <xf numFmtId="1" fontId="56" fillId="0" borderId="14" xfId="0" applyNumberFormat="1" applyFont="1" applyBorder="1" applyAlignment="1">
      <alignment horizontal="left" vertical="center" wrapText="1"/>
    </xf>
    <xf numFmtId="1" fontId="56" fillId="0" borderId="26" xfId="0" applyNumberFormat="1" applyFont="1" applyBorder="1" applyAlignment="1">
      <alignment horizontal="left" vertical="center" wrapText="1"/>
    </xf>
    <xf numFmtId="1" fontId="56" fillId="0" borderId="0" xfId="0" applyNumberFormat="1" applyFont="1" applyAlignment="1">
      <alignment horizontal="left" vertical="center" wrapText="1"/>
    </xf>
    <xf numFmtId="1" fontId="75" fillId="54" borderId="62" xfId="0" applyNumberFormat="1" applyFont="1" applyFill="1" applyBorder="1" applyAlignment="1" applyProtection="1">
      <alignment horizontal="center" vertical="center"/>
      <protection hidden="1"/>
    </xf>
    <xf numFmtId="1" fontId="56" fillId="0" borderId="3" xfId="0" applyNumberFormat="1" applyFont="1" applyBorder="1" applyAlignment="1">
      <alignment horizontal="left" vertical="center"/>
    </xf>
    <xf numFmtId="1" fontId="56" fillId="0" borderId="14" xfId="0" applyNumberFormat="1" applyFont="1" applyBorder="1" applyAlignment="1">
      <alignment horizontal="left" vertical="center"/>
    </xf>
    <xf numFmtId="1" fontId="56" fillId="0" borderId="26" xfId="0" applyNumberFormat="1" applyFont="1" applyBorder="1" applyAlignment="1">
      <alignment horizontal="left" vertical="center"/>
    </xf>
    <xf numFmtId="1" fontId="56" fillId="0" borderId="0" xfId="0" applyNumberFormat="1" applyFont="1" applyAlignment="1">
      <alignment horizontal="left" vertical="center"/>
    </xf>
    <xf numFmtId="1" fontId="56" fillId="0" borderId="11" xfId="0" applyNumberFormat="1" applyFont="1" applyBorder="1" applyAlignment="1">
      <alignment horizontal="center" vertical="center" wrapText="1"/>
    </xf>
    <xf numFmtId="1" fontId="56" fillId="0" borderId="14" xfId="0" applyNumberFormat="1" applyFont="1" applyBorder="1" applyAlignment="1">
      <alignment horizontal="center" wrapText="1"/>
    </xf>
    <xf numFmtId="1" fontId="56" fillId="0" borderId="26" xfId="0" applyNumberFormat="1" applyFont="1" applyBorder="1" applyAlignment="1">
      <alignment horizontal="center" wrapText="1"/>
    </xf>
    <xf numFmtId="1" fontId="56" fillId="0" borderId="0" xfId="0" applyNumberFormat="1" applyFont="1" applyAlignment="1">
      <alignment horizontal="center" wrapText="1"/>
    </xf>
    <xf numFmtId="0" fontId="2" fillId="0" borderId="24" xfId="0" applyFont="1" applyBorder="1" applyAlignment="1">
      <alignment vertical="center" wrapText="1"/>
    </xf>
    <xf numFmtId="1" fontId="58" fillId="44" borderId="58" xfId="0" applyNumberFormat="1" applyFont="1" applyFill="1" applyBorder="1" applyAlignment="1">
      <alignment horizontal="center" vertical="center" wrapText="1"/>
    </xf>
    <xf numFmtId="1" fontId="58" fillId="52" borderId="58" xfId="0" applyNumberFormat="1" applyFont="1" applyFill="1" applyBorder="1" applyAlignment="1">
      <alignment horizontal="center" vertical="center"/>
    </xf>
    <xf numFmtId="1" fontId="58" fillId="52" borderId="58" xfId="0" applyNumberFormat="1" applyFont="1" applyFill="1" applyBorder="1" applyAlignment="1">
      <alignment horizontal="center" vertical="center" wrapText="1"/>
    </xf>
    <xf numFmtId="1" fontId="58" fillId="46" borderId="32" xfId="1" applyNumberFormat="1" applyFont="1" applyFill="1" applyBorder="1" applyAlignment="1" applyProtection="1">
      <alignment horizontal="center" vertical="center" wrapText="1"/>
    </xf>
    <xf numFmtId="0" fontId="59" fillId="52" borderId="12" xfId="0" applyFont="1" applyFill="1" applyBorder="1" applyAlignment="1">
      <alignment vertical="center" wrapText="1"/>
    </xf>
    <xf numFmtId="0" fontId="56" fillId="0" borderId="0" xfId="0" applyFont="1"/>
    <xf numFmtId="0" fontId="65" fillId="34" borderId="7" xfId="0" applyFont="1" applyFill="1" applyBorder="1" applyAlignment="1">
      <alignment horizontal="center" vertical="center" wrapText="1"/>
    </xf>
    <xf numFmtId="1" fontId="65" fillId="34" borderId="7" xfId="0" applyNumberFormat="1" applyFont="1" applyFill="1" applyBorder="1" applyAlignment="1">
      <alignment horizontal="center" vertical="center" wrapText="1"/>
    </xf>
    <xf numFmtId="0" fontId="65" fillId="34" borderId="7" xfId="0" applyFont="1" applyFill="1" applyBorder="1" applyAlignment="1">
      <alignment vertical="center" wrapText="1"/>
    </xf>
    <xf numFmtId="0" fontId="92" fillId="8" borderId="7" xfId="0" applyFont="1" applyFill="1" applyBorder="1" applyAlignment="1">
      <alignment horizontal="center" wrapText="1"/>
    </xf>
    <xf numFmtId="0" fontId="92" fillId="8" borderId="7" xfId="0" applyFont="1" applyFill="1" applyBorder="1" applyAlignment="1">
      <alignment horizontal="left" vertical="center" wrapText="1"/>
    </xf>
    <xf numFmtId="0" fontId="92" fillId="8" borderId="7" xfId="0" applyFont="1" applyFill="1" applyBorder="1" applyAlignment="1">
      <alignment horizontal="center" vertical="center" wrapText="1"/>
    </xf>
    <xf numFmtId="0" fontId="92" fillId="64" borderId="7" xfId="0" applyFont="1" applyFill="1" applyBorder="1" applyAlignment="1">
      <alignment horizontal="center" vertical="center"/>
    </xf>
    <xf numFmtId="0" fontId="92" fillId="64" borderId="7" xfId="0" applyFont="1" applyFill="1" applyBorder="1" applyAlignment="1">
      <alignment horizontal="left" vertical="center"/>
    </xf>
    <xf numFmtId="174" fontId="92" fillId="64" borderId="7" xfId="0" applyNumberFormat="1" applyFont="1" applyFill="1" applyBorder="1"/>
    <xf numFmtId="174" fontId="92" fillId="64" borderId="7" xfId="0" applyNumberFormat="1" applyFont="1" applyFill="1" applyBorder="1" applyAlignment="1">
      <alignment horizontal="right" vertical="center"/>
    </xf>
    <xf numFmtId="0" fontId="92" fillId="8" borderId="27" xfId="0" applyFont="1" applyFill="1" applyBorder="1" applyAlignment="1">
      <alignment horizontal="left" vertical="center" wrapText="1"/>
    </xf>
    <xf numFmtId="0" fontId="92" fillId="64" borderId="7" xfId="0" applyFont="1" applyFill="1" applyBorder="1" applyAlignment="1">
      <alignment horizontal="left" vertical="center" wrapText="1"/>
    </xf>
    <xf numFmtId="0" fontId="92" fillId="64" borderId="7" xfId="0" applyFont="1" applyFill="1" applyBorder="1" applyAlignment="1">
      <alignment horizontal="left"/>
    </xf>
    <xf numFmtId="0" fontId="92" fillId="64" borderId="7" xfId="0" applyFont="1" applyFill="1" applyBorder="1"/>
    <xf numFmtId="3" fontId="92" fillId="64" borderId="7" xfId="0" applyNumberFormat="1" applyFont="1" applyFill="1" applyBorder="1"/>
    <xf numFmtId="3" fontId="92" fillId="64" borderId="7" xfId="0" applyNumberFormat="1" applyFont="1" applyFill="1" applyBorder="1" applyAlignment="1">
      <alignment horizontal="center" vertical="center"/>
    </xf>
    <xf numFmtId="0" fontId="56" fillId="0" borderId="27" xfId="0" applyFont="1" applyBorder="1"/>
    <xf numFmtId="2" fontId="75" fillId="45" borderId="62" xfId="0" applyNumberFormat="1" applyFont="1" applyFill="1" applyBorder="1" applyAlignment="1" applyProtection="1">
      <alignment horizontal="center" vertical="center" wrapText="1"/>
      <protection locked="0"/>
    </xf>
    <xf numFmtId="2" fontId="56" fillId="0" borderId="63" xfId="0" applyNumberFormat="1" applyFont="1" applyBorder="1" applyAlignment="1" applyProtection="1">
      <alignment horizontal="center" vertical="center" wrapText="1"/>
      <protection locked="0"/>
    </xf>
    <xf numFmtId="2" fontId="56" fillId="0" borderId="11" xfId="0" applyNumberFormat="1" applyFont="1" applyBorder="1" applyAlignment="1" applyProtection="1">
      <alignment horizontal="center" vertical="center" wrapText="1"/>
      <protection locked="0"/>
    </xf>
    <xf numFmtId="2" fontId="56" fillId="0" borderId="72" xfId="0" applyNumberFormat="1" applyFont="1" applyBorder="1" applyAlignment="1" applyProtection="1">
      <alignment horizontal="center" vertical="center" wrapText="1"/>
      <protection locked="0"/>
    </xf>
    <xf numFmtId="2" fontId="56" fillId="0" borderId="59" xfId="0" applyNumberFormat="1" applyFont="1" applyBorder="1" applyAlignment="1" applyProtection="1">
      <alignment horizontal="center" wrapText="1"/>
      <protection locked="0"/>
    </xf>
    <xf numFmtId="2" fontId="56" fillId="0" borderId="3" xfId="0" applyNumberFormat="1" applyFont="1" applyBorder="1" applyAlignment="1" applyProtection="1">
      <alignment horizontal="center" wrapText="1"/>
      <protection locked="0"/>
    </xf>
    <xf numFmtId="2" fontId="56" fillId="0" borderId="60" xfId="0" applyNumberFormat="1" applyFont="1" applyBorder="1" applyAlignment="1" applyProtection="1">
      <alignment horizontal="center" wrapText="1"/>
      <protection locked="0"/>
    </xf>
    <xf numFmtId="2" fontId="56" fillId="0" borderId="77" xfId="0" applyNumberFormat="1" applyFont="1" applyBorder="1" applyAlignment="1" applyProtection="1">
      <alignment horizontal="center" wrapText="1"/>
      <protection locked="0"/>
    </xf>
    <xf numFmtId="2" fontId="56" fillId="0" borderId="14" xfId="0" applyNumberFormat="1" applyFont="1" applyBorder="1" applyAlignment="1" applyProtection="1">
      <alignment horizontal="center" wrapText="1"/>
      <protection locked="0"/>
    </xf>
    <xf numFmtId="2" fontId="56" fillId="0" borderId="78" xfId="0" applyNumberFormat="1" applyFont="1" applyBorder="1" applyAlignment="1" applyProtection="1">
      <alignment horizontal="center" wrapText="1"/>
      <protection locked="0"/>
    </xf>
    <xf numFmtId="2" fontId="56" fillId="0" borderId="53" xfId="0" applyNumberFormat="1" applyFont="1" applyBorder="1" applyAlignment="1" applyProtection="1">
      <alignment horizontal="center" wrapText="1"/>
      <protection locked="0"/>
    </xf>
    <xf numFmtId="2" fontId="56" fillId="0" borderId="26" xfId="0" applyNumberFormat="1" applyFont="1" applyBorder="1" applyAlignment="1" applyProtection="1">
      <alignment horizontal="center" wrapText="1"/>
      <protection locked="0"/>
    </xf>
    <xf numFmtId="2" fontId="56" fillId="0" borderId="54" xfId="0" applyNumberFormat="1" applyFont="1" applyBorder="1" applyAlignment="1" applyProtection="1">
      <alignment horizontal="center" wrapText="1"/>
      <protection locked="0"/>
    </xf>
    <xf numFmtId="2" fontId="77" fillId="20" borderId="62" xfId="1" applyNumberFormat="1" applyFont="1" applyFill="1" applyBorder="1" applyAlignment="1" applyProtection="1">
      <alignment horizontal="center" vertical="center" wrapText="1"/>
    </xf>
    <xf numFmtId="2" fontId="56" fillId="0" borderId="62" xfId="0" applyNumberFormat="1" applyFont="1" applyBorder="1" applyAlignment="1">
      <alignment horizontal="center" vertical="center" wrapText="1"/>
    </xf>
    <xf numFmtId="2" fontId="56" fillId="0" borderId="58" xfId="0" applyNumberFormat="1" applyFont="1" applyBorder="1" applyAlignment="1">
      <alignment horizontal="center" wrapText="1"/>
    </xf>
    <xf numFmtId="2" fontId="56" fillId="0" borderId="79" xfId="0" applyNumberFormat="1" applyFont="1" applyBorder="1" applyAlignment="1">
      <alignment horizontal="center" wrapText="1"/>
    </xf>
    <xf numFmtId="2" fontId="56" fillId="0" borderId="34" xfId="0" applyNumberFormat="1" applyFont="1" applyBorder="1" applyAlignment="1">
      <alignment horizontal="center" wrapText="1"/>
    </xf>
    <xf numFmtId="2" fontId="56" fillId="0" borderId="3" xfId="0" applyNumberFormat="1" applyFont="1" applyBorder="1" applyAlignment="1">
      <alignment horizontal="center" wrapText="1"/>
    </xf>
    <xf numFmtId="2" fontId="75" fillId="52" borderId="62" xfId="0" applyNumberFormat="1" applyFont="1" applyFill="1" applyBorder="1" applyAlignment="1">
      <alignment horizontal="center" vertical="center" wrapText="1"/>
    </xf>
    <xf numFmtId="2" fontId="56" fillId="0" borderId="63" xfId="0" applyNumberFormat="1" applyFont="1" applyBorder="1" applyAlignment="1">
      <alignment horizontal="center" vertical="center" wrapText="1"/>
    </xf>
    <xf numFmtId="2" fontId="56" fillId="0" borderId="59" xfId="0" applyNumberFormat="1" applyFont="1" applyBorder="1" applyAlignment="1">
      <alignment horizontal="center" vertical="center" wrapText="1"/>
    </xf>
    <xf numFmtId="2" fontId="56" fillId="0" borderId="59" xfId="0" applyNumberFormat="1" applyFont="1" applyBorder="1" applyAlignment="1">
      <alignment horizontal="center" wrapText="1"/>
    </xf>
    <xf numFmtId="2" fontId="56" fillId="0" borderId="77" xfId="0" applyNumberFormat="1" applyFont="1" applyBorder="1" applyAlignment="1">
      <alignment horizontal="center" wrapText="1"/>
    </xf>
    <xf numFmtId="2" fontId="56" fillId="0" borderId="53" xfId="0" applyNumberFormat="1" applyFont="1" applyBorder="1" applyAlignment="1">
      <alignment horizontal="center" wrapText="1"/>
    </xf>
    <xf numFmtId="2" fontId="58" fillId="45" borderId="32" xfId="0" applyNumberFormat="1" applyFont="1" applyFill="1" applyBorder="1" applyAlignment="1" applyProtection="1">
      <alignment horizontal="center" vertical="center" wrapText="1"/>
      <protection locked="0"/>
    </xf>
    <xf numFmtId="2" fontId="91" fillId="20" borderId="32" xfId="1" applyNumberFormat="1" applyFont="1" applyFill="1" applyBorder="1" applyAlignment="1" applyProtection="1">
      <alignment horizontal="center" vertical="center" wrapText="1"/>
    </xf>
    <xf numFmtId="2" fontId="56" fillId="0" borderId="3" xfId="0" applyNumberFormat="1" applyFont="1" applyBorder="1" applyAlignment="1" applyProtection="1">
      <alignment horizontal="center" vertical="center" wrapText="1"/>
      <protection locked="0"/>
    </xf>
    <xf numFmtId="2" fontId="56" fillId="0" borderId="3" xfId="0" applyNumberFormat="1" applyFont="1" applyBorder="1" applyAlignment="1">
      <alignment horizontal="center" vertical="center" wrapText="1"/>
    </xf>
    <xf numFmtId="2" fontId="75" fillId="45" borderId="32" xfId="0" applyNumberFormat="1" applyFont="1" applyFill="1" applyBorder="1" applyAlignment="1" applyProtection="1">
      <alignment horizontal="center" vertical="center" wrapText="1"/>
      <protection locked="0"/>
    </xf>
    <xf numFmtId="2" fontId="77" fillId="20" borderId="32" xfId="1" applyNumberFormat="1" applyFont="1" applyFill="1" applyBorder="1" applyAlignment="1" applyProtection="1">
      <alignment horizontal="center" vertical="center" wrapText="1"/>
    </xf>
    <xf numFmtId="1" fontId="56" fillId="0" borderId="11" xfId="0" applyNumberFormat="1" applyFont="1" applyBorder="1" applyAlignment="1" applyProtection="1">
      <alignment horizontal="center" vertical="center"/>
      <protection locked="0" hidden="1"/>
    </xf>
    <xf numFmtId="0" fontId="56" fillId="0" borderId="74" xfId="0" applyFont="1" applyBorder="1" applyAlignment="1" applyProtection="1">
      <alignment horizontal="center" vertical="center"/>
      <protection locked="0"/>
    </xf>
    <xf numFmtId="1" fontId="56" fillId="0" borderId="3" xfId="0" applyNumberFormat="1" applyFont="1" applyBorder="1" applyAlignment="1" applyProtection="1">
      <alignment horizontal="center"/>
      <protection locked="0" hidden="1"/>
    </xf>
    <xf numFmtId="1" fontId="56" fillId="0" borderId="14" xfId="0" applyNumberFormat="1" applyFont="1" applyBorder="1" applyAlignment="1" applyProtection="1">
      <alignment horizontal="center"/>
      <protection locked="0" hidden="1"/>
    </xf>
    <xf numFmtId="0" fontId="56" fillId="0" borderId="15" xfId="0" applyFont="1" applyBorder="1" applyAlignment="1" applyProtection="1">
      <alignment horizontal="center" vertical="center"/>
      <protection locked="0"/>
    </xf>
    <xf numFmtId="1" fontId="56" fillId="0" borderId="26" xfId="0" applyNumberFormat="1" applyFont="1" applyBorder="1" applyAlignment="1" applyProtection="1">
      <alignment horizontal="center"/>
      <protection locked="0" hidden="1"/>
    </xf>
    <xf numFmtId="0" fontId="56" fillId="0" borderId="26" xfId="0" applyFont="1" applyBorder="1" applyAlignment="1" applyProtection="1">
      <alignment horizontal="center"/>
      <protection locked="0"/>
    </xf>
    <xf numFmtId="1" fontId="56" fillId="0" borderId="0" xfId="0" applyNumberFormat="1" applyFont="1" applyAlignment="1" applyProtection="1">
      <alignment horizontal="center"/>
      <protection locked="0" hidden="1"/>
    </xf>
    <xf numFmtId="1" fontId="56" fillId="0" borderId="3" xfId="0" applyNumberFormat="1" applyFont="1" applyBorder="1" applyAlignment="1" applyProtection="1">
      <alignment horizontal="center" vertical="center"/>
      <protection locked="0" hidden="1"/>
    </xf>
    <xf numFmtId="0" fontId="93" fillId="0" borderId="7" xfId="1690" applyBorder="1"/>
    <xf numFmtId="1" fontId="19" fillId="25" borderId="38" xfId="0" applyNumberFormat="1" applyFont="1" applyFill="1" applyBorder="1" applyAlignment="1" applyProtection="1">
      <alignment horizontal="center" vertical="center" wrapText="1"/>
      <protection hidden="1"/>
    </xf>
    <xf numFmtId="1" fontId="19" fillId="25" borderId="37" xfId="0" applyNumberFormat="1" applyFont="1" applyFill="1" applyBorder="1" applyAlignment="1" applyProtection="1">
      <alignment horizontal="center" vertical="center" wrapText="1"/>
      <protection hidden="1"/>
    </xf>
    <xf numFmtId="1" fontId="19" fillId="25" borderId="42" xfId="0" applyNumberFormat="1" applyFont="1" applyFill="1" applyBorder="1" applyAlignment="1" applyProtection="1">
      <alignment horizontal="center" vertical="center" wrapText="1"/>
      <protection hidden="1"/>
    </xf>
    <xf numFmtId="0" fontId="32" fillId="0" borderId="38" xfId="0" applyFont="1" applyBorder="1" applyAlignment="1" applyProtection="1">
      <alignment horizontal="center" vertical="center" wrapText="1"/>
      <protection hidden="1"/>
    </xf>
    <xf numFmtId="0" fontId="32" fillId="0" borderId="37" xfId="0" applyFont="1" applyBorder="1" applyAlignment="1" applyProtection="1">
      <alignment horizontal="center" vertical="center" wrapText="1"/>
      <protection hidden="1"/>
    </xf>
    <xf numFmtId="0" fontId="30" fillId="23" borderId="38" xfId="0" applyFont="1" applyFill="1" applyBorder="1" applyAlignment="1" applyProtection="1">
      <alignment horizontal="center" vertical="center" wrapText="1"/>
      <protection hidden="1"/>
    </xf>
    <xf numFmtId="0" fontId="30" fillId="23" borderId="37" xfId="0" applyFont="1" applyFill="1" applyBorder="1" applyAlignment="1" applyProtection="1">
      <alignment horizontal="center" vertical="center" wrapText="1"/>
      <protection hidden="1"/>
    </xf>
    <xf numFmtId="0" fontId="30" fillId="23" borderId="42" xfId="0" applyFont="1" applyFill="1" applyBorder="1" applyAlignment="1" applyProtection="1">
      <alignment horizontal="center" vertical="center" wrapText="1"/>
      <protection hidden="1"/>
    </xf>
    <xf numFmtId="0" fontId="30" fillId="23" borderId="13" xfId="0" applyFont="1" applyFill="1" applyBorder="1" applyAlignment="1" applyProtection="1">
      <alignment horizontal="center" vertical="center" wrapText="1"/>
      <protection hidden="1"/>
    </xf>
    <xf numFmtId="0" fontId="30" fillId="23" borderId="14" xfId="0" applyFont="1" applyFill="1" applyBorder="1" applyAlignment="1" applyProtection="1">
      <alignment horizontal="center" vertical="center" wrapText="1"/>
      <protection hidden="1"/>
    </xf>
    <xf numFmtId="2" fontId="19" fillId="18" borderId="38" xfId="0" applyNumberFormat="1" applyFont="1" applyFill="1" applyBorder="1" applyAlignment="1" applyProtection="1">
      <alignment horizontal="center" vertical="center" wrapText="1"/>
      <protection hidden="1"/>
    </xf>
    <xf numFmtId="2" fontId="19" fillId="18" borderId="37" xfId="0" applyNumberFormat="1" applyFont="1" applyFill="1" applyBorder="1" applyAlignment="1" applyProtection="1">
      <alignment horizontal="center" vertical="center" wrapText="1"/>
      <protection hidden="1"/>
    </xf>
    <xf numFmtId="2" fontId="19" fillId="18" borderId="42" xfId="0" applyNumberFormat="1" applyFont="1" applyFill="1" applyBorder="1" applyAlignment="1" applyProtection="1">
      <alignment horizontal="center" vertical="center" wrapText="1"/>
      <protection hidden="1"/>
    </xf>
    <xf numFmtId="170" fontId="35" fillId="24" borderId="38" xfId="0" applyNumberFormat="1" applyFont="1" applyFill="1" applyBorder="1" applyAlignment="1" applyProtection="1">
      <alignment horizontal="center" vertical="center" wrapText="1"/>
      <protection hidden="1"/>
    </xf>
    <xf numFmtId="170" fontId="35" fillId="24" borderId="37" xfId="0" applyNumberFormat="1" applyFont="1" applyFill="1" applyBorder="1" applyAlignment="1" applyProtection="1">
      <alignment horizontal="center" vertical="center" wrapText="1"/>
      <protection hidden="1"/>
    </xf>
    <xf numFmtId="170" fontId="30" fillId="24" borderId="37" xfId="0" applyNumberFormat="1" applyFont="1" applyFill="1" applyBorder="1" applyAlignment="1" applyProtection="1">
      <alignment horizontal="center" vertical="center" wrapText="1"/>
      <protection hidden="1"/>
    </xf>
    <xf numFmtId="170" fontId="30" fillId="24" borderId="42" xfId="0" applyNumberFormat="1" applyFont="1" applyFill="1" applyBorder="1" applyAlignment="1" applyProtection="1">
      <alignment horizontal="center" vertical="center" wrapText="1"/>
      <protection hidden="1"/>
    </xf>
    <xf numFmtId="0" fontId="19" fillId="26" borderId="37" xfId="0" applyFont="1" applyFill="1" applyBorder="1" applyAlignment="1" applyProtection="1">
      <alignment horizontal="center" vertical="center" wrapText="1"/>
      <protection hidden="1"/>
    </xf>
    <xf numFmtId="0" fontId="19" fillId="26" borderId="42" xfId="0" applyFont="1" applyFill="1" applyBorder="1" applyAlignment="1" applyProtection="1">
      <alignment horizontal="center" vertical="center" wrapText="1"/>
      <protection hidden="1"/>
    </xf>
    <xf numFmtId="0" fontId="15" fillId="0" borderId="18" xfId="0" applyFont="1" applyBorder="1" applyAlignment="1">
      <alignment horizontal="center" vertical="center" wrapText="1"/>
    </xf>
    <xf numFmtId="0" fontId="15" fillId="0" borderId="71" xfId="0" applyFont="1" applyBorder="1" applyAlignment="1">
      <alignment horizontal="center" vertical="center" wrapText="1"/>
    </xf>
  </cellXfs>
  <cellStyles count="1691">
    <cellStyle name="20% - Énfasis3" xfId="1688" builtinId="38"/>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xfId="389" builtinId="8" hidden="1"/>
    <cellStyle name="Hipervínculo" xfId="39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1" builtinId="8" hidden="1"/>
    <cellStyle name="Hipervínculo" xfId="413" builtinId="8" hidden="1"/>
    <cellStyle name="Hipervínculo" xfId="415" builtinId="8" hidden="1"/>
    <cellStyle name="Hipervínculo" xfId="417" builtinId="8" hidden="1"/>
    <cellStyle name="Hipervínculo" xfId="419" builtinId="8" hidden="1"/>
    <cellStyle name="Hipervínculo" xfId="42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1" builtinId="8" hidden="1"/>
    <cellStyle name="Hipervínculo" xfId="443" builtinId="8" hidden="1"/>
    <cellStyle name="Hipervínculo" xfId="445" builtinId="8" hidden="1"/>
    <cellStyle name="Hipervínculo" xfId="447" builtinId="8" hidden="1"/>
    <cellStyle name="Hipervínculo" xfId="449" builtinId="8" hidden="1"/>
    <cellStyle name="Hipervínculo" xfId="45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1" builtinId="8" hidden="1"/>
    <cellStyle name="Hipervínculo" xfId="473" builtinId="8" hidden="1"/>
    <cellStyle name="Hipervínculo" xfId="475" builtinId="8" hidden="1"/>
    <cellStyle name="Hipervínculo" xfId="477" builtinId="8" hidden="1"/>
    <cellStyle name="Hipervínculo" xfId="479" builtinId="8" hidden="1"/>
    <cellStyle name="Hipervínculo" xfId="481" builtinId="8" hidden="1"/>
    <cellStyle name="Hipervínculo" xfId="483" builtinId="8" hidden="1"/>
    <cellStyle name="Hipervínculo" xfId="485" builtinId="8" hidden="1"/>
    <cellStyle name="Hipervínculo" xfId="487" builtinId="8" hidden="1"/>
    <cellStyle name="Hipervínculo" xfId="489" builtinId="8" hidden="1"/>
    <cellStyle name="Hipervínculo" xfId="491" builtinId="8" hidden="1"/>
    <cellStyle name="Hipervínculo" xfId="493" builtinId="8" hidden="1"/>
    <cellStyle name="Hipervínculo" xfId="495" builtinId="8" hidden="1"/>
    <cellStyle name="Hipervínculo" xfId="497" builtinId="8" hidden="1"/>
    <cellStyle name="Hipervínculo" xfId="499" builtinId="8" hidden="1"/>
    <cellStyle name="Hipervínculo" xfId="501" builtinId="8" hidden="1"/>
    <cellStyle name="Hipervínculo" xfId="503" builtinId="8" hidden="1"/>
    <cellStyle name="Hipervínculo" xfId="505" builtinId="8" hidden="1"/>
    <cellStyle name="Hipervínculo" xfId="507" builtinId="8" hidden="1"/>
    <cellStyle name="Hipervínculo" xfId="50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xfId="523" builtinId="8" hidden="1"/>
    <cellStyle name="Hipervínculo" xfId="525" builtinId="8" hidden="1"/>
    <cellStyle name="Hipervínculo" xfId="527" builtinId="8" hidden="1"/>
    <cellStyle name="Hipervínculo" xfId="529" builtinId="8" hidden="1"/>
    <cellStyle name="Hipervínculo" xfId="531" builtinId="8" hidden="1"/>
    <cellStyle name="Hipervínculo" xfId="533" builtinId="8" hidden="1"/>
    <cellStyle name="Hipervínculo" xfId="535" builtinId="8" hidden="1"/>
    <cellStyle name="Hipervínculo" xfId="537" builtinId="8" hidden="1"/>
    <cellStyle name="Hipervínculo" xfId="539" builtinId="8" hidden="1"/>
    <cellStyle name="Hipervínculo" xfId="541" builtinId="8" hidden="1"/>
    <cellStyle name="Hipervínculo" xfId="543" builtinId="8" hidden="1"/>
    <cellStyle name="Hipervínculo" xfId="545" builtinId="8" hidden="1"/>
    <cellStyle name="Hipervínculo" xfId="547" builtinId="8" hidden="1"/>
    <cellStyle name="Hipervínculo" xfId="549" builtinId="8" hidden="1"/>
    <cellStyle name="Hipervínculo" xfId="551" builtinId="8" hidden="1"/>
    <cellStyle name="Hipervínculo" xfId="553" builtinId="8" hidden="1"/>
    <cellStyle name="Hipervínculo" xfId="555" builtinId="8" hidden="1"/>
    <cellStyle name="Hipervínculo" xfId="557" builtinId="8" hidden="1"/>
    <cellStyle name="Hipervínculo" xfId="559" builtinId="8" hidden="1"/>
    <cellStyle name="Hipervínculo" xfId="561" builtinId="8" hidden="1"/>
    <cellStyle name="Hipervínculo" xfId="563" builtinId="8" hidden="1"/>
    <cellStyle name="Hipervínculo" xfId="565" builtinId="8" hidden="1"/>
    <cellStyle name="Hipervínculo" xfId="567" builtinId="8" hidden="1"/>
    <cellStyle name="Hipervínculo" xfId="569" builtinId="8" hidden="1"/>
    <cellStyle name="Hipervínculo" xfId="571" builtinId="8" hidden="1"/>
    <cellStyle name="Hipervínculo" xfId="573" builtinId="8" hidden="1"/>
    <cellStyle name="Hipervínculo" xfId="575" builtinId="8" hidden="1"/>
    <cellStyle name="Hipervínculo" xfId="577" builtinId="8" hidden="1"/>
    <cellStyle name="Hipervínculo" xfId="579" builtinId="8" hidden="1"/>
    <cellStyle name="Hipervínculo" xfId="581" builtinId="8" hidden="1"/>
    <cellStyle name="Hipervínculo" xfId="583" builtinId="8" hidden="1"/>
    <cellStyle name="Hipervínculo" xfId="585" builtinId="8" hidden="1"/>
    <cellStyle name="Hipervínculo" xfId="587" builtinId="8" hidden="1"/>
    <cellStyle name="Hipervínculo" xfId="589" builtinId="8" hidden="1"/>
    <cellStyle name="Hipervínculo" xfId="591" builtinId="8" hidden="1"/>
    <cellStyle name="Hipervínculo" xfId="593" builtinId="8" hidden="1"/>
    <cellStyle name="Hipervínculo" xfId="595" builtinId="8" hidden="1"/>
    <cellStyle name="Hipervínculo" xfId="597" builtinId="8" hidden="1"/>
    <cellStyle name="Hipervínculo" xfId="599" builtinId="8" hidden="1"/>
    <cellStyle name="Hipervínculo" xfId="601" builtinId="8" hidden="1"/>
    <cellStyle name="Hipervínculo" xfId="603" builtinId="8" hidden="1"/>
    <cellStyle name="Hipervínculo" xfId="605" builtinId="8" hidden="1"/>
    <cellStyle name="Hipervínculo" xfId="607" builtinId="8" hidden="1"/>
    <cellStyle name="Hipervínculo" xfId="609" builtinId="8" hidden="1"/>
    <cellStyle name="Hipervínculo" xfId="611" builtinId="8" hidden="1"/>
    <cellStyle name="Hipervínculo" xfId="613" builtinId="8" hidden="1"/>
    <cellStyle name="Hipervínculo" xfId="615" builtinId="8" hidden="1"/>
    <cellStyle name="Hipervínculo" xfId="617" builtinId="8" hidden="1"/>
    <cellStyle name="Hipervínculo" xfId="619"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31" builtinId="8" hidden="1"/>
    <cellStyle name="Hipervínculo" xfId="633" builtinId="8" hidden="1"/>
    <cellStyle name="Hipervínculo" xfId="635" builtinId="8" hidden="1"/>
    <cellStyle name="Hipervínculo" xfId="637" builtinId="8" hidden="1"/>
    <cellStyle name="Hipervínculo" xfId="639"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1" builtinId="8" hidden="1"/>
    <cellStyle name="Hipervínculo" xfId="653" builtinId="8" hidden="1"/>
    <cellStyle name="Hipervínculo" xfId="655" builtinId="8" hidden="1"/>
    <cellStyle name="Hipervínculo" xfId="657" builtinId="8" hidden="1"/>
    <cellStyle name="Hipervínculo" xfId="659" builtinId="8" hidden="1"/>
    <cellStyle name="Hipervínculo" xfId="66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1" builtinId="8" hidden="1"/>
    <cellStyle name="Hipervínculo" xfId="683" builtinId="8" hidden="1"/>
    <cellStyle name="Hipervínculo" xfId="685" builtinId="8" hidden="1"/>
    <cellStyle name="Hipervínculo" xfId="687" builtinId="8" hidden="1"/>
    <cellStyle name="Hipervínculo" xfId="689" builtinId="8" hidden="1"/>
    <cellStyle name="Hipervínculo" xfId="691" builtinId="8" hidden="1"/>
    <cellStyle name="Hipervínculo" xfId="693" builtinId="8" hidden="1"/>
    <cellStyle name="Hipervínculo" xfId="695" builtinId="8" hidden="1"/>
    <cellStyle name="Hipervínculo" xfId="697" builtinId="8" hidden="1"/>
    <cellStyle name="Hipervínculo" xfId="699" builtinId="8" hidden="1"/>
    <cellStyle name="Hipervínculo" xfId="701" builtinId="8" hidden="1"/>
    <cellStyle name="Hipervínculo" xfId="703" builtinId="8" hidden="1"/>
    <cellStyle name="Hipervínculo" xfId="705" builtinId="8" hidden="1"/>
    <cellStyle name="Hipervínculo" xfId="707" builtinId="8" hidden="1"/>
    <cellStyle name="Hipervínculo" xfId="709" builtinId="8" hidden="1"/>
    <cellStyle name="Hipervínculo" xfId="711" builtinId="8" hidden="1"/>
    <cellStyle name="Hipervínculo" xfId="713" builtinId="8" hidden="1"/>
    <cellStyle name="Hipervínculo" xfId="715" builtinId="8" hidden="1"/>
    <cellStyle name="Hipervínculo" xfId="717" builtinId="8" hidden="1"/>
    <cellStyle name="Hipervínculo" xfId="719" builtinId="8" hidden="1"/>
    <cellStyle name="Hipervínculo" xfId="721" builtinId="8" hidden="1"/>
    <cellStyle name="Hipervínculo" xfId="723" builtinId="8" hidden="1"/>
    <cellStyle name="Hipervínculo" xfId="725" builtinId="8" hidden="1"/>
    <cellStyle name="Hipervínculo" xfId="727" builtinId="8" hidden="1"/>
    <cellStyle name="Hipervínculo" xfId="729" builtinId="8" hidden="1"/>
    <cellStyle name="Hipervínculo" xfId="731" builtinId="8" hidden="1"/>
    <cellStyle name="Hipervínculo" xfId="733" builtinId="8" hidden="1"/>
    <cellStyle name="Hipervínculo" xfId="735" builtinId="8" hidden="1"/>
    <cellStyle name="Hipervínculo" xfId="737" builtinId="8" hidden="1"/>
    <cellStyle name="Hipervínculo" xfId="739" builtinId="8" hidden="1"/>
    <cellStyle name="Hipervínculo" xfId="741" builtinId="8" hidden="1"/>
    <cellStyle name="Hipervínculo" xfId="743" builtinId="8" hidden="1"/>
    <cellStyle name="Hipervínculo" xfId="745" builtinId="8" hidden="1"/>
    <cellStyle name="Hipervínculo" xfId="747" builtinId="8" hidden="1"/>
    <cellStyle name="Hipervínculo" xfId="749" builtinId="8" hidden="1"/>
    <cellStyle name="Hipervínculo" xfId="751" builtinId="8" hidden="1"/>
    <cellStyle name="Hipervínculo" xfId="753" builtinId="8" hidden="1"/>
    <cellStyle name="Hipervínculo" xfId="755" builtinId="8" hidden="1"/>
    <cellStyle name="Hipervínculo" xfId="757" builtinId="8" hidden="1"/>
    <cellStyle name="Hipervínculo" xfId="759" builtinId="8" hidden="1"/>
    <cellStyle name="Hipervínculo" xfId="761" builtinId="8" hidden="1"/>
    <cellStyle name="Hipervínculo" xfId="763" builtinId="8" hidden="1"/>
    <cellStyle name="Hipervínculo" xfId="765" builtinId="8" hidden="1"/>
    <cellStyle name="Hipervínculo" xfId="767" builtinId="8" hidden="1"/>
    <cellStyle name="Hipervínculo" xfId="769" builtinId="8" hidden="1"/>
    <cellStyle name="Hipervínculo" xfId="771" builtinId="8" hidden="1"/>
    <cellStyle name="Hipervínculo" xfId="773" builtinId="8" hidden="1"/>
    <cellStyle name="Hipervínculo" xfId="775" builtinId="8" hidden="1"/>
    <cellStyle name="Hipervínculo" xfId="777" builtinId="8" hidden="1"/>
    <cellStyle name="Hipervínculo" xfId="779" builtinId="8" hidden="1"/>
    <cellStyle name="Hipervínculo" xfId="781" builtinId="8" hidden="1"/>
    <cellStyle name="Hipervínculo" xfId="783" builtinId="8" hidden="1"/>
    <cellStyle name="Hipervínculo" xfId="785" builtinId="8" hidden="1"/>
    <cellStyle name="Hipervínculo" xfId="787" builtinId="8" hidden="1"/>
    <cellStyle name="Hipervínculo" xfId="789" builtinId="8" hidden="1"/>
    <cellStyle name="Hipervínculo" xfId="791" builtinId="8" hidden="1"/>
    <cellStyle name="Hipervínculo" xfId="793" builtinId="8" hidden="1"/>
    <cellStyle name="Hipervínculo" xfId="795" builtinId="8" hidden="1"/>
    <cellStyle name="Hipervínculo" xfId="797" builtinId="8" hidden="1"/>
    <cellStyle name="Hipervínculo" xfId="799" builtinId="8" hidden="1"/>
    <cellStyle name="Hipervínculo" xfId="801" builtinId="8" hidden="1"/>
    <cellStyle name="Hipervínculo" xfId="803" builtinId="8" hidden="1"/>
    <cellStyle name="Hipervínculo" xfId="805" builtinId="8" hidden="1"/>
    <cellStyle name="Hipervínculo" xfId="807" builtinId="8" hidden="1"/>
    <cellStyle name="Hipervínculo" xfId="809" builtinId="8" hidden="1"/>
    <cellStyle name="Hipervínculo" xfId="811" builtinId="8" hidden="1"/>
    <cellStyle name="Hipervínculo" xfId="813" builtinId="8" hidden="1"/>
    <cellStyle name="Hipervínculo" xfId="815" builtinId="8" hidden="1"/>
    <cellStyle name="Hipervínculo" xfId="817" builtinId="8" hidden="1"/>
    <cellStyle name="Hipervínculo" xfId="819" builtinId="8" hidden="1"/>
    <cellStyle name="Hipervínculo" xfId="821" builtinId="8" hidden="1"/>
    <cellStyle name="Hipervínculo" xfId="823" builtinId="8" hidden="1"/>
    <cellStyle name="Hipervínculo" xfId="825" builtinId="8" hidden="1"/>
    <cellStyle name="Hipervínculo" xfId="827" builtinId="8" hidden="1"/>
    <cellStyle name="Hipervínculo" xfId="829" builtinId="8" hidden="1"/>
    <cellStyle name="Hipervínculo" xfId="831" builtinId="8" hidden="1"/>
    <cellStyle name="Hipervínculo" xfId="833" builtinId="8" hidden="1"/>
    <cellStyle name="Hipervínculo" xfId="835" builtinId="8" hidden="1"/>
    <cellStyle name="Hipervínculo" xfId="837" builtinId="8" hidden="1"/>
    <cellStyle name="Hipervínculo" xfId="839" builtinId="8" hidden="1"/>
    <cellStyle name="Hipervínculo" xfId="841" builtinId="8" hidden="1"/>
    <cellStyle name="Hipervínculo" xfId="843" builtinId="8" hidden="1"/>
    <cellStyle name="Hipervínculo" xfId="845" builtinId="8" hidden="1"/>
    <cellStyle name="Hipervínculo" xfId="847" builtinId="8" hidden="1"/>
    <cellStyle name="Hipervínculo" xfId="849" builtinId="8" hidden="1"/>
    <cellStyle name="Hipervínculo" xfId="851" builtinId="8" hidden="1"/>
    <cellStyle name="Hipervínculo" xfId="853" builtinId="8" hidden="1"/>
    <cellStyle name="Hipervínculo" xfId="855" builtinId="8" hidden="1"/>
    <cellStyle name="Hipervínculo" xfId="857" builtinId="8" hidden="1"/>
    <cellStyle name="Hipervínculo" xfId="859" builtinId="8" hidden="1"/>
    <cellStyle name="Hipervínculo" xfId="861" builtinId="8" hidden="1"/>
    <cellStyle name="Hipervínculo" xfId="863" builtinId="8" hidden="1"/>
    <cellStyle name="Hipervínculo" xfId="865" builtinId="8" hidden="1"/>
    <cellStyle name="Hipervínculo" xfId="867" builtinId="8" hidden="1"/>
    <cellStyle name="Hipervínculo" xfId="869" builtinId="8" hidden="1"/>
    <cellStyle name="Hipervínculo" xfId="871" builtinId="8" hidden="1"/>
    <cellStyle name="Hipervínculo" xfId="873" builtinId="8" hidden="1"/>
    <cellStyle name="Hipervínculo" xfId="875" builtinId="8" hidden="1"/>
    <cellStyle name="Hipervínculo" xfId="877" builtinId="8" hidden="1"/>
    <cellStyle name="Hipervínculo" xfId="879" builtinId="8" hidden="1"/>
    <cellStyle name="Hipervínculo" xfId="881" builtinId="8" hidden="1"/>
    <cellStyle name="Hipervínculo" xfId="883" builtinId="8" hidden="1"/>
    <cellStyle name="Hipervínculo" xfId="885" builtinId="8" hidden="1"/>
    <cellStyle name="Hipervínculo" xfId="887" builtinId="8" hidden="1"/>
    <cellStyle name="Hipervínculo" xfId="889" builtinId="8" hidden="1"/>
    <cellStyle name="Hipervínculo" xfId="891" builtinId="8" hidden="1"/>
    <cellStyle name="Hipervínculo" xfId="893" builtinId="8" hidden="1"/>
    <cellStyle name="Hipervínculo" xfId="895" builtinId="8" hidden="1"/>
    <cellStyle name="Hipervínculo" xfId="897" builtinId="8" hidden="1"/>
    <cellStyle name="Hipervínculo" xfId="899" builtinId="8" hidden="1"/>
    <cellStyle name="Hipervínculo" xfId="901" builtinId="8" hidden="1"/>
    <cellStyle name="Hipervínculo" xfId="903" builtinId="8" hidden="1"/>
    <cellStyle name="Hipervínculo" xfId="905" builtinId="8" hidden="1"/>
    <cellStyle name="Hipervínculo" xfId="907" builtinId="8" hidden="1"/>
    <cellStyle name="Hipervínculo" xfId="909"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xfId="923" builtinId="8" hidden="1"/>
    <cellStyle name="Hipervínculo" xfId="925" builtinId="8" hidden="1"/>
    <cellStyle name="Hipervínculo" xfId="927" builtinId="8" hidden="1"/>
    <cellStyle name="Hipervínculo" xfId="92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49" builtinId="8" hidden="1"/>
    <cellStyle name="Hipervínculo" xfId="951" builtinId="8" hidden="1"/>
    <cellStyle name="Hipervínculo" xfId="953" builtinId="8" hidden="1"/>
    <cellStyle name="Hipervínculo" xfId="955" builtinId="8" hidden="1"/>
    <cellStyle name="Hipervínculo" xfId="957" builtinId="8" hidden="1"/>
    <cellStyle name="Hipervínculo" xfId="95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79" builtinId="8" hidden="1"/>
    <cellStyle name="Hipervínculo" xfId="981" builtinId="8" hidden="1"/>
    <cellStyle name="Hipervínculo" xfId="983" builtinId="8" hidden="1"/>
    <cellStyle name="Hipervínculo" xfId="985" builtinId="8" hidden="1"/>
    <cellStyle name="Hipervínculo" xfId="987" builtinId="8" hidden="1"/>
    <cellStyle name="Hipervínculo" xfId="989" builtinId="8" hidden="1"/>
    <cellStyle name="Hipervínculo" xfId="991" builtinId="8" hidden="1"/>
    <cellStyle name="Hipervínculo" xfId="993" builtinId="8" hidden="1"/>
    <cellStyle name="Hipervínculo" xfId="995" builtinId="8" hidden="1"/>
    <cellStyle name="Hipervínculo" xfId="997" builtinId="8" hidden="1"/>
    <cellStyle name="Hipervínculo" xfId="999" builtinId="8" hidden="1"/>
    <cellStyle name="Hipervínculo" xfId="1001" builtinId="8" hidden="1"/>
    <cellStyle name="Hipervínculo" xfId="1003" builtinId="8" hidden="1"/>
    <cellStyle name="Hipervínculo" xfId="1005" builtinId="8" hidden="1"/>
    <cellStyle name="Hipervínculo" xfId="1007" builtinId="8" hidden="1"/>
    <cellStyle name="Hipervínculo" xfId="1009"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21" builtinId="8" hidden="1"/>
    <cellStyle name="Hipervínculo" xfId="1023" builtinId="8" hidden="1"/>
    <cellStyle name="Hipervínculo" xfId="1025" builtinId="8" hidden="1"/>
    <cellStyle name="Hipervínculo" xfId="1027" builtinId="8" hidden="1"/>
    <cellStyle name="Hipervínculo" xfId="1029"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1" builtinId="8" hidden="1"/>
    <cellStyle name="Hipervínculo" xfId="1043" builtinId="8" hidden="1"/>
    <cellStyle name="Hipervínculo" xfId="1045" builtinId="8" hidden="1"/>
    <cellStyle name="Hipervínculo" xfId="1047" builtinId="8" hidden="1"/>
    <cellStyle name="Hipervínculo" xfId="1049" builtinId="8" hidden="1"/>
    <cellStyle name="Hipervínculo" xfId="105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1" builtinId="8" hidden="1"/>
    <cellStyle name="Hipervínculo" xfId="1073" builtinId="8" hidden="1"/>
    <cellStyle name="Hipervínculo" xfId="1075" builtinId="8" hidden="1"/>
    <cellStyle name="Hipervínculo" xfId="1077" builtinId="8" hidden="1"/>
    <cellStyle name="Hipervínculo" xfId="1079" builtinId="8" hidden="1"/>
    <cellStyle name="Hipervínculo" xfId="1081" builtinId="8" hidden="1"/>
    <cellStyle name="Hipervínculo" xfId="1083" builtinId="8" hidden="1"/>
    <cellStyle name="Hipervínculo" xfId="1085" builtinId="8" hidden="1"/>
    <cellStyle name="Hipervínculo" xfId="1087" builtinId="8" hidden="1"/>
    <cellStyle name="Hipervínculo" xfId="1089" builtinId="8" hidden="1"/>
    <cellStyle name="Hipervínculo" xfId="1091" builtinId="8" hidden="1"/>
    <cellStyle name="Hipervínculo" xfId="1093" builtinId="8" hidden="1"/>
    <cellStyle name="Hipervínculo" xfId="1095" builtinId="8" hidden="1"/>
    <cellStyle name="Hipervínculo" xfId="1097" builtinId="8" hidden="1"/>
    <cellStyle name="Hipervínculo" xfId="1099" builtinId="8" hidden="1"/>
    <cellStyle name="Hipervínculo" xfId="1101" builtinId="8" hidden="1"/>
    <cellStyle name="Hipervínculo" xfId="1103" builtinId="8" hidden="1"/>
    <cellStyle name="Hipervínculo" xfId="1105" builtinId="8" hidden="1"/>
    <cellStyle name="Hipervínculo" xfId="1107" builtinId="8" hidden="1"/>
    <cellStyle name="Hipervínculo" xfId="110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29" builtinId="8" hidden="1"/>
    <cellStyle name="Hipervínculo" xfId="1131" builtinId="8" hidden="1"/>
    <cellStyle name="Hipervínculo" xfId="1133" builtinId="8" hidden="1"/>
    <cellStyle name="Hipervínculo" xfId="1135" builtinId="8" hidden="1"/>
    <cellStyle name="Hipervínculo" xfId="1137" builtinId="8" hidden="1"/>
    <cellStyle name="Hipervínculo" xfId="113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59" builtinId="8" hidden="1"/>
    <cellStyle name="Hipervínculo" xfId="1161" builtinId="8" hidden="1"/>
    <cellStyle name="Hipervínculo" xfId="1163" builtinId="8" hidden="1"/>
    <cellStyle name="Hipervínculo" xfId="1165" builtinId="8" hidden="1"/>
    <cellStyle name="Hipervínculo" xfId="1167" builtinId="8" hidden="1"/>
    <cellStyle name="Hipervínculo" xfId="116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89" builtinId="8" hidden="1"/>
    <cellStyle name="Hipervínculo" xfId="1191" builtinId="8" hidden="1"/>
    <cellStyle name="Hipervínculo" xfId="1193" builtinId="8" hidden="1"/>
    <cellStyle name="Hipervínculo" xfId="1195" builtinId="8" hidden="1"/>
    <cellStyle name="Hipervínculo" xfId="1197" builtinId="8" hidden="1"/>
    <cellStyle name="Hipervínculo" xfId="119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19" builtinId="8" hidden="1"/>
    <cellStyle name="Hipervínculo" xfId="1221" builtinId="8" hidden="1"/>
    <cellStyle name="Hipervínculo" xfId="1223" builtinId="8" hidden="1"/>
    <cellStyle name="Hipervínculo" xfId="1225" builtinId="8" hidden="1"/>
    <cellStyle name="Hipervínculo" xfId="1227" builtinId="8" hidden="1"/>
    <cellStyle name="Hipervínculo" xfId="122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49" builtinId="8" hidden="1"/>
    <cellStyle name="Hipervínculo" xfId="1251" builtinId="8" hidden="1"/>
    <cellStyle name="Hipervínculo" xfId="1253" builtinId="8" hidden="1"/>
    <cellStyle name="Hipervínculo" xfId="1255" builtinId="8" hidden="1"/>
    <cellStyle name="Hipervínculo" xfId="1257" builtinId="8" hidden="1"/>
    <cellStyle name="Hipervínculo" xfId="1259" builtinId="8" hidden="1"/>
    <cellStyle name="Hipervínculo" xfId="1261" builtinId="8" hidden="1"/>
    <cellStyle name="Hipervínculo" xfId="1263" builtinId="8" hidden="1"/>
    <cellStyle name="Hipervínculo" xfId="1265" builtinId="8" hidden="1"/>
    <cellStyle name="Hipervínculo" xfId="1267" builtinId="8" hidden="1"/>
    <cellStyle name="Hipervínculo" xfId="1269" builtinId="8" hidden="1"/>
    <cellStyle name="Hipervínculo" xfId="1271" builtinId="8" hidden="1"/>
    <cellStyle name="Hipervínculo" xfId="1273" builtinId="8" hidden="1"/>
    <cellStyle name="Hipervínculo" xfId="1275" builtinId="8" hidden="1"/>
    <cellStyle name="Hipervínculo" xfId="1277" builtinId="8" hidden="1"/>
    <cellStyle name="Hipervínculo" xfId="1279" builtinId="8" hidden="1"/>
    <cellStyle name="Hipervínculo" xfId="1281" builtinId="8" hidden="1"/>
    <cellStyle name="Hipervínculo" xfId="1283" builtinId="8" hidden="1"/>
    <cellStyle name="Hipervínculo" xfId="1285" builtinId="8" hidden="1"/>
    <cellStyle name="Hipervínculo" xfId="1287" builtinId="8" hidden="1"/>
    <cellStyle name="Hipervínculo" xfId="1289" builtinId="8" hidden="1"/>
    <cellStyle name="Hipervínculo" xfId="1291" builtinId="8" hidden="1"/>
    <cellStyle name="Hipervínculo" xfId="1293" builtinId="8" hidden="1"/>
    <cellStyle name="Hipervínculo" xfId="1295" builtinId="8" hidden="1"/>
    <cellStyle name="Hipervínculo" xfId="1297" builtinId="8" hidden="1"/>
    <cellStyle name="Hipervínculo" xfId="1299" builtinId="8" hidden="1"/>
    <cellStyle name="Hipervínculo" xfId="1301" builtinId="8" hidden="1"/>
    <cellStyle name="Hipervínculo" xfId="1303" builtinId="8" hidden="1"/>
    <cellStyle name="Hipervínculo" xfId="1305" builtinId="8" hidden="1"/>
    <cellStyle name="Hipervínculo" xfId="1307" builtinId="8" hidden="1"/>
    <cellStyle name="Hipervínculo" xfId="1309" builtinId="8" hidden="1"/>
    <cellStyle name="Hipervínculo" xfId="1311" builtinId="8" hidden="1"/>
    <cellStyle name="Hipervínculo" xfId="1313" builtinId="8" hidden="1"/>
    <cellStyle name="Hipervínculo" xfId="1315" builtinId="8" hidden="1"/>
    <cellStyle name="Hipervínculo" xfId="1317" builtinId="8" hidden="1"/>
    <cellStyle name="Hipervínculo" xfId="1319" builtinId="8" hidden="1"/>
    <cellStyle name="Hipervínculo" xfId="1321" builtinId="8" hidden="1"/>
    <cellStyle name="Hipervínculo" xfId="1323" builtinId="8" hidden="1"/>
    <cellStyle name="Hipervínculo" xfId="1325" builtinId="8" hidden="1"/>
    <cellStyle name="Hipervínculo" xfId="1327" builtinId="8" hidden="1"/>
    <cellStyle name="Hipervínculo" xfId="1329" builtinId="8" hidden="1"/>
    <cellStyle name="Hipervínculo" xfId="1331" builtinId="8" hidden="1"/>
    <cellStyle name="Hipervínculo" xfId="1333" builtinId="8" hidden="1"/>
    <cellStyle name="Hipervínculo" xfId="1335" builtinId="8" hidden="1"/>
    <cellStyle name="Hipervínculo" xfId="1337" builtinId="8" hidden="1"/>
    <cellStyle name="Hipervínculo" xfId="1339" builtinId="8" hidden="1"/>
    <cellStyle name="Hipervínculo" xfId="1341" builtinId="8" hidden="1"/>
    <cellStyle name="Hipervínculo" xfId="1343" builtinId="8" hidden="1"/>
    <cellStyle name="Hipervínculo" xfId="1345" builtinId="8" hidden="1"/>
    <cellStyle name="Hipervínculo" xfId="1347" builtinId="8" hidden="1"/>
    <cellStyle name="Hipervínculo" xfId="1349" builtinId="8" hidden="1"/>
    <cellStyle name="Hipervínculo" xfId="1351" builtinId="8" hidden="1"/>
    <cellStyle name="Hipervínculo" xfId="1353" builtinId="8" hidden="1"/>
    <cellStyle name="Hipervínculo" xfId="1355" builtinId="8" hidden="1"/>
    <cellStyle name="Hipervínculo" xfId="1357" builtinId="8" hidden="1"/>
    <cellStyle name="Hipervínculo" xfId="1359" builtinId="8" hidden="1"/>
    <cellStyle name="Hipervínculo" xfId="1361" builtinId="8" hidden="1"/>
    <cellStyle name="Hipervínculo" xfId="1363" builtinId="8" hidden="1"/>
    <cellStyle name="Hipervínculo" xfId="1365" builtinId="8" hidden="1"/>
    <cellStyle name="Hipervínculo" xfId="1367" builtinId="8" hidden="1"/>
    <cellStyle name="Hipervínculo" xfId="1369" builtinId="8" hidden="1"/>
    <cellStyle name="Hipervínculo" xfId="1371" builtinId="8" hidden="1"/>
    <cellStyle name="Hipervínculo" xfId="1373" builtinId="8" hidden="1"/>
    <cellStyle name="Hipervínculo" xfId="1375" builtinId="8" hidden="1"/>
    <cellStyle name="Hipervínculo" xfId="1377" builtinId="8" hidden="1"/>
    <cellStyle name="Hipervínculo" xfId="1379" builtinId="8" hidden="1"/>
    <cellStyle name="Hipervínculo" xfId="1381" builtinId="8" hidden="1"/>
    <cellStyle name="Hipervínculo" xfId="1383" builtinId="8" hidden="1"/>
    <cellStyle name="Hipervínculo" xfId="1385" builtinId="8" hidden="1"/>
    <cellStyle name="Hipervínculo" xfId="1387" builtinId="8" hidden="1"/>
    <cellStyle name="Hipervínculo" xfId="1389" builtinId="8" hidden="1"/>
    <cellStyle name="Hipervínculo" xfId="1391" builtinId="8" hidden="1"/>
    <cellStyle name="Hipervínculo" xfId="1393" builtinId="8" hidden="1"/>
    <cellStyle name="Hipervínculo" xfId="1395" builtinId="8" hidden="1"/>
    <cellStyle name="Hipervínculo" xfId="1397" builtinId="8" hidden="1"/>
    <cellStyle name="Hipervínculo" xfId="1399" builtinId="8" hidden="1"/>
    <cellStyle name="Hipervínculo" xfId="1401" builtinId="8" hidden="1"/>
    <cellStyle name="Hipervínculo" xfId="1403" builtinId="8" hidden="1"/>
    <cellStyle name="Hipervínculo" xfId="1405" builtinId="8" hidden="1"/>
    <cellStyle name="Hipervínculo" xfId="1407" builtinId="8" hidden="1"/>
    <cellStyle name="Hipervínculo" xfId="1409" builtinId="8" hidden="1"/>
    <cellStyle name="Hipervínculo" xfId="1411" builtinId="8" hidden="1"/>
    <cellStyle name="Hipervínculo" xfId="1536" builtinId="8" hidden="1"/>
    <cellStyle name="Hipervínculo" xfId="1538" builtinId="8" hidden="1"/>
    <cellStyle name="Hipervínculo" xfId="1540" builtinId="8" hidden="1"/>
    <cellStyle name="Hipervínculo" xfId="1542" builtinId="8" hidden="1"/>
    <cellStyle name="Hipervínculo" xfId="1544" builtinId="8" hidden="1"/>
    <cellStyle name="Hipervínculo" xfId="1546" builtinId="8" hidden="1"/>
    <cellStyle name="Hipervínculo" xfId="1548" builtinId="8" hidden="1"/>
    <cellStyle name="Hipervínculo" xfId="1550" builtinId="8" hidden="1"/>
    <cellStyle name="Hipervínculo" xfId="1552" builtinId="8" hidden="1"/>
    <cellStyle name="Hipervínculo" xfId="1554" builtinId="8" hidden="1"/>
    <cellStyle name="Hipervínculo" xfId="1556" builtinId="8" hidden="1"/>
    <cellStyle name="Hipervínculo" xfId="1558" builtinId="8" hidden="1"/>
    <cellStyle name="Hipervínculo" xfId="1560" builtinId="8" hidden="1"/>
    <cellStyle name="Hipervínculo" xfId="1562" builtinId="8" hidden="1"/>
    <cellStyle name="Hipervínculo" xfId="1564" builtinId="8" hidden="1"/>
    <cellStyle name="Hipervínculo" xfId="1566" builtinId="8" hidden="1"/>
    <cellStyle name="Hipervínculo" xfId="1568" builtinId="8" hidden="1"/>
    <cellStyle name="Hipervínculo" xfId="1570" builtinId="8" hidden="1"/>
    <cellStyle name="Hipervínculo" xfId="1572" builtinId="8" hidden="1"/>
    <cellStyle name="Hipervínculo" xfId="1574" builtinId="8" hidden="1"/>
    <cellStyle name="Hipervínculo" xfId="1576" builtinId="8" hidden="1"/>
    <cellStyle name="Hipervínculo" xfId="1578" builtinId="8" hidden="1"/>
    <cellStyle name="Hipervínculo" xfId="1580" builtinId="8" hidden="1"/>
    <cellStyle name="Hipervínculo" xfId="1582" builtinId="8" hidden="1"/>
    <cellStyle name="Hipervínculo" xfId="1584" builtinId="8" hidden="1"/>
    <cellStyle name="Hipervínculo" xfId="1586" builtinId="8" hidden="1"/>
    <cellStyle name="Hipervínculo" xfId="1588" builtinId="8" hidden="1"/>
    <cellStyle name="Hipervínculo" xfId="1590" builtinId="8" hidden="1"/>
    <cellStyle name="Hipervínculo" xfId="1592" builtinId="8" hidden="1"/>
    <cellStyle name="Hipervínculo" xfId="1594" builtinId="8" hidden="1"/>
    <cellStyle name="Hipervínculo" xfId="1596" builtinId="8" hidden="1"/>
    <cellStyle name="Hipervínculo" xfId="1598" builtinId="8" hidden="1"/>
    <cellStyle name="Hipervínculo" xfId="1600" builtinId="8" hidden="1"/>
    <cellStyle name="Hipervínculo" xfId="1602" builtinId="8" hidden="1"/>
    <cellStyle name="Hipervínculo" xfId="1604" builtinId="8" hidden="1"/>
    <cellStyle name="Hipervínculo" xfId="1606" builtinId="8" hidden="1"/>
    <cellStyle name="Hipervínculo" xfId="1608" builtinId="8" hidden="1"/>
    <cellStyle name="Hipervínculo" xfId="1610" builtinId="8" hidden="1"/>
    <cellStyle name="Hipervínculo" xfId="1612" builtinId="8" hidden="1"/>
    <cellStyle name="Hipervínculo" xfId="1614" builtinId="8" hidden="1"/>
    <cellStyle name="Hipervínculo" xfId="1616" builtinId="8" hidden="1"/>
    <cellStyle name="Hipervínculo" xfId="1618" builtinId="8" hidden="1"/>
    <cellStyle name="Hipervínculo" xfId="1620" builtinId="8" hidden="1"/>
    <cellStyle name="Hipervínculo" xfId="1622" builtinId="8" hidden="1"/>
    <cellStyle name="Hipervínculo" xfId="1624" builtinId="8" hidden="1"/>
    <cellStyle name="Hipervínculo" xfId="1626" builtinId="8" hidden="1"/>
    <cellStyle name="Hipervínculo" xfId="1628" builtinId="8" hidden="1"/>
    <cellStyle name="Hipervínculo" xfId="1630" builtinId="8" hidden="1"/>
    <cellStyle name="Hipervínculo" xfId="1632" builtinId="8" hidden="1"/>
    <cellStyle name="Hipervínculo" xfId="1634" builtinId="8" hidden="1"/>
    <cellStyle name="Hipervínculo" xfId="1636" builtinId="8" hidden="1"/>
    <cellStyle name="Hipervínculo" xfId="1638" builtinId="8" hidden="1"/>
    <cellStyle name="Hipervínculo" xfId="1640" builtinId="8" hidden="1"/>
    <cellStyle name="Hipervínculo" xfId="1642" builtinId="8" hidden="1"/>
    <cellStyle name="Hipervínculo" xfId="1644" builtinId="8" hidden="1"/>
    <cellStyle name="Hipervínculo" xfId="1646" builtinId="8" hidden="1"/>
    <cellStyle name="Hipervínculo" xfId="1648" builtinId="8" hidden="1"/>
    <cellStyle name="Hipervínculo" xfId="1650" builtinId="8" hidden="1"/>
    <cellStyle name="Hipervínculo" xfId="1652" builtinId="8" hidden="1"/>
    <cellStyle name="Hipervínculo" xfId="1654" builtinId="8" hidden="1"/>
    <cellStyle name="Hipervínculo" xfId="1656" builtinId="8" hidden="1"/>
    <cellStyle name="Hipervínculo" xfId="1658" builtinId="8" hidden="1"/>
    <cellStyle name="Hipervínculo" xfId="1660" builtinId="8" hidden="1"/>
    <cellStyle name="Hipervínculo" xfId="1662" builtinId="8" hidden="1"/>
    <cellStyle name="Hipervínculo" xfId="1664" builtinId="8" hidden="1"/>
    <cellStyle name="Hipervínculo" xfId="1666" builtinId="8" hidden="1"/>
    <cellStyle name="Hipervínculo" xfId="1668" builtinId="8" hidden="1"/>
    <cellStyle name="Hipervínculo" xfId="1670" builtinId="8" hidden="1"/>
    <cellStyle name="Hipervínculo" xfId="1672" builtinId="8" hidden="1"/>
    <cellStyle name="Hipervínculo" xfId="1674" builtinId="8" hidden="1"/>
    <cellStyle name="Hipervínculo" xfId="1676" builtinId="8" hidden="1"/>
    <cellStyle name="Hipervínculo" xfId="1678" builtinId="8" hidden="1"/>
    <cellStyle name="Hipervínculo" xfId="1680" builtinId="8" hidden="1"/>
    <cellStyle name="Hipervínculo" xfId="1682" builtinId="8" hidden="1"/>
    <cellStyle name="Hipervínculo" xfId="1684" builtinId="8" hidden="1"/>
    <cellStyle name="Hipervínculo" xfId="1690" builtinId="8"/>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Hipervínculo visitado" xfId="390"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2" builtinId="9" hidden="1"/>
    <cellStyle name="Hipervínculo visitado" xfId="414" builtinId="9" hidden="1"/>
    <cellStyle name="Hipervínculo visitado" xfId="416" builtinId="9" hidden="1"/>
    <cellStyle name="Hipervínculo visitado" xfId="418" builtinId="9" hidden="1"/>
    <cellStyle name="Hipervínculo visitado" xfId="420"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2" builtinId="9" hidden="1"/>
    <cellStyle name="Hipervínculo visitado" xfId="444" builtinId="9" hidden="1"/>
    <cellStyle name="Hipervínculo visitado" xfId="446" builtinId="9" hidden="1"/>
    <cellStyle name="Hipervínculo visitado" xfId="448" builtinId="9" hidden="1"/>
    <cellStyle name="Hipervínculo visitado" xfId="450"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2" builtinId="9" hidden="1"/>
    <cellStyle name="Hipervínculo visitado" xfId="474" builtinId="9" hidden="1"/>
    <cellStyle name="Hipervínculo visitado" xfId="476" builtinId="9" hidden="1"/>
    <cellStyle name="Hipervínculo visitado" xfId="478" builtinId="9" hidden="1"/>
    <cellStyle name="Hipervínculo visitado" xfId="480"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0" builtinId="9" hidden="1"/>
    <cellStyle name="Hipervínculo visitado" xfId="502" builtinId="9" hidden="1"/>
    <cellStyle name="Hipervínculo visitado" xfId="504" builtinId="9" hidden="1"/>
    <cellStyle name="Hipervínculo visitado" xfId="506" builtinId="9" hidden="1"/>
    <cellStyle name="Hipervínculo visitado" xfId="508"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Hipervínculo visitado" xfId="524" builtinId="9" hidden="1"/>
    <cellStyle name="Hipervínculo visitado" xfId="526" builtinId="9" hidden="1"/>
    <cellStyle name="Hipervínculo visitado" xfId="528" builtinId="9" hidden="1"/>
    <cellStyle name="Hipervínculo visitado" xfId="530" builtinId="9" hidden="1"/>
    <cellStyle name="Hipervínculo visitado" xfId="532" builtinId="9" hidden="1"/>
    <cellStyle name="Hipervínculo visitado" xfId="534" builtinId="9" hidden="1"/>
    <cellStyle name="Hipervínculo visitado" xfId="536" builtinId="9" hidden="1"/>
    <cellStyle name="Hipervínculo visitado" xfId="538" builtinId="9" hidden="1"/>
    <cellStyle name="Hipervínculo visitado" xfId="540" builtinId="9" hidden="1"/>
    <cellStyle name="Hipervínculo visitado" xfId="542" builtinId="9" hidden="1"/>
    <cellStyle name="Hipervínculo visitado" xfId="544" builtinId="9" hidden="1"/>
    <cellStyle name="Hipervínculo visitado" xfId="546" builtinId="9" hidden="1"/>
    <cellStyle name="Hipervínculo visitado" xfId="548" builtinId="9" hidden="1"/>
    <cellStyle name="Hipervínculo visitado" xfId="550" builtinId="9" hidden="1"/>
    <cellStyle name="Hipervínculo visitado" xfId="552" builtinId="9" hidden="1"/>
    <cellStyle name="Hipervínculo visitado" xfId="554" builtinId="9" hidden="1"/>
    <cellStyle name="Hipervínculo visitado" xfId="556" builtinId="9" hidden="1"/>
    <cellStyle name="Hipervínculo visitado" xfId="558" builtinId="9" hidden="1"/>
    <cellStyle name="Hipervínculo visitado" xfId="560" builtinId="9" hidden="1"/>
    <cellStyle name="Hipervínculo visitado" xfId="562" builtinId="9" hidden="1"/>
    <cellStyle name="Hipervínculo visitado" xfId="564" builtinId="9" hidden="1"/>
    <cellStyle name="Hipervínculo visitado" xfId="566" builtinId="9" hidden="1"/>
    <cellStyle name="Hipervínculo visitado" xfId="568" builtinId="9" hidden="1"/>
    <cellStyle name="Hipervínculo visitado" xfId="570" builtinId="9" hidden="1"/>
    <cellStyle name="Hipervínculo visitado" xfId="572" builtinId="9" hidden="1"/>
    <cellStyle name="Hipervínculo visitado" xfId="574" builtinId="9" hidden="1"/>
    <cellStyle name="Hipervínculo visitado" xfId="576" builtinId="9" hidden="1"/>
    <cellStyle name="Hipervínculo visitado" xfId="578" builtinId="9" hidden="1"/>
    <cellStyle name="Hipervínculo visitado" xfId="580" builtinId="9" hidden="1"/>
    <cellStyle name="Hipervínculo visitado" xfId="582" builtinId="9" hidden="1"/>
    <cellStyle name="Hipervínculo visitado" xfId="584" builtinId="9" hidden="1"/>
    <cellStyle name="Hipervínculo visitado" xfId="586" builtinId="9" hidden="1"/>
    <cellStyle name="Hipervínculo visitado" xfId="588" builtinId="9" hidden="1"/>
    <cellStyle name="Hipervínculo visitado" xfId="590" builtinId="9" hidden="1"/>
    <cellStyle name="Hipervínculo visitado" xfId="592" builtinId="9" hidden="1"/>
    <cellStyle name="Hipervínculo visitado" xfId="594" builtinId="9" hidden="1"/>
    <cellStyle name="Hipervínculo visitado" xfId="596" builtinId="9" hidden="1"/>
    <cellStyle name="Hipervínculo visitado" xfId="598" builtinId="9" hidden="1"/>
    <cellStyle name="Hipervínculo visitado" xfId="600" builtinId="9" hidden="1"/>
    <cellStyle name="Hipervínculo visitado" xfId="602" builtinId="9" hidden="1"/>
    <cellStyle name="Hipervínculo visitado" xfId="604" builtinId="9" hidden="1"/>
    <cellStyle name="Hipervínculo visitado" xfId="606" builtinId="9" hidden="1"/>
    <cellStyle name="Hipervínculo visitado" xfId="608" builtinId="9" hidden="1"/>
    <cellStyle name="Hipervínculo visitado" xfId="610" builtinId="9" hidden="1"/>
    <cellStyle name="Hipervínculo visitado" xfId="612" builtinId="9" hidden="1"/>
    <cellStyle name="Hipervínculo visitado" xfId="614" builtinId="9" hidden="1"/>
    <cellStyle name="Hipervínculo visitado" xfId="616" builtinId="9" hidden="1"/>
    <cellStyle name="Hipervínculo visitado" xfId="618" builtinId="9" hidden="1"/>
    <cellStyle name="Hipervínculo visitado" xfId="620"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2" builtinId="9" hidden="1"/>
    <cellStyle name="Hipervínculo visitado" xfId="634" builtinId="9" hidden="1"/>
    <cellStyle name="Hipervínculo visitado" xfId="636" builtinId="9" hidden="1"/>
    <cellStyle name="Hipervínculo visitado" xfId="638" builtinId="9" hidden="1"/>
    <cellStyle name="Hipervínculo visitado" xfId="640"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2" builtinId="9" hidden="1"/>
    <cellStyle name="Hipervínculo visitado" xfId="654" builtinId="9" hidden="1"/>
    <cellStyle name="Hipervínculo visitado" xfId="656" builtinId="9" hidden="1"/>
    <cellStyle name="Hipervínculo visitado" xfId="658" builtinId="9" hidden="1"/>
    <cellStyle name="Hipervínculo visitado" xfId="660"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2" builtinId="9" hidden="1"/>
    <cellStyle name="Hipervínculo visitado" xfId="684" builtinId="9" hidden="1"/>
    <cellStyle name="Hipervínculo visitado" xfId="686" builtinId="9" hidden="1"/>
    <cellStyle name="Hipervínculo visitado" xfId="688" builtinId="9" hidden="1"/>
    <cellStyle name="Hipervínculo visitado" xfId="690"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0" builtinId="9" hidden="1"/>
    <cellStyle name="Hipervínculo visitado" xfId="712" builtinId="9" hidden="1"/>
    <cellStyle name="Hipervínculo visitado" xfId="714" builtinId="9" hidden="1"/>
    <cellStyle name="Hipervínculo visitado" xfId="716" builtinId="9" hidden="1"/>
    <cellStyle name="Hipervínculo visitado" xfId="718" builtinId="9" hidden="1"/>
    <cellStyle name="Hipervínculo visitado" xfId="720" builtinId="9" hidden="1"/>
    <cellStyle name="Hipervínculo visitado" xfId="722" builtinId="9" hidden="1"/>
    <cellStyle name="Hipervínculo visitado" xfId="724" builtinId="9" hidden="1"/>
    <cellStyle name="Hipervínculo visitado" xfId="726" builtinId="9" hidden="1"/>
    <cellStyle name="Hipervínculo visitado" xfId="728" builtinId="9" hidden="1"/>
    <cellStyle name="Hipervínculo visitado" xfId="730" builtinId="9" hidden="1"/>
    <cellStyle name="Hipervínculo visitado" xfId="732" builtinId="9" hidden="1"/>
    <cellStyle name="Hipervínculo visitado" xfId="734" builtinId="9" hidden="1"/>
    <cellStyle name="Hipervínculo visitado" xfId="736" builtinId="9" hidden="1"/>
    <cellStyle name="Hipervínculo visitado" xfId="738" builtinId="9" hidden="1"/>
    <cellStyle name="Hipervínculo visitado" xfId="740" builtinId="9" hidden="1"/>
    <cellStyle name="Hipervínculo visitado" xfId="742" builtinId="9" hidden="1"/>
    <cellStyle name="Hipervínculo visitado" xfId="744" builtinId="9" hidden="1"/>
    <cellStyle name="Hipervínculo visitado" xfId="746" builtinId="9" hidden="1"/>
    <cellStyle name="Hipervínculo visitado" xfId="748" builtinId="9" hidden="1"/>
    <cellStyle name="Hipervínculo visitado" xfId="750" builtinId="9" hidden="1"/>
    <cellStyle name="Hipervínculo visitado" xfId="752" builtinId="9" hidden="1"/>
    <cellStyle name="Hipervínculo visitado" xfId="754" builtinId="9" hidden="1"/>
    <cellStyle name="Hipervínculo visitado" xfId="756" builtinId="9" hidden="1"/>
    <cellStyle name="Hipervínculo visitado" xfId="758" builtinId="9" hidden="1"/>
    <cellStyle name="Hipervínculo visitado" xfId="760" builtinId="9" hidden="1"/>
    <cellStyle name="Hipervínculo visitado" xfId="762" builtinId="9" hidden="1"/>
    <cellStyle name="Hipervínculo visitado" xfId="764" builtinId="9" hidden="1"/>
    <cellStyle name="Hipervínculo visitado" xfId="766" builtinId="9" hidden="1"/>
    <cellStyle name="Hipervínculo visitado" xfId="768" builtinId="9" hidden="1"/>
    <cellStyle name="Hipervínculo visitado" xfId="770" builtinId="9" hidden="1"/>
    <cellStyle name="Hipervínculo visitado" xfId="772" builtinId="9" hidden="1"/>
    <cellStyle name="Hipervínculo visitado" xfId="774" builtinId="9" hidden="1"/>
    <cellStyle name="Hipervínculo visitado" xfId="776" builtinId="9" hidden="1"/>
    <cellStyle name="Hipervínculo visitado" xfId="778" builtinId="9" hidden="1"/>
    <cellStyle name="Hipervínculo visitado" xfId="780" builtinId="9" hidden="1"/>
    <cellStyle name="Hipervínculo visitado" xfId="782" builtinId="9" hidden="1"/>
    <cellStyle name="Hipervínculo visitado" xfId="784" builtinId="9" hidden="1"/>
    <cellStyle name="Hipervínculo visitado" xfId="786" builtinId="9" hidden="1"/>
    <cellStyle name="Hipervínculo visitado" xfId="788" builtinId="9" hidden="1"/>
    <cellStyle name="Hipervínculo visitado" xfId="790" builtinId="9" hidden="1"/>
    <cellStyle name="Hipervínculo visitado" xfId="792" builtinId="9" hidden="1"/>
    <cellStyle name="Hipervínculo visitado" xfId="794" builtinId="9" hidden="1"/>
    <cellStyle name="Hipervínculo visitado" xfId="796" builtinId="9" hidden="1"/>
    <cellStyle name="Hipervínculo visitado" xfId="798" builtinId="9" hidden="1"/>
    <cellStyle name="Hipervínculo visitado" xfId="800" builtinId="9" hidden="1"/>
    <cellStyle name="Hipervínculo visitado" xfId="802" builtinId="9" hidden="1"/>
    <cellStyle name="Hipervínculo visitado" xfId="804" builtinId="9" hidden="1"/>
    <cellStyle name="Hipervínculo visitado" xfId="806" builtinId="9" hidden="1"/>
    <cellStyle name="Hipervínculo visitado" xfId="808" builtinId="9" hidden="1"/>
    <cellStyle name="Hipervínculo visitado" xfId="810" builtinId="9" hidden="1"/>
    <cellStyle name="Hipervínculo visitado" xfId="812" builtinId="9" hidden="1"/>
    <cellStyle name="Hipervínculo visitado" xfId="814" builtinId="9" hidden="1"/>
    <cellStyle name="Hipervínculo visitado" xfId="816" builtinId="9" hidden="1"/>
    <cellStyle name="Hipervínculo visitado" xfId="818" builtinId="9" hidden="1"/>
    <cellStyle name="Hipervínculo visitado" xfId="820" builtinId="9" hidden="1"/>
    <cellStyle name="Hipervínculo visitado" xfId="822" builtinId="9" hidden="1"/>
    <cellStyle name="Hipervínculo visitado" xfId="824" builtinId="9" hidden="1"/>
    <cellStyle name="Hipervínculo visitado" xfId="826" builtinId="9" hidden="1"/>
    <cellStyle name="Hipervínculo visitado" xfId="828" builtinId="9" hidden="1"/>
    <cellStyle name="Hipervínculo visitado" xfId="830" builtinId="9" hidden="1"/>
    <cellStyle name="Hipervínculo visitado" xfId="832" builtinId="9" hidden="1"/>
    <cellStyle name="Hipervínculo visitado" xfId="834" builtinId="9" hidden="1"/>
    <cellStyle name="Hipervínculo visitado" xfId="836" builtinId="9" hidden="1"/>
    <cellStyle name="Hipervínculo visitado" xfId="838" builtinId="9" hidden="1"/>
    <cellStyle name="Hipervínculo visitado" xfId="840" builtinId="9" hidden="1"/>
    <cellStyle name="Hipervínculo visitado" xfId="842" builtinId="9" hidden="1"/>
    <cellStyle name="Hipervínculo visitado" xfId="844" builtinId="9" hidden="1"/>
    <cellStyle name="Hipervínculo visitado" xfId="846" builtinId="9" hidden="1"/>
    <cellStyle name="Hipervínculo visitado" xfId="848" builtinId="9" hidden="1"/>
    <cellStyle name="Hipervínculo visitado" xfId="850" builtinId="9" hidden="1"/>
    <cellStyle name="Hipervínculo visitado" xfId="852" builtinId="9" hidden="1"/>
    <cellStyle name="Hipervínculo visitado" xfId="854" builtinId="9" hidden="1"/>
    <cellStyle name="Hipervínculo visitado" xfId="856" builtinId="9" hidden="1"/>
    <cellStyle name="Hipervínculo visitado" xfId="858" builtinId="9" hidden="1"/>
    <cellStyle name="Hipervínculo visitado" xfId="860" builtinId="9" hidden="1"/>
    <cellStyle name="Hipervínculo visitado" xfId="862" builtinId="9" hidden="1"/>
    <cellStyle name="Hipervínculo visitado" xfId="864" builtinId="9" hidden="1"/>
    <cellStyle name="Hipervínculo visitado" xfId="866" builtinId="9" hidden="1"/>
    <cellStyle name="Hipervínculo visitado" xfId="868" builtinId="9" hidden="1"/>
    <cellStyle name="Hipervínculo visitado" xfId="870" builtinId="9" hidden="1"/>
    <cellStyle name="Hipervínculo visitado" xfId="872" builtinId="9" hidden="1"/>
    <cellStyle name="Hipervínculo visitado" xfId="874" builtinId="9" hidden="1"/>
    <cellStyle name="Hipervínculo visitado" xfId="876" builtinId="9" hidden="1"/>
    <cellStyle name="Hipervínculo visitado" xfId="878" builtinId="9" hidden="1"/>
    <cellStyle name="Hipervínculo visitado" xfId="880" builtinId="9" hidden="1"/>
    <cellStyle name="Hipervínculo visitado" xfId="882" builtinId="9" hidden="1"/>
    <cellStyle name="Hipervínculo visitado" xfId="884" builtinId="9" hidden="1"/>
    <cellStyle name="Hipervínculo visitado" xfId="886" builtinId="9" hidden="1"/>
    <cellStyle name="Hipervínculo visitado" xfId="888" builtinId="9" hidden="1"/>
    <cellStyle name="Hipervínculo visitado" xfId="890" builtinId="9" hidden="1"/>
    <cellStyle name="Hipervínculo visitado" xfId="892" builtinId="9" hidden="1"/>
    <cellStyle name="Hipervínculo visitado" xfId="894" builtinId="9" hidden="1"/>
    <cellStyle name="Hipervínculo visitado" xfId="896" builtinId="9" hidden="1"/>
    <cellStyle name="Hipervínculo visitado" xfId="898" builtinId="9" hidden="1"/>
    <cellStyle name="Hipervínculo visitado" xfId="900" builtinId="9" hidden="1"/>
    <cellStyle name="Hipervínculo visitado" xfId="902" builtinId="9" hidden="1"/>
    <cellStyle name="Hipervínculo visitado" xfId="904" builtinId="9" hidden="1"/>
    <cellStyle name="Hipervínculo visitado" xfId="906" builtinId="9" hidden="1"/>
    <cellStyle name="Hipervínculo visitado" xfId="908" builtinId="9" hidden="1"/>
    <cellStyle name="Hipervínculo visitado" xfId="910"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Hipervínculo visitado" xfId="924" builtinId="9" hidden="1"/>
    <cellStyle name="Hipervínculo visitado" xfId="926" builtinId="9" hidden="1"/>
    <cellStyle name="Hipervínculo visitado" xfId="928"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0" builtinId="9" hidden="1"/>
    <cellStyle name="Hipervínculo visitado" xfId="952" builtinId="9" hidden="1"/>
    <cellStyle name="Hipervínculo visitado" xfId="954" builtinId="9" hidden="1"/>
    <cellStyle name="Hipervínculo visitado" xfId="956" builtinId="9" hidden="1"/>
    <cellStyle name="Hipervínculo visitado" xfId="958"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0" builtinId="9" hidden="1"/>
    <cellStyle name="Hipervínculo visitado" xfId="982" builtinId="9" hidden="1"/>
    <cellStyle name="Hipervínculo visitado" xfId="984" builtinId="9" hidden="1"/>
    <cellStyle name="Hipervínculo visitado" xfId="986" builtinId="9" hidden="1"/>
    <cellStyle name="Hipervínculo visitado" xfId="988"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0" builtinId="9" hidden="1"/>
    <cellStyle name="Hipervínculo visitado" xfId="1002" builtinId="9" hidden="1"/>
    <cellStyle name="Hipervínculo visitado" xfId="1004" builtinId="9" hidden="1"/>
    <cellStyle name="Hipervínculo visitado" xfId="1006" builtinId="9" hidden="1"/>
    <cellStyle name="Hipervínculo visitado" xfId="1008" builtinId="9" hidden="1"/>
    <cellStyle name="Hipervínculo visitado" xfId="1010"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2" builtinId="9" hidden="1"/>
    <cellStyle name="Hipervínculo visitado" xfId="1024" builtinId="9" hidden="1"/>
    <cellStyle name="Hipervínculo visitado" xfId="1026" builtinId="9" hidden="1"/>
    <cellStyle name="Hipervínculo visitado" xfId="1028" builtinId="9" hidden="1"/>
    <cellStyle name="Hipervínculo visitado" xfId="1030"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2" builtinId="9" hidden="1"/>
    <cellStyle name="Hipervínculo visitado" xfId="1044" builtinId="9" hidden="1"/>
    <cellStyle name="Hipervínculo visitado" xfId="1046" builtinId="9" hidden="1"/>
    <cellStyle name="Hipervínculo visitado" xfId="1048" builtinId="9" hidden="1"/>
    <cellStyle name="Hipervínculo visitado" xfId="1050"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2" builtinId="9" hidden="1"/>
    <cellStyle name="Hipervínculo visitado" xfId="1074" builtinId="9" hidden="1"/>
    <cellStyle name="Hipervínculo visitado" xfId="1076" builtinId="9" hidden="1"/>
    <cellStyle name="Hipervínculo visitado" xfId="1078" builtinId="9" hidden="1"/>
    <cellStyle name="Hipervínculo visitado" xfId="1080"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0" builtinId="9" hidden="1"/>
    <cellStyle name="Hipervínculo visitado" xfId="1102" builtinId="9" hidden="1"/>
    <cellStyle name="Hipervínculo visitado" xfId="1104" builtinId="9" hidden="1"/>
    <cellStyle name="Hipervínculo visitado" xfId="1106" builtinId="9" hidden="1"/>
    <cellStyle name="Hipervínculo visitado" xfId="1108"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0" builtinId="9" hidden="1"/>
    <cellStyle name="Hipervínculo visitado" xfId="1132" builtinId="9" hidden="1"/>
    <cellStyle name="Hipervínculo visitado" xfId="1134" builtinId="9" hidden="1"/>
    <cellStyle name="Hipervínculo visitado" xfId="1136" builtinId="9" hidden="1"/>
    <cellStyle name="Hipervínculo visitado" xfId="1138"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0" builtinId="9" hidden="1"/>
    <cellStyle name="Hipervínculo visitado" xfId="1162" builtinId="9" hidden="1"/>
    <cellStyle name="Hipervínculo visitado" xfId="1164" builtinId="9" hidden="1"/>
    <cellStyle name="Hipervínculo visitado" xfId="1166" builtinId="9" hidden="1"/>
    <cellStyle name="Hipervínculo visitado" xfId="1168"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0" builtinId="9" hidden="1"/>
    <cellStyle name="Hipervínculo visitado" xfId="1192" builtinId="9" hidden="1"/>
    <cellStyle name="Hipervínculo visitado" xfId="1194" builtinId="9" hidden="1"/>
    <cellStyle name="Hipervínculo visitado" xfId="1196" builtinId="9" hidden="1"/>
    <cellStyle name="Hipervínculo visitado" xfId="1198"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0" builtinId="9" hidden="1"/>
    <cellStyle name="Hipervínculo visitado" xfId="1222" builtinId="9" hidden="1"/>
    <cellStyle name="Hipervínculo visitado" xfId="1224" builtinId="9" hidden="1"/>
    <cellStyle name="Hipervínculo visitado" xfId="1226" builtinId="9" hidden="1"/>
    <cellStyle name="Hipervínculo visitado" xfId="1228"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0" builtinId="9" hidden="1"/>
    <cellStyle name="Hipervínculo visitado" xfId="1252" builtinId="9" hidden="1"/>
    <cellStyle name="Hipervínculo visitado" xfId="1254" builtinId="9" hidden="1"/>
    <cellStyle name="Hipervínculo visitado" xfId="1256" builtinId="9" hidden="1"/>
    <cellStyle name="Hipervínculo visitado" xfId="1258"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Hipervínculo visitado" xfId="1270" builtinId="9" hidden="1"/>
    <cellStyle name="Hipervínculo visitado" xfId="1272" builtinId="9" hidden="1"/>
    <cellStyle name="Hipervínculo visitado" xfId="1274" builtinId="9" hidden="1"/>
    <cellStyle name="Hipervínculo visitado" xfId="1276" builtinId="9" hidden="1"/>
    <cellStyle name="Hipervínculo visitado" xfId="1278" builtinId="9" hidden="1"/>
    <cellStyle name="Hipervínculo visitado" xfId="1280" builtinId="9" hidden="1"/>
    <cellStyle name="Hipervínculo visitado" xfId="1282" builtinId="9" hidden="1"/>
    <cellStyle name="Hipervínculo visitado" xfId="1284" builtinId="9" hidden="1"/>
    <cellStyle name="Hipervínculo visitado" xfId="1286" builtinId="9" hidden="1"/>
    <cellStyle name="Hipervínculo visitado" xfId="1288" builtinId="9" hidden="1"/>
    <cellStyle name="Hipervínculo visitado" xfId="1290" builtinId="9" hidden="1"/>
    <cellStyle name="Hipervínculo visitado" xfId="1292" builtinId="9" hidden="1"/>
    <cellStyle name="Hipervínculo visitado" xfId="1294" builtinId="9" hidden="1"/>
    <cellStyle name="Hipervínculo visitado" xfId="1296" builtinId="9" hidden="1"/>
    <cellStyle name="Hipervínculo visitado" xfId="1298" builtinId="9" hidden="1"/>
    <cellStyle name="Hipervínculo visitado" xfId="1300" builtinId="9" hidden="1"/>
    <cellStyle name="Hipervínculo visitado" xfId="1302" builtinId="9" hidden="1"/>
    <cellStyle name="Hipervínculo visitado" xfId="1304" builtinId="9" hidden="1"/>
    <cellStyle name="Hipervínculo visitado" xfId="1306" builtinId="9" hidden="1"/>
    <cellStyle name="Hipervínculo visitado" xfId="1308" builtinId="9" hidden="1"/>
    <cellStyle name="Hipervínculo visitado" xfId="1310" builtinId="9" hidden="1"/>
    <cellStyle name="Hipervínculo visitado" xfId="1312" builtinId="9" hidden="1"/>
    <cellStyle name="Hipervínculo visitado" xfId="1314" builtinId="9" hidden="1"/>
    <cellStyle name="Hipervínculo visitado" xfId="1316" builtinId="9" hidden="1"/>
    <cellStyle name="Hipervínculo visitado" xfId="1318" builtinId="9" hidden="1"/>
    <cellStyle name="Hipervínculo visitado" xfId="1320" builtinId="9" hidden="1"/>
    <cellStyle name="Hipervínculo visitado" xfId="1322" builtinId="9" hidden="1"/>
    <cellStyle name="Hipervínculo visitado" xfId="1324" builtinId="9" hidden="1"/>
    <cellStyle name="Hipervínculo visitado" xfId="1326" builtinId="9" hidden="1"/>
    <cellStyle name="Hipervínculo visitado" xfId="1328" builtinId="9" hidden="1"/>
    <cellStyle name="Hipervínculo visitado" xfId="1330" builtinId="9" hidden="1"/>
    <cellStyle name="Hipervínculo visitado" xfId="1332" builtinId="9" hidden="1"/>
    <cellStyle name="Hipervínculo visitado" xfId="1334" builtinId="9" hidden="1"/>
    <cellStyle name="Hipervínculo visitado" xfId="1336" builtinId="9" hidden="1"/>
    <cellStyle name="Hipervínculo visitado" xfId="1338" builtinId="9" hidden="1"/>
    <cellStyle name="Hipervínculo visitado" xfId="1340" builtinId="9" hidden="1"/>
    <cellStyle name="Hipervínculo visitado" xfId="1342" builtinId="9" hidden="1"/>
    <cellStyle name="Hipervínculo visitado" xfId="1344" builtinId="9" hidden="1"/>
    <cellStyle name="Hipervínculo visitado" xfId="1346" builtinId="9" hidden="1"/>
    <cellStyle name="Hipervínculo visitado" xfId="1348" builtinId="9" hidden="1"/>
    <cellStyle name="Hipervínculo visitado" xfId="1350" builtinId="9" hidden="1"/>
    <cellStyle name="Hipervínculo visitado" xfId="1352" builtinId="9" hidden="1"/>
    <cellStyle name="Hipervínculo visitado" xfId="1354" builtinId="9" hidden="1"/>
    <cellStyle name="Hipervínculo visitado" xfId="1356" builtinId="9" hidden="1"/>
    <cellStyle name="Hipervínculo visitado" xfId="1358" builtinId="9" hidden="1"/>
    <cellStyle name="Hipervínculo visitado" xfId="1360" builtinId="9" hidden="1"/>
    <cellStyle name="Hipervínculo visitado" xfId="1362" builtinId="9" hidden="1"/>
    <cellStyle name="Hipervínculo visitado" xfId="1364" builtinId="9" hidden="1"/>
    <cellStyle name="Hipervínculo visitado" xfId="1366" builtinId="9" hidden="1"/>
    <cellStyle name="Hipervínculo visitado" xfId="1368" builtinId="9" hidden="1"/>
    <cellStyle name="Hipervínculo visitado" xfId="1370" builtinId="9" hidden="1"/>
    <cellStyle name="Hipervínculo visitado" xfId="1372" builtinId="9" hidden="1"/>
    <cellStyle name="Hipervínculo visitado" xfId="1374" builtinId="9" hidden="1"/>
    <cellStyle name="Hipervínculo visitado" xfId="1376" builtinId="9" hidden="1"/>
    <cellStyle name="Hipervínculo visitado" xfId="1378" builtinId="9" hidden="1"/>
    <cellStyle name="Hipervínculo visitado" xfId="1380" builtinId="9" hidden="1"/>
    <cellStyle name="Hipervínculo visitado" xfId="1382" builtinId="9" hidden="1"/>
    <cellStyle name="Hipervínculo visitado" xfId="1384" builtinId="9" hidden="1"/>
    <cellStyle name="Hipervínculo visitado" xfId="1386" builtinId="9" hidden="1"/>
    <cellStyle name="Hipervínculo visitado" xfId="1388" builtinId="9" hidden="1"/>
    <cellStyle name="Hipervínculo visitado" xfId="1390" builtinId="9" hidden="1"/>
    <cellStyle name="Hipervínculo visitado" xfId="1392" builtinId="9" hidden="1"/>
    <cellStyle name="Hipervínculo visitado" xfId="1394" builtinId="9" hidden="1"/>
    <cellStyle name="Hipervínculo visitado" xfId="1396" builtinId="9" hidden="1"/>
    <cellStyle name="Hipervínculo visitado" xfId="1398" builtinId="9" hidden="1"/>
    <cellStyle name="Hipervínculo visitado" xfId="1400" builtinId="9" hidden="1"/>
    <cellStyle name="Hipervínculo visitado" xfId="1402" builtinId="9" hidden="1"/>
    <cellStyle name="Hipervínculo visitado" xfId="1404" builtinId="9" hidden="1"/>
    <cellStyle name="Hipervínculo visitado" xfId="1406" builtinId="9" hidden="1"/>
    <cellStyle name="Hipervínculo visitado" xfId="1408" builtinId="9" hidden="1"/>
    <cellStyle name="Hipervínculo visitado" xfId="1410" builtinId="9" hidden="1"/>
    <cellStyle name="Hipervínculo visitado" xfId="1412" builtinId="9" hidden="1"/>
    <cellStyle name="Hipervínculo visitado" xfId="1413" builtinId="9" hidden="1"/>
    <cellStyle name="Hipervínculo visitado" xfId="1414" builtinId="9" hidden="1"/>
    <cellStyle name="Hipervínculo visitado" xfId="1415" builtinId="9" hidden="1"/>
    <cellStyle name="Hipervínculo visitado" xfId="1416" builtinId="9" hidden="1"/>
    <cellStyle name="Hipervínculo visitado" xfId="1417" builtinId="9" hidden="1"/>
    <cellStyle name="Hipervínculo visitado" xfId="1418" builtinId="9" hidden="1"/>
    <cellStyle name="Hipervínculo visitado" xfId="1419" builtinId="9" hidden="1"/>
    <cellStyle name="Hipervínculo visitado" xfId="1420" builtinId="9" hidden="1"/>
    <cellStyle name="Hipervínculo visitado" xfId="1421" builtinId="9" hidden="1"/>
    <cellStyle name="Hipervínculo visitado" xfId="1422" builtinId="9" hidden="1"/>
    <cellStyle name="Hipervínculo visitado" xfId="1423" builtinId="9" hidden="1"/>
    <cellStyle name="Hipervínculo visitado" xfId="1424" builtinId="9" hidden="1"/>
    <cellStyle name="Hipervínculo visitado" xfId="1425" builtinId="9" hidden="1"/>
    <cellStyle name="Hipervínculo visitado" xfId="1426" builtinId="9" hidden="1"/>
    <cellStyle name="Hipervínculo visitado" xfId="1427" builtinId="9" hidden="1"/>
    <cellStyle name="Hipervínculo visitado" xfId="1428" builtinId="9" hidden="1"/>
    <cellStyle name="Hipervínculo visitado" xfId="1429" builtinId="9" hidden="1"/>
    <cellStyle name="Hipervínculo visitado" xfId="1430" builtinId="9" hidden="1"/>
    <cellStyle name="Hipervínculo visitado" xfId="1431" builtinId="9" hidden="1"/>
    <cellStyle name="Hipervínculo visitado" xfId="1432" builtinId="9" hidden="1"/>
    <cellStyle name="Hipervínculo visitado" xfId="1433" builtinId="9" hidden="1"/>
    <cellStyle name="Hipervínculo visitado" xfId="1434" builtinId="9" hidden="1"/>
    <cellStyle name="Hipervínculo visitado" xfId="1435" builtinId="9" hidden="1"/>
    <cellStyle name="Hipervínculo visitado" xfId="1436" builtinId="9" hidden="1"/>
    <cellStyle name="Hipervínculo visitado" xfId="1437" builtinId="9" hidden="1"/>
    <cellStyle name="Hipervínculo visitado" xfId="1438" builtinId="9" hidden="1"/>
    <cellStyle name="Hipervínculo visitado" xfId="1439" builtinId="9" hidden="1"/>
    <cellStyle name="Hipervínculo visitado" xfId="1440" builtinId="9" hidden="1"/>
    <cellStyle name="Hipervínculo visitado" xfId="1441" builtinId="9" hidden="1"/>
    <cellStyle name="Hipervínculo visitado" xfId="1442" builtinId="9" hidden="1"/>
    <cellStyle name="Hipervínculo visitado" xfId="1443" builtinId="9" hidden="1"/>
    <cellStyle name="Hipervínculo visitado" xfId="1444" builtinId="9" hidden="1"/>
    <cellStyle name="Hipervínculo visitado" xfId="1445" builtinId="9" hidden="1"/>
    <cellStyle name="Hipervínculo visitado" xfId="1446" builtinId="9" hidden="1"/>
    <cellStyle name="Hipervínculo visitado" xfId="1447" builtinId="9" hidden="1"/>
    <cellStyle name="Hipervínculo visitado" xfId="1448" builtinId="9" hidden="1"/>
    <cellStyle name="Hipervínculo visitado" xfId="1449" builtinId="9" hidden="1"/>
    <cellStyle name="Hipervínculo visitado" xfId="1450" builtinId="9" hidden="1"/>
    <cellStyle name="Hipervínculo visitado" xfId="1451" builtinId="9" hidden="1"/>
    <cellStyle name="Hipervínculo visitado" xfId="1452" builtinId="9" hidden="1"/>
    <cellStyle name="Hipervínculo visitado" xfId="1453" builtinId="9" hidden="1"/>
    <cellStyle name="Hipervínculo visitado" xfId="1454" builtinId="9" hidden="1"/>
    <cellStyle name="Hipervínculo visitado" xfId="1455" builtinId="9" hidden="1"/>
    <cellStyle name="Hipervínculo visitado" xfId="1456" builtinId="9" hidden="1"/>
    <cellStyle name="Hipervínculo visitado" xfId="1457" builtinId="9" hidden="1"/>
    <cellStyle name="Hipervínculo visitado" xfId="1458" builtinId="9" hidden="1"/>
    <cellStyle name="Hipervínculo visitado" xfId="1459" builtinId="9" hidden="1"/>
    <cellStyle name="Hipervínculo visitado" xfId="1460" builtinId="9" hidden="1"/>
    <cellStyle name="Hipervínculo visitado" xfId="1461" builtinId="9" hidden="1"/>
    <cellStyle name="Hipervínculo visitado" xfId="1462" builtinId="9" hidden="1"/>
    <cellStyle name="Hipervínculo visitado" xfId="1463" builtinId="9" hidden="1"/>
    <cellStyle name="Hipervínculo visitado" xfId="1464" builtinId="9" hidden="1"/>
    <cellStyle name="Hipervínculo visitado" xfId="1465" builtinId="9" hidden="1"/>
    <cellStyle name="Hipervínculo visitado" xfId="1466" builtinId="9" hidden="1"/>
    <cellStyle name="Hipervínculo visitado" xfId="1467" builtinId="9" hidden="1"/>
    <cellStyle name="Hipervínculo visitado" xfId="1468" builtinId="9" hidden="1"/>
    <cellStyle name="Hipervínculo visitado" xfId="1469" builtinId="9" hidden="1"/>
    <cellStyle name="Hipervínculo visitado" xfId="1470" builtinId="9" hidden="1"/>
    <cellStyle name="Hipervínculo visitado" xfId="1471" builtinId="9" hidden="1"/>
    <cellStyle name="Hipervínculo visitado" xfId="1472" builtinId="9" hidden="1"/>
    <cellStyle name="Hipervínculo visitado" xfId="1473" builtinId="9" hidden="1"/>
    <cellStyle name="Hipervínculo visitado" xfId="1474" builtinId="9" hidden="1"/>
    <cellStyle name="Hipervínculo visitado" xfId="1475" builtinId="9" hidden="1"/>
    <cellStyle name="Hipervínculo visitado" xfId="1476" builtinId="9" hidden="1"/>
    <cellStyle name="Hipervínculo visitado" xfId="1477" builtinId="9" hidden="1"/>
    <cellStyle name="Hipervínculo visitado" xfId="1478" builtinId="9" hidden="1"/>
    <cellStyle name="Hipervínculo visitado" xfId="1479" builtinId="9" hidden="1"/>
    <cellStyle name="Hipervínculo visitado" xfId="1480" builtinId="9" hidden="1"/>
    <cellStyle name="Hipervínculo visitado" xfId="1481" builtinId="9" hidden="1"/>
    <cellStyle name="Hipervínculo visitado" xfId="1482" builtinId="9" hidden="1"/>
    <cellStyle name="Hipervínculo visitado" xfId="1483" builtinId="9" hidden="1"/>
    <cellStyle name="Hipervínculo visitado" xfId="1484" builtinId="9" hidden="1"/>
    <cellStyle name="Hipervínculo visitado" xfId="1485" builtinId="9" hidden="1"/>
    <cellStyle name="Hipervínculo visitado" xfId="1486" builtinId="9" hidden="1"/>
    <cellStyle name="Hipervínculo visitado" xfId="1487" builtinId="9" hidden="1"/>
    <cellStyle name="Hipervínculo visitado" xfId="1488" builtinId="9" hidden="1"/>
    <cellStyle name="Hipervínculo visitado" xfId="1489" builtinId="9" hidden="1"/>
    <cellStyle name="Hipervínculo visitado" xfId="1490" builtinId="9" hidden="1"/>
    <cellStyle name="Hipervínculo visitado" xfId="1491" builtinId="9" hidden="1"/>
    <cellStyle name="Hipervínculo visitado" xfId="1492" builtinId="9" hidden="1"/>
    <cellStyle name="Hipervínculo visitado" xfId="1493" builtinId="9" hidden="1"/>
    <cellStyle name="Hipervínculo visitado" xfId="1494" builtinId="9" hidden="1"/>
    <cellStyle name="Hipervínculo visitado" xfId="1495" builtinId="9" hidden="1"/>
    <cellStyle name="Hipervínculo visitado" xfId="1496" builtinId="9" hidden="1"/>
    <cellStyle name="Hipervínculo visitado" xfId="1497" builtinId="9" hidden="1"/>
    <cellStyle name="Hipervínculo visitado" xfId="1498" builtinId="9" hidden="1"/>
    <cellStyle name="Hipervínculo visitado" xfId="1499" builtinId="9" hidden="1"/>
    <cellStyle name="Hipervínculo visitado" xfId="1500" builtinId="9" hidden="1"/>
    <cellStyle name="Hipervínculo visitado" xfId="1501" builtinId="9" hidden="1"/>
    <cellStyle name="Hipervínculo visitado" xfId="1502" builtinId="9" hidden="1"/>
    <cellStyle name="Hipervínculo visitado" xfId="1503" builtinId="9" hidden="1"/>
    <cellStyle name="Hipervínculo visitado" xfId="1504" builtinId="9" hidden="1"/>
    <cellStyle name="Hipervínculo visitado" xfId="1505" builtinId="9" hidden="1"/>
    <cellStyle name="Hipervínculo visitado" xfId="1506" builtinId="9" hidden="1"/>
    <cellStyle name="Hipervínculo visitado" xfId="1507" builtinId="9" hidden="1"/>
    <cellStyle name="Hipervínculo visitado" xfId="1508" builtinId="9" hidden="1"/>
    <cellStyle name="Hipervínculo visitado" xfId="1509" builtinId="9" hidden="1"/>
    <cellStyle name="Hipervínculo visitado" xfId="1510" builtinId="9" hidden="1"/>
    <cellStyle name="Hipervínculo visitado" xfId="1511" builtinId="9" hidden="1"/>
    <cellStyle name="Hipervínculo visitado" xfId="1512" builtinId="9" hidden="1"/>
    <cellStyle name="Hipervínculo visitado" xfId="1513" builtinId="9" hidden="1"/>
    <cellStyle name="Hipervínculo visitado" xfId="1514" builtinId="9" hidden="1"/>
    <cellStyle name="Hipervínculo visitado" xfId="1515" builtinId="9" hidden="1"/>
    <cellStyle name="Hipervínculo visitado" xfId="1516" builtinId="9" hidden="1"/>
    <cellStyle name="Hipervínculo visitado" xfId="1517" builtinId="9" hidden="1"/>
    <cellStyle name="Hipervínculo visitado" xfId="1518" builtinId="9" hidden="1"/>
    <cellStyle name="Hipervínculo visitado" xfId="1519" builtinId="9" hidden="1"/>
    <cellStyle name="Hipervínculo visitado" xfId="1520" builtinId="9" hidden="1"/>
    <cellStyle name="Hipervínculo visitado" xfId="1521" builtinId="9" hidden="1"/>
    <cellStyle name="Hipervínculo visitado" xfId="1522" builtinId="9" hidden="1"/>
    <cellStyle name="Hipervínculo visitado" xfId="1523" builtinId="9" hidden="1"/>
    <cellStyle name="Hipervínculo visitado" xfId="1524" builtinId="9" hidden="1"/>
    <cellStyle name="Hipervínculo visitado" xfId="1525" builtinId="9" hidden="1"/>
    <cellStyle name="Hipervínculo visitado" xfId="1526" builtinId="9" hidden="1"/>
    <cellStyle name="Hipervínculo visitado" xfId="1527" builtinId="9" hidden="1"/>
    <cellStyle name="Hipervínculo visitado" xfId="1528" builtinId="9" hidden="1"/>
    <cellStyle name="Hipervínculo visitado" xfId="1529" builtinId="9" hidden="1"/>
    <cellStyle name="Hipervínculo visitado" xfId="1530" builtinId="9" hidden="1"/>
    <cellStyle name="Hipervínculo visitado" xfId="1531" builtinId="9" hidden="1"/>
    <cellStyle name="Hipervínculo visitado" xfId="1532" builtinId="9" hidden="1"/>
    <cellStyle name="Hipervínculo visitado" xfId="1533" builtinId="9" hidden="1"/>
    <cellStyle name="Hipervínculo visitado" xfId="1534" builtinId="9" hidden="1"/>
    <cellStyle name="Hipervínculo visitado" xfId="1535" builtinId="9" hidden="1"/>
    <cellStyle name="Hipervínculo visitado" xfId="1537" builtinId="9" hidden="1"/>
    <cellStyle name="Hipervínculo visitado" xfId="1539" builtinId="9" hidden="1"/>
    <cellStyle name="Hipervínculo visitado" xfId="1541" builtinId="9" hidden="1"/>
    <cellStyle name="Hipervínculo visitado" xfId="1543" builtinId="9" hidden="1"/>
    <cellStyle name="Hipervínculo visitado" xfId="1545" builtinId="9" hidden="1"/>
    <cellStyle name="Hipervínculo visitado" xfId="1547" builtinId="9" hidden="1"/>
    <cellStyle name="Hipervínculo visitado" xfId="1549" builtinId="9" hidden="1"/>
    <cellStyle name="Hipervínculo visitado" xfId="1551" builtinId="9" hidden="1"/>
    <cellStyle name="Hipervínculo visitado" xfId="1553" builtinId="9" hidden="1"/>
    <cellStyle name="Hipervínculo visitado" xfId="1555" builtinId="9" hidden="1"/>
    <cellStyle name="Hipervínculo visitado" xfId="1557" builtinId="9" hidden="1"/>
    <cellStyle name="Hipervínculo visitado" xfId="1559" builtinId="9" hidden="1"/>
    <cellStyle name="Hipervínculo visitado" xfId="1561" builtinId="9" hidden="1"/>
    <cellStyle name="Hipervínculo visitado" xfId="1563" builtinId="9" hidden="1"/>
    <cellStyle name="Hipervínculo visitado" xfId="1565" builtinId="9" hidden="1"/>
    <cellStyle name="Hipervínculo visitado" xfId="1567" builtinId="9" hidden="1"/>
    <cellStyle name="Hipervínculo visitado" xfId="1569" builtinId="9" hidden="1"/>
    <cellStyle name="Hipervínculo visitado" xfId="1571" builtinId="9" hidden="1"/>
    <cellStyle name="Hipervínculo visitado" xfId="1573" builtinId="9" hidden="1"/>
    <cellStyle name="Hipervínculo visitado" xfId="1575" builtinId="9" hidden="1"/>
    <cellStyle name="Hipervínculo visitado" xfId="1577" builtinId="9" hidden="1"/>
    <cellStyle name="Hipervínculo visitado" xfId="1579" builtinId="9" hidden="1"/>
    <cellStyle name="Hipervínculo visitado" xfId="1581" builtinId="9" hidden="1"/>
    <cellStyle name="Hipervínculo visitado" xfId="1583" builtinId="9" hidden="1"/>
    <cellStyle name="Hipervínculo visitado" xfId="1585" builtinId="9" hidden="1"/>
    <cellStyle name="Hipervínculo visitado" xfId="1587" builtinId="9" hidden="1"/>
    <cellStyle name="Hipervínculo visitado" xfId="1589" builtinId="9" hidden="1"/>
    <cellStyle name="Hipervínculo visitado" xfId="1591" builtinId="9" hidden="1"/>
    <cellStyle name="Hipervínculo visitado" xfId="1593" builtinId="9" hidden="1"/>
    <cellStyle name="Hipervínculo visitado" xfId="1595" builtinId="9" hidden="1"/>
    <cellStyle name="Hipervínculo visitado" xfId="1597" builtinId="9" hidden="1"/>
    <cellStyle name="Hipervínculo visitado" xfId="1599" builtinId="9" hidden="1"/>
    <cellStyle name="Hipervínculo visitado" xfId="1601" builtinId="9" hidden="1"/>
    <cellStyle name="Hipervínculo visitado" xfId="1603" builtinId="9" hidden="1"/>
    <cellStyle name="Hipervínculo visitado" xfId="1605" builtinId="9" hidden="1"/>
    <cellStyle name="Hipervínculo visitado" xfId="1607" builtinId="9" hidden="1"/>
    <cellStyle name="Hipervínculo visitado" xfId="1609" builtinId="9" hidden="1"/>
    <cellStyle name="Hipervínculo visitado" xfId="1611" builtinId="9" hidden="1"/>
    <cellStyle name="Hipervínculo visitado" xfId="1613" builtinId="9" hidden="1"/>
    <cellStyle name="Hipervínculo visitado" xfId="1615" builtinId="9" hidden="1"/>
    <cellStyle name="Hipervínculo visitado" xfId="1617" builtinId="9" hidden="1"/>
    <cellStyle name="Hipervínculo visitado" xfId="1619" builtinId="9" hidden="1"/>
    <cellStyle name="Hipervínculo visitado" xfId="1621" builtinId="9" hidden="1"/>
    <cellStyle name="Hipervínculo visitado" xfId="1623" builtinId="9" hidden="1"/>
    <cellStyle name="Hipervínculo visitado" xfId="1625" builtinId="9" hidden="1"/>
    <cellStyle name="Hipervínculo visitado" xfId="1627" builtinId="9" hidden="1"/>
    <cellStyle name="Hipervínculo visitado" xfId="1629" builtinId="9" hidden="1"/>
    <cellStyle name="Hipervínculo visitado" xfId="1631" builtinId="9" hidden="1"/>
    <cellStyle name="Hipervínculo visitado" xfId="1633" builtinId="9" hidden="1"/>
    <cellStyle name="Hipervínculo visitado" xfId="1635" builtinId="9" hidden="1"/>
    <cellStyle name="Hipervínculo visitado" xfId="1637" builtinId="9" hidden="1"/>
    <cellStyle name="Hipervínculo visitado" xfId="1639" builtinId="9" hidden="1"/>
    <cellStyle name="Hipervínculo visitado" xfId="1641" builtinId="9" hidden="1"/>
    <cellStyle name="Hipervínculo visitado" xfId="1643" builtinId="9" hidden="1"/>
    <cellStyle name="Hipervínculo visitado" xfId="1645" builtinId="9" hidden="1"/>
    <cellStyle name="Hipervínculo visitado" xfId="1647" builtinId="9" hidden="1"/>
    <cellStyle name="Hipervínculo visitado" xfId="1649" builtinId="9" hidden="1"/>
    <cellStyle name="Hipervínculo visitado" xfId="1651" builtinId="9" hidden="1"/>
    <cellStyle name="Hipervínculo visitado" xfId="1653" builtinId="9" hidden="1"/>
    <cellStyle name="Hipervínculo visitado" xfId="1655" builtinId="9" hidden="1"/>
    <cellStyle name="Hipervínculo visitado" xfId="1657" builtinId="9" hidden="1"/>
    <cellStyle name="Hipervínculo visitado" xfId="1659" builtinId="9" hidden="1"/>
    <cellStyle name="Hipervínculo visitado" xfId="1661" builtinId="9" hidden="1"/>
    <cellStyle name="Hipervínculo visitado" xfId="1663" builtinId="9" hidden="1"/>
    <cellStyle name="Hipervínculo visitado" xfId="1665" builtinId="9" hidden="1"/>
    <cellStyle name="Hipervínculo visitado" xfId="1667" builtinId="9" hidden="1"/>
    <cellStyle name="Hipervínculo visitado" xfId="1669" builtinId="9" hidden="1"/>
    <cellStyle name="Hipervínculo visitado" xfId="1671" builtinId="9" hidden="1"/>
    <cellStyle name="Hipervínculo visitado" xfId="1673" builtinId="9" hidden="1"/>
    <cellStyle name="Hipervínculo visitado" xfId="1675" builtinId="9" hidden="1"/>
    <cellStyle name="Hipervínculo visitado" xfId="1677" builtinId="9" hidden="1"/>
    <cellStyle name="Hipervínculo visitado" xfId="1679" builtinId="9" hidden="1"/>
    <cellStyle name="Hipervínculo visitado" xfId="1681" builtinId="9" hidden="1"/>
    <cellStyle name="Hipervínculo visitado" xfId="1683" builtinId="9" hidden="1"/>
    <cellStyle name="Hipervínculo visitado" xfId="1685" builtinId="9" hidden="1"/>
    <cellStyle name="KPT04" xfId="1686" xr:uid="{00000000-0005-0000-0000-000093060000}"/>
    <cellStyle name="Millares [0]" xfId="1" builtinId="6"/>
    <cellStyle name="Moneda" xfId="1687" builtinId="4"/>
    <cellStyle name="Moneda [0]" xfId="2" builtinId="7"/>
    <cellStyle name="Normal" xfId="0" builtinId="0"/>
    <cellStyle name="Normal 2" xfId="1689" xr:uid="{328CA371-746D-40EB-B900-4D2F9D3BA989}"/>
  </cellStyles>
  <dxfs count="186">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center" vertical="center" textRotation="0" wrapText="1" indent="0" justifyLastLine="0" shrinkToFit="0" readingOrder="0"/>
      <border diagonalUp="0" diagonalDown="0">
        <left/>
        <right/>
        <top style="medium">
          <color rgb="FFCCCCCC"/>
        </top>
        <bottom style="medium">
          <color rgb="FF000000"/>
        </bottom>
        <vertical/>
        <horizontal/>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center" vertical="center" textRotation="0" wrapText="1" indent="0" justifyLastLine="0" shrinkToFit="0" readingOrder="0"/>
    </dxf>
    <dxf>
      <border outline="0">
        <bottom style="medium">
          <color rgb="FFCCCCCC"/>
        </bottom>
      </border>
    </dxf>
    <dxf>
      <font>
        <b/>
        <i val="0"/>
        <strike val="0"/>
        <condense val="0"/>
        <extend val="0"/>
        <outline val="0"/>
        <shadow val="0"/>
        <u val="none"/>
        <vertAlign val="baseline"/>
        <sz val="10"/>
        <color theme="1"/>
        <name val="Century Gothic"/>
        <family val="2"/>
        <scheme val="none"/>
      </font>
      <fill>
        <patternFill patternType="solid">
          <fgColor indexed="64"/>
          <bgColor rgb="FF4472C4"/>
        </patternFill>
      </fill>
      <alignment horizontal="general" vertical="center" textRotation="0" wrapText="1" indent="0" justifyLastLine="0" shrinkToFit="0" readingOrder="0"/>
    </dxf>
    <dxf>
      <border outline="0">
        <top style="medium">
          <color rgb="FFCCCCCC"/>
        </top>
      </border>
    </dxf>
    <dxf>
      <border outline="0">
        <left style="medium">
          <color rgb="FFCCCCCC"/>
        </left>
        <right style="medium">
          <color rgb="FFCCCCCC"/>
        </right>
        <top style="medium">
          <color rgb="FFCCCCCC"/>
        </top>
        <bottom style="medium">
          <color rgb="FFCCCCCC"/>
        </bottom>
      </border>
    </dxf>
    <dxf>
      <border outline="0">
        <bottom style="medium">
          <color rgb="FF000000"/>
        </bottom>
      </border>
    </dxf>
    <dxf>
      <font>
        <b/>
        <i val="0"/>
        <strike val="0"/>
        <condense val="0"/>
        <extend val="0"/>
        <outline val="0"/>
        <shadow val="0"/>
        <u val="none"/>
        <vertAlign val="baseline"/>
        <sz val="10"/>
        <color theme="1"/>
        <name val="Century Gothic"/>
        <family val="2"/>
        <scheme val="none"/>
      </font>
      <fill>
        <patternFill patternType="solid">
          <fgColor indexed="64"/>
          <bgColor rgb="FF4472C4"/>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center" vertical="center" textRotation="0" wrapText="1" indent="0" justifyLastLine="0" shrinkToFit="0" readingOrder="0"/>
      <border diagonalUp="0" diagonalDown="0">
        <left/>
        <right/>
        <top style="medium">
          <color rgb="FFCCCCCC"/>
        </top>
        <bottom style="medium">
          <color rgb="FF000000"/>
        </bottom>
        <vertical/>
        <horizontal/>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center"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0"/>
        <color theme="1"/>
        <name val="Century Gothic"/>
        <family val="2"/>
        <scheme val="none"/>
      </font>
      <fill>
        <patternFill patternType="solid">
          <fgColor indexed="64"/>
          <bgColor rgb="FF4472C4"/>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general" vertical="center" textRotation="0" wrapText="1" indent="0" justifyLastLine="0" shrinkToFit="0" readingOrder="0"/>
      <border diagonalUp="0" diagonalDown="0">
        <left/>
        <right/>
        <top style="medium">
          <color rgb="FFCCCCCC"/>
        </top>
        <bottom style="medium">
          <color rgb="FFCCCCCC"/>
        </bottom>
        <vertical/>
        <horizontal/>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general" vertical="center" textRotation="0" wrapText="1" indent="0" justifyLastLine="0" shrinkToFit="0" readingOrder="0"/>
    </dxf>
    <dxf>
      <border outline="0">
        <bottom style="medium">
          <color rgb="FFCCCCCC"/>
        </bottom>
      </border>
    </dxf>
    <dxf>
      <font>
        <b/>
        <i val="0"/>
        <strike val="0"/>
        <condense val="0"/>
        <extend val="0"/>
        <outline val="0"/>
        <shadow val="0"/>
        <u val="none"/>
        <vertAlign val="baseline"/>
        <sz val="10"/>
        <color theme="1"/>
        <name val="Century Gothic"/>
        <family val="2"/>
        <scheme val="none"/>
      </font>
      <fill>
        <patternFill patternType="solid">
          <fgColor indexed="64"/>
          <bgColor rgb="FF4472C4"/>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general" vertical="center" textRotation="0" wrapText="1" indent="0" justifyLastLine="0" shrinkToFit="0" readingOrder="0"/>
      <border diagonalUp="0" diagonalDown="0">
        <left/>
        <right/>
        <top style="medium">
          <color rgb="FFCCCCCC"/>
        </top>
        <bottom style="medium">
          <color rgb="FF000000"/>
        </bottom>
        <vertical/>
        <horizontal/>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general"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0"/>
        <color theme="1"/>
        <name val="Century Gothic"/>
        <family val="2"/>
        <scheme val="none"/>
      </font>
      <fill>
        <patternFill patternType="solid">
          <fgColor indexed="64"/>
          <bgColor rgb="FF4472C4"/>
        </patternFill>
      </fill>
      <alignment horizontal="general" vertical="center" textRotation="0" wrapText="1" indent="0" justifyLastLine="0" shrinkToFit="0" readingOrder="0"/>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general" vertical="center" textRotation="0" wrapText="1" indent="0" justifyLastLine="0" shrinkToFit="0" readingOrder="0"/>
      <border diagonalUp="0" diagonalDown="0">
        <left/>
        <right/>
        <top style="medium">
          <color rgb="FFCCCCCC"/>
        </top>
        <bottom style="medium">
          <color rgb="FF000000"/>
        </bottom>
        <vertical/>
        <horizontal/>
      </border>
    </dxf>
    <dxf>
      <border outline="0">
        <top style="medium">
          <color rgb="FFCCCCCC"/>
        </top>
      </border>
    </dxf>
    <dxf>
      <border outline="0">
        <left style="medium">
          <color rgb="FF000000"/>
        </left>
        <right style="medium">
          <color rgb="FFCCCCCC"/>
        </right>
        <top style="medium">
          <color rgb="FFCCCCCC"/>
        </top>
        <bottom style="medium">
          <color rgb="FFCCCCCC"/>
        </bottom>
      </border>
    </dxf>
    <dxf>
      <font>
        <b/>
        <i val="0"/>
        <strike val="0"/>
        <condense val="0"/>
        <extend val="0"/>
        <outline val="0"/>
        <shadow val="0"/>
        <u val="none"/>
        <vertAlign val="baseline"/>
        <sz val="10"/>
        <color theme="1"/>
        <name val="Century Gothic"/>
        <family val="2"/>
        <scheme val="none"/>
      </font>
      <fill>
        <patternFill patternType="solid">
          <fgColor indexed="64"/>
          <bgColor rgb="FFD9E2F3"/>
        </patternFill>
      </fill>
      <alignment horizontal="general"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0"/>
        <color rgb="FFFFFFFF"/>
        <name val="Century Gothic"/>
        <family val="2"/>
        <scheme val="none"/>
      </font>
      <fill>
        <patternFill patternType="solid">
          <fgColor indexed="64"/>
          <bgColor rgb="FF4472C4"/>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font>
        <b val="0"/>
        <i val="0"/>
        <strike val="0"/>
        <condense val="0"/>
        <extend val="0"/>
        <outline val="0"/>
        <shadow val="0"/>
        <u val="none"/>
        <vertAlign val="baseline"/>
        <sz val="9"/>
        <color auto="1"/>
        <name val="Arial Narrow"/>
        <family val="2"/>
        <scheme val="none"/>
      </font>
      <numFmt numFmtId="173" formatCode="_-&quot;$&quot;\ * #,##0_-;\-&quot;$&quot;\ * #,##0_-;_-&quot;$&quot;\ * &quot;-&quot;??_-;_-@_-"/>
      <alignment horizontal="general" vertical="bottom" textRotation="0" wrapText="1" indent="0" justifyLastLine="0" shrinkToFit="0" readingOrder="0"/>
    </dxf>
    <dxf>
      <numFmt numFmtId="173" formatCode="_-&quot;$&quot;\ * #,##0_-;\-&quot;$&quot;\ * #,##0_-;_-&quot;$&quot;\ * &quot;-&quot;??_-;_-@_-"/>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2" tint="-9.9978637043366805E-2"/>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8" tint="0.5999938962981048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2" tint="-9.9978637043366805E-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8" tint="0.5999938962981048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2" tint="-9.9978637043366805E-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8" tint="0.5999938962981048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39997558519241921"/>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8" tint="0.5999938962981048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Narrow"/>
        <family val="2"/>
        <scheme val="none"/>
      </font>
      <numFmt numFmtId="173" formatCode="_-&quot;$&quot;\ * #,##0_-;\-&quot;$&quot;\ * #,##0_-;_-&quot;$&quot;\ * &quot;-&quot;??_-;_-@_-"/>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74" formatCode="_-* #,##0_-;\-* #,##0_-;_-* &quot;-&quot;_-;_-@"/>
      <fill>
        <patternFill patternType="solid">
          <fgColor theme="0"/>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theme="0"/>
          <bgColor theme="9"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theme="0"/>
          <bgColor theme="9" tint="0.79998168889431442"/>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numFmt numFmtId="1" formatCode="0"/>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auto="1"/>
        <name val="Arial Narrow"/>
        <family val="2"/>
        <scheme val="none"/>
      </font>
      <fill>
        <patternFill patternType="solid">
          <fgColor indexed="64"/>
          <bgColor theme="9" tint="0.79998168889431442"/>
        </patternFill>
      </fill>
      <alignment horizontal="left" vertical="center" textRotation="0" wrapText="1" indent="0" justifyLastLine="0" shrinkToFit="0" readingOrder="0"/>
      <border diagonalUp="0" diagonalDown="0">
        <left/>
        <right/>
        <top style="thin">
          <color auto="1"/>
        </top>
        <bottom style="thin">
          <color auto="1"/>
        </bottom>
        <vertical/>
        <horizontal/>
      </border>
    </dxf>
    <dxf>
      <border outline="0">
        <left style="thin">
          <color auto="1"/>
        </left>
      </border>
    </dxf>
    <dxf>
      <font>
        <b val="0"/>
        <i val="0"/>
        <strike val="0"/>
        <condense val="0"/>
        <extend val="0"/>
        <outline val="0"/>
        <shadow val="0"/>
        <u val="none"/>
        <vertAlign val="baseline"/>
        <sz val="9"/>
        <color auto="1"/>
        <name val="Arial Narrow"/>
        <family val="2"/>
        <scheme val="none"/>
      </font>
      <alignment horizontal="general" vertical="bottom" textRotation="0" wrapText="1" indent="0" justifyLastLine="0" shrinkToFit="0" readingOrder="0"/>
    </dxf>
    <dxf>
      <font>
        <b/>
        <i val="0"/>
        <strike val="0"/>
        <condense val="0"/>
        <extend val="0"/>
        <outline val="0"/>
        <shadow val="0"/>
        <u val="none"/>
        <vertAlign val="baseline"/>
        <sz val="9"/>
        <color auto="1"/>
        <name val="Arial Narrow"/>
        <family val="2"/>
        <scheme val="none"/>
      </font>
      <numFmt numFmtId="173" formatCode="_-&quot;$&quot;\ * #,##0_-;\-&quot;$&quot;\ * #,##0_-;_-&quot;$&quot;\ * &quot;-&quot;??_-;_-@_-"/>
      <fill>
        <patternFill patternType="solid">
          <fgColor indexed="64"/>
          <bgColor theme="8"/>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s>
  <tableStyles count="0" defaultTableStyle="TableStyleMedium2" defaultPivotStyle="PivotStyleLight16"/>
  <colors>
    <mruColors>
      <color rgb="FF808080"/>
      <color rgb="FF60497A"/>
      <color rgb="FF494529"/>
      <color rgb="FFF79646"/>
      <color rgb="FF4F6228"/>
      <color rgb="FF2159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Vega" refreshedDate="45436.390353472219" backgroundQuery="1" createdVersion="8" refreshedVersion="8" minRefreshableVersion="3" recordCount="0" supportSubquery="1" supportAdvancedDrill="1" xr:uid="{2F2BE2AB-DBC0-45A0-A062-2916A9594137}">
  <cacheSource type="external" connectionId="1"/>
  <cacheFields count="12">
    <cacheField name="[Measures].[Suma de ICLD 5]" caption="Suma de ICLD 5" numFmtId="0" hierarchy="95" level="32767"/>
    <cacheField name="[Measures].[Suma de ICDE 5]" caption="Suma de ICDE 5" numFmtId="0" hierarchy="97" level="32767"/>
    <cacheField name="[Measures].[Suma de SGP Educación 5]" caption="Suma de SGP Educación 5" numFmtId="0" hierarchy="96" level="32767"/>
    <cacheField name="[Measures].[Suma de SGP Salud 5]" caption="Suma de SGP Salud 5" numFmtId="0" hierarchy="98" level="32767"/>
    <cacheField name="[Measures].[Suma de SGP APSB 5]" caption="Suma de SGP APSB 5" numFmtId="0" hierarchy="99" level="32767"/>
    <cacheField name="[Measures].[Suma de Recursos Propios Entidades Descentralizadas 5]" caption="Suma de Recursos Propios Entidades Descentralizadas 5" numFmtId="0" hierarchy="100" level="32767"/>
    <cacheField name="[Measures].[Suma de Sistema General de Regalías - SGR 5]" caption="Suma de Sistema General de Regalías - SGR 5" numFmtId="0" hierarchy="101" level="32767"/>
    <cacheField name="[Measures].[Suma de Crédito 5]" caption="Suma de Crédito 5" numFmtId="0" hierarchy="102" level="32767"/>
    <cacheField name="[Measures].[Suma de Gestión 5]" caption="Suma de Gestión 5" numFmtId="0" hierarchy="103" level="32767"/>
    <cacheField name="[Measures].[Suma de Cofinanciación 5]" caption="Suma de Cofinanciación 5" numFmtId="0" hierarchy="104" level="32767"/>
    <cacheField name="[Measures].[Suma de Otros Recursos 5]" caption="Suma de Otros Recursos 5" numFmtId="0" hierarchy="105" level="32767"/>
    <cacheField name="[Rango].[SECTORIAL].[SECTORIAL]" caption="SECTORIAL" numFmtId="0" level="1">
      <sharedItems containsSemiMixedTypes="0" containsNonDate="0" containsString="0"/>
    </cacheField>
  </cacheFields>
  <cacheHierarchies count="106">
    <cacheHierarchy uniqueName="[Rango].[SECTORIAL]" caption="SECTORIAL" attribute="1" defaultMemberUniqueName="[Rango].[SECTORIAL].[All]" allUniqueName="[Rango].[SECTORIAL].[All]" dimensionUniqueName="[Rango]" displayFolder="" count="2" memberValueDatatype="130" unbalanced="0">
      <fieldsUsage count="2">
        <fieldUsage x="-1"/>
        <fieldUsage x="11"/>
      </fieldsUsage>
    </cacheHierarchy>
    <cacheHierarchy uniqueName="[Rango].[Codigo Interno]" caption="Codigo Interno" attribute="1" defaultMemberUniqueName="[Rango].[Codigo Interno].[All]" allUniqueName="[Rango].[Codigo Interno].[All]" dimensionUniqueName="[Rango]" displayFolder="" count="0" memberValueDatatype="20" unbalanced="0"/>
    <cacheHierarchy uniqueName="[Rango].[ESTRATEGIA]" caption="ESTRATEGIA" attribute="1" defaultMemberUniqueName="[Rango].[ESTRATEGIA].[All]" allUniqueName="[Rango].[ESTRATEGIA].[All]" dimensionUniqueName="[Rango]" displayFolder="" count="0" memberValueDatatype="130" unbalanced="0"/>
    <cacheHierarchy uniqueName="[Rango].[DIMENSIÓN]" caption="DIMENSIÓN" attribute="1" defaultMemberUniqueName="[Rango].[DIMENSIÓN].[All]" allUniqueName="[Rango].[DIMENSIÓN].[All]" dimensionUniqueName="[Rango]" displayFolder="" count="0" memberValueDatatype="130" unbalanced="0"/>
    <cacheHierarchy uniqueName="[Rango].[No De Apuesta Para El Desarrollo  Territorial]" caption="No De Apuesta Para El Desarrollo  Territorial" attribute="1" defaultMemberUniqueName="[Rango].[No De Apuesta Para El Desarrollo  Territorial].[All]" allUniqueName="[Rango].[No De Apuesta Para El Desarrollo  Territorial].[All]" dimensionUniqueName="[Rango]" displayFolder="" count="0" memberValueDatatype="130" unbalanced="0"/>
    <cacheHierarchy uniqueName="[Rango].[APUESTA PARA EL DESARROLLO TERRITORIAL]" caption="APUESTA PARA EL DESARROLLO TERRITORIAL" attribute="1" defaultMemberUniqueName="[Rango].[APUESTA PARA EL DESARROLLO TERRITORIAL].[All]" allUniqueName="[Rango].[APUESTA PARA EL DESARROLLO TERRITORIAL].[All]" dimensionUniqueName="[Rango]" displayFolder="" count="0" memberValueDatatype="130" unbalanced="0"/>
    <cacheHierarchy uniqueName="[Rango].[OBJETIVO (APD)]" caption="OBJETIVO (APD)" attribute="1" defaultMemberUniqueName="[Rango].[OBJETIVO (APD)].[All]" allUniqueName="[Rango].[OBJETIVO (APD)].[All]" dimensionUniqueName="[Rango]" displayFolder="" count="0" memberValueDatatype="130" unbalanced="0"/>
    <cacheHierarchy uniqueName="[Rango].[SECTOR]" caption="SECTOR" attribute="1" defaultMemberUniqueName="[Rango].[SECTOR].[All]" allUniqueName="[Rango].[SECTOR].[All]" dimensionUniqueName="[Rango]" displayFolder="" count="0" memberValueDatatype="130" unbalanced="0"/>
    <cacheHierarchy uniqueName="[Rango].[PROGRAMA]" caption="PROGRAMA" attribute="1" defaultMemberUniqueName="[Rango].[PROGRAMA].[All]" allUniqueName="[Rango].[PROGRAMA].[All]" dimensionUniqueName="[Rango]" displayFolder="" count="0" memberValueDatatype="130" unbalanced="0"/>
    <cacheHierarchy uniqueName="[Rango].[CÓDIGO]" caption="CÓDIGO" attribute="1" defaultMemberUniqueName="[Rango].[CÓDIGO].[All]" allUniqueName="[Rango].[CÓDIGO].[All]" dimensionUniqueName="[Rango]" displayFolder="" count="0" memberValueDatatype="20" unbalanced="0"/>
    <cacheHierarchy uniqueName="[Rango].[MEDIDO A TRAVÉS DE]" caption="MEDIDO A TRAVÉS DE" attribute="1" defaultMemberUniqueName="[Rango].[MEDIDO A TRAVÉS DE].[All]" allUniqueName="[Rango].[MEDIDO A TRAVÉS DE].[All]" dimensionUniqueName="[Rango]" displayFolder="" count="0" memberValueDatatype="130" unbalanced="0"/>
    <cacheHierarchy uniqueName="[Rango].[INDICADOR]" caption="INDICADOR" attribute="1" defaultMemberUniqueName="[Rango].[INDICADOR].[All]" allUniqueName="[Rango].[INDICADOR].[All]" dimensionUniqueName="[Rango]" displayFolder="" count="0" memberValueDatatype="130" unbalanced="0"/>
    <cacheHierarchy uniqueName="[Rango].[DESCRIPCIÓN]" caption="DESCRIPCIÓN" attribute="1" defaultMemberUniqueName="[Rango].[DESCRIPCIÓN].[All]" allUniqueName="[Rango].[DESCRIPCIÓN].[All]" dimensionUniqueName="[Rango]" displayFolder="" count="0" memberValueDatatype="130" unbalanced="0"/>
    <cacheHierarchy uniqueName="[Rango].[LÍNEA BASE]" caption="LÍNEA BASE" attribute="1" defaultMemberUniqueName="[Rango].[LÍNEA BASE].[All]" allUniqueName="[Rango].[LÍNEA BASE].[All]" dimensionUniqueName="[Rango]" displayFolder="" count="0" memberValueDatatype="130" unbalanced="0"/>
    <cacheHierarchy uniqueName="[Rango].[FUENTE]" caption="FUENTE" attribute="1" defaultMemberUniqueName="[Rango].[FUENTE].[All]" allUniqueName="[Rango].[FUENTE].[All]" dimensionUniqueName="[Rango]" displayFolder="" count="0" memberValueDatatype="130" unbalanced="0"/>
    <cacheHierarchy uniqueName="[Rango].[META]" caption="META" attribute="1" defaultMemberUniqueName="[Rango].[META].[All]" allUniqueName="[Rango].[META].[All]" dimensionUniqueName="[Rango]" displayFolder="" count="0" memberValueDatatype="130" unbalanced="0"/>
    <cacheHierarchy uniqueName="[Rango].[Código indicador de resultado]" caption="Código indicador de resultado" attribute="1" defaultMemberUniqueName="[Rango].[Código indicador de resultado].[All]" allUniqueName="[Rango].[Código indicador de resultado].[All]" dimensionUniqueName="[Rango]" displayFolder="" count="0" memberValueDatatype="130" unbalanced="0"/>
    <cacheHierarchy uniqueName="[Rango].[Nombre indicador de resultado]" caption="Nombre indicador de resultado" attribute="1" defaultMemberUniqueName="[Rango].[Nombre indicador de resultado].[All]" allUniqueName="[Rango].[Nombre indicador de resultado].[All]" dimensionUniqueName="[Rango]" displayFolder="" count="0" memberValueDatatype="130" unbalanced="0"/>
    <cacheHierarchy uniqueName="[Rango].[Unidad de medida]" caption="Unidad de medida" attribute="1" defaultMemberUniqueName="[Rango].[Unidad de medida].[All]" allUniqueName="[Rango].[Unidad de medida].[All]" dimensionUniqueName="[Rango]" displayFolder="" count="0" memberValueDatatype="130" unbalanced="0"/>
    <cacheHierarchy uniqueName="[Rango].[Línea base 2]" caption="Línea base 2" attribute="1" defaultMemberUniqueName="[Rango].[Línea base 2].[All]" allUniqueName="[Rango].[Línea base 2].[All]" dimensionUniqueName="[Rango]" displayFolder="" count="0" memberValueDatatype="130" unbalanced="0"/>
    <cacheHierarchy uniqueName="[Rango].[Fuente/año]" caption="Fuente/año" attribute="1" defaultMemberUniqueName="[Rango].[Fuente/año].[All]" allUniqueName="[Rango].[Fuente/año].[All]" dimensionUniqueName="[Rango]" displayFolder="" count="0" memberValueDatatype="130" unbalanced="0"/>
    <cacheHierarchy uniqueName="[Rango].[Meta 2027]" caption="Meta 2027" attribute="1" defaultMemberUniqueName="[Rango].[Meta 2027].[All]" allUniqueName="[Rango].[Meta 2027].[All]" dimensionUniqueName="[Rango]" displayFolder="" count="0" memberValueDatatype="130" unbalanced="0"/>
    <cacheHierarchy uniqueName="[Rango].[Transformación PND]" caption="Transformación PND" attribute="1" defaultMemberUniqueName="[Rango].[Transformación PND].[All]" allUniqueName="[Rango].[Transformación PND].[All]" dimensionUniqueName="[Rango]" displayFolder="" count="0" memberValueDatatype="130" unbalanced="0"/>
    <cacheHierarchy uniqueName="[Rango].[ODS]" caption="ODS" attribute="1" defaultMemberUniqueName="[Rango].[ODS].[All]" allUniqueName="[Rango].[ODS].[All]" dimensionUniqueName="[Rango]" displayFolder="" count="0" memberValueDatatype="130" unbalanced="0"/>
    <cacheHierarchy uniqueName="[Rango].[Meta ODS]" caption="Meta ODS" attribute="1" defaultMemberUniqueName="[Rango].[Meta ODS].[All]" allUniqueName="[Rango].[Meta ODS].[All]" dimensionUniqueName="[Rango]" displayFolder="" count="0" memberValueDatatype="130" unbalanced="0"/>
    <cacheHierarchy uniqueName="[Rango].[ICLD]" caption="ICLD" attribute="1" defaultMemberUniqueName="[Rango].[ICLD].[All]" allUniqueName="[Rango].[ICLD].[All]" dimensionUniqueName="[Rango]" displayFolder="" count="0" memberValueDatatype="5" unbalanced="0"/>
    <cacheHierarchy uniqueName="[Rango].[ICDE]" caption="ICDE" attribute="1" defaultMemberUniqueName="[Rango].[ICDE].[All]" allUniqueName="[Rango].[ICDE].[All]" dimensionUniqueName="[Rango]" displayFolder="" count="0" memberValueDatatype="5" unbalanced="0"/>
    <cacheHierarchy uniqueName="[Rango].[SGP Educación]" caption="SGP Educación" attribute="1" defaultMemberUniqueName="[Rango].[SGP Educación].[All]" allUniqueName="[Rango].[SGP Educación].[All]" dimensionUniqueName="[Rango]" displayFolder="" count="0" memberValueDatatype="5" unbalanced="0"/>
    <cacheHierarchy uniqueName="[Rango].[SGP Salud]" caption="SGP Salud" attribute="1" defaultMemberUniqueName="[Rango].[SGP Salud].[All]" allUniqueName="[Rango].[SGP Salud].[All]" dimensionUniqueName="[Rango]" displayFolder="" count="0" memberValueDatatype="5" unbalanced="0"/>
    <cacheHierarchy uniqueName="[Rango].[SGP APSB]" caption="SGP APSB" attribute="1" defaultMemberUniqueName="[Rango].[SGP APSB].[All]" allUniqueName="[Rango].[SGP APSB].[All]" dimensionUniqueName="[Rango]" displayFolder="" count="0" memberValueDatatype="5" unbalanced="0"/>
    <cacheHierarchy uniqueName="[Rango].[Recursos Propios Entidades Descentralizadas]" caption="Recursos Propios Entidades Descentralizadas" attribute="1" defaultMemberUniqueName="[Rango].[Recursos Propios Entidades Descentralizadas].[All]" allUniqueName="[Rango].[Recursos Propios Entidades Descentralizadas].[All]" dimensionUniqueName="[Rango]" displayFolder="" count="0" memberValueDatatype="5" unbalanced="0"/>
    <cacheHierarchy uniqueName="[Rango].[Sistema General de Regalías - SGR]" caption="Sistema General de Regalías - SGR" attribute="1" defaultMemberUniqueName="[Rango].[Sistema General de Regalías - SGR].[All]" allUniqueName="[Rango].[Sistema General de Regalías - SGR].[All]" dimensionUniqueName="[Rango]" displayFolder="" count="0" memberValueDatatype="5" unbalanced="0"/>
    <cacheHierarchy uniqueName="[Rango].[Crédito]" caption="Crédito" attribute="1" defaultMemberUniqueName="[Rango].[Crédito].[All]" allUniqueName="[Rango].[Crédito].[All]" dimensionUniqueName="[Rango]" displayFolder="" count="0" memberValueDatatype="5" unbalanced="0"/>
    <cacheHierarchy uniqueName="[Rango].[Total]" caption="Total" attribute="1" defaultMemberUniqueName="[Rango].[Total].[All]" allUniqueName="[Rango].[Total].[All]" dimensionUniqueName="[Rango]" displayFolder="" count="0" memberValueDatatype="5" unbalanced="0"/>
    <cacheHierarchy uniqueName="[Rango].[Gestión]" caption="Gestión" attribute="1" defaultMemberUniqueName="[Rango].[Gestión].[All]" allUniqueName="[Rango].[Gestión].[All]" dimensionUniqueName="[Rango]" displayFolder="" count="0" memberValueDatatype="5" unbalanced="0"/>
    <cacheHierarchy uniqueName="[Rango].[Cofinanciación]" caption="Cofinanciación" attribute="1" defaultMemberUniqueName="[Rango].[Cofinanciación].[All]" allUniqueName="[Rango].[Cofinanciación].[All]" dimensionUniqueName="[Rango]" displayFolder="" count="0" memberValueDatatype="5" unbalanced="0"/>
    <cacheHierarchy uniqueName="[Rango].[Otros Recursos]" caption="Otros Recursos" attribute="1" defaultMemberUniqueName="[Rango].[Otros Recursos].[All]" allUniqueName="[Rango].[Otros Recursos].[All]" dimensionUniqueName="[Rango]" displayFolder="" count="0" memberValueDatatype="5" unbalanced="0"/>
    <cacheHierarchy uniqueName="[Rango].[Total 2]" caption="Total 2" attribute="1" defaultMemberUniqueName="[Rango].[Total 2].[All]" allUniqueName="[Rango].[Total 2].[All]" dimensionUniqueName="[Rango]" displayFolder="" count="0" memberValueDatatype="5" unbalanced="0"/>
    <cacheHierarchy uniqueName="[Rango].[TOTAL 2024]" caption="TOTAL 2024" attribute="1" defaultMemberUniqueName="[Rango].[TOTAL 2024].[All]" allUniqueName="[Rango].[TOTAL 2024].[All]" dimensionUniqueName="[Rango]" displayFolder="" count="0" memberValueDatatype="5" unbalanced="0"/>
    <cacheHierarchy uniqueName="[Rango].[ICLD 2]" caption="ICLD 2" attribute="1" defaultMemberUniqueName="[Rango].[ICLD 2].[All]" allUniqueName="[Rango].[ICLD 2].[All]" dimensionUniqueName="[Rango]" displayFolder="" count="0" memberValueDatatype="5" unbalanced="0"/>
    <cacheHierarchy uniqueName="[Rango].[ICDE 2]" caption="ICDE 2" attribute="1" defaultMemberUniqueName="[Rango].[ICDE 2].[All]" allUniqueName="[Rango].[ICDE 2].[All]" dimensionUniqueName="[Rango]" displayFolder="" count="0" memberValueDatatype="5" unbalanced="0"/>
    <cacheHierarchy uniqueName="[Rango].[SGP Educación 2]" caption="SGP Educación 2" attribute="1" defaultMemberUniqueName="[Rango].[SGP Educación 2].[All]" allUniqueName="[Rango].[SGP Educación 2].[All]" dimensionUniqueName="[Rango]" displayFolder="" count="0" memberValueDatatype="5" unbalanced="0"/>
    <cacheHierarchy uniqueName="[Rango].[SGP Salud 2]" caption="SGP Salud 2" attribute="1" defaultMemberUniqueName="[Rango].[SGP Salud 2].[All]" allUniqueName="[Rango].[SGP Salud 2].[All]" dimensionUniqueName="[Rango]" displayFolder="" count="0" memberValueDatatype="5" unbalanced="0"/>
    <cacheHierarchy uniqueName="[Rango].[SGP APSB 2]" caption="SGP APSB 2" attribute="1" defaultMemberUniqueName="[Rango].[SGP APSB 2].[All]" allUniqueName="[Rango].[SGP APSB 2].[All]" dimensionUniqueName="[Rango]" displayFolder="" count="0" memberValueDatatype="5" unbalanced="0"/>
    <cacheHierarchy uniqueName="[Rango].[Recursos Propios Entidades Descentralizadas 2]" caption="Recursos Propios Entidades Descentralizadas 2" attribute="1" defaultMemberUniqueName="[Rango].[Recursos Propios Entidades Descentralizadas 2].[All]" allUniqueName="[Rango].[Recursos Propios Entidades Descentralizadas 2].[All]" dimensionUniqueName="[Rango]" displayFolder="" count="0" memberValueDatatype="5" unbalanced="0"/>
    <cacheHierarchy uniqueName="[Rango].[Sistema General de Regalías - SGR 2]" caption="Sistema General de Regalías - SGR 2" attribute="1" defaultMemberUniqueName="[Rango].[Sistema General de Regalías - SGR 2].[All]" allUniqueName="[Rango].[Sistema General de Regalías - SGR 2].[All]" dimensionUniqueName="[Rango]" displayFolder="" count="0" memberValueDatatype="5" unbalanced="0"/>
    <cacheHierarchy uniqueName="[Rango].[Crédito 2]" caption="Crédito 2" attribute="1" defaultMemberUniqueName="[Rango].[Crédito 2].[All]" allUniqueName="[Rango].[Crédito 2].[All]" dimensionUniqueName="[Rango]" displayFolder="" count="0" memberValueDatatype="5" unbalanced="0"/>
    <cacheHierarchy uniqueName="[Rango].[Total 3]" caption="Total 3" attribute="1" defaultMemberUniqueName="[Rango].[Total 3].[All]" allUniqueName="[Rango].[Total 3].[All]" dimensionUniqueName="[Rango]" displayFolder="" count="0" memberValueDatatype="5" unbalanced="0"/>
    <cacheHierarchy uniqueName="[Rango].[Gestión 2]" caption="Gestión 2" attribute="1" defaultMemberUniqueName="[Rango].[Gestión 2].[All]" allUniqueName="[Rango].[Gestión 2].[All]" dimensionUniqueName="[Rango]" displayFolder="" count="0" memberValueDatatype="5" unbalanced="0"/>
    <cacheHierarchy uniqueName="[Rango].[Cofinanciación 2]" caption="Cofinanciación 2" attribute="1" defaultMemberUniqueName="[Rango].[Cofinanciación 2].[All]" allUniqueName="[Rango].[Cofinanciación 2].[All]" dimensionUniqueName="[Rango]" displayFolder="" count="0" memberValueDatatype="5" unbalanced="0"/>
    <cacheHierarchy uniqueName="[Rango].[Otros Recursos 2]" caption="Otros Recursos 2" attribute="1" defaultMemberUniqueName="[Rango].[Otros Recursos 2].[All]" allUniqueName="[Rango].[Otros Recursos 2].[All]" dimensionUniqueName="[Rango]" displayFolder="" count="0" memberValueDatatype="5" unbalanced="0"/>
    <cacheHierarchy uniqueName="[Rango].[Total 4]" caption="Total 4" attribute="1" defaultMemberUniqueName="[Rango].[Total 4].[All]" allUniqueName="[Rango].[Total 4].[All]" dimensionUniqueName="[Rango]" displayFolder="" count="0" memberValueDatatype="5" unbalanced="0"/>
    <cacheHierarchy uniqueName="[Rango].[TOTAL 2025]" caption="TOTAL 2025" attribute="1" defaultMemberUniqueName="[Rango].[TOTAL 2025].[All]" allUniqueName="[Rango].[TOTAL 2025].[All]" dimensionUniqueName="[Rango]" displayFolder="" count="0" memberValueDatatype="5" unbalanced="0"/>
    <cacheHierarchy uniqueName="[Rango].[ICLD 3]" caption="ICLD 3" attribute="1" defaultMemberUniqueName="[Rango].[ICLD 3].[All]" allUniqueName="[Rango].[ICLD 3].[All]" dimensionUniqueName="[Rango]" displayFolder="" count="0" memberValueDatatype="5" unbalanced="0"/>
    <cacheHierarchy uniqueName="[Rango].[ICDE 3]" caption="ICDE 3" attribute="1" defaultMemberUniqueName="[Rango].[ICDE 3].[All]" allUniqueName="[Rango].[ICDE 3].[All]" dimensionUniqueName="[Rango]" displayFolder="" count="0" memberValueDatatype="5" unbalanced="0"/>
    <cacheHierarchy uniqueName="[Rango].[SGP Educación 3]" caption="SGP Educación 3" attribute="1" defaultMemberUniqueName="[Rango].[SGP Educación 3].[All]" allUniqueName="[Rango].[SGP Educación 3].[All]" dimensionUniqueName="[Rango]" displayFolder="" count="0" memberValueDatatype="5" unbalanced="0"/>
    <cacheHierarchy uniqueName="[Rango].[SGP Salud 3]" caption="SGP Salud 3" attribute="1" defaultMemberUniqueName="[Rango].[SGP Salud 3].[All]" allUniqueName="[Rango].[SGP Salud 3].[All]" dimensionUniqueName="[Rango]" displayFolder="" count="0" memberValueDatatype="5" unbalanced="0"/>
    <cacheHierarchy uniqueName="[Rango].[SGP APSB 3]" caption="SGP APSB 3" attribute="1" defaultMemberUniqueName="[Rango].[SGP APSB 3].[All]" allUniqueName="[Rango].[SGP APSB 3].[All]" dimensionUniqueName="[Rango]" displayFolder="" count="0" memberValueDatatype="5" unbalanced="0"/>
    <cacheHierarchy uniqueName="[Rango].[Recursos Propios Entidades Descentralizadas 3]" caption="Recursos Propios Entidades Descentralizadas 3" attribute="1" defaultMemberUniqueName="[Rango].[Recursos Propios Entidades Descentralizadas 3].[All]" allUniqueName="[Rango].[Recursos Propios Entidades Descentralizadas 3].[All]" dimensionUniqueName="[Rango]" displayFolder="" count="0" memberValueDatatype="5" unbalanced="0"/>
    <cacheHierarchy uniqueName="[Rango].[Sistema General de Regalías - SGR 3]" caption="Sistema General de Regalías - SGR 3" attribute="1" defaultMemberUniqueName="[Rango].[Sistema General de Regalías - SGR 3].[All]" allUniqueName="[Rango].[Sistema General de Regalías - SGR 3].[All]" dimensionUniqueName="[Rango]" displayFolder="" count="0" memberValueDatatype="5" unbalanced="0"/>
    <cacheHierarchy uniqueName="[Rango].[Crédito 3]" caption="Crédito 3" attribute="1" defaultMemberUniqueName="[Rango].[Crédito 3].[All]" allUniqueName="[Rango].[Crédito 3].[All]" dimensionUniqueName="[Rango]" displayFolder="" count="0" memberValueDatatype="5" unbalanced="0"/>
    <cacheHierarchy uniqueName="[Rango].[Total 5]" caption="Total 5" attribute="1" defaultMemberUniqueName="[Rango].[Total 5].[All]" allUniqueName="[Rango].[Total 5].[All]" dimensionUniqueName="[Rango]" displayFolder="" count="0" memberValueDatatype="5" unbalanced="0"/>
    <cacheHierarchy uniqueName="[Rango].[Gestión 3]" caption="Gestión 3" attribute="1" defaultMemberUniqueName="[Rango].[Gestión 3].[All]" allUniqueName="[Rango].[Gestión 3].[All]" dimensionUniqueName="[Rango]" displayFolder="" count="0" memberValueDatatype="5" unbalanced="0"/>
    <cacheHierarchy uniqueName="[Rango].[Cofinanciación 3]" caption="Cofinanciación 3" attribute="1" defaultMemberUniqueName="[Rango].[Cofinanciación 3].[All]" allUniqueName="[Rango].[Cofinanciación 3].[All]" dimensionUniqueName="[Rango]" displayFolder="" count="0" memberValueDatatype="5" unbalanced="0"/>
    <cacheHierarchy uniqueName="[Rango].[Otros Recursos 3]" caption="Otros Recursos 3" attribute="1" defaultMemberUniqueName="[Rango].[Otros Recursos 3].[All]" allUniqueName="[Rango].[Otros Recursos 3].[All]" dimensionUniqueName="[Rango]" displayFolder="" count="0" memberValueDatatype="5" unbalanced="0"/>
    <cacheHierarchy uniqueName="[Rango].[Total 6]" caption="Total 6" attribute="1" defaultMemberUniqueName="[Rango].[Total 6].[All]" allUniqueName="[Rango].[Total 6].[All]" dimensionUniqueName="[Rango]" displayFolder="" count="0" memberValueDatatype="5" unbalanced="0"/>
    <cacheHierarchy uniqueName="[Rango].[TOTAL 2026]" caption="TOTAL 2026" attribute="1" defaultMemberUniqueName="[Rango].[TOTAL 2026].[All]" allUniqueName="[Rango].[TOTAL 2026].[All]" dimensionUniqueName="[Rango]" displayFolder="" count="0" memberValueDatatype="5" unbalanced="0"/>
    <cacheHierarchy uniqueName="[Rango].[ICLD 4]" caption="ICLD 4" attribute="1" defaultMemberUniqueName="[Rango].[ICLD 4].[All]" allUniqueName="[Rango].[ICLD 4].[All]" dimensionUniqueName="[Rango]" displayFolder="" count="0" memberValueDatatype="5" unbalanced="0"/>
    <cacheHierarchy uniqueName="[Rango].[ICDE 4]" caption="ICDE 4" attribute="1" defaultMemberUniqueName="[Rango].[ICDE 4].[All]" allUniqueName="[Rango].[ICDE 4].[All]" dimensionUniqueName="[Rango]" displayFolder="" count="0" memberValueDatatype="5" unbalanced="0"/>
    <cacheHierarchy uniqueName="[Rango].[SGP Educación 4]" caption="SGP Educación 4" attribute="1" defaultMemberUniqueName="[Rango].[SGP Educación 4].[All]" allUniqueName="[Rango].[SGP Educación 4].[All]" dimensionUniqueName="[Rango]" displayFolder="" count="0" memberValueDatatype="5" unbalanced="0"/>
    <cacheHierarchy uniqueName="[Rango].[SGP Salud 4]" caption="SGP Salud 4" attribute="1" defaultMemberUniqueName="[Rango].[SGP Salud 4].[All]" allUniqueName="[Rango].[SGP Salud 4].[All]" dimensionUniqueName="[Rango]" displayFolder="" count="0" memberValueDatatype="5" unbalanced="0"/>
    <cacheHierarchy uniqueName="[Rango].[SGP APSB 4]" caption="SGP APSB 4" attribute="1" defaultMemberUniqueName="[Rango].[SGP APSB 4].[All]" allUniqueName="[Rango].[SGP APSB 4].[All]" dimensionUniqueName="[Rango]" displayFolder="" count="0" memberValueDatatype="5" unbalanced="0"/>
    <cacheHierarchy uniqueName="[Rango].[Recursos Propios Entidades Descentralizadas 4]" caption="Recursos Propios Entidades Descentralizadas 4" attribute="1" defaultMemberUniqueName="[Rango].[Recursos Propios Entidades Descentralizadas 4].[All]" allUniqueName="[Rango].[Recursos Propios Entidades Descentralizadas 4].[All]" dimensionUniqueName="[Rango]" displayFolder="" count="0" memberValueDatatype="5" unbalanced="0"/>
    <cacheHierarchy uniqueName="[Rango].[Sistema General de Regalías - SGR 4]" caption="Sistema General de Regalías - SGR 4" attribute="1" defaultMemberUniqueName="[Rango].[Sistema General de Regalías - SGR 4].[All]" allUniqueName="[Rango].[Sistema General de Regalías - SGR 4].[All]" dimensionUniqueName="[Rango]" displayFolder="" count="0" memberValueDatatype="5" unbalanced="0"/>
    <cacheHierarchy uniqueName="[Rango].[Crédito 4]" caption="Crédito 4" attribute="1" defaultMemberUniqueName="[Rango].[Crédito 4].[All]" allUniqueName="[Rango].[Crédito 4].[All]" dimensionUniqueName="[Rango]" displayFolder="" count="0" memberValueDatatype="5" unbalanced="0"/>
    <cacheHierarchy uniqueName="[Rango].[Total 7]" caption="Total 7" attribute="1" defaultMemberUniqueName="[Rango].[Total 7].[All]" allUniqueName="[Rango].[Total 7].[All]" dimensionUniqueName="[Rango]" displayFolder="" count="0" memberValueDatatype="5" unbalanced="0"/>
    <cacheHierarchy uniqueName="[Rango].[Gestión 4]" caption="Gestión 4" attribute="1" defaultMemberUniqueName="[Rango].[Gestión 4].[All]" allUniqueName="[Rango].[Gestión 4].[All]" dimensionUniqueName="[Rango]" displayFolder="" count="0" memberValueDatatype="5" unbalanced="0"/>
    <cacheHierarchy uniqueName="[Rango].[Cofinanciación 4]" caption="Cofinanciación 4" attribute="1" defaultMemberUniqueName="[Rango].[Cofinanciación 4].[All]" allUniqueName="[Rango].[Cofinanciación 4].[All]" dimensionUniqueName="[Rango]" displayFolder="" count="0" memberValueDatatype="5" unbalanced="0"/>
    <cacheHierarchy uniqueName="[Rango].[Otros Recursos 4]" caption="Otros Recursos 4" attribute="1" defaultMemberUniqueName="[Rango].[Otros Recursos 4].[All]" allUniqueName="[Rango].[Otros Recursos 4].[All]" dimensionUniqueName="[Rango]" displayFolder="" count="0" memberValueDatatype="5" unbalanced="0"/>
    <cacheHierarchy uniqueName="[Rango].[Total 8]" caption="Total 8" attribute="1" defaultMemberUniqueName="[Rango].[Total 8].[All]" allUniqueName="[Rango].[Total 8].[All]" dimensionUniqueName="[Rango]" displayFolder="" count="0" memberValueDatatype="5" unbalanced="0"/>
    <cacheHierarchy uniqueName="[Rango].[TOTAL 2027]" caption="TOTAL 2027" attribute="1" defaultMemberUniqueName="[Rango].[TOTAL 2027].[All]" allUniqueName="[Rango].[TOTAL 2027].[All]" dimensionUniqueName="[Rango]" displayFolder="" count="0" memberValueDatatype="5" unbalanced="0"/>
    <cacheHierarchy uniqueName="[Rango].[TOTAL 2024-2027]" caption="TOTAL 2024-2027" attribute="1" defaultMemberUniqueName="[Rango].[TOTAL 2024-2027].[All]" allUniqueName="[Rango].[TOTAL 2024-2027].[All]" dimensionUniqueName="[Rango]" displayFolder="" count="0" memberValueDatatype="5" unbalanced="0"/>
    <cacheHierarchy uniqueName="[Rango].[ICLD 5]" caption="ICLD 5" attribute="1" defaultMemberUniqueName="[Rango].[ICLD 5].[All]" allUniqueName="[Rango].[ICLD 5].[All]" dimensionUniqueName="[Rango]" displayFolder="" count="0" memberValueDatatype="5" unbalanced="0"/>
    <cacheHierarchy uniqueName="[Rango].[ICDE 5]" caption="ICDE 5" attribute="1" defaultMemberUniqueName="[Rango].[ICDE 5].[All]" allUniqueName="[Rango].[ICDE 5].[All]" dimensionUniqueName="[Rango]" displayFolder="" count="0" memberValueDatatype="5" unbalanced="0"/>
    <cacheHierarchy uniqueName="[Rango].[SGP Educación 5]" caption="SGP Educación 5" attribute="1" defaultMemberUniqueName="[Rango].[SGP Educación 5].[All]" allUniqueName="[Rango].[SGP Educación 5].[All]" dimensionUniqueName="[Rango]" displayFolder="" count="0" memberValueDatatype="5" unbalanced="0"/>
    <cacheHierarchy uniqueName="[Rango].[SGP Salud 5]" caption="SGP Salud 5" attribute="1" defaultMemberUniqueName="[Rango].[SGP Salud 5].[All]" allUniqueName="[Rango].[SGP Salud 5].[All]" dimensionUniqueName="[Rango]" displayFolder="" count="0" memberValueDatatype="5" unbalanced="0"/>
    <cacheHierarchy uniqueName="[Rango].[SGP APSB 5]" caption="SGP APSB 5" attribute="1" defaultMemberUniqueName="[Rango].[SGP APSB 5].[All]" allUniqueName="[Rango].[SGP APSB 5].[All]" dimensionUniqueName="[Rango]" displayFolder="" count="0" memberValueDatatype="5" unbalanced="0"/>
    <cacheHierarchy uniqueName="[Rango].[Recursos Propios Entidades Descentralizadas 5]" caption="Recursos Propios Entidades Descentralizadas 5" attribute="1" defaultMemberUniqueName="[Rango].[Recursos Propios Entidades Descentralizadas 5].[All]" allUniqueName="[Rango].[Recursos Propios Entidades Descentralizadas 5].[All]" dimensionUniqueName="[Rango]" displayFolder="" count="0" memberValueDatatype="5" unbalanced="0"/>
    <cacheHierarchy uniqueName="[Rango].[Sistema General de Regalías - SGR 5]" caption="Sistema General de Regalías - SGR 5" attribute="1" defaultMemberUniqueName="[Rango].[Sistema General de Regalías - SGR 5].[All]" allUniqueName="[Rango].[Sistema General de Regalías - SGR 5].[All]" dimensionUniqueName="[Rango]" displayFolder="" count="0" memberValueDatatype="5" unbalanced="0"/>
    <cacheHierarchy uniqueName="[Rango].[Crédito 5]" caption="Crédito 5" attribute="1" defaultMemberUniqueName="[Rango].[Crédito 5].[All]" allUniqueName="[Rango].[Crédito 5].[All]" dimensionUniqueName="[Rango]" displayFolder="" count="0" memberValueDatatype="5" unbalanced="0"/>
    <cacheHierarchy uniqueName="[Rango].[Gestión 5]" caption="Gestión 5" attribute="1" defaultMemberUniqueName="[Rango].[Gestión 5].[All]" allUniqueName="[Rango].[Gestión 5].[All]" dimensionUniqueName="[Rango]" displayFolder="" count="0" memberValueDatatype="5" unbalanced="0"/>
    <cacheHierarchy uniqueName="[Rango].[Cofinanciación 5]" caption="Cofinanciación 5" attribute="1" defaultMemberUniqueName="[Rango].[Cofinanciación 5].[All]" allUniqueName="[Rango].[Cofinanciación 5].[All]" dimensionUniqueName="[Rango]" displayFolder="" count="0" memberValueDatatype="5" unbalanced="0"/>
    <cacheHierarchy uniqueName="[Rango].[Otros Recursos 5]" caption="Otros Recursos 5" attribute="1" defaultMemberUniqueName="[Rango].[Otros Recursos 5].[All]" allUniqueName="[Rango].[Otros Recursos 5].[All]" dimensionUniqueName="[Rango]" displayFolder="" count="0" memberValueDatatype="5"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Suma de ICLD 5]" caption="Suma de ICLD 5" measure="1" displayFolder="" measureGroup="Rango" count="0" oneField="1" hidden="1">
      <fieldsUsage count="1">
        <fieldUsage x="0"/>
      </fieldsUsage>
      <extLst>
        <ext xmlns:x15="http://schemas.microsoft.com/office/spreadsheetml/2010/11/main" uri="{B97F6D7D-B522-45F9-BDA1-12C45D357490}">
          <x15:cacheHierarchy aggregatedColumn="82"/>
        </ext>
      </extLst>
    </cacheHierarchy>
    <cacheHierarchy uniqueName="[Measures].[Suma de SGP Educación 5]" caption="Suma de SGP Educación 5" measure="1" displayFolder="" measureGroup="Rango" count="0" oneField="1" hidden="1">
      <fieldsUsage count="1">
        <fieldUsage x="2"/>
      </fieldsUsage>
      <extLst>
        <ext xmlns:x15="http://schemas.microsoft.com/office/spreadsheetml/2010/11/main" uri="{B97F6D7D-B522-45F9-BDA1-12C45D357490}">
          <x15:cacheHierarchy aggregatedColumn="84"/>
        </ext>
      </extLst>
    </cacheHierarchy>
    <cacheHierarchy uniqueName="[Measures].[Suma de ICDE 5]" caption="Suma de ICDE 5" measure="1" displayFolder="" measureGroup="Rango" count="0" oneField="1" hidden="1">
      <fieldsUsage count="1">
        <fieldUsage x="1"/>
      </fieldsUsage>
      <extLst>
        <ext xmlns:x15="http://schemas.microsoft.com/office/spreadsheetml/2010/11/main" uri="{B97F6D7D-B522-45F9-BDA1-12C45D357490}">
          <x15:cacheHierarchy aggregatedColumn="83"/>
        </ext>
      </extLst>
    </cacheHierarchy>
    <cacheHierarchy uniqueName="[Measures].[Suma de SGP Salud 5]" caption="Suma de SGP Salud 5" measure="1" displayFolder="" measureGroup="Rango" count="0" oneField="1" hidden="1">
      <fieldsUsage count="1">
        <fieldUsage x="3"/>
      </fieldsUsage>
      <extLst>
        <ext xmlns:x15="http://schemas.microsoft.com/office/spreadsheetml/2010/11/main" uri="{B97F6D7D-B522-45F9-BDA1-12C45D357490}">
          <x15:cacheHierarchy aggregatedColumn="85"/>
        </ext>
      </extLst>
    </cacheHierarchy>
    <cacheHierarchy uniqueName="[Measures].[Suma de SGP APSB 5]" caption="Suma de SGP APSB 5" measure="1" displayFolder="" measureGroup="Rango" count="0" oneField="1" hidden="1">
      <fieldsUsage count="1">
        <fieldUsage x="4"/>
      </fieldsUsage>
      <extLst>
        <ext xmlns:x15="http://schemas.microsoft.com/office/spreadsheetml/2010/11/main" uri="{B97F6D7D-B522-45F9-BDA1-12C45D357490}">
          <x15:cacheHierarchy aggregatedColumn="86"/>
        </ext>
      </extLst>
    </cacheHierarchy>
    <cacheHierarchy uniqueName="[Measures].[Suma de Recursos Propios Entidades Descentralizadas 5]" caption="Suma de Recursos Propios Entidades Descentralizadas 5" measure="1" displayFolder="" measureGroup="Rango" count="0" oneField="1" hidden="1">
      <fieldsUsage count="1">
        <fieldUsage x="5"/>
      </fieldsUsage>
      <extLst>
        <ext xmlns:x15="http://schemas.microsoft.com/office/spreadsheetml/2010/11/main" uri="{B97F6D7D-B522-45F9-BDA1-12C45D357490}">
          <x15:cacheHierarchy aggregatedColumn="87"/>
        </ext>
      </extLst>
    </cacheHierarchy>
    <cacheHierarchy uniqueName="[Measures].[Suma de Sistema General de Regalías - SGR 5]" caption="Suma de Sistema General de Regalías - SGR 5" measure="1" displayFolder="" measureGroup="Rango" count="0" oneField="1" hidden="1">
      <fieldsUsage count="1">
        <fieldUsage x="6"/>
      </fieldsUsage>
      <extLst>
        <ext xmlns:x15="http://schemas.microsoft.com/office/spreadsheetml/2010/11/main" uri="{B97F6D7D-B522-45F9-BDA1-12C45D357490}">
          <x15:cacheHierarchy aggregatedColumn="88"/>
        </ext>
      </extLst>
    </cacheHierarchy>
    <cacheHierarchy uniqueName="[Measures].[Suma de Crédito 5]" caption="Suma de Crédito 5" measure="1" displayFolder="" measureGroup="Rango" count="0" oneField="1" hidden="1">
      <fieldsUsage count="1">
        <fieldUsage x="7"/>
      </fieldsUsage>
      <extLst>
        <ext xmlns:x15="http://schemas.microsoft.com/office/spreadsheetml/2010/11/main" uri="{B97F6D7D-B522-45F9-BDA1-12C45D357490}">
          <x15:cacheHierarchy aggregatedColumn="89"/>
        </ext>
      </extLst>
    </cacheHierarchy>
    <cacheHierarchy uniqueName="[Measures].[Suma de Gestión 5]" caption="Suma de Gestión 5" measure="1" displayFolder="" measureGroup="Rango" count="0" oneField="1" hidden="1">
      <fieldsUsage count="1">
        <fieldUsage x="8"/>
      </fieldsUsage>
      <extLst>
        <ext xmlns:x15="http://schemas.microsoft.com/office/spreadsheetml/2010/11/main" uri="{B97F6D7D-B522-45F9-BDA1-12C45D357490}">
          <x15:cacheHierarchy aggregatedColumn="90"/>
        </ext>
      </extLst>
    </cacheHierarchy>
    <cacheHierarchy uniqueName="[Measures].[Suma de Cofinanciación 5]" caption="Suma de Cofinanciación 5" measure="1" displayFolder="" measureGroup="Rango" count="0" oneField="1" hidden="1">
      <fieldsUsage count="1">
        <fieldUsage x="9"/>
      </fieldsUsage>
      <extLst>
        <ext xmlns:x15="http://schemas.microsoft.com/office/spreadsheetml/2010/11/main" uri="{B97F6D7D-B522-45F9-BDA1-12C45D357490}">
          <x15:cacheHierarchy aggregatedColumn="91"/>
        </ext>
      </extLst>
    </cacheHierarchy>
    <cacheHierarchy uniqueName="[Measures].[Suma de Otros Recursos 5]" caption="Suma de Otros Recursos 5" measure="1" displayFolder="" measureGroup="Rango" count="0" oneField="1" hidden="1">
      <fieldsUsage count="1">
        <fieldUsage x="10"/>
      </fieldsUsage>
      <extLst>
        <ext xmlns:x15="http://schemas.microsoft.com/office/spreadsheetml/2010/11/main" uri="{B97F6D7D-B522-45F9-BDA1-12C45D357490}">
          <x15:cacheHierarchy aggregatedColumn="92"/>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EE8A78-362D-4D7F-B6FD-63F79BC906E5}"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K4" firstHeaderRow="0" firstDataRow="1" firstDataCol="0" rowPageCount="1" colPageCount="1"/>
  <pivotFields count="12">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11">
    <i>
      <x/>
    </i>
    <i i="1">
      <x v="1"/>
    </i>
    <i i="2">
      <x v="2"/>
    </i>
    <i i="3">
      <x v="3"/>
    </i>
    <i i="4">
      <x v="4"/>
    </i>
    <i i="5">
      <x v="5"/>
    </i>
    <i i="6">
      <x v="6"/>
    </i>
    <i i="7">
      <x v="7"/>
    </i>
    <i i="8">
      <x v="8"/>
    </i>
    <i i="9">
      <x v="9"/>
    </i>
    <i i="10">
      <x v="10"/>
    </i>
  </colItems>
  <pageFields count="1">
    <pageField fld="11" hier="0" name="[Rango].[SECTORIAL].&amp;[Secretaría de Agricultura]" cap="Secretaría de Agricultura"/>
  </pageFields>
  <dataFields count="11">
    <dataField name="Suma de ICLD 5" fld="0" baseField="0" baseItem="0"/>
    <dataField name="Suma de ICDE 5" fld="1" baseField="0" baseItem="0"/>
    <dataField name="Suma de SGP Educación 5" fld="2" baseField="0" baseItem="0"/>
    <dataField name="Suma de SGP Salud 5" fld="3" baseField="0" baseItem="0"/>
    <dataField name="Suma de SGP APSB 5" fld="4" baseField="0" baseItem="0"/>
    <dataField name="Suma de Recursos Propios Entidades Descentralizadas 5" fld="5" baseField="0" baseItem="0"/>
    <dataField name="Suma de Sistema General de Regalías - SGR 5" fld="6" baseField="0" baseItem="0"/>
    <dataField name="Suma de Crédito 5" fld="7" baseField="0" baseItem="0"/>
    <dataField name="Suma de Gestión 5" fld="8" baseField="0" baseItem="0"/>
    <dataField name="Suma de Cofinanciación 5" fld="9" baseField="0" baseItem="0"/>
    <dataField name="Suma de Otros Recursos 5" fld="10" baseField="0" baseItem="0"/>
  </dataFields>
  <pivotHierarchies count="10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triz de Referencia!$A$2:$CO$579">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6C38F74-B74E-4274-8E04-F8D1FB96769E}" name="Tabla7" displayName="Tabla7" ref="A2:CO578" totalsRowShown="0" headerRowDxfId="185" dataDxfId="184" tableBorderDxfId="183" headerRowCellStyle="Moneda">
  <autoFilter ref="A2:CO578" xr:uid="{74541473-FA9F-40D0-8C2F-5BEC1A3E53DF}">
    <filterColumn colId="0">
      <filters>
        <filter val="Lotería de Boyacá"/>
      </filters>
    </filterColumn>
  </autoFilter>
  <tableColumns count="93">
    <tableColumn id="1" xr3:uid="{3B76B865-5B28-4580-9704-BBD948D7149D}" name="SECTORIAL" dataDxfId="182"/>
    <tableColumn id="2" xr3:uid="{96DB3709-8ED6-48A5-BE4F-5AF03EC4B851}" name="Codigo Interno" dataDxfId="181"/>
    <tableColumn id="3" xr3:uid="{9EBEA960-68A7-4908-A040-1D975EFC098B}" name="ESTRATEGIA" dataDxfId="180"/>
    <tableColumn id="4" xr3:uid="{5B63E29F-29DA-4AF0-9ED6-012C55922D1F}" name="DIMENSIÓN" dataDxfId="179"/>
    <tableColumn id="5" xr3:uid="{E597054F-52B6-4EFF-BC37-40C61878B792}" name="No De Apuesta Para El Desarrollo  Territorial " dataDxfId="178">
      <calculatedColumnFormula>MID(F3,1,6)</calculatedColumnFormula>
    </tableColumn>
    <tableColumn id="6" xr3:uid="{E5568F49-97B7-4EA5-BBD9-22B1A53C52B0}" name="APUESTA PARA EL DESARROLLO TERRITORIAL" dataDxfId="177"/>
    <tableColumn id="7" xr3:uid="{AABEBFB3-E7E9-428D-AB7D-6B296F420686}" name="OBJETIVO (APD)" dataDxfId="176"/>
    <tableColumn id="8" xr3:uid="{3C9FE21D-5802-4416-B153-B0D21A3A31CE}" name="SECTOR" dataDxfId="175"/>
    <tableColumn id="9" xr3:uid="{35187299-FD5A-489A-8170-0DAAC2FEEE2F}" name="PROGRAMA" dataDxfId="174"/>
    <tableColumn id="10" xr3:uid="{EBCE3542-083A-447E-ABA2-80426150F13B}" name="CÓDIGO" dataDxfId="173"/>
    <tableColumn id="11" xr3:uid="{D8AA9E29-8D30-430D-A57C-6922EAA4F2FB}" name="MEDIDO A TRAVÉS DE" dataDxfId="172"/>
    <tableColumn id="12" xr3:uid="{E0B37542-EC0E-49DA-A11A-727CFFF0F785}" name="INDICADOR" dataDxfId="171"/>
    <tableColumn id="13" xr3:uid="{DE159815-823B-4334-BAE8-D92DD0EB834D}" name="DESCRIPCIÓN" dataDxfId="170"/>
    <tableColumn id="14" xr3:uid="{DACD0284-5584-4177-B565-77F9E7DB6CAC}" name="LÍNEA BASE" dataDxfId="169" dataCellStyle="Normal 2"/>
    <tableColumn id="15" xr3:uid="{9D56741C-B1A5-4EB8-A635-EEEE49A3A144}" name="FUENTE" dataDxfId="168"/>
    <tableColumn id="16" xr3:uid="{74981FFD-5F76-4C7D-AA01-F622126158BA}" name="META" dataDxfId="167" dataCellStyle="Normal 2"/>
    <tableColumn id="17" xr3:uid="{5C25DC70-A34F-4BB0-9434-2045C77E0724}" name="Código indicador de resultado" dataDxfId="166" dataCellStyle="Normal 2"/>
    <tableColumn id="18" xr3:uid="{7B9A6F86-5952-40C1-A6D1-DA2010B9A425}" name="Nombre indicador de resultado" dataDxfId="165" dataCellStyle="Normal 2"/>
    <tableColumn id="19" xr3:uid="{C31995A2-1C41-4C5A-8340-36F97AD19BB2}" name="Unidad de medida" dataDxfId="164" dataCellStyle="Normal 2"/>
    <tableColumn id="20" xr3:uid="{5825939A-F6B5-49D6-A7B8-B928907A78BF}" name="Línea base2" dataDxfId="163" dataCellStyle="Normal 2"/>
    <tableColumn id="21" xr3:uid="{9B0C7DD8-6514-48E4-902D-B708A389DA64}" name="Fuente/año" dataDxfId="162" dataCellStyle="Normal 2"/>
    <tableColumn id="22" xr3:uid="{1A1484CD-2826-4866-9DEB-72CF37DB3554}" name="Meta 2027" dataDxfId="161" dataCellStyle="Normal 2"/>
    <tableColumn id="23" xr3:uid="{578C12F0-45FC-475F-B747-28C06E93279D}" name="Transformación PND" dataDxfId="160" dataCellStyle="Normal 2"/>
    <tableColumn id="24" xr3:uid="{40778870-085F-4405-9699-89559E15B2AC}" name="ODS" dataDxfId="159" dataCellStyle="Normal 2"/>
    <tableColumn id="25" xr3:uid="{68B0EC84-E504-4BCF-8775-5C0C1494363C}" name="Meta ODS" dataDxfId="158" dataCellStyle="Normal 2"/>
    <tableColumn id="26" xr3:uid="{E0B8AD5F-8B5D-4601-8F3B-72C27C28DB3C}" name="ICLD" dataDxfId="157" dataCellStyle="Moneda"/>
    <tableColumn id="27" xr3:uid="{33653903-EEE7-499F-B2BD-29714B2B9F38}" name="ICDE" dataDxfId="156" dataCellStyle="Moneda"/>
    <tableColumn id="28" xr3:uid="{35F94904-B262-45CC-BD23-4B6338C0FDCA}" name="SGP Educación" dataDxfId="155" dataCellStyle="Moneda"/>
    <tableColumn id="29" xr3:uid="{D8A5E002-BF18-4BAF-98E0-0E0FFDDBA665}" name="SGP Salud" dataDxfId="154" dataCellStyle="Moneda"/>
    <tableColumn id="30" xr3:uid="{818029AF-FD69-4FEC-9345-118D45993300}" name="SGP APSB" dataDxfId="153" dataCellStyle="Moneda"/>
    <tableColumn id="31" xr3:uid="{307BA450-112B-4830-8E1C-3238720DD1F2}" name="Recursos Propios Entidades Descentralizadas" dataDxfId="152" dataCellStyle="Moneda"/>
    <tableColumn id="32" xr3:uid="{140B26CB-90AD-40B2-899D-8C9C81B51DAF}" name="Sistema General de Regalías - SGR" dataDxfId="151" dataCellStyle="Moneda"/>
    <tableColumn id="33" xr3:uid="{F344C24C-8CBF-4A7A-97AE-832A9A65D009}" name="Crédito" dataDxfId="150" dataCellStyle="Moneda"/>
    <tableColumn id="34" xr3:uid="{20423DD5-F480-4FBF-A99C-7EFE919ED5C3}" name="Total" dataDxfId="149" dataCellStyle="Moneda"/>
    <tableColumn id="35" xr3:uid="{3218FC45-9F58-4DBF-8F32-BAC2964FDE5B}" name="Gestión" dataDxfId="148" dataCellStyle="Moneda"/>
    <tableColumn id="36" xr3:uid="{3984A92C-CF76-4677-B441-B8F45488FD70}" name="Cofinanciación" dataDxfId="147" dataCellStyle="Moneda"/>
    <tableColumn id="37" xr3:uid="{00FB3521-E03C-48E9-9000-AE62E1685236}" name="Otros Recursos" dataDxfId="146" dataCellStyle="Moneda"/>
    <tableColumn id="38" xr3:uid="{D4493A42-29AD-4C07-8B20-661B170C786E}" name="Total3" dataDxfId="145" dataCellStyle="Moneda"/>
    <tableColumn id="39" xr3:uid="{6D9E040B-F003-4A22-A17F-D50F72C9655D}" name="TOTAL 2024" dataDxfId="144" dataCellStyle="Moneda"/>
    <tableColumn id="40" xr3:uid="{4E780970-9D3C-4D42-AF61-05D078C51273}" name="ICLD4" dataDxfId="143" dataCellStyle="Moneda"/>
    <tableColumn id="41" xr3:uid="{9212DE2E-04C3-46CA-BAB7-312FB1621DAD}" name="ICDE5" dataDxfId="142" dataCellStyle="Moneda"/>
    <tableColumn id="42" xr3:uid="{47653755-5CB8-47DF-AC10-F39EBA4D322C}" name="SGP Educación6" dataDxfId="141" dataCellStyle="Moneda"/>
    <tableColumn id="43" xr3:uid="{3FB945E0-42BF-42B5-B204-98865332C0A9}" name="SGP Salud7" dataDxfId="140" dataCellStyle="Moneda"/>
    <tableColumn id="44" xr3:uid="{7044AD34-F5EE-4045-868F-D517B7C3F770}" name="SGP APSB8" dataDxfId="139" dataCellStyle="Moneda"/>
    <tableColumn id="45" xr3:uid="{C5F58EAF-6E1A-4CA4-8C30-8801B0EFEE09}" name="Recursos Propios Entidades Descentralizadas9" dataDxfId="138" dataCellStyle="Moneda"/>
    <tableColumn id="46" xr3:uid="{3909BBFA-F836-4AC2-B72C-DECEF8F14EF2}" name="Sistema General de Regalías - SGR10" dataDxfId="137" dataCellStyle="Moneda"/>
    <tableColumn id="47" xr3:uid="{F26E0B20-412D-445F-8F32-E74F32A61465}" name="Crédito11" dataDxfId="136" dataCellStyle="Moneda"/>
    <tableColumn id="48" xr3:uid="{277055A3-D893-4867-87BE-E1638008143C}" name="Total12" dataDxfId="135" dataCellStyle="Moneda"/>
    <tableColumn id="49" xr3:uid="{A381E46C-211D-4AED-9BB5-81DCD683CC03}" name="Gestión13" dataDxfId="134" dataCellStyle="Moneda"/>
    <tableColumn id="50" xr3:uid="{EC5EB09E-DED0-4E20-AE74-4A3018B5B2CB}" name="Cofinanciación14" dataDxfId="133" dataCellStyle="Moneda"/>
    <tableColumn id="51" xr3:uid="{64D0511A-C2D8-433E-BB7D-3E9668F9B48E}" name="Otros Recursos15" dataDxfId="132" dataCellStyle="Moneda"/>
    <tableColumn id="52" xr3:uid="{5163177B-541B-4BDA-A997-8B0682B771B9}" name="Total16" dataDxfId="131" dataCellStyle="Moneda"/>
    <tableColumn id="53" xr3:uid="{F8984ACC-EAAA-472F-B4E5-577DC5BDFF71}" name="TOTAL 2025" dataDxfId="130" dataCellStyle="Moneda"/>
    <tableColumn id="54" xr3:uid="{3BAD5E40-81A2-4370-9C60-23E6F03F6E88}" name="ICLD17" dataDxfId="129" dataCellStyle="Moneda"/>
    <tableColumn id="55" xr3:uid="{907BD684-9A93-46EF-8FE4-B00EFF9170B5}" name="ICDE18" dataDxfId="128" dataCellStyle="Moneda"/>
    <tableColumn id="56" xr3:uid="{F98AFDC3-7EFE-4927-AA18-B69E05C5D3CB}" name="SGP Educación19" dataDxfId="127" dataCellStyle="Moneda"/>
    <tableColumn id="57" xr3:uid="{FB67E244-4DA4-4B6C-9982-0DDABA9EC59F}" name="SGP Salud20" dataDxfId="126" dataCellStyle="Moneda"/>
    <tableColumn id="58" xr3:uid="{AA053F68-DBE6-47E9-9216-349803850BDC}" name="SGP APSB21" dataDxfId="125" dataCellStyle="Moneda"/>
    <tableColumn id="59" xr3:uid="{3D7B8458-7167-45FB-BBE9-9106A77D0746}" name="Recursos Propios Entidades Descentralizadas22" dataDxfId="124" dataCellStyle="Moneda"/>
    <tableColumn id="60" xr3:uid="{6F093005-5493-4E51-B2C3-B86B85DF0E11}" name="Sistema General de Regalías - SGR23" dataDxfId="123" dataCellStyle="Moneda"/>
    <tableColumn id="61" xr3:uid="{4F71E797-407C-477D-9AA0-EB0FC177CAD0}" name="Crédito24" dataDxfId="122" dataCellStyle="Moneda"/>
    <tableColumn id="62" xr3:uid="{E994D9D1-B757-47F2-A8E6-DDDC922E10C2}" name="Total25" dataDxfId="121" dataCellStyle="Moneda"/>
    <tableColumn id="63" xr3:uid="{54C315A9-783E-49DF-99A8-52551FABA06F}" name="Gestión26" dataDxfId="120" dataCellStyle="Moneda"/>
    <tableColumn id="64" xr3:uid="{444990F8-F089-4A4E-AA65-5757E55C33F9}" name="Cofinanciación27" dataDxfId="119" dataCellStyle="Moneda"/>
    <tableColumn id="65" xr3:uid="{0A948EF0-9AB3-41C8-8567-37C1EC5E5432}" name="Otros Recursos28" dataDxfId="118" dataCellStyle="Moneda"/>
    <tableColumn id="66" xr3:uid="{EFE5F005-F45E-4582-A06E-4245A95FAD37}" name="Total29" dataDxfId="117" dataCellStyle="Moneda"/>
    <tableColumn id="67" xr3:uid="{A5B038CF-D9D4-483E-99A2-6E60DB1D405F}" name="TOTAL 2026" dataDxfId="116" dataCellStyle="Moneda"/>
    <tableColumn id="68" xr3:uid="{7FDAEE2F-6654-4E29-A4E3-674A4025FB52}" name="ICLD30" dataDxfId="115" dataCellStyle="Moneda"/>
    <tableColumn id="69" xr3:uid="{E5BEADC2-BF16-49ED-9C84-F27963D017C8}" name="ICDE31" dataDxfId="114" dataCellStyle="Moneda"/>
    <tableColumn id="70" xr3:uid="{495ED4E5-BC9A-473D-B063-D8B8414C817A}" name="SGP Educación32" dataDxfId="113" dataCellStyle="Moneda"/>
    <tableColumn id="71" xr3:uid="{C8149154-781B-4A01-9061-8AD8F9367D0E}" name="SGP Salud33" dataDxfId="112" dataCellStyle="Moneda"/>
    <tableColumn id="72" xr3:uid="{191D06AD-12FD-4E57-8042-3E08190F7DB9}" name="SGP APSB34" dataDxfId="111" dataCellStyle="Moneda"/>
    <tableColumn id="73" xr3:uid="{62EED459-BBB9-4CD2-B5B2-8A7C393BAD57}" name="Recursos Propios Entidades Descentralizadas35" dataDxfId="110" dataCellStyle="Moneda"/>
    <tableColumn id="74" xr3:uid="{D263F825-1268-435F-9779-09A9CA41396C}" name="Sistema General de Regalías - SGR36" dataDxfId="109" dataCellStyle="Moneda"/>
    <tableColumn id="75" xr3:uid="{F28B9DB7-942B-420F-AE1C-2746D941CB71}" name="Crédito37" dataDxfId="108" dataCellStyle="Moneda"/>
    <tableColumn id="76" xr3:uid="{E464FCB6-3058-4F79-B17F-67032E816FAF}" name="Total38" dataDxfId="107" dataCellStyle="Moneda"/>
    <tableColumn id="77" xr3:uid="{CA8104D9-D76A-4288-ACF9-AFC748118152}" name="Gestión39" dataDxfId="106" dataCellStyle="Moneda"/>
    <tableColumn id="78" xr3:uid="{7F47867B-3E72-40FE-A611-DB54D2014B62}" name="Cofinanciación40" dataDxfId="105" dataCellStyle="Moneda"/>
    <tableColumn id="79" xr3:uid="{BDF86853-C1E4-4411-AB6C-40FFDEDF2A60}" name="Otros Recursos41" dataDxfId="104" dataCellStyle="Moneda"/>
    <tableColumn id="80" xr3:uid="{02FD27CB-2949-42EF-8628-6491EA918AB2}" name="Total42" dataDxfId="103" dataCellStyle="Moneda"/>
    <tableColumn id="81" xr3:uid="{BE92931A-26BD-44AB-8527-BCCF842CC495}" name="TOTAL 2027" dataDxfId="102" dataCellStyle="Moneda"/>
    <tableColumn id="82" xr3:uid="{70A082F8-8A9F-4383-8647-13A69B990E45}" name="TOTAL 2024-2027" dataDxfId="101" dataCellStyle="20% - Énfasis3"/>
    <tableColumn id="83" xr3:uid="{11A26E43-2A6E-49E0-9A41-3BF8AA63C489}" name="ICLD43" dataDxfId="100">
      <calculatedColumnFormula>Z3+AN3+BB3+BP3</calculatedColumnFormula>
    </tableColumn>
    <tableColumn id="84" xr3:uid="{D6292F3C-1208-4644-A443-ECDBBB4EE8ED}" name="ICDE44" dataDxfId="99">
      <calculatedColumnFormula>AA3+AO3+BC3+BQ3</calculatedColumnFormula>
    </tableColumn>
    <tableColumn id="85" xr3:uid="{588CCC1D-FDAD-489A-B4B8-57C5214FB68D}" name="SGP Educación45" dataDxfId="98">
      <calculatedColumnFormula>AB3+AP3+BD3+BR3</calculatedColumnFormula>
    </tableColumn>
    <tableColumn id="86" xr3:uid="{9092AF43-C36C-451D-8A48-CBB00B8A6083}" name="SGP Salud46" dataDxfId="97">
      <calculatedColumnFormula>AC3+AQ3+BE3+BS3</calculatedColumnFormula>
    </tableColumn>
    <tableColumn id="87" xr3:uid="{DA8C544B-E14C-41E8-AFA6-F86B33D9FD81}" name="SGP APSB47" dataDxfId="96">
      <calculatedColumnFormula>AD3+AR3+BF3+BT3</calculatedColumnFormula>
    </tableColumn>
    <tableColumn id="88" xr3:uid="{DDBB8ED2-7BE6-43FE-A6E9-6EC261BAC97A}" name="Recursos Propios Entidades Descentralizadas48" dataDxfId="95">
      <calculatedColumnFormula>AE3+AS3+BG3+BU3</calculatedColumnFormula>
    </tableColumn>
    <tableColumn id="89" xr3:uid="{0549F766-9899-4EA7-9CDF-0BFB422E844C}" name="Sistema General de Regalías - SGR49" dataDxfId="94">
      <calculatedColumnFormula>AF3+AT3+BH3+BV3</calculatedColumnFormula>
    </tableColumn>
    <tableColumn id="90" xr3:uid="{7F32D8FE-B78C-45DF-8994-1B0B871AF883}" name="Crédito50" dataDxfId="93">
      <calculatedColumnFormula>AG3+AU3+BI3+BW3</calculatedColumnFormula>
    </tableColumn>
    <tableColumn id="91" xr3:uid="{5AC50A23-3951-446F-98FF-EDEC64C5C455}" name="Gestión51" dataDxfId="92">
      <calculatedColumnFormula>AI3+AW3+BK3+BY3</calculatedColumnFormula>
    </tableColumn>
    <tableColumn id="92" xr3:uid="{30125E01-107B-4C27-8FEE-816A68FA6960}" name="Cofinanciación52" dataDxfId="91">
      <calculatedColumnFormula>AJ3+AX3+BL3+BZ3</calculatedColumnFormula>
    </tableColumn>
    <tableColumn id="93" xr3:uid="{36D19D32-2B15-4671-8DA6-66BAA78614E1}" name="Otros Recursos53" dataDxfId="90">
      <calculatedColumnFormula>AK3+AY3+BM3+CA3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BA3703-11F1-4E9B-B25C-1611DE0275C4}" name="Tabla1" displayName="Tabla1" ref="E1:E7" totalsRowShown="0" headerRowDxfId="33" dataDxfId="31" headerRowBorderDxfId="32" tableBorderDxfId="30" totalsRowBorderDxfId="29">
  <autoFilter ref="E1:E7" xr:uid="{7BBA3703-11F1-4E9B-B25C-1611DE0275C4}"/>
  <tableColumns count="1">
    <tableColumn id="1" xr3:uid="{3829BDE1-57C2-41FB-A5BE-DF98A78E5403}" name="Dimensión" dataDxfId="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D4E66EE-84A8-4FA6-A3A3-D72056523F4A}" name="Tabla2" displayName="Tabla2" ref="G1:G3" totalsRowShown="0" headerRowDxfId="27" dataDxfId="25" headerRowBorderDxfId="26" tableBorderDxfId="24" totalsRowBorderDxfId="23">
  <autoFilter ref="G1:G3" xr:uid="{4D4E66EE-84A8-4FA6-A3A3-D72056523F4A}"/>
  <tableColumns count="1">
    <tableColumn id="1" xr3:uid="{1DCD2853-D104-4B9E-B48F-8BFBB3B9F14F}" name="Dimensión_1" dataDxfId="2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5A5678F-BF63-4660-9377-D47BE758D671}" name="Tabla3" displayName="Tabla3" ref="I1:I5" totalsRowShown="0" headerRowDxfId="21" dataDxfId="19" headerRowBorderDxfId="20" tableBorderDxfId="18" totalsRowBorderDxfId="17">
  <autoFilter ref="I1:I5" xr:uid="{85A5678F-BF63-4660-9377-D47BE758D671}"/>
  <tableColumns count="1">
    <tableColumn id="1" xr3:uid="{DE78F08A-B329-4D68-AB16-329458ECAFB0}" name="Dimensión_2" dataDxfId="1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122DB0-9410-46D3-974E-FF39BBFFB99C}" name="Tabla4" displayName="Tabla4" ref="K1:K3" totalsRowShown="0" headerRowDxfId="15" dataDxfId="13" headerRowBorderDxfId="14" tableBorderDxfId="12" totalsRowBorderDxfId="11">
  <autoFilter ref="K1:K3" xr:uid="{02122DB0-9410-46D3-974E-FF39BBFFB99C}"/>
  <tableColumns count="1">
    <tableColumn id="1" xr3:uid="{F2A49ED5-8915-412A-9B37-0EFA2FAE7746}" name="Dimensión_3" dataDxfId="1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E620E5E-1813-4223-B7B2-E69143ABADB0}" name="Tabla5" displayName="Tabla5" ref="M1:M3" totalsRowShown="0" headerRowDxfId="9" headerRowBorderDxfId="8" tableBorderDxfId="7" totalsRowBorderDxfId="6">
  <autoFilter ref="M1:M3" xr:uid="{7E620E5E-1813-4223-B7B2-E69143ABADB0}"/>
  <tableColumns count="1">
    <tableColumn id="1" xr3:uid="{64259DAF-DC44-4C8E-8616-92CDE7CDD2CD}" name="Dimensión_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3E056BD-16FF-4288-AD4B-3C931DDB4F39}" name="Tabla6" displayName="Tabla6" ref="O1:O6" totalsRowShown="0" headerRowDxfId="5" dataDxfId="3" headerRowBorderDxfId="4" tableBorderDxfId="2" totalsRowBorderDxfId="1">
  <autoFilter ref="O1:O6" xr:uid="{73E056BD-16FF-4288-AD4B-3C931DDB4F39}"/>
  <tableColumns count="1">
    <tableColumn id="1" xr3:uid="{7DE39F31-32DD-4CFE-8FD3-AE641EDCA228}" name="Dimensión_5"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3.xml.rels><?xml version="1.0" encoding="UTF-8" standalone="yes"?>
<Relationships xmlns="http://schemas.openxmlformats.org/package/2006/relationships"><Relationship Id="rId2" Type="http://schemas.openxmlformats.org/officeDocument/2006/relationships/hyperlink" Target="mailto:planeacion@loteriadeboyaca.gov.co" TargetMode="External"/><Relationship Id="rId1" Type="http://schemas.openxmlformats.org/officeDocument/2006/relationships/hyperlink" Target="mailto:planeacion@loteriadeboyaca.gov.co" TargetMode="Externa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1300"/>
  <sheetViews>
    <sheetView showGridLines="0" zoomScale="69" zoomScaleNormal="69" zoomScalePageLayoutView="69" workbookViewId="0">
      <pane xSplit="2" ySplit="3" topLeftCell="L810" activePane="bottomRight" state="frozen"/>
      <selection pane="topRight" activeCell="C1" sqref="C1"/>
      <selection pane="bottomLeft" activeCell="A4" sqref="A4"/>
      <selection pane="bottomRight" activeCell="Q810" sqref="Q810"/>
    </sheetView>
  </sheetViews>
  <sheetFormatPr baseColWidth="10" defaultRowHeight="19.8"/>
  <cols>
    <col min="1" max="1" width="19.59765625" style="255" customWidth="1"/>
    <col min="2" max="2" width="26.19921875" style="255" bestFit="1" customWidth="1"/>
    <col min="3" max="3" width="26" style="255" customWidth="1"/>
    <col min="4" max="4" width="13" style="255" customWidth="1"/>
    <col min="5" max="5" width="27.796875" style="255" customWidth="1"/>
    <col min="6" max="6" width="35" style="335" customWidth="1"/>
    <col min="7" max="7" width="28.69921875" style="255" customWidth="1"/>
    <col min="8" max="8" width="12" style="255" customWidth="1"/>
    <col min="9" max="9" width="30.296875" style="255" customWidth="1"/>
    <col min="10" max="10" width="16.09765625" style="255" bestFit="1" customWidth="1"/>
    <col min="11" max="11" width="18" style="255" bestFit="1" customWidth="1"/>
    <col min="12" max="12" width="17.19921875" style="255" bestFit="1" customWidth="1"/>
    <col min="13" max="13" width="16.296875" style="255" bestFit="1" customWidth="1"/>
    <col min="14" max="14" width="28.09765625" style="336" customWidth="1"/>
    <col min="15" max="15" width="40.69921875" style="255" customWidth="1"/>
    <col min="16" max="16" width="13.19921875" style="254" bestFit="1" customWidth="1"/>
    <col min="17" max="17" width="35" style="255" bestFit="1" customWidth="1"/>
    <col min="18" max="18" width="33" style="255" customWidth="1"/>
    <col min="19" max="19" width="16.09765625" style="255" bestFit="1" customWidth="1"/>
    <col min="20" max="39" width="24.19921875" style="255" customWidth="1"/>
    <col min="40" max="40" width="19.09765625" style="256" bestFit="1" customWidth="1"/>
    <col min="41" max="41" width="22" style="256" bestFit="1" customWidth="1"/>
    <col min="42" max="42" width="21.796875" style="256" bestFit="1" customWidth="1"/>
    <col min="43" max="43" width="24" style="256" bestFit="1" customWidth="1"/>
    <col min="44" max="44" width="22.59765625" style="256" bestFit="1" customWidth="1"/>
    <col min="45" max="59" width="24.19921875" style="257" customWidth="1"/>
    <col min="60" max="60" width="24.19921875" style="258" customWidth="1"/>
    <col min="61" max="75" width="24.19921875" style="257" customWidth="1"/>
    <col min="76" max="76" width="24.19921875" style="258" customWidth="1"/>
    <col min="77" max="91" width="24.19921875" style="257" customWidth="1"/>
    <col min="92" max="92" width="24.19921875" style="258" customWidth="1"/>
    <col min="93" max="107" width="24.19921875" style="257" customWidth="1"/>
    <col min="108" max="108" width="24.19921875" style="258" customWidth="1"/>
    <col min="109" max="109" width="32.796875" style="337" customWidth="1"/>
  </cols>
  <sheetData>
    <row r="1" spans="1:109" ht="27" customHeight="1" thickBot="1">
      <c r="A1" s="254"/>
      <c r="B1" s="254"/>
      <c r="C1" s="254"/>
      <c r="D1" s="254"/>
      <c r="E1" s="254"/>
      <c r="F1" s="254"/>
      <c r="G1" s="254"/>
      <c r="H1" s="254"/>
      <c r="I1" s="254"/>
      <c r="J1" s="254"/>
      <c r="K1" s="254"/>
      <c r="L1" s="254"/>
      <c r="M1" s="254"/>
      <c r="N1" s="254"/>
      <c r="O1" s="254"/>
      <c r="Q1" s="254"/>
      <c r="R1" s="254"/>
      <c r="S1" s="254"/>
      <c r="T1" s="254"/>
      <c r="DD1" s="259"/>
      <c r="DE1" s="260"/>
    </row>
    <row r="2" spans="1:109" s="114" customFormat="1" ht="51" customHeight="1" thickBot="1">
      <c r="A2" s="663" t="s">
        <v>2689</v>
      </c>
      <c r="B2" s="664"/>
      <c r="C2" s="664"/>
      <c r="D2" s="664"/>
      <c r="E2" s="664"/>
      <c r="F2" s="664"/>
      <c r="G2" s="664"/>
      <c r="H2" s="664"/>
      <c r="I2" s="664"/>
      <c r="J2" s="664"/>
      <c r="K2" s="664"/>
      <c r="L2" s="664"/>
      <c r="M2" s="664"/>
      <c r="N2" s="664"/>
      <c r="O2" s="664"/>
      <c r="P2" s="664"/>
      <c r="Q2" s="664"/>
      <c r="R2" s="664"/>
      <c r="S2" s="664"/>
      <c r="T2" s="665"/>
      <c r="U2" s="673" t="s">
        <v>3935</v>
      </c>
      <c r="V2" s="674"/>
      <c r="W2" s="675"/>
      <c r="X2" s="673" t="s">
        <v>3936</v>
      </c>
      <c r="Y2" s="674"/>
      <c r="Z2" s="674"/>
      <c r="AA2" s="674"/>
      <c r="AB2" s="675"/>
      <c r="AC2" s="673" t="s">
        <v>3937</v>
      </c>
      <c r="AD2" s="674"/>
      <c r="AE2" s="674"/>
      <c r="AF2" s="674"/>
      <c r="AG2" s="675"/>
      <c r="AH2" s="673" t="s">
        <v>3938</v>
      </c>
      <c r="AI2" s="674"/>
      <c r="AJ2" s="674"/>
      <c r="AK2" s="674"/>
      <c r="AL2" s="675"/>
      <c r="AM2" s="680"/>
      <c r="AN2" s="680"/>
      <c r="AO2" s="680"/>
      <c r="AP2" s="680"/>
      <c r="AQ2" s="680"/>
      <c r="AR2" s="681"/>
      <c r="AS2" s="676" t="s">
        <v>2684</v>
      </c>
      <c r="AT2" s="677"/>
      <c r="AU2" s="677"/>
      <c r="AV2" s="677"/>
      <c r="AW2" s="677"/>
      <c r="AX2" s="677"/>
      <c r="AY2" s="677"/>
      <c r="AZ2" s="677"/>
      <c r="BA2" s="677"/>
      <c r="BB2" s="677"/>
      <c r="BC2" s="677"/>
      <c r="BD2" s="677"/>
      <c r="BE2" s="677"/>
      <c r="BF2" s="677"/>
      <c r="BG2" s="677"/>
      <c r="BH2" s="679"/>
      <c r="BI2" s="676" t="s">
        <v>2685</v>
      </c>
      <c r="BJ2" s="677"/>
      <c r="BK2" s="677"/>
      <c r="BL2" s="677"/>
      <c r="BM2" s="677"/>
      <c r="BN2" s="677"/>
      <c r="BO2" s="677"/>
      <c r="BP2" s="677"/>
      <c r="BQ2" s="677"/>
      <c r="BR2" s="677"/>
      <c r="BS2" s="677"/>
      <c r="BT2" s="677"/>
      <c r="BU2" s="677"/>
      <c r="BV2" s="677"/>
      <c r="BW2" s="677"/>
      <c r="BX2" s="679"/>
      <c r="BY2" s="676" t="s">
        <v>2686</v>
      </c>
      <c r="BZ2" s="677"/>
      <c r="CA2" s="677"/>
      <c r="CB2" s="677"/>
      <c r="CC2" s="677"/>
      <c r="CD2" s="677"/>
      <c r="CE2" s="677"/>
      <c r="CF2" s="677"/>
      <c r="CG2" s="677"/>
      <c r="CH2" s="677"/>
      <c r="CI2" s="677"/>
      <c r="CJ2" s="677"/>
      <c r="CK2" s="677"/>
      <c r="CL2" s="677"/>
      <c r="CM2" s="677"/>
      <c r="CN2" s="679"/>
      <c r="CO2" s="676" t="s">
        <v>2687</v>
      </c>
      <c r="CP2" s="677"/>
      <c r="CQ2" s="677"/>
      <c r="CR2" s="677"/>
      <c r="CS2" s="677"/>
      <c r="CT2" s="677"/>
      <c r="CU2" s="677"/>
      <c r="CV2" s="677"/>
      <c r="CW2" s="677"/>
      <c r="CX2" s="677"/>
      <c r="CY2" s="677"/>
      <c r="CZ2" s="677"/>
      <c r="DA2" s="677"/>
      <c r="DB2" s="677"/>
      <c r="DC2" s="677"/>
      <c r="DD2" s="678"/>
      <c r="DE2" s="242" t="s">
        <v>2688</v>
      </c>
    </row>
    <row r="3" spans="1:109" s="113" customFormat="1" ht="76.05" customHeight="1" thickBot="1">
      <c r="A3" s="261" t="s">
        <v>1231</v>
      </c>
      <c r="B3" s="262" t="s">
        <v>3939</v>
      </c>
      <c r="C3" s="262" t="s">
        <v>1</v>
      </c>
      <c r="D3" s="262" t="s">
        <v>674</v>
      </c>
      <c r="E3" s="262" t="s">
        <v>2</v>
      </c>
      <c r="F3" s="262" t="s">
        <v>2325</v>
      </c>
      <c r="G3" s="262" t="s">
        <v>2691</v>
      </c>
      <c r="H3" s="262" t="s">
        <v>754</v>
      </c>
      <c r="I3" s="262" t="s">
        <v>3</v>
      </c>
      <c r="J3" s="262" t="s">
        <v>4</v>
      </c>
      <c r="K3" s="262" t="s">
        <v>753</v>
      </c>
      <c r="L3" s="262" t="s">
        <v>5</v>
      </c>
      <c r="M3" s="262" t="s">
        <v>678</v>
      </c>
      <c r="N3" s="262" t="s">
        <v>6</v>
      </c>
      <c r="O3" s="262" t="s">
        <v>7</v>
      </c>
      <c r="P3" s="263" t="s">
        <v>755</v>
      </c>
      <c r="Q3" s="262" t="s">
        <v>2690</v>
      </c>
      <c r="R3" s="262" t="s">
        <v>8</v>
      </c>
      <c r="S3" s="262" t="s">
        <v>4</v>
      </c>
      <c r="T3" s="262" t="s">
        <v>753</v>
      </c>
      <c r="U3" s="264" t="s">
        <v>2326</v>
      </c>
      <c r="V3" s="264" t="s">
        <v>2327</v>
      </c>
      <c r="W3" s="111" t="s">
        <v>3640</v>
      </c>
      <c r="X3" s="264" t="s">
        <v>2328</v>
      </c>
      <c r="Y3" s="264" t="s">
        <v>2329</v>
      </c>
      <c r="Z3" s="264" t="s">
        <v>2332</v>
      </c>
      <c r="AA3" s="264" t="s">
        <v>2333</v>
      </c>
      <c r="AB3" s="111" t="s">
        <v>3639</v>
      </c>
      <c r="AC3" s="264" t="s">
        <v>2330</v>
      </c>
      <c r="AD3" s="264" t="s">
        <v>2331</v>
      </c>
      <c r="AE3" s="264" t="s">
        <v>2334</v>
      </c>
      <c r="AF3" s="264" t="s">
        <v>2335</v>
      </c>
      <c r="AG3" s="111" t="s">
        <v>3641</v>
      </c>
      <c r="AH3" s="264" t="s">
        <v>2336</v>
      </c>
      <c r="AI3" s="264" t="s">
        <v>2337</v>
      </c>
      <c r="AJ3" s="264" t="s">
        <v>2338</v>
      </c>
      <c r="AK3" s="264" t="s">
        <v>2339</v>
      </c>
      <c r="AL3" s="111" t="s">
        <v>3642</v>
      </c>
      <c r="AM3" s="112" t="s">
        <v>5</v>
      </c>
      <c r="AN3" s="112" t="s">
        <v>627</v>
      </c>
      <c r="AO3" s="112" t="s">
        <v>752</v>
      </c>
      <c r="AP3" s="112" t="s">
        <v>0</v>
      </c>
      <c r="AQ3" s="112" t="s">
        <v>1209</v>
      </c>
      <c r="AR3" s="112" t="s">
        <v>628</v>
      </c>
      <c r="AS3" s="265" t="s">
        <v>3704</v>
      </c>
      <c r="AT3" s="265" t="s">
        <v>630</v>
      </c>
      <c r="AU3" s="265" t="s">
        <v>3705</v>
      </c>
      <c r="AV3" s="265" t="s">
        <v>631</v>
      </c>
      <c r="AW3" s="265" t="s">
        <v>632</v>
      </c>
      <c r="AX3" s="265" t="s">
        <v>633</v>
      </c>
      <c r="AY3" s="265" t="s">
        <v>634</v>
      </c>
      <c r="AZ3" s="265" t="s">
        <v>635</v>
      </c>
      <c r="BA3" s="265" t="s">
        <v>636</v>
      </c>
      <c r="BB3" s="265" t="s">
        <v>3706</v>
      </c>
      <c r="BC3" s="265" t="s">
        <v>637</v>
      </c>
      <c r="BD3" s="265" t="s">
        <v>3707</v>
      </c>
      <c r="BE3" s="265" t="s">
        <v>3708</v>
      </c>
      <c r="BF3" s="265" t="s">
        <v>638</v>
      </c>
      <c r="BG3" s="265" t="s">
        <v>639</v>
      </c>
      <c r="BH3" s="233" t="s">
        <v>640</v>
      </c>
      <c r="BI3" s="265" t="s">
        <v>3709</v>
      </c>
      <c r="BJ3" s="265" t="s">
        <v>641</v>
      </c>
      <c r="BK3" s="265" t="s">
        <v>3710</v>
      </c>
      <c r="BL3" s="265" t="s">
        <v>642</v>
      </c>
      <c r="BM3" s="265" t="s">
        <v>643</v>
      </c>
      <c r="BN3" s="265" t="s">
        <v>644</v>
      </c>
      <c r="BO3" s="265" t="s">
        <v>645</v>
      </c>
      <c r="BP3" s="265" t="s">
        <v>646</v>
      </c>
      <c r="BQ3" s="265" t="s">
        <v>647</v>
      </c>
      <c r="BR3" s="265" t="s">
        <v>3711</v>
      </c>
      <c r="BS3" s="265" t="s">
        <v>648</v>
      </c>
      <c r="BT3" s="265" t="s">
        <v>3712</v>
      </c>
      <c r="BU3" s="265" t="s">
        <v>3713</v>
      </c>
      <c r="BV3" s="265" t="s">
        <v>649</v>
      </c>
      <c r="BW3" s="265" t="s">
        <v>650</v>
      </c>
      <c r="BX3" s="233" t="s">
        <v>651</v>
      </c>
      <c r="BY3" s="265" t="s">
        <v>3714</v>
      </c>
      <c r="BZ3" s="265" t="s">
        <v>652</v>
      </c>
      <c r="CA3" s="265" t="s">
        <v>3715</v>
      </c>
      <c r="CB3" s="265" t="s">
        <v>653</v>
      </c>
      <c r="CC3" s="265" t="s">
        <v>654</v>
      </c>
      <c r="CD3" s="265" t="s">
        <v>655</v>
      </c>
      <c r="CE3" s="265" t="s">
        <v>656</v>
      </c>
      <c r="CF3" s="265" t="s">
        <v>657</v>
      </c>
      <c r="CG3" s="265" t="s">
        <v>658</v>
      </c>
      <c r="CH3" s="265" t="s">
        <v>3716</v>
      </c>
      <c r="CI3" s="265" t="s">
        <v>659</v>
      </c>
      <c r="CJ3" s="265" t="s">
        <v>3717</v>
      </c>
      <c r="CK3" s="265" t="s">
        <v>3718</v>
      </c>
      <c r="CL3" s="265" t="s">
        <v>660</v>
      </c>
      <c r="CM3" s="265" t="s">
        <v>661</v>
      </c>
      <c r="CN3" s="233" t="s">
        <v>662</v>
      </c>
      <c r="CO3" s="265" t="s">
        <v>3719</v>
      </c>
      <c r="CP3" s="265" t="s">
        <v>663</v>
      </c>
      <c r="CQ3" s="265" t="s">
        <v>3720</v>
      </c>
      <c r="CR3" s="265" t="s">
        <v>664</v>
      </c>
      <c r="CS3" s="265" t="s">
        <v>665</v>
      </c>
      <c r="CT3" s="265" t="s">
        <v>666</v>
      </c>
      <c r="CU3" s="265" t="s">
        <v>667</v>
      </c>
      <c r="CV3" s="265" t="s">
        <v>668</v>
      </c>
      <c r="CW3" s="265" t="s">
        <v>669</v>
      </c>
      <c r="CX3" s="265" t="s">
        <v>3721</v>
      </c>
      <c r="CY3" s="265" t="s">
        <v>670</v>
      </c>
      <c r="CZ3" s="265" t="s">
        <v>3722</v>
      </c>
      <c r="DA3" s="265" t="s">
        <v>3723</v>
      </c>
      <c r="DB3" s="265" t="s">
        <v>671</v>
      </c>
      <c r="DC3" s="265" t="s">
        <v>672</v>
      </c>
      <c r="DD3" s="241" t="s">
        <v>673</v>
      </c>
      <c r="DE3" s="251" t="s">
        <v>629</v>
      </c>
    </row>
    <row r="4" spans="1:109" s="99" customFormat="1" ht="75" customHeight="1">
      <c r="A4" s="266" t="s">
        <v>1232</v>
      </c>
      <c r="B4" s="266" t="s">
        <v>9</v>
      </c>
      <c r="C4" s="266" t="s">
        <v>1696</v>
      </c>
      <c r="D4" s="266">
        <v>1</v>
      </c>
      <c r="E4" s="266" t="s">
        <v>11</v>
      </c>
      <c r="F4" s="266" t="s">
        <v>675</v>
      </c>
      <c r="G4" s="266" t="s">
        <v>3276</v>
      </c>
      <c r="H4" s="266">
        <v>1</v>
      </c>
      <c r="I4" s="266" t="s">
        <v>676</v>
      </c>
      <c r="J4" s="266" t="s">
        <v>677</v>
      </c>
      <c r="K4" s="266">
        <v>15.2</v>
      </c>
      <c r="L4" s="266" t="s">
        <v>750</v>
      </c>
      <c r="M4" s="266" t="s">
        <v>680</v>
      </c>
      <c r="N4" s="266" t="s">
        <v>679</v>
      </c>
      <c r="O4" s="266" t="s">
        <v>681</v>
      </c>
      <c r="P4" s="266">
        <v>1</v>
      </c>
      <c r="Q4" s="266" t="s">
        <v>3086</v>
      </c>
      <c r="R4" s="266" t="s">
        <v>15</v>
      </c>
      <c r="S4" s="266" t="s">
        <v>683</v>
      </c>
      <c r="T4" s="266">
        <v>62</v>
      </c>
      <c r="U4" s="267"/>
      <c r="V4" s="267">
        <v>3</v>
      </c>
      <c r="W4" s="224">
        <v>3</v>
      </c>
      <c r="X4" s="267"/>
      <c r="Y4" s="267"/>
      <c r="Z4" s="267"/>
      <c r="AA4" s="267">
        <v>15</v>
      </c>
      <c r="AB4" s="224">
        <v>15</v>
      </c>
      <c r="AC4" s="267"/>
      <c r="AD4" s="267"/>
      <c r="AE4" s="267"/>
      <c r="AF4" s="267">
        <v>20</v>
      </c>
      <c r="AG4" s="224">
        <v>20</v>
      </c>
      <c r="AH4" s="267"/>
      <c r="AI4" s="267"/>
      <c r="AJ4" s="267"/>
      <c r="AK4" s="267">
        <v>20</v>
      </c>
      <c r="AL4" s="224">
        <v>20</v>
      </c>
      <c r="AM4" s="102">
        <v>58</v>
      </c>
      <c r="AN4" s="103" t="s">
        <v>685</v>
      </c>
      <c r="AO4" s="103" t="s">
        <v>612</v>
      </c>
      <c r="AP4" s="103" t="s">
        <v>1213</v>
      </c>
      <c r="AQ4" s="103" t="s">
        <v>1207</v>
      </c>
      <c r="AR4" s="103" t="s">
        <v>939</v>
      </c>
      <c r="AS4" s="268"/>
      <c r="AT4" s="268"/>
      <c r="AU4" s="268"/>
      <c r="AV4" s="268"/>
      <c r="AW4" s="268"/>
      <c r="AX4" s="268"/>
      <c r="AY4" s="268"/>
      <c r="AZ4" s="268"/>
      <c r="BA4" s="268"/>
      <c r="BB4" s="268">
        <v>9000000</v>
      </c>
      <c r="BC4" s="268"/>
      <c r="BD4" s="268"/>
      <c r="BE4" s="268"/>
      <c r="BF4" s="268"/>
      <c r="BG4" s="268"/>
      <c r="BH4" s="234">
        <f>IF(W4=0,0,BG4+BF4+BE4+BD4+BC4+BB4+BA4+AZ4+AY4+AX4+AW4+AV4+AU4+AT4+AS4)</f>
        <v>9000000</v>
      </c>
      <c r="BI4" s="268"/>
      <c r="BJ4" s="268"/>
      <c r="BK4" s="268"/>
      <c r="BL4" s="268"/>
      <c r="BM4" s="268">
        <v>45000000</v>
      </c>
      <c r="BN4" s="268"/>
      <c r="BO4" s="268"/>
      <c r="BP4" s="268"/>
      <c r="BQ4" s="268"/>
      <c r="BR4" s="268"/>
      <c r="BS4" s="268"/>
      <c r="BT4" s="268"/>
      <c r="BU4" s="268"/>
      <c r="BV4" s="268"/>
      <c r="BW4" s="268"/>
      <c r="BX4" s="234">
        <f>IF(AB4=0,0,BI4+BJ4+BK4+BL4+BM4+BN4+BO4+BP4+BQ4+BR4+BS4+BT4+BU4+BV4+BW4)</f>
        <v>45000000</v>
      </c>
      <c r="BY4" s="268"/>
      <c r="BZ4" s="268"/>
      <c r="CA4" s="268"/>
      <c r="CB4" s="268"/>
      <c r="CC4" s="268">
        <v>30000000</v>
      </c>
      <c r="CD4" s="268"/>
      <c r="CE4" s="268"/>
      <c r="CF4" s="268"/>
      <c r="CG4" s="268"/>
      <c r="CH4" s="268"/>
      <c r="CI4" s="268"/>
      <c r="CJ4" s="268"/>
      <c r="CK4" s="268"/>
      <c r="CL4" s="268"/>
      <c r="CM4" s="268"/>
      <c r="CN4" s="234">
        <f>IF(AG4=0,0,(BY4+BZ4+CA4+CB4+CC4+CD4+CE4+CF4+CG4+CH4+CI4+CJ4+CK4+CL4+CM4))</f>
        <v>30000000</v>
      </c>
      <c r="CO4" s="268"/>
      <c r="CP4" s="268"/>
      <c r="CQ4" s="268"/>
      <c r="CR4" s="268"/>
      <c r="CS4" s="268">
        <v>60000000</v>
      </c>
      <c r="CT4" s="268"/>
      <c r="CU4" s="268"/>
      <c r="CV4" s="268"/>
      <c r="CW4" s="268"/>
      <c r="CX4" s="268"/>
      <c r="CY4" s="268"/>
      <c r="CZ4" s="268"/>
      <c r="DA4" s="268"/>
      <c r="DB4" s="268"/>
      <c r="DC4" s="269"/>
      <c r="DD4" s="234">
        <f>IF(AL4=0,0,(CO4+CP4+CQ4+CR4+CS4+CT4+CU4+CV4+CW4+CX4+CY4+CZ4+DA4+DB4+DC4))</f>
        <v>60000000</v>
      </c>
      <c r="DE4" s="243">
        <f>SUM(DD4+CN4+BX4+BH4)</f>
        <v>144000000</v>
      </c>
    </row>
    <row r="5" spans="1:109" s="99" customFormat="1" ht="75" customHeight="1">
      <c r="A5" s="266" t="s">
        <v>1232</v>
      </c>
      <c r="B5" s="270" t="s">
        <v>9</v>
      </c>
      <c r="C5" s="266" t="s">
        <v>1696</v>
      </c>
      <c r="D5" s="266">
        <v>1</v>
      </c>
      <c r="E5" s="270" t="s">
        <v>11</v>
      </c>
      <c r="F5" s="266" t="s">
        <v>675</v>
      </c>
      <c r="G5" s="266" t="s">
        <v>3276</v>
      </c>
      <c r="H5" s="266">
        <v>1</v>
      </c>
      <c r="I5" s="266" t="s">
        <v>676</v>
      </c>
      <c r="J5" s="266" t="s">
        <v>677</v>
      </c>
      <c r="K5" s="266">
        <v>15.2</v>
      </c>
      <c r="L5" s="266" t="s">
        <v>750</v>
      </c>
      <c r="M5" s="266" t="s">
        <v>680</v>
      </c>
      <c r="N5" s="266" t="s">
        <v>679</v>
      </c>
      <c r="O5" s="266" t="s">
        <v>681</v>
      </c>
      <c r="P5" s="266">
        <v>2</v>
      </c>
      <c r="Q5" s="270" t="s">
        <v>3277</v>
      </c>
      <c r="R5" s="270" t="s">
        <v>17</v>
      </c>
      <c r="S5" s="266" t="s">
        <v>683</v>
      </c>
      <c r="T5" s="270">
        <v>2</v>
      </c>
      <c r="U5" s="267">
        <v>1</v>
      </c>
      <c r="V5" s="267">
        <v>3</v>
      </c>
      <c r="W5" s="224">
        <v>4</v>
      </c>
      <c r="X5" s="267"/>
      <c r="Y5" s="267">
        <v>2</v>
      </c>
      <c r="Z5" s="267"/>
      <c r="AA5" s="267"/>
      <c r="AB5" s="224">
        <v>2</v>
      </c>
      <c r="AC5" s="267"/>
      <c r="AD5" s="267">
        <v>2</v>
      </c>
      <c r="AE5" s="267"/>
      <c r="AF5" s="267"/>
      <c r="AG5" s="224">
        <v>2</v>
      </c>
      <c r="AH5" s="267"/>
      <c r="AI5" s="267"/>
      <c r="AJ5" s="267"/>
      <c r="AK5" s="267"/>
      <c r="AL5" s="224">
        <v>0</v>
      </c>
      <c r="AM5" s="104">
        <v>8</v>
      </c>
      <c r="AN5" s="103" t="s">
        <v>685</v>
      </c>
      <c r="AO5" s="103" t="s">
        <v>612</v>
      </c>
      <c r="AP5" s="103" t="s">
        <v>1213</v>
      </c>
      <c r="AQ5" s="103" t="s">
        <v>1207</v>
      </c>
      <c r="AR5" s="103" t="s">
        <v>939</v>
      </c>
      <c r="AS5" s="271"/>
      <c r="AT5" s="271"/>
      <c r="AU5" s="271"/>
      <c r="AV5" s="271"/>
      <c r="AW5" s="271">
        <v>805795042.5</v>
      </c>
      <c r="AX5" s="271"/>
      <c r="AY5" s="271"/>
      <c r="AZ5" s="271"/>
      <c r="BA5" s="271"/>
      <c r="BB5" s="271"/>
      <c r="BC5" s="271"/>
      <c r="BD5" s="271"/>
      <c r="BE5" s="271"/>
      <c r="BF5" s="271"/>
      <c r="BG5" s="271">
        <v>50000000</v>
      </c>
      <c r="BH5" s="235">
        <f>IF(W5=0,0,BG5+BF5+BE5+BD5+BC5+BB5+BA5+AZ5+AY5+AX5+AW5+AV5+AU5+AT5+AS5)</f>
        <v>855795042.5</v>
      </c>
      <c r="BI5" s="271"/>
      <c r="BJ5" s="271"/>
      <c r="BK5" s="271"/>
      <c r="BL5" s="271"/>
      <c r="BM5" s="271">
        <v>1095544853.75</v>
      </c>
      <c r="BN5" s="271"/>
      <c r="BO5" s="271"/>
      <c r="BP5" s="271"/>
      <c r="BQ5" s="271"/>
      <c r="BR5" s="271"/>
      <c r="BS5" s="271"/>
      <c r="BT5" s="271"/>
      <c r="BU5" s="271"/>
      <c r="BV5" s="271"/>
      <c r="BW5" s="271"/>
      <c r="BX5" s="235">
        <f>IF(AB5=0,0,BI5+BJ5+BK5+BL5+BM5+BN5+BO5+BP5+BQ5+BR5+BS5+BT5+BU5+BV5+BW5)</f>
        <v>1095544853.75</v>
      </c>
      <c r="BY5" s="271"/>
      <c r="BZ5" s="271"/>
      <c r="CA5" s="271"/>
      <c r="CB5" s="271"/>
      <c r="CC5" s="271">
        <v>30000000</v>
      </c>
      <c r="CD5" s="271"/>
      <c r="CE5" s="271"/>
      <c r="CF5" s="271"/>
      <c r="CG5" s="271"/>
      <c r="CH5" s="271"/>
      <c r="CI5" s="271"/>
      <c r="CJ5" s="271"/>
      <c r="CK5" s="271"/>
      <c r="CL5" s="271"/>
      <c r="CM5" s="271"/>
      <c r="CN5" s="235">
        <f>IF(AG5=0,0,(BY5+BZ5+CA5+CB5+CC5+CD5+CE5+CF5+CG5+CH5+CI5+CJ5+CK5+CL5+CM5))</f>
        <v>30000000</v>
      </c>
      <c r="CO5" s="271"/>
      <c r="CP5" s="271"/>
      <c r="CQ5" s="271"/>
      <c r="CR5" s="271"/>
      <c r="CS5" s="271"/>
      <c r="CT5" s="271"/>
      <c r="CU5" s="271"/>
      <c r="CV5" s="271"/>
      <c r="CW5" s="271"/>
      <c r="CX5" s="271"/>
      <c r="CY5" s="271"/>
      <c r="CZ5" s="271"/>
      <c r="DA5" s="271"/>
      <c r="DB5" s="271"/>
      <c r="DC5" s="272"/>
      <c r="DD5" s="235">
        <f>IF(AL5=0,0,(CO5+CP5+CQ5+CR5+CS5+CT5+CU5+CV5+CW5+CX5+CY5+CZ5+DA5+DB5+DC5))</f>
        <v>0</v>
      </c>
      <c r="DE5" s="244">
        <f t="shared" ref="DE5:DE8" si="0">SUM(DD5+CN5+BX5+BH5)</f>
        <v>1981339896.25</v>
      </c>
    </row>
    <row r="6" spans="1:109" s="99" customFormat="1" ht="75" customHeight="1">
      <c r="A6" s="266" t="s">
        <v>1232</v>
      </c>
      <c r="B6" s="270" t="s">
        <v>9</v>
      </c>
      <c r="C6" s="266" t="s">
        <v>1696</v>
      </c>
      <c r="D6" s="266">
        <v>1</v>
      </c>
      <c r="E6" s="270" t="s">
        <v>11</v>
      </c>
      <c r="F6" s="266" t="s">
        <v>675</v>
      </c>
      <c r="G6" s="266" t="s">
        <v>3276</v>
      </c>
      <c r="H6" s="266">
        <v>1</v>
      </c>
      <c r="I6" s="266" t="s">
        <v>676</v>
      </c>
      <c r="J6" s="266" t="s">
        <v>677</v>
      </c>
      <c r="K6" s="266">
        <v>15.2</v>
      </c>
      <c r="L6" s="266" t="s">
        <v>750</v>
      </c>
      <c r="M6" s="266" t="s">
        <v>680</v>
      </c>
      <c r="N6" s="266" t="s">
        <v>679</v>
      </c>
      <c r="O6" s="266" t="s">
        <v>681</v>
      </c>
      <c r="P6" s="266">
        <v>3</v>
      </c>
      <c r="Q6" s="270" t="s">
        <v>3087</v>
      </c>
      <c r="R6" s="270" t="s">
        <v>19</v>
      </c>
      <c r="S6" s="266" t="s">
        <v>683</v>
      </c>
      <c r="T6" s="270">
        <v>18</v>
      </c>
      <c r="U6" s="267"/>
      <c r="V6" s="267">
        <v>1</v>
      </c>
      <c r="W6" s="224">
        <v>1</v>
      </c>
      <c r="X6" s="267"/>
      <c r="Y6" s="267"/>
      <c r="Z6" s="267"/>
      <c r="AA6" s="267">
        <v>3</v>
      </c>
      <c r="AB6" s="224">
        <v>3</v>
      </c>
      <c r="AC6" s="267"/>
      <c r="AD6" s="267"/>
      <c r="AE6" s="267"/>
      <c r="AF6" s="267">
        <v>4</v>
      </c>
      <c r="AG6" s="224">
        <v>4</v>
      </c>
      <c r="AH6" s="267"/>
      <c r="AI6" s="267"/>
      <c r="AJ6" s="267">
        <v>4</v>
      </c>
      <c r="AK6" s="267"/>
      <c r="AL6" s="224">
        <v>4</v>
      </c>
      <c r="AM6" s="104">
        <v>12</v>
      </c>
      <c r="AN6" s="103" t="s">
        <v>685</v>
      </c>
      <c r="AO6" s="103" t="s">
        <v>612</v>
      </c>
      <c r="AP6" s="103" t="s">
        <v>1213</v>
      </c>
      <c r="AQ6" s="103" t="s">
        <v>1207</v>
      </c>
      <c r="AR6" s="103" t="s">
        <v>939</v>
      </c>
      <c r="AS6" s="271"/>
      <c r="AT6" s="271"/>
      <c r="AU6" s="271"/>
      <c r="AV6" s="271"/>
      <c r="AW6" s="271">
        <v>53908042.5</v>
      </c>
      <c r="AX6" s="271"/>
      <c r="AY6" s="271"/>
      <c r="AZ6" s="271"/>
      <c r="BA6" s="271"/>
      <c r="BB6" s="271"/>
      <c r="BC6" s="271"/>
      <c r="BD6" s="271"/>
      <c r="BE6" s="271"/>
      <c r="BF6" s="271"/>
      <c r="BG6" s="271"/>
      <c r="BH6" s="235">
        <f>IF(W6=0,0,BG6+BF6+BE6+BD6+BC6+BB6+BA6+AZ6+AY6+AX6+AW6+AV6+AU6+AT6+AS6)</f>
        <v>53908042.5</v>
      </c>
      <c r="BI6" s="271"/>
      <c r="BJ6" s="271"/>
      <c r="BK6" s="271"/>
      <c r="BL6" s="271"/>
      <c r="BM6" s="271">
        <v>70000000.079999998</v>
      </c>
      <c r="BN6" s="271"/>
      <c r="BO6" s="271"/>
      <c r="BP6" s="271"/>
      <c r="BQ6" s="271"/>
      <c r="BR6" s="271"/>
      <c r="BS6" s="271"/>
      <c r="BT6" s="271"/>
      <c r="BU6" s="271"/>
      <c r="BV6" s="271"/>
      <c r="BW6" s="271"/>
      <c r="BX6" s="235">
        <f>IF(AB6=0,0,BI6+BJ6+BK6+BL6+BM6+BN6+BO6+BP6+BQ6+BR6+BS6+BT6+BU6+BV6+BW6)</f>
        <v>70000000.079999998</v>
      </c>
      <c r="BY6" s="271"/>
      <c r="BZ6" s="271"/>
      <c r="CA6" s="271"/>
      <c r="CB6" s="271"/>
      <c r="CC6" s="271">
        <v>86000000</v>
      </c>
      <c r="CD6" s="271"/>
      <c r="CE6" s="271"/>
      <c r="CF6" s="271"/>
      <c r="CG6" s="271"/>
      <c r="CH6" s="271"/>
      <c r="CI6" s="271"/>
      <c r="CJ6" s="271"/>
      <c r="CK6" s="271"/>
      <c r="CL6" s="271"/>
      <c r="CM6" s="271"/>
      <c r="CN6" s="235">
        <f>IF(AG6=0,0,(BY6+BZ6+CA6+CB6+CC6+CD6+CE6+CF6+CG6+CH6+CI6+CJ6+CK6+CL6+CM6))</f>
        <v>86000000</v>
      </c>
      <c r="CO6" s="271"/>
      <c r="CP6" s="271"/>
      <c r="CQ6" s="271"/>
      <c r="CR6" s="271"/>
      <c r="CS6" s="271">
        <v>85000000</v>
      </c>
      <c r="CT6" s="271"/>
      <c r="CU6" s="271"/>
      <c r="CV6" s="271"/>
      <c r="CW6" s="271"/>
      <c r="CX6" s="271"/>
      <c r="CY6" s="271"/>
      <c r="CZ6" s="271"/>
      <c r="DA6" s="271"/>
      <c r="DB6" s="271"/>
      <c r="DC6" s="272"/>
      <c r="DD6" s="235">
        <f>IF(AL6=0,0,(CO6+CP6+CQ6+CR6+CS6+CT6+CU6+CV6+CW6+CX6+CY6+CZ6+DA6+DB6+DC6))</f>
        <v>85000000</v>
      </c>
      <c r="DE6" s="244">
        <f t="shared" si="0"/>
        <v>294908042.57999998</v>
      </c>
    </row>
    <row r="7" spans="1:109" s="99" customFormat="1" ht="75" customHeight="1">
      <c r="A7" s="266" t="s">
        <v>1232</v>
      </c>
      <c r="B7" s="270" t="s">
        <v>9</v>
      </c>
      <c r="C7" s="266" t="s">
        <v>1696</v>
      </c>
      <c r="D7" s="266">
        <v>1</v>
      </c>
      <c r="E7" s="270" t="s">
        <v>11</v>
      </c>
      <c r="F7" s="266" t="s">
        <v>675</v>
      </c>
      <c r="G7" s="266" t="s">
        <v>3276</v>
      </c>
      <c r="H7" s="266">
        <v>1</v>
      </c>
      <c r="I7" s="266" t="s">
        <v>676</v>
      </c>
      <c r="J7" s="266" t="s">
        <v>677</v>
      </c>
      <c r="K7" s="266">
        <v>15.2</v>
      </c>
      <c r="L7" s="266" t="s">
        <v>750</v>
      </c>
      <c r="M7" s="266" t="s">
        <v>680</v>
      </c>
      <c r="N7" s="266" t="s">
        <v>679</v>
      </c>
      <c r="O7" s="266" t="s">
        <v>681</v>
      </c>
      <c r="P7" s="266">
        <v>4</v>
      </c>
      <c r="Q7" s="270" t="s">
        <v>3724</v>
      </c>
      <c r="R7" s="270" t="s">
        <v>682</v>
      </c>
      <c r="S7" s="266" t="s">
        <v>683</v>
      </c>
      <c r="T7" s="270">
        <v>0</v>
      </c>
      <c r="U7" s="267"/>
      <c r="V7" s="267">
        <v>0.15</v>
      </c>
      <c r="W7" s="224">
        <v>0.15</v>
      </c>
      <c r="X7" s="267"/>
      <c r="Y7" s="267"/>
      <c r="Z7" s="267"/>
      <c r="AA7" s="267">
        <v>0.25</v>
      </c>
      <c r="AB7" s="224">
        <v>0.25</v>
      </c>
      <c r="AC7" s="267"/>
      <c r="AD7" s="267"/>
      <c r="AE7" s="267"/>
      <c r="AF7" s="267">
        <v>0.25</v>
      </c>
      <c r="AG7" s="224">
        <v>0.25</v>
      </c>
      <c r="AH7" s="267"/>
      <c r="AI7" s="267"/>
      <c r="AJ7" s="267">
        <v>0.35</v>
      </c>
      <c r="AK7" s="267"/>
      <c r="AL7" s="224">
        <v>0.35</v>
      </c>
      <c r="AM7" s="104">
        <v>1</v>
      </c>
      <c r="AN7" s="103" t="s">
        <v>685</v>
      </c>
      <c r="AO7" s="103" t="s">
        <v>612</v>
      </c>
      <c r="AP7" s="103" t="s">
        <v>1213</v>
      </c>
      <c r="AQ7" s="103" t="s">
        <v>1207</v>
      </c>
      <c r="AR7" s="103" t="s">
        <v>939</v>
      </c>
      <c r="AS7" s="271"/>
      <c r="AT7" s="271"/>
      <c r="AU7" s="271"/>
      <c r="AV7" s="271"/>
      <c r="AW7" s="271">
        <v>118719000</v>
      </c>
      <c r="AX7" s="271"/>
      <c r="AY7" s="271"/>
      <c r="AZ7" s="271"/>
      <c r="BA7" s="271"/>
      <c r="BB7" s="271">
        <v>42613883047.349998</v>
      </c>
      <c r="BC7" s="271"/>
      <c r="BD7" s="271"/>
      <c r="BE7" s="271"/>
      <c r="BF7" s="271"/>
      <c r="BG7" s="271"/>
      <c r="BH7" s="235">
        <f>IF(W7=0,0,BG7+BF7+BE7+BD7+BC7+BB7+BA7+AZ7+AY7+AX7+AW7+AV7+AU7+AT7+AS7)</f>
        <v>42732602047.349998</v>
      </c>
      <c r="BI7" s="271"/>
      <c r="BJ7" s="271"/>
      <c r="BK7" s="271"/>
      <c r="BL7" s="271"/>
      <c r="BM7" s="271">
        <v>123960443.84999998</v>
      </c>
      <c r="BN7" s="271"/>
      <c r="BO7" s="271"/>
      <c r="BP7" s="271"/>
      <c r="BQ7" s="271"/>
      <c r="BR7" s="271">
        <v>43896934538.7705</v>
      </c>
      <c r="BS7" s="271"/>
      <c r="BT7" s="271"/>
      <c r="BU7" s="271"/>
      <c r="BV7" s="271"/>
      <c r="BW7" s="271"/>
      <c r="BX7" s="235">
        <f>IF(AB7=0,0,BI7+BJ7+BK7+BL7+BM7+BN7+BO7+BP7+BQ7+BR7+BS7+BT7+BU7+BV7+BW7)</f>
        <v>44020894982.620499</v>
      </c>
      <c r="BY7" s="271"/>
      <c r="BZ7" s="271"/>
      <c r="CA7" s="271"/>
      <c r="CB7" s="271"/>
      <c r="CC7" s="271">
        <v>682811930.43306243</v>
      </c>
      <c r="CD7" s="271"/>
      <c r="CE7" s="271"/>
      <c r="CF7" s="271"/>
      <c r="CG7" s="271"/>
      <c r="CH7" s="271">
        <v>45213842574.933617</v>
      </c>
      <c r="CI7" s="271"/>
      <c r="CJ7" s="271"/>
      <c r="CK7" s="271"/>
      <c r="CL7" s="271"/>
      <c r="CM7" s="271"/>
      <c r="CN7" s="235">
        <f>IF(AG7=0,0,(BY7+BZ7+CA7+CB7+CC7+CD7+CE7+CF7+CG7+CH7+CI7+CJ7+CK7+CL7+CM7))</f>
        <v>45896654505.366676</v>
      </c>
      <c r="CO7" s="271"/>
      <c r="CP7" s="271"/>
      <c r="CQ7" s="271"/>
      <c r="CR7" s="271"/>
      <c r="CS7" s="271">
        <v>718011759.09873497</v>
      </c>
      <c r="CT7" s="271"/>
      <c r="CU7" s="271"/>
      <c r="CV7" s="271"/>
      <c r="CW7" s="271"/>
      <c r="CX7" s="271">
        <v>46570257852.181625</v>
      </c>
      <c r="CY7" s="271"/>
      <c r="CZ7" s="271"/>
      <c r="DA7" s="271"/>
      <c r="DB7" s="271"/>
      <c r="DC7" s="272"/>
      <c r="DD7" s="235">
        <f>IF(AL7=0,0,(CO7+CP7+CQ7+CR7+CS7+CT7+CU7+CV7+CW7+CX7+CY7+CZ7+DA7+DB7+DC7))</f>
        <v>47288269611.280357</v>
      </c>
      <c r="DE7" s="244">
        <f t="shared" si="0"/>
        <v>179938421146.61752</v>
      </c>
    </row>
    <row r="8" spans="1:109" s="99" customFormat="1" ht="75" customHeight="1">
      <c r="A8" s="273" t="s">
        <v>1232</v>
      </c>
      <c r="B8" s="274" t="s">
        <v>9</v>
      </c>
      <c r="C8" s="273" t="s">
        <v>1696</v>
      </c>
      <c r="D8" s="273">
        <v>1</v>
      </c>
      <c r="E8" s="274" t="s">
        <v>11</v>
      </c>
      <c r="F8" s="273" t="s">
        <v>675</v>
      </c>
      <c r="G8" s="273" t="s">
        <v>3276</v>
      </c>
      <c r="H8" s="273">
        <v>1</v>
      </c>
      <c r="I8" s="273" t="s">
        <v>676</v>
      </c>
      <c r="J8" s="273" t="s">
        <v>677</v>
      </c>
      <c r="K8" s="273">
        <v>15.2</v>
      </c>
      <c r="L8" s="273" t="s">
        <v>750</v>
      </c>
      <c r="M8" s="273" t="s">
        <v>680</v>
      </c>
      <c r="N8" s="273" t="s">
        <v>679</v>
      </c>
      <c r="O8" s="273" t="s">
        <v>681</v>
      </c>
      <c r="P8" s="266">
        <v>5</v>
      </c>
      <c r="Q8" s="274" t="s">
        <v>3278</v>
      </c>
      <c r="R8" s="274" t="s">
        <v>24</v>
      </c>
      <c r="S8" s="273" t="s">
        <v>683</v>
      </c>
      <c r="T8" s="274">
        <v>0</v>
      </c>
      <c r="U8" s="275"/>
      <c r="V8" s="275">
        <v>0.15</v>
      </c>
      <c r="W8" s="225">
        <v>0.15</v>
      </c>
      <c r="X8" s="275"/>
      <c r="Y8" s="275"/>
      <c r="Z8" s="275"/>
      <c r="AA8" s="275">
        <v>0.25</v>
      </c>
      <c r="AB8" s="225">
        <v>0.25</v>
      </c>
      <c r="AC8" s="275"/>
      <c r="AD8" s="275"/>
      <c r="AE8" s="275"/>
      <c r="AF8" s="275">
        <v>0.25</v>
      </c>
      <c r="AG8" s="225">
        <v>0.25</v>
      </c>
      <c r="AH8" s="275"/>
      <c r="AI8" s="275"/>
      <c r="AJ8" s="275">
        <v>0.35</v>
      </c>
      <c r="AK8" s="275"/>
      <c r="AL8" s="225">
        <v>0.35</v>
      </c>
      <c r="AM8" s="119">
        <v>1</v>
      </c>
      <c r="AN8" s="120" t="s">
        <v>685</v>
      </c>
      <c r="AO8" s="120" t="s">
        <v>612</v>
      </c>
      <c r="AP8" s="120" t="s">
        <v>1213</v>
      </c>
      <c r="AQ8" s="120" t="s">
        <v>1207</v>
      </c>
      <c r="AR8" s="120" t="s">
        <v>939</v>
      </c>
      <c r="AS8" s="276"/>
      <c r="AT8" s="276"/>
      <c r="AU8" s="276"/>
      <c r="AV8" s="276"/>
      <c r="AW8" s="276">
        <v>118719000</v>
      </c>
      <c r="AX8" s="276"/>
      <c r="AY8" s="276"/>
      <c r="AZ8" s="276"/>
      <c r="BA8" s="276"/>
      <c r="BB8" s="276">
        <v>42613883047.349998</v>
      </c>
      <c r="BC8" s="276"/>
      <c r="BD8" s="276"/>
      <c r="BE8" s="276"/>
      <c r="BF8" s="276"/>
      <c r="BG8" s="276"/>
      <c r="BH8" s="236">
        <f>IF(W8=0,0,BG8+BF8+BE8+BD8+BC8+BB8+BA8+AZ8+AY8+AX8+AW8+AV8+AU8+AT8+AS8)</f>
        <v>42732602047.349998</v>
      </c>
      <c r="BI8" s="276"/>
      <c r="BJ8" s="276"/>
      <c r="BK8" s="276"/>
      <c r="BL8" s="276"/>
      <c r="BM8" s="276">
        <v>123960443.84999998</v>
      </c>
      <c r="BN8" s="276"/>
      <c r="BO8" s="276"/>
      <c r="BP8" s="276"/>
      <c r="BQ8" s="276"/>
      <c r="BR8" s="276">
        <v>43896934538.7705</v>
      </c>
      <c r="BS8" s="276"/>
      <c r="BT8" s="276"/>
      <c r="BU8" s="276"/>
      <c r="BV8" s="276"/>
      <c r="BW8" s="276"/>
      <c r="BX8" s="236">
        <f>IF(AB8=0,0,BI8+BJ8+BK8+BL8+BM8+BN8+BO8+BP8+BQ8+BR8+BS8+BT8+BU8+BV8+BW8)</f>
        <v>44020894982.620499</v>
      </c>
      <c r="BY8" s="276"/>
      <c r="BZ8" s="276"/>
      <c r="CA8" s="276"/>
      <c r="CB8" s="276"/>
      <c r="CC8" s="276">
        <v>682811930.43306243</v>
      </c>
      <c r="CD8" s="276"/>
      <c r="CE8" s="276"/>
      <c r="CF8" s="276"/>
      <c r="CG8" s="276"/>
      <c r="CH8" s="276">
        <v>45213842574.933617</v>
      </c>
      <c r="CI8" s="276"/>
      <c r="CJ8" s="276"/>
      <c r="CK8" s="276"/>
      <c r="CL8" s="276"/>
      <c r="CM8" s="276"/>
      <c r="CN8" s="236">
        <f>IF(AG8=0,0,(BY8+BZ8+CA8+CB8+CC8+CD8+CE8+CF8+CG8+CH8+CI8+CJ8+CK8+CL8+CM8))</f>
        <v>45896654505.366676</v>
      </c>
      <c r="CO8" s="276"/>
      <c r="CP8" s="276"/>
      <c r="CQ8" s="276"/>
      <c r="CR8" s="276"/>
      <c r="CS8" s="276">
        <v>718011759.09873497</v>
      </c>
      <c r="CT8" s="276"/>
      <c r="CU8" s="276"/>
      <c r="CV8" s="276"/>
      <c r="CW8" s="276"/>
      <c r="CX8" s="276">
        <v>46570257852.181625</v>
      </c>
      <c r="CY8" s="276"/>
      <c r="CZ8" s="276"/>
      <c r="DA8" s="276"/>
      <c r="DB8" s="276"/>
      <c r="DC8" s="277"/>
      <c r="DD8" s="236">
        <f>IF(AL8=0,0,(CO8+CP8+CQ8+CR8+CS8+CT8+CU8+CV8+CW8+CX8+CY8+CZ8+DA8+DB8+DC8))</f>
        <v>47288269611.280357</v>
      </c>
      <c r="DE8" s="245">
        <f t="shared" si="0"/>
        <v>179938421146.61752</v>
      </c>
    </row>
    <row r="9" spans="1:109" s="46" customFormat="1" ht="54" customHeight="1">
      <c r="A9" s="134" t="s">
        <v>1232</v>
      </c>
      <c r="B9" s="134" t="s">
        <v>9</v>
      </c>
      <c r="C9" s="134" t="s">
        <v>1696</v>
      </c>
      <c r="D9" s="134">
        <v>1</v>
      </c>
      <c r="E9" s="134" t="s">
        <v>11</v>
      </c>
      <c r="F9" s="135"/>
      <c r="G9" s="136"/>
      <c r="H9" s="137"/>
      <c r="I9" s="137"/>
      <c r="J9" s="137"/>
      <c r="K9" s="138"/>
      <c r="L9" s="137"/>
      <c r="M9" s="137"/>
      <c r="N9" s="137"/>
      <c r="O9" s="137"/>
      <c r="P9" s="137"/>
      <c r="Q9" s="136"/>
      <c r="R9" s="139"/>
      <c r="S9" s="137"/>
      <c r="T9" s="137"/>
      <c r="U9" s="140"/>
      <c r="V9" s="140"/>
      <c r="W9" s="138"/>
      <c r="X9" s="140"/>
      <c r="Y9" s="140"/>
      <c r="Z9" s="140"/>
      <c r="AA9" s="140"/>
      <c r="AB9" s="138"/>
      <c r="AC9" s="140"/>
      <c r="AD9" s="140"/>
      <c r="AE9" s="140"/>
      <c r="AF9" s="140"/>
      <c r="AG9" s="138"/>
      <c r="AH9" s="140"/>
      <c r="AI9" s="140"/>
      <c r="AJ9" s="140"/>
      <c r="AK9" s="140"/>
      <c r="AL9" s="138"/>
      <c r="AM9" s="141"/>
      <c r="AN9" s="142"/>
      <c r="AO9" s="142"/>
      <c r="AP9" s="143"/>
      <c r="AQ9" s="143"/>
      <c r="AR9" s="144"/>
      <c r="AS9" s="132">
        <f>SUM(AS4:AS8)</f>
        <v>0</v>
      </c>
      <c r="AT9" s="132">
        <f t="shared" ref="AT9:DE9" si="1">SUM(AT4:AT8)</f>
        <v>0</v>
      </c>
      <c r="AU9" s="132">
        <f t="shared" si="1"/>
        <v>0</v>
      </c>
      <c r="AV9" s="132">
        <f t="shared" si="1"/>
        <v>0</v>
      </c>
      <c r="AW9" s="132">
        <f t="shared" si="1"/>
        <v>1097141085</v>
      </c>
      <c r="AX9" s="132">
        <f t="shared" si="1"/>
        <v>0</v>
      </c>
      <c r="AY9" s="132">
        <f t="shared" si="1"/>
        <v>0</v>
      </c>
      <c r="AZ9" s="132">
        <f t="shared" si="1"/>
        <v>0</v>
      </c>
      <c r="BA9" s="132">
        <f t="shared" si="1"/>
        <v>0</v>
      </c>
      <c r="BB9" s="132">
        <f t="shared" si="1"/>
        <v>85236766094.699997</v>
      </c>
      <c r="BC9" s="132">
        <f t="shared" si="1"/>
        <v>0</v>
      </c>
      <c r="BD9" s="132">
        <f t="shared" si="1"/>
        <v>0</v>
      </c>
      <c r="BE9" s="132">
        <f t="shared" si="1"/>
        <v>0</v>
      </c>
      <c r="BF9" s="132">
        <f t="shared" si="1"/>
        <v>0</v>
      </c>
      <c r="BG9" s="132">
        <f t="shared" si="1"/>
        <v>50000000</v>
      </c>
      <c r="BH9" s="132">
        <f>IF(OR(AND(BH4=0,W4&lt;&gt;0),AND(BH5=0,W5&lt;&gt;0),AND(BH6=0,W6&lt;&gt;0),AND(BH7=0,W7&lt;&gt;0),AND(BH8=0,W8&lt;&gt;0)),"NO DEBEN QUEDAR CELDAS EN ROJO",SUM(BH4:BH8))</f>
        <v>86383907179.699997</v>
      </c>
      <c r="BI9" s="132">
        <f t="shared" si="1"/>
        <v>0</v>
      </c>
      <c r="BJ9" s="132">
        <f t="shared" si="1"/>
        <v>0</v>
      </c>
      <c r="BK9" s="132">
        <f t="shared" si="1"/>
        <v>0</v>
      </c>
      <c r="BL9" s="132">
        <f t="shared" si="1"/>
        <v>0</v>
      </c>
      <c r="BM9" s="132">
        <f t="shared" si="1"/>
        <v>1458465741.5299997</v>
      </c>
      <c r="BN9" s="132">
        <f t="shared" si="1"/>
        <v>0</v>
      </c>
      <c r="BO9" s="132">
        <f t="shared" si="1"/>
        <v>0</v>
      </c>
      <c r="BP9" s="132">
        <f t="shared" si="1"/>
        <v>0</v>
      </c>
      <c r="BQ9" s="132">
        <f t="shared" si="1"/>
        <v>0</v>
      </c>
      <c r="BR9" s="132">
        <f t="shared" si="1"/>
        <v>87793869077.541</v>
      </c>
      <c r="BS9" s="132">
        <f t="shared" si="1"/>
        <v>0</v>
      </c>
      <c r="BT9" s="132">
        <f t="shared" si="1"/>
        <v>0</v>
      </c>
      <c r="BU9" s="132">
        <f t="shared" si="1"/>
        <v>0</v>
      </c>
      <c r="BV9" s="132">
        <f t="shared" si="1"/>
        <v>0</v>
      </c>
      <c r="BW9" s="132">
        <f t="shared" si="1"/>
        <v>0</v>
      </c>
      <c r="BX9" s="132">
        <f>IF(OR(AND(BX4=0,AB4&lt;&gt;0),AND(BX5=0,AB5&lt;&gt;0),AND(BX6=0,AB6&lt;&gt;0),AND(BX7=0,AB7&lt;&gt;0),AND(BX8=0,AB8&lt;&gt;0)),"NO DEBEN QUEDAR CELDAS EN ROJO",SUM(BX4:BX8))</f>
        <v>89252334819.070999</v>
      </c>
      <c r="BY9" s="132">
        <f t="shared" si="1"/>
        <v>0</v>
      </c>
      <c r="BZ9" s="132">
        <f t="shared" si="1"/>
        <v>0</v>
      </c>
      <c r="CA9" s="132">
        <f t="shared" si="1"/>
        <v>0</v>
      </c>
      <c r="CB9" s="132">
        <f t="shared" si="1"/>
        <v>0</v>
      </c>
      <c r="CC9" s="132">
        <f t="shared" si="1"/>
        <v>1511623860.8661249</v>
      </c>
      <c r="CD9" s="132">
        <f t="shared" si="1"/>
        <v>0</v>
      </c>
      <c r="CE9" s="132">
        <f t="shared" si="1"/>
        <v>0</v>
      </c>
      <c r="CF9" s="132">
        <f t="shared" si="1"/>
        <v>0</v>
      </c>
      <c r="CG9" s="132">
        <f t="shared" si="1"/>
        <v>0</v>
      </c>
      <c r="CH9" s="132">
        <f t="shared" si="1"/>
        <v>90427685149.867233</v>
      </c>
      <c r="CI9" s="132">
        <f t="shared" si="1"/>
        <v>0</v>
      </c>
      <c r="CJ9" s="132">
        <f t="shared" si="1"/>
        <v>0</v>
      </c>
      <c r="CK9" s="132">
        <f t="shared" si="1"/>
        <v>0</v>
      </c>
      <c r="CL9" s="132">
        <f t="shared" si="1"/>
        <v>0</v>
      </c>
      <c r="CM9" s="132">
        <f t="shared" si="1"/>
        <v>0</v>
      </c>
      <c r="CN9" s="132">
        <f>IF(OR(AND(CN4=0,AG4&lt;&gt;0),AND(CN5=0,AG5&lt;&gt;0),AND(CN6=0,AG6&lt;&gt;0),AND(CN7=0,AG7&lt;&gt;0),AND(CN8=0,AG8&lt;&gt;0)),"NO DEBEN QUEDAR CELDAS EN ROJO",SUM(CN4:CN8))</f>
        <v>91939309010.733353</v>
      </c>
      <c r="CO9" s="132">
        <f t="shared" si="1"/>
        <v>0</v>
      </c>
      <c r="CP9" s="132">
        <f t="shared" si="1"/>
        <v>0</v>
      </c>
      <c r="CQ9" s="132">
        <f t="shared" si="1"/>
        <v>0</v>
      </c>
      <c r="CR9" s="132">
        <f t="shared" si="1"/>
        <v>0</v>
      </c>
      <c r="CS9" s="132">
        <f t="shared" si="1"/>
        <v>1581023518.1974699</v>
      </c>
      <c r="CT9" s="132">
        <f t="shared" si="1"/>
        <v>0</v>
      </c>
      <c r="CU9" s="132">
        <f t="shared" si="1"/>
        <v>0</v>
      </c>
      <c r="CV9" s="132">
        <f t="shared" si="1"/>
        <v>0</v>
      </c>
      <c r="CW9" s="132">
        <f t="shared" si="1"/>
        <v>0</v>
      </c>
      <c r="CX9" s="132">
        <f t="shared" si="1"/>
        <v>93140515704.363251</v>
      </c>
      <c r="CY9" s="132">
        <f t="shared" si="1"/>
        <v>0</v>
      </c>
      <c r="CZ9" s="132">
        <f t="shared" si="1"/>
        <v>0</v>
      </c>
      <c r="DA9" s="132">
        <f t="shared" si="1"/>
        <v>0</v>
      </c>
      <c r="DB9" s="132">
        <f t="shared" si="1"/>
        <v>0</v>
      </c>
      <c r="DC9" s="132">
        <f t="shared" si="1"/>
        <v>0</v>
      </c>
      <c r="DD9" s="132">
        <f>IF(OR(AND(DD4=0,AL4&lt;&gt;0),AND(DD5=0,AL5&lt;&gt;0),AND(DD6=0,AL6&lt;&gt;0),AND(DD7=0,AL7&lt;&gt;0),AND(DD8=0,AL8&lt;&gt;0)),"NO DEBEN QUEDAR CELDAS EN ROJO",SUM(DD4:DD8))</f>
        <v>94721539222.560715</v>
      </c>
      <c r="DE9" s="133">
        <f t="shared" si="1"/>
        <v>362297090232.06506</v>
      </c>
    </row>
    <row r="10" spans="1:109" s="99" customFormat="1" ht="117" customHeight="1">
      <c r="A10" s="103" t="s">
        <v>1232</v>
      </c>
      <c r="B10" s="103" t="s">
        <v>9</v>
      </c>
      <c r="C10" s="103" t="s">
        <v>1696</v>
      </c>
      <c r="D10" s="103">
        <v>2</v>
      </c>
      <c r="E10" s="103" t="s">
        <v>27</v>
      </c>
      <c r="F10" s="278" t="s">
        <v>688</v>
      </c>
      <c r="G10" s="103" t="s">
        <v>3703</v>
      </c>
      <c r="H10" s="103">
        <v>2</v>
      </c>
      <c r="I10" s="103" t="s">
        <v>28</v>
      </c>
      <c r="J10" s="103" t="s">
        <v>689</v>
      </c>
      <c r="K10" s="103">
        <v>253</v>
      </c>
      <c r="L10" s="103" t="s">
        <v>751</v>
      </c>
      <c r="M10" s="103" t="s">
        <v>690</v>
      </c>
      <c r="N10" s="103" t="s">
        <v>691</v>
      </c>
      <c r="O10" s="103" t="s">
        <v>29</v>
      </c>
      <c r="P10" s="266">
        <v>6</v>
      </c>
      <c r="Q10" s="103" t="s">
        <v>3279</v>
      </c>
      <c r="R10" s="103" t="s">
        <v>692</v>
      </c>
      <c r="S10" s="103" t="s">
        <v>683</v>
      </c>
      <c r="T10" s="103">
        <v>393</v>
      </c>
      <c r="U10" s="267"/>
      <c r="V10" s="267">
        <v>393</v>
      </c>
      <c r="W10" s="224">
        <v>393</v>
      </c>
      <c r="X10" s="267"/>
      <c r="Y10" s="267"/>
      <c r="Z10" s="267"/>
      <c r="AA10" s="267">
        <v>393</v>
      </c>
      <c r="AB10" s="224">
        <v>393</v>
      </c>
      <c r="AC10" s="267"/>
      <c r="AD10" s="267"/>
      <c r="AE10" s="267"/>
      <c r="AF10" s="267">
        <v>393</v>
      </c>
      <c r="AG10" s="224">
        <v>393</v>
      </c>
      <c r="AH10" s="267"/>
      <c r="AI10" s="267"/>
      <c r="AJ10" s="267"/>
      <c r="AK10" s="267">
        <v>393</v>
      </c>
      <c r="AL10" s="224">
        <v>393</v>
      </c>
      <c r="AM10" s="102">
        <v>393</v>
      </c>
      <c r="AN10" s="103" t="s">
        <v>686</v>
      </c>
      <c r="AO10" s="103" t="s">
        <v>612</v>
      </c>
      <c r="AP10" s="103" t="s">
        <v>1213</v>
      </c>
      <c r="AQ10" s="103" t="s">
        <v>1195</v>
      </c>
      <c r="AR10" s="103" t="s">
        <v>939</v>
      </c>
      <c r="AS10" s="268"/>
      <c r="AT10" s="268"/>
      <c r="AU10" s="268"/>
      <c r="AV10" s="268"/>
      <c r="AW10" s="268"/>
      <c r="AX10" s="268"/>
      <c r="AY10" s="268"/>
      <c r="AZ10" s="268"/>
      <c r="BA10" s="268"/>
      <c r="BB10" s="268">
        <v>3033600000</v>
      </c>
      <c r="BC10" s="268"/>
      <c r="BD10" s="268"/>
      <c r="BE10" s="268"/>
      <c r="BF10" s="268"/>
      <c r="BG10" s="268"/>
      <c r="BH10" s="234">
        <v>3033600000</v>
      </c>
      <c r="BI10" s="268"/>
      <c r="BJ10" s="268"/>
      <c r="BK10" s="268"/>
      <c r="BL10" s="268"/>
      <c r="BM10" s="268"/>
      <c r="BN10" s="268"/>
      <c r="BO10" s="268"/>
      <c r="BP10" s="268"/>
      <c r="BQ10" s="268"/>
      <c r="BR10" s="268">
        <v>3124608000</v>
      </c>
      <c r="BS10" s="268"/>
      <c r="BT10" s="268"/>
      <c r="BU10" s="268"/>
      <c r="BV10" s="268"/>
      <c r="BW10" s="268"/>
      <c r="BX10" s="234">
        <v>3124608000</v>
      </c>
      <c r="BY10" s="268"/>
      <c r="BZ10" s="268"/>
      <c r="CA10" s="268"/>
      <c r="CB10" s="268"/>
      <c r="CC10" s="268"/>
      <c r="CD10" s="268"/>
      <c r="CE10" s="268"/>
      <c r="CF10" s="268"/>
      <c r="CG10" s="268"/>
      <c r="CH10" s="268">
        <v>3218346240</v>
      </c>
      <c r="CI10" s="268"/>
      <c r="CJ10" s="268"/>
      <c r="CK10" s="268"/>
      <c r="CL10" s="268"/>
      <c r="CM10" s="268"/>
      <c r="CN10" s="234">
        <v>3218346240</v>
      </c>
      <c r="CO10" s="268"/>
      <c r="CP10" s="268"/>
      <c r="CQ10" s="268"/>
      <c r="CR10" s="268"/>
      <c r="CS10" s="268"/>
      <c r="CT10" s="268"/>
      <c r="CU10" s="268"/>
      <c r="CV10" s="268"/>
      <c r="CW10" s="268"/>
      <c r="CX10" s="268">
        <v>3314896627.2000003</v>
      </c>
      <c r="CY10" s="268"/>
      <c r="CZ10" s="268"/>
      <c r="DA10" s="268"/>
      <c r="DB10" s="268"/>
      <c r="DC10" s="268"/>
      <c r="DD10" s="234">
        <v>3314896627.2000003</v>
      </c>
      <c r="DE10" s="243">
        <v>12691450867.200001</v>
      </c>
    </row>
    <row r="11" spans="1:109" s="99" customFormat="1" ht="117" customHeight="1">
      <c r="A11" s="103" t="s">
        <v>1232</v>
      </c>
      <c r="B11" s="279" t="s">
        <v>9</v>
      </c>
      <c r="C11" s="103" t="s">
        <v>1696</v>
      </c>
      <c r="D11" s="279">
        <v>2</v>
      </c>
      <c r="E11" s="279" t="s">
        <v>27</v>
      </c>
      <c r="F11" s="280" t="s">
        <v>688</v>
      </c>
      <c r="G11" s="279" t="s">
        <v>3703</v>
      </c>
      <c r="H11" s="279">
        <v>2</v>
      </c>
      <c r="I11" s="279" t="s">
        <v>28</v>
      </c>
      <c r="J11" s="279" t="s">
        <v>689</v>
      </c>
      <c r="K11" s="279">
        <v>253</v>
      </c>
      <c r="L11" s="279" t="s">
        <v>751</v>
      </c>
      <c r="M11" s="279" t="s">
        <v>690</v>
      </c>
      <c r="N11" s="279" t="s">
        <v>691</v>
      </c>
      <c r="O11" s="279" t="s">
        <v>29</v>
      </c>
      <c r="P11" s="266">
        <v>7</v>
      </c>
      <c r="Q11" s="279" t="s">
        <v>3280</v>
      </c>
      <c r="R11" s="279" t="s">
        <v>692</v>
      </c>
      <c r="S11" s="279" t="s">
        <v>683</v>
      </c>
      <c r="T11" s="279">
        <v>393</v>
      </c>
      <c r="U11" s="267"/>
      <c r="V11" s="267"/>
      <c r="W11" s="224">
        <v>0</v>
      </c>
      <c r="X11" s="267"/>
      <c r="Y11" s="267"/>
      <c r="Z11" s="267"/>
      <c r="AA11" s="267">
        <v>20</v>
      </c>
      <c r="AB11" s="224">
        <v>20</v>
      </c>
      <c r="AC11" s="267"/>
      <c r="AD11" s="267"/>
      <c r="AE11" s="267"/>
      <c r="AF11" s="267">
        <v>43</v>
      </c>
      <c r="AG11" s="224">
        <v>43</v>
      </c>
      <c r="AH11" s="267"/>
      <c r="AI11" s="267"/>
      <c r="AJ11" s="267"/>
      <c r="AK11" s="267">
        <v>44</v>
      </c>
      <c r="AL11" s="224">
        <v>44</v>
      </c>
      <c r="AM11" s="104">
        <v>107</v>
      </c>
      <c r="AN11" s="103" t="s">
        <v>685</v>
      </c>
      <c r="AO11" s="103" t="s">
        <v>612</v>
      </c>
      <c r="AP11" s="103" t="s">
        <v>1213</v>
      </c>
      <c r="AQ11" s="103" t="s">
        <v>1195</v>
      </c>
      <c r="AR11" s="103" t="s">
        <v>939</v>
      </c>
      <c r="AS11" s="271"/>
      <c r="AT11" s="271"/>
      <c r="AU11" s="271"/>
      <c r="AV11" s="271"/>
      <c r="AW11" s="271"/>
      <c r="AX11" s="271"/>
      <c r="AY11" s="271"/>
      <c r="AZ11" s="271"/>
      <c r="BA11" s="271"/>
      <c r="BB11" s="271"/>
      <c r="BC11" s="271"/>
      <c r="BD11" s="271"/>
      <c r="BE11" s="271"/>
      <c r="BF11" s="271"/>
      <c r="BG11" s="271"/>
      <c r="BH11" s="235">
        <v>0</v>
      </c>
      <c r="BI11" s="271"/>
      <c r="BJ11" s="271"/>
      <c r="BK11" s="271"/>
      <c r="BL11" s="271"/>
      <c r="BM11" s="271">
        <v>39000000</v>
      </c>
      <c r="BN11" s="271"/>
      <c r="BO11" s="271"/>
      <c r="BP11" s="271"/>
      <c r="BQ11" s="271"/>
      <c r="BR11" s="271">
        <v>120000000</v>
      </c>
      <c r="BS11" s="271"/>
      <c r="BT11" s="271"/>
      <c r="BU11" s="271"/>
      <c r="BV11" s="271"/>
      <c r="BW11" s="271"/>
      <c r="BX11" s="235">
        <v>159000000</v>
      </c>
      <c r="BY11" s="271"/>
      <c r="BZ11" s="271"/>
      <c r="CA11" s="271"/>
      <c r="CB11" s="271"/>
      <c r="CC11" s="271">
        <v>40170000</v>
      </c>
      <c r="CD11" s="271"/>
      <c r="CE11" s="271"/>
      <c r="CF11" s="271"/>
      <c r="CG11" s="271"/>
      <c r="CH11" s="271">
        <v>123600000</v>
      </c>
      <c r="CI11" s="271"/>
      <c r="CJ11" s="271"/>
      <c r="CK11" s="271"/>
      <c r="CL11" s="271"/>
      <c r="CM11" s="271"/>
      <c r="CN11" s="235">
        <v>163770000</v>
      </c>
      <c r="CO11" s="271"/>
      <c r="CP11" s="271"/>
      <c r="CQ11" s="271"/>
      <c r="CR11" s="271"/>
      <c r="CS11" s="271">
        <v>41375100</v>
      </c>
      <c r="CT11" s="271"/>
      <c r="CU11" s="271"/>
      <c r="CV11" s="271"/>
      <c r="CW11" s="271"/>
      <c r="CX11" s="271">
        <v>127308000</v>
      </c>
      <c r="CY11" s="271"/>
      <c r="CZ11" s="271"/>
      <c r="DA11" s="271"/>
      <c r="DB11" s="271"/>
      <c r="DC11" s="271"/>
      <c r="DD11" s="235">
        <v>168683100</v>
      </c>
      <c r="DE11" s="244">
        <v>491453100</v>
      </c>
    </row>
    <row r="12" spans="1:109" s="99" customFormat="1" ht="117" customHeight="1">
      <c r="A12" s="103" t="s">
        <v>1232</v>
      </c>
      <c r="B12" s="279" t="s">
        <v>9</v>
      </c>
      <c r="C12" s="103" t="s">
        <v>1696</v>
      </c>
      <c r="D12" s="279">
        <v>2</v>
      </c>
      <c r="E12" s="279" t="s">
        <v>27</v>
      </c>
      <c r="F12" s="280" t="s">
        <v>688</v>
      </c>
      <c r="G12" s="279" t="s">
        <v>3703</v>
      </c>
      <c r="H12" s="279">
        <v>2</v>
      </c>
      <c r="I12" s="279" t="s">
        <v>28</v>
      </c>
      <c r="J12" s="279" t="s">
        <v>689</v>
      </c>
      <c r="K12" s="279">
        <v>253</v>
      </c>
      <c r="L12" s="279" t="s">
        <v>751</v>
      </c>
      <c r="M12" s="279" t="s">
        <v>690</v>
      </c>
      <c r="N12" s="279" t="s">
        <v>691</v>
      </c>
      <c r="O12" s="279" t="s">
        <v>29</v>
      </c>
      <c r="P12" s="266">
        <v>8</v>
      </c>
      <c r="Q12" s="279" t="s">
        <v>3281</v>
      </c>
      <c r="R12" s="279" t="s">
        <v>693</v>
      </c>
      <c r="S12" s="279" t="s">
        <v>683</v>
      </c>
      <c r="T12" s="279">
        <v>54</v>
      </c>
      <c r="U12" s="267"/>
      <c r="V12" s="267"/>
      <c r="W12" s="224">
        <v>0</v>
      </c>
      <c r="X12" s="267"/>
      <c r="Y12" s="267"/>
      <c r="Z12" s="267">
        <v>10</v>
      </c>
      <c r="AA12" s="267"/>
      <c r="AB12" s="224">
        <v>10</v>
      </c>
      <c r="AC12" s="267"/>
      <c r="AD12" s="267"/>
      <c r="AE12" s="267">
        <v>10</v>
      </c>
      <c r="AF12" s="267"/>
      <c r="AG12" s="224">
        <v>10</v>
      </c>
      <c r="AH12" s="267"/>
      <c r="AI12" s="267"/>
      <c r="AJ12" s="267">
        <v>10</v>
      </c>
      <c r="AK12" s="267"/>
      <c r="AL12" s="224">
        <v>10</v>
      </c>
      <c r="AM12" s="104">
        <v>30</v>
      </c>
      <c r="AN12" s="103" t="s">
        <v>685</v>
      </c>
      <c r="AO12" s="103" t="s">
        <v>612</v>
      </c>
      <c r="AP12" s="103" t="s">
        <v>1213</v>
      </c>
      <c r="AQ12" s="103" t="s">
        <v>1195</v>
      </c>
      <c r="AR12" s="103" t="s">
        <v>939</v>
      </c>
      <c r="AS12" s="271"/>
      <c r="AT12" s="271"/>
      <c r="AU12" s="271"/>
      <c r="AV12" s="271"/>
      <c r="AW12" s="271"/>
      <c r="AX12" s="271"/>
      <c r="AY12" s="271"/>
      <c r="AZ12" s="271"/>
      <c r="BA12" s="271"/>
      <c r="BB12" s="271"/>
      <c r="BC12" s="271"/>
      <c r="BD12" s="271"/>
      <c r="BE12" s="271"/>
      <c r="BF12" s="271"/>
      <c r="BG12" s="271"/>
      <c r="BH12" s="235">
        <v>0</v>
      </c>
      <c r="BI12" s="271"/>
      <c r="BJ12" s="271"/>
      <c r="BK12" s="271"/>
      <c r="BL12" s="271"/>
      <c r="BM12" s="271">
        <v>39000000</v>
      </c>
      <c r="BN12" s="271"/>
      <c r="BO12" s="271"/>
      <c r="BP12" s="271"/>
      <c r="BQ12" s="271"/>
      <c r="BR12" s="271">
        <v>142306000</v>
      </c>
      <c r="BS12" s="271"/>
      <c r="BT12" s="271"/>
      <c r="BU12" s="271"/>
      <c r="BV12" s="271"/>
      <c r="BW12" s="271"/>
      <c r="BX12" s="235">
        <v>181306000</v>
      </c>
      <c r="BY12" s="271"/>
      <c r="BZ12" s="271"/>
      <c r="CA12" s="271"/>
      <c r="CB12" s="271"/>
      <c r="CC12" s="271">
        <v>40170000</v>
      </c>
      <c r="CD12" s="271"/>
      <c r="CE12" s="271"/>
      <c r="CF12" s="271"/>
      <c r="CG12" s="271"/>
      <c r="CH12" s="271">
        <v>146575180</v>
      </c>
      <c r="CI12" s="271"/>
      <c r="CJ12" s="271"/>
      <c r="CK12" s="271"/>
      <c r="CL12" s="271"/>
      <c r="CM12" s="271"/>
      <c r="CN12" s="235">
        <v>186745180</v>
      </c>
      <c r="CO12" s="271"/>
      <c r="CP12" s="271"/>
      <c r="CQ12" s="271"/>
      <c r="CR12" s="271"/>
      <c r="CS12" s="271">
        <v>41375100</v>
      </c>
      <c r="CT12" s="271"/>
      <c r="CU12" s="271"/>
      <c r="CV12" s="271"/>
      <c r="CW12" s="271"/>
      <c r="CX12" s="271">
        <v>150972435.40000001</v>
      </c>
      <c r="CY12" s="271"/>
      <c r="CZ12" s="271"/>
      <c r="DA12" s="271"/>
      <c r="DB12" s="271"/>
      <c r="DC12" s="271"/>
      <c r="DD12" s="235">
        <v>192347535.40000001</v>
      </c>
      <c r="DE12" s="244">
        <v>560398715.39999998</v>
      </c>
    </row>
    <row r="13" spans="1:109" s="99" customFormat="1" ht="117" customHeight="1">
      <c r="A13" s="103" t="s">
        <v>1232</v>
      </c>
      <c r="B13" s="279" t="s">
        <v>9</v>
      </c>
      <c r="C13" s="103" t="s">
        <v>1696</v>
      </c>
      <c r="D13" s="279">
        <v>2</v>
      </c>
      <c r="E13" s="279" t="s">
        <v>27</v>
      </c>
      <c r="F13" s="280" t="s">
        <v>688</v>
      </c>
      <c r="G13" s="279" t="s">
        <v>3703</v>
      </c>
      <c r="H13" s="279">
        <v>2</v>
      </c>
      <c r="I13" s="279" t="s">
        <v>28</v>
      </c>
      <c r="J13" s="279" t="s">
        <v>689</v>
      </c>
      <c r="K13" s="279">
        <v>253</v>
      </c>
      <c r="L13" s="279" t="s">
        <v>751</v>
      </c>
      <c r="M13" s="279" t="s">
        <v>690</v>
      </c>
      <c r="N13" s="279" t="s">
        <v>691</v>
      </c>
      <c r="O13" s="279" t="s">
        <v>29</v>
      </c>
      <c r="P13" s="266">
        <v>9</v>
      </c>
      <c r="Q13" s="279" t="s">
        <v>3282</v>
      </c>
      <c r="R13" s="279" t="s">
        <v>694</v>
      </c>
      <c r="S13" s="279" t="s">
        <v>683</v>
      </c>
      <c r="T13" s="104">
        <v>1584</v>
      </c>
      <c r="U13" s="267"/>
      <c r="V13" s="267">
        <v>354</v>
      </c>
      <c r="W13" s="224">
        <v>354</v>
      </c>
      <c r="X13" s="267"/>
      <c r="Y13" s="267"/>
      <c r="Z13" s="267"/>
      <c r="AA13" s="267">
        <v>354</v>
      </c>
      <c r="AB13" s="224">
        <v>354</v>
      </c>
      <c r="AC13" s="267"/>
      <c r="AD13" s="267"/>
      <c r="AE13" s="267"/>
      <c r="AF13" s="267">
        <v>354</v>
      </c>
      <c r="AG13" s="224">
        <v>354</v>
      </c>
      <c r="AH13" s="267"/>
      <c r="AI13" s="267"/>
      <c r="AJ13" s="267"/>
      <c r="AK13" s="267">
        <v>354</v>
      </c>
      <c r="AL13" s="224">
        <v>354</v>
      </c>
      <c r="AM13" s="104">
        <v>1416</v>
      </c>
      <c r="AN13" s="103" t="s">
        <v>685</v>
      </c>
      <c r="AO13" s="103" t="s">
        <v>612</v>
      </c>
      <c r="AP13" s="103" t="s">
        <v>1213</v>
      </c>
      <c r="AQ13" s="103" t="s">
        <v>1207</v>
      </c>
      <c r="AR13" s="103" t="s">
        <v>939</v>
      </c>
      <c r="AS13" s="271"/>
      <c r="AT13" s="271"/>
      <c r="AU13" s="271"/>
      <c r="AV13" s="271"/>
      <c r="AW13" s="271">
        <v>32400000</v>
      </c>
      <c r="AX13" s="271"/>
      <c r="AY13" s="271"/>
      <c r="AZ13" s="271"/>
      <c r="BA13" s="271"/>
      <c r="BB13" s="271">
        <v>70000000</v>
      </c>
      <c r="BC13" s="271"/>
      <c r="BD13" s="271"/>
      <c r="BE13" s="271"/>
      <c r="BF13" s="271"/>
      <c r="BG13" s="271"/>
      <c r="BH13" s="235">
        <v>102400000</v>
      </c>
      <c r="BI13" s="271"/>
      <c r="BJ13" s="271"/>
      <c r="BK13" s="271"/>
      <c r="BL13" s="271"/>
      <c r="BM13" s="271">
        <v>33372000</v>
      </c>
      <c r="BN13" s="271"/>
      <c r="BO13" s="271"/>
      <c r="BP13" s="271"/>
      <c r="BQ13" s="271"/>
      <c r="BR13" s="271">
        <v>72100000</v>
      </c>
      <c r="BS13" s="271"/>
      <c r="BT13" s="271"/>
      <c r="BU13" s="271"/>
      <c r="BV13" s="271"/>
      <c r="BW13" s="271"/>
      <c r="BX13" s="235">
        <v>105472000</v>
      </c>
      <c r="BY13" s="271"/>
      <c r="BZ13" s="271"/>
      <c r="CA13" s="271"/>
      <c r="CB13" s="271"/>
      <c r="CC13" s="271">
        <v>34373160</v>
      </c>
      <c r="CD13" s="271"/>
      <c r="CE13" s="271"/>
      <c r="CF13" s="271"/>
      <c r="CG13" s="271"/>
      <c r="CH13" s="271">
        <v>74263000</v>
      </c>
      <c r="CI13" s="271"/>
      <c r="CJ13" s="271"/>
      <c r="CK13" s="271"/>
      <c r="CL13" s="271"/>
      <c r="CM13" s="271"/>
      <c r="CN13" s="235">
        <v>108636160</v>
      </c>
      <c r="CO13" s="271"/>
      <c r="CP13" s="271"/>
      <c r="CQ13" s="271"/>
      <c r="CR13" s="271"/>
      <c r="CS13" s="271">
        <v>35404354.799999997</v>
      </c>
      <c r="CT13" s="271"/>
      <c r="CU13" s="271"/>
      <c r="CV13" s="271"/>
      <c r="CW13" s="271"/>
      <c r="CX13" s="271">
        <v>76490890</v>
      </c>
      <c r="CY13" s="271"/>
      <c r="CZ13" s="271"/>
      <c r="DA13" s="271"/>
      <c r="DB13" s="271"/>
      <c r="DC13" s="271"/>
      <c r="DD13" s="235">
        <v>111895244.8</v>
      </c>
      <c r="DE13" s="244">
        <v>428403404.80000001</v>
      </c>
    </row>
    <row r="14" spans="1:109" s="99" customFormat="1" ht="117" customHeight="1">
      <c r="A14" s="103" t="s">
        <v>1232</v>
      </c>
      <c r="B14" s="279" t="s">
        <v>9</v>
      </c>
      <c r="C14" s="103" t="s">
        <v>1696</v>
      </c>
      <c r="D14" s="279">
        <v>2</v>
      </c>
      <c r="E14" s="279" t="s">
        <v>27</v>
      </c>
      <c r="F14" s="280" t="s">
        <v>688</v>
      </c>
      <c r="G14" s="279" t="s">
        <v>3703</v>
      </c>
      <c r="H14" s="279">
        <v>2</v>
      </c>
      <c r="I14" s="279" t="s">
        <v>28</v>
      </c>
      <c r="J14" s="279" t="s">
        <v>689</v>
      </c>
      <c r="K14" s="279">
        <v>253</v>
      </c>
      <c r="L14" s="279" t="s">
        <v>751</v>
      </c>
      <c r="M14" s="279" t="s">
        <v>690</v>
      </c>
      <c r="N14" s="279" t="s">
        <v>691</v>
      </c>
      <c r="O14" s="279" t="s">
        <v>29</v>
      </c>
      <c r="P14" s="266">
        <v>10</v>
      </c>
      <c r="Q14" s="279" t="s">
        <v>3283</v>
      </c>
      <c r="R14" s="279" t="s">
        <v>695</v>
      </c>
      <c r="S14" s="279" t="s">
        <v>683</v>
      </c>
      <c r="T14" s="279">
        <v>28</v>
      </c>
      <c r="U14" s="267"/>
      <c r="V14" s="267">
        <v>4</v>
      </c>
      <c r="W14" s="224">
        <v>4</v>
      </c>
      <c r="X14" s="267"/>
      <c r="Y14" s="267"/>
      <c r="Z14" s="267">
        <v>10</v>
      </c>
      <c r="AA14" s="267"/>
      <c r="AB14" s="224">
        <v>10</v>
      </c>
      <c r="AC14" s="267"/>
      <c r="AD14" s="267"/>
      <c r="AE14" s="267">
        <v>9</v>
      </c>
      <c r="AF14" s="267"/>
      <c r="AG14" s="224">
        <v>9</v>
      </c>
      <c r="AH14" s="267"/>
      <c r="AI14" s="267"/>
      <c r="AJ14" s="267">
        <v>9</v>
      </c>
      <c r="AK14" s="267"/>
      <c r="AL14" s="224">
        <v>9</v>
      </c>
      <c r="AM14" s="104">
        <v>32</v>
      </c>
      <c r="AN14" s="103" t="s">
        <v>685</v>
      </c>
      <c r="AO14" s="103" t="s">
        <v>612</v>
      </c>
      <c r="AP14" s="103" t="s">
        <v>1213</v>
      </c>
      <c r="AQ14" s="103" t="s">
        <v>1207</v>
      </c>
      <c r="AR14" s="103" t="s">
        <v>939</v>
      </c>
      <c r="AS14" s="271"/>
      <c r="AT14" s="271"/>
      <c r="AU14" s="271"/>
      <c r="AV14" s="271"/>
      <c r="AW14" s="271"/>
      <c r="AX14" s="271"/>
      <c r="AY14" s="271"/>
      <c r="AZ14" s="271"/>
      <c r="BA14" s="271"/>
      <c r="BB14" s="271">
        <v>110200000</v>
      </c>
      <c r="BC14" s="271"/>
      <c r="BD14" s="271"/>
      <c r="BE14" s="271"/>
      <c r="BF14" s="271"/>
      <c r="BG14" s="271"/>
      <c r="BH14" s="235">
        <v>110200000</v>
      </c>
      <c r="BI14" s="271"/>
      <c r="BJ14" s="271"/>
      <c r="BK14" s="271"/>
      <c r="BL14" s="271"/>
      <c r="BM14" s="271"/>
      <c r="BN14" s="271"/>
      <c r="BO14" s="271"/>
      <c r="BP14" s="271"/>
      <c r="BQ14" s="271"/>
      <c r="BR14" s="271">
        <v>142306000</v>
      </c>
      <c r="BS14" s="271"/>
      <c r="BT14" s="271"/>
      <c r="BU14" s="271"/>
      <c r="BV14" s="271"/>
      <c r="BW14" s="271"/>
      <c r="BX14" s="235">
        <v>142306000</v>
      </c>
      <c r="BY14" s="271"/>
      <c r="BZ14" s="271"/>
      <c r="CA14" s="271"/>
      <c r="CB14" s="271"/>
      <c r="CC14" s="271"/>
      <c r="CD14" s="271"/>
      <c r="CE14" s="271"/>
      <c r="CF14" s="271"/>
      <c r="CG14" s="271"/>
      <c r="CH14" s="271">
        <v>146575180</v>
      </c>
      <c r="CI14" s="271"/>
      <c r="CJ14" s="271"/>
      <c r="CK14" s="271"/>
      <c r="CL14" s="271"/>
      <c r="CM14" s="271"/>
      <c r="CN14" s="235">
        <v>146575180</v>
      </c>
      <c r="CO14" s="271"/>
      <c r="CP14" s="271"/>
      <c r="CQ14" s="271"/>
      <c r="CR14" s="271"/>
      <c r="CS14" s="271"/>
      <c r="CT14" s="271"/>
      <c r="CU14" s="271"/>
      <c r="CV14" s="271"/>
      <c r="CW14" s="271"/>
      <c r="CX14" s="271">
        <v>150972435.40000001</v>
      </c>
      <c r="CY14" s="271"/>
      <c r="CZ14" s="271"/>
      <c r="DA14" s="271"/>
      <c r="DB14" s="271"/>
      <c r="DC14" s="271"/>
      <c r="DD14" s="235">
        <v>150972435.40000001</v>
      </c>
      <c r="DE14" s="244">
        <v>550053615.39999998</v>
      </c>
    </row>
    <row r="15" spans="1:109" s="99" customFormat="1" ht="117" customHeight="1">
      <c r="A15" s="103" t="s">
        <v>1232</v>
      </c>
      <c r="B15" s="279" t="s">
        <v>9</v>
      </c>
      <c r="C15" s="103" t="s">
        <v>1696</v>
      </c>
      <c r="D15" s="279">
        <v>2</v>
      </c>
      <c r="E15" s="279" t="s">
        <v>27</v>
      </c>
      <c r="F15" s="280" t="s">
        <v>688</v>
      </c>
      <c r="G15" s="279" t="s">
        <v>3703</v>
      </c>
      <c r="H15" s="279">
        <v>2</v>
      </c>
      <c r="I15" s="279" t="s">
        <v>28</v>
      </c>
      <c r="J15" s="279" t="s">
        <v>689</v>
      </c>
      <c r="K15" s="279">
        <v>253</v>
      </c>
      <c r="L15" s="279" t="s">
        <v>751</v>
      </c>
      <c r="M15" s="279" t="s">
        <v>690</v>
      </c>
      <c r="N15" s="279" t="s">
        <v>691</v>
      </c>
      <c r="O15" s="279" t="s">
        <v>29</v>
      </c>
      <c r="P15" s="266">
        <v>11</v>
      </c>
      <c r="Q15" s="279" t="s">
        <v>3284</v>
      </c>
      <c r="R15" s="279" t="s">
        <v>696</v>
      </c>
      <c r="S15" s="279" t="s">
        <v>683</v>
      </c>
      <c r="T15" s="279">
        <v>0</v>
      </c>
      <c r="U15" s="267"/>
      <c r="V15" s="267"/>
      <c r="W15" s="224">
        <v>0</v>
      </c>
      <c r="X15" s="267"/>
      <c r="Y15" s="267"/>
      <c r="Z15" s="267"/>
      <c r="AA15" s="267">
        <v>30</v>
      </c>
      <c r="AB15" s="224">
        <v>30</v>
      </c>
      <c r="AC15" s="267"/>
      <c r="AD15" s="267"/>
      <c r="AE15" s="267"/>
      <c r="AF15" s="267">
        <v>30</v>
      </c>
      <c r="AG15" s="224">
        <v>30</v>
      </c>
      <c r="AH15" s="267"/>
      <c r="AI15" s="267"/>
      <c r="AJ15" s="267"/>
      <c r="AK15" s="267">
        <v>40</v>
      </c>
      <c r="AL15" s="224">
        <v>40</v>
      </c>
      <c r="AM15" s="104">
        <v>100</v>
      </c>
      <c r="AN15" s="103" t="s">
        <v>685</v>
      </c>
      <c r="AO15" s="103" t="s">
        <v>612</v>
      </c>
      <c r="AP15" s="103" t="s">
        <v>1213</v>
      </c>
      <c r="AQ15" s="103" t="s">
        <v>1207</v>
      </c>
      <c r="AR15" s="103" t="s">
        <v>939</v>
      </c>
      <c r="AS15" s="271"/>
      <c r="AT15" s="271"/>
      <c r="AU15" s="271"/>
      <c r="AV15" s="271"/>
      <c r="AW15" s="271"/>
      <c r="AX15" s="271"/>
      <c r="AY15" s="271"/>
      <c r="AZ15" s="271"/>
      <c r="BA15" s="271"/>
      <c r="BB15" s="271"/>
      <c r="BC15" s="271"/>
      <c r="BD15" s="271"/>
      <c r="BE15" s="271"/>
      <c r="BF15" s="271"/>
      <c r="BG15" s="271"/>
      <c r="BH15" s="235">
        <v>0</v>
      </c>
      <c r="BI15" s="271"/>
      <c r="BJ15" s="271"/>
      <c r="BK15" s="271"/>
      <c r="BL15" s="271"/>
      <c r="BM15" s="271">
        <v>38400000</v>
      </c>
      <c r="BN15" s="271"/>
      <c r="BO15" s="271"/>
      <c r="BP15" s="271"/>
      <c r="BQ15" s="271"/>
      <c r="BR15" s="271">
        <v>150000000</v>
      </c>
      <c r="BS15" s="271"/>
      <c r="BT15" s="271"/>
      <c r="BU15" s="271"/>
      <c r="BV15" s="271"/>
      <c r="BW15" s="271"/>
      <c r="BX15" s="235">
        <v>188400000</v>
      </c>
      <c r="BY15" s="271"/>
      <c r="BZ15" s="271"/>
      <c r="CA15" s="271"/>
      <c r="CB15" s="271"/>
      <c r="CC15" s="271">
        <v>40738560</v>
      </c>
      <c r="CD15" s="271"/>
      <c r="CE15" s="271"/>
      <c r="CF15" s="271"/>
      <c r="CG15" s="271"/>
      <c r="CH15" s="271">
        <v>150000000</v>
      </c>
      <c r="CI15" s="271"/>
      <c r="CJ15" s="271"/>
      <c r="CK15" s="271"/>
      <c r="CL15" s="271"/>
      <c r="CM15" s="271"/>
      <c r="CN15" s="235">
        <v>190738560</v>
      </c>
      <c r="CO15" s="271"/>
      <c r="CP15" s="271"/>
      <c r="CQ15" s="271"/>
      <c r="CR15" s="271"/>
      <c r="CS15" s="271">
        <v>41960716.799999997</v>
      </c>
      <c r="CT15" s="271"/>
      <c r="CU15" s="271"/>
      <c r="CV15" s="271"/>
      <c r="CW15" s="271"/>
      <c r="CX15" s="271">
        <v>160000000</v>
      </c>
      <c r="CY15" s="271"/>
      <c r="CZ15" s="271"/>
      <c r="DA15" s="271"/>
      <c r="DB15" s="271"/>
      <c r="DC15" s="271"/>
      <c r="DD15" s="235">
        <v>201960716.80000001</v>
      </c>
      <c r="DE15" s="244">
        <v>581099276.79999995</v>
      </c>
    </row>
    <row r="16" spans="1:109" s="99" customFormat="1" ht="117" customHeight="1">
      <c r="A16" s="103" t="s">
        <v>1232</v>
      </c>
      <c r="B16" s="279" t="s">
        <v>9</v>
      </c>
      <c r="C16" s="103" t="s">
        <v>1696</v>
      </c>
      <c r="D16" s="279">
        <v>2</v>
      </c>
      <c r="E16" s="279" t="s">
        <v>27</v>
      </c>
      <c r="F16" s="280" t="s">
        <v>688</v>
      </c>
      <c r="G16" s="279" t="s">
        <v>3703</v>
      </c>
      <c r="H16" s="279">
        <v>2</v>
      </c>
      <c r="I16" s="279" t="s">
        <v>28</v>
      </c>
      <c r="J16" s="279" t="s">
        <v>689</v>
      </c>
      <c r="K16" s="279">
        <v>253</v>
      </c>
      <c r="L16" s="279" t="s">
        <v>751</v>
      </c>
      <c r="M16" s="279" t="s">
        <v>690</v>
      </c>
      <c r="N16" s="279" t="s">
        <v>691</v>
      </c>
      <c r="O16" s="279" t="s">
        <v>29</v>
      </c>
      <c r="P16" s="266">
        <v>12</v>
      </c>
      <c r="Q16" s="279" t="s">
        <v>3285</v>
      </c>
      <c r="R16" s="279" t="s">
        <v>697</v>
      </c>
      <c r="S16" s="279" t="s">
        <v>683</v>
      </c>
      <c r="T16" s="104">
        <v>2309</v>
      </c>
      <c r="U16" s="267"/>
      <c r="V16" s="267">
        <v>1500</v>
      </c>
      <c r="W16" s="224">
        <v>1500</v>
      </c>
      <c r="X16" s="267"/>
      <c r="Y16" s="267"/>
      <c r="Z16" s="267"/>
      <c r="AA16" s="267">
        <v>500</v>
      </c>
      <c r="AB16" s="224">
        <v>500</v>
      </c>
      <c r="AC16" s="267"/>
      <c r="AD16" s="267"/>
      <c r="AE16" s="267"/>
      <c r="AF16" s="267">
        <v>500</v>
      </c>
      <c r="AG16" s="224">
        <v>500</v>
      </c>
      <c r="AH16" s="267"/>
      <c r="AI16" s="267"/>
      <c r="AJ16" s="267"/>
      <c r="AK16" s="267">
        <v>191</v>
      </c>
      <c r="AL16" s="224">
        <v>191</v>
      </c>
      <c r="AM16" s="104">
        <v>2691</v>
      </c>
      <c r="AN16" s="103" t="s">
        <v>685</v>
      </c>
      <c r="AO16" s="103" t="s">
        <v>612</v>
      </c>
      <c r="AP16" s="103" t="s">
        <v>1213</v>
      </c>
      <c r="AQ16" s="103" t="s">
        <v>1207</v>
      </c>
      <c r="AR16" s="103" t="s">
        <v>939</v>
      </c>
      <c r="AS16" s="271"/>
      <c r="AT16" s="271"/>
      <c r="AU16" s="271"/>
      <c r="AV16" s="271"/>
      <c r="AW16" s="271"/>
      <c r="AX16" s="271"/>
      <c r="AY16" s="271"/>
      <c r="AZ16" s="271"/>
      <c r="BA16" s="271"/>
      <c r="BB16" s="271">
        <v>200000000</v>
      </c>
      <c r="BC16" s="271"/>
      <c r="BD16" s="271"/>
      <c r="BE16" s="271"/>
      <c r="BF16" s="271"/>
      <c r="BG16" s="271"/>
      <c r="BH16" s="235">
        <v>200000000</v>
      </c>
      <c r="BI16" s="271"/>
      <c r="BJ16" s="271"/>
      <c r="BK16" s="271"/>
      <c r="BL16" s="271"/>
      <c r="BM16" s="271"/>
      <c r="BN16" s="271"/>
      <c r="BO16" s="271"/>
      <c r="BP16" s="271"/>
      <c r="BQ16" s="271"/>
      <c r="BR16" s="271">
        <f>200000000*1.03</f>
        <v>206000000</v>
      </c>
      <c r="BS16" s="271"/>
      <c r="BT16" s="271"/>
      <c r="BU16" s="271"/>
      <c r="BV16" s="271"/>
      <c r="BW16" s="271"/>
      <c r="BX16" s="235">
        <v>206000000</v>
      </c>
      <c r="BY16" s="271"/>
      <c r="BZ16" s="271"/>
      <c r="CA16" s="271"/>
      <c r="CB16" s="271"/>
      <c r="CC16" s="271"/>
      <c r="CD16" s="271"/>
      <c r="CE16" s="271"/>
      <c r="CF16" s="271"/>
      <c r="CG16" s="271"/>
      <c r="CH16" s="271">
        <f>206000000*1.03</f>
        <v>212180000</v>
      </c>
      <c r="CI16" s="271"/>
      <c r="CJ16" s="271"/>
      <c r="CK16" s="271"/>
      <c r="CL16" s="271"/>
      <c r="CM16" s="271"/>
      <c r="CN16" s="235">
        <v>212180000</v>
      </c>
      <c r="CO16" s="271"/>
      <c r="CP16" s="271"/>
      <c r="CQ16" s="271"/>
      <c r="CR16" s="271"/>
      <c r="CS16" s="271"/>
      <c r="CT16" s="271"/>
      <c r="CU16" s="271"/>
      <c r="CV16" s="271"/>
      <c r="CW16" s="271"/>
      <c r="CX16" s="271">
        <f>212180000*1.03</f>
        <v>218545400</v>
      </c>
      <c r="CY16" s="271"/>
      <c r="CZ16" s="271"/>
      <c r="DA16" s="271"/>
      <c r="DB16" s="271"/>
      <c r="DC16" s="271"/>
      <c r="DD16" s="235">
        <v>218545400</v>
      </c>
      <c r="DE16" s="244">
        <v>836725400</v>
      </c>
    </row>
    <row r="17" spans="1:109" s="99" customFormat="1" ht="117" customHeight="1">
      <c r="A17" s="103" t="s">
        <v>1232</v>
      </c>
      <c r="B17" s="279" t="s">
        <v>9</v>
      </c>
      <c r="C17" s="103" t="s">
        <v>1696</v>
      </c>
      <c r="D17" s="279">
        <v>2</v>
      </c>
      <c r="E17" s="279" t="s">
        <v>27</v>
      </c>
      <c r="F17" s="280" t="s">
        <v>688</v>
      </c>
      <c r="G17" s="279" t="s">
        <v>3703</v>
      </c>
      <c r="H17" s="279">
        <v>2</v>
      </c>
      <c r="I17" s="279" t="s">
        <v>28</v>
      </c>
      <c r="J17" s="279" t="s">
        <v>689</v>
      </c>
      <c r="K17" s="279">
        <v>253</v>
      </c>
      <c r="L17" s="279" t="s">
        <v>751</v>
      </c>
      <c r="M17" s="279" t="s">
        <v>690</v>
      </c>
      <c r="N17" s="279" t="s">
        <v>691</v>
      </c>
      <c r="O17" s="279" t="s">
        <v>29</v>
      </c>
      <c r="P17" s="266">
        <v>13</v>
      </c>
      <c r="Q17" s="279" t="s">
        <v>3286</v>
      </c>
      <c r="R17" s="279" t="s">
        <v>42</v>
      </c>
      <c r="S17" s="279" t="s">
        <v>683</v>
      </c>
      <c r="T17" s="279">
        <v>108</v>
      </c>
      <c r="U17" s="267"/>
      <c r="V17" s="267"/>
      <c r="W17" s="224">
        <v>0</v>
      </c>
      <c r="X17" s="267"/>
      <c r="Y17" s="267"/>
      <c r="Z17" s="267"/>
      <c r="AA17" s="267"/>
      <c r="AB17" s="224">
        <v>0</v>
      </c>
      <c r="AC17" s="267"/>
      <c r="AD17" s="267"/>
      <c r="AE17" s="267"/>
      <c r="AF17" s="267">
        <v>12</v>
      </c>
      <c r="AG17" s="224">
        <v>12</v>
      </c>
      <c r="AH17" s="267"/>
      <c r="AI17" s="267"/>
      <c r="AJ17" s="267"/>
      <c r="AK17" s="267"/>
      <c r="AL17" s="224">
        <v>0</v>
      </c>
      <c r="AM17" s="104">
        <v>12</v>
      </c>
      <c r="AN17" s="103" t="s">
        <v>685</v>
      </c>
      <c r="AO17" s="103" t="s">
        <v>612</v>
      </c>
      <c r="AP17" s="103" t="s">
        <v>1213</v>
      </c>
      <c r="AQ17" s="103" t="s">
        <v>1207</v>
      </c>
      <c r="AR17" s="103" t="s">
        <v>939</v>
      </c>
      <c r="AS17" s="271"/>
      <c r="AT17" s="271"/>
      <c r="AU17" s="271"/>
      <c r="AV17" s="271"/>
      <c r="AW17" s="271"/>
      <c r="AX17" s="271"/>
      <c r="AY17" s="271"/>
      <c r="AZ17" s="271"/>
      <c r="BA17" s="271"/>
      <c r="BB17" s="271"/>
      <c r="BC17" s="271"/>
      <c r="BD17" s="271"/>
      <c r="BE17" s="271"/>
      <c r="BF17" s="271"/>
      <c r="BG17" s="271"/>
      <c r="BH17" s="235">
        <v>0</v>
      </c>
      <c r="BI17" s="271"/>
      <c r="BJ17" s="271"/>
      <c r="BK17" s="271"/>
      <c r="BL17" s="271"/>
      <c r="BM17" s="271"/>
      <c r="BN17" s="271"/>
      <c r="BO17" s="271"/>
      <c r="BP17" s="271"/>
      <c r="BQ17" s="271"/>
      <c r="BR17" s="271"/>
      <c r="BS17" s="271"/>
      <c r="BT17" s="271"/>
      <c r="BU17" s="271"/>
      <c r="BV17" s="271"/>
      <c r="BW17" s="271"/>
      <c r="BX17" s="235">
        <v>0</v>
      </c>
      <c r="BY17" s="271"/>
      <c r="BZ17" s="271"/>
      <c r="CA17" s="271"/>
      <c r="CB17" s="271"/>
      <c r="CC17" s="271"/>
      <c r="CD17" s="271"/>
      <c r="CE17" s="271"/>
      <c r="CF17" s="271"/>
      <c r="CG17" s="271"/>
      <c r="CH17" s="271"/>
      <c r="CI17" s="271"/>
      <c r="CJ17" s="271"/>
      <c r="CK17" s="271"/>
      <c r="CL17" s="271"/>
      <c r="CM17" s="271">
        <v>1000000000</v>
      </c>
      <c r="CN17" s="235">
        <v>1000000000</v>
      </c>
      <c r="CO17" s="271"/>
      <c r="CP17" s="271"/>
      <c r="CQ17" s="271"/>
      <c r="CR17" s="271"/>
      <c r="CS17" s="271"/>
      <c r="CT17" s="271"/>
      <c r="CU17" s="271"/>
      <c r="CV17" s="271"/>
      <c r="CW17" s="271"/>
      <c r="CX17" s="271"/>
      <c r="CY17" s="271"/>
      <c r="CZ17" s="271"/>
      <c r="DA17" s="271"/>
      <c r="DB17" s="271"/>
      <c r="DC17" s="271"/>
      <c r="DD17" s="235">
        <v>0</v>
      </c>
      <c r="DE17" s="244">
        <v>1000000000</v>
      </c>
    </row>
    <row r="18" spans="1:109" s="99" customFormat="1" ht="117" customHeight="1">
      <c r="A18" s="103" t="s">
        <v>1232</v>
      </c>
      <c r="B18" s="279" t="s">
        <v>9</v>
      </c>
      <c r="C18" s="103" t="s">
        <v>1696</v>
      </c>
      <c r="D18" s="279">
        <v>2</v>
      </c>
      <c r="E18" s="279" t="s">
        <v>27</v>
      </c>
      <c r="F18" s="280" t="s">
        <v>688</v>
      </c>
      <c r="G18" s="279" t="s">
        <v>3703</v>
      </c>
      <c r="H18" s="279">
        <v>2</v>
      </c>
      <c r="I18" s="279" t="s">
        <v>28</v>
      </c>
      <c r="J18" s="279" t="s">
        <v>689</v>
      </c>
      <c r="K18" s="279">
        <v>253</v>
      </c>
      <c r="L18" s="279" t="s">
        <v>751</v>
      </c>
      <c r="M18" s="279" t="s">
        <v>690</v>
      </c>
      <c r="N18" s="279" t="s">
        <v>691</v>
      </c>
      <c r="O18" s="279" t="s">
        <v>29</v>
      </c>
      <c r="P18" s="266">
        <v>14</v>
      </c>
      <c r="Q18" s="279" t="s">
        <v>3287</v>
      </c>
      <c r="R18" s="279" t="s">
        <v>45</v>
      </c>
      <c r="S18" s="279" t="s">
        <v>683</v>
      </c>
      <c r="T18" s="279">
        <v>42</v>
      </c>
      <c r="U18" s="267"/>
      <c r="V18" s="267">
        <v>42</v>
      </c>
      <c r="W18" s="224">
        <v>42</v>
      </c>
      <c r="X18" s="267"/>
      <c r="Y18" s="267"/>
      <c r="Z18" s="267"/>
      <c r="AA18" s="267">
        <v>42</v>
      </c>
      <c r="AB18" s="224">
        <v>42</v>
      </c>
      <c r="AC18" s="267"/>
      <c r="AD18" s="267"/>
      <c r="AE18" s="267"/>
      <c r="AF18" s="267">
        <v>42</v>
      </c>
      <c r="AG18" s="224">
        <v>42</v>
      </c>
      <c r="AH18" s="267"/>
      <c r="AI18" s="267"/>
      <c r="AJ18" s="267"/>
      <c r="AK18" s="267">
        <v>42</v>
      </c>
      <c r="AL18" s="224">
        <v>42</v>
      </c>
      <c r="AM18" s="104">
        <v>42</v>
      </c>
      <c r="AN18" s="103" t="s">
        <v>686</v>
      </c>
      <c r="AO18" s="103" t="s">
        <v>612</v>
      </c>
      <c r="AP18" s="103" t="s">
        <v>1213</v>
      </c>
      <c r="AQ18" s="103" t="s">
        <v>1207</v>
      </c>
      <c r="AR18" s="103" t="s">
        <v>939</v>
      </c>
      <c r="AS18" s="271"/>
      <c r="AT18" s="271"/>
      <c r="AU18" s="271"/>
      <c r="AV18" s="271"/>
      <c r="AW18" s="271">
        <v>5000000</v>
      </c>
      <c r="AX18" s="271"/>
      <c r="AY18" s="271"/>
      <c r="AZ18" s="271"/>
      <c r="BA18" s="271"/>
      <c r="BB18" s="271"/>
      <c r="BC18" s="271"/>
      <c r="BD18" s="271"/>
      <c r="BE18" s="271"/>
      <c r="BF18" s="271"/>
      <c r="BG18" s="271"/>
      <c r="BH18" s="235">
        <v>5000000</v>
      </c>
      <c r="BI18" s="271"/>
      <c r="BJ18" s="271"/>
      <c r="BK18" s="271"/>
      <c r="BL18" s="271"/>
      <c r="BM18" s="271">
        <v>5000000</v>
      </c>
      <c r="BN18" s="271"/>
      <c r="BO18" s="271"/>
      <c r="BP18" s="271"/>
      <c r="BQ18" s="271"/>
      <c r="BR18" s="271"/>
      <c r="BS18" s="271"/>
      <c r="BT18" s="271"/>
      <c r="BU18" s="271"/>
      <c r="BV18" s="271"/>
      <c r="BW18" s="271"/>
      <c r="BX18" s="235">
        <v>5000000</v>
      </c>
      <c r="BY18" s="271"/>
      <c r="BZ18" s="271"/>
      <c r="CA18" s="271"/>
      <c r="CB18" s="271"/>
      <c r="CC18" s="271">
        <v>9000000</v>
      </c>
      <c r="CD18" s="271"/>
      <c r="CE18" s="271"/>
      <c r="CF18" s="271"/>
      <c r="CG18" s="271"/>
      <c r="CH18" s="271"/>
      <c r="CI18" s="271"/>
      <c r="CJ18" s="271"/>
      <c r="CK18" s="271"/>
      <c r="CL18" s="271"/>
      <c r="CM18" s="271"/>
      <c r="CN18" s="235">
        <v>9000000</v>
      </c>
      <c r="CO18" s="271"/>
      <c r="CP18" s="271"/>
      <c r="CQ18" s="271"/>
      <c r="CR18" s="271"/>
      <c r="CS18" s="271">
        <v>5000000</v>
      </c>
      <c r="CT18" s="271"/>
      <c r="CU18" s="271"/>
      <c r="CV18" s="271"/>
      <c r="CW18" s="271"/>
      <c r="CX18" s="271"/>
      <c r="CY18" s="271"/>
      <c r="CZ18" s="271"/>
      <c r="DA18" s="271"/>
      <c r="DB18" s="271"/>
      <c r="DC18" s="271"/>
      <c r="DD18" s="235">
        <v>5000000</v>
      </c>
      <c r="DE18" s="244">
        <v>24000000</v>
      </c>
    </row>
    <row r="19" spans="1:109" s="99" customFormat="1" ht="117" customHeight="1">
      <c r="A19" s="103" t="s">
        <v>1232</v>
      </c>
      <c r="B19" s="279" t="s">
        <v>9</v>
      </c>
      <c r="C19" s="103" t="s">
        <v>1696</v>
      </c>
      <c r="D19" s="279">
        <v>2</v>
      </c>
      <c r="E19" s="279" t="s">
        <v>27</v>
      </c>
      <c r="F19" s="280" t="s">
        <v>688</v>
      </c>
      <c r="G19" s="279" t="s">
        <v>3703</v>
      </c>
      <c r="H19" s="279">
        <v>2</v>
      </c>
      <c r="I19" s="279" t="s">
        <v>28</v>
      </c>
      <c r="J19" s="279" t="s">
        <v>689</v>
      </c>
      <c r="K19" s="279">
        <v>253</v>
      </c>
      <c r="L19" s="279" t="s">
        <v>751</v>
      </c>
      <c r="M19" s="279" t="s">
        <v>690</v>
      </c>
      <c r="N19" s="279" t="s">
        <v>691</v>
      </c>
      <c r="O19" s="279" t="s">
        <v>29</v>
      </c>
      <c r="P19" s="266">
        <v>15</v>
      </c>
      <c r="Q19" s="279" t="s">
        <v>3288</v>
      </c>
      <c r="R19" s="279" t="s">
        <v>45</v>
      </c>
      <c r="S19" s="279" t="s">
        <v>683</v>
      </c>
      <c r="T19" s="279">
        <v>42</v>
      </c>
      <c r="U19" s="267"/>
      <c r="V19" s="267">
        <v>8</v>
      </c>
      <c r="W19" s="224">
        <v>8</v>
      </c>
      <c r="X19" s="267"/>
      <c r="Y19" s="267"/>
      <c r="Z19" s="267"/>
      <c r="AA19" s="267">
        <v>35</v>
      </c>
      <c r="AB19" s="224">
        <v>35</v>
      </c>
      <c r="AC19" s="267"/>
      <c r="AD19" s="267"/>
      <c r="AE19" s="267"/>
      <c r="AF19" s="267">
        <v>35</v>
      </c>
      <c r="AG19" s="224">
        <v>35</v>
      </c>
      <c r="AH19" s="267"/>
      <c r="AI19" s="267"/>
      <c r="AJ19" s="267"/>
      <c r="AK19" s="267">
        <v>30</v>
      </c>
      <c r="AL19" s="224">
        <v>30</v>
      </c>
      <c r="AM19" s="104">
        <v>108</v>
      </c>
      <c r="AN19" s="103" t="s">
        <v>685</v>
      </c>
      <c r="AO19" s="103" t="s">
        <v>612</v>
      </c>
      <c r="AP19" s="103" t="s">
        <v>1213</v>
      </c>
      <c r="AQ19" s="103" t="s">
        <v>1207</v>
      </c>
      <c r="AR19" s="103" t="s">
        <v>939</v>
      </c>
      <c r="AS19" s="271"/>
      <c r="AT19" s="271"/>
      <c r="AU19" s="271"/>
      <c r="AV19" s="271"/>
      <c r="AW19" s="271">
        <v>30000000</v>
      </c>
      <c r="AX19" s="271"/>
      <c r="AY19" s="271"/>
      <c r="AZ19" s="271"/>
      <c r="BA19" s="271"/>
      <c r="BB19" s="271"/>
      <c r="BC19" s="271"/>
      <c r="BD19" s="271"/>
      <c r="BE19" s="271"/>
      <c r="BF19" s="271"/>
      <c r="BG19" s="271"/>
      <c r="BH19" s="235">
        <v>30000000</v>
      </c>
      <c r="BI19" s="271"/>
      <c r="BJ19" s="271"/>
      <c r="BK19" s="271"/>
      <c r="BL19" s="271"/>
      <c r="BM19" s="271">
        <v>30000000</v>
      </c>
      <c r="BN19" s="271"/>
      <c r="BO19" s="271"/>
      <c r="BP19" s="271"/>
      <c r="BQ19" s="271"/>
      <c r="BR19" s="271"/>
      <c r="BS19" s="271"/>
      <c r="BT19" s="271"/>
      <c r="BU19" s="271"/>
      <c r="BV19" s="271"/>
      <c r="BW19" s="271"/>
      <c r="BX19" s="235">
        <v>30000000</v>
      </c>
      <c r="BY19" s="271"/>
      <c r="BZ19" s="271"/>
      <c r="CA19" s="271"/>
      <c r="CB19" s="271"/>
      <c r="CC19" s="271">
        <v>70327325</v>
      </c>
      <c r="CD19" s="271"/>
      <c r="CE19" s="271"/>
      <c r="CF19" s="271"/>
      <c r="CG19" s="271"/>
      <c r="CH19" s="271"/>
      <c r="CI19" s="271"/>
      <c r="CJ19" s="271"/>
      <c r="CK19" s="271"/>
      <c r="CL19" s="271"/>
      <c r="CM19" s="271"/>
      <c r="CN19" s="235">
        <v>70327325</v>
      </c>
      <c r="CO19" s="271"/>
      <c r="CP19" s="271"/>
      <c r="CQ19" s="271"/>
      <c r="CR19" s="271"/>
      <c r="CS19" s="271">
        <v>75517234.875</v>
      </c>
      <c r="CT19" s="271"/>
      <c r="CU19" s="271"/>
      <c r="CV19" s="271"/>
      <c r="CW19" s="271"/>
      <c r="CX19" s="271"/>
      <c r="CY19" s="271"/>
      <c r="CZ19" s="271"/>
      <c r="DA19" s="271"/>
      <c r="DB19" s="271"/>
      <c r="DC19" s="271"/>
      <c r="DD19" s="235">
        <v>75517234.875</v>
      </c>
      <c r="DE19" s="244">
        <v>205844559.875</v>
      </c>
    </row>
    <row r="20" spans="1:109" s="99" customFormat="1" ht="117" customHeight="1">
      <c r="A20" s="103" t="s">
        <v>1232</v>
      </c>
      <c r="B20" s="279" t="s">
        <v>9</v>
      </c>
      <c r="C20" s="103" t="s">
        <v>1696</v>
      </c>
      <c r="D20" s="279">
        <v>2</v>
      </c>
      <c r="E20" s="279" t="s">
        <v>27</v>
      </c>
      <c r="F20" s="280" t="s">
        <v>688</v>
      </c>
      <c r="G20" s="279" t="s">
        <v>3703</v>
      </c>
      <c r="H20" s="279">
        <v>2</v>
      </c>
      <c r="I20" s="279" t="s">
        <v>28</v>
      </c>
      <c r="J20" s="279" t="s">
        <v>689</v>
      </c>
      <c r="K20" s="279">
        <v>253</v>
      </c>
      <c r="L20" s="279" t="s">
        <v>751</v>
      </c>
      <c r="M20" s="279" t="s">
        <v>690</v>
      </c>
      <c r="N20" s="279" t="s">
        <v>691</v>
      </c>
      <c r="O20" s="279" t="s">
        <v>29</v>
      </c>
      <c r="P20" s="266">
        <v>16</v>
      </c>
      <c r="Q20" s="279" t="s">
        <v>3289</v>
      </c>
      <c r="R20" s="279" t="s">
        <v>47</v>
      </c>
      <c r="S20" s="279" t="s">
        <v>683</v>
      </c>
      <c r="T20" s="279">
        <v>64</v>
      </c>
      <c r="U20" s="267"/>
      <c r="V20" s="267"/>
      <c r="W20" s="224">
        <v>0</v>
      </c>
      <c r="X20" s="267"/>
      <c r="Y20" s="267"/>
      <c r="Z20" s="267"/>
      <c r="AA20" s="267">
        <v>64</v>
      </c>
      <c r="AB20" s="224">
        <v>64</v>
      </c>
      <c r="AC20" s="267"/>
      <c r="AD20" s="267"/>
      <c r="AE20" s="267"/>
      <c r="AF20" s="267">
        <v>64</v>
      </c>
      <c r="AG20" s="224">
        <v>64</v>
      </c>
      <c r="AH20" s="267"/>
      <c r="AI20" s="267"/>
      <c r="AJ20" s="267"/>
      <c r="AK20" s="267">
        <v>64</v>
      </c>
      <c r="AL20" s="224">
        <v>64</v>
      </c>
      <c r="AM20" s="104">
        <v>64</v>
      </c>
      <c r="AN20" s="103" t="s">
        <v>686</v>
      </c>
      <c r="AO20" s="103" t="s">
        <v>612</v>
      </c>
      <c r="AP20" s="103" t="s">
        <v>1213</v>
      </c>
      <c r="AQ20" s="103" t="s">
        <v>1207</v>
      </c>
      <c r="AR20" s="103" t="s">
        <v>939</v>
      </c>
      <c r="AS20" s="271"/>
      <c r="AT20" s="271"/>
      <c r="AU20" s="271"/>
      <c r="AV20" s="271"/>
      <c r="AW20" s="271"/>
      <c r="AX20" s="271"/>
      <c r="AY20" s="271"/>
      <c r="AZ20" s="271"/>
      <c r="BA20" s="271"/>
      <c r="BB20" s="271"/>
      <c r="BC20" s="271"/>
      <c r="BD20" s="271"/>
      <c r="BE20" s="271"/>
      <c r="BF20" s="271"/>
      <c r="BG20" s="271"/>
      <c r="BH20" s="235">
        <v>0</v>
      </c>
      <c r="BI20" s="271"/>
      <c r="BJ20" s="271"/>
      <c r="BK20" s="271"/>
      <c r="BL20" s="271"/>
      <c r="BM20" s="271"/>
      <c r="BN20" s="271"/>
      <c r="BO20" s="271"/>
      <c r="BP20" s="271"/>
      <c r="BQ20" s="271"/>
      <c r="BR20" s="271">
        <v>24761200</v>
      </c>
      <c r="BS20" s="271"/>
      <c r="BT20" s="271"/>
      <c r="BU20" s="271"/>
      <c r="BV20" s="271"/>
      <c r="BW20" s="271"/>
      <c r="BX20" s="235">
        <v>24761200</v>
      </c>
      <c r="BY20" s="271"/>
      <c r="BZ20" s="271"/>
      <c r="CA20" s="271"/>
      <c r="CB20" s="271"/>
      <c r="CC20" s="271"/>
      <c r="CD20" s="271"/>
      <c r="CE20" s="271"/>
      <c r="CF20" s="271"/>
      <c r="CG20" s="271"/>
      <c r="CH20" s="271">
        <v>25504036</v>
      </c>
      <c r="CI20" s="271"/>
      <c r="CJ20" s="271"/>
      <c r="CK20" s="271"/>
      <c r="CL20" s="271"/>
      <c r="CM20" s="271"/>
      <c r="CN20" s="235">
        <v>25504036</v>
      </c>
      <c r="CO20" s="271"/>
      <c r="CP20" s="271"/>
      <c r="CQ20" s="271"/>
      <c r="CR20" s="271"/>
      <c r="CS20" s="271"/>
      <c r="CT20" s="271"/>
      <c r="CU20" s="271"/>
      <c r="CV20" s="271"/>
      <c r="CW20" s="271"/>
      <c r="CX20" s="271">
        <v>26269157.080000002</v>
      </c>
      <c r="CY20" s="271"/>
      <c r="CZ20" s="271"/>
      <c r="DA20" s="271"/>
      <c r="DB20" s="271"/>
      <c r="DC20" s="271"/>
      <c r="DD20" s="235">
        <v>26269157.080000002</v>
      </c>
      <c r="DE20" s="244">
        <v>76534393.079999998</v>
      </c>
    </row>
    <row r="21" spans="1:109" s="99" customFormat="1" ht="117" customHeight="1">
      <c r="A21" s="103" t="s">
        <v>1232</v>
      </c>
      <c r="B21" s="279" t="s">
        <v>9</v>
      </c>
      <c r="C21" s="103" t="s">
        <v>1696</v>
      </c>
      <c r="D21" s="279">
        <v>2</v>
      </c>
      <c r="E21" s="279" t="s">
        <v>27</v>
      </c>
      <c r="F21" s="280" t="s">
        <v>688</v>
      </c>
      <c r="G21" s="279" t="s">
        <v>3703</v>
      </c>
      <c r="H21" s="279">
        <v>2</v>
      </c>
      <c r="I21" s="279" t="s">
        <v>28</v>
      </c>
      <c r="J21" s="279" t="s">
        <v>689</v>
      </c>
      <c r="K21" s="279">
        <v>253</v>
      </c>
      <c r="L21" s="279" t="s">
        <v>751</v>
      </c>
      <c r="M21" s="279" t="s">
        <v>690</v>
      </c>
      <c r="N21" s="279" t="s">
        <v>691</v>
      </c>
      <c r="O21" s="279" t="s">
        <v>29</v>
      </c>
      <c r="P21" s="266">
        <v>17</v>
      </c>
      <c r="Q21" s="279" t="s">
        <v>3290</v>
      </c>
      <c r="R21" s="279" t="s">
        <v>47</v>
      </c>
      <c r="S21" s="279" t="s">
        <v>683</v>
      </c>
      <c r="T21" s="279">
        <v>64</v>
      </c>
      <c r="U21" s="267"/>
      <c r="V21" s="267"/>
      <c r="W21" s="224">
        <v>0</v>
      </c>
      <c r="X21" s="267"/>
      <c r="Y21" s="267"/>
      <c r="Z21" s="267">
        <v>20</v>
      </c>
      <c r="AA21" s="267"/>
      <c r="AB21" s="224">
        <v>20</v>
      </c>
      <c r="AC21" s="267"/>
      <c r="AD21" s="267"/>
      <c r="AE21" s="267">
        <v>20</v>
      </c>
      <c r="AF21" s="267"/>
      <c r="AG21" s="224">
        <v>20</v>
      </c>
      <c r="AH21" s="267"/>
      <c r="AI21" s="267"/>
      <c r="AJ21" s="267">
        <v>20</v>
      </c>
      <c r="AK21" s="267"/>
      <c r="AL21" s="224">
        <v>20</v>
      </c>
      <c r="AM21" s="104">
        <v>60</v>
      </c>
      <c r="AN21" s="103" t="s">
        <v>685</v>
      </c>
      <c r="AO21" s="103" t="s">
        <v>612</v>
      </c>
      <c r="AP21" s="103" t="s">
        <v>1213</v>
      </c>
      <c r="AQ21" s="103" t="s">
        <v>1207</v>
      </c>
      <c r="AR21" s="103" t="s">
        <v>939</v>
      </c>
      <c r="AS21" s="271"/>
      <c r="AT21" s="271"/>
      <c r="AU21" s="271"/>
      <c r="AV21" s="271"/>
      <c r="AW21" s="271"/>
      <c r="AX21" s="271"/>
      <c r="AY21" s="271"/>
      <c r="AZ21" s="271"/>
      <c r="BA21" s="271"/>
      <c r="BB21" s="271"/>
      <c r="BC21" s="271"/>
      <c r="BD21" s="271"/>
      <c r="BE21" s="271"/>
      <c r="BF21" s="271"/>
      <c r="BG21" s="271"/>
      <c r="BH21" s="235">
        <v>0</v>
      </c>
      <c r="BI21" s="271"/>
      <c r="BJ21" s="271"/>
      <c r="BK21" s="271"/>
      <c r="BL21" s="271"/>
      <c r="BM21" s="271"/>
      <c r="BN21" s="271"/>
      <c r="BO21" s="271"/>
      <c r="BP21" s="271"/>
      <c r="BQ21" s="271"/>
      <c r="BR21" s="271">
        <v>222850800</v>
      </c>
      <c r="BS21" s="271"/>
      <c r="BT21" s="271"/>
      <c r="BU21" s="271"/>
      <c r="BV21" s="271"/>
      <c r="BW21" s="271"/>
      <c r="BX21" s="235">
        <v>222850800</v>
      </c>
      <c r="BY21" s="271"/>
      <c r="BZ21" s="271"/>
      <c r="CA21" s="271"/>
      <c r="CB21" s="271"/>
      <c r="CC21" s="271"/>
      <c r="CD21" s="271"/>
      <c r="CE21" s="271"/>
      <c r="CF21" s="271"/>
      <c r="CG21" s="271"/>
      <c r="CH21" s="271">
        <v>229536324</v>
      </c>
      <c r="CI21" s="271"/>
      <c r="CJ21" s="271"/>
      <c r="CK21" s="271"/>
      <c r="CL21" s="271"/>
      <c r="CM21" s="271"/>
      <c r="CN21" s="235">
        <v>229536324</v>
      </c>
      <c r="CO21" s="271"/>
      <c r="CP21" s="271"/>
      <c r="CQ21" s="271"/>
      <c r="CR21" s="271"/>
      <c r="CS21" s="271"/>
      <c r="CT21" s="271"/>
      <c r="CU21" s="271"/>
      <c r="CV21" s="271"/>
      <c r="CW21" s="271"/>
      <c r="CX21" s="271">
        <v>236422413.72</v>
      </c>
      <c r="CY21" s="271"/>
      <c r="CZ21" s="271"/>
      <c r="DA21" s="271"/>
      <c r="DB21" s="271"/>
      <c r="DC21" s="271"/>
      <c r="DD21" s="235">
        <v>236422413.72</v>
      </c>
      <c r="DE21" s="244">
        <v>688809537.72000003</v>
      </c>
    </row>
    <row r="22" spans="1:109" s="99" customFormat="1" ht="117" customHeight="1">
      <c r="A22" s="103" t="s">
        <v>1232</v>
      </c>
      <c r="B22" s="279" t="s">
        <v>9</v>
      </c>
      <c r="C22" s="103" t="s">
        <v>1696</v>
      </c>
      <c r="D22" s="279">
        <v>2</v>
      </c>
      <c r="E22" s="279" t="s">
        <v>27</v>
      </c>
      <c r="F22" s="280" t="s">
        <v>688</v>
      </c>
      <c r="G22" s="279" t="s">
        <v>3703</v>
      </c>
      <c r="H22" s="279">
        <v>2</v>
      </c>
      <c r="I22" s="279" t="s">
        <v>28</v>
      </c>
      <c r="J22" s="279" t="s">
        <v>689</v>
      </c>
      <c r="K22" s="279">
        <v>253</v>
      </c>
      <c r="L22" s="279" t="s">
        <v>751</v>
      </c>
      <c r="M22" s="279" t="s">
        <v>690</v>
      </c>
      <c r="N22" s="279" t="s">
        <v>691</v>
      </c>
      <c r="O22" s="279" t="s">
        <v>29</v>
      </c>
      <c r="P22" s="266">
        <v>18</v>
      </c>
      <c r="Q22" s="279" t="s">
        <v>3088</v>
      </c>
      <c r="R22" s="279" t="s">
        <v>49</v>
      </c>
      <c r="S22" s="279" t="s">
        <v>683</v>
      </c>
      <c r="T22" s="279">
        <v>0</v>
      </c>
      <c r="U22" s="267">
        <v>1</v>
      </c>
      <c r="V22" s="267">
        <v>1</v>
      </c>
      <c r="W22" s="224">
        <v>2</v>
      </c>
      <c r="X22" s="267"/>
      <c r="Y22" s="267">
        <v>1</v>
      </c>
      <c r="Z22" s="267">
        <v>1</v>
      </c>
      <c r="AA22" s="267"/>
      <c r="AB22" s="224">
        <v>2</v>
      </c>
      <c r="AC22" s="267"/>
      <c r="AD22" s="267"/>
      <c r="AE22" s="267"/>
      <c r="AF22" s="267"/>
      <c r="AG22" s="224">
        <v>0</v>
      </c>
      <c r="AH22" s="267"/>
      <c r="AI22" s="267"/>
      <c r="AJ22" s="267"/>
      <c r="AK22" s="267"/>
      <c r="AL22" s="224">
        <v>0</v>
      </c>
      <c r="AM22" s="104">
        <v>4</v>
      </c>
      <c r="AN22" s="103" t="s">
        <v>685</v>
      </c>
      <c r="AO22" s="103" t="s">
        <v>612</v>
      </c>
      <c r="AP22" s="103" t="s">
        <v>1213</v>
      </c>
      <c r="AQ22" s="103" t="s">
        <v>1207</v>
      </c>
      <c r="AR22" s="103" t="s">
        <v>939</v>
      </c>
      <c r="AS22" s="271"/>
      <c r="AT22" s="271"/>
      <c r="AU22" s="271"/>
      <c r="AV22" s="271"/>
      <c r="AW22" s="271">
        <v>35000000</v>
      </c>
      <c r="AX22" s="271"/>
      <c r="AY22" s="271"/>
      <c r="AZ22" s="271"/>
      <c r="BA22" s="271"/>
      <c r="BB22" s="271">
        <v>140400000</v>
      </c>
      <c r="BC22" s="271"/>
      <c r="BD22" s="271"/>
      <c r="BE22" s="271"/>
      <c r="BF22" s="271"/>
      <c r="BG22" s="271"/>
      <c r="BH22" s="235">
        <v>175400000</v>
      </c>
      <c r="BI22" s="271"/>
      <c r="BJ22" s="271"/>
      <c r="BK22" s="271"/>
      <c r="BL22" s="271"/>
      <c r="BM22" s="271">
        <v>36050000</v>
      </c>
      <c r="BN22" s="271"/>
      <c r="BO22" s="271"/>
      <c r="BP22" s="271"/>
      <c r="BQ22" s="271"/>
      <c r="BR22" s="271">
        <v>144612000</v>
      </c>
      <c r="BS22" s="271"/>
      <c r="BT22" s="271"/>
      <c r="BU22" s="271"/>
      <c r="BV22" s="271"/>
      <c r="BW22" s="271"/>
      <c r="BX22" s="235">
        <v>180662000</v>
      </c>
      <c r="BY22" s="271"/>
      <c r="BZ22" s="271"/>
      <c r="CA22" s="271"/>
      <c r="CB22" s="271"/>
      <c r="CC22" s="271"/>
      <c r="CD22" s="271"/>
      <c r="CE22" s="271"/>
      <c r="CF22" s="271"/>
      <c r="CG22" s="271"/>
      <c r="CH22" s="271"/>
      <c r="CI22" s="271"/>
      <c r="CJ22" s="271"/>
      <c r="CK22" s="271"/>
      <c r="CL22" s="271"/>
      <c r="CM22" s="271"/>
      <c r="CN22" s="235">
        <v>0</v>
      </c>
      <c r="CO22" s="271"/>
      <c r="CP22" s="271"/>
      <c r="CQ22" s="271"/>
      <c r="CR22" s="271"/>
      <c r="CS22" s="271"/>
      <c r="CT22" s="271"/>
      <c r="CU22" s="271"/>
      <c r="CV22" s="271"/>
      <c r="CW22" s="271"/>
      <c r="CX22" s="271"/>
      <c r="CY22" s="271"/>
      <c r="CZ22" s="271"/>
      <c r="DA22" s="271"/>
      <c r="DB22" s="271"/>
      <c r="DC22" s="271"/>
      <c r="DD22" s="235">
        <v>0</v>
      </c>
      <c r="DE22" s="244">
        <v>356062000</v>
      </c>
    </row>
    <row r="23" spans="1:109" s="99" customFormat="1" ht="117" customHeight="1">
      <c r="A23" s="103" t="s">
        <v>1232</v>
      </c>
      <c r="B23" s="279" t="s">
        <v>9</v>
      </c>
      <c r="C23" s="103" t="s">
        <v>1696</v>
      </c>
      <c r="D23" s="279">
        <v>2</v>
      </c>
      <c r="E23" s="279" t="s">
        <v>27</v>
      </c>
      <c r="F23" s="280" t="s">
        <v>688</v>
      </c>
      <c r="G23" s="279" t="s">
        <v>3703</v>
      </c>
      <c r="H23" s="279">
        <v>2</v>
      </c>
      <c r="I23" s="279" t="s">
        <v>28</v>
      </c>
      <c r="J23" s="279" t="s">
        <v>689</v>
      </c>
      <c r="K23" s="279">
        <v>253</v>
      </c>
      <c r="L23" s="279" t="s">
        <v>751</v>
      </c>
      <c r="M23" s="279" t="s">
        <v>690</v>
      </c>
      <c r="N23" s="279" t="s">
        <v>691</v>
      </c>
      <c r="O23" s="279" t="s">
        <v>29</v>
      </c>
      <c r="P23" s="266">
        <v>19</v>
      </c>
      <c r="Q23" s="279" t="s">
        <v>3291</v>
      </c>
      <c r="R23" s="279" t="s">
        <v>698</v>
      </c>
      <c r="S23" s="279" t="s">
        <v>683</v>
      </c>
      <c r="T23" s="279">
        <v>376</v>
      </c>
      <c r="U23" s="267"/>
      <c r="V23" s="267"/>
      <c r="W23" s="224">
        <v>0</v>
      </c>
      <c r="X23" s="267"/>
      <c r="Y23" s="267"/>
      <c r="Z23" s="267">
        <v>20</v>
      </c>
      <c r="AA23" s="267">
        <v>20</v>
      </c>
      <c r="AB23" s="224">
        <v>40</v>
      </c>
      <c r="AC23" s="267"/>
      <c r="AD23" s="267">
        <v>20</v>
      </c>
      <c r="AE23" s="267">
        <v>20</v>
      </c>
      <c r="AF23" s="267">
        <v>20</v>
      </c>
      <c r="AG23" s="224">
        <v>60</v>
      </c>
      <c r="AH23" s="267"/>
      <c r="AI23" s="267">
        <v>24</v>
      </c>
      <c r="AJ23" s="267"/>
      <c r="AK23" s="267"/>
      <c r="AL23" s="224">
        <v>24</v>
      </c>
      <c r="AM23" s="104">
        <v>124</v>
      </c>
      <c r="AN23" s="103" t="s">
        <v>685</v>
      </c>
      <c r="AO23" s="103" t="s">
        <v>612</v>
      </c>
      <c r="AP23" s="103" t="s">
        <v>1213</v>
      </c>
      <c r="AQ23" s="103" t="s">
        <v>1207</v>
      </c>
      <c r="AR23" s="103" t="s">
        <v>939</v>
      </c>
      <c r="AS23" s="271"/>
      <c r="AT23" s="271"/>
      <c r="AU23" s="271"/>
      <c r="AV23" s="271"/>
      <c r="AW23" s="271"/>
      <c r="AX23" s="271"/>
      <c r="AY23" s="271"/>
      <c r="AZ23" s="271"/>
      <c r="BA23" s="271"/>
      <c r="BB23" s="271"/>
      <c r="BC23" s="271"/>
      <c r="BD23" s="271"/>
      <c r="BE23" s="271"/>
      <c r="BF23" s="271"/>
      <c r="BG23" s="271"/>
      <c r="BH23" s="235">
        <v>0</v>
      </c>
      <c r="BI23" s="271"/>
      <c r="BJ23" s="271"/>
      <c r="BK23" s="271"/>
      <c r="BL23" s="271"/>
      <c r="BM23" s="271">
        <v>36050000</v>
      </c>
      <c r="BN23" s="271"/>
      <c r="BO23" s="271"/>
      <c r="BP23" s="271"/>
      <c r="BQ23" s="271"/>
      <c r="BR23" s="271">
        <v>72306000</v>
      </c>
      <c r="BS23" s="271"/>
      <c r="BT23" s="271"/>
      <c r="BU23" s="271"/>
      <c r="BV23" s="271"/>
      <c r="BW23" s="271"/>
      <c r="BX23" s="235">
        <v>108356000</v>
      </c>
      <c r="BY23" s="271"/>
      <c r="BZ23" s="271"/>
      <c r="CA23" s="271"/>
      <c r="CB23" s="271"/>
      <c r="CC23" s="271">
        <v>97413600</v>
      </c>
      <c r="CD23" s="271"/>
      <c r="CE23" s="271"/>
      <c r="CF23" s="271"/>
      <c r="CG23" s="271"/>
      <c r="CH23" s="271">
        <v>74475180</v>
      </c>
      <c r="CI23" s="271"/>
      <c r="CJ23" s="271"/>
      <c r="CK23" s="271"/>
      <c r="CL23" s="271"/>
      <c r="CM23" s="271"/>
      <c r="CN23" s="235">
        <v>171888780</v>
      </c>
      <c r="CO23" s="271"/>
      <c r="CP23" s="271"/>
      <c r="CQ23" s="271"/>
      <c r="CR23" s="271"/>
      <c r="CS23" s="271">
        <v>52356595</v>
      </c>
      <c r="CT23" s="271"/>
      <c r="CU23" s="271"/>
      <c r="CV23" s="271"/>
      <c r="CW23" s="271"/>
      <c r="CX23" s="271">
        <v>76709435</v>
      </c>
      <c r="CY23" s="271"/>
      <c r="CZ23" s="271"/>
      <c r="DA23" s="271"/>
      <c r="DB23" s="271"/>
      <c r="DC23" s="271"/>
      <c r="DD23" s="235">
        <v>129066030</v>
      </c>
      <c r="DE23" s="244">
        <v>409310810</v>
      </c>
    </row>
    <row r="24" spans="1:109" s="99" customFormat="1" ht="117" customHeight="1">
      <c r="A24" s="103" t="s">
        <v>1232</v>
      </c>
      <c r="B24" s="279" t="s">
        <v>9</v>
      </c>
      <c r="C24" s="103" t="s">
        <v>1696</v>
      </c>
      <c r="D24" s="279">
        <v>2</v>
      </c>
      <c r="E24" s="279" t="s">
        <v>27</v>
      </c>
      <c r="F24" s="280" t="s">
        <v>688</v>
      </c>
      <c r="G24" s="279" t="s">
        <v>3703</v>
      </c>
      <c r="H24" s="279">
        <v>2</v>
      </c>
      <c r="I24" s="279" t="s">
        <v>28</v>
      </c>
      <c r="J24" s="279" t="s">
        <v>689</v>
      </c>
      <c r="K24" s="279">
        <v>253</v>
      </c>
      <c r="L24" s="279" t="s">
        <v>751</v>
      </c>
      <c r="M24" s="279" t="s">
        <v>690</v>
      </c>
      <c r="N24" s="279" t="s">
        <v>691</v>
      </c>
      <c r="O24" s="279" t="s">
        <v>29</v>
      </c>
      <c r="P24" s="266">
        <v>20</v>
      </c>
      <c r="Q24" s="279" t="s">
        <v>3292</v>
      </c>
      <c r="R24" s="279" t="s">
        <v>53</v>
      </c>
      <c r="S24" s="279" t="s">
        <v>677</v>
      </c>
      <c r="T24" s="279">
        <v>12.78</v>
      </c>
      <c r="U24" s="267">
        <v>12.78</v>
      </c>
      <c r="V24" s="267">
        <v>12.78</v>
      </c>
      <c r="W24" s="224">
        <v>12.78</v>
      </c>
      <c r="X24" s="267">
        <v>12.78</v>
      </c>
      <c r="Y24" s="267">
        <v>12.78</v>
      </c>
      <c r="Z24" s="267">
        <v>12.78</v>
      </c>
      <c r="AA24" s="267">
        <v>12.78</v>
      </c>
      <c r="AB24" s="224">
        <v>12.78</v>
      </c>
      <c r="AC24" s="267">
        <v>12.78</v>
      </c>
      <c r="AD24" s="267">
        <v>12.78</v>
      </c>
      <c r="AE24" s="267">
        <v>12.78</v>
      </c>
      <c r="AF24" s="267">
        <v>12.78</v>
      </c>
      <c r="AG24" s="224">
        <v>12.78</v>
      </c>
      <c r="AH24" s="267">
        <v>12.78</v>
      </c>
      <c r="AI24" s="267">
        <v>12.78</v>
      </c>
      <c r="AJ24" s="267">
        <v>12.78</v>
      </c>
      <c r="AK24" s="267">
        <v>12.78</v>
      </c>
      <c r="AL24" s="224">
        <v>12.78</v>
      </c>
      <c r="AM24" s="105">
        <v>12.78</v>
      </c>
      <c r="AN24" s="103" t="s">
        <v>686</v>
      </c>
      <c r="AO24" s="103" t="s">
        <v>612</v>
      </c>
      <c r="AP24" s="103" t="s">
        <v>1213</v>
      </c>
      <c r="AQ24" s="103" t="s">
        <v>1207</v>
      </c>
      <c r="AR24" s="103" t="s">
        <v>939</v>
      </c>
      <c r="AS24" s="271"/>
      <c r="AT24" s="271"/>
      <c r="AU24" s="271"/>
      <c r="AV24" s="271"/>
      <c r="AW24" s="271"/>
      <c r="AX24" s="271"/>
      <c r="AY24" s="271"/>
      <c r="AZ24" s="271"/>
      <c r="BA24" s="271"/>
      <c r="BB24" s="271">
        <v>1526746797</v>
      </c>
      <c r="BC24" s="271"/>
      <c r="BD24" s="271"/>
      <c r="BE24" s="271"/>
      <c r="BF24" s="271"/>
      <c r="BG24" s="271"/>
      <c r="BH24" s="235">
        <v>1526746797</v>
      </c>
      <c r="BI24" s="271"/>
      <c r="BJ24" s="271"/>
      <c r="BK24" s="271"/>
      <c r="BL24" s="271"/>
      <c r="BM24" s="271"/>
      <c r="BN24" s="271"/>
      <c r="BO24" s="271"/>
      <c r="BP24" s="271"/>
      <c r="BQ24" s="271"/>
      <c r="BR24" s="271">
        <v>1572549200.9100001</v>
      </c>
      <c r="BS24" s="271"/>
      <c r="BT24" s="271"/>
      <c r="BU24" s="271"/>
      <c r="BV24" s="271"/>
      <c r="BW24" s="271"/>
      <c r="BX24" s="235">
        <v>1572549200.9100001</v>
      </c>
      <c r="BY24" s="271"/>
      <c r="BZ24" s="271"/>
      <c r="CA24" s="271"/>
      <c r="CB24" s="271"/>
      <c r="CC24" s="271"/>
      <c r="CD24" s="271"/>
      <c r="CE24" s="271"/>
      <c r="CF24" s="271"/>
      <c r="CG24" s="271"/>
      <c r="CH24" s="271">
        <v>1619725676.9373002</v>
      </c>
      <c r="CI24" s="271"/>
      <c r="CJ24" s="271"/>
      <c r="CK24" s="271"/>
      <c r="CL24" s="271"/>
      <c r="CM24" s="271"/>
      <c r="CN24" s="235">
        <v>1619725676.9373002</v>
      </c>
      <c r="CO24" s="271"/>
      <c r="CP24" s="271"/>
      <c r="CQ24" s="271"/>
      <c r="CR24" s="271"/>
      <c r="CS24" s="271"/>
      <c r="CT24" s="271"/>
      <c r="CU24" s="271"/>
      <c r="CV24" s="271"/>
      <c r="CW24" s="271"/>
      <c r="CX24" s="271">
        <v>1668317447.2454193</v>
      </c>
      <c r="CY24" s="271"/>
      <c r="CZ24" s="271"/>
      <c r="DA24" s="271"/>
      <c r="DB24" s="271"/>
      <c r="DC24" s="271"/>
      <c r="DD24" s="235">
        <v>1668317447.2454193</v>
      </c>
      <c r="DE24" s="244">
        <v>6387339122.0927191</v>
      </c>
    </row>
    <row r="25" spans="1:109" s="99" customFormat="1" ht="117" customHeight="1">
      <c r="A25" s="103" t="s">
        <v>1232</v>
      </c>
      <c r="B25" s="279" t="s">
        <v>9</v>
      </c>
      <c r="C25" s="103" t="s">
        <v>1696</v>
      </c>
      <c r="D25" s="279">
        <v>2</v>
      </c>
      <c r="E25" s="279" t="s">
        <v>27</v>
      </c>
      <c r="F25" s="280" t="s">
        <v>688</v>
      </c>
      <c r="G25" s="279" t="s">
        <v>3089</v>
      </c>
      <c r="H25" s="279">
        <v>3</v>
      </c>
      <c r="I25" s="279" t="s">
        <v>3725</v>
      </c>
      <c r="J25" s="279" t="s">
        <v>677</v>
      </c>
      <c r="K25" s="279">
        <v>2.29</v>
      </c>
      <c r="L25" s="279">
        <v>2.29</v>
      </c>
      <c r="M25" s="279" t="s">
        <v>699</v>
      </c>
      <c r="N25" s="279" t="s">
        <v>700</v>
      </c>
      <c r="O25" s="279" t="s">
        <v>701</v>
      </c>
      <c r="P25" s="266">
        <v>21</v>
      </c>
      <c r="Q25" s="279" t="s">
        <v>3726</v>
      </c>
      <c r="R25" s="279" t="s">
        <v>56</v>
      </c>
      <c r="S25" s="279" t="s">
        <v>677</v>
      </c>
      <c r="T25" s="279">
        <v>100</v>
      </c>
      <c r="U25" s="267">
        <v>100</v>
      </c>
      <c r="V25" s="267">
        <v>100</v>
      </c>
      <c r="W25" s="224">
        <v>100</v>
      </c>
      <c r="X25" s="267">
        <v>100</v>
      </c>
      <c r="Y25" s="267">
        <v>100</v>
      </c>
      <c r="Z25" s="267">
        <v>100</v>
      </c>
      <c r="AA25" s="267">
        <v>100</v>
      </c>
      <c r="AB25" s="224">
        <v>100</v>
      </c>
      <c r="AC25" s="267">
        <v>100</v>
      </c>
      <c r="AD25" s="267">
        <v>100</v>
      </c>
      <c r="AE25" s="267">
        <v>100</v>
      </c>
      <c r="AF25" s="267">
        <v>100</v>
      </c>
      <c r="AG25" s="224">
        <v>100</v>
      </c>
      <c r="AH25" s="267">
        <v>100</v>
      </c>
      <c r="AI25" s="267">
        <v>100</v>
      </c>
      <c r="AJ25" s="267">
        <v>100</v>
      </c>
      <c r="AK25" s="267">
        <v>100</v>
      </c>
      <c r="AL25" s="224">
        <v>100</v>
      </c>
      <c r="AM25" s="104">
        <v>100</v>
      </c>
      <c r="AN25" s="103" t="s">
        <v>686</v>
      </c>
      <c r="AO25" s="103" t="s">
        <v>612</v>
      </c>
      <c r="AP25" s="103" t="s">
        <v>1213</v>
      </c>
      <c r="AQ25" s="103" t="s">
        <v>1198</v>
      </c>
      <c r="AR25" s="103" t="s">
        <v>939</v>
      </c>
      <c r="AS25" s="271"/>
      <c r="AT25" s="271"/>
      <c r="AU25" s="271"/>
      <c r="AV25" s="271"/>
      <c r="AW25" s="271">
        <v>25320631013.4482</v>
      </c>
      <c r="AX25" s="271"/>
      <c r="AY25" s="271"/>
      <c r="AZ25" s="271"/>
      <c r="BA25" s="271"/>
      <c r="BB25" s="271"/>
      <c r="BC25" s="271"/>
      <c r="BD25" s="271"/>
      <c r="BE25" s="271"/>
      <c r="BF25" s="271"/>
      <c r="BG25" s="271">
        <v>35550000000</v>
      </c>
      <c r="BH25" s="235">
        <v>60870631013.448196</v>
      </c>
      <c r="BI25" s="271"/>
      <c r="BJ25" s="271"/>
      <c r="BK25" s="271"/>
      <c r="BL25" s="271"/>
      <c r="BM25" s="271">
        <f>26441458285.9102-317796953-94827200.0009003</f>
        <v>26028834132.909298</v>
      </c>
      <c r="BN25" s="271"/>
      <c r="BO25" s="271"/>
      <c r="BP25" s="271"/>
      <c r="BQ25" s="271"/>
      <c r="BR25" s="271"/>
      <c r="BS25" s="271"/>
      <c r="BT25" s="271"/>
      <c r="BU25" s="271"/>
      <c r="BV25" s="271"/>
      <c r="BW25" s="271">
        <v>36611500000</v>
      </c>
      <c r="BX25" s="235">
        <v>62640334132.909302</v>
      </c>
      <c r="BY25" s="271"/>
      <c r="BZ25" s="271"/>
      <c r="CA25" s="271"/>
      <c r="CB25" s="271"/>
      <c r="CC25" s="271">
        <f>27264330023.9048-764155595-201120118.999199</f>
        <v>26299054309.905602</v>
      </c>
      <c r="CD25" s="271"/>
      <c r="CE25" s="271"/>
      <c r="CF25" s="271"/>
      <c r="CG25" s="271"/>
      <c r="CH25" s="271"/>
      <c r="CI25" s="271"/>
      <c r="CJ25" s="271"/>
      <c r="CK25" s="271"/>
      <c r="CL25" s="271"/>
      <c r="CM25" s="271">
        <v>37695445000</v>
      </c>
      <c r="CN25" s="235">
        <v>63994499309.905602</v>
      </c>
      <c r="CO25" s="271"/>
      <c r="CP25" s="271"/>
      <c r="CQ25" s="271"/>
      <c r="CR25" s="271"/>
      <c r="CS25" s="271">
        <f>28359981923.6059-118973277-209426379.000862</f>
        <v>28031582267.605038</v>
      </c>
      <c r="CT25" s="271"/>
      <c r="CU25" s="271"/>
      <c r="CV25" s="271"/>
      <c r="CW25" s="271"/>
      <c r="CX25" s="271"/>
      <c r="CY25" s="271"/>
      <c r="CZ25" s="271"/>
      <c r="DA25" s="271"/>
      <c r="DB25" s="271"/>
      <c r="DC25" s="271">
        <v>38832808350</v>
      </c>
      <c r="DD25" s="235">
        <v>66864390617.605042</v>
      </c>
      <c r="DE25" s="244">
        <v>254369855073.86816</v>
      </c>
    </row>
    <row r="26" spans="1:109" s="99" customFormat="1" ht="117" customHeight="1">
      <c r="A26" s="103" t="s">
        <v>1232</v>
      </c>
      <c r="B26" s="279" t="s">
        <v>9</v>
      </c>
      <c r="C26" s="103" t="s">
        <v>1696</v>
      </c>
      <c r="D26" s="279">
        <v>2</v>
      </c>
      <c r="E26" s="279" t="s">
        <v>27</v>
      </c>
      <c r="F26" s="280" t="s">
        <v>688</v>
      </c>
      <c r="G26" s="279" t="s">
        <v>3089</v>
      </c>
      <c r="H26" s="279">
        <v>3</v>
      </c>
      <c r="I26" s="279" t="s">
        <v>3725</v>
      </c>
      <c r="J26" s="279" t="s">
        <v>677</v>
      </c>
      <c r="K26" s="279">
        <v>2.29</v>
      </c>
      <c r="L26" s="279">
        <v>2.29</v>
      </c>
      <c r="M26" s="279" t="s">
        <v>699</v>
      </c>
      <c r="N26" s="279" t="s">
        <v>700</v>
      </c>
      <c r="O26" s="279" t="s">
        <v>701</v>
      </c>
      <c r="P26" s="266">
        <v>22</v>
      </c>
      <c r="Q26" s="279" t="s">
        <v>3090</v>
      </c>
      <c r="R26" s="279" t="s">
        <v>58</v>
      </c>
      <c r="S26" s="279" t="s">
        <v>683</v>
      </c>
      <c r="T26" s="279">
        <v>0</v>
      </c>
      <c r="U26" s="267"/>
      <c r="V26" s="267"/>
      <c r="W26" s="224">
        <v>0</v>
      </c>
      <c r="X26" s="267"/>
      <c r="Y26" s="267"/>
      <c r="Z26" s="267"/>
      <c r="AA26" s="267">
        <v>0.5</v>
      </c>
      <c r="AB26" s="224">
        <v>0.5</v>
      </c>
      <c r="AC26" s="267"/>
      <c r="AD26" s="267"/>
      <c r="AE26" s="267"/>
      <c r="AF26" s="267">
        <v>0.5</v>
      </c>
      <c r="AG26" s="224">
        <v>0.5</v>
      </c>
      <c r="AH26" s="267"/>
      <c r="AI26" s="267"/>
      <c r="AJ26" s="267"/>
      <c r="AK26" s="267"/>
      <c r="AL26" s="224">
        <v>0</v>
      </c>
      <c r="AM26" s="104">
        <v>1</v>
      </c>
      <c r="AN26" s="103" t="s">
        <v>685</v>
      </c>
      <c r="AO26" s="103" t="s">
        <v>612</v>
      </c>
      <c r="AP26" s="103" t="s">
        <v>1213</v>
      </c>
      <c r="AQ26" s="103" t="s">
        <v>1207</v>
      </c>
      <c r="AR26" s="103" t="s">
        <v>939</v>
      </c>
      <c r="AS26" s="271"/>
      <c r="AT26" s="271"/>
      <c r="AU26" s="271"/>
      <c r="AV26" s="271"/>
      <c r="AW26" s="271"/>
      <c r="AX26" s="271"/>
      <c r="AY26" s="271"/>
      <c r="AZ26" s="271"/>
      <c r="BA26" s="271"/>
      <c r="BB26" s="271"/>
      <c r="BC26" s="271"/>
      <c r="BD26" s="271"/>
      <c r="BE26" s="271"/>
      <c r="BF26" s="271"/>
      <c r="BG26" s="271"/>
      <c r="BH26" s="235">
        <v>0</v>
      </c>
      <c r="BI26" s="271"/>
      <c r="BJ26" s="271"/>
      <c r="BK26" s="271"/>
      <c r="BL26" s="271"/>
      <c r="BM26" s="271">
        <v>500000000</v>
      </c>
      <c r="BN26" s="271"/>
      <c r="BO26" s="271"/>
      <c r="BP26" s="271"/>
      <c r="BQ26" s="271"/>
      <c r="BR26" s="271"/>
      <c r="BS26" s="271"/>
      <c r="BT26" s="271"/>
      <c r="BU26" s="271"/>
      <c r="BV26" s="271"/>
      <c r="BW26" s="271"/>
      <c r="BX26" s="235">
        <v>500000000</v>
      </c>
      <c r="BY26" s="271"/>
      <c r="BZ26" s="271"/>
      <c r="CA26" s="271"/>
      <c r="CB26" s="271"/>
      <c r="CC26" s="271">
        <v>500000000</v>
      </c>
      <c r="CD26" s="271"/>
      <c r="CE26" s="271"/>
      <c r="CF26" s="271"/>
      <c r="CG26" s="271"/>
      <c r="CH26" s="271"/>
      <c r="CI26" s="271"/>
      <c r="CJ26" s="271"/>
      <c r="CK26" s="271"/>
      <c r="CL26" s="271"/>
      <c r="CM26" s="271"/>
      <c r="CN26" s="235">
        <v>500000000</v>
      </c>
      <c r="CO26" s="271"/>
      <c r="CP26" s="271"/>
      <c r="CQ26" s="271"/>
      <c r="CR26" s="271"/>
      <c r="CS26" s="271"/>
      <c r="CT26" s="271"/>
      <c r="CU26" s="271"/>
      <c r="CV26" s="271"/>
      <c r="CW26" s="271"/>
      <c r="CX26" s="271"/>
      <c r="CY26" s="271"/>
      <c r="CZ26" s="271"/>
      <c r="DA26" s="271"/>
      <c r="DB26" s="271"/>
      <c r="DC26" s="271"/>
      <c r="DD26" s="235">
        <v>0</v>
      </c>
      <c r="DE26" s="244">
        <v>1000000000</v>
      </c>
    </row>
    <row r="27" spans="1:109" s="99" customFormat="1" ht="117" customHeight="1">
      <c r="A27" s="103" t="s">
        <v>1232</v>
      </c>
      <c r="B27" s="279" t="s">
        <v>9</v>
      </c>
      <c r="C27" s="103" t="s">
        <v>1696</v>
      </c>
      <c r="D27" s="279">
        <v>2</v>
      </c>
      <c r="E27" s="279" t="s">
        <v>27</v>
      </c>
      <c r="F27" s="280" t="s">
        <v>688</v>
      </c>
      <c r="G27" s="279" t="s">
        <v>3089</v>
      </c>
      <c r="H27" s="279">
        <v>3</v>
      </c>
      <c r="I27" s="279" t="s">
        <v>3725</v>
      </c>
      <c r="J27" s="279" t="s">
        <v>677</v>
      </c>
      <c r="K27" s="279">
        <v>2.29</v>
      </c>
      <c r="L27" s="279">
        <v>2.29</v>
      </c>
      <c r="M27" s="279" t="s">
        <v>699</v>
      </c>
      <c r="N27" s="279" t="s">
        <v>700</v>
      </c>
      <c r="O27" s="279" t="s">
        <v>701</v>
      </c>
      <c r="P27" s="266">
        <v>23</v>
      </c>
      <c r="Q27" s="279" t="s">
        <v>3091</v>
      </c>
      <c r="R27" s="279" t="s">
        <v>62</v>
      </c>
      <c r="S27" s="279" t="s">
        <v>683</v>
      </c>
      <c r="T27" s="279">
        <v>394</v>
      </c>
      <c r="U27" s="267"/>
      <c r="V27" s="267"/>
      <c r="W27" s="224">
        <v>0</v>
      </c>
      <c r="X27" s="267"/>
      <c r="Y27" s="267"/>
      <c r="Z27" s="267"/>
      <c r="AA27" s="267">
        <v>18</v>
      </c>
      <c r="AB27" s="224">
        <v>18</v>
      </c>
      <c r="AC27" s="267"/>
      <c r="AD27" s="267"/>
      <c r="AE27" s="267"/>
      <c r="AF27" s="267">
        <v>18</v>
      </c>
      <c r="AG27" s="224">
        <v>18</v>
      </c>
      <c r="AH27" s="267"/>
      <c r="AI27" s="267"/>
      <c r="AJ27" s="267"/>
      <c r="AK27" s="267">
        <v>20</v>
      </c>
      <c r="AL27" s="224">
        <v>20</v>
      </c>
      <c r="AM27" s="104">
        <v>56</v>
      </c>
      <c r="AN27" s="103" t="s">
        <v>685</v>
      </c>
      <c r="AO27" s="103" t="s">
        <v>612</v>
      </c>
      <c r="AP27" s="103" t="s">
        <v>1213</v>
      </c>
      <c r="AQ27" s="103" t="s">
        <v>1207</v>
      </c>
      <c r="AR27" s="103" t="s">
        <v>939</v>
      </c>
      <c r="AS27" s="271"/>
      <c r="AT27" s="271"/>
      <c r="AU27" s="271"/>
      <c r="AV27" s="271"/>
      <c r="AW27" s="271"/>
      <c r="AX27" s="271"/>
      <c r="AY27" s="271"/>
      <c r="AZ27" s="271"/>
      <c r="BA27" s="271"/>
      <c r="BB27" s="271"/>
      <c r="BC27" s="271"/>
      <c r="BD27" s="271"/>
      <c r="BE27" s="271"/>
      <c r="BF27" s="271"/>
      <c r="BG27" s="271"/>
      <c r="BH27" s="235">
        <v>0</v>
      </c>
      <c r="BI27" s="271"/>
      <c r="BJ27" s="271"/>
      <c r="BK27" s="271"/>
      <c r="BL27" s="271"/>
      <c r="BM27" s="271">
        <v>84249600</v>
      </c>
      <c r="BN27" s="271"/>
      <c r="BO27" s="271"/>
      <c r="BP27" s="271"/>
      <c r="BQ27" s="271"/>
      <c r="BR27" s="271">
        <v>61182000</v>
      </c>
      <c r="BS27" s="271"/>
      <c r="BT27" s="271"/>
      <c r="BU27" s="271"/>
      <c r="BV27" s="271"/>
      <c r="BW27" s="271"/>
      <c r="BX27" s="235">
        <v>145431600</v>
      </c>
      <c r="BY27" s="271"/>
      <c r="BZ27" s="271"/>
      <c r="CA27" s="271"/>
      <c r="CB27" s="271"/>
      <c r="CC27" s="271">
        <v>86970862</v>
      </c>
      <c r="CD27" s="271"/>
      <c r="CE27" s="271"/>
      <c r="CF27" s="271"/>
      <c r="CG27" s="271"/>
      <c r="CH27" s="271">
        <v>63017460</v>
      </c>
      <c r="CI27" s="271"/>
      <c r="CJ27" s="271"/>
      <c r="CK27" s="271"/>
      <c r="CL27" s="271"/>
      <c r="CM27" s="271"/>
      <c r="CN27" s="235">
        <v>149988322</v>
      </c>
      <c r="CO27" s="271"/>
      <c r="CP27" s="271"/>
      <c r="CQ27" s="271"/>
      <c r="CR27" s="271"/>
      <c r="CS27" s="271">
        <v>90562759</v>
      </c>
      <c r="CT27" s="271"/>
      <c r="CU27" s="271"/>
      <c r="CV27" s="271"/>
      <c r="CW27" s="271"/>
      <c r="CX27" s="271">
        <v>64907984</v>
      </c>
      <c r="CY27" s="271"/>
      <c r="CZ27" s="271"/>
      <c r="DA27" s="271"/>
      <c r="DB27" s="271"/>
      <c r="DC27" s="271"/>
      <c r="DD27" s="235">
        <v>155470743</v>
      </c>
      <c r="DE27" s="244">
        <v>450890665</v>
      </c>
    </row>
    <row r="28" spans="1:109" s="99" customFormat="1" ht="117" customHeight="1">
      <c r="A28" s="103" t="s">
        <v>1232</v>
      </c>
      <c r="B28" s="279" t="s">
        <v>9</v>
      </c>
      <c r="C28" s="103" t="s">
        <v>1696</v>
      </c>
      <c r="D28" s="279">
        <v>2</v>
      </c>
      <c r="E28" s="279" t="s">
        <v>27</v>
      </c>
      <c r="F28" s="280" t="s">
        <v>688</v>
      </c>
      <c r="G28" s="279" t="s">
        <v>3089</v>
      </c>
      <c r="H28" s="279">
        <v>3</v>
      </c>
      <c r="I28" s="279" t="s">
        <v>3725</v>
      </c>
      <c r="J28" s="279" t="s">
        <v>677</v>
      </c>
      <c r="K28" s="279">
        <v>2.29</v>
      </c>
      <c r="L28" s="279">
        <v>2.29</v>
      </c>
      <c r="M28" s="279" t="s">
        <v>699</v>
      </c>
      <c r="N28" s="279" t="s">
        <v>700</v>
      </c>
      <c r="O28" s="279" t="s">
        <v>701</v>
      </c>
      <c r="P28" s="266">
        <v>24</v>
      </c>
      <c r="Q28" s="279" t="s">
        <v>3092</v>
      </c>
      <c r="R28" s="279" t="s">
        <v>702</v>
      </c>
      <c r="S28" s="279" t="s">
        <v>683</v>
      </c>
      <c r="T28" s="104">
        <v>1756</v>
      </c>
      <c r="U28" s="267"/>
      <c r="V28" s="267">
        <v>47</v>
      </c>
      <c r="W28" s="224">
        <v>47</v>
      </c>
      <c r="X28" s="267"/>
      <c r="Y28" s="267"/>
      <c r="Z28" s="267"/>
      <c r="AA28" s="267">
        <v>20</v>
      </c>
      <c r="AB28" s="224">
        <v>20</v>
      </c>
      <c r="AC28" s="267"/>
      <c r="AD28" s="267"/>
      <c r="AE28" s="267"/>
      <c r="AF28" s="267">
        <v>15</v>
      </c>
      <c r="AG28" s="224">
        <v>15</v>
      </c>
      <c r="AH28" s="267"/>
      <c r="AI28" s="267"/>
      <c r="AJ28" s="267"/>
      <c r="AK28" s="267">
        <v>12</v>
      </c>
      <c r="AL28" s="224">
        <v>12</v>
      </c>
      <c r="AM28" s="104">
        <v>94</v>
      </c>
      <c r="AN28" s="103" t="s">
        <v>685</v>
      </c>
      <c r="AO28" s="103" t="s">
        <v>612</v>
      </c>
      <c r="AP28" s="103" t="s">
        <v>1213</v>
      </c>
      <c r="AQ28" s="103" t="s">
        <v>1207</v>
      </c>
      <c r="AR28" s="103" t="s">
        <v>939</v>
      </c>
      <c r="AS28" s="271"/>
      <c r="AT28" s="271"/>
      <c r="AU28" s="271"/>
      <c r="AV28" s="271"/>
      <c r="AW28" s="271">
        <v>105000000</v>
      </c>
      <c r="AX28" s="271"/>
      <c r="AY28" s="271"/>
      <c r="AZ28" s="271"/>
      <c r="BA28" s="271"/>
      <c r="BB28" s="271"/>
      <c r="BC28" s="271"/>
      <c r="BD28" s="271"/>
      <c r="BE28" s="271"/>
      <c r="BF28" s="271"/>
      <c r="BG28" s="271">
        <f>5913224313.97+60</f>
        <v>5913224373.9700003</v>
      </c>
      <c r="BH28" s="235">
        <v>6018224373.9700003</v>
      </c>
      <c r="BI28" s="271"/>
      <c r="BJ28" s="271"/>
      <c r="BK28" s="271"/>
      <c r="BL28" s="271"/>
      <c r="BM28" s="271">
        <v>500000000</v>
      </c>
      <c r="BN28" s="271"/>
      <c r="BO28" s="271"/>
      <c r="BP28" s="271"/>
      <c r="BQ28" s="271"/>
      <c r="BR28" s="271"/>
      <c r="BS28" s="271"/>
      <c r="BT28" s="271"/>
      <c r="BU28" s="271"/>
      <c r="BV28" s="271"/>
      <c r="BW28" s="271"/>
      <c r="BX28" s="235">
        <v>500000000</v>
      </c>
      <c r="BY28" s="271"/>
      <c r="BZ28" s="271"/>
      <c r="CA28" s="271"/>
      <c r="CB28" s="271"/>
      <c r="CC28" s="271">
        <v>500000000</v>
      </c>
      <c r="CD28" s="271"/>
      <c r="CE28" s="271"/>
      <c r="CF28" s="271"/>
      <c r="CG28" s="271"/>
      <c r="CH28" s="271"/>
      <c r="CI28" s="271"/>
      <c r="CJ28" s="271"/>
      <c r="CK28" s="271"/>
      <c r="CL28" s="271"/>
      <c r="CM28" s="271"/>
      <c r="CN28" s="235">
        <v>500000000</v>
      </c>
      <c r="CO28" s="271"/>
      <c r="CP28" s="271"/>
      <c r="CQ28" s="271"/>
      <c r="CR28" s="271"/>
      <c r="CS28" s="271">
        <v>214968529.34</v>
      </c>
      <c r="CT28" s="271"/>
      <c r="CU28" s="271"/>
      <c r="CV28" s="271"/>
      <c r="CW28" s="271"/>
      <c r="CX28" s="271"/>
      <c r="CY28" s="271"/>
      <c r="CZ28" s="271"/>
      <c r="DA28" s="271"/>
      <c r="DB28" s="271"/>
      <c r="DC28" s="271"/>
      <c r="DD28" s="235">
        <v>214968529.34</v>
      </c>
      <c r="DE28" s="244">
        <v>7233192903.3100004</v>
      </c>
    </row>
    <row r="29" spans="1:109" s="99" customFormat="1" ht="117" customHeight="1">
      <c r="A29" s="103" t="s">
        <v>1232</v>
      </c>
      <c r="B29" s="279" t="s">
        <v>9</v>
      </c>
      <c r="C29" s="103" t="s">
        <v>1696</v>
      </c>
      <c r="D29" s="279">
        <v>2</v>
      </c>
      <c r="E29" s="279" t="s">
        <v>27</v>
      </c>
      <c r="F29" s="280" t="s">
        <v>688</v>
      </c>
      <c r="G29" s="279" t="s">
        <v>3089</v>
      </c>
      <c r="H29" s="279">
        <v>3</v>
      </c>
      <c r="I29" s="279" t="s">
        <v>3725</v>
      </c>
      <c r="J29" s="279" t="s">
        <v>677</v>
      </c>
      <c r="K29" s="279">
        <v>2.29</v>
      </c>
      <c r="L29" s="279">
        <v>2.29</v>
      </c>
      <c r="M29" s="279" t="s">
        <v>699</v>
      </c>
      <c r="N29" s="279" t="s">
        <v>700</v>
      </c>
      <c r="O29" s="279" t="s">
        <v>701</v>
      </c>
      <c r="P29" s="266">
        <v>25</v>
      </c>
      <c r="Q29" s="279" t="s">
        <v>3293</v>
      </c>
      <c r="R29" s="279" t="s">
        <v>703</v>
      </c>
      <c r="S29" s="279" t="s">
        <v>677</v>
      </c>
      <c r="T29" s="279">
        <v>12</v>
      </c>
      <c r="U29" s="267"/>
      <c r="V29" s="267">
        <v>1</v>
      </c>
      <c r="W29" s="224">
        <v>1</v>
      </c>
      <c r="X29" s="267"/>
      <c r="Y29" s="267"/>
      <c r="Z29" s="267"/>
      <c r="AA29" s="267">
        <v>2</v>
      </c>
      <c r="AB29" s="224">
        <v>2</v>
      </c>
      <c r="AC29" s="267"/>
      <c r="AD29" s="267"/>
      <c r="AE29" s="267"/>
      <c r="AF29" s="267">
        <v>2</v>
      </c>
      <c r="AG29" s="224">
        <v>2</v>
      </c>
      <c r="AH29" s="267"/>
      <c r="AI29" s="267"/>
      <c r="AJ29" s="267"/>
      <c r="AK29" s="267">
        <v>1</v>
      </c>
      <c r="AL29" s="224">
        <v>1</v>
      </c>
      <c r="AM29" s="104">
        <v>6</v>
      </c>
      <c r="AN29" s="103" t="s">
        <v>685</v>
      </c>
      <c r="AO29" s="103" t="s">
        <v>612</v>
      </c>
      <c r="AP29" s="103" t="s">
        <v>1213</v>
      </c>
      <c r="AQ29" s="103" t="s">
        <v>1193</v>
      </c>
      <c r="AR29" s="103" t="s">
        <v>939</v>
      </c>
      <c r="AS29" s="271"/>
      <c r="AT29" s="271"/>
      <c r="AU29" s="271"/>
      <c r="AV29" s="271"/>
      <c r="AW29" s="271">
        <f>3147300000-1254540440</f>
        <v>1892759560</v>
      </c>
      <c r="AX29" s="271"/>
      <c r="AY29" s="271"/>
      <c r="AZ29" s="271"/>
      <c r="BA29" s="271"/>
      <c r="BB29" s="271"/>
      <c r="BC29" s="271"/>
      <c r="BD29" s="271"/>
      <c r="BE29" s="271"/>
      <c r="BF29" s="271"/>
      <c r="BG29" s="271"/>
      <c r="BH29" s="235">
        <v>1892759560</v>
      </c>
      <c r="BI29" s="271"/>
      <c r="BJ29" s="271"/>
      <c r="BK29" s="271"/>
      <c r="BL29" s="271"/>
      <c r="BM29" s="271">
        <v>1566007397.5</v>
      </c>
      <c r="BN29" s="271"/>
      <c r="BO29" s="271"/>
      <c r="BP29" s="271"/>
      <c r="BQ29" s="271"/>
      <c r="BR29" s="271"/>
      <c r="BS29" s="271"/>
      <c r="BT29" s="271"/>
      <c r="BU29" s="271"/>
      <c r="BV29" s="271"/>
      <c r="BW29" s="271"/>
      <c r="BX29" s="235">
        <v>1566007397.5</v>
      </c>
      <c r="BY29" s="271"/>
      <c r="BZ29" s="271"/>
      <c r="CA29" s="271"/>
      <c r="CB29" s="271"/>
      <c r="CC29" s="271">
        <v>1629777432.0599999</v>
      </c>
      <c r="CD29" s="271"/>
      <c r="CE29" s="271"/>
      <c r="CF29" s="271"/>
      <c r="CG29" s="271"/>
      <c r="CH29" s="271"/>
      <c r="CI29" s="271"/>
      <c r="CJ29" s="271"/>
      <c r="CK29" s="271"/>
      <c r="CL29" s="271"/>
      <c r="CM29" s="271"/>
      <c r="CN29" s="235">
        <v>1629777432.0599999</v>
      </c>
      <c r="CO29" s="271"/>
      <c r="CP29" s="271"/>
      <c r="CQ29" s="271"/>
      <c r="CR29" s="271"/>
      <c r="CS29" s="271">
        <v>2000000000</v>
      </c>
      <c r="CT29" s="271"/>
      <c r="CU29" s="271"/>
      <c r="CV29" s="271"/>
      <c r="CW29" s="271"/>
      <c r="CX29" s="271"/>
      <c r="CY29" s="271"/>
      <c r="CZ29" s="271"/>
      <c r="DA29" s="271"/>
      <c r="DB29" s="271"/>
      <c r="DC29" s="271"/>
      <c r="DD29" s="235">
        <v>2000000000</v>
      </c>
      <c r="DE29" s="244">
        <v>7088544389.5599995</v>
      </c>
    </row>
    <row r="30" spans="1:109" s="99" customFormat="1" ht="117" customHeight="1">
      <c r="A30" s="103" t="s">
        <v>1232</v>
      </c>
      <c r="B30" s="279" t="s">
        <v>9</v>
      </c>
      <c r="C30" s="103" t="s">
        <v>1696</v>
      </c>
      <c r="D30" s="279">
        <v>2</v>
      </c>
      <c r="E30" s="279" t="s">
        <v>27</v>
      </c>
      <c r="F30" s="280" t="s">
        <v>688</v>
      </c>
      <c r="G30" s="279" t="s">
        <v>3089</v>
      </c>
      <c r="H30" s="279">
        <v>3</v>
      </c>
      <c r="I30" s="279" t="s">
        <v>3725</v>
      </c>
      <c r="J30" s="279" t="s">
        <v>677</v>
      </c>
      <c r="K30" s="279">
        <v>2.29</v>
      </c>
      <c r="L30" s="279">
        <v>2.29</v>
      </c>
      <c r="M30" s="279" t="s">
        <v>699</v>
      </c>
      <c r="N30" s="279" t="s">
        <v>700</v>
      </c>
      <c r="O30" s="279" t="s">
        <v>701</v>
      </c>
      <c r="P30" s="266">
        <v>26</v>
      </c>
      <c r="Q30" s="279" t="s">
        <v>3294</v>
      </c>
      <c r="R30" s="279" t="s">
        <v>69</v>
      </c>
      <c r="S30" s="279" t="s">
        <v>683</v>
      </c>
      <c r="T30" s="279">
        <v>0</v>
      </c>
      <c r="U30" s="267"/>
      <c r="V30" s="267"/>
      <c r="W30" s="224">
        <v>0</v>
      </c>
      <c r="X30" s="267"/>
      <c r="Y30" s="267"/>
      <c r="Z30" s="267"/>
      <c r="AA30" s="267">
        <v>400</v>
      </c>
      <c r="AB30" s="224">
        <v>400</v>
      </c>
      <c r="AC30" s="267"/>
      <c r="AD30" s="267"/>
      <c r="AE30" s="267"/>
      <c r="AF30" s="267">
        <v>400</v>
      </c>
      <c r="AG30" s="224">
        <v>400</v>
      </c>
      <c r="AH30" s="267"/>
      <c r="AI30" s="267"/>
      <c r="AJ30" s="267"/>
      <c r="AK30" s="267">
        <v>400</v>
      </c>
      <c r="AL30" s="224">
        <v>400</v>
      </c>
      <c r="AM30" s="104">
        <v>1200</v>
      </c>
      <c r="AN30" s="103" t="s">
        <v>685</v>
      </c>
      <c r="AO30" s="103" t="s">
        <v>612</v>
      </c>
      <c r="AP30" s="103" t="s">
        <v>1213</v>
      </c>
      <c r="AQ30" s="103" t="s">
        <v>1207</v>
      </c>
      <c r="AR30" s="103" t="s">
        <v>939</v>
      </c>
      <c r="AS30" s="271"/>
      <c r="AT30" s="271"/>
      <c r="AU30" s="271"/>
      <c r="AV30" s="271"/>
      <c r="AW30" s="271"/>
      <c r="AX30" s="271"/>
      <c r="AY30" s="271"/>
      <c r="AZ30" s="271"/>
      <c r="BA30" s="271"/>
      <c r="BB30" s="271"/>
      <c r="BC30" s="271"/>
      <c r="BD30" s="271"/>
      <c r="BE30" s="271"/>
      <c r="BF30" s="271"/>
      <c r="BG30" s="271"/>
      <c r="BH30" s="235">
        <v>0</v>
      </c>
      <c r="BI30" s="271"/>
      <c r="BJ30" s="271"/>
      <c r="BK30" s="271"/>
      <c r="BL30" s="271"/>
      <c r="BM30" s="271">
        <v>48706800</v>
      </c>
      <c r="BN30" s="271"/>
      <c r="BO30" s="271"/>
      <c r="BP30" s="271"/>
      <c r="BQ30" s="271"/>
      <c r="BR30" s="271">
        <v>278100000</v>
      </c>
      <c r="BS30" s="271"/>
      <c r="BT30" s="271"/>
      <c r="BU30" s="271"/>
      <c r="BV30" s="271"/>
      <c r="BW30" s="271"/>
      <c r="BX30" s="235">
        <v>326806800</v>
      </c>
      <c r="BY30" s="271"/>
      <c r="BZ30" s="271"/>
      <c r="CA30" s="271"/>
      <c r="CB30" s="271"/>
      <c r="CC30" s="271">
        <v>50280030</v>
      </c>
      <c r="CD30" s="271"/>
      <c r="CE30" s="271"/>
      <c r="CF30" s="271"/>
      <c r="CG30" s="271"/>
      <c r="CH30" s="271">
        <v>286443000</v>
      </c>
      <c r="CI30" s="271"/>
      <c r="CJ30" s="271"/>
      <c r="CK30" s="271"/>
      <c r="CL30" s="271"/>
      <c r="CM30" s="271"/>
      <c r="CN30" s="235">
        <v>336723030</v>
      </c>
      <c r="CO30" s="271"/>
      <c r="CP30" s="271"/>
      <c r="CQ30" s="271"/>
      <c r="CR30" s="271"/>
      <c r="CS30" s="271">
        <v>52356595</v>
      </c>
      <c r="CT30" s="271"/>
      <c r="CU30" s="271"/>
      <c r="CV30" s="271"/>
      <c r="CW30" s="271"/>
      <c r="CX30" s="271">
        <v>295036290</v>
      </c>
      <c r="CY30" s="271"/>
      <c r="CZ30" s="271"/>
      <c r="DA30" s="271"/>
      <c r="DB30" s="271"/>
      <c r="DC30" s="271"/>
      <c r="DD30" s="235">
        <v>347392885</v>
      </c>
      <c r="DE30" s="244">
        <v>1010922715</v>
      </c>
    </row>
    <row r="31" spans="1:109" s="99" customFormat="1" ht="117" customHeight="1">
      <c r="A31" s="103" t="s">
        <v>1232</v>
      </c>
      <c r="B31" s="279" t="s">
        <v>9</v>
      </c>
      <c r="C31" s="103" t="s">
        <v>1696</v>
      </c>
      <c r="D31" s="279">
        <v>2</v>
      </c>
      <c r="E31" s="279" t="s">
        <v>27</v>
      </c>
      <c r="F31" s="280" t="s">
        <v>688</v>
      </c>
      <c r="G31" s="279" t="s">
        <v>3089</v>
      </c>
      <c r="H31" s="279">
        <v>3</v>
      </c>
      <c r="I31" s="279" t="s">
        <v>3725</v>
      </c>
      <c r="J31" s="279" t="s">
        <v>677</v>
      </c>
      <c r="K31" s="279">
        <v>2.29</v>
      </c>
      <c r="L31" s="279">
        <v>2.29</v>
      </c>
      <c r="M31" s="279" t="s">
        <v>699</v>
      </c>
      <c r="N31" s="279" t="s">
        <v>700</v>
      </c>
      <c r="O31" s="279" t="s">
        <v>701</v>
      </c>
      <c r="P31" s="266">
        <v>27</v>
      </c>
      <c r="Q31" s="279" t="s">
        <v>3727</v>
      </c>
      <c r="R31" s="279" t="s">
        <v>71</v>
      </c>
      <c r="S31" s="279" t="s">
        <v>677</v>
      </c>
      <c r="T31" s="279">
        <v>20</v>
      </c>
      <c r="U31" s="267"/>
      <c r="V31" s="267">
        <v>0.25</v>
      </c>
      <c r="W31" s="224">
        <v>0.25</v>
      </c>
      <c r="X31" s="267"/>
      <c r="Y31" s="267"/>
      <c r="Z31" s="267"/>
      <c r="AA31" s="267">
        <v>5.5</v>
      </c>
      <c r="AB31" s="224">
        <v>5.5</v>
      </c>
      <c r="AC31" s="267"/>
      <c r="AD31" s="267"/>
      <c r="AE31" s="267"/>
      <c r="AF31" s="267">
        <v>5.5</v>
      </c>
      <c r="AG31" s="224">
        <v>5.5</v>
      </c>
      <c r="AH31" s="267"/>
      <c r="AI31" s="267"/>
      <c r="AJ31" s="267"/>
      <c r="AK31" s="267">
        <v>5.75</v>
      </c>
      <c r="AL31" s="224">
        <v>5.75</v>
      </c>
      <c r="AM31" s="104">
        <v>17</v>
      </c>
      <c r="AN31" s="103" t="s">
        <v>685</v>
      </c>
      <c r="AO31" s="103" t="s">
        <v>612</v>
      </c>
      <c r="AP31" s="103" t="s">
        <v>1213</v>
      </c>
      <c r="AQ31" s="103" t="s">
        <v>1207</v>
      </c>
      <c r="AR31" s="103" t="s">
        <v>939</v>
      </c>
      <c r="AS31" s="271"/>
      <c r="AT31" s="271"/>
      <c r="AU31" s="271"/>
      <c r="AV31" s="271"/>
      <c r="AW31" s="271">
        <v>8626555458</v>
      </c>
      <c r="AX31" s="271"/>
      <c r="AY31" s="271"/>
      <c r="AZ31" s="271"/>
      <c r="BA31" s="271"/>
      <c r="BB31" s="271"/>
      <c r="BC31" s="271"/>
      <c r="BD31" s="271"/>
      <c r="BE31" s="271"/>
      <c r="BF31" s="271"/>
      <c r="BG31" s="271"/>
      <c r="BH31" s="235">
        <v>8626555458</v>
      </c>
      <c r="BI31" s="271"/>
      <c r="BJ31" s="271"/>
      <c r="BK31" s="271"/>
      <c r="BL31" s="271"/>
      <c r="BM31" s="271">
        <v>9007417881.4706993</v>
      </c>
      <c r="BN31" s="271"/>
      <c r="BO31" s="271"/>
      <c r="BP31" s="271"/>
      <c r="BQ31" s="271"/>
      <c r="BR31" s="271"/>
      <c r="BS31" s="271"/>
      <c r="BT31" s="271"/>
      <c r="BU31" s="271"/>
      <c r="BV31" s="271"/>
      <c r="BW31" s="271"/>
      <c r="BX31" s="235">
        <v>9007417881.4706993</v>
      </c>
      <c r="BY31" s="271"/>
      <c r="BZ31" s="271"/>
      <c r="CA31" s="271"/>
      <c r="CB31" s="271"/>
      <c r="CC31" s="271">
        <v>9287548577.5844402</v>
      </c>
      <c r="CD31" s="271"/>
      <c r="CE31" s="271"/>
      <c r="CF31" s="271"/>
      <c r="CG31" s="271"/>
      <c r="CH31" s="271"/>
      <c r="CI31" s="271"/>
      <c r="CJ31" s="271"/>
      <c r="CK31" s="271"/>
      <c r="CL31" s="271"/>
      <c r="CM31" s="271"/>
      <c r="CN31" s="235">
        <v>9287548577.5844402</v>
      </c>
      <c r="CO31" s="271"/>
      <c r="CP31" s="271"/>
      <c r="CQ31" s="271"/>
      <c r="CR31" s="271"/>
      <c r="CS31" s="271">
        <v>9659050520.6900005</v>
      </c>
      <c r="CT31" s="271"/>
      <c r="CU31" s="271"/>
      <c r="CV31" s="271"/>
      <c r="CW31" s="271"/>
      <c r="CX31" s="271"/>
      <c r="CY31" s="271"/>
      <c r="CZ31" s="271"/>
      <c r="DA31" s="271"/>
      <c r="DB31" s="271"/>
      <c r="DC31" s="271"/>
      <c r="DD31" s="235">
        <v>9659050520.6900005</v>
      </c>
      <c r="DE31" s="244">
        <v>36580572437.74514</v>
      </c>
    </row>
    <row r="32" spans="1:109" s="99" customFormat="1" ht="117" customHeight="1">
      <c r="A32" s="103" t="s">
        <v>1232</v>
      </c>
      <c r="B32" s="279" t="s">
        <v>9</v>
      </c>
      <c r="C32" s="103" t="s">
        <v>1696</v>
      </c>
      <c r="D32" s="279">
        <v>2</v>
      </c>
      <c r="E32" s="279" t="s">
        <v>27</v>
      </c>
      <c r="F32" s="280" t="s">
        <v>688</v>
      </c>
      <c r="G32" s="279" t="s">
        <v>3089</v>
      </c>
      <c r="H32" s="279">
        <v>3</v>
      </c>
      <c r="I32" s="279" t="s">
        <v>3725</v>
      </c>
      <c r="J32" s="279" t="s">
        <v>677</v>
      </c>
      <c r="K32" s="279">
        <v>2.29</v>
      </c>
      <c r="L32" s="279">
        <v>2.29</v>
      </c>
      <c r="M32" s="279" t="s">
        <v>699</v>
      </c>
      <c r="N32" s="279" t="s">
        <v>700</v>
      </c>
      <c r="O32" s="279" t="s">
        <v>701</v>
      </c>
      <c r="P32" s="266">
        <v>28</v>
      </c>
      <c r="Q32" s="279" t="s">
        <v>3093</v>
      </c>
      <c r="R32" s="279" t="s">
        <v>73</v>
      </c>
      <c r="S32" s="279" t="s">
        <v>677</v>
      </c>
      <c r="T32" s="279">
        <v>84.9</v>
      </c>
      <c r="U32" s="267"/>
      <c r="V32" s="267">
        <v>84.9</v>
      </c>
      <c r="W32" s="224">
        <v>84.9</v>
      </c>
      <c r="X32" s="267"/>
      <c r="Y32" s="267">
        <v>84.9</v>
      </c>
      <c r="Z32" s="267"/>
      <c r="AA32" s="267"/>
      <c r="AB32" s="224">
        <v>84.9</v>
      </c>
      <c r="AC32" s="267"/>
      <c r="AD32" s="267">
        <v>84.9</v>
      </c>
      <c r="AE32" s="267"/>
      <c r="AF32" s="267"/>
      <c r="AG32" s="224">
        <v>84.9</v>
      </c>
      <c r="AH32" s="267"/>
      <c r="AI32" s="267">
        <v>84.9</v>
      </c>
      <c r="AJ32" s="267"/>
      <c r="AK32" s="267"/>
      <c r="AL32" s="224">
        <v>84.9</v>
      </c>
      <c r="AM32" s="106">
        <v>84.9</v>
      </c>
      <c r="AN32" s="103" t="s">
        <v>686</v>
      </c>
      <c r="AO32" s="103" t="s">
        <v>612</v>
      </c>
      <c r="AP32" s="103" t="s">
        <v>1213</v>
      </c>
      <c r="AQ32" s="103" t="s">
        <v>1207</v>
      </c>
      <c r="AR32" s="103" t="s">
        <v>939</v>
      </c>
      <c r="AS32" s="271"/>
      <c r="AT32" s="271"/>
      <c r="AU32" s="271"/>
      <c r="AV32" s="271"/>
      <c r="AW32" s="271"/>
      <c r="AX32" s="271"/>
      <c r="AY32" s="271"/>
      <c r="AZ32" s="271"/>
      <c r="BA32" s="271"/>
      <c r="BB32" s="271">
        <f>580000000+223048233489-200000000-60000000</f>
        <v>223368233489</v>
      </c>
      <c r="BC32" s="271"/>
      <c r="BD32" s="271"/>
      <c r="BE32" s="271"/>
      <c r="BF32" s="271"/>
      <c r="BG32" s="271"/>
      <c r="BH32" s="235">
        <v>223368233489</v>
      </c>
      <c r="BI32" s="271"/>
      <c r="BJ32" s="271"/>
      <c r="BK32" s="271"/>
      <c r="BL32" s="271"/>
      <c r="BM32" s="271"/>
      <c r="BN32" s="271"/>
      <c r="BO32" s="271"/>
      <c r="BP32" s="271"/>
      <c r="BQ32" s="271"/>
      <c r="BR32" s="271">
        <f>597400000+224106392494-206000000-61800000</f>
        <v>224435992494</v>
      </c>
      <c r="BS32" s="271"/>
      <c r="BT32" s="271"/>
      <c r="BU32" s="271"/>
      <c r="BV32" s="271"/>
      <c r="BW32" s="271"/>
      <c r="BX32" s="235">
        <v>224435992494</v>
      </c>
      <c r="BY32" s="271"/>
      <c r="BZ32" s="271"/>
      <c r="CA32" s="271"/>
      <c r="CB32" s="271"/>
      <c r="CC32" s="271"/>
      <c r="CD32" s="271"/>
      <c r="CE32" s="271"/>
      <c r="CF32" s="271"/>
      <c r="CG32" s="271"/>
      <c r="CH32" s="271">
        <f>231226580729-212180000-63654000</f>
        <v>230950746729</v>
      </c>
      <c r="CI32" s="271"/>
      <c r="CJ32" s="271"/>
      <c r="CK32" s="271"/>
      <c r="CL32" s="271"/>
      <c r="CM32" s="271"/>
      <c r="CN32" s="235">
        <v>230950746729</v>
      </c>
      <c r="CO32" s="271"/>
      <c r="CP32" s="271"/>
      <c r="CQ32" s="271"/>
      <c r="CR32" s="271"/>
      <c r="CS32" s="271"/>
      <c r="CT32" s="271"/>
      <c r="CU32" s="271"/>
      <c r="CV32" s="271"/>
      <c r="CW32" s="271"/>
      <c r="CX32" s="271">
        <f>633781660+237908243668-218545400-65563620</f>
        <v>238257916308</v>
      </c>
      <c r="CY32" s="271"/>
      <c r="CZ32" s="271"/>
      <c r="DA32" s="271"/>
      <c r="DB32" s="271"/>
      <c r="DC32" s="271"/>
      <c r="DD32" s="235">
        <v>238257916308</v>
      </c>
      <c r="DE32" s="244">
        <v>917012889020</v>
      </c>
    </row>
    <row r="33" spans="1:109" s="99" customFormat="1" ht="117" customHeight="1">
      <c r="A33" s="103" t="s">
        <v>1232</v>
      </c>
      <c r="B33" s="279" t="s">
        <v>9</v>
      </c>
      <c r="C33" s="103" t="s">
        <v>1696</v>
      </c>
      <c r="D33" s="279">
        <v>2</v>
      </c>
      <c r="E33" s="279" t="s">
        <v>27</v>
      </c>
      <c r="F33" s="280" t="s">
        <v>688</v>
      </c>
      <c r="G33" s="279" t="s">
        <v>3089</v>
      </c>
      <c r="H33" s="279">
        <v>3</v>
      </c>
      <c r="I33" s="279" t="s">
        <v>3725</v>
      </c>
      <c r="J33" s="279" t="s">
        <v>677</v>
      </c>
      <c r="K33" s="279">
        <v>2.29</v>
      </c>
      <c r="L33" s="279">
        <v>2.29</v>
      </c>
      <c r="M33" s="279" t="s">
        <v>699</v>
      </c>
      <c r="N33" s="279" t="s">
        <v>700</v>
      </c>
      <c r="O33" s="279" t="s">
        <v>701</v>
      </c>
      <c r="P33" s="266">
        <v>29</v>
      </c>
      <c r="Q33" s="279" t="s">
        <v>3094</v>
      </c>
      <c r="R33" s="279" t="s">
        <v>79</v>
      </c>
      <c r="S33" s="279" t="s">
        <v>677</v>
      </c>
      <c r="T33" s="279">
        <v>50</v>
      </c>
      <c r="U33" s="267"/>
      <c r="V33" s="267">
        <v>50</v>
      </c>
      <c r="W33" s="224">
        <v>50</v>
      </c>
      <c r="X33" s="267"/>
      <c r="Y33" s="267"/>
      <c r="Z33" s="267"/>
      <c r="AA33" s="267">
        <v>50</v>
      </c>
      <c r="AB33" s="224">
        <v>50</v>
      </c>
      <c r="AC33" s="267"/>
      <c r="AD33" s="267"/>
      <c r="AE33" s="267"/>
      <c r="AF33" s="267">
        <v>50</v>
      </c>
      <c r="AG33" s="224">
        <v>50</v>
      </c>
      <c r="AH33" s="267"/>
      <c r="AI33" s="267"/>
      <c r="AJ33" s="267"/>
      <c r="AK33" s="267">
        <v>50</v>
      </c>
      <c r="AL33" s="224">
        <v>50</v>
      </c>
      <c r="AM33" s="104">
        <v>50</v>
      </c>
      <c r="AN33" s="103" t="s">
        <v>686</v>
      </c>
      <c r="AO33" s="103" t="s">
        <v>612</v>
      </c>
      <c r="AP33" s="103" t="s">
        <v>1213</v>
      </c>
      <c r="AQ33" s="103" t="s">
        <v>1207</v>
      </c>
      <c r="AR33" s="103" t="s">
        <v>939</v>
      </c>
      <c r="AS33" s="271"/>
      <c r="AT33" s="271"/>
      <c r="AU33" s="271"/>
      <c r="AV33" s="271"/>
      <c r="AW33" s="271"/>
      <c r="AX33" s="271"/>
      <c r="AY33" s="271"/>
      <c r="AZ33" s="271"/>
      <c r="BA33" s="271"/>
      <c r="BB33" s="271">
        <v>50000000</v>
      </c>
      <c r="BC33" s="271"/>
      <c r="BD33" s="271"/>
      <c r="BE33" s="271"/>
      <c r="BF33" s="271"/>
      <c r="BG33" s="271"/>
      <c r="BH33" s="235">
        <v>50000000</v>
      </c>
      <c r="BI33" s="271"/>
      <c r="BJ33" s="271"/>
      <c r="BK33" s="271"/>
      <c r="BL33" s="271"/>
      <c r="BM33" s="271">
        <v>94827200</v>
      </c>
      <c r="BN33" s="271"/>
      <c r="BO33" s="271"/>
      <c r="BP33" s="271"/>
      <c r="BQ33" s="271"/>
      <c r="BR33" s="271">
        <v>1000000</v>
      </c>
      <c r="BS33" s="271"/>
      <c r="BT33" s="271"/>
      <c r="BU33" s="271"/>
      <c r="BV33" s="271"/>
      <c r="BW33" s="271"/>
      <c r="BX33" s="235">
        <v>95827200</v>
      </c>
      <c r="BY33" s="271"/>
      <c r="BZ33" s="271"/>
      <c r="CA33" s="271"/>
      <c r="CB33" s="271"/>
      <c r="CC33" s="271">
        <v>201120119</v>
      </c>
      <c r="CD33" s="271"/>
      <c r="CE33" s="271"/>
      <c r="CF33" s="271"/>
      <c r="CG33" s="271"/>
      <c r="CH33" s="271">
        <v>1000000</v>
      </c>
      <c r="CI33" s="271"/>
      <c r="CJ33" s="271"/>
      <c r="CK33" s="271"/>
      <c r="CL33" s="271"/>
      <c r="CM33" s="271"/>
      <c r="CN33" s="235">
        <v>202120119</v>
      </c>
      <c r="CO33" s="271"/>
      <c r="CP33" s="271"/>
      <c r="CQ33" s="271"/>
      <c r="CR33" s="271"/>
      <c r="CS33" s="271">
        <v>209426379</v>
      </c>
      <c r="CT33" s="271"/>
      <c r="CU33" s="271"/>
      <c r="CV33" s="271"/>
      <c r="CW33" s="271"/>
      <c r="CX33" s="271">
        <v>1000000</v>
      </c>
      <c r="CY33" s="271"/>
      <c r="CZ33" s="271"/>
      <c r="DA33" s="271"/>
      <c r="DB33" s="271"/>
      <c r="DC33" s="271"/>
      <c r="DD33" s="235">
        <v>210426379</v>
      </c>
      <c r="DE33" s="244">
        <v>558373698</v>
      </c>
    </row>
    <row r="34" spans="1:109" s="99" customFormat="1" ht="117" customHeight="1">
      <c r="A34" s="103" t="s">
        <v>1232</v>
      </c>
      <c r="B34" s="279" t="s">
        <v>9</v>
      </c>
      <c r="C34" s="103" t="s">
        <v>1696</v>
      </c>
      <c r="D34" s="279">
        <v>2</v>
      </c>
      <c r="E34" s="279" t="s">
        <v>27</v>
      </c>
      <c r="F34" s="280" t="s">
        <v>688</v>
      </c>
      <c r="G34" s="279" t="s">
        <v>3089</v>
      </c>
      <c r="H34" s="279">
        <v>3</v>
      </c>
      <c r="I34" s="279" t="s">
        <v>3725</v>
      </c>
      <c r="J34" s="279" t="s">
        <v>677</v>
      </c>
      <c r="K34" s="279">
        <v>2.29</v>
      </c>
      <c r="L34" s="279">
        <v>2.29</v>
      </c>
      <c r="M34" s="279" t="s">
        <v>699</v>
      </c>
      <c r="N34" s="279" t="s">
        <v>700</v>
      </c>
      <c r="O34" s="279" t="s">
        <v>701</v>
      </c>
      <c r="P34" s="266">
        <v>30</v>
      </c>
      <c r="Q34" s="279" t="s">
        <v>3095</v>
      </c>
      <c r="R34" s="279" t="s">
        <v>79</v>
      </c>
      <c r="S34" s="279" t="s">
        <v>677</v>
      </c>
      <c r="T34" s="279">
        <v>50</v>
      </c>
      <c r="U34" s="267"/>
      <c r="V34" s="267"/>
      <c r="W34" s="224">
        <v>0</v>
      </c>
      <c r="X34" s="267"/>
      <c r="Y34" s="267">
        <v>10</v>
      </c>
      <c r="Z34" s="267"/>
      <c r="AA34" s="267"/>
      <c r="AB34" s="224">
        <v>10</v>
      </c>
      <c r="AC34" s="267"/>
      <c r="AD34" s="267">
        <v>5</v>
      </c>
      <c r="AE34" s="267"/>
      <c r="AF34" s="267"/>
      <c r="AG34" s="224">
        <v>5</v>
      </c>
      <c r="AH34" s="267"/>
      <c r="AI34" s="267">
        <v>5</v>
      </c>
      <c r="AJ34" s="267"/>
      <c r="AK34" s="267"/>
      <c r="AL34" s="224">
        <v>5</v>
      </c>
      <c r="AM34" s="104">
        <v>20</v>
      </c>
      <c r="AN34" s="103" t="s">
        <v>685</v>
      </c>
      <c r="AO34" s="103" t="s">
        <v>612</v>
      </c>
      <c r="AP34" s="103" t="s">
        <v>1213</v>
      </c>
      <c r="AQ34" s="103" t="s">
        <v>1207</v>
      </c>
      <c r="AR34" s="103" t="s">
        <v>939</v>
      </c>
      <c r="AS34" s="271"/>
      <c r="AT34" s="271"/>
      <c r="AU34" s="271"/>
      <c r="AV34" s="271"/>
      <c r="AW34" s="271"/>
      <c r="AX34" s="271"/>
      <c r="AY34" s="271"/>
      <c r="AZ34" s="271"/>
      <c r="BA34" s="271"/>
      <c r="BB34" s="271"/>
      <c r="BC34" s="271"/>
      <c r="BD34" s="271"/>
      <c r="BE34" s="271"/>
      <c r="BF34" s="271"/>
      <c r="BG34" s="271"/>
      <c r="BH34" s="235">
        <v>0</v>
      </c>
      <c r="BI34" s="271"/>
      <c r="BJ34" s="271"/>
      <c r="BK34" s="271"/>
      <c r="BL34" s="271"/>
      <c r="BM34" s="271">
        <v>94827200</v>
      </c>
      <c r="BN34" s="271"/>
      <c r="BO34" s="271"/>
      <c r="BP34" s="271"/>
      <c r="BQ34" s="271"/>
      <c r="BR34" s="271">
        <v>277100000</v>
      </c>
      <c r="BS34" s="271"/>
      <c r="BT34" s="271"/>
      <c r="BU34" s="271"/>
      <c r="BV34" s="271"/>
      <c r="BW34" s="271"/>
      <c r="BX34" s="235">
        <v>371927200</v>
      </c>
      <c r="BY34" s="271"/>
      <c r="BZ34" s="271"/>
      <c r="CA34" s="271"/>
      <c r="CB34" s="271"/>
      <c r="CC34" s="271">
        <v>201120119</v>
      </c>
      <c r="CD34" s="271"/>
      <c r="CE34" s="271"/>
      <c r="CF34" s="271"/>
      <c r="CG34" s="271"/>
      <c r="CH34" s="271">
        <v>285443000</v>
      </c>
      <c r="CI34" s="271"/>
      <c r="CJ34" s="271"/>
      <c r="CK34" s="271"/>
      <c r="CL34" s="271"/>
      <c r="CM34" s="271"/>
      <c r="CN34" s="235">
        <v>486563119</v>
      </c>
      <c r="CO34" s="271"/>
      <c r="CP34" s="271"/>
      <c r="CQ34" s="271"/>
      <c r="CR34" s="271"/>
      <c r="CS34" s="271">
        <v>209426379</v>
      </c>
      <c r="CT34" s="271"/>
      <c r="CU34" s="271"/>
      <c r="CV34" s="271"/>
      <c r="CW34" s="271"/>
      <c r="CX34" s="271">
        <v>294036290</v>
      </c>
      <c r="CY34" s="271"/>
      <c r="CZ34" s="271"/>
      <c r="DA34" s="271"/>
      <c r="DB34" s="271"/>
      <c r="DC34" s="271"/>
      <c r="DD34" s="235">
        <v>503462669</v>
      </c>
      <c r="DE34" s="244">
        <v>1361952988</v>
      </c>
    </row>
    <row r="35" spans="1:109" s="99" customFormat="1" ht="117" customHeight="1">
      <c r="A35" s="103" t="s">
        <v>1232</v>
      </c>
      <c r="B35" s="279" t="s">
        <v>9</v>
      </c>
      <c r="C35" s="103" t="s">
        <v>1696</v>
      </c>
      <c r="D35" s="279">
        <v>2</v>
      </c>
      <c r="E35" s="279" t="s">
        <v>27</v>
      </c>
      <c r="F35" s="280" t="s">
        <v>688</v>
      </c>
      <c r="G35" s="279" t="s">
        <v>3089</v>
      </c>
      <c r="H35" s="279">
        <v>3</v>
      </c>
      <c r="I35" s="279" t="s">
        <v>3725</v>
      </c>
      <c r="J35" s="279" t="s">
        <v>677</v>
      </c>
      <c r="K35" s="279">
        <v>2.29</v>
      </c>
      <c r="L35" s="279">
        <v>2.29</v>
      </c>
      <c r="M35" s="279" t="s">
        <v>699</v>
      </c>
      <c r="N35" s="279" t="s">
        <v>700</v>
      </c>
      <c r="O35" s="279" t="s">
        <v>701</v>
      </c>
      <c r="P35" s="266">
        <v>31</v>
      </c>
      <c r="Q35" s="279" t="s">
        <v>3096</v>
      </c>
      <c r="R35" s="279" t="s">
        <v>81</v>
      </c>
      <c r="S35" s="279" t="s">
        <v>677</v>
      </c>
      <c r="T35" s="279">
        <v>80</v>
      </c>
      <c r="U35" s="267"/>
      <c r="V35" s="267">
        <v>80</v>
      </c>
      <c r="W35" s="224">
        <v>80</v>
      </c>
      <c r="X35" s="267"/>
      <c r="Y35" s="267"/>
      <c r="Z35" s="267"/>
      <c r="AA35" s="267">
        <v>80</v>
      </c>
      <c r="AB35" s="224">
        <v>80</v>
      </c>
      <c r="AC35" s="267"/>
      <c r="AD35" s="267"/>
      <c r="AE35" s="267"/>
      <c r="AF35" s="267">
        <v>80</v>
      </c>
      <c r="AG35" s="224">
        <v>80</v>
      </c>
      <c r="AH35" s="267"/>
      <c r="AI35" s="267"/>
      <c r="AJ35" s="267"/>
      <c r="AK35" s="267">
        <v>80</v>
      </c>
      <c r="AL35" s="224">
        <v>80</v>
      </c>
      <c r="AM35" s="104">
        <v>80</v>
      </c>
      <c r="AN35" s="103" t="s">
        <v>686</v>
      </c>
      <c r="AO35" s="103" t="s">
        <v>612</v>
      </c>
      <c r="AP35" s="103" t="s">
        <v>1213</v>
      </c>
      <c r="AQ35" s="103" t="s">
        <v>1207</v>
      </c>
      <c r="AR35" s="103" t="s">
        <v>939</v>
      </c>
      <c r="AS35" s="271"/>
      <c r="AT35" s="271"/>
      <c r="AU35" s="271"/>
      <c r="AV35" s="271"/>
      <c r="AW35" s="271"/>
      <c r="AX35" s="271"/>
      <c r="AY35" s="271"/>
      <c r="AZ35" s="271"/>
      <c r="BA35" s="271"/>
      <c r="BB35" s="271">
        <f>1614600000-50000000</f>
        <v>1564600000</v>
      </c>
      <c r="BC35" s="271"/>
      <c r="BD35" s="271"/>
      <c r="BE35" s="271"/>
      <c r="BF35" s="271"/>
      <c r="BG35" s="271"/>
      <c r="BH35" s="235">
        <v>1564600000</v>
      </c>
      <c r="BI35" s="271"/>
      <c r="BJ35" s="271"/>
      <c r="BK35" s="271"/>
      <c r="BL35" s="271"/>
      <c r="BM35" s="271"/>
      <c r="BN35" s="271"/>
      <c r="BO35" s="271"/>
      <c r="BP35" s="271"/>
      <c r="BQ35" s="271"/>
      <c r="BR35" s="271">
        <v>83151900</v>
      </c>
      <c r="BS35" s="271"/>
      <c r="BT35" s="271"/>
      <c r="BU35" s="271"/>
      <c r="BV35" s="271"/>
      <c r="BW35" s="271"/>
      <c r="BX35" s="235">
        <v>83151900</v>
      </c>
      <c r="BY35" s="271"/>
      <c r="BZ35" s="271"/>
      <c r="CA35" s="271"/>
      <c r="CB35" s="271"/>
      <c r="CC35" s="271"/>
      <c r="CD35" s="271"/>
      <c r="CE35" s="271"/>
      <c r="CF35" s="271"/>
      <c r="CG35" s="271"/>
      <c r="CH35" s="271">
        <v>85646457</v>
      </c>
      <c r="CI35" s="271"/>
      <c r="CJ35" s="271"/>
      <c r="CK35" s="271"/>
      <c r="CL35" s="271"/>
      <c r="CM35" s="271"/>
      <c r="CN35" s="235">
        <v>85646457</v>
      </c>
      <c r="CO35" s="271"/>
      <c r="CP35" s="271"/>
      <c r="CQ35" s="271"/>
      <c r="CR35" s="271"/>
      <c r="CS35" s="271"/>
      <c r="CT35" s="271"/>
      <c r="CU35" s="271"/>
      <c r="CV35" s="271"/>
      <c r="CW35" s="271"/>
      <c r="CX35" s="271">
        <v>88215850.700000003</v>
      </c>
      <c r="CY35" s="271"/>
      <c r="CZ35" s="271"/>
      <c r="DA35" s="271"/>
      <c r="DB35" s="271"/>
      <c r="DC35" s="271"/>
      <c r="DD35" s="235">
        <v>88215850.700000003</v>
      </c>
      <c r="DE35" s="244">
        <v>1821614207.7</v>
      </c>
    </row>
    <row r="36" spans="1:109" s="99" customFormat="1" ht="117" customHeight="1">
      <c r="A36" s="103" t="s">
        <v>1232</v>
      </c>
      <c r="B36" s="279" t="s">
        <v>9</v>
      </c>
      <c r="C36" s="103" t="s">
        <v>1696</v>
      </c>
      <c r="D36" s="279">
        <v>2</v>
      </c>
      <c r="E36" s="279" t="s">
        <v>27</v>
      </c>
      <c r="F36" s="280" t="s">
        <v>688</v>
      </c>
      <c r="G36" s="279" t="s">
        <v>3089</v>
      </c>
      <c r="H36" s="279">
        <v>3</v>
      </c>
      <c r="I36" s="279" t="s">
        <v>3725</v>
      </c>
      <c r="J36" s="279" t="s">
        <v>677</v>
      </c>
      <c r="K36" s="279">
        <v>2.29</v>
      </c>
      <c r="L36" s="279">
        <v>2.29</v>
      </c>
      <c r="M36" s="279" t="s">
        <v>699</v>
      </c>
      <c r="N36" s="279" t="s">
        <v>700</v>
      </c>
      <c r="O36" s="279" t="s">
        <v>701</v>
      </c>
      <c r="P36" s="266">
        <v>32</v>
      </c>
      <c r="Q36" s="279" t="s">
        <v>3097</v>
      </c>
      <c r="R36" s="279" t="s">
        <v>81</v>
      </c>
      <c r="S36" s="279" t="s">
        <v>677</v>
      </c>
      <c r="T36" s="279">
        <v>80</v>
      </c>
      <c r="U36" s="267"/>
      <c r="V36" s="267"/>
      <c r="W36" s="224">
        <v>0</v>
      </c>
      <c r="X36" s="267"/>
      <c r="Y36" s="267">
        <v>1</v>
      </c>
      <c r="Z36" s="267"/>
      <c r="AA36" s="267"/>
      <c r="AB36" s="224">
        <v>1</v>
      </c>
      <c r="AC36" s="267"/>
      <c r="AD36" s="267">
        <v>3</v>
      </c>
      <c r="AE36" s="267"/>
      <c r="AF36" s="267"/>
      <c r="AG36" s="224">
        <v>3</v>
      </c>
      <c r="AH36" s="267"/>
      <c r="AI36" s="267">
        <v>1</v>
      </c>
      <c r="AJ36" s="267"/>
      <c r="AK36" s="267"/>
      <c r="AL36" s="224">
        <v>1</v>
      </c>
      <c r="AM36" s="104">
        <v>5</v>
      </c>
      <c r="AN36" s="103" t="s">
        <v>685</v>
      </c>
      <c r="AO36" s="103" t="s">
        <v>612</v>
      </c>
      <c r="AP36" s="103" t="s">
        <v>1213</v>
      </c>
      <c r="AQ36" s="103" t="s">
        <v>1207</v>
      </c>
      <c r="AR36" s="103" t="s">
        <v>939</v>
      </c>
      <c r="AS36" s="271"/>
      <c r="AT36" s="271"/>
      <c r="AU36" s="271"/>
      <c r="AV36" s="271"/>
      <c r="AW36" s="271"/>
      <c r="AX36" s="271"/>
      <c r="AY36" s="271"/>
      <c r="AZ36" s="271"/>
      <c r="BA36" s="271"/>
      <c r="BB36" s="271"/>
      <c r="BC36" s="271"/>
      <c r="BD36" s="271"/>
      <c r="BE36" s="271"/>
      <c r="BF36" s="271"/>
      <c r="BG36" s="271"/>
      <c r="BH36" s="235">
        <v>0</v>
      </c>
      <c r="BI36" s="271"/>
      <c r="BJ36" s="271"/>
      <c r="BK36" s="271"/>
      <c r="BL36" s="271"/>
      <c r="BM36" s="271"/>
      <c r="BN36" s="271"/>
      <c r="BO36" s="271"/>
      <c r="BP36" s="271"/>
      <c r="BQ36" s="271"/>
      <c r="BR36" s="271">
        <v>1579886100</v>
      </c>
      <c r="BS36" s="271"/>
      <c r="BT36" s="271"/>
      <c r="BU36" s="271"/>
      <c r="BV36" s="271"/>
      <c r="BW36" s="271"/>
      <c r="BX36" s="235">
        <v>1579886100</v>
      </c>
      <c r="BY36" s="271"/>
      <c r="BZ36" s="271"/>
      <c r="CA36" s="271"/>
      <c r="CB36" s="271"/>
      <c r="CC36" s="271"/>
      <c r="CD36" s="271"/>
      <c r="CE36" s="271"/>
      <c r="CF36" s="271"/>
      <c r="CG36" s="271"/>
      <c r="CH36" s="271">
        <v>1627282683</v>
      </c>
      <c r="CI36" s="271"/>
      <c r="CJ36" s="271"/>
      <c r="CK36" s="271"/>
      <c r="CL36" s="271"/>
      <c r="CM36" s="271"/>
      <c r="CN36" s="235">
        <v>1627282683</v>
      </c>
      <c r="CO36" s="271"/>
      <c r="CP36" s="271"/>
      <c r="CQ36" s="271"/>
      <c r="CR36" s="271"/>
      <c r="CS36" s="271"/>
      <c r="CT36" s="271"/>
      <c r="CU36" s="271"/>
      <c r="CV36" s="271"/>
      <c r="CW36" s="271"/>
      <c r="CX36" s="271">
        <v>1676101163.3</v>
      </c>
      <c r="CY36" s="271"/>
      <c r="CZ36" s="271"/>
      <c r="DA36" s="271"/>
      <c r="DB36" s="271"/>
      <c r="DC36" s="271"/>
      <c r="DD36" s="235">
        <v>1676101163.3</v>
      </c>
      <c r="DE36" s="244">
        <v>4883269946.3000002</v>
      </c>
    </row>
    <row r="37" spans="1:109" s="99" customFormat="1" ht="117" customHeight="1">
      <c r="A37" s="103" t="s">
        <v>1232</v>
      </c>
      <c r="B37" s="279" t="s">
        <v>9</v>
      </c>
      <c r="C37" s="103" t="s">
        <v>1696</v>
      </c>
      <c r="D37" s="279">
        <v>2</v>
      </c>
      <c r="E37" s="279" t="s">
        <v>27</v>
      </c>
      <c r="F37" s="280" t="s">
        <v>688</v>
      </c>
      <c r="G37" s="279" t="s">
        <v>3089</v>
      </c>
      <c r="H37" s="279">
        <v>3</v>
      </c>
      <c r="I37" s="279" t="s">
        <v>3725</v>
      </c>
      <c r="J37" s="279" t="s">
        <v>677</v>
      </c>
      <c r="K37" s="279">
        <v>2.29</v>
      </c>
      <c r="L37" s="279">
        <v>2.29</v>
      </c>
      <c r="M37" s="279" t="s">
        <v>699</v>
      </c>
      <c r="N37" s="279" t="s">
        <v>700</v>
      </c>
      <c r="O37" s="279" t="s">
        <v>701</v>
      </c>
      <c r="P37" s="266">
        <v>33</v>
      </c>
      <c r="Q37" s="279" t="s">
        <v>3295</v>
      </c>
      <c r="R37" s="279" t="s">
        <v>704</v>
      </c>
      <c r="S37" s="279" t="s">
        <v>683</v>
      </c>
      <c r="T37" s="279">
        <v>0</v>
      </c>
      <c r="U37" s="267"/>
      <c r="V37" s="267"/>
      <c r="W37" s="224">
        <v>0</v>
      </c>
      <c r="X37" s="267"/>
      <c r="Y37" s="267"/>
      <c r="Z37" s="267"/>
      <c r="AA37" s="267"/>
      <c r="AB37" s="224">
        <v>0</v>
      </c>
      <c r="AC37" s="267"/>
      <c r="AD37" s="267">
        <v>1</v>
      </c>
      <c r="AE37" s="267"/>
      <c r="AF37" s="267"/>
      <c r="AG37" s="224">
        <v>1</v>
      </c>
      <c r="AH37" s="267"/>
      <c r="AI37" s="267"/>
      <c r="AJ37" s="267"/>
      <c r="AK37" s="267"/>
      <c r="AL37" s="224">
        <v>0</v>
      </c>
      <c r="AM37" s="104">
        <v>1</v>
      </c>
      <c r="AN37" s="103" t="s">
        <v>685</v>
      </c>
      <c r="AO37" s="103" t="s">
        <v>612</v>
      </c>
      <c r="AP37" s="103" t="s">
        <v>1213</v>
      </c>
      <c r="AQ37" s="103" t="s">
        <v>1207</v>
      </c>
      <c r="AR37" s="103" t="s">
        <v>939</v>
      </c>
      <c r="AS37" s="271"/>
      <c r="AT37" s="271"/>
      <c r="AU37" s="271"/>
      <c r="AV37" s="271"/>
      <c r="AW37" s="271"/>
      <c r="AX37" s="271"/>
      <c r="AY37" s="271"/>
      <c r="AZ37" s="271"/>
      <c r="BA37" s="271"/>
      <c r="BB37" s="271"/>
      <c r="BC37" s="271"/>
      <c r="BD37" s="271"/>
      <c r="BE37" s="271"/>
      <c r="BF37" s="271"/>
      <c r="BG37" s="271"/>
      <c r="BH37" s="235">
        <v>0</v>
      </c>
      <c r="BI37" s="271"/>
      <c r="BJ37" s="271"/>
      <c r="BK37" s="271"/>
      <c r="BL37" s="271"/>
      <c r="BM37" s="271"/>
      <c r="BN37" s="271"/>
      <c r="BO37" s="271"/>
      <c r="BP37" s="271"/>
      <c r="BQ37" s="271"/>
      <c r="BR37" s="271"/>
      <c r="BS37" s="271"/>
      <c r="BT37" s="271"/>
      <c r="BU37" s="271"/>
      <c r="BV37" s="271"/>
      <c r="BW37" s="271"/>
      <c r="BX37" s="235">
        <v>0</v>
      </c>
      <c r="BY37" s="271"/>
      <c r="BZ37" s="271"/>
      <c r="CA37" s="271"/>
      <c r="CB37" s="271"/>
      <c r="CC37" s="271">
        <v>100000000</v>
      </c>
      <c r="CD37" s="271"/>
      <c r="CE37" s="271"/>
      <c r="CF37" s="271"/>
      <c r="CG37" s="271"/>
      <c r="CH37" s="271">
        <v>148950360</v>
      </c>
      <c r="CI37" s="271"/>
      <c r="CJ37" s="271"/>
      <c r="CK37" s="271"/>
      <c r="CL37" s="271"/>
      <c r="CM37" s="271"/>
      <c r="CN37" s="235">
        <v>248950360</v>
      </c>
      <c r="CO37" s="271"/>
      <c r="CP37" s="271"/>
      <c r="CQ37" s="271"/>
      <c r="CR37" s="271"/>
      <c r="CS37" s="271"/>
      <c r="CT37" s="271"/>
      <c r="CU37" s="271"/>
      <c r="CV37" s="271"/>
      <c r="CW37" s="271"/>
      <c r="CX37" s="271"/>
      <c r="CY37" s="271"/>
      <c r="CZ37" s="271"/>
      <c r="DA37" s="271"/>
      <c r="DB37" s="271"/>
      <c r="DC37" s="271"/>
      <c r="DD37" s="235">
        <v>0</v>
      </c>
      <c r="DE37" s="244">
        <v>248950360</v>
      </c>
    </row>
    <row r="38" spans="1:109" s="99" customFormat="1" ht="117" customHeight="1">
      <c r="A38" s="103" t="s">
        <v>1232</v>
      </c>
      <c r="B38" s="279" t="s">
        <v>9</v>
      </c>
      <c r="C38" s="103" t="s">
        <v>1696</v>
      </c>
      <c r="D38" s="279">
        <v>2</v>
      </c>
      <c r="E38" s="279" t="s">
        <v>27</v>
      </c>
      <c r="F38" s="280" t="s">
        <v>688</v>
      </c>
      <c r="G38" s="279" t="s">
        <v>3089</v>
      </c>
      <c r="H38" s="279">
        <v>3</v>
      </c>
      <c r="I38" s="279" t="s">
        <v>3725</v>
      </c>
      <c r="J38" s="279" t="s">
        <v>677</v>
      </c>
      <c r="K38" s="279">
        <v>2.29</v>
      </c>
      <c r="L38" s="279">
        <v>2.29</v>
      </c>
      <c r="M38" s="279" t="s">
        <v>699</v>
      </c>
      <c r="N38" s="279" t="s">
        <v>700</v>
      </c>
      <c r="O38" s="279" t="s">
        <v>701</v>
      </c>
      <c r="P38" s="266">
        <v>34</v>
      </c>
      <c r="Q38" s="279" t="s">
        <v>3098</v>
      </c>
      <c r="R38" s="279" t="s">
        <v>705</v>
      </c>
      <c r="S38" s="279" t="s">
        <v>683</v>
      </c>
      <c r="T38" s="279">
        <v>0</v>
      </c>
      <c r="U38" s="267"/>
      <c r="V38" s="267"/>
      <c r="W38" s="224">
        <v>0</v>
      </c>
      <c r="X38" s="267"/>
      <c r="Y38" s="267"/>
      <c r="Z38" s="267"/>
      <c r="AA38" s="267"/>
      <c r="AB38" s="224">
        <v>0</v>
      </c>
      <c r="AC38" s="267"/>
      <c r="AD38" s="267"/>
      <c r="AE38" s="267"/>
      <c r="AF38" s="267">
        <v>1</v>
      </c>
      <c r="AG38" s="224">
        <v>1</v>
      </c>
      <c r="AH38" s="267"/>
      <c r="AI38" s="267"/>
      <c r="AJ38" s="267"/>
      <c r="AK38" s="267"/>
      <c r="AL38" s="224">
        <v>0</v>
      </c>
      <c r="AM38" s="104">
        <v>1</v>
      </c>
      <c r="AN38" s="103" t="s">
        <v>685</v>
      </c>
      <c r="AO38" s="103" t="s">
        <v>612</v>
      </c>
      <c r="AP38" s="103" t="s">
        <v>1213</v>
      </c>
      <c r="AQ38" s="103" t="s">
        <v>1207</v>
      </c>
      <c r="AR38" s="103" t="s">
        <v>939</v>
      </c>
      <c r="AS38" s="271"/>
      <c r="AT38" s="271"/>
      <c r="AU38" s="271"/>
      <c r="AV38" s="271"/>
      <c r="AW38" s="271"/>
      <c r="AX38" s="271"/>
      <c r="AY38" s="271"/>
      <c r="AZ38" s="271"/>
      <c r="BA38" s="271"/>
      <c r="BB38" s="271"/>
      <c r="BC38" s="271"/>
      <c r="BD38" s="271"/>
      <c r="BE38" s="271"/>
      <c r="BF38" s="271"/>
      <c r="BG38" s="271"/>
      <c r="BH38" s="235">
        <v>0</v>
      </c>
      <c r="BI38" s="271"/>
      <c r="BJ38" s="271"/>
      <c r="BK38" s="271"/>
      <c r="BL38" s="271"/>
      <c r="BM38" s="271"/>
      <c r="BN38" s="271"/>
      <c r="BO38" s="271"/>
      <c r="BP38" s="271"/>
      <c r="BQ38" s="271"/>
      <c r="BR38" s="271"/>
      <c r="BS38" s="271"/>
      <c r="BT38" s="271"/>
      <c r="BU38" s="271"/>
      <c r="BV38" s="271"/>
      <c r="BW38" s="271"/>
      <c r="BX38" s="235">
        <v>0</v>
      </c>
      <c r="BY38" s="271"/>
      <c r="BZ38" s="271"/>
      <c r="CA38" s="271"/>
      <c r="CB38" s="271"/>
      <c r="CC38" s="271">
        <v>223425540</v>
      </c>
      <c r="CD38" s="271"/>
      <c r="CE38" s="271"/>
      <c r="CF38" s="271"/>
      <c r="CG38" s="271"/>
      <c r="CH38" s="271">
        <v>148950360</v>
      </c>
      <c r="CI38" s="271"/>
      <c r="CJ38" s="271"/>
      <c r="CK38" s="271"/>
      <c r="CL38" s="271"/>
      <c r="CM38" s="271"/>
      <c r="CN38" s="235">
        <v>372375900</v>
      </c>
      <c r="CO38" s="271"/>
      <c r="CP38" s="271"/>
      <c r="CQ38" s="271"/>
      <c r="CR38" s="271"/>
      <c r="CS38" s="271"/>
      <c r="CT38" s="271"/>
      <c r="CU38" s="271"/>
      <c r="CV38" s="271"/>
      <c r="CW38" s="271"/>
      <c r="CX38" s="271"/>
      <c r="CY38" s="271"/>
      <c r="CZ38" s="271"/>
      <c r="DA38" s="271"/>
      <c r="DB38" s="271"/>
      <c r="DC38" s="271"/>
      <c r="DD38" s="235">
        <v>0</v>
      </c>
      <c r="DE38" s="244">
        <v>372375900</v>
      </c>
    </row>
    <row r="39" spans="1:109" s="99" customFormat="1" ht="117" customHeight="1">
      <c r="A39" s="103" t="s">
        <v>1232</v>
      </c>
      <c r="B39" s="279" t="s">
        <v>9</v>
      </c>
      <c r="C39" s="103" t="s">
        <v>1696</v>
      </c>
      <c r="D39" s="279">
        <v>2</v>
      </c>
      <c r="E39" s="279" t="s">
        <v>27</v>
      </c>
      <c r="F39" s="280" t="s">
        <v>688</v>
      </c>
      <c r="G39" s="279" t="s">
        <v>3089</v>
      </c>
      <c r="H39" s="279">
        <v>3</v>
      </c>
      <c r="I39" s="279" t="s">
        <v>3725</v>
      </c>
      <c r="J39" s="279" t="s">
        <v>677</v>
      </c>
      <c r="K39" s="279">
        <v>2.29</v>
      </c>
      <c r="L39" s="279">
        <v>2.29</v>
      </c>
      <c r="M39" s="279" t="s">
        <v>699</v>
      </c>
      <c r="N39" s="279" t="s">
        <v>700</v>
      </c>
      <c r="O39" s="279" t="s">
        <v>701</v>
      </c>
      <c r="P39" s="266">
        <v>35</v>
      </c>
      <c r="Q39" s="279" t="s">
        <v>3296</v>
      </c>
      <c r="R39" s="279" t="s">
        <v>86</v>
      </c>
      <c r="S39" s="279" t="s">
        <v>683</v>
      </c>
      <c r="T39" s="104">
        <v>5400</v>
      </c>
      <c r="U39" s="267"/>
      <c r="V39" s="267"/>
      <c r="W39" s="224">
        <v>0</v>
      </c>
      <c r="X39" s="267"/>
      <c r="Y39" s="267"/>
      <c r="Z39" s="267">
        <v>165</v>
      </c>
      <c r="AA39" s="267"/>
      <c r="AB39" s="224">
        <v>165</v>
      </c>
      <c r="AC39" s="267"/>
      <c r="AD39" s="267"/>
      <c r="AE39" s="267">
        <v>120</v>
      </c>
      <c r="AF39" s="267"/>
      <c r="AG39" s="224">
        <v>120</v>
      </c>
      <c r="AH39" s="267"/>
      <c r="AI39" s="267"/>
      <c r="AJ39" s="267">
        <v>215</v>
      </c>
      <c r="AK39" s="267"/>
      <c r="AL39" s="224">
        <v>215</v>
      </c>
      <c r="AM39" s="104">
        <v>500</v>
      </c>
      <c r="AN39" s="103" t="s">
        <v>685</v>
      </c>
      <c r="AO39" s="103" t="s">
        <v>612</v>
      </c>
      <c r="AP39" s="103" t="s">
        <v>1213</v>
      </c>
      <c r="AQ39" s="103" t="s">
        <v>1207</v>
      </c>
      <c r="AR39" s="103" t="s">
        <v>939</v>
      </c>
      <c r="AS39" s="271"/>
      <c r="AT39" s="271"/>
      <c r="AU39" s="271"/>
      <c r="AV39" s="271"/>
      <c r="AW39" s="271"/>
      <c r="AX39" s="271"/>
      <c r="AY39" s="271"/>
      <c r="AZ39" s="271"/>
      <c r="BA39" s="271"/>
      <c r="BB39" s="271"/>
      <c r="BC39" s="271"/>
      <c r="BD39" s="271"/>
      <c r="BE39" s="271"/>
      <c r="BF39" s="271"/>
      <c r="BG39" s="271"/>
      <c r="BH39" s="235">
        <v>0</v>
      </c>
      <c r="BI39" s="271"/>
      <c r="BJ39" s="271"/>
      <c r="BK39" s="271"/>
      <c r="BL39" s="271"/>
      <c r="BM39" s="271">
        <v>369000000</v>
      </c>
      <c r="BN39" s="271"/>
      <c r="BO39" s="271"/>
      <c r="BP39" s="271"/>
      <c r="BQ39" s="271"/>
      <c r="BR39" s="271"/>
      <c r="BS39" s="271"/>
      <c r="BT39" s="271"/>
      <c r="BU39" s="271"/>
      <c r="BV39" s="271"/>
      <c r="BW39" s="271"/>
      <c r="BX39" s="235">
        <v>369000000</v>
      </c>
      <c r="BY39" s="271"/>
      <c r="BZ39" s="271"/>
      <c r="CA39" s="271"/>
      <c r="CB39" s="271"/>
      <c r="CC39" s="271">
        <v>200340000</v>
      </c>
      <c r="CD39" s="271"/>
      <c r="CE39" s="271"/>
      <c r="CF39" s="271"/>
      <c r="CG39" s="271"/>
      <c r="CH39" s="271"/>
      <c r="CI39" s="271"/>
      <c r="CJ39" s="271"/>
      <c r="CK39" s="271"/>
      <c r="CL39" s="271"/>
      <c r="CM39" s="271"/>
      <c r="CN39" s="235">
        <v>200340000</v>
      </c>
      <c r="CO39" s="271"/>
      <c r="CP39" s="271"/>
      <c r="CQ39" s="271"/>
      <c r="CR39" s="271"/>
      <c r="CS39" s="271">
        <v>569340000</v>
      </c>
      <c r="CT39" s="271"/>
      <c r="CU39" s="271"/>
      <c r="CV39" s="271"/>
      <c r="CW39" s="271"/>
      <c r="CX39" s="271"/>
      <c r="CY39" s="271"/>
      <c r="CZ39" s="271"/>
      <c r="DA39" s="271"/>
      <c r="DB39" s="271"/>
      <c r="DC39" s="271"/>
      <c r="DD39" s="235">
        <v>569340000</v>
      </c>
      <c r="DE39" s="244">
        <v>1138680000</v>
      </c>
    </row>
    <row r="40" spans="1:109" s="99" customFormat="1" ht="117" customHeight="1">
      <c r="A40" s="103" t="s">
        <v>1232</v>
      </c>
      <c r="B40" s="279" t="s">
        <v>9</v>
      </c>
      <c r="C40" s="103" t="s">
        <v>1696</v>
      </c>
      <c r="D40" s="279">
        <v>2</v>
      </c>
      <c r="E40" s="279" t="s">
        <v>27</v>
      </c>
      <c r="F40" s="280" t="s">
        <v>688</v>
      </c>
      <c r="G40" s="279" t="s">
        <v>3089</v>
      </c>
      <c r="H40" s="279">
        <v>3</v>
      </c>
      <c r="I40" s="279" t="s">
        <v>3725</v>
      </c>
      <c r="J40" s="279" t="s">
        <v>677</v>
      </c>
      <c r="K40" s="279">
        <v>2.29</v>
      </c>
      <c r="L40" s="279">
        <v>2.29</v>
      </c>
      <c r="M40" s="279" t="s">
        <v>699</v>
      </c>
      <c r="N40" s="279" t="s">
        <v>700</v>
      </c>
      <c r="O40" s="279" t="s">
        <v>701</v>
      </c>
      <c r="P40" s="266">
        <v>36</v>
      </c>
      <c r="Q40" s="279" t="s">
        <v>3099</v>
      </c>
      <c r="R40" s="279" t="s">
        <v>706</v>
      </c>
      <c r="S40" s="279" t="s">
        <v>677</v>
      </c>
      <c r="T40" s="279">
        <v>5.96</v>
      </c>
      <c r="U40" s="267"/>
      <c r="V40" s="267"/>
      <c r="W40" s="224">
        <v>0</v>
      </c>
      <c r="X40" s="267"/>
      <c r="Y40" s="267"/>
      <c r="Z40" s="267"/>
      <c r="AA40" s="267">
        <v>5.96</v>
      </c>
      <c r="AB40" s="224">
        <v>5.96</v>
      </c>
      <c r="AC40" s="267"/>
      <c r="AD40" s="267"/>
      <c r="AE40" s="267"/>
      <c r="AF40" s="267">
        <v>5.96</v>
      </c>
      <c r="AG40" s="224">
        <v>5.96</v>
      </c>
      <c r="AH40" s="267"/>
      <c r="AI40" s="267"/>
      <c r="AJ40" s="267"/>
      <c r="AK40" s="267">
        <v>5.96</v>
      </c>
      <c r="AL40" s="224">
        <v>5.96</v>
      </c>
      <c r="AM40" s="105">
        <v>5.96</v>
      </c>
      <c r="AN40" s="103" t="s">
        <v>686</v>
      </c>
      <c r="AO40" s="103" t="s">
        <v>612</v>
      </c>
      <c r="AP40" s="103" t="s">
        <v>1213</v>
      </c>
      <c r="AQ40" s="103" t="s">
        <v>1207</v>
      </c>
      <c r="AR40" s="103" t="s">
        <v>939</v>
      </c>
      <c r="AS40" s="271"/>
      <c r="AT40" s="271"/>
      <c r="AU40" s="271"/>
      <c r="AV40" s="271"/>
      <c r="AW40" s="271"/>
      <c r="AX40" s="271"/>
      <c r="AY40" s="271"/>
      <c r="AZ40" s="271"/>
      <c r="BA40" s="271"/>
      <c r="BB40" s="271"/>
      <c r="BC40" s="271"/>
      <c r="BD40" s="271"/>
      <c r="BE40" s="271"/>
      <c r="BF40" s="271"/>
      <c r="BG40" s="271"/>
      <c r="BH40" s="235">
        <v>0</v>
      </c>
      <c r="BI40" s="271"/>
      <c r="BJ40" s="271"/>
      <c r="BK40" s="271"/>
      <c r="BL40" s="271"/>
      <c r="BM40" s="271">
        <v>40000000</v>
      </c>
      <c r="BN40" s="271"/>
      <c r="BO40" s="271"/>
      <c r="BP40" s="271"/>
      <c r="BQ40" s="271"/>
      <c r="BR40" s="271">
        <v>216918000</v>
      </c>
      <c r="BS40" s="271"/>
      <c r="BT40" s="271"/>
      <c r="BU40" s="271"/>
      <c r="BV40" s="271"/>
      <c r="BW40" s="271"/>
      <c r="BX40" s="235">
        <v>256918000</v>
      </c>
      <c r="BY40" s="271"/>
      <c r="BZ40" s="271"/>
      <c r="CA40" s="271"/>
      <c r="CB40" s="271"/>
      <c r="CC40" s="271">
        <v>100560059</v>
      </c>
      <c r="CD40" s="271"/>
      <c r="CE40" s="271"/>
      <c r="CF40" s="271"/>
      <c r="CG40" s="271"/>
      <c r="CH40" s="271">
        <v>223425540</v>
      </c>
      <c r="CI40" s="271"/>
      <c r="CJ40" s="271"/>
      <c r="CK40" s="271"/>
      <c r="CL40" s="271"/>
      <c r="CM40" s="271"/>
      <c r="CN40" s="235">
        <v>323985599</v>
      </c>
      <c r="CO40" s="271"/>
      <c r="CP40" s="271"/>
      <c r="CQ40" s="271"/>
      <c r="CR40" s="271"/>
      <c r="CS40" s="271">
        <v>104713190</v>
      </c>
      <c r="CT40" s="271"/>
      <c r="CU40" s="271"/>
      <c r="CV40" s="271"/>
      <c r="CW40" s="271"/>
      <c r="CX40" s="271">
        <v>230128306</v>
      </c>
      <c r="CY40" s="271"/>
      <c r="CZ40" s="271"/>
      <c r="DA40" s="271"/>
      <c r="DB40" s="271"/>
      <c r="DC40" s="271"/>
      <c r="DD40" s="235">
        <v>334841496</v>
      </c>
      <c r="DE40" s="244">
        <v>915745095</v>
      </c>
    </row>
    <row r="41" spans="1:109" s="99" customFormat="1" ht="117" customHeight="1">
      <c r="A41" s="103" t="s">
        <v>1232</v>
      </c>
      <c r="B41" s="279" t="s">
        <v>9</v>
      </c>
      <c r="C41" s="103" t="s">
        <v>1696</v>
      </c>
      <c r="D41" s="279">
        <v>2</v>
      </c>
      <c r="E41" s="279" t="s">
        <v>27</v>
      </c>
      <c r="F41" s="280" t="s">
        <v>688</v>
      </c>
      <c r="G41" s="279" t="s">
        <v>3100</v>
      </c>
      <c r="H41" s="279">
        <v>4</v>
      </c>
      <c r="I41" s="279" t="s">
        <v>90</v>
      </c>
      <c r="J41" s="279" t="s">
        <v>683</v>
      </c>
      <c r="K41" s="104">
        <v>12907</v>
      </c>
      <c r="L41" s="104">
        <v>12907</v>
      </c>
      <c r="M41" s="279" t="s">
        <v>708</v>
      </c>
      <c r="N41" s="279" t="s">
        <v>709</v>
      </c>
      <c r="O41" s="279" t="s">
        <v>710</v>
      </c>
      <c r="P41" s="266">
        <v>37</v>
      </c>
      <c r="Q41" s="279" t="s">
        <v>3297</v>
      </c>
      <c r="R41" s="279" t="s">
        <v>92</v>
      </c>
      <c r="S41" s="279" t="s">
        <v>713</v>
      </c>
      <c r="T41" s="279">
        <v>98</v>
      </c>
      <c r="U41" s="267"/>
      <c r="V41" s="267">
        <v>0.5</v>
      </c>
      <c r="W41" s="224">
        <v>0.5</v>
      </c>
      <c r="X41" s="267"/>
      <c r="Y41" s="267"/>
      <c r="Z41" s="267"/>
      <c r="AA41" s="267">
        <v>0.5</v>
      </c>
      <c r="AB41" s="224">
        <v>0.5</v>
      </c>
      <c r="AC41" s="267"/>
      <c r="AD41" s="267"/>
      <c r="AE41" s="267"/>
      <c r="AF41" s="267">
        <v>0.5</v>
      </c>
      <c r="AG41" s="224">
        <v>0.5</v>
      </c>
      <c r="AH41" s="267"/>
      <c r="AI41" s="267"/>
      <c r="AJ41" s="267"/>
      <c r="AK41" s="267">
        <v>0.5</v>
      </c>
      <c r="AL41" s="224">
        <v>0.5</v>
      </c>
      <c r="AM41" s="104">
        <v>2</v>
      </c>
      <c r="AN41" s="103" t="s">
        <v>685</v>
      </c>
      <c r="AO41" s="103" t="s">
        <v>612</v>
      </c>
      <c r="AP41" s="103" t="s">
        <v>1213</v>
      </c>
      <c r="AQ41" s="103" t="s">
        <v>1207</v>
      </c>
      <c r="AR41" s="103" t="s">
        <v>939</v>
      </c>
      <c r="AS41" s="271"/>
      <c r="AT41" s="271"/>
      <c r="AU41" s="271"/>
      <c r="AV41" s="271"/>
      <c r="AW41" s="271"/>
      <c r="AX41" s="271"/>
      <c r="AY41" s="271"/>
      <c r="AZ41" s="271"/>
      <c r="BA41" s="271"/>
      <c r="BB41" s="271">
        <v>2272807778</v>
      </c>
      <c r="BC41" s="271"/>
      <c r="BD41" s="271"/>
      <c r="BE41" s="271"/>
      <c r="BF41" s="271"/>
      <c r="BG41" s="271"/>
      <c r="BH41" s="235">
        <v>2272807778</v>
      </c>
      <c r="BI41" s="271"/>
      <c r="BJ41" s="271"/>
      <c r="BK41" s="271"/>
      <c r="BL41" s="271"/>
      <c r="BM41" s="271"/>
      <c r="BN41" s="271"/>
      <c r="BO41" s="271"/>
      <c r="BP41" s="271"/>
      <c r="BQ41" s="271"/>
      <c r="BR41" s="271">
        <v>2343992011.3400002</v>
      </c>
      <c r="BS41" s="271"/>
      <c r="BT41" s="271"/>
      <c r="BU41" s="271"/>
      <c r="BV41" s="271"/>
      <c r="BW41" s="271"/>
      <c r="BX41" s="235">
        <v>2343992011.3400002</v>
      </c>
      <c r="BY41" s="271"/>
      <c r="BZ41" s="271"/>
      <c r="CA41" s="271"/>
      <c r="CB41" s="271"/>
      <c r="CC41" s="271"/>
      <c r="CD41" s="271"/>
      <c r="CE41" s="271"/>
      <c r="CF41" s="271"/>
      <c r="CG41" s="271"/>
      <c r="CH41" s="271">
        <v>2417311771.6802001</v>
      </c>
      <c r="CI41" s="271"/>
      <c r="CJ41" s="271"/>
      <c r="CK41" s="271"/>
      <c r="CL41" s="271"/>
      <c r="CM41" s="271"/>
      <c r="CN41" s="235">
        <v>2417311771.6802001</v>
      </c>
      <c r="CO41" s="271"/>
      <c r="CP41" s="271"/>
      <c r="CQ41" s="271"/>
      <c r="CR41" s="271"/>
      <c r="CS41" s="271"/>
      <c r="CT41" s="271"/>
      <c r="CU41" s="271"/>
      <c r="CV41" s="271"/>
      <c r="CW41" s="271"/>
      <c r="CX41" s="271">
        <v>2492831124.8306098</v>
      </c>
      <c r="CY41" s="271"/>
      <c r="CZ41" s="271"/>
      <c r="DA41" s="271"/>
      <c r="DB41" s="271"/>
      <c r="DC41" s="271"/>
      <c r="DD41" s="235">
        <v>2492831124.8306098</v>
      </c>
      <c r="DE41" s="244">
        <v>9526942685.850811</v>
      </c>
    </row>
    <row r="42" spans="1:109" s="99" customFormat="1" ht="117" customHeight="1">
      <c r="A42" s="103" t="s">
        <v>1232</v>
      </c>
      <c r="B42" s="279" t="s">
        <v>9</v>
      </c>
      <c r="C42" s="103" t="s">
        <v>1696</v>
      </c>
      <c r="D42" s="279">
        <v>2</v>
      </c>
      <c r="E42" s="279" t="s">
        <v>27</v>
      </c>
      <c r="F42" s="280" t="s">
        <v>688</v>
      </c>
      <c r="G42" s="279" t="s">
        <v>3100</v>
      </c>
      <c r="H42" s="279">
        <v>4</v>
      </c>
      <c r="I42" s="279" t="s">
        <v>90</v>
      </c>
      <c r="J42" s="279" t="s">
        <v>683</v>
      </c>
      <c r="K42" s="104">
        <v>12907</v>
      </c>
      <c r="L42" s="104">
        <v>12907</v>
      </c>
      <c r="M42" s="279" t="s">
        <v>708</v>
      </c>
      <c r="N42" s="279" t="s">
        <v>709</v>
      </c>
      <c r="O42" s="279" t="s">
        <v>710</v>
      </c>
      <c r="P42" s="266">
        <v>38</v>
      </c>
      <c r="Q42" s="279" t="s">
        <v>3101</v>
      </c>
      <c r="R42" s="279" t="s">
        <v>711</v>
      </c>
      <c r="S42" s="279" t="s">
        <v>683</v>
      </c>
      <c r="T42" s="279">
        <v>0</v>
      </c>
      <c r="U42" s="267"/>
      <c r="V42" s="267"/>
      <c r="W42" s="224">
        <v>0</v>
      </c>
      <c r="X42" s="267"/>
      <c r="Y42" s="267"/>
      <c r="Z42" s="267"/>
      <c r="AA42" s="267"/>
      <c r="AB42" s="224">
        <v>0</v>
      </c>
      <c r="AC42" s="267"/>
      <c r="AD42" s="267">
        <v>1</v>
      </c>
      <c r="AE42" s="267"/>
      <c r="AF42" s="267"/>
      <c r="AG42" s="224">
        <v>1</v>
      </c>
      <c r="AH42" s="267"/>
      <c r="AI42" s="267"/>
      <c r="AJ42" s="267"/>
      <c r="AK42" s="267"/>
      <c r="AL42" s="224">
        <v>0</v>
      </c>
      <c r="AM42" s="104">
        <v>1</v>
      </c>
      <c r="AN42" s="103" t="s">
        <v>685</v>
      </c>
      <c r="AO42" s="103" t="s">
        <v>612</v>
      </c>
      <c r="AP42" s="103" t="s">
        <v>1213</v>
      </c>
      <c r="AQ42" s="103" t="s">
        <v>1207</v>
      </c>
      <c r="AR42" s="103" t="s">
        <v>939</v>
      </c>
      <c r="AS42" s="271"/>
      <c r="AT42" s="271"/>
      <c r="AU42" s="271"/>
      <c r="AV42" s="271"/>
      <c r="AW42" s="271"/>
      <c r="AX42" s="271"/>
      <c r="AY42" s="271"/>
      <c r="AZ42" s="271"/>
      <c r="BA42" s="271"/>
      <c r="BB42" s="271"/>
      <c r="BC42" s="271"/>
      <c r="BD42" s="271"/>
      <c r="BE42" s="271"/>
      <c r="BF42" s="271"/>
      <c r="BG42" s="271"/>
      <c r="BH42" s="235">
        <v>0</v>
      </c>
      <c r="BI42" s="271"/>
      <c r="BJ42" s="271"/>
      <c r="BK42" s="271"/>
      <c r="BL42" s="271"/>
      <c r="BM42" s="271"/>
      <c r="BN42" s="271"/>
      <c r="BO42" s="271"/>
      <c r="BP42" s="271"/>
      <c r="BQ42" s="271"/>
      <c r="BR42" s="271"/>
      <c r="BS42" s="271"/>
      <c r="BT42" s="271"/>
      <c r="BU42" s="271"/>
      <c r="BV42" s="271"/>
      <c r="BW42" s="271"/>
      <c r="BX42" s="235">
        <v>0</v>
      </c>
      <c r="BY42" s="271"/>
      <c r="BZ42" s="271"/>
      <c r="CA42" s="271"/>
      <c r="CB42" s="271"/>
      <c r="CC42" s="271">
        <v>50280030</v>
      </c>
      <c r="CD42" s="271"/>
      <c r="CE42" s="271"/>
      <c r="CF42" s="271"/>
      <c r="CG42" s="271"/>
      <c r="CH42" s="271">
        <v>74475180</v>
      </c>
      <c r="CI42" s="271"/>
      <c r="CJ42" s="271"/>
      <c r="CK42" s="271"/>
      <c r="CL42" s="271"/>
      <c r="CM42" s="271"/>
      <c r="CN42" s="235">
        <v>124755210</v>
      </c>
      <c r="CO42" s="271"/>
      <c r="CP42" s="271"/>
      <c r="CQ42" s="271"/>
      <c r="CR42" s="271"/>
      <c r="CS42" s="271"/>
      <c r="CT42" s="271"/>
      <c r="CU42" s="271"/>
      <c r="CV42" s="271"/>
      <c r="CW42" s="271"/>
      <c r="CX42" s="271"/>
      <c r="CY42" s="271"/>
      <c r="CZ42" s="271"/>
      <c r="DA42" s="271"/>
      <c r="DB42" s="271"/>
      <c r="DC42" s="271"/>
      <c r="DD42" s="235">
        <v>0</v>
      </c>
      <c r="DE42" s="244">
        <v>124755210</v>
      </c>
    </row>
    <row r="43" spans="1:109" s="99" customFormat="1" ht="117" customHeight="1">
      <c r="A43" s="103" t="s">
        <v>1232</v>
      </c>
      <c r="B43" s="279" t="s">
        <v>9</v>
      </c>
      <c r="C43" s="103" t="s">
        <v>1696</v>
      </c>
      <c r="D43" s="279">
        <v>2</v>
      </c>
      <c r="E43" s="279" t="s">
        <v>27</v>
      </c>
      <c r="F43" s="280" t="s">
        <v>688</v>
      </c>
      <c r="G43" s="279" t="s">
        <v>3100</v>
      </c>
      <c r="H43" s="279">
        <v>4</v>
      </c>
      <c r="I43" s="279" t="s">
        <v>90</v>
      </c>
      <c r="J43" s="279" t="s">
        <v>683</v>
      </c>
      <c r="K43" s="104">
        <v>12907</v>
      </c>
      <c r="L43" s="104">
        <v>12907</v>
      </c>
      <c r="M43" s="279" t="s">
        <v>708</v>
      </c>
      <c r="N43" s="279" t="s">
        <v>709</v>
      </c>
      <c r="O43" s="279" t="s">
        <v>710</v>
      </c>
      <c r="P43" s="266">
        <v>39</v>
      </c>
      <c r="Q43" s="279" t="s">
        <v>3298</v>
      </c>
      <c r="R43" s="279" t="s">
        <v>96</v>
      </c>
      <c r="S43" s="279" t="s">
        <v>677</v>
      </c>
      <c r="T43" s="279">
        <v>100</v>
      </c>
      <c r="U43" s="267"/>
      <c r="V43" s="267">
        <v>100</v>
      </c>
      <c r="W43" s="224">
        <v>100</v>
      </c>
      <c r="X43" s="267"/>
      <c r="Y43" s="267"/>
      <c r="Z43" s="267">
        <v>100</v>
      </c>
      <c r="AA43" s="267"/>
      <c r="AB43" s="224">
        <v>100</v>
      </c>
      <c r="AC43" s="267"/>
      <c r="AD43" s="267"/>
      <c r="AE43" s="267">
        <v>100</v>
      </c>
      <c r="AF43" s="267"/>
      <c r="AG43" s="224">
        <v>100</v>
      </c>
      <c r="AH43" s="267"/>
      <c r="AI43" s="267"/>
      <c r="AJ43" s="267">
        <v>100</v>
      </c>
      <c r="AK43" s="267"/>
      <c r="AL43" s="224">
        <v>100</v>
      </c>
      <c r="AM43" s="104">
        <v>100</v>
      </c>
      <c r="AN43" s="103" t="s">
        <v>686</v>
      </c>
      <c r="AO43" s="103" t="s">
        <v>612</v>
      </c>
      <c r="AP43" s="103" t="s">
        <v>1213</v>
      </c>
      <c r="AQ43" s="103" t="s">
        <v>1207</v>
      </c>
      <c r="AR43" s="103" t="s">
        <v>939</v>
      </c>
      <c r="AS43" s="271"/>
      <c r="AT43" s="271"/>
      <c r="AU43" s="271"/>
      <c r="AV43" s="271"/>
      <c r="AW43" s="271">
        <v>156000000</v>
      </c>
      <c r="AX43" s="271"/>
      <c r="AY43" s="271"/>
      <c r="AZ43" s="271"/>
      <c r="BA43" s="271"/>
      <c r="BB43" s="271"/>
      <c r="BC43" s="271"/>
      <c r="BD43" s="271"/>
      <c r="BE43" s="271"/>
      <c r="BF43" s="271"/>
      <c r="BG43" s="271"/>
      <c r="BH43" s="235">
        <v>156000000</v>
      </c>
      <c r="BI43" s="271"/>
      <c r="BJ43" s="271"/>
      <c r="BK43" s="271"/>
      <c r="BL43" s="271"/>
      <c r="BM43" s="271"/>
      <c r="BN43" s="271"/>
      <c r="BO43" s="271"/>
      <c r="BP43" s="271"/>
      <c r="BQ43" s="271"/>
      <c r="BR43" s="271">
        <v>3705000000</v>
      </c>
      <c r="BS43" s="271"/>
      <c r="BT43" s="271"/>
      <c r="BU43" s="271"/>
      <c r="BV43" s="271"/>
      <c r="BW43" s="271"/>
      <c r="BX43" s="235">
        <v>3705000000</v>
      </c>
      <c r="BY43" s="271"/>
      <c r="BZ43" s="271"/>
      <c r="CA43" s="271"/>
      <c r="CB43" s="271"/>
      <c r="CC43" s="271"/>
      <c r="CD43" s="271"/>
      <c r="CE43" s="271"/>
      <c r="CF43" s="271"/>
      <c r="CG43" s="271"/>
      <c r="CH43" s="271">
        <v>3813150000</v>
      </c>
      <c r="CI43" s="271"/>
      <c r="CJ43" s="271"/>
      <c r="CK43" s="271"/>
      <c r="CL43" s="271"/>
      <c r="CM43" s="271"/>
      <c r="CN43" s="235">
        <v>3813150000</v>
      </c>
      <c r="CO43" s="271"/>
      <c r="CP43" s="271"/>
      <c r="CQ43" s="271"/>
      <c r="CR43" s="271"/>
      <c r="CS43" s="271"/>
      <c r="CT43" s="271"/>
      <c r="CU43" s="271"/>
      <c r="CV43" s="271"/>
      <c r="CW43" s="271"/>
      <c r="CX43" s="271">
        <v>3924544500</v>
      </c>
      <c r="CY43" s="271"/>
      <c r="CZ43" s="271"/>
      <c r="DA43" s="271"/>
      <c r="DB43" s="271"/>
      <c r="DC43" s="271"/>
      <c r="DD43" s="235">
        <v>3924544500</v>
      </c>
      <c r="DE43" s="244">
        <v>11598694500</v>
      </c>
    </row>
    <row r="44" spans="1:109" s="99" customFormat="1" ht="117" customHeight="1">
      <c r="A44" s="103" t="s">
        <v>1232</v>
      </c>
      <c r="B44" s="279" t="s">
        <v>9</v>
      </c>
      <c r="C44" s="103" t="s">
        <v>1696</v>
      </c>
      <c r="D44" s="279">
        <v>2</v>
      </c>
      <c r="E44" s="279" t="s">
        <v>27</v>
      </c>
      <c r="F44" s="280" t="s">
        <v>688</v>
      </c>
      <c r="G44" s="279" t="s">
        <v>3100</v>
      </c>
      <c r="H44" s="279">
        <v>4</v>
      </c>
      <c r="I44" s="279" t="s">
        <v>90</v>
      </c>
      <c r="J44" s="279" t="s">
        <v>683</v>
      </c>
      <c r="K44" s="104">
        <v>12907</v>
      </c>
      <c r="L44" s="104">
        <v>12907</v>
      </c>
      <c r="M44" s="279" t="s">
        <v>708</v>
      </c>
      <c r="N44" s="279" t="s">
        <v>709</v>
      </c>
      <c r="O44" s="279" t="s">
        <v>710</v>
      </c>
      <c r="P44" s="266">
        <v>40</v>
      </c>
      <c r="Q44" s="279" t="s">
        <v>3129</v>
      </c>
      <c r="R44" s="279" t="s">
        <v>99</v>
      </c>
      <c r="S44" s="279" t="s">
        <v>677</v>
      </c>
      <c r="T44" s="279">
        <v>0</v>
      </c>
      <c r="U44" s="267"/>
      <c r="V44" s="267">
        <v>85</v>
      </c>
      <c r="W44" s="224">
        <v>85</v>
      </c>
      <c r="X44" s="267"/>
      <c r="Y44" s="267"/>
      <c r="Z44" s="267"/>
      <c r="AA44" s="267">
        <v>5</v>
      </c>
      <c r="AB44" s="224">
        <v>5</v>
      </c>
      <c r="AC44" s="267"/>
      <c r="AD44" s="267"/>
      <c r="AE44" s="267"/>
      <c r="AF44" s="267">
        <v>5</v>
      </c>
      <c r="AG44" s="224">
        <v>5</v>
      </c>
      <c r="AH44" s="267"/>
      <c r="AI44" s="267"/>
      <c r="AJ44" s="267"/>
      <c r="AK44" s="267">
        <v>5</v>
      </c>
      <c r="AL44" s="224">
        <v>5</v>
      </c>
      <c r="AM44" s="104">
        <v>100</v>
      </c>
      <c r="AN44" s="103" t="s">
        <v>685</v>
      </c>
      <c r="AO44" s="103" t="s">
        <v>612</v>
      </c>
      <c r="AP44" s="103" t="s">
        <v>1213</v>
      </c>
      <c r="AQ44" s="103" t="s">
        <v>1207</v>
      </c>
      <c r="AR44" s="103" t="s">
        <v>939</v>
      </c>
      <c r="AS44" s="271"/>
      <c r="AT44" s="271"/>
      <c r="AU44" s="271"/>
      <c r="AV44" s="271"/>
      <c r="AW44" s="271"/>
      <c r="AX44" s="271"/>
      <c r="AY44" s="271"/>
      <c r="AZ44" s="271"/>
      <c r="BA44" s="271"/>
      <c r="BB44" s="271">
        <v>5000000</v>
      </c>
      <c r="BC44" s="271"/>
      <c r="BD44" s="271"/>
      <c r="BE44" s="271"/>
      <c r="BF44" s="271"/>
      <c r="BG44" s="271"/>
      <c r="BH44" s="235">
        <v>5000000</v>
      </c>
      <c r="BI44" s="271"/>
      <c r="BJ44" s="271"/>
      <c r="BK44" s="271"/>
      <c r="BL44" s="271"/>
      <c r="BM44" s="271"/>
      <c r="BN44" s="271"/>
      <c r="BO44" s="271"/>
      <c r="BP44" s="271"/>
      <c r="BQ44" s="271"/>
      <c r="BR44" s="271">
        <v>5150000</v>
      </c>
      <c r="BS44" s="271"/>
      <c r="BT44" s="271"/>
      <c r="BU44" s="271"/>
      <c r="BV44" s="271"/>
      <c r="BW44" s="271"/>
      <c r="BX44" s="235">
        <v>5150000</v>
      </c>
      <c r="BY44" s="271"/>
      <c r="BZ44" s="271"/>
      <c r="CA44" s="271"/>
      <c r="CB44" s="271"/>
      <c r="CC44" s="271"/>
      <c r="CD44" s="271"/>
      <c r="CE44" s="271"/>
      <c r="CF44" s="271"/>
      <c r="CG44" s="271"/>
      <c r="CH44" s="271">
        <v>5304500</v>
      </c>
      <c r="CI44" s="271"/>
      <c r="CJ44" s="271"/>
      <c r="CK44" s="271"/>
      <c r="CL44" s="271"/>
      <c r="CM44" s="271"/>
      <c r="CN44" s="235">
        <v>5304500</v>
      </c>
      <c r="CO44" s="271"/>
      <c r="CP44" s="271"/>
      <c r="CQ44" s="271"/>
      <c r="CR44" s="271"/>
      <c r="CS44" s="271"/>
      <c r="CT44" s="271"/>
      <c r="CU44" s="271"/>
      <c r="CV44" s="271"/>
      <c r="CW44" s="271"/>
      <c r="CX44" s="271">
        <v>5463635</v>
      </c>
      <c r="CY44" s="271"/>
      <c r="CZ44" s="271"/>
      <c r="DA44" s="271"/>
      <c r="DB44" s="271"/>
      <c r="DC44" s="271"/>
      <c r="DD44" s="235">
        <v>5463635</v>
      </c>
      <c r="DE44" s="244">
        <v>20918135</v>
      </c>
    </row>
    <row r="45" spans="1:109" s="99" customFormat="1" ht="117" customHeight="1">
      <c r="A45" s="103" t="s">
        <v>1232</v>
      </c>
      <c r="B45" s="279" t="s">
        <v>9</v>
      </c>
      <c r="C45" s="103" t="s">
        <v>1696</v>
      </c>
      <c r="D45" s="279">
        <v>2</v>
      </c>
      <c r="E45" s="279" t="s">
        <v>27</v>
      </c>
      <c r="F45" s="280" t="s">
        <v>688</v>
      </c>
      <c r="G45" s="279" t="s">
        <v>3100</v>
      </c>
      <c r="H45" s="279">
        <v>4</v>
      </c>
      <c r="I45" s="279" t="s">
        <v>90</v>
      </c>
      <c r="J45" s="279" t="s">
        <v>683</v>
      </c>
      <c r="K45" s="104">
        <v>12907</v>
      </c>
      <c r="L45" s="104">
        <v>12907</v>
      </c>
      <c r="M45" s="279" t="s">
        <v>708</v>
      </c>
      <c r="N45" s="279" t="s">
        <v>709</v>
      </c>
      <c r="O45" s="279" t="s">
        <v>710</v>
      </c>
      <c r="P45" s="266">
        <v>41</v>
      </c>
      <c r="Q45" s="279" t="s">
        <v>3102</v>
      </c>
      <c r="R45" s="279" t="s">
        <v>103</v>
      </c>
      <c r="S45" s="279" t="s">
        <v>677</v>
      </c>
      <c r="T45" s="279">
        <v>100</v>
      </c>
      <c r="U45" s="267">
        <v>100</v>
      </c>
      <c r="V45" s="267"/>
      <c r="W45" s="224">
        <v>100</v>
      </c>
      <c r="X45" s="267"/>
      <c r="Y45" s="267">
        <v>100</v>
      </c>
      <c r="Z45" s="267"/>
      <c r="AA45" s="267"/>
      <c r="AB45" s="224">
        <v>100</v>
      </c>
      <c r="AC45" s="267"/>
      <c r="AD45" s="267">
        <v>100</v>
      </c>
      <c r="AE45" s="267"/>
      <c r="AF45" s="267"/>
      <c r="AG45" s="224">
        <v>100</v>
      </c>
      <c r="AH45" s="267"/>
      <c r="AI45" s="267">
        <v>100</v>
      </c>
      <c r="AJ45" s="267"/>
      <c r="AK45" s="267"/>
      <c r="AL45" s="224">
        <v>100</v>
      </c>
      <c r="AM45" s="104">
        <v>100</v>
      </c>
      <c r="AN45" s="103" t="s">
        <v>686</v>
      </c>
      <c r="AO45" s="103" t="s">
        <v>612</v>
      </c>
      <c r="AP45" s="103" t="s">
        <v>1213</v>
      </c>
      <c r="AQ45" s="103" t="s">
        <v>1207</v>
      </c>
      <c r="AR45" s="103" t="s">
        <v>939</v>
      </c>
      <c r="AS45" s="271"/>
      <c r="AT45" s="271"/>
      <c r="AU45" s="271"/>
      <c r="AV45" s="271"/>
      <c r="AW45" s="271"/>
      <c r="AX45" s="271"/>
      <c r="AY45" s="271"/>
      <c r="AZ45" s="271"/>
      <c r="BA45" s="271"/>
      <c r="BB45" s="271">
        <v>60000000</v>
      </c>
      <c r="BC45" s="271"/>
      <c r="BD45" s="271"/>
      <c r="BE45" s="271"/>
      <c r="BF45" s="271"/>
      <c r="BG45" s="271"/>
      <c r="BH45" s="235">
        <v>60000000</v>
      </c>
      <c r="BI45" s="271"/>
      <c r="BJ45" s="271"/>
      <c r="BK45" s="271"/>
      <c r="BL45" s="271"/>
      <c r="BM45" s="271"/>
      <c r="BN45" s="271"/>
      <c r="BO45" s="271"/>
      <c r="BP45" s="271"/>
      <c r="BQ45" s="271"/>
      <c r="BR45" s="271">
        <f>60000000*1.03</f>
        <v>61800000</v>
      </c>
      <c r="BS45" s="271"/>
      <c r="BT45" s="271"/>
      <c r="BU45" s="271"/>
      <c r="BV45" s="271"/>
      <c r="BW45" s="271"/>
      <c r="BX45" s="235">
        <v>61800000</v>
      </c>
      <c r="BY45" s="271"/>
      <c r="BZ45" s="271"/>
      <c r="CA45" s="271"/>
      <c r="CB45" s="271"/>
      <c r="CC45" s="271"/>
      <c r="CD45" s="271"/>
      <c r="CE45" s="271"/>
      <c r="CF45" s="271"/>
      <c r="CG45" s="271"/>
      <c r="CH45" s="271">
        <f>61800000*1.03</f>
        <v>63654000</v>
      </c>
      <c r="CI45" s="271"/>
      <c r="CJ45" s="271"/>
      <c r="CK45" s="271"/>
      <c r="CL45" s="271"/>
      <c r="CM45" s="271"/>
      <c r="CN45" s="235">
        <v>63654000</v>
      </c>
      <c r="CO45" s="271"/>
      <c r="CP45" s="271"/>
      <c r="CQ45" s="271"/>
      <c r="CR45" s="271"/>
      <c r="CS45" s="271"/>
      <c r="CT45" s="271"/>
      <c r="CU45" s="271"/>
      <c r="CV45" s="271"/>
      <c r="CW45" s="271"/>
      <c r="CX45" s="271">
        <f>63654000*1.03</f>
        <v>65563620</v>
      </c>
      <c r="CY45" s="271"/>
      <c r="CZ45" s="271"/>
      <c r="DA45" s="271"/>
      <c r="DB45" s="271"/>
      <c r="DC45" s="271"/>
      <c r="DD45" s="235">
        <v>65563620</v>
      </c>
      <c r="DE45" s="244">
        <v>251017620</v>
      </c>
    </row>
    <row r="46" spans="1:109" s="99" customFormat="1" ht="117" customHeight="1">
      <c r="A46" s="103" t="s">
        <v>1232</v>
      </c>
      <c r="B46" s="279" t="s">
        <v>9</v>
      </c>
      <c r="C46" s="103" t="s">
        <v>1696</v>
      </c>
      <c r="D46" s="279">
        <v>2</v>
      </c>
      <c r="E46" s="279" t="s">
        <v>27</v>
      </c>
      <c r="F46" s="280" t="s">
        <v>688</v>
      </c>
      <c r="G46" s="279" t="s">
        <v>3100</v>
      </c>
      <c r="H46" s="279">
        <v>4</v>
      </c>
      <c r="I46" s="279" t="s">
        <v>90</v>
      </c>
      <c r="J46" s="279" t="s">
        <v>683</v>
      </c>
      <c r="K46" s="104">
        <v>12907</v>
      </c>
      <c r="L46" s="104">
        <v>12907</v>
      </c>
      <c r="M46" s="279" t="s">
        <v>708</v>
      </c>
      <c r="N46" s="279" t="s">
        <v>709</v>
      </c>
      <c r="O46" s="279" t="s">
        <v>710</v>
      </c>
      <c r="P46" s="266">
        <v>42</v>
      </c>
      <c r="Q46" s="279" t="s">
        <v>3728</v>
      </c>
      <c r="R46" s="279" t="s">
        <v>712</v>
      </c>
      <c r="S46" s="279" t="s">
        <v>683</v>
      </c>
      <c r="T46" s="279">
        <v>570</v>
      </c>
      <c r="U46" s="267"/>
      <c r="V46" s="267">
        <v>50</v>
      </c>
      <c r="W46" s="224">
        <v>50</v>
      </c>
      <c r="X46" s="267"/>
      <c r="Y46" s="267"/>
      <c r="Z46" s="267">
        <v>50</v>
      </c>
      <c r="AA46" s="267"/>
      <c r="AB46" s="224">
        <v>50</v>
      </c>
      <c r="AC46" s="267"/>
      <c r="AD46" s="267"/>
      <c r="AE46" s="267">
        <v>50</v>
      </c>
      <c r="AF46" s="267"/>
      <c r="AG46" s="224">
        <v>50</v>
      </c>
      <c r="AH46" s="267"/>
      <c r="AI46" s="267"/>
      <c r="AJ46" s="267">
        <v>50</v>
      </c>
      <c r="AK46" s="267"/>
      <c r="AL46" s="224">
        <v>50</v>
      </c>
      <c r="AM46" s="104">
        <v>200</v>
      </c>
      <c r="AN46" s="103" t="s">
        <v>685</v>
      </c>
      <c r="AO46" s="103" t="s">
        <v>612</v>
      </c>
      <c r="AP46" s="103" t="s">
        <v>1213</v>
      </c>
      <c r="AQ46" s="103" t="s">
        <v>1207</v>
      </c>
      <c r="AR46" s="103" t="s">
        <v>939</v>
      </c>
      <c r="AS46" s="271"/>
      <c r="AT46" s="271"/>
      <c r="AU46" s="271"/>
      <c r="AV46" s="271"/>
      <c r="AW46" s="271">
        <f>10000000.2582+0.001800537109375</f>
        <v>10000000.260000536</v>
      </c>
      <c r="AX46" s="271"/>
      <c r="AY46" s="271"/>
      <c r="AZ46" s="271"/>
      <c r="BA46" s="271"/>
      <c r="BB46" s="271"/>
      <c r="BC46" s="271"/>
      <c r="BD46" s="271"/>
      <c r="BE46" s="271"/>
      <c r="BF46" s="271"/>
      <c r="BG46" s="271"/>
      <c r="BH46" s="235">
        <v>10000000.260000536</v>
      </c>
      <c r="BI46" s="271"/>
      <c r="BJ46" s="271"/>
      <c r="BK46" s="271"/>
      <c r="BL46" s="271"/>
      <c r="BM46" s="271">
        <v>10000000</v>
      </c>
      <c r="BN46" s="271"/>
      <c r="BO46" s="271"/>
      <c r="BP46" s="271"/>
      <c r="BQ46" s="271"/>
      <c r="BR46" s="271"/>
      <c r="BS46" s="271"/>
      <c r="BT46" s="271"/>
      <c r="BU46" s="271"/>
      <c r="BV46" s="271"/>
      <c r="BW46" s="271"/>
      <c r="BX46" s="235">
        <v>10000000</v>
      </c>
      <c r="BY46" s="271"/>
      <c r="BZ46" s="271"/>
      <c r="CA46" s="271"/>
      <c r="CB46" s="271"/>
      <c r="CC46" s="271">
        <v>10000000</v>
      </c>
      <c r="CD46" s="271"/>
      <c r="CE46" s="271"/>
      <c r="CF46" s="271"/>
      <c r="CG46" s="271"/>
      <c r="CH46" s="271"/>
      <c r="CI46" s="271"/>
      <c r="CJ46" s="271"/>
      <c r="CK46" s="271"/>
      <c r="CL46" s="271"/>
      <c r="CM46" s="271"/>
      <c r="CN46" s="235">
        <v>10000000</v>
      </c>
      <c r="CO46" s="271"/>
      <c r="CP46" s="271"/>
      <c r="CQ46" s="271"/>
      <c r="CR46" s="271"/>
      <c r="CS46" s="271">
        <v>10000000</v>
      </c>
      <c r="CT46" s="271"/>
      <c r="CU46" s="271"/>
      <c r="CV46" s="271"/>
      <c r="CW46" s="271"/>
      <c r="CX46" s="271"/>
      <c r="CY46" s="271"/>
      <c r="CZ46" s="271"/>
      <c r="DA46" s="271"/>
      <c r="DB46" s="271"/>
      <c r="DC46" s="271"/>
      <c r="DD46" s="235">
        <v>10000000</v>
      </c>
      <c r="DE46" s="244">
        <v>40000000.260000534</v>
      </c>
    </row>
    <row r="47" spans="1:109" s="99" customFormat="1" ht="117" customHeight="1">
      <c r="A47" s="103" t="s">
        <v>1232</v>
      </c>
      <c r="B47" s="279" t="s">
        <v>9</v>
      </c>
      <c r="C47" s="103" t="s">
        <v>1696</v>
      </c>
      <c r="D47" s="279">
        <v>2</v>
      </c>
      <c r="E47" s="279" t="s">
        <v>27</v>
      </c>
      <c r="F47" s="280" t="s">
        <v>688</v>
      </c>
      <c r="G47" s="279" t="s">
        <v>3100</v>
      </c>
      <c r="H47" s="279">
        <v>4</v>
      </c>
      <c r="I47" s="279" t="s">
        <v>90</v>
      </c>
      <c r="J47" s="279" t="s">
        <v>683</v>
      </c>
      <c r="K47" s="104">
        <v>12907</v>
      </c>
      <c r="L47" s="104">
        <v>12907</v>
      </c>
      <c r="M47" s="279" t="s">
        <v>708</v>
      </c>
      <c r="N47" s="279" t="s">
        <v>709</v>
      </c>
      <c r="O47" s="279" t="s">
        <v>710</v>
      </c>
      <c r="P47" s="266">
        <v>43</v>
      </c>
      <c r="Q47" s="279" t="s">
        <v>3299</v>
      </c>
      <c r="R47" s="279" t="s">
        <v>106</v>
      </c>
      <c r="S47" s="279" t="s">
        <v>677</v>
      </c>
      <c r="T47" s="279">
        <v>7.8</v>
      </c>
      <c r="U47" s="267"/>
      <c r="V47" s="267">
        <v>0.02</v>
      </c>
      <c r="W47" s="226">
        <v>0.02</v>
      </c>
      <c r="X47" s="267"/>
      <c r="Y47" s="267"/>
      <c r="Z47" s="267"/>
      <c r="AA47" s="267">
        <v>0.06</v>
      </c>
      <c r="AB47" s="226">
        <v>0.06</v>
      </c>
      <c r="AC47" s="267"/>
      <c r="AD47" s="267"/>
      <c r="AE47" s="267"/>
      <c r="AF47" s="267">
        <v>0.06</v>
      </c>
      <c r="AG47" s="226">
        <v>0.06</v>
      </c>
      <c r="AH47" s="267"/>
      <c r="AI47" s="267"/>
      <c r="AJ47" s="267"/>
      <c r="AK47" s="267">
        <v>0.06</v>
      </c>
      <c r="AL47" s="226">
        <v>0.06</v>
      </c>
      <c r="AM47" s="107">
        <v>0.2</v>
      </c>
      <c r="AN47" s="103" t="s">
        <v>687</v>
      </c>
      <c r="AO47" s="103" t="s">
        <v>612</v>
      </c>
      <c r="AP47" s="103" t="s">
        <v>1213</v>
      </c>
      <c r="AQ47" s="103" t="s">
        <v>1207</v>
      </c>
      <c r="AR47" s="103" t="s">
        <v>939</v>
      </c>
      <c r="AS47" s="271"/>
      <c r="AT47" s="271"/>
      <c r="AU47" s="271"/>
      <c r="AV47" s="271"/>
      <c r="AW47" s="271"/>
      <c r="AX47" s="271"/>
      <c r="AY47" s="271"/>
      <c r="AZ47" s="271"/>
      <c r="BA47" s="271"/>
      <c r="BB47" s="271">
        <v>715000000</v>
      </c>
      <c r="BC47" s="271"/>
      <c r="BD47" s="271"/>
      <c r="BE47" s="271"/>
      <c r="BF47" s="271"/>
      <c r="BG47" s="271"/>
      <c r="BH47" s="235">
        <v>715000000</v>
      </c>
      <c r="BI47" s="271"/>
      <c r="BJ47" s="271"/>
      <c r="BK47" s="271"/>
      <c r="BL47" s="271"/>
      <c r="BM47" s="271"/>
      <c r="BN47" s="271"/>
      <c r="BO47" s="271"/>
      <c r="BP47" s="271"/>
      <c r="BQ47" s="271"/>
      <c r="BR47" s="271">
        <v>715000000</v>
      </c>
      <c r="BS47" s="271"/>
      <c r="BT47" s="271"/>
      <c r="BU47" s="271"/>
      <c r="BV47" s="271"/>
      <c r="BW47" s="271"/>
      <c r="BX47" s="235">
        <v>715000000</v>
      </c>
      <c r="BY47" s="271"/>
      <c r="BZ47" s="271"/>
      <c r="CA47" s="271"/>
      <c r="CB47" s="271"/>
      <c r="CC47" s="271"/>
      <c r="CD47" s="271"/>
      <c r="CE47" s="271"/>
      <c r="CF47" s="271"/>
      <c r="CG47" s="271"/>
      <c r="CH47" s="271">
        <v>736450000</v>
      </c>
      <c r="CI47" s="271"/>
      <c r="CJ47" s="271"/>
      <c r="CK47" s="271"/>
      <c r="CL47" s="271"/>
      <c r="CM47" s="271"/>
      <c r="CN47" s="235">
        <v>736450000</v>
      </c>
      <c r="CO47" s="271"/>
      <c r="CP47" s="271"/>
      <c r="CQ47" s="271"/>
      <c r="CR47" s="271"/>
      <c r="CS47" s="271"/>
      <c r="CT47" s="271"/>
      <c r="CU47" s="271"/>
      <c r="CV47" s="271"/>
      <c r="CW47" s="271"/>
      <c r="CX47" s="271">
        <v>758543500</v>
      </c>
      <c r="CY47" s="271"/>
      <c r="CZ47" s="271"/>
      <c r="DA47" s="271"/>
      <c r="DB47" s="271"/>
      <c r="DC47" s="271"/>
      <c r="DD47" s="235">
        <v>758543500</v>
      </c>
      <c r="DE47" s="244">
        <v>2924993500</v>
      </c>
    </row>
    <row r="48" spans="1:109" s="99" customFormat="1" ht="117" customHeight="1">
      <c r="A48" s="103" t="s">
        <v>1232</v>
      </c>
      <c r="B48" s="279" t="s">
        <v>9</v>
      </c>
      <c r="C48" s="103" t="s">
        <v>1696</v>
      </c>
      <c r="D48" s="279">
        <v>2</v>
      </c>
      <c r="E48" s="279" t="s">
        <v>27</v>
      </c>
      <c r="F48" s="280" t="s">
        <v>688</v>
      </c>
      <c r="G48" s="279" t="s">
        <v>3306</v>
      </c>
      <c r="H48" s="279">
        <v>5</v>
      </c>
      <c r="I48" s="279" t="s">
        <v>108</v>
      </c>
      <c r="J48" s="279" t="s">
        <v>677</v>
      </c>
      <c r="K48" s="279">
        <v>57.2</v>
      </c>
      <c r="L48" s="279" t="s">
        <v>714</v>
      </c>
      <c r="M48" s="279" t="s">
        <v>715</v>
      </c>
      <c r="N48" s="279" t="s">
        <v>716</v>
      </c>
      <c r="O48" s="279" t="s">
        <v>110</v>
      </c>
      <c r="P48" s="266">
        <v>44</v>
      </c>
      <c r="Q48" s="279" t="s">
        <v>3300</v>
      </c>
      <c r="R48" s="279" t="s">
        <v>717</v>
      </c>
      <c r="S48" s="279" t="s">
        <v>683</v>
      </c>
      <c r="T48" s="279">
        <v>176</v>
      </c>
      <c r="U48" s="267"/>
      <c r="V48" s="267">
        <v>176</v>
      </c>
      <c r="W48" s="224">
        <v>176</v>
      </c>
      <c r="X48" s="267"/>
      <c r="Y48" s="267"/>
      <c r="Z48" s="267"/>
      <c r="AA48" s="267">
        <v>176</v>
      </c>
      <c r="AB48" s="224">
        <v>176</v>
      </c>
      <c r="AC48" s="267"/>
      <c r="AD48" s="267"/>
      <c r="AE48" s="267"/>
      <c r="AF48" s="267">
        <v>176</v>
      </c>
      <c r="AG48" s="224">
        <v>176</v>
      </c>
      <c r="AH48" s="267"/>
      <c r="AI48" s="267"/>
      <c r="AJ48" s="267"/>
      <c r="AK48" s="267">
        <v>176</v>
      </c>
      <c r="AL48" s="224">
        <v>176</v>
      </c>
      <c r="AM48" s="104">
        <v>176</v>
      </c>
      <c r="AN48" s="103" t="s">
        <v>686</v>
      </c>
      <c r="AO48" s="103" t="s">
        <v>612</v>
      </c>
      <c r="AP48" s="103" t="s">
        <v>1213</v>
      </c>
      <c r="AQ48" s="103" t="s">
        <v>1207</v>
      </c>
      <c r="AR48" s="103" t="s">
        <v>939</v>
      </c>
      <c r="AS48" s="271"/>
      <c r="AT48" s="271"/>
      <c r="AU48" s="271"/>
      <c r="AV48" s="271"/>
      <c r="AW48" s="271"/>
      <c r="AX48" s="271"/>
      <c r="AY48" s="271"/>
      <c r="AZ48" s="271"/>
      <c r="BA48" s="271"/>
      <c r="BB48" s="271">
        <v>7000000</v>
      </c>
      <c r="BC48" s="271"/>
      <c r="BD48" s="271"/>
      <c r="BE48" s="271"/>
      <c r="BF48" s="271"/>
      <c r="BG48" s="271"/>
      <c r="BH48" s="235">
        <v>7000000</v>
      </c>
      <c r="BI48" s="271"/>
      <c r="BJ48" s="271"/>
      <c r="BK48" s="271"/>
      <c r="BL48" s="271"/>
      <c r="BM48" s="271"/>
      <c r="BN48" s="271"/>
      <c r="BO48" s="271"/>
      <c r="BP48" s="271"/>
      <c r="BQ48" s="271"/>
      <c r="BR48" s="271">
        <v>7230600</v>
      </c>
      <c r="BS48" s="271"/>
      <c r="BT48" s="271"/>
      <c r="BU48" s="271"/>
      <c r="BV48" s="271"/>
      <c r="BW48" s="271"/>
      <c r="BX48" s="235">
        <v>7230600</v>
      </c>
      <c r="BY48" s="271"/>
      <c r="BZ48" s="271"/>
      <c r="CA48" s="271"/>
      <c r="CB48" s="271"/>
      <c r="CC48" s="271"/>
      <c r="CD48" s="271"/>
      <c r="CE48" s="271"/>
      <c r="CF48" s="271"/>
      <c r="CG48" s="271"/>
      <c r="CH48" s="271">
        <v>7447518</v>
      </c>
      <c r="CI48" s="271"/>
      <c r="CJ48" s="271"/>
      <c r="CK48" s="271"/>
      <c r="CL48" s="271"/>
      <c r="CM48" s="271"/>
      <c r="CN48" s="235">
        <v>7447518</v>
      </c>
      <c r="CO48" s="271"/>
      <c r="CP48" s="271"/>
      <c r="CQ48" s="271"/>
      <c r="CR48" s="271"/>
      <c r="CS48" s="271"/>
      <c r="CT48" s="271"/>
      <c r="CU48" s="271"/>
      <c r="CV48" s="271"/>
      <c r="CW48" s="271"/>
      <c r="CX48" s="271">
        <v>7670943.54</v>
      </c>
      <c r="CY48" s="271"/>
      <c r="CZ48" s="271"/>
      <c r="DA48" s="271"/>
      <c r="DB48" s="271"/>
      <c r="DC48" s="271"/>
      <c r="DD48" s="235">
        <v>7670943.54</v>
      </c>
      <c r="DE48" s="244">
        <v>29349061.539999999</v>
      </c>
    </row>
    <row r="49" spans="1:109" s="99" customFormat="1" ht="117" customHeight="1">
      <c r="A49" s="103" t="s">
        <v>1232</v>
      </c>
      <c r="B49" s="279" t="s">
        <v>9</v>
      </c>
      <c r="C49" s="103" t="s">
        <v>1696</v>
      </c>
      <c r="D49" s="279">
        <v>2</v>
      </c>
      <c r="E49" s="279" t="s">
        <v>27</v>
      </c>
      <c r="F49" s="280" t="s">
        <v>688</v>
      </c>
      <c r="G49" s="279" t="s">
        <v>3306</v>
      </c>
      <c r="H49" s="279">
        <v>5</v>
      </c>
      <c r="I49" s="279" t="s">
        <v>108</v>
      </c>
      <c r="J49" s="279" t="s">
        <v>677</v>
      </c>
      <c r="K49" s="279">
        <v>57.2</v>
      </c>
      <c r="L49" s="279" t="s">
        <v>714</v>
      </c>
      <c r="M49" s="279" t="s">
        <v>715</v>
      </c>
      <c r="N49" s="279" t="s">
        <v>716</v>
      </c>
      <c r="O49" s="279" t="s">
        <v>110</v>
      </c>
      <c r="P49" s="266">
        <v>45</v>
      </c>
      <c r="Q49" s="279" t="s">
        <v>3301</v>
      </c>
      <c r="R49" s="279" t="s">
        <v>717</v>
      </c>
      <c r="S49" s="279" t="s">
        <v>683</v>
      </c>
      <c r="T49" s="279">
        <v>176</v>
      </c>
      <c r="U49" s="267"/>
      <c r="V49" s="267"/>
      <c r="W49" s="224">
        <v>0</v>
      </c>
      <c r="X49" s="267"/>
      <c r="Y49" s="267"/>
      <c r="Z49" s="267">
        <v>2</v>
      </c>
      <c r="AA49" s="267"/>
      <c r="AB49" s="224">
        <v>2</v>
      </c>
      <c r="AC49" s="267"/>
      <c r="AD49" s="267"/>
      <c r="AE49" s="267">
        <v>6</v>
      </c>
      <c r="AF49" s="267"/>
      <c r="AG49" s="224">
        <v>6</v>
      </c>
      <c r="AH49" s="267"/>
      <c r="AI49" s="267"/>
      <c r="AJ49" s="267">
        <v>6</v>
      </c>
      <c r="AK49" s="267"/>
      <c r="AL49" s="224">
        <v>6</v>
      </c>
      <c r="AM49" s="104">
        <v>14</v>
      </c>
      <c r="AN49" s="103" t="s">
        <v>685</v>
      </c>
      <c r="AO49" s="103" t="s">
        <v>612</v>
      </c>
      <c r="AP49" s="103" t="s">
        <v>1213</v>
      </c>
      <c r="AQ49" s="103" t="s">
        <v>1207</v>
      </c>
      <c r="AR49" s="103" t="s">
        <v>939</v>
      </c>
      <c r="AS49" s="271"/>
      <c r="AT49" s="271"/>
      <c r="AU49" s="271"/>
      <c r="AV49" s="271"/>
      <c r="AW49" s="271"/>
      <c r="AX49" s="271"/>
      <c r="AY49" s="271"/>
      <c r="AZ49" s="271"/>
      <c r="BA49" s="271"/>
      <c r="BB49" s="271"/>
      <c r="BC49" s="271"/>
      <c r="BD49" s="271"/>
      <c r="BE49" s="271"/>
      <c r="BF49" s="271"/>
      <c r="BG49" s="271"/>
      <c r="BH49" s="235">
        <v>0</v>
      </c>
      <c r="BI49" s="271"/>
      <c r="BJ49" s="271"/>
      <c r="BK49" s="271"/>
      <c r="BL49" s="271"/>
      <c r="BM49" s="271"/>
      <c r="BN49" s="271"/>
      <c r="BO49" s="271"/>
      <c r="BP49" s="271"/>
      <c r="BQ49" s="271"/>
      <c r="BR49" s="271">
        <f>144612000-BR48</f>
        <v>137381400</v>
      </c>
      <c r="BS49" s="271"/>
      <c r="BT49" s="271"/>
      <c r="BU49" s="271"/>
      <c r="BV49" s="271"/>
      <c r="BW49" s="271"/>
      <c r="BX49" s="235">
        <v>137381400</v>
      </c>
      <c r="BY49" s="271"/>
      <c r="BZ49" s="271"/>
      <c r="CA49" s="271"/>
      <c r="CB49" s="271"/>
      <c r="CC49" s="271"/>
      <c r="CD49" s="271"/>
      <c r="CE49" s="271"/>
      <c r="CF49" s="271"/>
      <c r="CG49" s="271"/>
      <c r="CH49" s="271">
        <f>148950360-CH48</f>
        <v>141502842</v>
      </c>
      <c r="CI49" s="271"/>
      <c r="CJ49" s="271"/>
      <c r="CK49" s="271"/>
      <c r="CL49" s="271"/>
      <c r="CM49" s="271"/>
      <c r="CN49" s="235">
        <v>141502842</v>
      </c>
      <c r="CO49" s="271"/>
      <c r="CP49" s="271"/>
      <c r="CQ49" s="271"/>
      <c r="CR49" s="271"/>
      <c r="CS49" s="271"/>
      <c r="CT49" s="271"/>
      <c r="CU49" s="271"/>
      <c r="CV49" s="271"/>
      <c r="CW49" s="271"/>
      <c r="CX49" s="271">
        <f>153418870.8-CX48</f>
        <v>145747927.26000002</v>
      </c>
      <c r="CY49" s="271"/>
      <c r="CZ49" s="271"/>
      <c r="DA49" s="271"/>
      <c r="DB49" s="271"/>
      <c r="DC49" s="271"/>
      <c r="DD49" s="235">
        <v>145747927.26000002</v>
      </c>
      <c r="DE49" s="244">
        <v>424632169.25999999</v>
      </c>
    </row>
    <row r="50" spans="1:109" s="99" customFormat="1" ht="117" customHeight="1">
      <c r="A50" s="103" t="s">
        <v>1232</v>
      </c>
      <c r="B50" s="279" t="s">
        <v>9</v>
      </c>
      <c r="C50" s="103" t="s">
        <v>1696</v>
      </c>
      <c r="D50" s="279">
        <v>2</v>
      </c>
      <c r="E50" s="279" t="s">
        <v>27</v>
      </c>
      <c r="F50" s="280" t="s">
        <v>688</v>
      </c>
      <c r="G50" s="279" t="s">
        <v>3306</v>
      </c>
      <c r="H50" s="279">
        <v>5</v>
      </c>
      <c r="I50" s="279" t="s">
        <v>108</v>
      </c>
      <c r="J50" s="279" t="s">
        <v>677</v>
      </c>
      <c r="K50" s="279">
        <v>57.2</v>
      </c>
      <c r="L50" s="279" t="s">
        <v>714</v>
      </c>
      <c r="M50" s="279" t="s">
        <v>715</v>
      </c>
      <c r="N50" s="279" t="s">
        <v>716</v>
      </c>
      <c r="O50" s="279" t="s">
        <v>110</v>
      </c>
      <c r="P50" s="266">
        <v>46</v>
      </c>
      <c r="Q50" s="279" t="s">
        <v>3302</v>
      </c>
      <c r="R50" s="279" t="s">
        <v>718</v>
      </c>
      <c r="S50" s="279" t="s">
        <v>683</v>
      </c>
      <c r="T50" s="279">
        <v>13</v>
      </c>
      <c r="U50" s="267"/>
      <c r="V50" s="267"/>
      <c r="W50" s="224">
        <v>0</v>
      </c>
      <c r="X50" s="267"/>
      <c r="Y50" s="267"/>
      <c r="Z50" s="267"/>
      <c r="AA50" s="267">
        <v>10</v>
      </c>
      <c r="AB50" s="224">
        <v>10</v>
      </c>
      <c r="AC50" s="267"/>
      <c r="AD50" s="267"/>
      <c r="AE50" s="267"/>
      <c r="AF50" s="267">
        <v>15</v>
      </c>
      <c r="AG50" s="224">
        <v>15</v>
      </c>
      <c r="AH50" s="267"/>
      <c r="AI50" s="267"/>
      <c r="AJ50" s="267"/>
      <c r="AK50" s="267">
        <v>15</v>
      </c>
      <c r="AL50" s="224">
        <v>15</v>
      </c>
      <c r="AM50" s="104">
        <v>40</v>
      </c>
      <c r="AN50" s="103" t="s">
        <v>685</v>
      </c>
      <c r="AO50" s="103" t="s">
        <v>612</v>
      </c>
      <c r="AP50" s="103" t="s">
        <v>1213</v>
      </c>
      <c r="AQ50" s="103" t="s">
        <v>1207</v>
      </c>
      <c r="AR50" s="103" t="s">
        <v>939</v>
      </c>
      <c r="AS50" s="271"/>
      <c r="AT50" s="271"/>
      <c r="AU50" s="271"/>
      <c r="AV50" s="271"/>
      <c r="AW50" s="271"/>
      <c r="AX50" s="271"/>
      <c r="AY50" s="271"/>
      <c r="AZ50" s="271"/>
      <c r="BA50" s="271"/>
      <c r="BB50" s="271"/>
      <c r="BC50" s="271"/>
      <c r="BD50" s="271"/>
      <c r="BE50" s="271"/>
      <c r="BF50" s="271"/>
      <c r="BG50" s="271"/>
      <c r="BH50" s="235">
        <v>0</v>
      </c>
      <c r="BI50" s="271"/>
      <c r="BJ50" s="271"/>
      <c r="BK50" s="271"/>
      <c r="BL50" s="271"/>
      <c r="BM50" s="271">
        <f>48706800-0.3584</f>
        <v>48706799.641599998</v>
      </c>
      <c r="BN50" s="271"/>
      <c r="BO50" s="271"/>
      <c r="BP50" s="271"/>
      <c r="BQ50" s="271"/>
      <c r="BR50" s="271">
        <f>144612000+0.005035400390625</f>
        <v>144612000.0050354</v>
      </c>
      <c r="BS50" s="271"/>
      <c r="BT50" s="271"/>
      <c r="BU50" s="271"/>
      <c r="BV50" s="271"/>
      <c r="BW50" s="271"/>
      <c r="BX50" s="235">
        <v>193318799.64663541</v>
      </c>
      <c r="BY50" s="271"/>
      <c r="BZ50" s="271"/>
      <c r="CA50" s="271"/>
      <c r="CB50" s="271"/>
      <c r="CC50" s="271">
        <v>50280030</v>
      </c>
      <c r="CD50" s="271"/>
      <c r="CE50" s="271"/>
      <c r="CF50" s="271"/>
      <c r="CG50" s="271"/>
      <c r="CH50" s="271">
        <f>148950360+0.0023193359375</f>
        <v>148950360.00231934</v>
      </c>
      <c r="CI50" s="271"/>
      <c r="CJ50" s="271"/>
      <c r="CK50" s="271"/>
      <c r="CL50" s="271"/>
      <c r="CM50" s="271">
        <v>2500000000</v>
      </c>
      <c r="CN50" s="235">
        <v>2699230390.0023193</v>
      </c>
      <c r="CO50" s="271"/>
      <c r="CP50" s="271"/>
      <c r="CQ50" s="271"/>
      <c r="CR50" s="271"/>
      <c r="CS50" s="271">
        <f>52356595+0.262</f>
        <v>52356595.262000002</v>
      </c>
      <c r="CT50" s="271"/>
      <c r="CU50" s="271"/>
      <c r="CV50" s="271"/>
      <c r="CW50" s="271"/>
      <c r="CX50" s="271">
        <f>153418871+-0.001922607421875</f>
        <v>153418870.99807739</v>
      </c>
      <c r="CY50" s="271"/>
      <c r="CZ50" s="271"/>
      <c r="DA50" s="271"/>
      <c r="DB50" s="271"/>
      <c r="DC50" s="271"/>
      <c r="DD50" s="235">
        <v>205775466.26007739</v>
      </c>
      <c r="DE50" s="244">
        <v>3098324655.9090323</v>
      </c>
    </row>
    <row r="51" spans="1:109" s="99" customFormat="1" ht="117" customHeight="1">
      <c r="A51" s="103" t="s">
        <v>1232</v>
      </c>
      <c r="B51" s="279" t="s">
        <v>9</v>
      </c>
      <c r="C51" s="103" t="s">
        <v>1696</v>
      </c>
      <c r="D51" s="279">
        <v>2</v>
      </c>
      <c r="E51" s="279" t="s">
        <v>27</v>
      </c>
      <c r="F51" s="280" t="s">
        <v>688</v>
      </c>
      <c r="G51" s="279" t="s">
        <v>3306</v>
      </c>
      <c r="H51" s="279">
        <v>5</v>
      </c>
      <c r="I51" s="279" t="s">
        <v>108</v>
      </c>
      <c r="J51" s="279" t="s">
        <v>677</v>
      </c>
      <c r="K51" s="279">
        <v>57.2</v>
      </c>
      <c r="L51" s="279" t="s">
        <v>714</v>
      </c>
      <c r="M51" s="279" t="s">
        <v>715</v>
      </c>
      <c r="N51" s="279" t="s">
        <v>716</v>
      </c>
      <c r="O51" s="279" t="s">
        <v>110</v>
      </c>
      <c r="P51" s="266">
        <v>47</v>
      </c>
      <c r="Q51" s="279" t="s">
        <v>3103</v>
      </c>
      <c r="R51" s="279" t="s">
        <v>719</v>
      </c>
      <c r="S51" s="279" t="s">
        <v>683</v>
      </c>
      <c r="T51" s="279">
        <v>0</v>
      </c>
      <c r="U51" s="267"/>
      <c r="V51" s="267"/>
      <c r="W51" s="224">
        <v>0</v>
      </c>
      <c r="X51" s="267"/>
      <c r="Y51" s="267"/>
      <c r="Z51" s="267"/>
      <c r="AA51" s="267"/>
      <c r="AB51" s="224">
        <v>0</v>
      </c>
      <c r="AC51" s="267"/>
      <c r="AD51" s="267">
        <v>1</v>
      </c>
      <c r="AE51" s="267"/>
      <c r="AF51" s="267"/>
      <c r="AG51" s="224">
        <v>1</v>
      </c>
      <c r="AH51" s="267"/>
      <c r="AI51" s="267"/>
      <c r="AJ51" s="267"/>
      <c r="AK51" s="267"/>
      <c r="AL51" s="224">
        <v>0</v>
      </c>
      <c r="AM51" s="104">
        <v>1</v>
      </c>
      <c r="AN51" s="103" t="s">
        <v>685</v>
      </c>
      <c r="AO51" s="103" t="s">
        <v>612</v>
      </c>
      <c r="AP51" s="103" t="s">
        <v>1213</v>
      </c>
      <c r="AQ51" s="103" t="s">
        <v>1207</v>
      </c>
      <c r="AR51" s="103" t="s">
        <v>939</v>
      </c>
      <c r="AS51" s="271"/>
      <c r="AT51" s="271"/>
      <c r="AU51" s="271"/>
      <c r="AV51" s="271"/>
      <c r="AW51" s="271"/>
      <c r="AX51" s="271"/>
      <c r="AY51" s="271"/>
      <c r="AZ51" s="271"/>
      <c r="BA51" s="271"/>
      <c r="BB51" s="271"/>
      <c r="BC51" s="271"/>
      <c r="BD51" s="271"/>
      <c r="BE51" s="271"/>
      <c r="BF51" s="271"/>
      <c r="BG51" s="271"/>
      <c r="BH51" s="235">
        <v>0</v>
      </c>
      <c r="BI51" s="271"/>
      <c r="BJ51" s="271"/>
      <c r="BK51" s="271"/>
      <c r="BL51" s="271"/>
      <c r="BM51" s="271"/>
      <c r="BN51" s="271"/>
      <c r="BO51" s="271"/>
      <c r="BP51" s="271"/>
      <c r="BQ51" s="271"/>
      <c r="BR51" s="271"/>
      <c r="BS51" s="271"/>
      <c r="BT51" s="271"/>
      <c r="BU51" s="271"/>
      <c r="BV51" s="271"/>
      <c r="BW51" s="271"/>
      <c r="BX51" s="235">
        <v>0</v>
      </c>
      <c r="BY51" s="271"/>
      <c r="BZ51" s="271"/>
      <c r="CA51" s="271"/>
      <c r="CB51" s="271"/>
      <c r="CC51" s="271">
        <f>50000000-0.4386</f>
        <v>49999999.561399996</v>
      </c>
      <c r="CD51" s="271"/>
      <c r="CE51" s="271"/>
      <c r="CF51" s="271"/>
      <c r="CG51" s="271"/>
      <c r="CH51" s="271"/>
      <c r="CI51" s="271"/>
      <c r="CJ51" s="271"/>
      <c r="CK51" s="271"/>
      <c r="CL51" s="271"/>
      <c r="CM51" s="271"/>
      <c r="CN51" s="235">
        <v>49999999.561399996</v>
      </c>
      <c r="CO51" s="271"/>
      <c r="CP51" s="271"/>
      <c r="CQ51" s="271"/>
      <c r="CR51" s="271"/>
      <c r="CS51" s="271"/>
      <c r="CT51" s="271"/>
      <c r="CU51" s="271"/>
      <c r="CV51" s="271"/>
      <c r="CW51" s="271"/>
      <c r="CX51" s="271"/>
      <c r="CY51" s="271"/>
      <c r="CZ51" s="271"/>
      <c r="DA51" s="271"/>
      <c r="DB51" s="271"/>
      <c r="DC51" s="271"/>
      <c r="DD51" s="235">
        <v>0</v>
      </c>
      <c r="DE51" s="244">
        <v>49999999.561399996</v>
      </c>
    </row>
    <row r="52" spans="1:109" s="99" customFormat="1" ht="117" customHeight="1">
      <c r="A52" s="103" t="s">
        <v>1232</v>
      </c>
      <c r="B52" s="279" t="s">
        <v>9</v>
      </c>
      <c r="C52" s="103" t="s">
        <v>1696</v>
      </c>
      <c r="D52" s="279">
        <v>2</v>
      </c>
      <c r="E52" s="279" t="s">
        <v>27</v>
      </c>
      <c r="F52" s="280" t="s">
        <v>688</v>
      </c>
      <c r="G52" s="279" t="s">
        <v>3306</v>
      </c>
      <c r="H52" s="279">
        <v>5</v>
      </c>
      <c r="I52" s="279" t="s">
        <v>108</v>
      </c>
      <c r="J52" s="279" t="s">
        <v>677</v>
      </c>
      <c r="K52" s="279">
        <v>57.2</v>
      </c>
      <c r="L52" s="279" t="s">
        <v>714</v>
      </c>
      <c r="M52" s="279" t="s">
        <v>715</v>
      </c>
      <c r="N52" s="279" t="s">
        <v>716</v>
      </c>
      <c r="O52" s="279" t="s">
        <v>110</v>
      </c>
      <c r="P52" s="266">
        <v>48</v>
      </c>
      <c r="Q52" s="279" t="s">
        <v>3303</v>
      </c>
      <c r="R52" s="279" t="s">
        <v>720</v>
      </c>
      <c r="S52" s="279" t="s">
        <v>683</v>
      </c>
      <c r="T52" s="279">
        <v>68</v>
      </c>
      <c r="U52" s="267"/>
      <c r="V52" s="267">
        <v>68</v>
      </c>
      <c r="W52" s="224">
        <v>68</v>
      </c>
      <c r="X52" s="267"/>
      <c r="Y52" s="267"/>
      <c r="Z52" s="267">
        <v>68</v>
      </c>
      <c r="AA52" s="267"/>
      <c r="AB52" s="224">
        <v>68</v>
      </c>
      <c r="AC52" s="267"/>
      <c r="AD52" s="267"/>
      <c r="AE52" s="267">
        <v>68</v>
      </c>
      <c r="AF52" s="267"/>
      <c r="AG52" s="224">
        <v>68</v>
      </c>
      <c r="AH52" s="267"/>
      <c r="AI52" s="267"/>
      <c r="AJ52" s="267">
        <v>68</v>
      </c>
      <c r="AK52" s="267"/>
      <c r="AL52" s="224">
        <v>68</v>
      </c>
      <c r="AM52" s="104">
        <v>68</v>
      </c>
      <c r="AN52" s="103" t="s">
        <v>686</v>
      </c>
      <c r="AO52" s="103" t="s">
        <v>612</v>
      </c>
      <c r="AP52" s="103" t="s">
        <v>1213</v>
      </c>
      <c r="AQ52" s="103" t="s">
        <v>1207</v>
      </c>
      <c r="AR52" s="103" t="s">
        <v>939</v>
      </c>
      <c r="AS52" s="271"/>
      <c r="AT52" s="271"/>
      <c r="AU52" s="271"/>
      <c r="AV52" s="271"/>
      <c r="AW52" s="271"/>
      <c r="AX52" s="271"/>
      <c r="AY52" s="271"/>
      <c r="AZ52" s="271"/>
      <c r="BA52" s="271"/>
      <c r="BB52" s="271">
        <v>2040000000</v>
      </c>
      <c r="BC52" s="271"/>
      <c r="BD52" s="271"/>
      <c r="BE52" s="271"/>
      <c r="BF52" s="271"/>
      <c r="BG52" s="271"/>
      <c r="BH52" s="235">
        <v>2040000000</v>
      </c>
      <c r="BI52" s="271"/>
      <c r="BJ52" s="271"/>
      <c r="BK52" s="271"/>
      <c r="BL52" s="271"/>
      <c r="BM52" s="271"/>
      <c r="BN52" s="271"/>
      <c r="BO52" s="271"/>
      <c r="BP52" s="271"/>
      <c r="BQ52" s="271"/>
      <c r="BR52" s="271">
        <v>2101200000</v>
      </c>
      <c r="BS52" s="271"/>
      <c r="BT52" s="271"/>
      <c r="BU52" s="271"/>
      <c r="BV52" s="271"/>
      <c r="BW52" s="271"/>
      <c r="BX52" s="235">
        <v>2101200000</v>
      </c>
      <c r="BY52" s="271"/>
      <c r="BZ52" s="271"/>
      <c r="CA52" s="271"/>
      <c r="CB52" s="271"/>
      <c r="CC52" s="271"/>
      <c r="CD52" s="271"/>
      <c r="CE52" s="271"/>
      <c r="CF52" s="271"/>
      <c r="CG52" s="271"/>
      <c r="CH52" s="271">
        <v>2164236000</v>
      </c>
      <c r="CI52" s="271"/>
      <c r="CJ52" s="271"/>
      <c r="CK52" s="271"/>
      <c r="CL52" s="271"/>
      <c r="CM52" s="271"/>
      <c r="CN52" s="235">
        <v>2164236000</v>
      </c>
      <c r="CO52" s="271"/>
      <c r="CP52" s="271"/>
      <c r="CQ52" s="271"/>
      <c r="CR52" s="271"/>
      <c r="CS52" s="271"/>
      <c r="CT52" s="271"/>
      <c r="CU52" s="271"/>
      <c r="CV52" s="271"/>
      <c r="CW52" s="271"/>
      <c r="CX52" s="271">
        <v>2229163080</v>
      </c>
      <c r="CY52" s="271"/>
      <c r="CZ52" s="271"/>
      <c r="DA52" s="271"/>
      <c r="DB52" s="271"/>
      <c r="DC52" s="271"/>
      <c r="DD52" s="235">
        <v>2229163080</v>
      </c>
      <c r="DE52" s="244">
        <v>8534599080</v>
      </c>
    </row>
    <row r="53" spans="1:109" s="99" customFormat="1" ht="117" customHeight="1">
      <c r="A53" s="103" t="s">
        <v>1232</v>
      </c>
      <c r="B53" s="279" t="s">
        <v>9</v>
      </c>
      <c r="C53" s="103" t="s">
        <v>1696</v>
      </c>
      <c r="D53" s="279">
        <v>2</v>
      </c>
      <c r="E53" s="279" t="s">
        <v>27</v>
      </c>
      <c r="F53" s="280" t="s">
        <v>688</v>
      </c>
      <c r="G53" s="279" t="s">
        <v>3306</v>
      </c>
      <c r="H53" s="279">
        <v>5</v>
      </c>
      <c r="I53" s="279" t="s">
        <v>108</v>
      </c>
      <c r="J53" s="279" t="s">
        <v>677</v>
      </c>
      <c r="K53" s="279">
        <v>57.2</v>
      </c>
      <c r="L53" s="279" t="s">
        <v>714</v>
      </c>
      <c r="M53" s="279" t="s">
        <v>715</v>
      </c>
      <c r="N53" s="279" t="s">
        <v>716</v>
      </c>
      <c r="O53" s="279" t="s">
        <v>110</v>
      </c>
      <c r="P53" s="266">
        <v>49</v>
      </c>
      <c r="Q53" s="279" t="s">
        <v>3304</v>
      </c>
      <c r="R53" s="279" t="s">
        <v>720</v>
      </c>
      <c r="S53" s="279" t="s">
        <v>683</v>
      </c>
      <c r="T53" s="279">
        <v>68</v>
      </c>
      <c r="U53" s="267"/>
      <c r="V53" s="267"/>
      <c r="W53" s="224">
        <v>0</v>
      </c>
      <c r="X53" s="267"/>
      <c r="Y53" s="267"/>
      <c r="Z53" s="267">
        <v>19</v>
      </c>
      <c r="AA53" s="267"/>
      <c r="AB53" s="224">
        <v>19</v>
      </c>
      <c r="AC53" s="267"/>
      <c r="AD53" s="267"/>
      <c r="AE53" s="267">
        <v>20</v>
      </c>
      <c r="AF53" s="267"/>
      <c r="AG53" s="224">
        <v>20</v>
      </c>
      <c r="AH53" s="267"/>
      <c r="AI53" s="267"/>
      <c r="AJ53" s="267">
        <v>20</v>
      </c>
      <c r="AK53" s="267"/>
      <c r="AL53" s="224">
        <v>20</v>
      </c>
      <c r="AM53" s="104">
        <v>59</v>
      </c>
      <c r="AN53" s="103" t="s">
        <v>685</v>
      </c>
      <c r="AO53" s="103" t="s">
        <v>612</v>
      </c>
      <c r="AP53" s="103" t="s">
        <v>1213</v>
      </c>
      <c r="AQ53" s="103" t="s">
        <v>1207</v>
      </c>
      <c r="AR53" s="103" t="s">
        <v>939</v>
      </c>
      <c r="AS53" s="271"/>
      <c r="AT53" s="271"/>
      <c r="AU53" s="271"/>
      <c r="AV53" s="271"/>
      <c r="AW53" s="271"/>
      <c r="AX53" s="271"/>
      <c r="AY53" s="271"/>
      <c r="AZ53" s="271"/>
      <c r="BA53" s="271"/>
      <c r="BB53" s="271"/>
      <c r="BC53" s="271"/>
      <c r="BD53" s="271"/>
      <c r="BE53" s="271"/>
      <c r="BF53" s="271"/>
      <c r="BG53" s="271"/>
      <c r="BH53" s="235">
        <v>0</v>
      </c>
      <c r="BI53" s="271"/>
      <c r="BJ53" s="271"/>
      <c r="BK53" s="271"/>
      <c r="BL53" s="271"/>
      <c r="BM53" s="271"/>
      <c r="BN53" s="271"/>
      <c r="BO53" s="271"/>
      <c r="BP53" s="271"/>
      <c r="BQ53" s="271"/>
      <c r="BR53" s="271">
        <v>70000000</v>
      </c>
      <c r="BS53" s="271"/>
      <c r="BT53" s="271"/>
      <c r="BU53" s="271"/>
      <c r="BV53" s="271"/>
      <c r="BW53" s="271"/>
      <c r="BX53" s="235">
        <v>70000000</v>
      </c>
      <c r="BY53" s="271"/>
      <c r="BZ53" s="271"/>
      <c r="CA53" s="271"/>
      <c r="CB53" s="271"/>
      <c r="CC53" s="271"/>
      <c r="CD53" s="271"/>
      <c r="CE53" s="271"/>
      <c r="CF53" s="271"/>
      <c r="CG53" s="271"/>
      <c r="CH53" s="271">
        <v>72100000</v>
      </c>
      <c r="CI53" s="271"/>
      <c r="CJ53" s="271"/>
      <c r="CK53" s="271"/>
      <c r="CL53" s="271"/>
      <c r="CM53" s="271"/>
      <c r="CN53" s="235">
        <v>72100000</v>
      </c>
      <c r="CO53" s="271"/>
      <c r="CP53" s="271"/>
      <c r="CQ53" s="271"/>
      <c r="CR53" s="271"/>
      <c r="CS53" s="271"/>
      <c r="CT53" s="271"/>
      <c r="CU53" s="271"/>
      <c r="CV53" s="271"/>
      <c r="CW53" s="271"/>
      <c r="CX53" s="271">
        <v>74263000</v>
      </c>
      <c r="CY53" s="271"/>
      <c r="CZ53" s="271"/>
      <c r="DA53" s="271"/>
      <c r="DB53" s="271"/>
      <c r="DC53" s="271"/>
      <c r="DD53" s="235">
        <v>74263000</v>
      </c>
      <c r="DE53" s="244">
        <v>216363000</v>
      </c>
    </row>
    <row r="54" spans="1:109" s="99" customFormat="1" ht="117" customHeight="1">
      <c r="A54" s="120" t="s">
        <v>1232</v>
      </c>
      <c r="B54" s="281" t="s">
        <v>9</v>
      </c>
      <c r="C54" s="120" t="s">
        <v>1696</v>
      </c>
      <c r="D54" s="281">
        <v>2</v>
      </c>
      <c r="E54" s="281" t="s">
        <v>27</v>
      </c>
      <c r="F54" s="282" t="s">
        <v>688</v>
      </c>
      <c r="G54" s="281" t="s">
        <v>3306</v>
      </c>
      <c r="H54" s="281">
        <v>5</v>
      </c>
      <c r="I54" s="281" t="s">
        <v>108</v>
      </c>
      <c r="J54" s="281" t="s">
        <v>13</v>
      </c>
      <c r="K54" s="281">
        <v>57.2</v>
      </c>
      <c r="L54" s="281" t="s">
        <v>714</v>
      </c>
      <c r="M54" s="281" t="s">
        <v>715</v>
      </c>
      <c r="N54" s="281" t="s">
        <v>716</v>
      </c>
      <c r="O54" s="281" t="s">
        <v>110</v>
      </c>
      <c r="P54" s="266">
        <v>50</v>
      </c>
      <c r="Q54" s="281" t="s">
        <v>3305</v>
      </c>
      <c r="R54" s="281" t="s">
        <v>721</v>
      </c>
      <c r="S54" s="281" t="s">
        <v>683</v>
      </c>
      <c r="T54" s="281">
        <v>8</v>
      </c>
      <c r="U54" s="275"/>
      <c r="V54" s="275">
        <v>8</v>
      </c>
      <c r="W54" s="225">
        <v>8</v>
      </c>
      <c r="X54" s="275"/>
      <c r="Y54" s="275"/>
      <c r="Z54" s="275"/>
      <c r="AA54" s="275">
        <v>8</v>
      </c>
      <c r="AB54" s="225">
        <v>8</v>
      </c>
      <c r="AC54" s="275"/>
      <c r="AD54" s="275"/>
      <c r="AE54" s="275"/>
      <c r="AF54" s="275">
        <v>8</v>
      </c>
      <c r="AG54" s="225">
        <v>8</v>
      </c>
      <c r="AH54" s="275"/>
      <c r="AI54" s="275"/>
      <c r="AJ54" s="275"/>
      <c r="AK54" s="275">
        <v>8</v>
      </c>
      <c r="AL54" s="225">
        <v>8</v>
      </c>
      <c r="AM54" s="119">
        <v>8</v>
      </c>
      <c r="AN54" s="120" t="s">
        <v>686</v>
      </c>
      <c r="AO54" s="120" t="s">
        <v>612</v>
      </c>
      <c r="AP54" s="120" t="s">
        <v>1213</v>
      </c>
      <c r="AQ54" s="120" t="s">
        <v>1207</v>
      </c>
      <c r="AR54" s="120" t="s">
        <v>939</v>
      </c>
      <c r="AS54" s="276"/>
      <c r="AT54" s="276"/>
      <c r="AU54" s="276"/>
      <c r="AV54" s="276"/>
      <c r="AW54" s="276"/>
      <c r="AX54" s="276"/>
      <c r="AY54" s="276"/>
      <c r="AZ54" s="276"/>
      <c r="BA54" s="276"/>
      <c r="BB54" s="276">
        <v>20000000.199999999</v>
      </c>
      <c r="BC54" s="276"/>
      <c r="BD54" s="276"/>
      <c r="BE54" s="276"/>
      <c r="BF54" s="276"/>
      <c r="BG54" s="276"/>
      <c r="BH54" s="236">
        <v>20000000.199999999</v>
      </c>
      <c r="BI54" s="276"/>
      <c r="BJ54" s="276"/>
      <c r="BK54" s="276"/>
      <c r="BL54" s="276"/>
      <c r="BM54" s="276"/>
      <c r="BN54" s="276"/>
      <c r="BO54" s="276"/>
      <c r="BP54" s="276"/>
      <c r="BQ54" s="276"/>
      <c r="BR54" s="276">
        <f>20000000-0.129</f>
        <v>19999999.870999999</v>
      </c>
      <c r="BS54" s="276"/>
      <c r="BT54" s="276"/>
      <c r="BU54" s="276"/>
      <c r="BV54" s="276"/>
      <c r="BW54" s="276"/>
      <c r="BX54" s="236">
        <v>19999999.870999999</v>
      </c>
      <c r="BY54" s="276"/>
      <c r="BZ54" s="276"/>
      <c r="CA54" s="276"/>
      <c r="CB54" s="276"/>
      <c r="CC54" s="276"/>
      <c r="CD54" s="276"/>
      <c r="CE54" s="276"/>
      <c r="CF54" s="276"/>
      <c r="CG54" s="276"/>
      <c r="CH54" s="276">
        <f>20000000-0.31</f>
        <v>19999999.690000001</v>
      </c>
      <c r="CI54" s="276"/>
      <c r="CJ54" s="276"/>
      <c r="CK54" s="276"/>
      <c r="CL54" s="276"/>
      <c r="CM54" s="276"/>
      <c r="CN54" s="236">
        <v>19999999.690000001</v>
      </c>
      <c r="CO54" s="276"/>
      <c r="CP54" s="276"/>
      <c r="CQ54" s="276"/>
      <c r="CR54" s="276"/>
      <c r="CS54" s="276"/>
      <c r="CT54" s="276"/>
      <c r="CU54" s="276"/>
      <c r="CV54" s="276"/>
      <c r="CW54" s="276"/>
      <c r="CX54" s="276">
        <f>20000000-0.045</f>
        <v>19999999.954999998</v>
      </c>
      <c r="CY54" s="276"/>
      <c r="CZ54" s="276"/>
      <c r="DA54" s="276"/>
      <c r="DB54" s="276"/>
      <c r="DC54" s="276"/>
      <c r="DD54" s="236">
        <v>19999999.954999998</v>
      </c>
      <c r="DE54" s="245">
        <v>79999999.715999991</v>
      </c>
    </row>
    <row r="55" spans="1:109" s="46" customFormat="1" ht="65.099999999999994" customHeight="1">
      <c r="A55" s="134" t="s">
        <v>1232</v>
      </c>
      <c r="B55" s="134" t="s">
        <v>9</v>
      </c>
      <c r="C55" s="134" t="s">
        <v>1696</v>
      </c>
      <c r="D55" s="134">
        <v>2</v>
      </c>
      <c r="E55" s="134" t="s">
        <v>27</v>
      </c>
      <c r="F55" s="135"/>
      <c r="G55" s="136"/>
      <c r="H55" s="137"/>
      <c r="I55" s="137"/>
      <c r="J55" s="137"/>
      <c r="K55" s="138"/>
      <c r="L55" s="137"/>
      <c r="M55" s="137"/>
      <c r="N55" s="137"/>
      <c r="O55" s="137"/>
      <c r="P55" s="137"/>
      <c r="Q55" s="136"/>
      <c r="R55" s="139"/>
      <c r="S55" s="137"/>
      <c r="T55" s="137"/>
      <c r="U55" s="140"/>
      <c r="V55" s="140"/>
      <c r="W55" s="138"/>
      <c r="X55" s="140"/>
      <c r="Y55" s="140"/>
      <c r="Z55" s="140"/>
      <c r="AA55" s="140"/>
      <c r="AB55" s="138"/>
      <c r="AC55" s="140"/>
      <c r="AD55" s="140"/>
      <c r="AE55" s="140"/>
      <c r="AF55" s="140"/>
      <c r="AG55" s="138"/>
      <c r="AH55" s="140"/>
      <c r="AI55" s="140"/>
      <c r="AJ55" s="140"/>
      <c r="AK55" s="140"/>
      <c r="AL55" s="138"/>
      <c r="AM55" s="141"/>
      <c r="AN55" s="142"/>
      <c r="AO55" s="142"/>
      <c r="AP55" s="143"/>
      <c r="AQ55" s="143"/>
      <c r="AR55" s="144"/>
      <c r="AS55" s="132">
        <v>0</v>
      </c>
      <c r="AT55" s="132">
        <v>0</v>
      </c>
      <c r="AU55" s="132">
        <v>0</v>
      </c>
      <c r="AV55" s="132">
        <v>0</v>
      </c>
      <c r="AW55" s="132">
        <v>36213346031.708199</v>
      </c>
      <c r="AX55" s="132">
        <v>0</v>
      </c>
      <c r="AY55" s="132">
        <v>0</v>
      </c>
      <c r="AZ55" s="132">
        <v>0</v>
      </c>
      <c r="BA55" s="132">
        <v>0</v>
      </c>
      <c r="BB55" s="132">
        <v>235183588064.20001</v>
      </c>
      <c r="BC55" s="132">
        <v>0</v>
      </c>
      <c r="BD55" s="132">
        <v>0</v>
      </c>
      <c r="BE55" s="132">
        <v>0</v>
      </c>
      <c r="BF55" s="132">
        <v>0</v>
      </c>
      <c r="BG55" s="132">
        <v>41463224373.970001</v>
      </c>
      <c r="BH55" s="132">
        <v>312860158469.87823</v>
      </c>
      <c r="BI55" s="132">
        <v>0</v>
      </c>
      <c r="BJ55" s="132">
        <v>0</v>
      </c>
      <c r="BK55" s="132">
        <v>0</v>
      </c>
      <c r="BL55" s="132">
        <v>0</v>
      </c>
      <c r="BM55" s="132">
        <v>38649449011.521599</v>
      </c>
      <c r="BN55" s="132">
        <v>0</v>
      </c>
      <c r="BO55" s="132">
        <v>0</v>
      </c>
      <c r="BP55" s="132">
        <v>0</v>
      </c>
      <c r="BQ55" s="132">
        <v>0</v>
      </c>
      <c r="BR55" s="132">
        <v>242239095706.12604</v>
      </c>
      <c r="BS55" s="132">
        <v>0</v>
      </c>
      <c r="BT55" s="132">
        <v>0</v>
      </c>
      <c r="BU55" s="132">
        <v>0</v>
      </c>
      <c r="BV55" s="132">
        <v>0</v>
      </c>
      <c r="BW55" s="132">
        <v>36611500000</v>
      </c>
      <c r="BX55" s="132">
        <v>317500044717.64764</v>
      </c>
      <c r="BY55" s="132">
        <v>0</v>
      </c>
      <c r="BZ55" s="132">
        <v>0</v>
      </c>
      <c r="CA55" s="132">
        <v>0</v>
      </c>
      <c r="CB55" s="132">
        <v>0</v>
      </c>
      <c r="CC55" s="132">
        <v>39872949753.111443</v>
      </c>
      <c r="CD55" s="132">
        <v>0</v>
      </c>
      <c r="CE55" s="132">
        <v>0</v>
      </c>
      <c r="CF55" s="132">
        <v>0</v>
      </c>
      <c r="CG55" s="132">
        <v>0</v>
      </c>
      <c r="CH55" s="132">
        <v>249506268577.30981</v>
      </c>
      <c r="CI55" s="132">
        <v>0</v>
      </c>
      <c r="CJ55" s="132">
        <v>0</v>
      </c>
      <c r="CK55" s="132">
        <v>0</v>
      </c>
      <c r="CL55" s="132">
        <v>0</v>
      </c>
      <c r="CM55" s="132">
        <v>41195445000</v>
      </c>
      <c r="CN55" s="132">
        <v>330574663330.4212</v>
      </c>
      <c r="CO55" s="132">
        <v>0</v>
      </c>
      <c r="CP55" s="132">
        <v>0</v>
      </c>
      <c r="CQ55" s="132">
        <v>0</v>
      </c>
      <c r="CR55" s="132">
        <v>0</v>
      </c>
      <c r="CS55" s="132">
        <v>41496772316.37204</v>
      </c>
      <c r="CT55" s="132">
        <v>0</v>
      </c>
      <c r="CU55" s="132">
        <v>0</v>
      </c>
      <c r="CV55" s="132">
        <v>0</v>
      </c>
      <c r="CW55" s="132">
        <v>0</v>
      </c>
      <c r="CX55" s="132">
        <v>256991456634.62909</v>
      </c>
      <c r="CY55" s="132">
        <v>0</v>
      </c>
      <c r="CZ55" s="132">
        <v>0</v>
      </c>
      <c r="DA55" s="132">
        <v>0</v>
      </c>
      <c r="DB55" s="132">
        <v>0</v>
      </c>
      <c r="DC55" s="132">
        <v>38832808350</v>
      </c>
      <c r="DD55" s="132">
        <v>337321037301.00116</v>
      </c>
      <c r="DE55" s="133">
        <v>1298255903818.9482</v>
      </c>
    </row>
    <row r="56" spans="1:109" s="99" customFormat="1" ht="112.05" customHeight="1">
      <c r="A56" s="103" t="s">
        <v>1232</v>
      </c>
      <c r="B56" s="103" t="s">
        <v>9</v>
      </c>
      <c r="C56" s="103" t="s">
        <v>1696</v>
      </c>
      <c r="D56" s="103">
        <v>3</v>
      </c>
      <c r="E56" s="103" t="s">
        <v>120</v>
      </c>
      <c r="F56" s="278" t="s">
        <v>121</v>
      </c>
      <c r="G56" s="103" t="s">
        <v>3307</v>
      </c>
      <c r="H56" s="103">
        <v>6</v>
      </c>
      <c r="I56" s="103" t="s">
        <v>723</v>
      </c>
      <c r="J56" s="103" t="s">
        <v>677</v>
      </c>
      <c r="K56" s="103">
        <v>78</v>
      </c>
      <c r="L56" s="103" t="s">
        <v>724</v>
      </c>
      <c r="M56" s="103" t="s">
        <v>725</v>
      </c>
      <c r="N56" s="103" t="s">
        <v>726</v>
      </c>
      <c r="O56" s="103" t="s">
        <v>122</v>
      </c>
      <c r="P56" s="266">
        <v>51</v>
      </c>
      <c r="Q56" s="103" t="s">
        <v>3104</v>
      </c>
      <c r="R56" s="103" t="s">
        <v>123</v>
      </c>
      <c r="S56" s="103" t="s">
        <v>683</v>
      </c>
      <c r="T56" s="103">
        <v>0</v>
      </c>
      <c r="U56" s="267"/>
      <c r="V56" s="267"/>
      <c r="W56" s="224">
        <v>0</v>
      </c>
      <c r="X56" s="267"/>
      <c r="Y56" s="267"/>
      <c r="Z56" s="267"/>
      <c r="AA56" s="267">
        <v>39</v>
      </c>
      <c r="AB56" s="224">
        <v>39</v>
      </c>
      <c r="AC56" s="267"/>
      <c r="AD56" s="267"/>
      <c r="AE56" s="267"/>
      <c r="AF56" s="267"/>
      <c r="AG56" s="224">
        <v>0</v>
      </c>
      <c r="AH56" s="267"/>
      <c r="AI56" s="267"/>
      <c r="AJ56" s="267"/>
      <c r="AK56" s="267"/>
      <c r="AL56" s="224">
        <v>0</v>
      </c>
      <c r="AM56" s="102">
        <v>39</v>
      </c>
      <c r="AN56" s="103" t="s">
        <v>685</v>
      </c>
      <c r="AO56" s="103" t="s">
        <v>612</v>
      </c>
      <c r="AP56" s="103" t="s">
        <v>1213</v>
      </c>
      <c r="AQ56" s="103" t="s">
        <v>1207</v>
      </c>
      <c r="AR56" s="103" t="s">
        <v>939</v>
      </c>
      <c r="AS56" s="268"/>
      <c r="AT56" s="268"/>
      <c r="AU56" s="268"/>
      <c r="AV56" s="268"/>
      <c r="AW56" s="268"/>
      <c r="AX56" s="268"/>
      <c r="AY56" s="268"/>
      <c r="AZ56" s="268"/>
      <c r="BA56" s="268"/>
      <c r="BB56" s="268"/>
      <c r="BC56" s="268"/>
      <c r="BD56" s="268"/>
      <c r="BE56" s="268"/>
      <c r="BF56" s="268"/>
      <c r="BG56" s="268"/>
      <c r="BH56" s="234">
        <v>0</v>
      </c>
      <c r="BI56" s="268"/>
      <c r="BJ56" s="268"/>
      <c r="BK56" s="268"/>
      <c r="BL56" s="268"/>
      <c r="BM56" s="268">
        <v>130000000</v>
      </c>
      <c r="BN56" s="268"/>
      <c r="BO56" s="268"/>
      <c r="BP56" s="268"/>
      <c r="BQ56" s="268"/>
      <c r="BR56" s="268">
        <v>100000000</v>
      </c>
      <c r="BS56" s="268"/>
      <c r="BT56" s="268"/>
      <c r="BU56" s="268"/>
      <c r="BV56" s="268"/>
      <c r="BW56" s="268"/>
      <c r="BX56" s="234">
        <v>230000000</v>
      </c>
      <c r="BY56" s="268"/>
      <c r="BZ56" s="268"/>
      <c r="CA56" s="268"/>
      <c r="CB56" s="268"/>
      <c r="CC56" s="268"/>
      <c r="CD56" s="268"/>
      <c r="CE56" s="268"/>
      <c r="CF56" s="268"/>
      <c r="CG56" s="268"/>
      <c r="CH56" s="268"/>
      <c r="CI56" s="268"/>
      <c r="CJ56" s="268"/>
      <c r="CK56" s="268"/>
      <c r="CL56" s="268"/>
      <c r="CM56" s="268"/>
      <c r="CN56" s="234">
        <v>0</v>
      </c>
      <c r="CO56" s="268"/>
      <c r="CP56" s="268"/>
      <c r="CQ56" s="268"/>
      <c r="CR56" s="268"/>
      <c r="CS56" s="268"/>
      <c r="CT56" s="268"/>
      <c r="CU56" s="268"/>
      <c r="CV56" s="268"/>
      <c r="CW56" s="268"/>
      <c r="CX56" s="268"/>
      <c r="CY56" s="268"/>
      <c r="CZ56" s="268"/>
      <c r="DA56" s="268"/>
      <c r="DB56" s="268"/>
      <c r="DC56" s="268"/>
      <c r="DD56" s="234">
        <v>0</v>
      </c>
      <c r="DE56" s="243">
        <v>230000000</v>
      </c>
    </row>
    <row r="57" spans="1:109" s="99" customFormat="1" ht="112.05" customHeight="1">
      <c r="A57" s="103" t="s">
        <v>1232</v>
      </c>
      <c r="B57" s="279" t="s">
        <v>9</v>
      </c>
      <c r="C57" s="103" t="s">
        <v>1696</v>
      </c>
      <c r="D57" s="279">
        <v>3</v>
      </c>
      <c r="E57" s="279" t="s">
        <v>120</v>
      </c>
      <c r="F57" s="280" t="s">
        <v>121</v>
      </c>
      <c r="G57" s="279" t="s">
        <v>3307</v>
      </c>
      <c r="H57" s="279">
        <v>6</v>
      </c>
      <c r="I57" s="279" t="s">
        <v>723</v>
      </c>
      <c r="J57" s="279" t="s">
        <v>677</v>
      </c>
      <c r="K57" s="279">
        <v>78</v>
      </c>
      <c r="L57" s="279" t="s">
        <v>724</v>
      </c>
      <c r="M57" s="279" t="s">
        <v>725</v>
      </c>
      <c r="N57" s="279" t="s">
        <v>726</v>
      </c>
      <c r="O57" s="279" t="s">
        <v>122</v>
      </c>
      <c r="P57" s="266">
        <v>52</v>
      </c>
      <c r="Q57" s="279" t="s">
        <v>3308</v>
      </c>
      <c r="R57" s="279" t="s">
        <v>126</v>
      </c>
      <c r="S57" s="279" t="s">
        <v>683</v>
      </c>
      <c r="T57" s="279">
        <v>0</v>
      </c>
      <c r="U57" s="267"/>
      <c r="V57" s="267"/>
      <c r="W57" s="224">
        <v>0</v>
      </c>
      <c r="X57" s="267"/>
      <c r="Y57" s="267"/>
      <c r="Z57" s="267"/>
      <c r="AA57" s="267">
        <v>30</v>
      </c>
      <c r="AB57" s="224">
        <v>30</v>
      </c>
      <c r="AC57" s="267"/>
      <c r="AD57" s="267"/>
      <c r="AE57" s="267"/>
      <c r="AF57" s="267">
        <v>50</v>
      </c>
      <c r="AG57" s="224">
        <v>50</v>
      </c>
      <c r="AH57" s="267"/>
      <c r="AI57" s="267"/>
      <c r="AJ57" s="267"/>
      <c r="AK57" s="267">
        <v>50</v>
      </c>
      <c r="AL57" s="224">
        <v>50</v>
      </c>
      <c r="AM57" s="104">
        <v>130</v>
      </c>
      <c r="AN57" s="103" t="s">
        <v>685</v>
      </c>
      <c r="AO57" s="103" t="s">
        <v>612</v>
      </c>
      <c r="AP57" s="103" t="s">
        <v>1213</v>
      </c>
      <c r="AQ57" s="103" t="s">
        <v>1207</v>
      </c>
      <c r="AR57" s="103" t="s">
        <v>939</v>
      </c>
      <c r="AS57" s="271"/>
      <c r="AT57" s="271"/>
      <c r="AU57" s="271"/>
      <c r="AV57" s="271"/>
      <c r="AW57" s="271"/>
      <c r="AX57" s="271"/>
      <c r="AY57" s="271"/>
      <c r="AZ57" s="271"/>
      <c r="BA57" s="271"/>
      <c r="BB57" s="271"/>
      <c r="BC57" s="271"/>
      <c r="BD57" s="271"/>
      <c r="BE57" s="271"/>
      <c r="BF57" s="271"/>
      <c r="BG57" s="271"/>
      <c r="BH57" s="235">
        <v>0</v>
      </c>
      <c r="BI57" s="271"/>
      <c r="BJ57" s="271"/>
      <c r="BK57" s="271"/>
      <c r="BL57" s="271"/>
      <c r="BM57" s="271">
        <v>30000000</v>
      </c>
      <c r="BN57" s="271"/>
      <c r="BO57" s="271"/>
      <c r="BP57" s="271"/>
      <c r="BQ57" s="271"/>
      <c r="BR57" s="271"/>
      <c r="BS57" s="271"/>
      <c r="BT57" s="271"/>
      <c r="BU57" s="271"/>
      <c r="BV57" s="271"/>
      <c r="BW57" s="271"/>
      <c r="BX57" s="235">
        <v>30000000</v>
      </c>
      <c r="BY57" s="271"/>
      <c r="BZ57" s="271"/>
      <c r="CA57" s="271"/>
      <c r="CB57" s="271"/>
      <c r="CC57" s="271">
        <v>50000000</v>
      </c>
      <c r="CD57" s="271"/>
      <c r="CE57" s="271"/>
      <c r="CF57" s="271"/>
      <c r="CG57" s="271"/>
      <c r="CH57" s="271"/>
      <c r="CI57" s="271"/>
      <c r="CJ57" s="271"/>
      <c r="CK57" s="271"/>
      <c r="CL57" s="271"/>
      <c r="CM57" s="271"/>
      <c r="CN57" s="235">
        <v>50000000</v>
      </c>
      <c r="CO57" s="271"/>
      <c r="CP57" s="271"/>
      <c r="CQ57" s="271"/>
      <c r="CR57" s="271"/>
      <c r="CS57" s="271">
        <f>50000000+482463778.1675</f>
        <v>532463778.16750002</v>
      </c>
      <c r="CT57" s="271"/>
      <c r="CU57" s="271"/>
      <c r="CV57" s="271"/>
      <c r="CW57" s="271"/>
      <c r="CX57" s="271">
        <v>30834422683.515999</v>
      </c>
      <c r="CY57" s="271"/>
      <c r="CZ57" s="271"/>
      <c r="DA57" s="271"/>
      <c r="DB57" s="271"/>
      <c r="DC57" s="271"/>
      <c r="DD57" s="235">
        <v>31366886461.683498</v>
      </c>
      <c r="DE57" s="244">
        <v>31446886461.683498</v>
      </c>
    </row>
    <row r="58" spans="1:109" s="99" customFormat="1" ht="112.05" customHeight="1">
      <c r="A58" s="103" t="s">
        <v>1232</v>
      </c>
      <c r="B58" s="279" t="s">
        <v>9</v>
      </c>
      <c r="C58" s="103" t="s">
        <v>1696</v>
      </c>
      <c r="D58" s="279">
        <v>3</v>
      </c>
      <c r="E58" s="279" t="s">
        <v>120</v>
      </c>
      <c r="F58" s="280" t="s">
        <v>121</v>
      </c>
      <c r="G58" s="279" t="s">
        <v>3307</v>
      </c>
      <c r="H58" s="279">
        <v>6</v>
      </c>
      <c r="I58" s="279" t="s">
        <v>723</v>
      </c>
      <c r="J58" s="279" t="s">
        <v>677</v>
      </c>
      <c r="K58" s="279">
        <v>78</v>
      </c>
      <c r="L58" s="279" t="s">
        <v>724</v>
      </c>
      <c r="M58" s="279" t="s">
        <v>725</v>
      </c>
      <c r="N58" s="279" t="s">
        <v>726</v>
      </c>
      <c r="O58" s="279" t="s">
        <v>122</v>
      </c>
      <c r="P58" s="266">
        <v>53</v>
      </c>
      <c r="Q58" s="279" t="s">
        <v>3309</v>
      </c>
      <c r="R58" s="279" t="s">
        <v>727</v>
      </c>
      <c r="S58" s="279" t="s">
        <v>683</v>
      </c>
      <c r="T58" s="279">
        <v>0</v>
      </c>
      <c r="U58" s="267"/>
      <c r="V58" s="267">
        <v>4</v>
      </c>
      <c r="W58" s="224">
        <v>4</v>
      </c>
      <c r="X58" s="267"/>
      <c r="Y58" s="267"/>
      <c r="Z58" s="267"/>
      <c r="AA58" s="267">
        <v>12</v>
      </c>
      <c r="AB58" s="224">
        <v>12</v>
      </c>
      <c r="AC58" s="267"/>
      <c r="AD58" s="267"/>
      <c r="AE58" s="267"/>
      <c r="AF58" s="267">
        <v>12</v>
      </c>
      <c r="AG58" s="224">
        <v>12</v>
      </c>
      <c r="AH58" s="267"/>
      <c r="AI58" s="267"/>
      <c r="AJ58" s="267"/>
      <c r="AK58" s="267">
        <v>11</v>
      </c>
      <c r="AL58" s="224">
        <v>11</v>
      </c>
      <c r="AM58" s="104">
        <v>39</v>
      </c>
      <c r="AN58" s="103" t="s">
        <v>685</v>
      </c>
      <c r="AO58" s="103" t="s">
        <v>612</v>
      </c>
      <c r="AP58" s="103" t="s">
        <v>1213</v>
      </c>
      <c r="AQ58" s="103" t="s">
        <v>1207</v>
      </c>
      <c r="AR58" s="103" t="s">
        <v>939</v>
      </c>
      <c r="AS58" s="271"/>
      <c r="AT58" s="271"/>
      <c r="AU58" s="271"/>
      <c r="AV58" s="271"/>
      <c r="AW58" s="271">
        <v>30000000</v>
      </c>
      <c r="AX58" s="271"/>
      <c r="AY58" s="271"/>
      <c r="AZ58" s="271"/>
      <c r="BA58" s="271"/>
      <c r="BB58" s="271">
        <v>100000000</v>
      </c>
      <c r="BC58" s="271"/>
      <c r="BD58" s="271"/>
      <c r="BE58" s="271"/>
      <c r="BF58" s="271"/>
      <c r="BG58" s="271"/>
      <c r="BH58" s="235">
        <v>130000000</v>
      </c>
      <c r="BI58" s="271"/>
      <c r="BJ58" s="271"/>
      <c r="BK58" s="271"/>
      <c r="BL58" s="271"/>
      <c r="BM58" s="271">
        <v>138706800</v>
      </c>
      <c r="BN58" s="271"/>
      <c r="BO58" s="271"/>
      <c r="BP58" s="271"/>
      <c r="BQ58" s="271"/>
      <c r="BR58" s="271">
        <v>873697500</v>
      </c>
      <c r="BS58" s="271"/>
      <c r="BT58" s="271"/>
      <c r="BU58" s="271"/>
      <c r="BV58" s="271"/>
      <c r="BW58" s="271"/>
      <c r="BX58" s="235">
        <v>1012404300</v>
      </c>
      <c r="BY58" s="271"/>
      <c r="BZ58" s="271"/>
      <c r="CA58" s="271"/>
      <c r="CB58" s="271"/>
      <c r="CC58" s="271">
        <v>142868004</v>
      </c>
      <c r="CD58" s="271"/>
      <c r="CE58" s="271"/>
      <c r="CF58" s="271"/>
      <c r="CG58" s="271"/>
      <c r="CH58" s="271">
        <v>899908425</v>
      </c>
      <c r="CI58" s="271"/>
      <c r="CJ58" s="271"/>
      <c r="CK58" s="271"/>
      <c r="CL58" s="271"/>
      <c r="CM58" s="271"/>
      <c r="CN58" s="235">
        <v>1042776429</v>
      </c>
      <c r="CO58" s="271"/>
      <c r="CP58" s="271"/>
      <c r="CQ58" s="271"/>
      <c r="CR58" s="271"/>
      <c r="CS58" s="271">
        <f>((142868004*1.03/16)*11)+482463778.1675</f>
        <v>583632183.5</v>
      </c>
      <c r="CT58" s="271"/>
      <c r="CU58" s="271"/>
      <c r="CV58" s="271"/>
      <c r="CW58" s="271"/>
      <c r="CX58" s="271">
        <f>(((899908425*1.03)/16)*11)+30834422683.516</f>
        <v>31471670336.969124</v>
      </c>
      <c r="CY58" s="271"/>
      <c r="CZ58" s="271"/>
      <c r="DA58" s="271"/>
      <c r="DB58" s="271"/>
      <c r="DC58" s="271"/>
      <c r="DD58" s="235">
        <v>32055302520.469124</v>
      </c>
      <c r="DE58" s="244">
        <v>34240483249.469124</v>
      </c>
    </row>
    <row r="59" spans="1:109" s="99" customFormat="1" ht="112.05" customHeight="1">
      <c r="A59" s="103" t="s">
        <v>1232</v>
      </c>
      <c r="B59" s="279" t="s">
        <v>9</v>
      </c>
      <c r="C59" s="103" t="s">
        <v>1696</v>
      </c>
      <c r="D59" s="279">
        <v>3</v>
      </c>
      <c r="E59" s="279" t="s">
        <v>120</v>
      </c>
      <c r="F59" s="280" t="s">
        <v>121</v>
      </c>
      <c r="G59" s="279" t="s">
        <v>3307</v>
      </c>
      <c r="H59" s="279">
        <v>6</v>
      </c>
      <c r="I59" s="279" t="s">
        <v>723</v>
      </c>
      <c r="J59" s="279" t="s">
        <v>677</v>
      </c>
      <c r="K59" s="279">
        <v>78</v>
      </c>
      <c r="L59" s="279" t="s">
        <v>724</v>
      </c>
      <c r="M59" s="279" t="s">
        <v>725</v>
      </c>
      <c r="N59" s="279" t="s">
        <v>726</v>
      </c>
      <c r="O59" s="279" t="s">
        <v>122</v>
      </c>
      <c r="P59" s="266">
        <v>54</v>
      </c>
      <c r="Q59" s="279" t="s">
        <v>3310</v>
      </c>
      <c r="R59" s="279" t="s">
        <v>130</v>
      </c>
      <c r="S59" s="279" t="s">
        <v>683</v>
      </c>
      <c r="T59" s="279">
        <v>276</v>
      </c>
      <c r="U59" s="267"/>
      <c r="V59" s="267">
        <v>100</v>
      </c>
      <c r="W59" s="224">
        <v>100</v>
      </c>
      <c r="X59" s="267"/>
      <c r="Y59" s="267"/>
      <c r="Z59" s="267"/>
      <c r="AA59" s="267">
        <v>100</v>
      </c>
      <c r="AB59" s="224">
        <v>100</v>
      </c>
      <c r="AC59" s="267"/>
      <c r="AD59" s="267"/>
      <c r="AE59" s="267"/>
      <c r="AF59" s="267">
        <v>100</v>
      </c>
      <c r="AG59" s="224">
        <v>100</v>
      </c>
      <c r="AH59" s="267"/>
      <c r="AI59" s="267"/>
      <c r="AJ59" s="267"/>
      <c r="AK59" s="267"/>
      <c r="AL59" s="224">
        <v>0</v>
      </c>
      <c r="AM59" s="104">
        <v>300</v>
      </c>
      <c r="AN59" s="103" t="s">
        <v>685</v>
      </c>
      <c r="AO59" s="103" t="s">
        <v>612</v>
      </c>
      <c r="AP59" s="103" t="s">
        <v>1213</v>
      </c>
      <c r="AQ59" s="103" t="s">
        <v>1207</v>
      </c>
      <c r="AR59" s="103" t="s">
        <v>939</v>
      </c>
      <c r="AS59" s="271"/>
      <c r="AT59" s="271"/>
      <c r="AU59" s="271"/>
      <c r="AV59" s="271"/>
      <c r="AW59" s="271">
        <f>548570542.5-AW58</f>
        <v>518570542.5</v>
      </c>
      <c r="AX59" s="271"/>
      <c r="AY59" s="271"/>
      <c r="AZ59" s="271"/>
      <c r="BA59" s="271"/>
      <c r="BB59" s="271">
        <f>42618383047.5-BB58</f>
        <v>42518383047.5</v>
      </c>
      <c r="BC59" s="271"/>
      <c r="BD59" s="271"/>
      <c r="BE59" s="271"/>
      <c r="BF59" s="271"/>
      <c r="BG59" s="271"/>
      <c r="BH59" s="235">
        <v>43036953590</v>
      </c>
      <c r="BI59" s="271"/>
      <c r="BJ59" s="271"/>
      <c r="BK59" s="271"/>
      <c r="BL59" s="271"/>
      <c r="BM59" s="271">
        <f>729232871-BM58</f>
        <v>590526071</v>
      </c>
      <c r="BN59" s="271"/>
      <c r="BO59" s="271"/>
      <c r="BP59" s="271"/>
      <c r="BQ59" s="271"/>
      <c r="BR59" s="271">
        <f>43896934539-BR58</f>
        <v>43023237039</v>
      </c>
      <c r="BS59" s="271"/>
      <c r="BT59" s="271"/>
      <c r="BU59" s="271"/>
      <c r="BV59" s="271"/>
      <c r="BW59" s="271"/>
      <c r="BX59" s="235">
        <v>43613763110</v>
      </c>
      <c r="BY59" s="271"/>
      <c r="BZ59" s="271"/>
      <c r="CA59" s="271"/>
      <c r="CB59" s="271"/>
      <c r="CC59" s="271">
        <v>612943926</v>
      </c>
      <c r="CD59" s="271"/>
      <c r="CE59" s="271"/>
      <c r="CF59" s="271"/>
      <c r="CG59" s="271"/>
      <c r="CH59" s="271">
        <v>44313934150</v>
      </c>
      <c r="CI59" s="271"/>
      <c r="CJ59" s="271"/>
      <c r="CK59" s="271"/>
      <c r="CL59" s="271"/>
      <c r="CM59" s="271"/>
      <c r="CN59" s="235">
        <v>44926878076</v>
      </c>
      <c r="CO59" s="271"/>
      <c r="CP59" s="271"/>
      <c r="CQ59" s="271"/>
      <c r="CR59" s="271"/>
      <c r="CS59" s="271"/>
      <c r="CT59" s="271"/>
      <c r="CU59" s="271"/>
      <c r="CV59" s="271"/>
      <c r="CW59" s="271"/>
      <c r="CX59" s="271"/>
      <c r="CY59" s="271"/>
      <c r="CZ59" s="271"/>
      <c r="DA59" s="271"/>
      <c r="DB59" s="271"/>
      <c r="DC59" s="271"/>
      <c r="DD59" s="235">
        <v>0</v>
      </c>
      <c r="DE59" s="244">
        <v>131577594776</v>
      </c>
    </row>
    <row r="60" spans="1:109" s="99" customFormat="1" ht="112.05" customHeight="1">
      <c r="A60" s="120" t="s">
        <v>1232</v>
      </c>
      <c r="B60" s="281" t="s">
        <v>9</v>
      </c>
      <c r="C60" s="120" t="s">
        <v>1696</v>
      </c>
      <c r="D60" s="281">
        <v>3</v>
      </c>
      <c r="E60" s="281" t="s">
        <v>120</v>
      </c>
      <c r="F60" s="282" t="s">
        <v>121</v>
      </c>
      <c r="G60" s="281" t="s">
        <v>3307</v>
      </c>
      <c r="H60" s="281">
        <v>6</v>
      </c>
      <c r="I60" s="281" t="s">
        <v>723</v>
      </c>
      <c r="J60" s="281" t="s">
        <v>677</v>
      </c>
      <c r="K60" s="281">
        <v>78</v>
      </c>
      <c r="L60" s="281" t="s">
        <v>724</v>
      </c>
      <c r="M60" s="281" t="s">
        <v>725</v>
      </c>
      <c r="N60" s="281" t="s">
        <v>726</v>
      </c>
      <c r="O60" s="281" t="s">
        <v>122</v>
      </c>
      <c r="P60" s="266">
        <v>55</v>
      </c>
      <c r="Q60" s="281" t="s">
        <v>3311</v>
      </c>
      <c r="R60" s="281" t="s">
        <v>728</v>
      </c>
      <c r="S60" s="281" t="s">
        <v>683</v>
      </c>
      <c r="T60" s="281">
        <v>0</v>
      </c>
      <c r="U60" s="275"/>
      <c r="V60" s="275">
        <v>0.15</v>
      </c>
      <c r="W60" s="225">
        <v>0.15</v>
      </c>
      <c r="X60" s="275"/>
      <c r="Y60" s="275"/>
      <c r="Z60" s="275"/>
      <c r="AA60" s="275">
        <v>0.35</v>
      </c>
      <c r="AB60" s="225">
        <v>0.35</v>
      </c>
      <c r="AC60" s="275"/>
      <c r="AD60" s="275"/>
      <c r="AE60" s="275"/>
      <c r="AF60" s="275">
        <v>0.25</v>
      </c>
      <c r="AG60" s="225">
        <v>0.25</v>
      </c>
      <c r="AH60" s="275"/>
      <c r="AI60" s="275"/>
      <c r="AJ60" s="275"/>
      <c r="AK60" s="275">
        <v>0.25</v>
      </c>
      <c r="AL60" s="225">
        <v>0.25</v>
      </c>
      <c r="AM60" s="119">
        <v>1</v>
      </c>
      <c r="AN60" s="120" t="s">
        <v>685</v>
      </c>
      <c r="AO60" s="120" t="s">
        <v>612</v>
      </c>
      <c r="AP60" s="120" t="s">
        <v>1213</v>
      </c>
      <c r="AQ60" s="120" t="s">
        <v>1207</v>
      </c>
      <c r="AR60" s="120" t="s">
        <v>939</v>
      </c>
      <c r="AS60" s="276"/>
      <c r="AT60" s="276"/>
      <c r="AU60" s="276"/>
      <c r="AV60" s="276"/>
      <c r="AW60" s="276">
        <v>548570542.5</v>
      </c>
      <c r="AX60" s="276"/>
      <c r="AY60" s="276"/>
      <c r="AZ60" s="276"/>
      <c r="BA60" s="276"/>
      <c r="BB60" s="276">
        <f>42618383047.5-0.3</f>
        <v>42618383047.199997</v>
      </c>
      <c r="BC60" s="276"/>
      <c r="BD60" s="276"/>
      <c r="BE60" s="276"/>
      <c r="BF60" s="276"/>
      <c r="BG60" s="276"/>
      <c r="BH60" s="236">
        <v>43166953589.699997</v>
      </c>
      <c r="BI60" s="276"/>
      <c r="BJ60" s="276"/>
      <c r="BK60" s="276"/>
      <c r="BL60" s="276"/>
      <c r="BM60" s="276">
        <f>729232871-0.45-BM56-BM57</f>
        <v>569232870.54999995</v>
      </c>
      <c r="BN60" s="276"/>
      <c r="BO60" s="276"/>
      <c r="BP60" s="276"/>
      <c r="BQ60" s="276"/>
      <c r="BR60" s="276">
        <f>43896934539-0.459-BR56</f>
        <v>43796934538.541</v>
      </c>
      <c r="BS60" s="276"/>
      <c r="BT60" s="276"/>
      <c r="BU60" s="276"/>
      <c r="BV60" s="276"/>
      <c r="BW60" s="276"/>
      <c r="BX60" s="236">
        <v>44366167409.091003</v>
      </c>
      <c r="BY60" s="276"/>
      <c r="BZ60" s="276"/>
      <c r="CA60" s="276"/>
      <c r="CB60" s="276"/>
      <c r="CC60" s="276">
        <v>705811930.86612487</v>
      </c>
      <c r="CD60" s="276"/>
      <c r="CE60" s="276"/>
      <c r="CF60" s="276"/>
      <c r="CG60" s="276"/>
      <c r="CH60" s="276">
        <v>45213842574.867233</v>
      </c>
      <c r="CI60" s="276"/>
      <c r="CJ60" s="276"/>
      <c r="CK60" s="276"/>
      <c r="CL60" s="276"/>
      <c r="CM60" s="276"/>
      <c r="CN60" s="236">
        <v>45919654505.73336</v>
      </c>
      <c r="CO60" s="276"/>
      <c r="CP60" s="276"/>
      <c r="CQ60" s="276"/>
      <c r="CR60" s="276"/>
      <c r="CS60" s="276">
        <f>500000000-35072443.4729+0.00287008285522461</f>
        <v>464927556.52997005</v>
      </c>
      <c r="CT60" s="276"/>
      <c r="CU60" s="276"/>
      <c r="CV60" s="276"/>
      <c r="CW60" s="276"/>
      <c r="CX60" s="276">
        <f>30834422683.516+0.3633-0.0011749267578125</f>
        <v>30834422683.878124</v>
      </c>
      <c r="CY60" s="276"/>
      <c r="CZ60" s="276"/>
      <c r="DA60" s="276"/>
      <c r="DB60" s="276"/>
      <c r="DC60" s="276"/>
      <c r="DD60" s="236">
        <v>31299350240.408092</v>
      </c>
      <c r="DE60" s="245">
        <v>164752125744.93243</v>
      </c>
    </row>
    <row r="61" spans="1:109" s="46" customFormat="1" ht="65.099999999999994" customHeight="1">
      <c r="A61" s="134" t="s">
        <v>1232</v>
      </c>
      <c r="B61" s="134" t="s">
        <v>9</v>
      </c>
      <c r="C61" s="134" t="s">
        <v>1696</v>
      </c>
      <c r="D61" s="134">
        <v>3</v>
      </c>
      <c r="E61" s="134" t="s">
        <v>120</v>
      </c>
      <c r="F61" s="135"/>
      <c r="G61" s="136"/>
      <c r="H61" s="137"/>
      <c r="I61" s="137"/>
      <c r="J61" s="137"/>
      <c r="K61" s="138"/>
      <c r="L61" s="137"/>
      <c r="M61" s="137"/>
      <c r="N61" s="137"/>
      <c r="O61" s="137"/>
      <c r="P61" s="137"/>
      <c r="Q61" s="136"/>
      <c r="R61" s="139"/>
      <c r="S61" s="137"/>
      <c r="T61" s="137"/>
      <c r="U61" s="140"/>
      <c r="V61" s="140"/>
      <c r="W61" s="138"/>
      <c r="X61" s="140"/>
      <c r="Y61" s="140"/>
      <c r="Z61" s="140"/>
      <c r="AA61" s="140"/>
      <c r="AB61" s="138"/>
      <c r="AC61" s="140"/>
      <c r="AD61" s="140"/>
      <c r="AE61" s="140"/>
      <c r="AF61" s="140"/>
      <c r="AG61" s="138"/>
      <c r="AH61" s="140"/>
      <c r="AI61" s="140"/>
      <c r="AJ61" s="140"/>
      <c r="AK61" s="140"/>
      <c r="AL61" s="138"/>
      <c r="AM61" s="141"/>
      <c r="AN61" s="142"/>
      <c r="AO61" s="142"/>
      <c r="AP61" s="143"/>
      <c r="AQ61" s="143"/>
      <c r="AR61" s="144"/>
      <c r="AS61" s="132">
        <v>0</v>
      </c>
      <c r="AT61" s="132">
        <v>0</v>
      </c>
      <c r="AU61" s="132">
        <v>0</v>
      </c>
      <c r="AV61" s="132">
        <v>0</v>
      </c>
      <c r="AW61" s="132">
        <v>1097141085</v>
      </c>
      <c r="AX61" s="132">
        <v>0</v>
      </c>
      <c r="AY61" s="132">
        <v>0</v>
      </c>
      <c r="AZ61" s="132">
        <v>0</v>
      </c>
      <c r="BA61" s="132">
        <v>0</v>
      </c>
      <c r="BB61" s="132">
        <v>85236766094.699997</v>
      </c>
      <c r="BC61" s="132">
        <v>0</v>
      </c>
      <c r="BD61" s="132">
        <v>0</v>
      </c>
      <c r="BE61" s="132">
        <v>0</v>
      </c>
      <c r="BF61" s="132">
        <v>0</v>
      </c>
      <c r="BG61" s="132">
        <v>0</v>
      </c>
      <c r="BH61" s="132">
        <v>86333907179.699997</v>
      </c>
      <c r="BI61" s="132">
        <v>0</v>
      </c>
      <c r="BJ61" s="132">
        <v>0</v>
      </c>
      <c r="BK61" s="132">
        <v>0</v>
      </c>
      <c r="BL61" s="132">
        <v>0</v>
      </c>
      <c r="BM61" s="132">
        <v>1458465741.55</v>
      </c>
      <c r="BN61" s="132">
        <v>0</v>
      </c>
      <c r="BO61" s="132">
        <v>0</v>
      </c>
      <c r="BP61" s="132">
        <v>0</v>
      </c>
      <c r="BQ61" s="132">
        <v>0</v>
      </c>
      <c r="BR61" s="132">
        <v>87793869077.541</v>
      </c>
      <c r="BS61" s="132">
        <v>0</v>
      </c>
      <c r="BT61" s="132">
        <v>0</v>
      </c>
      <c r="BU61" s="132">
        <v>0</v>
      </c>
      <c r="BV61" s="132">
        <v>0</v>
      </c>
      <c r="BW61" s="132">
        <v>0</v>
      </c>
      <c r="BX61" s="132">
        <v>89252334819.091003</v>
      </c>
      <c r="BY61" s="132">
        <v>0</v>
      </c>
      <c r="BZ61" s="132">
        <v>0</v>
      </c>
      <c r="CA61" s="132">
        <v>0</v>
      </c>
      <c r="CB61" s="132">
        <v>0</v>
      </c>
      <c r="CC61" s="132">
        <v>1511623860.8661249</v>
      </c>
      <c r="CD61" s="132">
        <v>0</v>
      </c>
      <c r="CE61" s="132">
        <v>0</v>
      </c>
      <c r="CF61" s="132">
        <v>0</v>
      </c>
      <c r="CG61" s="132">
        <v>0</v>
      </c>
      <c r="CH61" s="132">
        <v>90427685149.867233</v>
      </c>
      <c r="CI61" s="132">
        <v>0</v>
      </c>
      <c r="CJ61" s="132">
        <v>0</v>
      </c>
      <c r="CK61" s="132">
        <v>0</v>
      </c>
      <c r="CL61" s="132">
        <v>0</v>
      </c>
      <c r="CM61" s="132">
        <v>0</v>
      </c>
      <c r="CN61" s="132">
        <v>91939309010.733368</v>
      </c>
      <c r="CO61" s="132">
        <v>0</v>
      </c>
      <c r="CP61" s="132">
        <v>0</v>
      </c>
      <c r="CQ61" s="132">
        <v>0</v>
      </c>
      <c r="CR61" s="132">
        <v>0</v>
      </c>
      <c r="CS61" s="132">
        <v>1581023518.1974702</v>
      </c>
      <c r="CT61" s="132">
        <v>0</v>
      </c>
      <c r="CU61" s="132">
        <v>0</v>
      </c>
      <c r="CV61" s="132">
        <v>0</v>
      </c>
      <c r="CW61" s="132">
        <v>0</v>
      </c>
      <c r="CX61" s="132">
        <v>93140515704.363251</v>
      </c>
      <c r="CY61" s="132">
        <v>0</v>
      </c>
      <c r="CZ61" s="132">
        <v>0</v>
      </c>
      <c r="DA61" s="132">
        <v>0</v>
      </c>
      <c r="DB61" s="132">
        <v>0</v>
      </c>
      <c r="DC61" s="132">
        <v>0</v>
      </c>
      <c r="DD61" s="132">
        <v>94721539222.560715</v>
      </c>
      <c r="DE61" s="133">
        <v>362247090232.08508</v>
      </c>
    </row>
    <row r="62" spans="1:109" s="99" customFormat="1" ht="93" customHeight="1">
      <c r="A62" s="103" t="s">
        <v>1232</v>
      </c>
      <c r="B62" s="103" t="s">
        <v>9</v>
      </c>
      <c r="C62" s="103" t="s">
        <v>1696</v>
      </c>
      <c r="D62" s="103">
        <v>4</v>
      </c>
      <c r="E62" s="103" t="s">
        <v>134</v>
      </c>
      <c r="F62" s="278" t="s">
        <v>730</v>
      </c>
      <c r="G62" s="103" t="s">
        <v>3105</v>
      </c>
      <c r="H62" s="103">
        <v>7</v>
      </c>
      <c r="I62" s="103" t="s">
        <v>136</v>
      </c>
      <c r="J62" s="103" t="s">
        <v>677</v>
      </c>
      <c r="K62" s="103">
        <v>45</v>
      </c>
      <c r="L62" s="103" t="s">
        <v>731</v>
      </c>
      <c r="M62" s="103" t="s">
        <v>732</v>
      </c>
      <c r="N62" s="103" t="s">
        <v>733</v>
      </c>
      <c r="O62" s="103" t="s">
        <v>137</v>
      </c>
      <c r="P62" s="266">
        <v>56</v>
      </c>
      <c r="Q62" s="103" t="s">
        <v>3312</v>
      </c>
      <c r="R62" s="103" t="s">
        <v>138</v>
      </c>
      <c r="S62" s="103" t="s">
        <v>683</v>
      </c>
      <c r="T62" s="103">
        <v>1</v>
      </c>
      <c r="U62" s="267"/>
      <c r="V62" s="267">
        <v>0.5</v>
      </c>
      <c r="W62" s="224">
        <v>0.5</v>
      </c>
      <c r="X62" s="267"/>
      <c r="Y62" s="267"/>
      <c r="Z62" s="267"/>
      <c r="AA62" s="267">
        <v>0.5</v>
      </c>
      <c r="AB62" s="224">
        <v>0.5</v>
      </c>
      <c r="AC62" s="267"/>
      <c r="AD62" s="267"/>
      <c r="AE62" s="267"/>
      <c r="AF62" s="267">
        <v>1</v>
      </c>
      <c r="AG62" s="224">
        <v>1</v>
      </c>
      <c r="AH62" s="267"/>
      <c r="AI62" s="267"/>
      <c r="AJ62" s="267"/>
      <c r="AK62" s="267">
        <v>1</v>
      </c>
      <c r="AL62" s="224">
        <v>1</v>
      </c>
      <c r="AM62" s="102">
        <v>3</v>
      </c>
      <c r="AN62" s="103" t="s">
        <v>685</v>
      </c>
      <c r="AO62" s="103" t="s">
        <v>612</v>
      </c>
      <c r="AP62" s="103" t="s">
        <v>1213</v>
      </c>
      <c r="AQ62" s="103" t="s">
        <v>1207</v>
      </c>
      <c r="AR62" s="103" t="s">
        <v>939</v>
      </c>
      <c r="AS62" s="268"/>
      <c r="AT62" s="268"/>
      <c r="AU62" s="268"/>
      <c r="AV62" s="268"/>
      <c r="AW62" s="268"/>
      <c r="AX62" s="268"/>
      <c r="AY62" s="268"/>
      <c r="AZ62" s="268"/>
      <c r="BA62" s="268"/>
      <c r="BB62" s="268">
        <f>280000000+21279377448.675</f>
        <v>21559377448.674999</v>
      </c>
      <c r="BC62" s="268"/>
      <c r="BD62" s="268"/>
      <c r="BE62" s="268"/>
      <c r="BF62" s="268"/>
      <c r="BG62" s="268"/>
      <c r="BH62" s="234">
        <f t="shared" ref="BH62:BH69" si="2">IF(W62=0,0,BG62+BF62+BE62+BD62+BC62+BB62+BA62+AZ62+AY62+AX62+AW62+AV62+AU62+AT62+AS62)</f>
        <v>21559377448.674999</v>
      </c>
      <c r="BI62" s="268"/>
      <c r="BJ62" s="268"/>
      <c r="BK62" s="268"/>
      <c r="BL62" s="268"/>
      <c r="BM62" s="268"/>
      <c r="BN62" s="268"/>
      <c r="BO62" s="268"/>
      <c r="BP62" s="268"/>
      <c r="BQ62" s="268"/>
      <c r="BR62" s="268">
        <f>288400000+21917591872.1353</f>
        <v>22205991872.1353</v>
      </c>
      <c r="BS62" s="268"/>
      <c r="BT62" s="268"/>
      <c r="BU62" s="268"/>
      <c r="BV62" s="268"/>
      <c r="BW62" s="268"/>
      <c r="BX62" s="234">
        <f t="shared" ref="BX62:BX69" si="3">IF(AB62=0,0,BI62+BJ62+BK62+BL62+BM62+BN62+BO62+BP62+BQ62+BR62+BS62+BT62+BU62+BV62+BW62)</f>
        <v>22205991872.1353</v>
      </c>
      <c r="BY62" s="268"/>
      <c r="BZ62" s="268"/>
      <c r="CA62" s="268"/>
      <c r="CB62" s="268"/>
      <c r="CC62" s="268"/>
      <c r="CD62" s="268"/>
      <c r="CE62" s="268"/>
      <c r="CF62" s="268"/>
      <c r="CG62" s="268"/>
      <c r="CH62" s="268">
        <f>297052000+22578801378.2993</f>
        <v>22875853378.299301</v>
      </c>
      <c r="CI62" s="268"/>
      <c r="CJ62" s="268"/>
      <c r="CK62" s="268"/>
      <c r="CL62" s="268"/>
      <c r="CM62" s="268"/>
      <c r="CN62" s="234">
        <f t="shared" ref="CN62:CN69" si="4">IF(AG62=0,0,(BY62+BZ62+CA62+CB62+CC62+CD62+CE62+CF62+CG62+CH62+CI62+CJ62+CK62+CL62+CM62))</f>
        <v>22875853378.299301</v>
      </c>
      <c r="CO62" s="268"/>
      <c r="CP62" s="268"/>
      <c r="CQ62" s="268"/>
      <c r="CR62" s="268"/>
      <c r="CS62" s="268"/>
      <c r="CT62" s="268"/>
      <c r="CU62" s="268"/>
      <c r="CV62" s="268"/>
      <c r="CW62" s="268"/>
      <c r="CX62" s="268">
        <f>305963560+23253997169.6483</f>
        <v>23559960729.6483</v>
      </c>
      <c r="CY62" s="268"/>
      <c r="CZ62" s="268"/>
      <c r="DA62" s="268"/>
      <c r="DB62" s="268"/>
      <c r="DC62" s="268"/>
      <c r="DD62" s="234">
        <f t="shared" ref="DD62:DD69" si="5">IF(AL62=0,0,(CO62+CP62+CQ62+CR62+CS62+CT62+CU62+CV62+CW62+CX62+CY62+CZ62+DA62+DB62+DC62))</f>
        <v>23559960729.6483</v>
      </c>
      <c r="DE62" s="243">
        <f t="shared" ref="DE62:DE69" si="6">SUM(DD62+CN62+BX62+BH62)</f>
        <v>90201183428.757904</v>
      </c>
    </row>
    <row r="63" spans="1:109" s="99" customFormat="1" ht="93" customHeight="1">
      <c r="A63" s="103" t="s">
        <v>1232</v>
      </c>
      <c r="B63" s="279" t="s">
        <v>9</v>
      </c>
      <c r="C63" s="103" t="s">
        <v>1696</v>
      </c>
      <c r="D63" s="279">
        <v>4</v>
      </c>
      <c r="E63" s="279" t="s">
        <v>134</v>
      </c>
      <c r="F63" s="280" t="s">
        <v>730</v>
      </c>
      <c r="G63" s="279" t="s">
        <v>3105</v>
      </c>
      <c r="H63" s="279">
        <v>7</v>
      </c>
      <c r="I63" s="279" t="s">
        <v>136</v>
      </c>
      <c r="J63" s="279" t="s">
        <v>677</v>
      </c>
      <c r="K63" s="279">
        <v>45</v>
      </c>
      <c r="L63" s="279" t="s">
        <v>731</v>
      </c>
      <c r="M63" s="279" t="s">
        <v>732</v>
      </c>
      <c r="N63" s="279" t="s">
        <v>733</v>
      </c>
      <c r="O63" s="279" t="s">
        <v>137</v>
      </c>
      <c r="P63" s="266">
        <v>57</v>
      </c>
      <c r="Q63" s="279" t="s">
        <v>3106</v>
      </c>
      <c r="R63" s="279" t="s">
        <v>734</v>
      </c>
      <c r="S63" s="279" t="s">
        <v>683</v>
      </c>
      <c r="T63" s="279">
        <v>0</v>
      </c>
      <c r="U63" s="267"/>
      <c r="V63" s="267"/>
      <c r="W63" s="224">
        <v>0</v>
      </c>
      <c r="X63" s="267"/>
      <c r="Y63" s="267"/>
      <c r="Z63" s="267">
        <v>70</v>
      </c>
      <c r="AA63" s="267"/>
      <c r="AB63" s="224">
        <v>70</v>
      </c>
      <c r="AC63" s="267"/>
      <c r="AD63" s="267"/>
      <c r="AE63" s="267">
        <v>65</v>
      </c>
      <c r="AF63" s="267"/>
      <c r="AG63" s="224">
        <v>65</v>
      </c>
      <c r="AH63" s="267"/>
      <c r="AI63" s="267"/>
      <c r="AJ63" s="267">
        <v>65</v>
      </c>
      <c r="AK63" s="267"/>
      <c r="AL63" s="224">
        <v>65</v>
      </c>
      <c r="AM63" s="104">
        <v>200</v>
      </c>
      <c r="AN63" s="103" t="s">
        <v>685</v>
      </c>
      <c r="AO63" s="103" t="s">
        <v>612</v>
      </c>
      <c r="AP63" s="103" t="s">
        <v>1213</v>
      </c>
      <c r="AQ63" s="103" t="s">
        <v>1207</v>
      </c>
      <c r="AR63" s="103" t="s">
        <v>939</v>
      </c>
      <c r="AS63" s="271"/>
      <c r="AT63" s="271"/>
      <c r="AU63" s="271"/>
      <c r="AV63" s="271"/>
      <c r="AW63" s="271"/>
      <c r="AX63" s="271"/>
      <c r="AY63" s="271"/>
      <c r="AZ63" s="271"/>
      <c r="BA63" s="271"/>
      <c r="BB63" s="271"/>
      <c r="BC63" s="271"/>
      <c r="BD63" s="271"/>
      <c r="BE63" s="271"/>
      <c r="BF63" s="271"/>
      <c r="BG63" s="271"/>
      <c r="BH63" s="235">
        <f t="shared" si="2"/>
        <v>0</v>
      </c>
      <c r="BI63" s="271"/>
      <c r="BJ63" s="271"/>
      <c r="BK63" s="271"/>
      <c r="BL63" s="271"/>
      <c r="BM63" s="271">
        <f>17500000+132389931.792461</f>
        <v>149889931.79246098</v>
      </c>
      <c r="BN63" s="271"/>
      <c r="BO63" s="271"/>
      <c r="BP63" s="271"/>
      <c r="BQ63" s="271"/>
      <c r="BR63" s="271"/>
      <c r="BS63" s="271"/>
      <c r="BT63" s="271"/>
      <c r="BU63" s="271"/>
      <c r="BV63" s="271"/>
      <c r="BW63" s="271"/>
      <c r="BX63" s="235">
        <f t="shared" si="3"/>
        <v>149889931.79246098</v>
      </c>
      <c r="BY63" s="271"/>
      <c r="BZ63" s="271"/>
      <c r="CA63" s="271"/>
      <c r="CB63" s="271"/>
      <c r="CC63" s="271">
        <f>16250000+138609169.888567</f>
        <v>154859169.888567</v>
      </c>
      <c r="CD63" s="271"/>
      <c r="CE63" s="271"/>
      <c r="CF63" s="271"/>
      <c r="CG63" s="271"/>
      <c r="CH63" s="271"/>
      <c r="CI63" s="271"/>
      <c r="CJ63" s="271"/>
      <c r="CK63" s="271"/>
      <c r="CL63" s="271"/>
      <c r="CM63" s="271"/>
      <c r="CN63" s="235">
        <f t="shared" si="4"/>
        <v>154859169.888567</v>
      </c>
      <c r="CO63" s="271"/>
      <c r="CP63" s="271"/>
      <c r="CQ63" s="271"/>
      <c r="CR63" s="271"/>
      <c r="CS63" s="271">
        <f>16250000+146832537.376067</f>
        <v>163082537.37606701</v>
      </c>
      <c r="CT63" s="271"/>
      <c r="CU63" s="271"/>
      <c r="CV63" s="271"/>
      <c r="CW63" s="271"/>
      <c r="CX63" s="271"/>
      <c r="CY63" s="271"/>
      <c r="CZ63" s="271"/>
      <c r="DA63" s="271"/>
      <c r="DB63" s="271"/>
      <c r="DC63" s="271"/>
      <c r="DD63" s="235">
        <f t="shared" si="5"/>
        <v>163082537.37606701</v>
      </c>
      <c r="DE63" s="244">
        <f t="shared" si="6"/>
        <v>467831639.05709499</v>
      </c>
    </row>
    <row r="64" spans="1:109" s="99" customFormat="1" ht="93" customHeight="1">
      <c r="A64" s="103" t="s">
        <v>1232</v>
      </c>
      <c r="B64" s="279" t="s">
        <v>9</v>
      </c>
      <c r="C64" s="103" t="s">
        <v>1696</v>
      </c>
      <c r="D64" s="279">
        <v>4</v>
      </c>
      <c r="E64" s="279" t="s">
        <v>134</v>
      </c>
      <c r="F64" s="280" t="s">
        <v>730</v>
      </c>
      <c r="G64" s="279" t="s">
        <v>3105</v>
      </c>
      <c r="H64" s="279">
        <v>7</v>
      </c>
      <c r="I64" s="279" t="s">
        <v>136</v>
      </c>
      <c r="J64" s="279" t="s">
        <v>677</v>
      </c>
      <c r="K64" s="279">
        <v>45</v>
      </c>
      <c r="L64" s="279" t="s">
        <v>731</v>
      </c>
      <c r="M64" s="279" t="s">
        <v>732</v>
      </c>
      <c r="N64" s="279" t="s">
        <v>733</v>
      </c>
      <c r="O64" s="279" t="s">
        <v>137</v>
      </c>
      <c r="P64" s="266">
        <v>58</v>
      </c>
      <c r="Q64" s="279" t="s">
        <v>3107</v>
      </c>
      <c r="R64" s="279" t="s">
        <v>144</v>
      </c>
      <c r="S64" s="279" t="s">
        <v>683</v>
      </c>
      <c r="T64" s="279">
        <v>0</v>
      </c>
      <c r="U64" s="267"/>
      <c r="V64" s="267">
        <v>0.1</v>
      </c>
      <c r="W64" s="224">
        <v>0.1</v>
      </c>
      <c r="X64" s="267"/>
      <c r="Y64" s="267"/>
      <c r="Z64" s="267"/>
      <c r="AA64" s="267">
        <v>0.3</v>
      </c>
      <c r="AB64" s="224">
        <v>0.3</v>
      </c>
      <c r="AC64" s="267"/>
      <c r="AD64" s="267"/>
      <c r="AE64" s="267"/>
      <c r="AF64" s="267">
        <v>0.3</v>
      </c>
      <c r="AG64" s="224">
        <v>0.3</v>
      </c>
      <c r="AH64" s="267"/>
      <c r="AI64" s="267"/>
      <c r="AJ64" s="267"/>
      <c r="AK64" s="267">
        <v>0.3</v>
      </c>
      <c r="AL64" s="224">
        <v>0.3</v>
      </c>
      <c r="AM64" s="104">
        <v>1</v>
      </c>
      <c r="AN64" s="103" t="s">
        <v>685</v>
      </c>
      <c r="AO64" s="103" t="s">
        <v>612</v>
      </c>
      <c r="AP64" s="103" t="s">
        <v>1213</v>
      </c>
      <c r="AQ64" s="103" t="s">
        <v>1207</v>
      </c>
      <c r="AR64" s="103" t="s">
        <v>939</v>
      </c>
      <c r="AS64" s="271"/>
      <c r="AT64" s="271"/>
      <c r="AU64" s="271"/>
      <c r="AV64" s="271"/>
      <c r="AW64" s="271">
        <f>200000000+95285656.25</f>
        <v>295285656.25</v>
      </c>
      <c r="AX64" s="271"/>
      <c r="AY64" s="271"/>
      <c r="AZ64" s="271"/>
      <c r="BA64" s="271"/>
      <c r="BB64" s="271"/>
      <c r="BC64" s="271"/>
      <c r="BD64" s="271"/>
      <c r="BE64" s="271"/>
      <c r="BF64" s="271"/>
      <c r="BG64" s="271"/>
      <c r="BH64" s="235">
        <f t="shared" si="2"/>
        <v>295285656.25</v>
      </c>
      <c r="BI64" s="271"/>
      <c r="BJ64" s="271"/>
      <c r="BK64" s="271"/>
      <c r="BL64" s="271"/>
      <c r="BM64" s="271">
        <f>60000000+132389931.792461</f>
        <v>192389931.79246098</v>
      </c>
      <c r="BN64" s="271"/>
      <c r="BO64" s="271"/>
      <c r="BP64" s="271"/>
      <c r="BQ64" s="271"/>
      <c r="BR64" s="271"/>
      <c r="BS64" s="271"/>
      <c r="BT64" s="271"/>
      <c r="BU64" s="271"/>
      <c r="BV64" s="271"/>
      <c r="BW64" s="271"/>
      <c r="BX64" s="235">
        <f t="shared" si="3"/>
        <v>192389931.79246098</v>
      </c>
      <c r="BY64" s="271"/>
      <c r="BZ64" s="271"/>
      <c r="CA64" s="271"/>
      <c r="CB64" s="271"/>
      <c r="CC64" s="271">
        <f>60000000+138609169.888567</f>
        <v>198609169.888567</v>
      </c>
      <c r="CD64" s="271"/>
      <c r="CE64" s="271"/>
      <c r="CF64" s="271"/>
      <c r="CG64" s="271"/>
      <c r="CH64" s="271"/>
      <c r="CI64" s="271"/>
      <c r="CJ64" s="271"/>
      <c r="CK64" s="271"/>
      <c r="CL64" s="271"/>
      <c r="CM64" s="271"/>
      <c r="CN64" s="235">
        <f t="shared" si="4"/>
        <v>198609169.888567</v>
      </c>
      <c r="CO64" s="271"/>
      <c r="CP64" s="271"/>
      <c r="CQ64" s="271"/>
      <c r="CR64" s="271"/>
      <c r="CS64" s="271">
        <f>60000000+146832537.376067</f>
        <v>206832537.37606701</v>
      </c>
      <c r="CT64" s="271"/>
      <c r="CU64" s="271"/>
      <c r="CV64" s="271"/>
      <c r="CW64" s="271"/>
      <c r="CX64" s="271"/>
      <c r="CY64" s="271"/>
      <c r="CZ64" s="271"/>
      <c r="DA64" s="271"/>
      <c r="DB64" s="271"/>
      <c r="DC64" s="271"/>
      <c r="DD64" s="235">
        <f t="shared" si="5"/>
        <v>206832537.37606701</v>
      </c>
      <c r="DE64" s="244">
        <f t="shared" si="6"/>
        <v>893117295.30709505</v>
      </c>
    </row>
    <row r="65" spans="1:109" s="99" customFormat="1" ht="93" customHeight="1">
      <c r="A65" s="103" t="s">
        <v>1232</v>
      </c>
      <c r="B65" s="279" t="s">
        <v>9</v>
      </c>
      <c r="C65" s="103" t="s">
        <v>1696</v>
      </c>
      <c r="D65" s="279">
        <v>4</v>
      </c>
      <c r="E65" s="279" t="s">
        <v>134</v>
      </c>
      <c r="F65" s="280" t="s">
        <v>730</v>
      </c>
      <c r="G65" s="279" t="s">
        <v>3105</v>
      </c>
      <c r="H65" s="279">
        <v>7</v>
      </c>
      <c r="I65" s="279" t="s">
        <v>136</v>
      </c>
      <c r="J65" s="279" t="s">
        <v>677</v>
      </c>
      <c r="K65" s="279">
        <v>45</v>
      </c>
      <c r="L65" s="279" t="s">
        <v>731</v>
      </c>
      <c r="M65" s="279" t="s">
        <v>732</v>
      </c>
      <c r="N65" s="279" t="s">
        <v>733</v>
      </c>
      <c r="O65" s="279" t="s">
        <v>137</v>
      </c>
      <c r="P65" s="266">
        <v>59</v>
      </c>
      <c r="Q65" s="279" t="s">
        <v>3108</v>
      </c>
      <c r="R65" s="279" t="s">
        <v>149</v>
      </c>
      <c r="S65" s="279" t="s">
        <v>683</v>
      </c>
      <c r="T65" s="279">
        <v>0</v>
      </c>
      <c r="U65" s="267"/>
      <c r="V65" s="267"/>
      <c r="W65" s="224">
        <v>0</v>
      </c>
      <c r="X65" s="267"/>
      <c r="Y65" s="267"/>
      <c r="Z65" s="267"/>
      <c r="AA65" s="267">
        <v>8</v>
      </c>
      <c r="AB65" s="224">
        <v>8</v>
      </c>
      <c r="AC65" s="267"/>
      <c r="AD65" s="267"/>
      <c r="AE65" s="267"/>
      <c r="AF65" s="267">
        <v>8</v>
      </c>
      <c r="AG65" s="224">
        <v>8</v>
      </c>
      <c r="AH65" s="267"/>
      <c r="AI65" s="267"/>
      <c r="AJ65" s="267"/>
      <c r="AK65" s="267">
        <v>6</v>
      </c>
      <c r="AL65" s="224">
        <v>6</v>
      </c>
      <c r="AM65" s="104">
        <v>22</v>
      </c>
      <c r="AN65" s="103" t="s">
        <v>685</v>
      </c>
      <c r="AO65" s="103" t="s">
        <v>612</v>
      </c>
      <c r="AP65" s="103" t="s">
        <v>1213</v>
      </c>
      <c r="AQ65" s="103" t="s">
        <v>1207</v>
      </c>
      <c r="AR65" s="103" t="s">
        <v>939</v>
      </c>
      <c r="AS65" s="271"/>
      <c r="AT65" s="271"/>
      <c r="AU65" s="271"/>
      <c r="AV65" s="271"/>
      <c r="AW65" s="271"/>
      <c r="AX65" s="271"/>
      <c r="AY65" s="271"/>
      <c r="AZ65" s="271"/>
      <c r="BA65" s="271"/>
      <c r="BB65" s="271"/>
      <c r="BC65" s="271"/>
      <c r="BD65" s="271"/>
      <c r="BE65" s="271"/>
      <c r="BF65" s="271"/>
      <c r="BG65" s="271"/>
      <c r="BH65" s="235">
        <f t="shared" si="2"/>
        <v>0</v>
      </c>
      <c r="BI65" s="271"/>
      <c r="BJ65" s="271"/>
      <c r="BK65" s="271"/>
      <c r="BL65" s="271"/>
      <c r="BM65" s="271">
        <f>110000000*0.36+132389931.792461</f>
        <v>171989931.79246098</v>
      </c>
      <c r="BN65" s="271"/>
      <c r="BO65" s="271"/>
      <c r="BP65" s="271"/>
      <c r="BQ65" s="271"/>
      <c r="BR65" s="271"/>
      <c r="BS65" s="271"/>
      <c r="BT65" s="271"/>
      <c r="BU65" s="271"/>
      <c r="BV65" s="271"/>
      <c r="BW65" s="271"/>
      <c r="BX65" s="235">
        <f t="shared" si="3"/>
        <v>171989931.79246098</v>
      </c>
      <c r="BY65" s="271"/>
      <c r="BZ65" s="271"/>
      <c r="CA65" s="271"/>
      <c r="CB65" s="271"/>
      <c r="CC65" s="271">
        <f>110000000*0.36+138609169.888567</f>
        <v>178209169.888567</v>
      </c>
      <c r="CD65" s="271"/>
      <c r="CE65" s="271"/>
      <c r="CF65" s="271"/>
      <c r="CG65" s="271"/>
      <c r="CH65" s="271"/>
      <c r="CI65" s="271"/>
      <c r="CJ65" s="271"/>
      <c r="CK65" s="271"/>
      <c r="CL65" s="271"/>
      <c r="CM65" s="271"/>
      <c r="CN65" s="235">
        <f t="shared" si="4"/>
        <v>178209169.888567</v>
      </c>
      <c r="CO65" s="271"/>
      <c r="CP65" s="271"/>
      <c r="CQ65" s="271"/>
      <c r="CR65" s="271"/>
      <c r="CS65" s="271">
        <f>110000000*0.28+146832537.376067</f>
        <v>177632537.37606701</v>
      </c>
      <c r="CT65" s="271"/>
      <c r="CU65" s="271"/>
      <c r="CV65" s="271"/>
      <c r="CW65" s="271"/>
      <c r="CX65" s="271"/>
      <c r="CY65" s="271"/>
      <c r="CZ65" s="271"/>
      <c r="DA65" s="271"/>
      <c r="DB65" s="271"/>
      <c r="DC65" s="271"/>
      <c r="DD65" s="235">
        <f t="shared" si="5"/>
        <v>177632537.37606701</v>
      </c>
      <c r="DE65" s="244">
        <f t="shared" si="6"/>
        <v>527831639.05709499</v>
      </c>
    </row>
    <row r="66" spans="1:109" s="99" customFormat="1" ht="93" customHeight="1">
      <c r="A66" s="103" t="s">
        <v>1232</v>
      </c>
      <c r="B66" s="279" t="s">
        <v>9</v>
      </c>
      <c r="C66" s="103" t="s">
        <v>1696</v>
      </c>
      <c r="D66" s="279">
        <v>4</v>
      </c>
      <c r="E66" s="279" t="s">
        <v>134</v>
      </c>
      <c r="F66" s="280" t="s">
        <v>730</v>
      </c>
      <c r="G66" s="279" t="s">
        <v>3105</v>
      </c>
      <c r="H66" s="279">
        <v>7</v>
      </c>
      <c r="I66" s="279" t="s">
        <v>136</v>
      </c>
      <c r="J66" s="279" t="s">
        <v>677</v>
      </c>
      <c r="K66" s="279">
        <v>45</v>
      </c>
      <c r="L66" s="279" t="s">
        <v>731</v>
      </c>
      <c r="M66" s="279" t="s">
        <v>732</v>
      </c>
      <c r="N66" s="279" t="s">
        <v>733</v>
      </c>
      <c r="O66" s="279" t="s">
        <v>137</v>
      </c>
      <c r="P66" s="266">
        <v>60</v>
      </c>
      <c r="Q66" s="279" t="s">
        <v>3313</v>
      </c>
      <c r="R66" s="279" t="s">
        <v>151</v>
      </c>
      <c r="S66" s="279" t="s">
        <v>683</v>
      </c>
      <c r="T66" s="279">
        <v>0</v>
      </c>
      <c r="U66" s="267"/>
      <c r="V66" s="267">
        <v>0.15</v>
      </c>
      <c r="W66" s="224">
        <v>0.15</v>
      </c>
      <c r="X66" s="267"/>
      <c r="Y66" s="267"/>
      <c r="Z66" s="267"/>
      <c r="AA66" s="267">
        <v>1</v>
      </c>
      <c r="AB66" s="224">
        <v>1</v>
      </c>
      <c r="AC66" s="267"/>
      <c r="AD66" s="267"/>
      <c r="AE66" s="267"/>
      <c r="AF66" s="267">
        <v>1</v>
      </c>
      <c r="AG66" s="224">
        <v>1</v>
      </c>
      <c r="AH66" s="267"/>
      <c r="AI66" s="267"/>
      <c r="AJ66" s="267"/>
      <c r="AK66" s="267">
        <v>0.85</v>
      </c>
      <c r="AL66" s="224">
        <v>0.85</v>
      </c>
      <c r="AM66" s="104">
        <v>3</v>
      </c>
      <c r="AN66" s="103" t="s">
        <v>685</v>
      </c>
      <c r="AO66" s="103" t="s">
        <v>612</v>
      </c>
      <c r="AP66" s="103" t="s">
        <v>1213</v>
      </c>
      <c r="AQ66" s="103" t="s">
        <v>1207</v>
      </c>
      <c r="AR66" s="103" t="s">
        <v>939</v>
      </c>
      <c r="AS66" s="271"/>
      <c r="AT66" s="271"/>
      <c r="AU66" s="271"/>
      <c r="AV66" s="271"/>
      <c r="AW66" s="271">
        <f>1000000+95285656.25</f>
        <v>96285656.25</v>
      </c>
      <c r="AX66" s="271"/>
      <c r="AY66" s="271"/>
      <c r="AZ66" s="271"/>
      <c r="BA66" s="271"/>
      <c r="BB66" s="271">
        <f>5000000+21279377448.675</f>
        <v>21284377448.674999</v>
      </c>
      <c r="BC66" s="271"/>
      <c r="BD66" s="271"/>
      <c r="BE66" s="271"/>
      <c r="BF66" s="271"/>
      <c r="BG66" s="271"/>
      <c r="BH66" s="235">
        <f t="shared" si="2"/>
        <v>21380663104.924999</v>
      </c>
      <c r="BI66" s="271"/>
      <c r="BJ66" s="271"/>
      <c r="BK66" s="271"/>
      <c r="BL66" s="271"/>
      <c r="BM66" s="271">
        <f>1500000+132389931.792461</f>
        <v>133889931.79246099</v>
      </c>
      <c r="BN66" s="271"/>
      <c r="BO66" s="271"/>
      <c r="BP66" s="271"/>
      <c r="BQ66" s="271"/>
      <c r="BR66" s="271">
        <f>8500000+21917591872.1353</f>
        <v>21926091872.1353</v>
      </c>
      <c r="BS66" s="271"/>
      <c r="BT66" s="271"/>
      <c r="BU66" s="271"/>
      <c r="BV66" s="271"/>
      <c r="BW66" s="271"/>
      <c r="BX66" s="235">
        <f t="shared" si="3"/>
        <v>22059981803.927761</v>
      </c>
      <c r="BY66" s="271"/>
      <c r="BZ66" s="271"/>
      <c r="CA66" s="271"/>
      <c r="CB66" s="271"/>
      <c r="CC66" s="271">
        <f>1500000+138609169.888567</f>
        <v>140109169.888567</v>
      </c>
      <c r="CD66" s="271"/>
      <c r="CE66" s="271"/>
      <c r="CF66" s="271"/>
      <c r="CG66" s="271"/>
      <c r="CH66" s="271">
        <f>8500000+22578801378.2993</f>
        <v>22587301378.299301</v>
      </c>
      <c r="CI66" s="271"/>
      <c r="CJ66" s="271"/>
      <c r="CK66" s="271"/>
      <c r="CL66" s="271"/>
      <c r="CM66" s="271"/>
      <c r="CN66" s="235">
        <f t="shared" si="4"/>
        <v>22727410548.18787</v>
      </c>
      <c r="CO66" s="271"/>
      <c r="CP66" s="271"/>
      <c r="CQ66" s="271"/>
      <c r="CR66" s="271"/>
      <c r="CS66" s="271">
        <f>3000000+146832537.376067</f>
        <v>149832537.37606701</v>
      </c>
      <c r="CT66" s="271"/>
      <c r="CU66" s="271"/>
      <c r="CV66" s="271"/>
      <c r="CW66" s="271"/>
      <c r="CX66" s="271">
        <f>11000000+23253997169.6483</f>
        <v>23264997169.6483</v>
      </c>
      <c r="CY66" s="271"/>
      <c r="CZ66" s="271"/>
      <c r="DA66" s="271"/>
      <c r="DB66" s="271"/>
      <c r="DC66" s="271"/>
      <c r="DD66" s="235">
        <f t="shared" si="5"/>
        <v>23414829707.024368</v>
      </c>
      <c r="DE66" s="244">
        <f t="shared" si="6"/>
        <v>89582885164.065002</v>
      </c>
    </row>
    <row r="67" spans="1:109" s="99" customFormat="1" ht="93" customHeight="1">
      <c r="A67" s="103" t="s">
        <v>1232</v>
      </c>
      <c r="B67" s="279" t="s">
        <v>9</v>
      </c>
      <c r="C67" s="103" t="s">
        <v>1696</v>
      </c>
      <c r="D67" s="279">
        <v>4</v>
      </c>
      <c r="E67" s="279" t="s">
        <v>134</v>
      </c>
      <c r="F67" s="280" t="s">
        <v>730</v>
      </c>
      <c r="G67" s="279" t="s">
        <v>3105</v>
      </c>
      <c r="H67" s="279">
        <v>7</v>
      </c>
      <c r="I67" s="279" t="s">
        <v>136</v>
      </c>
      <c r="J67" s="279" t="s">
        <v>677</v>
      </c>
      <c r="K67" s="279">
        <v>45</v>
      </c>
      <c r="L67" s="279" t="s">
        <v>731</v>
      </c>
      <c r="M67" s="279" t="s">
        <v>732</v>
      </c>
      <c r="N67" s="279" t="s">
        <v>733</v>
      </c>
      <c r="O67" s="279" t="s">
        <v>137</v>
      </c>
      <c r="P67" s="266">
        <v>61</v>
      </c>
      <c r="Q67" s="279" t="s">
        <v>3109</v>
      </c>
      <c r="R67" s="279" t="s">
        <v>157</v>
      </c>
      <c r="S67" s="279" t="s">
        <v>677</v>
      </c>
      <c r="T67" s="279">
        <v>100</v>
      </c>
      <c r="U67" s="267"/>
      <c r="V67" s="267">
        <v>100</v>
      </c>
      <c r="W67" s="224">
        <v>100</v>
      </c>
      <c r="X67" s="267"/>
      <c r="Y67" s="267"/>
      <c r="Z67" s="267"/>
      <c r="AA67" s="267">
        <v>100</v>
      </c>
      <c r="AB67" s="224">
        <v>100</v>
      </c>
      <c r="AC67" s="267"/>
      <c r="AD67" s="267"/>
      <c r="AE67" s="267"/>
      <c r="AF67" s="267">
        <v>100</v>
      </c>
      <c r="AG67" s="224">
        <v>100</v>
      </c>
      <c r="AH67" s="267"/>
      <c r="AI67" s="267"/>
      <c r="AJ67" s="267"/>
      <c r="AK67" s="267">
        <v>100</v>
      </c>
      <c r="AL67" s="224">
        <v>100</v>
      </c>
      <c r="AM67" s="104">
        <v>100</v>
      </c>
      <c r="AN67" s="103" t="s">
        <v>686</v>
      </c>
      <c r="AO67" s="103" t="s">
        <v>612</v>
      </c>
      <c r="AP67" s="103" t="s">
        <v>1213</v>
      </c>
      <c r="AQ67" s="103" t="s">
        <v>1207</v>
      </c>
      <c r="AR67" s="103" t="s">
        <v>939</v>
      </c>
      <c r="AS67" s="271"/>
      <c r="AT67" s="271"/>
      <c r="AU67" s="271"/>
      <c r="AV67" s="271"/>
      <c r="AW67" s="271"/>
      <c r="AX67" s="271"/>
      <c r="AY67" s="271"/>
      <c r="AZ67" s="271"/>
      <c r="BA67" s="271"/>
      <c r="BB67" s="271">
        <f>614176300-BG67+21279377448.675</f>
        <v>21393553748.674999</v>
      </c>
      <c r="BC67" s="271"/>
      <c r="BD67" s="271"/>
      <c r="BE67" s="271"/>
      <c r="BF67" s="271"/>
      <c r="BG67" s="271">
        <v>500000000</v>
      </c>
      <c r="BH67" s="235">
        <f t="shared" si="2"/>
        <v>21893553748.674999</v>
      </c>
      <c r="BI67" s="271"/>
      <c r="BJ67" s="271"/>
      <c r="BK67" s="271"/>
      <c r="BL67" s="271"/>
      <c r="BM67" s="271"/>
      <c r="BN67" s="271"/>
      <c r="BO67" s="271"/>
      <c r="BP67" s="271"/>
      <c r="BQ67" s="271"/>
      <c r="BR67" s="271">
        <f>(614176300*1.03)-BW67+21917591872.1353</f>
        <v>22030193461.1353</v>
      </c>
      <c r="BS67" s="271"/>
      <c r="BT67" s="271"/>
      <c r="BU67" s="271"/>
      <c r="BV67" s="271"/>
      <c r="BW67" s="271">
        <v>520000000</v>
      </c>
      <c r="BX67" s="235">
        <f t="shared" si="3"/>
        <v>22550193461.1353</v>
      </c>
      <c r="BY67" s="271"/>
      <c r="BZ67" s="271"/>
      <c r="CA67" s="271"/>
      <c r="CB67" s="271"/>
      <c r="CC67" s="271"/>
      <c r="CD67" s="271"/>
      <c r="CE67" s="271"/>
      <c r="CF67" s="271"/>
      <c r="CG67" s="271"/>
      <c r="CH67" s="271">
        <f>(614176300*1.0609)-CM67+22578801378.2993</f>
        <v>22680381014.969299</v>
      </c>
      <c r="CI67" s="271"/>
      <c r="CJ67" s="271"/>
      <c r="CK67" s="271"/>
      <c r="CL67" s="271"/>
      <c r="CM67" s="271">
        <v>550000000</v>
      </c>
      <c r="CN67" s="235">
        <f t="shared" si="4"/>
        <v>23230381014.969299</v>
      </c>
      <c r="CO67" s="271"/>
      <c r="CP67" s="271"/>
      <c r="CQ67" s="271"/>
      <c r="CR67" s="271"/>
      <c r="CS67" s="271"/>
      <c r="CT67" s="271"/>
      <c r="CU67" s="271"/>
      <c r="CV67" s="271"/>
      <c r="CW67" s="271"/>
      <c r="CX67" s="271">
        <f>(614176300*1.092727)-DC67+23253997169.6483</f>
        <v>23365124195.4184</v>
      </c>
      <c r="CY67" s="271"/>
      <c r="CZ67" s="271"/>
      <c r="DA67" s="271"/>
      <c r="DB67" s="271"/>
      <c r="DC67" s="271">
        <v>560000000</v>
      </c>
      <c r="DD67" s="235">
        <f t="shared" si="5"/>
        <v>23925124195.4184</v>
      </c>
      <c r="DE67" s="244">
        <f t="shared" si="6"/>
        <v>91599252420.197998</v>
      </c>
    </row>
    <row r="68" spans="1:109" s="99" customFormat="1" ht="93" customHeight="1">
      <c r="A68" s="103" t="s">
        <v>1232</v>
      </c>
      <c r="B68" s="279" t="s">
        <v>9</v>
      </c>
      <c r="C68" s="103" t="s">
        <v>1696</v>
      </c>
      <c r="D68" s="279">
        <v>4</v>
      </c>
      <c r="E68" s="279" t="s">
        <v>134</v>
      </c>
      <c r="F68" s="280" t="s">
        <v>730</v>
      </c>
      <c r="G68" s="279" t="s">
        <v>3105</v>
      </c>
      <c r="H68" s="279">
        <v>7</v>
      </c>
      <c r="I68" s="279" t="s">
        <v>136</v>
      </c>
      <c r="J68" s="279" t="s">
        <v>677</v>
      </c>
      <c r="K68" s="279">
        <v>45</v>
      </c>
      <c r="L68" s="279" t="s">
        <v>731</v>
      </c>
      <c r="M68" s="279" t="s">
        <v>732</v>
      </c>
      <c r="N68" s="279" t="s">
        <v>733</v>
      </c>
      <c r="O68" s="279" t="s">
        <v>137</v>
      </c>
      <c r="P68" s="266">
        <v>62</v>
      </c>
      <c r="Q68" s="279" t="s">
        <v>3110</v>
      </c>
      <c r="R68" s="279" t="s">
        <v>735</v>
      </c>
      <c r="S68" s="279" t="s">
        <v>683</v>
      </c>
      <c r="T68" s="279">
        <v>0</v>
      </c>
      <c r="U68" s="267"/>
      <c r="V68" s="267">
        <v>16</v>
      </c>
      <c r="W68" s="224">
        <v>16</v>
      </c>
      <c r="X68" s="267"/>
      <c r="Y68" s="267"/>
      <c r="Z68" s="267">
        <v>50</v>
      </c>
      <c r="AA68" s="267"/>
      <c r="AB68" s="224">
        <v>50</v>
      </c>
      <c r="AC68" s="267"/>
      <c r="AD68" s="267"/>
      <c r="AE68" s="267">
        <v>50</v>
      </c>
      <c r="AF68" s="267"/>
      <c r="AG68" s="224">
        <v>50</v>
      </c>
      <c r="AH68" s="267"/>
      <c r="AI68" s="267"/>
      <c r="AJ68" s="267">
        <v>30</v>
      </c>
      <c r="AK68" s="267"/>
      <c r="AL68" s="224">
        <v>30</v>
      </c>
      <c r="AM68" s="104">
        <v>146</v>
      </c>
      <c r="AN68" s="103" t="s">
        <v>685</v>
      </c>
      <c r="AO68" s="103" t="s">
        <v>612</v>
      </c>
      <c r="AP68" s="103" t="s">
        <v>1213</v>
      </c>
      <c r="AQ68" s="103" t="s">
        <v>1207</v>
      </c>
      <c r="AR68" s="103" t="s">
        <v>939</v>
      </c>
      <c r="AS68" s="271"/>
      <c r="AT68" s="271"/>
      <c r="AU68" s="271"/>
      <c r="AV68" s="271"/>
      <c r="AW68" s="271">
        <f>500000+95285656.25</f>
        <v>95785656.25</v>
      </c>
      <c r="AX68" s="271"/>
      <c r="AY68" s="271"/>
      <c r="AZ68" s="271"/>
      <c r="BA68" s="271"/>
      <c r="BB68" s="271"/>
      <c r="BC68" s="271"/>
      <c r="BD68" s="271"/>
      <c r="BE68" s="271"/>
      <c r="BF68" s="271"/>
      <c r="BG68" s="271"/>
      <c r="BH68" s="235">
        <f t="shared" si="2"/>
        <v>95785656.25</v>
      </c>
      <c r="BI68" s="271"/>
      <c r="BJ68" s="271"/>
      <c r="BK68" s="271"/>
      <c r="BL68" s="271"/>
      <c r="BM68" s="271">
        <f>5000000+132389931.792461</f>
        <v>137389931.79246098</v>
      </c>
      <c r="BN68" s="271"/>
      <c r="BO68" s="271"/>
      <c r="BP68" s="271"/>
      <c r="BQ68" s="271"/>
      <c r="BR68" s="271"/>
      <c r="BS68" s="271"/>
      <c r="BT68" s="271"/>
      <c r="BU68" s="271"/>
      <c r="BV68" s="271"/>
      <c r="BW68" s="271"/>
      <c r="BX68" s="235">
        <f t="shared" si="3"/>
        <v>137389931.79246098</v>
      </c>
      <c r="BY68" s="271"/>
      <c r="BZ68" s="271"/>
      <c r="CA68" s="271"/>
      <c r="CB68" s="271"/>
      <c r="CC68" s="271">
        <f>5000000+138609169.888567</f>
        <v>143609169.888567</v>
      </c>
      <c r="CD68" s="271"/>
      <c r="CE68" s="271"/>
      <c r="CF68" s="271"/>
      <c r="CG68" s="271"/>
      <c r="CH68" s="271"/>
      <c r="CI68" s="271"/>
      <c r="CJ68" s="271"/>
      <c r="CK68" s="271"/>
      <c r="CL68" s="271"/>
      <c r="CM68" s="271"/>
      <c r="CN68" s="235">
        <f t="shared" si="4"/>
        <v>143609169.888567</v>
      </c>
      <c r="CO68" s="271"/>
      <c r="CP68" s="271"/>
      <c r="CQ68" s="271"/>
      <c r="CR68" s="271"/>
      <c r="CS68" s="271">
        <f>5000000+146832537.376067</f>
        <v>151832537.37606701</v>
      </c>
      <c r="CT68" s="271"/>
      <c r="CU68" s="271"/>
      <c r="CV68" s="271"/>
      <c r="CW68" s="271"/>
      <c r="CX68" s="271"/>
      <c r="CY68" s="271"/>
      <c r="CZ68" s="271"/>
      <c r="DA68" s="271"/>
      <c r="DB68" s="271"/>
      <c r="DC68" s="271"/>
      <c r="DD68" s="235">
        <f t="shared" si="5"/>
        <v>151832537.37606701</v>
      </c>
      <c r="DE68" s="244">
        <f t="shared" si="6"/>
        <v>528617295.30709499</v>
      </c>
    </row>
    <row r="69" spans="1:109" s="99" customFormat="1" ht="93" customHeight="1">
      <c r="A69" s="120" t="s">
        <v>1232</v>
      </c>
      <c r="B69" s="281" t="s">
        <v>9</v>
      </c>
      <c r="C69" s="120" t="s">
        <v>1696</v>
      </c>
      <c r="D69" s="281">
        <v>4</v>
      </c>
      <c r="E69" s="281" t="s">
        <v>134</v>
      </c>
      <c r="F69" s="282" t="s">
        <v>730</v>
      </c>
      <c r="G69" s="281" t="s">
        <v>3105</v>
      </c>
      <c r="H69" s="281">
        <v>7</v>
      </c>
      <c r="I69" s="281" t="s">
        <v>136</v>
      </c>
      <c r="J69" s="281" t="s">
        <v>677</v>
      </c>
      <c r="K69" s="281">
        <v>45</v>
      </c>
      <c r="L69" s="281" t="s">
        <v>731</v>
      </c>
      <c r="M69" s="281" t="s">
        <v>732</v>
      </c>
      <c r="N69" s="281" t="s">
        <v>733</v>
      </c>
      <c r="O69" s="281" t="s">
        <v>137</v>
      </c>
      <c r="P69" s="266">
        <v>63</v>
      </c>
      <c r="Q69" s="281" t="s">
        <v>3314</v>
      </c>
      <c r="R69" s="281" t="s">
        <v>736</v>
      </c>
      <c r="S69" s="281" t="s">
        <v>683</v>
      </c>
      <c r="T69" s="281">
        <v>0</v>
      </c>
      <c r="U69" s="275"/>
      <c r="V69" s="275">
        <v>1</v>
      </c>
      <c r="W69" s="225">
        <v>1</v>
      </c>
      <c r="X69" s="275"/>
      <c r="Y69" s="275"/>
      <c r="Z69" s="275"/>
      <c r="AA69" s="275">
        <v>3</v>
      </c>
      <c r="AB69" s="225">
        <v>3</v>
      </c>
      <c r="AC69" s="275"/>
      <c r="AD69" s="275"/>
      <c r="AE69" s="275"/>
      <c r="AF69" s="275">
        <v>3</v>
      </c>
      <c r="AG69" s="225">
        <v>3</v>
      </c>
      <c r="AH69" s="275"/>
      <c r="AI69" s="275"/>
      <c r="AJ69" s="275"/>
      <c r="AK69" s="275">
        <v>3</v>
      </c>
      <c r="AL69" s="225">
        <v>3</v>
      </c>
      <c r="AM69" s="119">
        <v>10</v>
      </c>
      <c r="AN69" s="120" t="s">
        <v>685</v>
      </c>
      <c r="AO69" s="120" t="s">
        <v>612</v>
      </c>
      <c r="AP69" s="120" t="s">
        <v>1213</v>
      </c>
      <c r="AQ69" s="120" t="s">
        <v>1207</v>
      </c>
      <c r="AR69" s="120" t="s">
        <v>939</v>
      </c>
      <c r="AS69" s="276"/>
      <c r="AT69" s="276"/>
      <c r="AU69" s="276"/>
      <c r="AV69" s="276"/>
      <c r="AW69" s="276">
        <f>200000+95285655.25+0.5518</f>
        <v>95485655.801799998</v>
      </c>
      <c r="AX69" s="276"/>
      <c r="AY69" s="276"/>
      <c r="AZ69" s="276"/>
      <c r="BA69" s="276"/>
      <c r="BB69" s="276">
        <f>80000+21279377448.675</f>
        <v>21279457448.674999</v>
      </c>
      <c r="BC69" s="276"/>
      <c r="BD69" s="276"/>
      <c r="BE69" s="276"/>
      <c r="BF69" s="276"/>
      <c r="BG69" s="276"/>
      <c r="BH69" s="236">
        <f t="shared" si="2"/>
        <v>21374943104.476799</v>
      </c>
      <c r="BI69" s="276"/>
      <c r="BJ69" s="276"/>
      <c r="BK69" s="276"/>
      <c r="BL69" s="276"/>
      <c r="BM69" s="276">
        <f>600000+132389931.792461+2.50339508056641E-06</f>
        <v>132989931.7924635</v>
      </c>
      <c r="BN69" s="276"/>
      <c r="BO69" s="276"/>
      <c r="BP69" s="276"/>
      <c r="BQ69" s="276"/>
      <c r="BR69" s="276">
        <f>2400000+21917591872.1353-0.0001983642578125</f>
        <v>21919991872.135101</v>
      </c>
      <c r="BS69" s="276"/>
      <c r="BT69" s="276"/>
      <c r="BU69" s="276"/>
      <c r="BV69" s="276"/>
      <c r="BW69" s="276"/>
      <c r="BX69" s="236">
        <f t="shared" si="3"/>
        <v>22052981803.927567</v>
      </c>
      <c r="BY69" s="276"/>
      <c r="BZ69" s="276"/>
      <c r="CA69" s="276"/>
      <c r="CB69" s="276"/>
      <c r="CC69" s="276">
        <f>600000+138609169.888567+0.0000095367431640625</f>
        <v>139209169.88857654</v>
      </c>
      <c r="CD69" s="276"/>
      <c r="CE69" s="276"/>
      <c r="CF69" s="276"/>
      <c r="CG69" s="276"/>
      <c r="CH69" s="276">
        <f>2400000+22578801378.2993</f>
        <v>22581201378.299301</v>
      </c>
      <c r="CI69" s="276"/>
      <c r="CJ69" s="276"/>
      <c r="CK69" s="276"/>
      <c r="CL69" s="276"/>
      <c r="CM69" s="276"/>
      <c r="CN69" s="236">
        <f t="shared" si="4"/>
        <v>22720410548.187878</v>
      </c>
      <c r="CO69" s="276"/>
      <c r="CP69" s="276"/>
      <c r="CQ69" s="276"/>
      <c r="CR69" s="276"/>
      <c r="CS69" s="276">
        <f>600000+146832537.376067+1.78813934326172E-06</f>
        <v>147432537.3760688</v>
      </c>
      <c r="CT69" s="276"/>
      <c r="CU69" s="276"/>
      <c r="CV69" s="276"/>
      <c r="CW69" s="276"/>
      <c r="CX69" s="276">
        <f>2400000+23253997169.6483</f>
        <v>23256397169.6483</v>
      </c>
      <c r="CY69" s="276"/>
      <c r="CZ69" s="276"/>
      <c r="DA69" s="276"/>
      <c r="DB69" s="276"/>
      <c r="DC69" s="276"/>
      <c r="DD69" s="236">
        <f t="shared" si="5"/>
        <v>23403829707.024368</v>
      </c>
      <c r="DE69" s="245">
        <f t="shared" si="6"/>
        <v>89552165163.616608</v>
      </c>
    </row>
    <row r="70" spans="1:109" s="46" customFormat="1" ht="65.099999999999994" customHeight="1">
      <c r="A70" s="134" t="s">
        <v>1232</v>
      </c>
      <c r="B70" s="134" t="s">
        <v>9</v>
      </c>
      <c r="C70" s="134" t="s">
        <v>1696</v>
      </c>
      <c r="D70" s="134">
        <v>4</v>
      </c>
      <c r="E70" s="134" t="s">
        <v>134</v>
      </c>
      <c r="F70" s="135"/>
      <c r="G70" s="136"/>
      <c r="H70" s="137"/>
      <c r="I70" s="137"/>
      <c r="J70" s="137"/>
      <c r="K70" s="138"/>
      <c r="L70" s="137"/>
      <c r="M70" s="137"/>
      <c r="N70" s="137"/>
      <c r="O70" s="137"/>
      <c r="P70" s="137"/>
      <c r="Q70" s="136"/>
      <c r="R70" s="139"/>
      <c r="S70" s="137"/>
      <c r="T70" s="137"/>
      <c r="U70" s="140"/>
      <c r="V70" s="140"/>
      <c r="W70" s="138"/>
      <c r="X70" s="140"/>
      <c r="Y70" s="140"/>
      <c r="Z70" s="140"/>
      <c r="AA70" s="140"/>
      <c r="AB70" s="138"/>
      <c r="AC70" s="140"/>
      <c r="AD70" s="140"/>
      <c r="AE70" s="140"/>
      <c r="AF70" s="140"/>
      <c r="AG70" s="138"/>
      <c r="AH70" s="140"/>
      <c r="AI70" s="140"/>
      <c r="AJ70" s="140"/>
      <c r="AK70" s="140"/>
      <c r="AL70" s="138"/>
      <c r="AM70" s="141"/>
      <c r="AN70" s="142"/>
      <c r="AO70" s="142"/>
      <c r="AP70" s="143"/>
      <c r="AQ70" s="143"/>
      <c r="AR70" s="144"/>
      <c r="AS70" s="132">
        <f t="shared" ref="AS70:BG70" si="7">SUM(AS62:AS69)</f>
        <v>0</v>
      </c>
      <c r="AT70" s="132">
        <f t="shared" si="7"/>
        <v>0</v>
      </c>
      <c r="AU70" s="132">
        <f t="shared" si="7"/>
        <v>0</v>
      </c>
      <c r="AV70" s="132">
        <f t="shared" si="7"/>
        <v>0</v>
      </c>
      <c r="AW70" s="132">
        <f t="shared" si="7"/>
        <v>582842624.55180001</v>
      </c>
      <c r="AX70" s="132">
        <f t="shared" si="7"/>
        <v>0</v>
      </c>
      <c r="AY70" s="132">
        <f t="shared" si="7"/>
        <v>0</v>
      </c>
      <c r="AZ70" s="132">
        <f t="shared" si="7"/>
        <v>0</v>
      </c>
      <c r="BA70" s="132">
        <f t="shared" si="7"/>
        <v>0</v>
      </c>
      <c r="BB70" s="132">
        <f t="shared" si="7"/>
        <v>85516766094.699997</v>
      </c>
      <c r="BC70" s="132">
        <f t="shared" si="7"/>
        <v>0</v>
      </c>
      <c r="BD70" s="132">
        <f t="shared" si="7"/>
        <v>0</v>
      </c>
      <c r="BE70" s="132">
        <f t="shared" si="7"/>
        <v>0</v>
      </c>
      <c r="BF70" s="132">
        <f t="shared" si="7"/>
        <v>0</v>
      </c>
      <c r="BG70" s="132">
        <f t="shared" si="7"/>
        <v>500000000</v>
      </c>
      <c r="BH70" s="132">
        <f>IF(OR(AND(BH62=0,W62&lt;&gt;0),AND(BH63=0,W63&lt;&gt;0),AND(BH64=0,W64&lt;&gt;0),AND(BH65=0,W65&lt;&gt;0),AND(BH66=0,W66&lt;&gt;0),AND(BH67=0,W67&lt;&gt;0),AND(BH68=0,W68&lt;&gt;0),AND(BH69=0,W69&lt;&gt;0)),"NO DEBEN QUEDAR CELDAS EN ROJO",SUM(BH62:BH69))</f>
        <v>86599608719.251801</v>
      </c>
      <c r="BI70" s="132">
        <f t="shared" ref="BI70:BW70" si="8">SUM(BI62:BI69)</f>
        <v>0</v>
      </c>
      <c r="BJ70" s="132">
        <f t="shared" si="8"/>
        <v>0</v>
      </c>
      <c r="BK70" s="132">
        <f t="shared" si="8"/>
        <v>0</v>
      </c>
      <c r="BL70" s="132">
        <f t="shared" si="8"/>
        <v>0</v>
      </c>
      <c r="BM70" s="132">
        <f t="shared" si="8"/>
        <v>918539590.75476837</v>
      </c>
      <c r="BN70" s="132">
        <f t="shared" si="8"/>
        <v>0</v>
      </c>
      <c r="BO70" s="132">
        <f t="shared" si="8"/>
        <v>0</v>
      </c>
      <c r="BP70" s="132">
        <f t="shared" si="8"/>
        <v>0</v>
      </c>
      <c r="BQ70" s="132">
        <f t="shared" si="8"/>
        <v>0</v>
      </c>
      <c r="BR70" s="132">
        <f t="shared" si="8"/>
        <v>88082269077.541</v>
      </c>
      <c r="BS70" s="132">
        <f t="shared" si="8"/>
        <v>0</v>
      </c>
      <c r="BT70" s="132">
        <f t="shared" si="8"/>
        <v>0</v>
      </c>
      <c r="BU70" s="132">
        <f t="shared" si="8"/>
        <v>0</v>
      </c>
      <c r="BV70" s="132">
        <f t="shared" si="8"/>
        <v>0</v>
      </c>
      <c r="BW70" s="132">
        <f t="shared" si="8"/>
        <v>520000000</v>
      </c>
      <c r="BX70" s="132">
        <f>IF(OR(AND(BX62=0,AB62&lt;&gt;0),AND(BX63=0,AB63&lt;&gt;0),AND(BX64=0,AB64&lt;&gt;0),AND(BX65=0,AB65&lt;&gt;0),AND(BX66=0,AB66&lt;&gt;0),AND(BX67=0,AB67&lt;&gt;0),AND(BX68=0,AB68&lt;&gt;0),AND(BX69=0,AB69&lt;&gt;0)),"NO DEBEN QUEDAR CELDAS EN ROJO",SUM(BX62:BX69))</f>
        <v>89520808668.295776</v>
      </c>
      <c r="BY70" s="132">
        <f t="shared" ref="BY70:CM70" si="9">SUM(BY62:BY69)</f>
        <v>0</v>
      </c>
      <c r="BZ70" s="132">
        <f t="shared" si="9"/>
        <v>0</v>
      </c>
      <c r="CA70" s="132">
        <f t="shared" si="9"/>
        <v>0</v>
      </c>
      <c r="CB70" s="132">
        <f t="shared" si="9"/>
        <v>0</v>
      </c>
      <c r="CC70" s="132">
        <f t="shared" si="9"/>
        <v>954605019.33141148</v>
      </c>
      <c r="CD70" s="132">
        <f t="shared" si="9"/>
        <v>0</v>
      </c>
      <c r="CE70" s="132">
        <f t="shared" si="9"/>
        <v>0</v>
      </c>
      <c r="CF70" s="132">
        <f t="shared" si="9"/>
        <v>0</v>
      </c>
      <c r="CG70" s="132">
        <f t="shared" si="9"/>
        <v>0</v>
      </c>
      <c r="CH70" s="132">
        <f t="shared" si="9"/>
        <v>90724737149.867203</v>
      </c>
      <c r="CI70" s="132">
        <f t="shared" si="9"/>
        <v>0</v>
      </c>
      <c r="CJ70" s="132">
        <f t="shared" si="9"/>
        <v>0</v>
      </c>
      <c r="CK70" s="132">
        <f t="shared" si="9"/>
        <v>0</v>
      </c>
      <c r="CL70" s="132">
        <f t="shared" si="9"/>
        <v>0</v>
      </c>
      <c r="CM70" s="132">
        <f t="shared" si="9"/>
        <v>550000000</v>
      </c>
      <c r="CN70" s="132">
        <f>IF(OR(AND(CN62=0,AG62&lt;&gt;0),AND(CN63=0,AG63&lt;&gt;0),AND(CN64=0,AG64&lt;&gt;0),AND(CN65=0,AG65&lt;&gt;0),AND(CN66=0,AG66&lt;&gt;0),AND(CN67=0,AG67&lt;&gt;0),AND(CN68=0,AG68&lt;&gt;0),AND(CN69=0,AG69&lt;&gt;0)),"NO DEBEN QUEDAR CELDAS EN ROJO",SUM(CN62:CN69))</f>
        <v>92229342169.198624</v>
      </c>
      <c r="CO70" s="132">
        <f t="shared" ref="CO70:DC70" si="10">SUM(CO62:CO69)</f>
        <v>0</v>
      </c>
      <c r="CP70" s="132">
        <f t="shared" si="10"/>
        <v>0</v>
      </c>
      <c r="CQ70" s="132">
        <f t="shared" si="10"/>
        <v>0</v>
      </c>
      <c r="CR70" s="132">
        <f t="shared" si="10"/>
        <v>0</v>
      </c>
      <c r="CS70" s="132">
        <f t="shared" si="10"/>
        <v>996645224.25640392</v>
      </c>
      <c r="CT70" s="132">
        <f t="shared" si="10"/>
        <v>0</v>
      </c>
      <c r="CU70" s="132">
        <f t="shared" si="10"/>
        <v>0</v>
      </c>
      <c r="CV70" s="132">
        <f t="shared" si="10"/>
        <v>0</v>
      </c>
      <c r="CW70" s="132">
        <f t="shared" si="10"/>
        <v>0</v>
      </c>
      <c r="CX70" s="132">
        <f t="shared" si="10"/>
        <v>93446479264.363297</v>
      </c>
      <c r="CY70" s="132">
        <f t="shared" si="10"/>
        <v>0</v>
      </c>
      <c r="CZ70" s="132">
        <f t="shared" si="10"/>
        <v>0</v>
      </c>
      <c r="DA70" s="132">
        <f t="shared" si="10"/>
        <v>0</v>
      </c>
      <c r="DB70" s="132">
        <f t="shared" si="10"/>
        <v>0</v>
      </c>
      <c r="DC70" s="132">
        <f t="shared" si="10"/>
        <v>560000000</v>
      </c>
      <c r="DD70" s="132">
        <f>IF(OR(AND(DD62=0,AL62&lt;&gt;0),AND(DD63=0,AL63&lt;&gt;0),AND(DD64=0,AL64&lt;&gt;0),AND(DD65=0,AL65&lt;&gt;0),AND(DD66=0,AL66&lt;&gt;0),AND(DD67=0,AL67&lt;&gt;0),AND(DD68=0,AL68&lt;&gt;0),AND(DD69=0,AL69&lt;&gt;0)),"NO DEBEN QUEDAR CELDAS EN ROJO",SUM(DD62:DD69))</f>
        <v>95003124488.619705</v>
      </c>
      <c r="DE70" s="133">
        <f>SUM(DE62:DE69)</f>
        <v>363352884045.36591</v>
      </c>
    </row>
    <row r="71" spans="1:109" s="99" customFormat="1" ht="106.05" customHeight="1">
      <c r="A71" s="103" t="s">
        <v>1232</v>
      </c>
      <c r="B71" s="103" t="s">
        <v>9</v>
      </c>
      <c r="C71" s="103" t="s">
        <v>1696</v>
      </c>
      <c r="D71" s="103">
        <v>5</v>
      </c>
      <c r="E71" s="103" t="s">
        <v>737</v>
      </c>
      <c r="F71" s="278" t="s">
        <v>738</v>
      </c>
      <c r="G71" s="103" t="s">
        <v>3315</v>
      </c>
      <c r="H71" s="103">
        <v>8</v>
      </c>
      <c r="I71" s="103" t="s">
        <v>739</v>
      </c>
      <c r="J71" s="103" t="s">
        <v>677</v>
      </c>
      <c r="K71" s="103">
        <v>42</v>
      </c>
      <c r="L71" s="103" t="s">
        <v>740</v>
      </c>
      <c r="M71" s="103" t="s">
        <v>741</v>
      </c>
      <c r="N71" s="103" t="s">
        <v>742</v>
      </c>
      <c r="O71" s="103" t="s">
        <v>166</v>
      </c>
      <c r="P71" s="266">
        <v>64</v>
      </c>
      <c r="Q71" s="103" t="s">
        <v>3111</v>
      </c>
      <c r="R71" s="103" t="s">
        <v>743</v>
      </c>
      <c r="S71" s="103" t="s">
        <v>683</v>
      </c>
      <c r="T71" s="103">
        <v>0</v>
      </c>
      <c r="U71" s="267"/>
      <c r="V71" s="267">
        <v>1</v>
      </c>
      <c r="W71" s="224">
        <v>1</v>
      </c>
      <c r="X71" s="267"/>
      <c r="Y71" s="267"/>
      <c r="Z71" s="267"/>
      <c r="AA71" s="267">
        <v>2</v>
      </c>
      <c r="AB71" s="224">
        <v>2</v>
      </c>
      <c r="AC71" s="267"/>
      <c r="AD71" s="267"/>
      <c r="AE71" s="267"/>
      <c r="AF71" s="267">
        <v>2</v>
      </c>
      <c r="AG71" s="224">
        <v>2</v>
      </c>
      <c r="AH71" s="267"/>
      <c r="AI71" s="267"/>
      <c r="AJ71" s="267"/>
      <c r="AK71" s="267">
        <v>2</v>
      </c>
      <c r="AL71" s="224">
        <v>2</v>
      </c>
      <c r="AM71" s="102">
        <v>7</v>
      </c>
      <c r="AN71" s="103" t="s">
        <v>685</v>
      </c>
      <c r="AO71" s="103" t="s">
        <v>612</v>
      </c>
      <c r="AP71" s="103" t="s">
        <v>1213</v>
      </c>
      <c r="AQ71" s="103" t="s">
        <v>1200</v>
      </c>
      <c r="AR71" s="103" t="s">
        <v>939</v>
      </c>
      <c r="AS71" s="268"/>
      <c r="AT71" s="268"/>
      <c r="AU71" s="268"/>
      <c r="AV71" s="268"/>
      <c r="AW71" s="268">
        <v>157236054</v>
      </c>
      <c r="AX71" s="268"/>
      <c r="AY71" s="268"/>
      <c r="AZ71" s="268"/>
      <c r="BA71" s="268"/>
      <c r="BB71" s="268"/>
      <c r="BC71" s="268"/>
      <c r="BD71" s="268"/>
      <c r="BE71" s="268"/>
      <c r="BF71" s="268"/>
      <c r="BG71" s="268"/>
      <c r="BH71" s="234">
        <f>IF(W71=0,0,BG71+BF71+BE71+BD71+BC71+BB71+BA71+AZ71+AY71+AX71+AW71+AV71+AU71+AT71+AS71)</f>
        <v>157236054</v>
      </c>
      <c r="BI71" s="268"/>
      <c r="BJ71" s="268"/>
      <c r="BK71" s="268"/>
      <c r="BL71" s="268"/>
      <c r="BM71" s="268">
        <v>24261802.7841</v>
      </c>
      <c r="BN71" s="268"/>
      <c r="BO71" s="268"/>
      <c r="BP71" s="268"/>
      <c r="BQ71" s="268"/>
      <c r="BR71" s="268"/>
      <c r="BS71" s="268"/>
      <c r="BT71" s="268"/>
      <c r="BU71" s="268"/>
      <c r="BV71" s="268"/>
      <c r="BW71" s="268"/>
      <c r="BX71" s="234">
        <f>IF(AB71=0,0,BI71+BJ71+BK71+BL71+BM71+BN71+BO71+BP71+BQ71+BR71+BS71+BT71+BU71+BV71+BW71)</f>
        <v>24261802.7841</v>
      </c>
      <c r="BY71" s="268"/>
      <c r="BZ71" s="268"/>
      <c r="CA71" s="268"/>
      <c r="CB71" s="268"/>
      <c r="CC71" s="268">
        <v>39370344.850685</v>
      </c>
      <c r="CD71" s="268"/>
      <c r="CE71" s="268"/>
      <c r="CF71" s="268"/>
      <c r="CG71" s="268"/>
      <c r="CH71" s="268"/>
      <c r="CI71" s="268"/>
      <c r="CJ71" s="268"/>
      <c r="CK71" s="268"/>
      <c r="CL71" s="268"/>
      <c r="CM71" s="268"/>
      <c r="CN71" s="234">
        <f>IF(AG71=0,0,(BY71+BZ71+CA71+CB71+CC71+CD71+CE71+CF71+CG71+CH71+CI71+CJ71+CK71+CL71+CM71))</f>
        <v>39370344.850685</v>
      </c>
      <c r="CO71" s="268"/>
      <c r="CP71" s="268"/>
      <c r="CQ71" s="268"/>
      <c r="CR71" s="268"/>
      <c r="CS71" s="268">
        <v>36145159.684712</v>
      </c>
      <c r="CT71" s="268"/>
      <c r="CU71" s="268"/>
      <c r="CV71" s="268"/>
      <c r="CW71" s="268"/>
      <c r="CX71" s="268"/>
      <c r="CY71" s="268"/>
      <c r="CZ71" s="268"/>
      <c r="DA71" s="268"/>
      <c r="DB71" s="268"/>
      <c r="DC71" s="268"/>
      <c r="DD71" s="234">
        <f>IF(AL71=0,0,(CO71+CP71+CQ71+CR71+CS71+CT71+CU71+CV71+CW71+CX71+CY71+CZ71+DA71+DB71+DC71))</f>
        <v>36145159.684712</v>
      </c>
      <c r="DE71" s="243">
        <f t="shared" ref="DE71:DE73" si="11">SUM(DD71+CN71+BX71+BH71)</f>
        <v>257013361.31949699</v>
      </c>
    </row>
    <row r="72" spans="1:109" s="99" customFormat="1" ht="106.05" customHeight="1">
      <c r="A72" s="103" t="s">
        <v>1232</v>
      </c>
      <c r="B72" s="279" t="s">
        <v>9</v>
      </c>
      <c r="C72" s="103" t="s">
        <v>1696</v>
      </c>
      <c r="D72" s="279">
        <v>5</v>
      </c>
      <c r="E72" s="279" t="s">
        <v>737</v>
      </c>
      <c r="F72" s="280" t="s">
        <v>738</v>
      </c>
      <c r="G72" s="279" t="s">
        <v>3315</v>
      </c>
      <c r="H72" s="279">
        <v>8</v>
      </c>
      <c r="I72" s="279" t="s">
        <v>739</v>
      </c>
      <c r="J72" s="279" t="s">
        <v>677</v>
      </c>
      <c r="K72" s="279">
        <v>42</v>
      </c>
      <c r="L72" s="279" t="s">
        <v>740</v>
      </c>
      <c r="M72" s="279" t="s">
        <v>741</v>
      </c>
      <c r="N72" s="279" t="s">
        <v>742</v>
      </c>
      <c r="O72" s="279" t="s">
        <v>166</v>
      </c>
      <c r="P72" s="266">
        <v>65</v>
      </c>
      <c r="Q72" s="279" t="s">
        <v>3316</v>
      </c>
      <c r="R72" s="279" t="s">
        <v>168</v>
      </c>
      <c r="S72" s="279" t="s">
        <v>683</v>
      </c>
      <c r="T72" s="279">
        <v>303</v>
      </c>
      <c r="U72" s="267"/>
      <c r="V72" s="267"/>
      <c r="W72" s="224">
        <v>0</v>
      </c>
      <c r="X72" s="267"/>
      <c r="Y72" s="267"/>
      <c r="Z72" s="267"/>
      <c r="AA72" s="267">
        <v>60</v>
      </c>
      <c r="AB72" s="224">
        <v>60</v>
      </c>
      <c r="AC72" s="267"/>
      <c r="AD72" s="267"/>
      <c r="AE72" s="267"/>
      <c r="AF72" s="267">
        <v>60</v>
      </c>
      <c r="AG72" s="224">
        <v>60</v>
      </c>
      <c r="AH72" s="267"/>
      <c r="AI72" s="267"/>
      <c r="AJ72" s="267"/>
      <c r="AK72" s="267">
        <v>77</v>
      </c>
      <c r="AL72" s="224">
        <v>77</v>
      </c>
      <c r="AM72" s="104">
        <v>197</v>
      </c>
      <c r="AN72" s="103" t="s">
        <v>685</v>
      </c>
      <c r="AO72" s="103" t="s">
        <v>612</v>
      </c>
      <c r="AP72" s="103" t="s">
        <v>1213</v>
      </c>
      <c r="AQ72" s="103" t="s">
        <v>1195</v>
      </c>
      <c r="AR72" s="103" t="s">
        <v>939</v>
      </c>
      <c r="AS72" s="271"/>
      <c r="AT72" s="271"/>
      <c r="AU72" s="271"/>
      <c r="AV72" s="271"/>
      <c r="AW72" s="271"/>
      <c r="AX72" s="271"/>
      <c r="AY72" s="271"/>
      <c r="AZ72" s="271"/>
      <c r="BA72" s="271"/>
      <c r="BB72" s="271"/>
      <c r="BC72" s="271"/>
      <c r="BD72" s="271"/>
      <c r="BE72" s="271"/>
      <c r="BF72" s="271"/>
      <c r="BG72" s="271"/>
      <c r="BH72" s="235">
        <f>IF(W72=0,0,BG72+BF72+BE72+BD72+BC72+BB72+BA72+AZ72+AY72+AX72+AW72+AV72+AU72+AT72+AS72)</f>
        <v>0</v>
      </c>
      <c r="BI72" s="271"/>
      <c r="BJ72" s="271"/>
      <c r="BK72" s="271"/>
      <c r="BL72" s="271"/>
      <c r="BM72" s="271">
        <v>140000000</v>
      </c>
      <c r="BN72" s="271"/>
      <c r="BO72" s="271"/>
      <c r="BP72" s="271"/>
      <c r="BQ72" s="271"/>
      <c r="BR72" s="271"/>
      <c r="BS72" s="271"/>
      <c r="BT72" s="271"/>
      <c r="BU72" s="271"/>
      <c r="BV72" s="271"/>
      <c r="BW72" s="271"/>
      <c r="BX72" s="235">
        <f>IF(AB72=0,0,BI72+BJ72+BK72+BL72+BM72+BN72+BO72+BP72+BQ72+BR72+BS72+BT72+BU72+BV72+BW72)</f>
        <v>140000000</v>
      </c>
      <c r="BY72" s="271"/>
      <c r="BZ72" s="271"/>
      <c r="CA72" s="271"/>
      <c r="CB72" s="271"/>
      <c r="CC72" s="271">
        <v>130000000</v>
      </c>
      <c r="CD72" s="271"/>
      <c r="CE72" s="271"/>
      <c r="CF72" s="271"/>
      <c r="CG72" s="271"/>
      <c r="CH72" s="271"/>
      <c r="CI72" s="271"/>
      <c r="CJ72" s="271"/>
      <c r="CK72" s="271"/>
      <c r="CL72" s="271"/>
      <c r="CM72" s="271"/>
      <c r="CN72" s="235">
        <f>IF(AG72=0,0,(BY72+BZ72+CA72+CB72+CC72+CD72+CE72+CF72+CG72+CH72+CI72+CJ72+CK72+CL72+CM72))</f>
        <v>130000000</v>
      </c>
      <c r="CO72" s="271"/>
      <c r="CP72" s="271"/>
      <c r="CQ72" s="271"/>
      <c r="CR72" s="271"/>
      <c r="CS72" s="271">
        <f>140000000+4.17232513427734E-07</f>
        <v>140000000.00000042</v>
      </c>
      <c r="CT72" s="271"/>
      <c r="CU72" s="271"/>
      <c r="CV72" s="271"/>
      <c r="CW72" s="271"/>
      <c r="CX72" s="271"/>
      <c r="CY72" s="271"/>
      <c r="CZ72" s="271"/>
      <c r="DA72" s="271"/>
      <c r="DB72" s="271"/>
      <c r="DC72" s="271"/>
      <c r="DD72" s="235">
        <f>IF(AL72=0,0,(CO72+CP72+CQ72+CR72+CS72+CT72+CU72+CV72+CW72+CX72+CY72+CZ72+DA72+DB72+DC72))</f>
        <v>140000000.00000042</v>
      </c>
      <c r="DE72" s="244">
        <f t="shared" si="11"/>
        <v>410000000.00000042</v>
      </c>
    </row>
    <row r="73" spans="1:109" s="99" customFormat="1" ht="106.05" customHeight="1">
      <c r="A73" s="120" t="s">
        <v>1232</v>
      </c>
      <c r="B73" s="281" t="s">
        <v>9</v>
      </c>
      <c r="C73" s="120" t="s">
        <v>1696</v>
      </c>
      <c r="D73" s="281">
        <v>5</v>
      </c>
      <c r="E73" s="281" t="s">
        <v>737</v>
      </c>
      <c r="F73" s="282" t="s">
        <v>738</v>
      </c>
      <c r="G73" s="281" t="s">
        <v>3315</v>
      </c>
      <c r="H73" s="281">
        <v>8</v>
      </c>
      <c r="I73" s="281" t="s">
        <v>739</v>
      </c>
      <c r="J73" s="281" t="s">
        <v>677</v>
      </c>
      <c r="K73" s="281">
        <v>42</v>
      </c>
      <c r="L73" s="281" t="s">
        <v>740</v>
      </c>
      <c r="M73" s="281" t="s">
        <v>741</v>
      </c>
      <c r="N73" s="281" t="s">
        <v>742</v>
      </c>
      <c r="O73" s="281" t="s">
        <v>166</v>
      </c>
      <c r="P73" s="273">
        <v>66</v>
      </c>
      <c r="Q73" s="281" t="s">
        <v>3317</v>
      </c>
      <c r="R73" s="281" t="s">
        <v>171</v>
      </c>
      <c r="S73" s="281" t="s">
        <v>683</v>
      </c>
      <c r="T73" s="281">
        <v>1</v>
      </c>
      <c r="U73" s="275"/>
      <c r="V73" s="275"/>
      <c r="W73" s="225">
        <v>0</v>
      </c>
      <c r="X73" s="275"/>
      <c r="Y73" s="275"/>
      <c r="Z73" s="275"/>
      <c r="AA73" s="275"/>
      <c r="AB73" s="225">
        <v>0</v>
      </c>
      <c r="AC73" s="275"/>
      <c r="AD73" s="275"/>
      <c r="AE73" s="275"/>
      <c r="AF73" s="275">
        <v>2</v>
      </c>
      <c r="AG73" s="225">
        <v>2</v>
      </c>
      <c r="AH73" s="275"/>
      <c r="AI73" s="275"/>
      <c r="AJ73" s="275"/>
      <c r="AK73" s="275"/>
      <c r="AL73" s="225">
        <v>0</v>
      </c>
      <c r="AM73" s="119">
        <v>2</v>
      </c>
      <c r="AN73" s="120" t="s">
        <v>685</v>
      </c>
      <c r="AO73" s="120" t="s">
        <v>612</v>
      </c>
      <c r="AP73" s="120" t="s">
        <v>1213</v>
      </c>
      <c r="AQ73" s="120" t="s">
        <v>1193</v>
      </c>
      <c r="AR73" s="120" t="s">
        <v>939</v>
      </c>
      <c r="AS73" s="276"/>
      <c r="AT73" s="276"/>
      <c r="AU73" s="276"/>
      <c r="AV73" s="276"/>
      <c r="AW73" s="276"/>
      <c r="AX73" s="276"/>
      <c r="AY73" s="276"/>
      <c r="AZ73" s="276"/>
      <c r="BA73" s="276"/>
      <c r="BB73" s="276"/>
      <c r="BC73" s="276"/>
      <c r="BD73" s="276"/>
      <c r="BE73" s="276"/>
      <c r="BF73" s="276"/>
      <c r="BG73" s="276"/>
      <c r="BH73" s="236">
        <f>IF(W73=0,0,BG73+BF73+BE73+BD73+BC73+BB73+BA73+AZ73+AY73+AX73+AW73+AV73+AU73+AT73+AS73)</f>
        <v>0</v>
      </c>
      <c r="BI73" s="276"/>
      <c r="BJ73" s="276"/>
      <c r="BK73" s="276"/>
      <c r="BL73" s="276"/>
      <c r="BM73" s="276"/>
      <c r="BN73" s="276"/>
      <c r="BO73" s="276"/>
      <c r="BP73" s="276"/>
      <c r="BQ73" s="276"/>
      <c r="BR73" s="276"/>
      <c r="BS73" s="276"/>
      <c r="BT73" s="276"/>
      <c r="BU73" s="276"/>
      <c r="BV73" s="276"/>
      <c r="BW73" s="276"/>
      <c r="BX73" s="236">
        <f>IF(AB73=0,0,BI73+BJ73+BK73+BL73+BM73+BN73+BO73+BP73+BQ73+BR73+BS73+BT73+BU73+BV73+BW73)</f>
        <v>0</v>
      </c>
      <c r="BY73" s="276"/>
      <c r="BZ73" s="276"/>
      <c r="CA73" s="276"/>
      <c r="CB73" s="276"/>
      <c r="CC73" s="276"/>
      <c r="CD73" s="276"/>
      <c r="CE73" s="276"/>
      <c r="CF73" s="276"/>
      <c r="CG73" s="276"/>
      <c r="CH73" s="276"/>
      <c r="CI73" s="276"/>
      <c r="CJ73" s="276"/>
      <c r="CK73" s="276"/>
      <c r="CL73" s="276"/>
      <c r="CM73" s="276">
        <v>3500000000</v>
      </c>
      <c r="CN73" s="236">
        <f>IF(AG73=0,0,(BY73+BZ73+CA73+CB73+CC73+CD73+CE73+CF73+CG73+CH73+CI73+CJ73+CK73+CL73+CM73))</f>
        <v>3500000000</v>
      </c>
      <c r="CO73" s="276"/>
      <c r="CP73" s="276"/>
      <c r="CQ73" s="276"/>
      <c r="CR73" s="276"/>
      <c r="CS73" s="276"/>
      <c r="CT73" s="276"/>
      <c r="CU73" s="276"/>
      <c r="CV73" s="276"/>
      <c r="CW73" s="276"/>
      <c r="CX73" s="276"/>
      <c r="CY73" s="276"/>
      <c r="CZ73" s="276"/>
      <c r="DA73" s="276"/>
      <c r="DB73" s="276"/>
      <c r="DC73" s="276"/>
      <c r="DD73" s="236">
        <f>IF(AL73=0,0,(CO73+CP73+CQ73+CR73+CS73+CT73+CU73+CV73+CW73+CX73+CY73+CZ73+DA73+DB73+DC73))</f>
        <v>0</v>
      </c>
      <c r="DE73" s="245">
        <f t="shared" si="11"/>
        <v>3500000000</v>
      </c>
    </row>
    <row r="74" spans="1:109" s="46" customFormat="1" ht="65.099999999999994" customHeight="1">
      <c r="A74" s="134" t="s">
        <v>1232</v>
      </c>
      <c r="B74" s="134" t="s">
        <v>9</v>
      </c>
      <c r="C74" s="134" t="s">
        <v>1696</v>
      </c>
      <c r="D74" s="134">
        <v>5</v>
      </c>
      <c r="E74" s="134" t="s">
        <v>737</v>
      </c>
      <c r="F74" s="135"/>
      <c r="G74" s="136"/>
      <c r="H74" s="137"/>
      <c r="I74" s="137"/>
      <c r="J74" s="137"/>
      <c r="K74" s="138"/>
      <c r="L74" s="137"/>
      <c r="M74" s="137"/>
      <c r="N74" s="137"/>
      <c r="O74" s="137"/>
      <c r="P74" s="137"/>
      <c r="Q74" s="136"/>
      <c r="R74" s="139"/>
      <c r="S74" s="137"/>
      <c r="T74" s="137"/>
      <c r="U74" s="140"/>
      <c r="V74" s="140"/>
      <c r="W74" s="138"/>
      <c r="X74" s="140"/>
      <c r="Y74" s="140"/>
      <c r="Z74" s="140"/>
      <c r="AA74" s="140"/>
      <c r="AB74" s="138"/>
      <c r="AC74" s="140"/>
      <c r="AD74" s="140"/>
      <c r="AE74" s="140"/>
      <c r="AF74" s="140"/>
      <c r="AG74" s="138"/>
      <c r="AH74" s="140"/>
      <c r="AI74" s="140"/>
      <c r="AJ74" s="140"/>
      <c r="AK74" s="140"/>
      <c r="AL74" s="138"/>
      <c r="AM74" s="141"/>
      <c r="AN74" s="142"/>
      <c r="AO74" s="142"/>
      <c r="AP74" s="143"/>
      <c r="AQ74" s="143"/>
      <c r="AR74" s="144"/>
      <c r="AS74" s="132">
        <f t="shared" ref="AS74:BG74" si="12">SUM(AS71:AS73)</f>
        <v>0</v>
      </c>
      <c r="AT74" s="132">
        <f t="shared" si="12"/>
        <v>0</v>
      </c>
      <c r="AU74" s="132">
        <f t="shared" si="12"/>
        <v>0</v>
      </c>
      <c r="AV74" s="132">
        <f t="shared" si="12"/>
        <v>0</v>
      </c>
      <c r="AW74" s="132">
        <f t="shared" si="12"/>
        <v>157236054</v>
      </c>
      <c r="AX74" s="132">
        <f t="shared" si="12"/>
        <v>0</v>
      </c>
      <c r="AY74" s="132">
        <f t="shared" si="12"/>
        <v>0</v>
      </c>
      <c r="AZ74" s="132">
        <f t="shared" si="12"/>
        <v>0</v>
      </c>
      <c r="BA74" s="132">
        <f t="shared" si="12"/>
        <v>0</v>
      </c>
      <c r="BB74" s="132">
        <f t="shared" si="12"/>
        <v>0</v>
      </c>
      <c r="BC74" s="132">
        <f t="shared" si="12"/>
        <v>0</v>
      </c>
      <c r="BD74" s="132">
        <f t="shared" si="12"/>
        <v>0</v>
      </c>
      <c r="BE74" s="132">
        <f t="shared" si="12"/>
        <v>0</v>
      </c>
      <c r="BF74" s="132">
        <f t="shared" si="12"/>
        <v>0</v>
      </c>
      <c r="BG74" s="132">
        <f t="shared" si="12"/>
        <v>0</v>
      </c>
      <c r="BH74" s="132">
        <f>IF(OR(AND(BH71=0,W71&lt;&gt;0),AND(BH72=0,W72&lt;&gt;0),AND(BH73=0,W73&lt;&gt;0)),"NO DEBEN QUEDAR CELDAS EN ROJO",SUM(BH71:BH73))</f>
        <v>157236054</v>
      </c>
      <c r="BI74" s="132">
        <f t="shared" ref="BI74:BW74" si="13">SUM(BI71:BI73)</f>
        <v>0</v>
      </c>
      <c r="BJ74" s="132">
        <f t="shared" si="13"/>
        <v>0</v>
      </c>
      <c r="BK74" s="132">
        <f t="shared" si="13"/>
        <v>0</v>
      </c>
      <c r="BL74" s="132">
        <f t="shared" si="13"/>
        <v>0</v>
      </c>
      <c r="BM74" s="132">
        <f t="shared" si="13"/>
        <v>164261802.7841</v>
      </c>
      <c r="BN74" s="132">
        <f t="shared" si="13"/>
        <v>0</v>
      </c>
      <c r="BO74" s="132">
        <f t="shared" si="13"/>
        <v>0</v>
      </c>
      <c r="BP74" s="132">
        <f t="shared" si="13"/>
        <v>0</v>
      </c>
      <c r="BQ74" s="132">
        <f t="shared" si="13"/>
        <v>0</v>
      </c>
      <c r="BR74" s="132">
        <f t="shared" si="13"/>
        <v>0</v>
      </c>
      <c r="BS74" s="132">
        <f t="shared" si="13"/>
        <v>0</v>
      </c>
      <c r="BT74" s="132">
        <f t="shared" si="13"/>
        <v>0</v>
      </c>
      <c r="BU74" s="132">
        <f t="shared" si="13"/>
        <v>0</v>
      </c>
      <c r="BV74" s="132">
        <f t="shared" si="13"/>
        <v>0</v>
      </c>
      <c r="BW74" s="132">
        <f t="shared" si="13"/>
        <v>0</v>
      </c>
      <c r="BX74" s="132">
        <f>IF(OR(AND(BX71=0,AB71&lt;&gt;0),AND(BX72=0,AB72&lt;&gt;0),AND(BX73=0,AB73&lt;&gt;0)),"NO DEBEN QUEDAR CELDAS EN ROJO",SUM(BX71:BX73))</f>
        <v>164261802.7841</v>
      </c>
      <c r="BY74" s="132">
        <f t="shared" ref="BY74:CM74" si="14">SUM(BY71:BY73)</f>
        <v>0</v>
      </c>
      <c r="BZ74" s="132">
        <f t="shared" si="14"/>
        <v>0</v>
      </c>
      <c r="CA74" s="132">
        <f t="shared" si="14"/>
        <v>0</v>
      </c>
      <c r="CB74" s="132">
        <f t="shared" si="14"/>
        <v>0</v>
      </c>
      <c r="CC74" s="132">
        <f t="shared" si="14"/>
        <v>169370344.850685</v>
      </c>
      <c r="CD74" s="132">
        <f t="shared" si="14"/>
        <v>0</v>
      </c>
      <c r="CE74" s="132">
        <f t="shared" si="14"/>
        <v>0</v>
      </c>
      <c r="CF74" s="132">
        <f t="shared" si="14"/>
        <v>0</v>
      </c>
      <c r="CG74" s="132">
        <f t="shared" si="14"/>
        <v>0</v>
      </c>
      <c r="CH74" s="132">
        <f t="shared" si="14"/>
        <v>0</v>
      </c>
      <c r="CI74" s="132">
        <f t="shared" si="14"/>
        <v>0</v>
      </c>
      <c r="CJ74" s="132">
        <f t="shared" si="14"/>
        <v>0</v>
      </c>
      <c r="CK74" s="132">
        <f t="shared" si="14"/>
        <v>0</v>
      </c>
      <c r="CL74" s="132">
        <f t="shared" si="14"/>
        <v>0</v>
      </c>
      <c r="CM74" s="132">
        <f t="shared" si="14"/>
        <v>3500000000</v>
      </c>
      <c r="CN74" s="132">
        <f>IF(OR(AND(CN71=0,AG71&lt;&gt;0),AND(CN72=0,AG72&lt;&gt;0),AND(CN73=0,AG73&lt;&gt;0)),"NO DEBEN QUEDAR CELDAS EN ROJO",SUM(CN71:CN73))</f>
        <v>3669370344.8506851</v>
      </c>
      <c r="CO74" s="132">
        <f t="shared" ref="CO74:DC74" si="15">SUM(CO71:CO73)</f>
        <v>0</v>
      </c>
      <c r="CP74" s="132">
        <f t="shared" si="15"/>
        <v>0</v>
      </c>
      <c r="CQ74" s="132">
        <f t="shared" si="15"/>
        <v>0</v>
      </c>
      <c r="CR74" s="132">
        <f t="shared" si="15"/>
        <v>0</v>
      </c>
      <c r="CS74" s="132">
        <f t="shared" si="15"/>
        <v>176145159.68471241</v>
      </c>
      <c r="CT74" s="132">
        <f t="shared" si="15"/>
        <v>0</v>
      </c>
      <c r="CU74" s="132">
        <f t="shared" si="15"/>
        <v>0</v>
      </c>
      <c r="CV74" s="132">
        <f t="shared" si="15"/>
        <v>0</v>
      </c>
      <c r="CW74" s="132">
        <f t="shared" si="15"/>
        <v>0</v>
      </c>
      <c r="CX74" s="132">
        <f t="shared" si="15"/>
        <v>0</v>
      </c>
      <c r="CY74" s="132">
        <f t="shared" si="15"/>
        <v>0</v>
      </c>
      <c r="CZ74" s="132">
        <f t="shared" si="15"/>
        <v>0</v>
      </c>
      <c r="DA74" s="132">
        <f t="shared" si="15"/>
        <v>0</v>
      </c>
      <c r="DB74" s="132">
        <f t="shared" si="15"/>
        <v>0</v>
      </c>
      <c r="DC74" s="132">
        <f t="shared" si="15"/>
        <v>0</v>
      </c>
      <c r="DD74" s="132">
        <f>IF(OR(AND(DD71=0,AL71&lt;&gt;0),AND(DD72=0,AL72&lt;&gt;0),AND(DD73=0,AL73&lt;&gt;0)),"NO DEBEN QUEDAR CELDAS EN ROJO",SUM(DD71:DD73))</f>
        <v>176145159.68471241</v>
      </c>
      <c r="DE74" s="133">
        <f>SUM(DE71:DE73)</f>
        <v>4167013361.3194971</v>
      </c>
    </row>
    <row r="75" spans="1:109" s="99" customFormat="1" ht="97.05" customHeight="1">
      <c r="A75" s="103" t="s">
        <v>1232</v>
      </c>
      <c r="B75" s="103" t="s">
        <v>9</v>
      </c>
      <c r="C75" s="103" t="s">
        <v>1696</v>
      </c>
      <c r="D75" s="103">
        <v>6</v>
      </c>
      <c r="E75" s="103" t="s">
        <v>175</v>
      </c>
      <c r="F75" s="278" t="s">
        <v>744</v>
      </c>
      <c r="G75" s="103" t="s">
        <v>3321</v>
      </c>
      <c r="H75" s="103">
        <v>9</v>
      </c>
      <c r="I75" s="103" t="s">
        <v>745</v>
      </c>
      <c r="J75" s="103" t="s">
        <v>677</v>
      </c>
      <c r="K75" s="103">
        <v>96</v>
      </c>
      <c r="L75" s="103" t="s">
        <v>746</v>
      </c>
      <c r="M75" s="103" t="s">
        <v>747</v>
      </c>
      <c r="N75" s="103" t="s">
        <v>748</v>
      </c>
      <c r="O75" s="103" t="s">
        <v>178</v>
      </c>
      <c r="P75" s="266">
        <v>67</v>
      </c>
      <c r="Q75" s="103" t="s">
        <v>3318</v>
      </c>
      <c r="R75" s="103" t="s">
        <v>179</v>
      </c>
      <c r="S75" s="103" t="s">
        <v>683</v>
      </c>
      <c r="T75" s="103">
        <v>8</v>
      </c>
      <c r="U75" s="267"/>
      <c r="V75" s="267"/>
      <c r="W75" s="224">
        <v>0</v>
      </c>
      <c r="X75" s="267"/>
      <c r="Y75" s="267"/>
      <c r="Z75" s="267"/>
      <c r="AA75" s="267"/>
      <c r="AB75" s="224">
        <v>0</v>
      </c>
      <c r="AC75" s="267"/>
      <c r="AD75" s="267"/>
      <c r="AE75" s="267">
        <v>8</v>
      </c>
      <c r="AF75" s="267"/>
      <c r="AG75" s="224">
        <v>8</v>
      </c>
      <c r="AH75" s="267"/>
      <c r="AI75" s="267"/>
      <c r="AJ75" s="267"/>
      <c r="AK75" s="267"/>
      <c r="AL75" s="224">
        <v>0</v>
      </c>
      <c r="AM75" s="102">
        <v>8</v>
      </c>
      <c r="AN75" s="103" t="s">
        <v>685</v>
      </c>
      <c r="AO75" s="103" t="s">
        <v>612</v>
      </c>
      <c r="AP75" s="103" t="s">
        <v>1213</v>
      </c>
      <c r="AQ75" s="103" t="s">
        <v>1207</v>
      </c>
      <c r="AR75" s="103" t="s">
        <v>939</v>
      </c>
      <c r="AS75" s="268"/>
      <c r="AT75" s="268"/>
      <c r="AU75" s="268"/>
      <c r="AV75" s="268"/>
      <c r="AW75" s="268"/>
      <c r="AX75" s="268"/>
      <c r="AY75" s="268"/>
      <c r="AZ75" s="268"/>
      <c r="BA75" s="268"/>
      <c r="BB75" s="268"/>
      <c r="BC75" s="268"/>
      <c r="BD75" s="268"/>
      <c r="BE75" s="268"/>
      <c r="BF75" s="268"/>
      <c r="BG75" s="268"/>
      <c r="BH75" s="234">
        <f t="shared" ref="BH75:BH82" si="16">IF(W75=0,0,BG75+BF75+BE75+BD75+BC75+BB75+BA75+AZ75+AY75+AX75+AW75+AV75+AU75+AT75+AS75)</f>
        <v>0</v>
      </c>
      <c r="BI75" s="268"/>
      <c r="BJ75" s="268"/>
      <c r="BK75" s="268"/>
      <c r="BL75" s="268"/>
      <c r="BM75" s="268"/>
      <c r="BN75" s="268"/>
      <c r="BO75" s="268"/>
      <c r="BP75" s="268"/>
      <c r="BQ75" s="268"/>
      <c r="BR75" s="268"/>
      <c r="BS75" s="268"/>
      <c r="BT75" s="268"/>
      <c r="BU75" s="268"/>
      <c r="BV75" s="268"/>
      <c r="BW75" s="268"/>
      <c r="BX75" s="234">
        <f t="shared" ref="BX75:BX82" si="17">IF(AB75=0,0,BI75+BJ75+BK75+BL75+BM75+BN75+BO75+BP75+BQ75+BR75+BS75+BT75+BU75+BV75+BW75)</f>
        <v>0</v>
      </c>
      <c r="BY75" s="268"/>
      <c r="BZ75" s="268"/>
      <c r="CA75" s="268"/>
      <c r="CB75" s="268"/>
      <c r="CC75" s="268">
        <v>63819306.404999994</v>
      </c>
      <c r="CD75" s="268"/>
      <c r="CE75" s="268"/>
      <c r="CF75" s="268"/>
      <c r="CG75" s="268"/>
      <c r="CH75" s="268">
        <v>13203168164.266743</v>
      </c>
      <c r="CI75" s="268"/>
      <c r="CJ75" s="268"/>
      <c r="CK75" s="268"/>
      <c r="CL75" s="268"/>
      <c r="CM75" s="268"/>
      <c r="CN75" s="234">
        <f t="shared" ref="CN75:CN82" si="18">IF(AG75=0,0,(BY75+BZ75+CA75+CB75+CC75+CD75+CE75+CF75+CG75+CH75+CI75+CJ75+CK75+CL75+CM75))</f>
        <v>13266987470.671743</v>
      </c>
      <c r="CO75" s="268"/>
      <c r="CP75" s="268"/>
      <c r="CQ75" s="268"/>
      <c r="CR75" s="268"/>
      <c r="CS75" s="268"/>
      <c r="CT75" s="268"/>
      <c r="CU75" s="268"/>
      <c r="CV75" s="268"/>
      <c r="CW75" s="268"/>
      <c r="CX75" s="268"/>
      <c r="CY75" s="268"/>
      <c r="CZ75" s="268"/>
      <c r="DA75" s="268"/>
      <c r="DB75" s="268"/>
      <c r="DC75" s="268"/>
      <c r="DD75" s="234">
        <f t="shared" ref="DD75:DD82" si="19">IF(AL75=0,0,(CO75+CP75+CQ75+CR75+CS75+CT75+CU75+CV75+CW75+CX75+CY75+CZ75+DA75+DB75+DC75))</f>
        <v>0</v>
      </c>
      <c r="DE75" s="243">
        <f t="shared" ref="DE75:DE82" si="20">SUM(DD75+CN75+BX75+BH75)</f>
        <v>13266987470.671743</v>
      </c>
    </row>
    <row r="76" spans="1:109" s="99" customFormat="1" ht="97.05" customHeight="1">
      <c r="A76" s="103" t="s">
        <v>1232</v>
      </c>
      <c r="B76" s="279" t="s">
        <v>9</v>
      </c>
      <c r="C76" s="103" t="s">
        <v>1696</v>
      </c>
      <c r="D76" s="279">
        <v>6</v>
      </c>
      <c r="E76" s="279" t="s">
        <v>175</v>
      </c>
      <c r="F76" s="280" t="s">
        <v>744</v>
      </c>
      <c r="G76" s="279" t="s">
        <v>3321</v>
      </c>
      <c r="H76" s="279">
        <v>9</v>
      </c>
      <c r="I76" s="279" t="s">
        <v>745</v>
      </c>
      <c r="J76" s="279" t="s">
        <v>677</v>
      </c>
      <c r="K76" s="279">
        <v>96</v>
      </c>
      <c r="L76" s="279" t="s">
        <v>746</v>
      </c>
      <c r="M76" s="279" t="s">
        <v>747</v>
      </c>
      <c r="N76" s="279" t="s">
        <v>748</v>
      </c>
      <c r="O76" s="279" t="s">
        <v>178</v>
      </c>
      <c r="P76" s="266">
        <v>68</v>
      </c>
      <c r="Q76" s="279" t="s">
        <v>3319</v>
      </c>
      <c r="R76" s="279" t="s">
        <v>185</v>
      </c>
      <c r="S76" s="279" t="s">
        <v>683</v>
      </c>
      <c r="T76" s="279">
        <v>0</v>
      </c>
      <c r="U76" s="267"/>
      <c r="V76" s="267">
        <v>7</v>
      </c>
      <c r="W76" s="224">
        <v>7</v>
      </c>
      <c r="X76" s="267"/>
      <c r="Y76" s="267"/>
      <c r="Z76" s="267"/>
      <c r="AA76" s="267">
        <v>7</v>
      </c>
      <c r="AB76" s="224">
        <v>7</v>
      </c>
      <c r="AC76" s="267"/>
      <c r="AD76" s="267"/>
      <c r="AE76" s="267"/>
      <c r="AF76" s="267"/>
      <c r="AG76" s="224">
        <v>0</v>
      </c>
      <c r="AH76" s="267"/>
      <c r="AI76" s="267"/>
      <c r="AJ76" s="267"/>
      <c r="AK76" s="267"/>
      <c r="AL76" s="224">
        <v>0</v>
      </c>
      <c r="AM76" s="104">
        <v>14</v>
      </c>
      <c r="AN76" s="103" t="s">
        <v>685</v>
      </c>
      <c r="AO76" s="103" t="s">
        <v>612</v>
      </c>
      <c r="AP76" s="103" t="s">
        <v>1213</v>
      </c>
      <c r="AQ76" s="103" t="s">
        <v>1207</v>
      </c>
      <c r="AR76" s="103" t="s">
        <v>939</v>
      </c>
      <c r="AS76" s="271"/>
      <c r="AT76" s="271"/>
      <c r="AU76" s="271"/>
      <c r="AV76" s="271"/>
      <c r="AW76" s="271">
        <v>15402297.857142856</v>
      </c>
      <c r="AX76" s="271"/>
      <c r="AY76" s="271"/>
      <c r="AZ76" s="271"/>
      <c r="BA76" s="271"/>
      <c r="BB76" s="271">
        <v>12445252299.242857</v>
      </c>
      <c r="BC76" s="271"/>
      <c r="BD76" s="271"/>
      <c r="BE76" s="271"/>
      <c r="BF76" s="271"/>
      <c r="BG76" s="271"/>
      <c r="BH76" s="235">
        <f t="shared" si="16"/>
        <v>12460654597.1</v>
      </c>
      <c r="BI76" s="271"/>
      <c r="BJ76" s="271"/>
      <c r="BK76" s="271"/>
      <c r="BL76" s="271"/>
      <c r="BM76" s="271">
        <v>60780291.81428571</v>
      </c>
      <c r="BN76" s="271"/>
      <c r="BO76" s="271"/>
      <c r="BP76" s="271"/>
      <c r="BQ76" s="271"/>
      <c r="BR76" s="271">
        <v>12818609868.220142</v>
      </c>
      <c r="BS76" s="271"/>
      <c r="BT76" s="271"/>
      <c r="BU76" s="271"/>
      <c r="BV76" s="271"/>
      <c r="BW76" s="271"/>
      <c r="BX76" s="235">
        <f t="shared" si="17"/>
        <v>12879390160.034428</v>
      </c>
      <c r="BY76" s="271"/>
      <c r="BZ76" s="271"/>
      <c r="CA76" s="271"/>
      <c r="CB76" s="271"/>
      <c r="CC76" s="271"/>
      <c r="CD76" s="271"/>
      <c r="CE76" s="271"/>
      <c r="CF76" s="271"/>
      <c r="CG76" s="271"/>
      <c r="CH76" s="271"/>
      <c r="CI76" s="271"/>
      <c r="CJ76" s="271"/>
      <c r="CK76" s="271"/>
      <c r="CL76" s="271"/>
      <c r="CM76" s="271"/>
      <c r="CN76" s="235">
        <f t="shared" si="18"/>
        <v>0</v>
      </c>
      <c r="CO76" s="271"/>
      <c r="CP76" s="271"/>
      <c r="CQ76" s="271"/>
      <c r="CR76" s="271"/>
      <c r="CS76" s="271"/>
      <c r="CT76" s="271"/>
      <c r="CU76" s="271"/>
      <c r="CV76" s="271"/>
      <c r="CW76" s="271"/>
      <c r="CX76" s="271"/>
      <c r="CY76" s="271"/>
      <c r="CZ76" s="271"/>
      <c r="DA76" s="271"/>
      <c r="DB76" s="271"/>
      <c r="DC76" s="271"/>
      <c r="DD76" s="235">
        <f t="shared" si="19"/>
        <v>0</v>
      </c>
      <c r="DE76" s="244">
        <f t="shared" si="20"/>
        <v>25340044757.13443</v>
      </c>
    </row>
    <row r="77" spans="1:109" s="99" customFormat="1" ht="97.05" customHeight="1">
      <c r="A77" s="103" t="s">
        <v>1232</v>
      </c>
      <c r="B77" s="279" t="s">
        <v>9</v>
      </c>
      <c r="C77" s="103" t="s">
        <v>1696</v>
      </c>
      <c r="D77" s="279">
        <v>6</v>
      </c>
      <c r="E77" s="279" t="s">
        <v>175</v>
      </c>
      <c r="F77" s="280" t="s">
        <v>744</v>
      </c>
      <c r="G77" s="279" t="s">
        <v>3321</v>
      </c>
      <c r="H77" s="279">
        <v>9</v>
      </c>
      <c r="I77" s="279" t="s">
        <v>745</v>
      </c>
      <c r="J77" s="279" t="s">
        <v>677</v>
      </c>
      <c r="K77" s="279">
        <v>96</v>
      </c>
      <c r="L77" s="279" t="s">
        <v>746</v>
      </c>
      <c r="M77" s="279" t="s">
        <v>747</v>
      </c>
      <c r="N77" s="279" t="s">
        <v>748</v>
      </c>
      <c r="O77" s="279" t="s">
        <v>178</v>
      </c>
      <c r="P77" s="266">
        <v>69</v>
      </c>
      <c r="Q77" s="279" t="s">
        <v>3729</v>
      </c>
      <c r="R77" s="279" t="s">
        <v>188</v>
      </c>
      <c r="S77" s="279" t="s">
        <v>683</v>
      </c>
      <c r="T77" s="279">
        <v>1</v>
      </c>
      <c r="U77" s="267"/>
      <c r="V77" s="267">
        <v>1</v>
      </c>
      <c r="W77" s="224">
        <v>1</v>
      </c>
      <c r="X77" s="267"/>
      <c r="Y77" s="267"/>
      <c r="Z77" s="267"/>
      <c r="AA77" s="267">
        <v>1</v>
      </c>
      <c r="AB77" s="224">
        <v>1</v>
      </c>
      <c r="AC77" s="267"/>
      <c r="AD77" s="267"/>
      <c r="AE77" s="267"/>
      <c r="AF77" s="267">
        <v>1</v>
      </c>
      <c r="AG77" s="224">
        <v>1</v>
      </c>
      <c r="AH77" s="267"/>
      <c r="AI77" s="267"/>
      <c r="AJ77" s="267"/>
      <c r="AK77" s="267">
        <v>1</v>
      </c>
      <c r="AL77" s="224">
        <v>1</v>
      </c>
      <c r="AM77" s="104">
        <v>1</v>
      </c>
      <c r="AN77" s="103" t="s">
        <v>686</v>
      </c>
      <c r="AO77" s="103" t="s">
        <v>612</v>
      </c>
      <c r="AP77" s="103" t="s">
        <v>1213</v>
      </c>
      <c r="AQ77" s="103" t="s">
        <v>1207</v>
      </c>
      <c r="AR77" s="103" t="s">
        <v>939</v>
      </c>
      <c r="AS77" s="271"/>
      <c r="AT77" s="271"/>
      <c r="AU77" s="271"/>
      <c r="AV77" s="271"/>
      <c r="AW77" s="271">
        <v>15402297.857142856</v>
      </c>
      <c r="AX77" s="271"/>
      <c r="AY77" s="271"/>
      <c r="AZ77" s="271"/>
      <c r="BA77" s="271"/>
      <c r="BB77" s="271">
        <v>12445252299.242857</v>
      </c>
      <c r="BC77" s="271"/>
      <c r="BD77" s="271"/>
      <c r="BE77" s="271"/>
      <c r="BF77" s="271"/>
      <c r="BG77" s="271"/>
      <c r="BH77" s="235">
        <f t="shared" si="16"/>
        <v>12460654597.1</v>
      </c>
      <c r="BI77" s="271"/>
      <c r="BJ77" s="271"/>
      <c r="BK77" s="271"/>
      <c r="BL77" s="271"/>
      <c r="BM77" s="271">
        <v>60780291.81428571</v>
      </c>
      <c r="BN77" s="271"/>
      <c r="BO77" s="271"/>
      <c r="BP77" s="271"/>
      <c r="BQ77" s="271"/>
      <c r="BR77" s="271">
        <v>12818609868.220142</v>
      </c>
      <c r="BS77" s="271"/>
      <c r="BT77" s="271"/>
      <c r="BU77" s="271"/>
      <c r="BV77" s="271"/>
      <c r="BW77" s="271"/>
      <c r="BX77" s="235">
        <f t="shared" si="17"/>
        <v>12879390160.034428</v>
      </c>
      <c r="BY77" s="271"/>
      <c r="BZ77" s="271"/>
      <c r="CA77" s="271"/>
      <c r="CB77" s="271"/>
      <c r="CC77" s="271">
        <v>63819306.404999994</v>
      </c>
      <c r="CD77" s="271"/>
      <c r="CE77" s="271"/>
      <c r="CF77" s="271"/>
      <c r="CG77" s="271"/>
      <c r="CH77" s="271">
        <v>13203168164.266743</v>
      </c>
      <c r="CI77" s="271"/>
      <c r="CJ77" s="271"/>
      <c r="CK77" s="271"/>
      <c r="CL77" s="271"/>
      <c r="CM77" s="271"/>
      <c r="CN77" s="235">
        <f t="shared" si="18"/>
        <v>13266987470.671743</v>
      </c>
      <c r="CO77" s="271"/>
      <c r="CP77" s="271"/>
      <c r="CQ77" s="271"/>
      <c r="CR77" s="271"/>
      <c r="CS77" s="271">
        <v>94707850.705559999</v>
      </c>
      <c r="CT77" s="271"/>
      <c r="CU77" s="271"/>
      <c r="CV77" s="271"/>
      <c r="CW77" s="271"/>
      <c r="CX77" s="271">
        <v>19038968492.872658</v>
      </c>
      <c r="CY77" s="271"/>
      <c r="CZ77" s="271"/>
      <c r="DA77" s="271"/>
      <c r="DB77" s="271"/>
      <c r="DC77" s="271"/>
      <c r="DD77" s="235">
        <f t="shared" si="19"/>
        <v>19133676343.578217</v>
      </c>
      <c r="DE77" s="244">
        <f t="shared" si="20"/>
        <v>57740708571.384392</v>
      </c>
    </row>
    <row r="78" spans="1:109" s="99" customFormat="1" ht="97.05" customHeight="1">
      <c r="A78" s="103" t="s">
        <v>1232</v>
      </c>
      <c r="B78" s="279" t="s">
        <v>9</v>
      </c>
      <c r="C78" s="103" t="s">
        <v>1696</v>
      </c>
      <c r="D78" s="279">
        <v>6</v>
      </c>
      <c r="E78" s="279" t="s">
        <v>175</v>
      </c>
      <c r="F78" s="280" t="s">
        <v>744</v>
      </c>
      <c r="G78" s="279" t="s">
        <v>3321</v>
      </c>
      <c r="H78" s="279">
        <v>9</v>
      </c>
      <c r="I78" s="279" t="s">
        <v>745</v>
      </c>
      <c r="J78" s="279" t="s">
        <v>677</v>
      </c>
      <c r="K78" s="279">
        <v>96</v>
      </c>
      <c r="L78" s="279" t="s">
        <v>746</v>
      </c>
      <c r="M78" s="279" t="s">
        <v>747</v>
      </c>
      <c r="N78" s="279" t="s">
        <v>748</v>
      </c>
      <c r="O78" s="279" t="s">
        <v>178</v>
      </c>
      <c r="P78" s="266">
        <v>70</v>
      </c>
      <c r="Q78" s="279" t="s">
        <v>3730</v>
      </c>
      <c r="R78" s="279" t="s">
        <v>190</v>
      </c>
      <c r="S78" s="279" t="s">
        <v>683</v>
      </c>
      <c r="T78" s="279">
        <v>1</v>
      </c>
      <c r="U78" s="267"/>
      <c r="V78" s="267">
        <v>1</v>
      </c>
      <c r="W78" s="224">
        <v>1</v>
      </c>
      <c r="X78" s="267"/>
      <c r="Y78" s="267"/>
      <c r="Z78" s="267"/>
      <c r="AA78" s="267">
        <v>1</v>
      </c>
      <c r="AB78" s="224">
        <v>1</v>
      </c>
      <c r="AC78" s="267"/>
      <c r="AD78" s="267"/>
      <c r="AE78" s="267"/>
      <c r="AF78" s="267">
        <v>1</v>
      </c>
      <c r="AG78" s="224">
        <v>1</v>
      </c>
      <c r="AH78" s="267"/>
      <c r="AI78" s="267"/>
      <c r="AJ78" s="267"/>
      <c r="AK78" s="267">
        <v>1</v>
      </c>
      <c r="AL78" s="224">
        <v>1</v>
      </c>
      <c r="AM78" s="104">
        <v>1</v>
      </c>
      <c r="AN78" s="103" t="s">
        <v>686</v>
      </c>
      <c r="AO78" s="103" t="s">
        <v>612</v>
      </c>
      <c r="AP78" s="103" t="s">
        <v>1213</v>
      </c>
      <c r="AQ78" s="103" t="s">
        <v>1207</v>
      </c>
      <c r="AR78" s="103" t="s">
        <v>939</v>
      </c>
      <c r="AS78" s="271"/>
      <c r="AT78" s="271"/>
      <c r="AU78" s="271"/>
      <c r="AV78" s="271"/>
      <c r="AW78" s="271">
        <v>15402297.857142856</v>
      </c>
      <c r="AX78" s="271"/>
      <c r="AY78" s="271"/>
      <c r="AZ78" s="271"/>
      <c r="BA78" s="271"/>
      <c r="BB78" s="271">
        <v>12445252299.242857</v>
      </c>
      <c r="BC78" s="271"/>
      <c r="BD78" s="271"/>
      <c r="BE78" s="271"/>
      <c r="BF78" s="271"/>
      <c r="BG78" s="271"/>
      <c r="BH78" s="235">
        <f t="shared" si="16"/>
        <v>12460654597.1</v>
      </c>
      <c r="BI78" s="271"/>
      <c r="BJ78" s="271"/>
      <c r="BK78" s="271"/>
      <c r="BL78" s="271"/>
      <c r="BM78" s="271">
        <v>60780291.81428571</v>
      </c>
      <c r="BN78" s="271"/>
      <c r="BO78" s="271"/>
      <c r="BP78" s="271"/>
      <c r="BQ78" s="271"/>
      <c r="BR78" s="271">
        <v>12818609868.220142</v>
      </c>
      <c r="BS78" s="271"/>
      <c r="BT78" s="271"/>
      <c r="BU78" s="271"/>
      <c r="BV78" s="271"/>
      <c r="BW78" s="271"/>
      <c r="BX78" s="235">
        <f t="shared" si="17"/>
        <v>12879390160.034428</v>
      </c>
      <c r="BY78" s="271"/>
      <c r="BZ78" s="271"/>
      <c r="CA78" s="271"/>
      <c r="CB78" s="271"/>
      <c r="CC78" s="271">
        <v>63819306.404999994</v>
      </c>
      <c r="CD78" s="271"/>
      <c r="CE78" s="271"/>
      <c r="CF78" s="271"/>
      <c r="CG78" s="271"/>
      <c r="CH78" s="271">
        <v>13203168164.266743</v>
      </c>
      <c r="CI78" s="271"/>
      <c r="CJ78" s="271"/>
      <c r="CK78" s="271"/>
      <c r="CL78" s="271"/>
      <c r="CM78" s="271"/>
      <c r="CN78" s="235">
        <f t="shared" si="18"/>
        <v>13266987470.671743</v>
      </c>
      <c r="CO78" s="271"/>
      <c r="CP78" s="271"/>
      <c r="CQ78" s="271"/>
      <c r="CR78" s="271"/>
      <c r="CS78" s="271">
        <v>94707850.705559999</v>
      </c>
      <c r="CT78" s="271"/>
      <c r="CU78" s="271"/>
      <c r="CV78" s="271"/>
      <c r="CW78" s="271"/>
      <c r="CX78" s="271">
        <v>19038968492.872658</v>
      </c>
      <c r="CY78" s="271"/>
      <c r="CZ78" s="271"/>
      <c r="DA78" s="271"/>
      <c r="DB78" s="271"/>
      <c r="DC78" s="271"/>
      <c r="DD78" s="235">
        <f t="shared" si="19"/>
        <v>19133676343.578217</v>
      </c>
      <c r="DE78" s="244">
        <f t="shared" si="20"/>
        <v>57740708571.384392</v>
      </c>
    </row>
    <row r="79" spans="1:109" s="99" customFormat="1" ht="97.05" customHeight="1">
      <c r="A79" s="103" t="s">
        <v>1232</v>
      </c>
      <c r="B79" s="279" t="s">
        <v>9</v>
      </c>
      <c r="C79" s="103" t="s">
        <v>1696</v>
      </c>
      <c r="D79" s="279">
        <v>6</v>
      </c>
      <c r="E79" s="279" t="s">
        <v>175</v>
      </c>
      <c r="F79" s="280" t="s">
        <v>744</v>
      </c>
      <c r="G79" s="279" t="s">
        <v>3321</v>
      </c>
      <c r="H79" s="279">
        <v>9</v>
      </c>
      <c r="I79" s="279" t="s">
        <v>745</v>
      </c>
      <c r="J79" s="279" t="s">
        <v>677</v>
      </c>
      <c r="K79" s="279">
        <v>96</v>
      </c>
      <c r="L79" s="279" t="s">
        <v>746</v>
      </c>
      <c r="M79" s="279" t="s">
        <v>747</v>
      </c>
      <c r="N79" s="279" t="s">
        <v>748</v>
      </c>
      <c r="O79" s="279" t="s">
        <v>178</v>
      </c>
      <c r="P79" s="266">
        <v>71</v>
      </c>
      <c r="Q79" s="279" t="s">
        <v>3112</v>
      </c>
      <c r="R79" s="279" t="s">
        <v>193</v>
      </c>
      <c r="S79" s="279" t="s">
        <v>683</v>
      </c>
      <c r="T79" s="279">
        <v>0</v>
      </c>
      <c r="U79" s="267"/>
      <c r="V79" s="267">
        <v>1</v>
      </c>
      <c r="W79" s="224">
        <v>1</v>
      </c>
      <c r="X79" s="267"/>
      <c r="Y79" s="267"/>
      <c r="Z79" s="267"/>
      <c r="AA79" s="267">
        <v>1</v>
      </c>
      <c r="AB79" s="224">
        <v>1</v>
      </c>
      <c r="AC79" s="267"/>
      <c r="AD79" s="267"/>
      <c r="AE79" s="267"/>
      <c r="AF79" s="267">
        <v>1</v>
      </c>
      <c r="AG79" s="224">
        <v>1</v>
      </c>
      <c r="AH79" s="267"/>
      <c r="AI79" s="267"/>
      <c r="AJ79" s="267"/>
      <c r="AK79" s="267"/>
      <c r="AL79" s="224">
        <v>0</v>
      </c>
      <c r="AM79" s="104">
        <v>3</v>
      </c>
      <c r="AN79" s="103" t="s">
        <v>685</v>
      </c>
      <c r="AO79" s="103" t="s">
        <v>612</v>
      </c>
      <c r="AP79" s="103" t="s">
        <v>1213</v>
      </c>
      <c r="AQ79" s="103" t="s">
        <v>1207</v>
      </c>
      <c r="AR79" s="103" t="s">
        <v>939</v>
      </c>
      <c r="AS79" s="271"/>
      <c r="AT79" s="271"/>
      <c r="AU79" s="271"/>
      <c r="AV79" s="271"/>
      <c r="AW79" s="271">
        <v>15402297.857142856</v>
      </c>
      <c r="AX79" s="271"/>
      <c r="AY79" s="271"/>
      <c r="AZ79" s="271"/>
      <c r="BA79" s="271"/>
      <c r="BB79" s="271">
        <v>12445252299.242857</v>
      </c>
      <c r="BC79" s="271"/>
      <c r="BD79" s="271"/>
      <c r="BE79" s="271"/>
      <c r="BF79" s="271"/>
      <c r="BG79" s="271"/>
      <c r="BH79" s="235">
        <f t="shared" si="16"/>
        <v>12460654597.1</v>
      </c>
      <c r="BI79" s="271"/>
      <c r="BJ79" s="271"/>
      <c r="BK79" s="271"/>
      <c r="BL79" s="271"/>
      <c r="BM79" s="271">
        <v>60780291.81428571</v>
      </c>
      <c r="BN79" s="271"/>
      <c r="BO79" s="271"/>
      <c r="BP79" s="271"/>
      <c r="BQ79" s="271"/>
      <c r="BR79" s="271">
        <v>12818609868.220142</v>
      </c>
      <c r="BS79" s="271"/>
      <c r="BT79" s="271"/>
      <c r="BU79" s="271"/>
      <c r="BV79" s="271"/>
      <c r="BW79" s="271"/>
      <c r="BX79" s="235">
        <f t="shared" si="17"/>
        <v>12879390160.034428</v>
      </c>
      <c r="BY79" s="271"/>
      <c r="BZ79" s="271"/>
      <c r="CA79" s="271"/>
      <c r="CB79" s="271"/>
      <c r="CC79" s="271">
        <v>63819306.404999994</v>
      </c>
      <c r="CD79" s="271"/>
      <c r="CE79" s="271"/>
      <c r="CF79" s="271"/>
      <c r="CG79" s="271"/>
      <c r="CH79" s="271">
        <v>13203168164.266743</v>
      </c>
      <c r="CI79" s="271"/>
      <c r="CJ79" s="271"/>
      <c r="CK79" s="271"/>
      <c r="CL79" s="271"/>
      <c r="CM79" s="271"/>
      <c r="CN79" s="235">
        <f t="shared" si="18"/>
        <v>13266987470.671743</v>
      </c>
      <c r="CO79" s="271"/>
      <c r="CP79" s="271"/>
      <c r="CQ79" s="271"/>
      <c r="CR79" s="271"/>
      <c r="CS79" s="271"/>
      <c r="CT79" s="271"/>
      <c r="CU79" s="271"/>
      <c r="CV79" s="271"/>
      <c r="CW79" s="271"/>
      <c r="CX79" s="271"/>
      <c r="CY79" s="271"/>
      <c r="CZ79" s="271"/>
      <c r="DA79" s="271"/>
      <c r="DB79" s="271"/>
      <c r="DC79" s="271"/>
      <c r="DD79" s="235">
        <f t="shared" si="19"/>
        <v>0</v>
      </c>
      <c r="DE79" s="244">
        <f t="shared" si="20"/>
        <v>38607032227.806168</v>
      </c>
    </row>
    <row r="80" spans="1:109" s="99" customFormat="1" ht="97.05" customHeight="1">
      <c r="A80" s="103" t="s">
        <v>1232</v>
      </c>
      <c r="B80" s="279" t="s">
        <v>9</v>
      </c>
      <c r="C80" s="103" t="s">
        <v>1696</v>
      </c>
      <c r="D80" s="279">
        <v>6</v>
      </c>
      <c r="E80" s="279" t="s">
        <v>175</v>
      </c>
      <c r="F80" s="280" t="s">
        <v>744</v>
      </c>
      <c r="G80" s="279" t="s">
        <v>3321</v>
      </c>
      <c r="H80" s="279">
        <v>9</v>
      </c>
      <c r="I80" s="279" t="s">
        <v>745</v>
      </c>
      <c r="J80" s="279" t="s">
        <v>677</v>
      </c>
      <c r="K80" s="279">
        <v>96</v>
      </c>
      <c r="L80" s="279" t="s">
        <v>746</v>
      </c>
      <c r="M80" s="279" t="s">
        <v>747</v>
      </c>
      <c r="N80" s="279" t="s">
        <v>748</v>
      </c>
      <c r="O80" s="279" t="s">
        <v>178</v>
      </c>
      <c r="P80" s="266">
        <v>72</v>
      </c>
      <c r="Q80" s="279" t="s">
        <v>3731</v>
      </c>
      <c r="R80" s="279" t="s">
        <v>200</v>
      </c>
      <c r="S80" s="279" t="s">
        <v>683</v>
      </c>
      <c r="T80" s="279">
        <v>0</v>
      </c>
      <c r="U80" s="267"/>
      <c r="V80" s="267">
        <v>0.1</v>
      </c>
      <c r="W80" s="224">
        <v>0.1</v>
      </c>
      <c r="X80" s="267"/>
      <c r="Y80" s="267"/>
      <c r="Z80" s="267"/>
      <c r="AA80" s="267">
        <v>0.2</v>
      </c>
      <c r="AB80" s="224">
        <v>0.2</v>
      </c>
      <c r="AC80" s="267"/>
      <c r="AD80" s="267"/>
      <c r="AE80" s="267"/>
      <c r="AF80" s="267">
        <v>0.3</v>
      </c>
      <c r="AG80" s="224">
        <v>0.3</v>
      </c>
      <c r="AH80" s="267"/>
      <c r="AI80" s="267"/>
      <c r="AJ80" s="267"/>
      <c r="AK80" s="267">
        <v>0.4</v>
      </c>
      <c r="AL80" s="224">
        <v>0.4</v>
      </c>
      <c r="AM80" s="104">
        <v>1</v>
      </c>
      <c r="AN80" s="103" t="s">
        <v>685</v>
      </c>
      <c r="AO80" s="103" t="s">
        <v>612</v>
      </c>
      <c r="AP80" s="103" t="s">
        <v>1213</v>
      </c>
      <c r="AQ80" s="103" t="s">
        <v>1207</v>
      </c>
      <c r="AR80" s="103" t="s">
        <v>939</v>
      </c>
      <c r="AS80" s="271"/>
      <c r="AT80" s="271"/>
      <c r="AU80" s="271"/>
      <c r="AV80" s="271"/>
      <c r="AW80" s="271">
        <v>15402297.857142856</v>
      </c>
      <c r="AX80" s="271"/>
      <c r="AY80" s="271"/>
      <c r="AZ80" s="271"/>
      <c r="BA80" s="271"/>
      <c r="BB80" s="271">
        <v>12445252299.242857</v>
      </c>
      <c r="BC80" s="271"/>
      <c r="BD80" s="271"/>
      <c r="BE80" s="271"/>
      <c r="BF80" s="271"/>
      <c r="BG80" s="271"/>
      <c r="BH80" s="235">
        <f t="shared" si="16"/>
        <v>12460654597.1</v>
      </c>
      <c r="BI80" s="271"/>
      <c r="BJ80" s="271"/>
      <c r="BK80" s="271"/>
      <c r="BL80" s="271"/>
      <c r="BM80" s="271">
        <v>60780291.81428571</v>
      </c>
      <c r="BN80" s="271"/>
      <c r="BO80" s="271"/>
      <c r="BP80" s="271"/>
      <c r="BQ80" s="271"/>
      <c r="BR80" s="271">
        <v>12818609868.220142</v>
      </c>
      <c r="BS80" s="271"/>
      <c r="BT80" s="271"/>
      <c r="BU80" s="271"/>
      <c r="BV80" s="271"/>
      <c r="BW80" s="271"/>
      <c r="BX80" s="235">
        <f t="shared" si="17"/>
        <v>12879390160.034428</v>
      </c>
      <c r="BY80" s="271"/>
      <c r="BZ80" s="271"/>
      <c r="CA80" s="271"/>
      <c r="CB80" s="271"/>
      <c r="CC80" s="271">
        <v>63819306.404999994</v>
      </c>
      <c r="CD80" s="271"/>
      <c r="CE80" s="271"/>
      <c r="CF80" s="271"/>
      <c r="CG80" s="271"/>
      <c r="CH80" s="271">
        <v>13203168164.266743</v>
      </c>
      <c r="CI80" s="271"/>
      <c r="CJ80" s="271"/>
      <c r="CK80" s="271"/>
      <c r="CL80" s="271"/>
      <c r="CM80" s="271"/>
      <c r="CN80" s="235">
        <f t="shared" si="18"/>
        <v>13266987470.671743</v>
      </c>
      <c r="CO80" s="271"/>
      <c r="CP80" s="271"/>
      <c r="CQ80" s="271"/>
      <c r="CR80" s="271"/>
      <c r="CS80" s="271">
        <v>94707850.705559999</v>
      </c>
      <c r="CT80" s="271"/>
      <c r="CU80" s="271"/>
      <c r="CV80" s="271"/>
      <c r="CW80" s="271"/>
      <c r="CX80" s="271">
        <v>19038968492.872658</v>
      </c>
      <c r="CY80" s="271"/>
      <c r="CZ80" s="271"/>
      <c r="DA80" s="271"/>
      <c r="DB80" s="271"/>
      <c r="DC80" s="271"/>
      <c r="DD80" s="235">
        <f t="shared" si="19"/>
        <v>19133676343.578217</v>
      </c>
      <c r="DE80" s="244">
        <f t="shared" si="20"/>
        <v>57740708571.384392</v>
      </c>
    </row>
    <row r="81" spans="1:109" s="99" customFormat="1" ht="97.05" customHeight="1">
      <c r="A81" s="103" t="s">
        <v>1232</v>
      </c>
      <c r="B81" s="279" t="s">
        <v>9</v>
      </c>
      <c r="C81" s="103" t="s">
        <v>1696</v>
      </c>
      <c r="D81" s="279">
        <v>6</v>
      </c>
      <c r="E81" s="279" t="s">
        <v>175</v>
      </c>
      <c r="F81" s="280" t="s">
        <v>744</v>
      </c>
      <c r="G81" s="279" t="s">
        <v>3321</v>
      </c>
      <c r="H81" s="279">
        <v>9</v>
      </c>
      <c r="I81" s="279" t="s">
        <v>745</v>
      </c>
      <c r="J81" s="279" t="s">
        <v>677</v>
      </c>
      <c r="K81" s="279">
        <v>96</v>
      </c>
      <c r="L81" s="279" t="s">
        <v>746</v>
      </c>
      <c r="M81" s="279" t="s">
        <v>747</v>
      </c>
      <c r="N81" s="279" t="s">
        <v>748</v>
      </c>
      <c r="O81" s="279" t="s">
        <v>178</v>
      </c>
      <c r="P81" s="266">
        <v>73</v>
      </c>
      <c r="Q81" s="279" t="s">
        <v>3113</v>
      </c>
      <c r="R81" s="279" t="s">
        <v>201</v>
      </c>
      <c r="S81" s="279" t="s">
        <v>683</v>
      </c>
      <c r="T81" s="279">
        <v>1</v>
      </c>
      <c r="U81" s="267"/>
      <c r="V81" s="267">
        <v>1</v>
      </c>
      <c r="W81" s="224">
        <v>1</v>
      </c>
      <c r="X81" s="267"/>
      <c r="Y81" s="267"/>
      <c r="Z81" s="267"/>
      <c r="AA81" s="267">
        <v>3</v>
      </c>
      <c r="AB81" s="224">
        <v>3</v>
      </c>
      <c r="AC81" s="267"/>
      <c r="AD81" s="267"/>
      <c r="AE81" s="267"/>
      <c r="AF81" s="267">
        <v>3</v>
      </c>
      <c r="AG81" s="224">
        <v>3</v>
      </c>
      <c r="AH81" s="267"/>
      <c r="AI81" s="267"/>
      <c r="AJ81" s="267"/>
      <c r="AK81" s="267">
        <v>3</v>
      </c>
      <c r="AL81" s="224">
        <v>3</v>
      </c>
      <c r="AM81" s="104">
        <v>10</v>
      </c>
      <c r="AN81" s="103" t="s">
        <v>685</v>
      </c>
      <c r="AO81" s="103" t="s">
        <v>612</v>
      </c>
      <c r="AP81" s="103" t="s">
        <v>1213</v>
      </c>
      <c r="AQ81" s="103" t="s">
        <v>1207</v>
      </c>
      <c r="AR81" s="103" t="s">
        <v>939</v>
      </c>
      <c r="AS81" s="271"/>
      <c r="AT81" s="271"/>
      <c r="AU81" s="271"/>
      <c r="AV81" s="271"/>
      <c r="AW81" s="271">
        <v>15402297.857142856</v>
      </c>
      <c r="AX81" s="271"/>
      <c r="AY81" s="271"/>
      <c r="AZ81" s="271"/>
      <c r="BA81" s="271"/>
      <c r="BB81" s="271">
        <v>12445252299.242857</v>
      </c>
      <c r="BC81" s="271"/>
      <c r="BD81" s="271"/>
      <c r="BE81" s="271"/>
      <c r="BF81" s="271"/>
      <c r="BG81" s="271"/>
      <c r="BH81" s="235">
        <f t="shared" si="16"/>
        <v>12460654597.1</v>
      </c>
      <c r="BI81" s="271"/>
      <c r="BJ81" s="271"/>
      <c r="BK81" s="271"/>
      <c r="BL81" s="271"/>
      <c r="BM81" s="271">
        <v>60780291.81428571</v>
      </c>
      <c r="BN81" s="271"/>
      <c r="BO81" s="271"/>
      <c r="BP81" s="271"/>
      <c r="BQ81" s="271"/>
      <c r="BR81" s="271">
        <v>12818609868.220142</v>
      </c>
      <c r="BS81" s="271"/>
      <c r="BT81" s="271"/>
      <c r="BU81" s="271"/>
      <c r="BV81" s="271"/>
      <c r="BW81" s="271"/>
      <c r="BX81" s="235">
        <f t="shared" si="17"/>
        <v>12879390160.034428</v>
      </c>
      <c r="BY81" s="271"/>
      <c r="BZ81" s="271"/>
      <c r="CA81" s="271"/>
      <c r="CB81" s="271"/>
      <c r="CC81" s="271">
        <v>63819306.404999994</v>
      </c>
      <c r="CD81" s="271"/>
      <c r="CE81" s="271"/>
      <c r="CF81" s="271"/>
      <c r="CG81" s="271"/>
      <c r="CH81" s="271">
        <v>13203168164.266743</v>
      </c>
      <c r="CI81" s="271"/>
      <c r="CJ81" s="271"/>
      <c r="CK81" s="271"/>
      <c r="CL81" s="271"/>
      <c r="CM81" s="271"/>
      <c r="CN81" s="235">
        <f t="shared" si="18"/>
        <v>13266987470.671743</v>
      </c>
      <c r="CO81" s="271"/>
      <c r="CP81" s="271"/>
      <c r="CQ81" s="271"/>
      <c r="CR81" s="271"/>
      <c r="CS81" s="271">
        <v>94707850.705559999</v>
      </c>
      <c r="CT81" s="271"/>
      <c r="CU81" s="271"/>
      <c r="CV81" s="271"/>
      <c r="CW81" s="271"/>
      <c r="CX81" s="271">
        <v>19038968492.872658</v>
      </c>
      <c r="CY81" s="271"/>
      <c r="CZ81" s="271"/>
      <c r="DA81" s="271"/>
      <c r="DB81" s="271"/>
      <c r="DC81" s="271"/>
      <c r="DD81" s="235">
        <f t="shared" si="19"/>
        <v>19133676343.578217</v>
      </c>
      <c r="DE81" s="244">
        <f t="shared" si="20"/>
        <v>57740708571.384392</v>
      </c>
    </row>
    <row r="82" spans="1:109" s="99" customFormat="1" ht="97.05" customHeight="1">
      <c r="A82" s="120" t="s">
        <v>1232</v>
      </c>
      <c r="B82" s="281" t="s">
        <v>9</v>
      </c>
      <c r="C82" s="120" t="s">
        <v>1696</v>
      </c>
      <c r="D82" s="281">
        <v>6</v>
      </c>
      <c r="E82" s="281" t="s">
        <v>175</v>
      </c>
      <c r="F82" s="282" t="s">
        <v>744</v>
      </c>
      <c r="G82" s="281" t="s">
        <v>3321</v>
      </c>
      <c r="H82" s="281">
        <v>9</v>
      </c>
      <c r="I82" s="281" t="s">
        <v>745</v>
      </c>
      <c r="J82" s="281" t="s">
        <v>677</v>
      </c>
      <c r="K82" s="281">
        <v>96</v>
      </c>
      <c r="L82" s="281" t="s">
        <v>746</v>
      </c>
      <c r="M82" s="281" t="s">
        <v>747</v>
      </c>
      <c r="N82" s="281" t="s">
        <v>748</v>
      </c>
      <c r="O82" s="281" t="s">
        <v>178</v>
      </c>
      <c r="P82" s="266">
        <v>74</v>
      </c>
      <c r="Q82" s="281" t="s">
        <v>3320</v>
      </c>
      <c r="R82" s="281" t="s">
        <v>749</v>
      </c>
      <c r="S82" s="281" t="s">
        <v>683</v>
      </c>
      <c r="T82" s="281">
        <v>50</v>
      </c>
      <c r="U82" s="275"/>
      <c r="V82" s="275">
        <v>10</v>
      </c>
      <c r="W82" s="225">
        <v>10</v>
      </c>
      <c r="X82" s="275"/>
      <c r="Y82" s="275"/>
      <c r="Z82" s="275"/>
      <c r="AA82" s="275">
        <v>30</v>
      </c>
      <c r="AB82" s="225">
        <v>30</v>
      </c>
      <c r="AC82" s="275"/>
      <c r="AD82" s="275"/>
      <c r="AE82" s="275"/>
      <c r="AF82" s="275">
        <v>30</v>
      </c>
      <c r="AG82" s="225">
        <v>30</v>
      </c>
      <c r="AH82" s="275"/>
      <c r="AI82" s="275"/>
      <c r="AJ82" s="275"/>
      <c r="AK82" s="275">
        <v>30</v>
      </c>
      <c r="AL82" s="225">
        <v>30</v>
      </c>
      <c r="AM82" s="119">
        <v>100</v>
      </c>
      <c r="AN82" s="120" t="s">
        <v>685</v>
      </c>
      <c r="AO82" s="120" t="s">
        <v>612</v>
      </c>
      <c r="AP82" s="120" t="s">
        <v>1213</v>
      </c>
      <c r="AQ82" s="120" t="s">
        <v>1207</v>
      </c>
      <c r="AR82" s="120" t="s">
        <v>939</v>
      </c>
      <c r="AS82" s="276"/>
      <c r="AT82" s="276"/>
      <c r="AU82" s="276"/>
      <c r="AV82" s="276"/>
      <c r="AW82" s="276">
        <v>15402297.857142856</v>
      </c>
      <c r="AX82" s="276"/>
      <c r="AY82" s="276"/>
      <c r="AZ82" s="276"/>
      <c r="BA82" s="276"/>
      <c r="BB82" s="276">
        <v>12445252299.242857</v>
      </c>
      <c r="BC82" s="276"/>
      <c r="BD82" s="276"/>
      <c r="BE82" s="276"/>
      <c r="BF82" s="276"/>
      <c r="BG82" s="276"/>
      <c r="BH82" s="236">
        <f t="shared" si="16"/>
        <v>12460654597.1</v>
      </c>
      <c r="BI82" s="276"/>
      <c r="BJ82" s="276"/>
      <c r="BK82" s="276"/>
      <c r="BL82" s="276"/>
      <c r="BM82" s="276">
        <v>60780291.81428571</v>
      </c>
      <c r="BN82" s="276"/>
      <c r="BO82" s="276"/>
      <c r="BP82" s="276"/>
      <c r="BQ82" s="276"/>
      <c r="BR82" s="276">
        <v>12818609868.220142</v>
      </c>
      <c r="BS82" s="276"/>
      <c r="BT82" s="276"/>
      <c r="BU82" s="276"/>
      <c r="BV82" s="276"/>
      <c r="BW82" s="276"/>
      <c r="BX82" s="236">
        <f t="shared" si="17"/>
        <v>12879390160.034428</v>
      </c>
      <c r="BY82" s="276"/>
      <c r="BZ82" s="276"/>
      <c r="CA82" s="276"/>
      <c r="CB82" s="276"/>
      <c r="CC82" s="276">
        <v>63819306.404999994</v>
      </c>
      <c r="CD82" s="276"/>
      <c r="CE82" s="276"/>
      <c r="CF82" s="276"/>
      <c r="CG82" s="276"/>
      <c r="CH82" s="276">
        <v>13203168164.266743</v>
      </c>
      <c r="CI82" s="276"/>
      <c r="CJ82" s="276"/>
      <c r="CK82" s="276"/>
      <c r="CL82" s="276"/>
      <c r="CM82" s="276"/>
      <c r="CN82" s="236">
        <f t="shared" si="18"/>
        <v>13266987470.671743</v>
      </c>
      <c r="CO82" s="276"/>
      <c r="CP82" s="276"/>
      <c r="CQ82" s="276"/>
      <c r="CR82" s="276"/>
      <c r="CS82" s="276">
        <v>94707850.705559999</v>
      </c>
      <c r="CT82" s="276"/>
      <c r="CU82" s="276"/>
      <c r="CV82" s="276"/>
      <c r="CW82" s="276"/>
      <c r="CX82" s="276">
        <v>19038968492.872658</v>
      </c>
      <c r="CY82" s="276"/>
      <c r="CZ82" s="276"/>
      <c r="DA82" s="276"/>
      <c r="DB82" s="276"/>
      <c r="DC82" s="276"/>
      <c r="DD82" s="236">
        <f t="shared" si="19"/>
        <v>19133676343.578217</v>
      </c>
      <c r="DE82" s="245">
        <f t="shared" si="20"/>
        <v>57740708571.384392</v>
      </c>
    </row>
    <row r="83" spans="1:109" s="46" customFormat="1" ht="65.099999999999994" customHeight="1">
      <c r="A83" s="134" t="s">
        <v>1232</v>
      </c>
      <c r="B83" s="134" t="s">
        <v>9</v>
      </c>
      <c r="C83" s="134" t="s">
        <v>1696</v>
      </c>
      <c r="D83" s="148">
        <v>6</v>
      </c>
      <c r="E83" s="148" t="s">
        <v>175</v>
      </c>
      <c r="F83" s="149"/>
      <c r="G83" s="150"/>
      <c r="H83" s="151"/>
      <c r="I83" s="151"/>
      <c r="J83" s="151"/>
      <c r="K83" s="152"/>
      <c r="L83" s="151"/>
      <c r="M83" s="151"/>
      <c r="N83" s="151"/>
      <c r="O83" s="151"/>
      <c r="P83" s="151"/>
      <c r="Q83" s="150"/>
      <c r="R83" s="153"/>
      <c r="S83" s="151"/>
      <c r="T83" s="151"/>
      <c r="U83" s="154"/>
      <c r="V83" s="154"/>
      <c r="W83" s="152"/>
      <c r="X83" s="154"/>
      <c r="Y83" s="154"/>
      <c r="Z83" s="154"/>
      <c r="AA83" s="154"/>
      <c r="AB83" s="152"/>
      <c r="AC83" s="154"/>
      <c r="AD83" s="154"/>
      <c r="AE83" s="154"/>
      <c r="AF83" s="154"/>
      <c r="AG83" s="152"/>
      <c r="AH83" s="154"/>
      <c r="AI83" s="154"/>
      <c r="AJ83" s="154"/>
      <c r="AK83" s="154"/>
      <c r="AL83" s="152"/>
      <c r="AM83" s="155"/>
      <c r="AN83" s="156"/>
      <c r="AO83" s="156"/>
      <c r="AP83" s="157"/>
      <c r="AQ83" s="157"/>
      <c r="AR83" s="158"/>
      <c r="AS83" s="132">
        <f>SUM(AS75:AS82)</f>
        <v>0</v>
      </c>
      <c r="AT83" s="132">
        <f t="shared" ref="AT83:DE83" si="21">SUM(AT75:AT82)</f>
        <v>0</v>
      </c>
      <c r="AU83" s="132">
        <f t="shared" si="21"/>
        <v>0</v>
      </c>
      <c r="AV83" s="132">
        <f t="shared" si="21"/>
        <v>0</v>
      </c>
      <c r="AW83" s="132">
        <f t="shared" si="21"/>
        <v>107816084.99999999</v>
      </c>
      <c r="AX83" s="132">
        <f t="shared" si="21"/>
        <v>0</v>
      </c>
      <c r="AY83" s="132">
        <f t="shared" si="21"/>
        <v>0</v>
      </c>
      <c r="AZ83" s="132">
        <f t="shared" si="21"/>
        <v>0</v>
      </c>
      <c r="BA83" s="132">
        <f t="shared" si="21"/>
        <v>0</v>
      </c>
      <c r="BB83" s="132">
        <f t="shared" si="21"/>
        <v>87116766094.699997</v>
      </c>
      <c r="BC83" s="132">
        <f t="shared" si="21"/>
        <v>0</v>
      </c>
      <c r="BD83" s="132">
        <f t="shared" si="21"/>
        <v>0</v>
      </c>
      <c r="BE83" s="132">
        <f t="shared" si="21"/>
        <v>0</v>
      </c>
      <c r="BF83" s="132">
        <f t="shared" si="21"/>
        <v>0</v>
      </c>
      <c r="BG83" s="132">
        <f t="shared" si="21"/>
        <v>0</v>
      </c>
      <c r="BH83" s="132">
        <f>IF(OR(AND(BH75=0,W75&lt;&gt;0),AND(BH76=0,W76&lt;&gt;0),AND(BH77=0,W77&lt;&gt;0),AND(BH78=0,W78&lt;&gt;0),AND(BH79=0,W79&lt;&gt;0),AND(BH80=0,W80&lt;&gt;0),AND(BH81=0,W81&lt;&gt;0),AND(BH82=0,W82&lt;&gt;0)),"NO DEBEN QUEDAR CELDAS EN ROJO",SUM(BH75:BH82))</f>
        <v>87224582179.700012</v>
      </c>
      <c r="BI83" s="132">
        <f t="shared" si="21"/>
        <v>0</v>
      </c>
      <c r="BJ83" s="132">
        <f t="shared" si="21"/>
        <v>0</v>
      </c>
      <c r="BK83" s="132">
        <f t="shared" si="21"/>
        <v>0</v>
      </c>
      <c r="BL83" s="132">
        <f t="shared" si="21"/>
        <v>0</v>
      </c>
      <c r="BM83" s="132">
        <f t="shared" si="21"/>
        <v>425462042.69999993</v>
      </c>
      <c r="BN83" s="132">
        <f t="shared" si="21"/>
        <v>0</v>
      </c>
      <c r="BO83" s="132">
        <f t="shared" si="21"/>
        <v>0</v>
      </c>
      <c r="BP83" s="132">
        <f t="shared" si="21"/>
        <v>0</v>
      </c>
      <c r="BQ83" s="132">
        <f t="shared" si="21"/>
        <v>0</v>
      </c>
      <c r="BR83" s="132">
        <f t="shared" si="21"/>
        <v>89730269077.540985</v>
      </c>
      <c r="BS83" s="132">
        <f t="shared" si="21"/>
        <v>0</v>
      </c>
      <c r="BT83" s="132">
        <f t="shared" si="21"/>
        <v>0</v>
      </c>
      <c r="BU83" s="132">
        <f t="shared" si="21"/>
        <v>0</v>
      </c>
      <c r="BV83" s="132">
        <f t="shared" si="21"/>
        <v>0</v>
      </c>
      <c r="BW83" s="132">
        <f t="shared" si="21"/>
        <v>0</v>
      </c>
      <c r="BX83" s="132">
        <f>IF(OR(AND(BX75=0,AB75&lt;&gt;0),AND(BX76=0,AB76&lt;&gt;0),AND(BX77=0,AB77&lt;&gt;0),AND(BX78=0,AB78&lt;&gt;0),AND(BX79=0,AB79&lt;&gt;0),AND(BX80=0,AB80&lt;&gt;0),AND(BX81=0,AB81&lt;&gt;0),AND(BX82=0,AB82&lt;&gt;0)),"NO DEBEN QUEDAR CELDAS EN ROJO",SUM(BX75:BX82))</f>
        <v>90155731120.240982</v>
      </c>
      <c r="BY83" s="132">
        <f t="shared" si="21"/>
        <v>0</v>
      </c>
      <c r="BZ83" s="132">
        <f t="shared" si="21"/>
        <v>0</v>
      </c>
      <c r="CA83" s="132">
        <f t="shared" si="21"/>
        <v>0</v>
      </c>
      <c r="CB83" s="132">
        <f t="shared" si="21"/>
        <v>0</v>
      </c>
      <c r="CC83" s="132">
        <f t="shared" si="21"/>
        <v>446735144.83499992</v>
      </c>
      <c r="CD83" s="132">
        <f t="shared" si="21"/>
        <v>0</v>
      </c>
      <c r="CE83" s="132">
        <f t="shared" si="21"/>
        <v>0</v>
      </c>
      <c r="CF83" s="132">
        <f t="shared" si="21"/>
        <v>0</v>
      </c>
      <c r="CG83" s="132">
        <f t="shared" si="21"/>
        <v>0</v>
      </c>
      <c r="CH83" s="132">
        <f t="shared" si="21"/>
        <v>92422177149.867188</v>
      </c>
      <c r="CI83" s="132">
        <f t="shared" si="21"/>
        <v>0</v>
      </c>
      <c r="CJ83" s="132">
        <f t="shared" si="21"/>
        <v>0</v>
      </c>
      <c r="CK83" s="132">
        <f t="shared" si="21"/>
        <v>0</v>
      </c>
      <c r="CL83" s="132">
        <f t="shared" si="21"/>
        <v>0</v>
      </c>
      <c r="CM83" s="132">
        <f t="shared" si="21"/>
        <v>0</v>
      </c>
      <c r="CN83" s="132">
        <f>IF(OR(AND(CN75=0,AG75&lt;&gt;0),AND(CN76=0,AG76&lt;&gt;0),AND(CN77=0,AG77&lt;&gt;0),AND(CN78=0,AG78&lt;&gt;0),AND(CN79=0,AG79&lt;&gt;0),AND(CN80=0,AG80&lt;&gt;0),AND(CN81=0,AG81&lt;&gt;0),AND(CN82=0,AG82&lt;&gt;0)),"NO DEBEN QUEDAR CELDAS EN ROJO",SUM(CN75:CN82))</f>
        <v>92868912294.702194</v>
      </c>
      <c r="CO83" s="132">
        <f t="shared" si="21"/>
        <v>0</v>
      </c>
      <c r="CP83" s="132">
        <f t="shared" si="21"/>
        <v>0</v>
      </c>
      <c r="CQ83" s="132">
        <f t="shared" si="21"/>
        <v>0</v>
      </c>
      <c r="CR83" s="132">
        <f t="shared" si="21"/>
        <v>0</v>
      </c>
      <c r="CS83" s="132">
        <f t="shared" si="21"/>
        <v>473539253.52779996</v>
      </c>
      <c r="CT83" s="132">
        <f t="shared" si="21"/>
        <v>0</v>
      </c>
      <c r="CU83" s="132">
        <f t="shared" si="21"/>
        <v>0</v>
      </c>
      <c r="CV83" s="132">
        <f t="shared" si="21"/>
        <v>0</v>
      </c>
      <c r="CW83" s="132">
        <f t="shared" si="21"/>
        <v>0</v>
      </c>
      <c r="CX83" s="132">
        <f t="shared" si="21"/>
        <v>95194842464.363281</v>
      </c>
      <c r="CY83" s="132">
        <f t="shared" si="21"/>
        <v>0</v>
      </c>
      <c r="CZ83" s="132">
        <f t="shared" si="21"/>
        <v>0</v>
      </c>
      <c r="DA83" s="132">
        <f t="shared" si="21"/>
        <v>0</v>
      </c>
      <c r="DB83" s="132">
        <f t="shared" si="21"/>
        <v>0</v>
      </c>
      <c r="DC83" s="132">
        <f t="shared" si="21"/>
        <v>0</v>
      </c>
      <c r="DD83" s="132">
        <f>IF(OR(AND(DD75=0,AL75&lt;&gt;0),AND(DD76=0,AL76&lt;&gt;0),AND(DD77=0,AL77&lt;&gt;0),AND(DD78=0,AL78&lt;&gt;0),AND(DD79=0,AL79&lt;&gt;0),AND(DD80=0,AL80&lt;&gt;0),AND(DD81=0,AL81&lt;&gt;0),AND(DD82=0,AL82&lt;&gt;0)),"NO DEBEN QUEDAR CELDAS EN ROJO",SUM(DD75:DD82))</f>
        <v>95668381717.891083</v>
      </c>
      <c r="DE83" s="133">
        <f t="shared" si="21"/>
        <v>365917607312.5343</v>
      </c>
    </row>
    <row r="84" spans="1:109" s="116" customFormat="1" ht="55.05" customHeight="1">
      <c r="A84" s="124" t="s">
        <v>1232</v>
      </c>
      <c r="B84" s="125" t="s">
        <v>9</v>
      </c>
      <c r="C84" s="145" t="s">
        <v>1696</v>
      </c>
      <c r="D84" s="160"/>
      <c r="E84" s="161"/>
      <c r="F84" s="162"/>
      <c r="G84" s="163"/>
      <c r="H84" s="161"/>
      <c r="I84" s="161"/>
      <c r="J84" s="161"/>
      <c r="K84" s="161"/>
      <c r="L84" s="161"/>
      <c r="M84" s="161"/>
      <c r="N84" s="161"/>
      <c r="O84" s="161"/>
      <c r="P84" s="161"/>
      <c r="Q84" s="163"/>
      <c r="R84" s="164"/>
      <c r="S84" s="161"/>
      <c r="T84" s="161"/>
      <c r="U84" s="165"/>
      <c r="V84" s="165"/>
      <c r="W84" s="166"/>
      <c r="X84" s="165"/>
      <c r="Y84" s="165"/>
      <c r="Z84" s="165"/>
      <c r="AA84" s="165"/>
      <c r="AB84" s="166"/>
      <c r="AC84" s="165"/>
      <c r="AD84" s="165"/>
      <c r="AE84" s="165"/>
      <c r="AF84" s="165"/>
      <c r="AG84" s="166"/>
      <c r="AH84" s="165"/>
      <c r="AI84" s="165"/>
      <c r="AJ84" s="165"/>
      <c r="AK84" s="165"/>
      <c r="AL84" s="166"/>
      <c r="AM84" s="167"/>
      <c r="AN84" s="168"/>
      <c r="AO84" s="168"/>
      <c r="AP84" s="163"/>
      <c r="AQ84" s="163"/>
      <c r="AR84" s="169"/>
      <c r="AS84" s="147">
        <f>SUM(AS74+AS70+AS61+AS55+AS9)</f>
        <v>0</v>
      </c>
      <c r="AT84" s="130">
        <f>SUM(AT74+AT70+AT61+AT55+AT9)</f>
        <v>0</v>
      </c>
      <c r="AU84" s="130">
        <f>SUM(AU74+AU70+AU61+AU55+AU9+AU83)</f>
        <v>0</v>
      </c>
      <c r="AV84" s="130">
        <f t="shared" ref="AV84:DE84" si="22">SUM(AV74+AV70+AV61+AV55+AV9+AV83)</f>
        <v>0</v>
      </c>
      <c r="AW84" s="130">
        <f t="shared" si="22"/>
        <v>39255522965.260002</v>
      </c>
      <c r="AX84" s="130">
        <f t="shared" si="22"/>
        <v>0</v>
      </c>
      <c r="AY84" s="130">
        <f t="shared" si="22"/>
        <v>0</v>
      </c>
      <c r="AZ84" s="130">
        <f t="shared" si="22"/>
        <v>0</v>
      </c>
      <c r="BA84" s="130">
        <f t="shared" si="22"/>
        <v>0</v>
      </c>
      <c r="BB84" s="130">
        <f t="shared" si="22"/>
        <v>578290652443</v>
      </c>
      <c r="BC84" s="130">
        <f t="shared" si="22"/>
        <v>0</v>
      </c>
      <c r="BD84" s="130">
        <f t="shared" si="22"/>
        <v>0</v>
      </c>
      <c r="BE84" s="130">
        <f t="shared" si="22"/>
        <v>0</v>
      </c>
      <c r="BF84" s="130">
        <f t="shared" si="22"/>
        <v>0</v>
      </c>
      <c r="BG84" s="130">
        <f t="shared" si="22"/>
        <v>42013224373.970001</v>
      </c>
      <c r="BH84" s="131">
        <f t="shared" si="22"/>
        <v>659559399782.22998</v>
      </c>
      <c r="BI84" s="130">
        <f t="shared" si="22"/>
        <v>0</v>
      </c>
      <c r="BJ84" s="130">
        <f t="shared" si="22"/>
        <v>0</v>
      </c>
      <c r="BK84" s="130">
        <f t="shared" si="22"/>
        <v>0</v>
      </c>
      <c r="BL84" s="130">
        <f t="shared" si="22"/>
        <v>0</v>
      </c>
      <c r="BM84" s="130">
        <f t="shared" si="22"/>
        <v>43074643930.840462</v>
      </c>
      <c r="BN84" s="130">
        <f t="shared" si="22"/>
        <v>0</v>
      </c>
      <c r="BO84" s="130">
        <f t="shared" si="22"/>
        <v>0</v>
      </c>
      <c r="BP84" s="130">
        <f t="shared" si="22"/>
        <v>0</v>
      </c>
      <c r="BQ84" s="130">
        <f t="shared" si="22"/>
        <v>0</v>
      </c>
      <c r="BR84" s="130">
        <f t="shared" si="22"/>
        <v>595639372016.29004</v>
      </c>
      <c r="BS84" s="130">
        <f t="shared" si="22"/>
        <v>0</v>
      </c>
      <c r="BT84" s="130">
        <f t="shared" si="22"/>
        <v>0</v>
      </c>
      <c r="BU84" s="130">
        <f t="shared" si="22"/>
        <v>0</v>
      </c>
      <c r="BV84" s="130">
        <f t="shared" si="22"/>
        <v>0</v>
      </c>
      <c r="BW84" s="130">
        <f t="shared" si="22"/>
        <v>37131500000</v>
      </c>
      <c r="BX84" s="131">
        <f t="shared" si="22"/>
        <v>675845515947.13049</v>
      </c>
      <c r="BY84" s="130">
        <f t="shared" si="22"/>
        <v>0</v>
      </c>
      <c r="BZ84" s="130">
        <f t="shared" si="22"/>
        <v>0</v>
      </c>
      <c r="CA84" s="130">
        <f t="shared" si="22"/>
        <v>0</v>
      </c>
      <c r="CB84" s="130">
        <f t="shared" si="22"/>
        <v>0</v>
      </c>
      <c r="CC84" s="130">
        <f t="shared" si="22"/>
        <v>44466907983.860794</v>
      </c>
      <c r="CD84" s="130">
        <f t="shared" si="22"/>
        <v>0</v>
      </c>
      <c r="CE84" s="130">
        <f t="shared" si="22"/>
        <v>0</v>
      </c>
      <c r="CF84" s="130">
        <f t="shared" si="22"/>
        <v>0</v>
      </c>
      <c r="CG84" s="130">
        <f t="shared" si="22"/>
        <v>0</v>
      </c>
      <c r="CH84" s="130">
        <f t="shared" si="22"/>
        <v>613508553176.77869</v>
      </c>
      <c r="CI84" s="130">
        <f t="shared" si="22"/>
        <v>0</v>
      </c>
      <c r="CJ84" s="130">
        <f t="shared" si="22"/>
        <v>0</v>
      </c>
      <c r="CK84" s="130">
        <f t="shared" si="22"/>
        <v>0</v>
      </c>
      <c r="CL84" s="130">
        <f t="shared" si="22"/>
        <v>0</v>
      </c>
      <c r="CM84" s="130">
        <f t="shared" si="22"/>
        <v>45245445000</v>
      </c>
      <c r="CN84" s="131">
        <f t="shared" si="22"/>
        <v>703220906160.6394</v>
      </c>
      <c r="CO84" s="130">
        <f t="shared" si="22"/>
        <v>0</v>
      </c>
      <c r="CP84" s="130">
        <f t="shared" si="22"/>
        <v>0</v>
      </c>
      <c r="CQ84" s="130">
        <f t="shared" si="22"/>
        <v>0</v>
      </c>
      <c r="CR84" s="130">
        <f t="shared" si="22"/>
        <v>0</v>
      </c>
      <c r="CS84" s="130">
        <f t="shared" si="22"/>
        <v>46305148990.235901</v>
      </c>
      <c r="CT84" s="130">
        <f t="shared" si="22"/>
        <v>0</v>
      </c>
      <c r="CU84" s="130">
        <f t="shared" si="22"/>
        <v>0</v>
      </c>
      <c r="CV84" s="130">
        <f t="shared" si="22"/>
        <v>0</v>
      </c>
      <c r="CW84" s="130">
        <f t="shared" si="22"/>
        <v>0</v>
      </c>
      <c r="CX84" s="130">
        <f t="shared" si="22"/>
        <v>631913809772.08215</v>
      </c>
      <c r="CY84" s="130">
        <f t="shared" si="22"/>
        <v>0</v>
      </c>
      <c r="CZ84" s="130">
        <f t="shared" si="22"/>
        <v>0</v>
      </c>
      <c r="DA84" s="130">
        <f t="shared" si="22"/>
        <v>0</v>
      </c>
      <c r="DB84" s="130">
        <f t="shared" si="22"/>
        <v>0</v>
      </c>
      <c r="DC84" s="130">
        <f t="shared" si="22"/>
        <v>39392808350</v>
      </c>
      <c r="DD84" s="131">
        <f t="shared" si="22"/>
        <v>717611767112.31812</v>
      </c>
      <c r="DE84" s="131">
        <f t="shared" si="22"/>
        <v>2756237589002.3179</v>
      </c>
    </row>
    <row r="85" spans="1:109" s="99" customFormat="1" ht="124.05" customHeight="1">
      <c r="A85" s="103" t="s">
        <v>1233</v>
      </c>
      <c r="B85" s="103" t="s">
        <v>9</v>
      </c>
      <c r="C85" s="103" t="s">
        <v>1701</v>
      </c>
      <c r="D85" s="103">
        <v>7</v>
      </c>
      <c r="E85" s="103" t="s">
        <v>203</v>
      </c>
      <c r="F85" s="278" t="s">
        <v>756</v>
      </c>
      <c r="G85" s="103" t="s">
        <v>3322</v>
      </c>
      <c r="H85" s="103">
        <v>10</v>
      </c>
      <c r="I85" s="103" t="s">
        <v>208</v>
      </c>
      <c r="J85" s="103" t="s">
        <v>209</v>
      </c>
      <c r="K85" s="103" t="s">
        <v>210</v>
      </c>
      <c r="L85" s="103" t="s">
        <v>211</v>
      </c>
      <c r="M85" s="103" t="s">
        <v>757</v>
      </c>
      <c r="N85" s="103" t="s">
        <v>758</v>
      </c>
      <c r="O85" s="103" t="s">
        <v>759</v>
      </c>
      <c r="P85" s="283">
        <v>75</v>
      </c>
      <c r="Q85" s="103" t="s">
        <v>3146</v>
      </c>
      <c r="R85" s="103" t="s">
        <v>760</v>
      </c>
      <c r="S85" s="103" t="s">
        <v>683</v>
      </c>
      <c r="T85" s="103">
        <v>123</v>
      </c>
      <c r="U85" s="267">
        <v>80</v>
      </c>
      <c r="V85" s="267">
        <v>43</v>
      </c>
      <c r="W85" s="224">
        <v>123</v>
      </c>
      <c r="X85" s="267">
        <v>30</v>
      </c>
      <c r="Y85" s="267">
        <v>30</v>
      </c>
      <c r="Z85" s="267">
        <v>30</v>
      </c>
      <c r="AA85" s="267">
        <v>33</v>
      </c>
      <c r="AB85" s="224">
        <v>123</v>
      </c>
      <c r="AC85" s="267">
        <v>30</v>
      </c>
      <c r="AD85" s="267">
        <v>30</v>
      </c>
      <c r="AE85" s="267">
        <v>30</v>
      </c>
      <c r="AF85" s="267">
        <v>33</v>
      </c>
      <c r="AG85" s="224">
        <v>123</v>
      </c>
      <c r="AH85" s="267">
        <v>30</v>
      </c>
      <c r="AI85" s="267">
        <v>30</v>
      </c>
      <c r="AJ85" s="267">
        <v>30</v>
      </c>
      <c r="AK85" s="267">
        <v>33</v>
      </c>
      <c r="AL85" s="224">
        <v>123</v>
      </c>
      <c r="AM85" s="102">
        <v>123</v>
      </c>
      <c r="AN85" s="103" t="s">
        <v>686</v>
      </c>
      <c r="AO85" s="103" t="s">
        <v>613</v>
      </c>
      <c r="AP85" s="103" t="s">
        <v>1214</v>
      </c>
      <c r="AQ85" s="103" t="s">
        <v>1194</v>
      </c>
      <c r="AR85" s="103" t="s">
        <v>938</v>
      </c>
      <c r="AS85" s="268"/>
      <c r="AT85" s="268"/>
      <c r="AU85" s="268"/>
      <c r="AV85" s="268"/>
      <c r="AW85" s="268">
        <v>61771200</v>
      </c>
      <c r="AX85" s="268"/>
      <c r="AY85" s="268"/>
      <c r="AZ85" s="268"/>
      <c r="BA85" s="268"/>
      <c r="BB85" s="268"/>
      <c r="BC85" s="268"/>
      <c r="BD85" s="268"/>
      <c r="BE85" s="268"/>
      <c r="BF85" s="268">
        <v>116224770</v>
      </c>
      <c r="BG85" s="268"/>
      <c r="BH85" s="234">
        <f t="shared" ref="BH85:BH116" si="23">IF(W85=0,0,BG85+BF85+BE85+BD85+BC85+BB85+BA85+AZ85+AY85+AX85+AW85+AV85+AU85+AT85+AS85)</f>
        <v>177995970</v>
      </c>
      <c r="BI85" s="268"/>
      <c r="BJ85" s="268"/>
      <c r="BK85" s="268"/>
      <c r="BL85" s="268"/>
      <c r="BM85" s="268">
        <v>64663861</v>
      </c>
      <c r="BN85" s="268"/>
      <c r="BO85" s="268"/>
      <c r="BP85" s="268"/>
      <c r="BQ85" s="268"/>
      <c r="BR85" s="268"/>
      <c r="BS85" s="268"/>
      <c r="BT85" s="268"/>
      <c r="BU85" s="268"/>
      <c r="BV85" s="268">
        <v>119711513</v>
      </c>
      <c r="BW85" s="268"/>
      <c r="BX85" s="234">
        <f t="shared" ref="BX85:BX116" si="24">IF(AB85=0,0,BI85+BJ85+BK85+BL85+BM85+BN85+BO85+BP85+BQ85+BR85+BS85+BT85+BU85+BV85+BW85)</f>
        <v>184375374</v>
      </c>
      <c r="BY85" s="268"/>
      <c r="BZ85" s="268"/>
      <c r="CA85" s="268"/>
      <c r="CB85" s="268"/>
      <c r="CC85" s="268">
        <v>66685553</v>
      </c>
      <c r="CD85" s="268"/>
      <c r="CE85" s="268"/>
      <c r="CF85" s="268"/>
      <c r="CG85" s="268"/>
      <c r="CH85" s="268"/>
      <c r="CI85" s="268"/>
      <c r="CJ85" s="268"/>
      <c r="CK85" s="268"/>
      <c r="CL85" s="268">
        <v>123302858</v>
      </c>
      <c r="CM85" s="268"/>
      <c r="CN85" s="234">
        <f t="shared" ref="CN85:CN116" si="25">IF(AG85=0,0,(BY85+BZ85+CA85+CB85+CC85+CD85+CE85+CF85+CG85+CH85+CI85+CJ85+CK85+CL85+CM85))</f>
        <v>189988411</v>
      </c>
      <c r="CO85" s="268"/>
      <c r="CP85" s="268"/>
      <c r="CQ85" s="268"/>
      <c r="CR85" s="268"/>
      <c r="CS85" s="268">
        <v>69352975</v>
      </c>
      <c r="CT85" s="268"/>
      <c r="CU85" s="268"/>
      <c r="CV85" s="268"/>
      <c r="CW85" s="268"/>
      <c r="CX85" s="268"/>
      <c r="CY85" s="268"/>
      <c r="CZ85" s="268"/>
      <c r="DA85" s="268"/>
      <c r="DB85" s="268">
        <v>127001944</v>
      </c>
      <c r="DC85" s="268"/>
      <c r="DD85" s="234">
        <f t="shared" ref="DD85:DD116" si="26">IF(AL85=0,0,(CO85+CP85+CQ85+CR85+CS85+CT85+CU85+CV85+CW85+CX85+CY85+CZ85+DA85+DB85+DC85))</f>
        <v>196354919</v>
      </c>
      <c r="DE85" s="243">
        <f t="shared" ref="DE85:DE112" si="27">SUM(DD85+CN85+BX85+BH85)</f>
        <v>748714674</v>
      </c>
    </row>
    <row r="86" spans="1:109" s="99" customFormat="1" ht="124.05" customHeight="1">
      <c r="A86" s="103" t="s">
        <v>1233</v>
      </c>
      <c r="B86" s="279" t="s">
        <v>9</v>
      </c>
      <c r="C86" s="279" t="s">
        <v>1701</v>
      </c>
      <c r="D86" s="279">
        <v>7</v>
      </c>
      <c r="E86" s="279" t="s">
        <v>203</v>
      </c>
      <c r="F86" s="280" t="s">
        <v>756</v>
      </c>
      <c r="G86" s="279" t="s">
        <v>3322</v>
      </c>
      <c r="H86" s="279">
        <v>10</v>
      </c>
      <c r="I86" s="279" t="s">
        <v>208</v>
      </c>
      <c r="J86" s="279" t="s">
        <v>209</v>
      </c>
      <c r="K86" s="279" t="s">
        <v>210</v>
      </c>
      <c r="L86" s="279" t="s">
        <v>211</v>
      </c>
      <c r="M86" s="279" t="s">
        <v>757</v>
      </c>
      <c r="N86" s="279" t="s">
        <v>758</v>
      </c>
      <c r="O86" s="279" t="s">
        <v>759</v>
      </c>
      <c r="P86" s="283">
        <v>76</v>
      </c>
      <c r="Q86" s="279" t="s">
        <v>3147</v>
      </c>
      <c r="R86" s="279" t="s">
        <v>761</v>
      </c>
      <c r="S86" s="279" t="s">
        <v>683</v>
      </c>
      <c r="T86" s="279">
        <v>399</v>
      </c>
      <c r="U86" s="267">
        <v>250</v>
      </c>
      <c r="V86" s="267">
        <v>149</v>
      </c>
      <c r="W86" s="224">
        <v>399</v>
      </c>
      <c r="X86" s="267">
        <v>70</v>
      </c>
      <c r="Y86" s="267">
        <v>100</v>
      </c>
      <c r="Z86" s="267">
        <v>100</v>
      </c>
      <c r="AA86" s="267">
        <v>129</v>
      </c>
      <c r="AB86" s="224">
        <v>399</v>
      </c>
      <c r="AC86" s="267">
        <v>70</v>
      </c>
      <c r="AD86" s="267">
        <v>100</v>
      </c>
      <c r="AE86" s="267">
        <v>100</v>
      </c>
      <c r="AF86" s="267">
        <v>129</v>
      </c>
      <c r="AG86" s="224">
        <v>399</v>
      </c>
      <c r="AH86" s="267">
        <v>70</v>
      </c>
      <c r="AI86" s="267">
        <v>100</v>
      </c>
      <c r="AJ86" s="267">
        <v>100</v>
      </c>
      <c r="AK86" s="267">
        <v>129</v>
      </c>
      <c r="AL86" s="224">
        <v>399</v>
      </c>
      <c r="AM86" s="104">
        <v>399</v>
      </c>
      <c r="AN86" s="103" t="s">
        <v>686</v>
      </c>
      <c r="AO86" s="103" t="s">
        <v>613</v>
      </c>
      <c r="AP86" s="103" t="s">
        <v>1214</v>
      </c>
      <c r="AQ86" s="103" t="s">
        <v>1194</v>
      </c>
      <c r="AR86" s="103" t="s">
        <v>938</v>
      </c>
      <c r="AS86" s="271"/>
      <c r="AT86" s="271"/>
      <c r="AU86" s="271"/>
      <c r="AV86" s="271"/>
      <c r="AW86" s="271">
        <v>716691400</v>
      </c>
      <c r="AX86" s="271"/>
      <c r="AY86" s="271"/>
      <c r="AZ86" s="271"/>
      <c r="BA86" s="271"/>
      <c r="BB86" s="271"/>
      <c r="BC86" s="271"/>
      <c r="BD86" s="271"/>
      <c r="BE86" s="271"/>
      <c r="BF86" s="271">
        <v>67040000</v>
      </c>
      <c r="BG86" s="271"/>
      <c r="BH86" s="235">
        <f t="shared" si="23"/>
        <v>783731400</v>
      </c>
      <c r="BI86" s="271"/>
      <c r="BJ86" s="271"/>
      <c r="BK86" s="271"/>
      <c r="BL86" s="271"/>
      <c r="BM86" s="271">
        <v>750253080</v>
      </c>
      <c r="BN86" s="271"/>
      <c r="BO86" s="271"/>
      <c r="BP86" s="271"/>
      <c r="BQ86" s="271"/>
      <c r="BR86" s="271"/>
      <c r="BS86" s="271"/>
      <c r="BT86" s="271"/>
      <c r="BU86" s="271"/>
      <c r="BV86" s="271">
        <v>69051200</v>
      </c>
      <c r="BW86" s="271"/>
      <c r="BX86" s="235">
        <f t="shared" si="24"/>
        <v>819304280</v>
      </c>
      <c r="BY86" s="271"/>
      <c r="BZ86" s="271"/>
      <c r="CA86" s="271"/>
      <c r="CB86" s="271"/>
      <c r="CC86" s="271">
        <v>773709466</v>
      </c>
      <c r="CD86" s="271"/>
      <c r="CE86" s="271"/>
      <c r="CF86" s="271"/>
      <c r="CG86" s="271"/>
      <c r="CH86" s="271"/>
      <c r="CI86" s="271"/>
      <c r="CJ86" s="271"/>
      <c r="CK86" s="271"/>
      <c r="CL86" s="271">
        <v>71122736</v>
      </c>
      <c r="CM86" s="271"/>
      <c r="CN86" s="235">
        <f t="shared" si="25"/>
        <v>844832202</v>
      </c>
      <c r="CO86" s="271"/>
      <c r="CP86" s="271"/>
      <c r="CQ86" s="271"/>
      <c r="CR86" s="271"/>
      <c r="CS86" s="271">
        <v>804657845</v>
      </c>
      <c r="CT86" s="271"/>
      <c r="CU86" s="271"/>
      <c r="CV86" s="271"/>
      <c r="CW86" s="271"/>
      <c r="CX86" s="271"/>
      <c r="CY86" s="271"/>
      <c r="CZ86" s="271"/>
      <c r="DA86" s="271"/>
      <c r="DB86" s="271">
        <v>73256417</v>
      </c>
      <c r="DC86" s="271"/>
      <c r="DD86" s="234">
        <f t="shared" si="26"/>
        <v>877914262</v>
      </c>
      <c r="DE86" s="244">
        <f t="shared" si="27"/>
        <v>3325782144</v>
      </c>
    </row>
    <row r="87" spans="1:109" s="99" customFormat="1" ht="124.05" customHeight="1">
      <c r="A87" s="103" t="s">
        <v>1233</v>
      </c>
      <c r="B87" s="279" t="s">
        <v>9</v>
      </c>
      <c r="C87" s="279" t="s">
        <v>1701</v>
      </c>
      <c r="D87" s="279">
        <v>7</v>
      </c>
      <c r="E87" s="279" t="s">
        <v>203</v>
      </c>
      <c r="F87" s="280" t="s">
        <v>756</v>
      </c>
      <c r="G87" s="279" t="s">
        <v>3322</v>
      </c>
      <c r="H87" s="279">
        <v>10</v>
      </c>
      <c r="I87" s="279" t="s">
        <v>208</v>
      </c>
      <c r="J87" s="279" t="s">
        <v>209</v>
      </c>
      <c r="K87" s="279" t="s">
        <v>210</v>
      </c>
      <c r="L87" s="279" t="s">
        <v>211</v>
      </c>
      <c r="M87" s="279" t="s">
        <v>757</v>
      </c>
      <c r="N87" s="279" t="s">
        <v>758</v>
      </c>
      <c r="O87" s="279" t="s">
        <v>759</v>
      </c>
      <c r="P87" s="283">
        <v>77</v>
      </c>
      <c r="Q87" s="279" t="s">
        <v>3148</v>
      </c>
      <c r="R87" s="279" t="s">
        <v>761</v>
      </c>
      <c r="S87" s="279" t="s">
        <v>683</v>
      </c>
      <c r="T87" s="279">
        <v>399</v>
      </c>
      <c r="U87" s="267">
        <v>5</v>
      </c>
      <c r="V87" s="267">
        <v>5</v>
      </c>
      <c r="W87" s="224">
        <v>10</v>
      </c>
      <c r="X87" s="267">
        <v>1</v>
      </c>
      <c r="Y87" s="267">
        <v>3</v>
      </c>
      <c r="Z87" s="267">
        <v>3</v>
      </c>
      <c r="AA87" s="267">
        <v>3</v>
      </c>
      <c r="AB87" s="224">
        <v>10</v>
      </c>
      <c r="AC87" s="267">
        <v>1</v>
      </c>
      <c r="AD87" s="267">
        <v>3</v>
      </c>
      <c r="AE87" s="267">
        <v>3</v>
      </c>
      <c r="AF87" s="267">
        <v>3</v>
      </c>
      <c r="AG87" s="224">
        <v>10</v>
      </c>
      <c r="AH87" s="267">
        <v>2</v>
      </c>
      <c r="AI87" s="267">
        <v>3</v>
      </c>
      <c r="AJ87" s="267">
        <v>3</v>
      </c>
      <c r="AK87" s="267">
        <v>3</v>
      </c>
      <c r="AL87" s="224">
        <v>11</v>
      </c>
      <c r="AM87" s="104">
        <v>41</v>
      </c>
      <c r="AN87" s="103" t="s">
        <v>685</v>
      </c>
      <c r="AO87" s="103" t="s">
        <v>613</v>
      </c>
      <c r="AP87" s="103" t="s">
        <v>1214</v>
      </c>
      <c r="AQ87" s="103" t="s">
        <v>1194</v>
      </c>
      <c r="AR87" s="103" t="s">
        <v>938</v>
      </c>
      <c r="AS87" s="271"/>
      <c r="AT87" s="271"/>
      <c r="AU87" s="271"/>
      <c r="AV87" s="271"/>
      <c r="AW87" s="271">
        <v>79632378</v>
      </c>
      <c r="AX87" s="271"/>
      <c r="AY87" s="271"/>
      <c r="AZ87" s="271"/>
      <c r="BA87" s="271"/>
      <c r="BB87" s="271"/>
      <c r="BC87" s="271"/>
      <c r="BD87" s="271"/>
      <c r="BE87" s="271"/>
      <c r="BF87" s="271"/>
      <c r="BG87" s="271"/>
      <c r="BH87" s="235">
        <f t="shared" si="23"/>
        <v>79632378</v>
      </c>
      <c r="BI87" s="271"/>
      <c r="BJ87" s="271"/>
      <c r="BK87" s="271"/>
      <c r="BL87" s="271"/>
      <c r="BM87" s="271">
        <v>83361453</v>
      </c>
      <c r="BN87" s="271"/>
      <c r="BO87" s="271"/>
      <c r="BP87" s="271"/>
      <c r="BQ87" s="271"/>
      <c r="BR87" s="271"/>
      <c r="BS87" s="271"/>
      <c r="BT87" s="271"/>
      <c r="BU87" s="271"/>
      <c r="BV87" s="271"/>
      <c r="BW87" s="271"/>
      <c r="BX87" s="235">
        <f t="shared" si="24"/>
        <v>83361453</v>
      </c>
      <c r="BY87" s="271"/>
      <c r="BZ87" s="271"/>
      <c r="CA87" s="271"/>
      <c r="CB87" s="271"/>
      <c r="CC87" s="271">
        <v>85967719</v>
      </c>
      <c r="CD87" s="271"/>
      <c r="CE87" s="271"/>
      <c r="CF87" s="271"/>
      <c r="CG87" s="271"/>
      <c r="CH87" s="271"/>
      <c r="CI87" s="271"/>
      <c r="CJ87" s="271"/>
      <c r="CK87" s="271"/>
      <c r="CL87" s="271"/>
      <c r="CM87" s="271"/>
      <c r="CN87" s="235">
        <f t="shared" si="25"/>
        <v>85967719</v>
      </c>
      <c r="CO87" s="271"/>
      <c r="CP87" s="271"/>
      <c r="CQ87" s="271"/>
      <c r="CR87" s="271"/>
      <c r="CS87" s="271">
        <v>89406427</v>
      </c>
      <c r="CT87" s="271"/>
      <c r="CU87" s="271"/>
      <c r="CV87" s="271"/>
      <c r="CW87" s="271"/>
      <c r="CX87" s="271"/>
      <c r="CY87" s="271"/>
      <c r="CZ87" s="271"/>
      <c r="DA87" s="271"/>
      <c r="DB87" s="271"/>
      <c r="DC87" s="271"/>
      <c r="DD87" s="234">
        <f t="shared" si="26"/>
        <v>89406427</v>
      </c>
      <c r="DE87" s="244">
        <f t="shared" si="27"/>
        <v>338367977</v>
      </c>
    </row>
    <row r="88" spans="1:109" s="99" customFormat="1" ht="124.05" customHeight="1">
      <c r="A88" s="103" t="s">
        <v>1233</v>
      </c>
      <c r="B88" s="279" t="s">
        <v>9</v>
      </c>
      <c r="C88" s="279" t="s">
        <v>1701</v>
      </c>
      <c r="D88" s="279">
        <v>7</v>
      </c>
      <c r="E88" s="279" t="s">
        <v>203</v>
      </c>
      <c r="F88" s="280" t="s">
        <v>756</v>
      </c>
      <c r="G88" s="279" t="s">
        <v>3322</v>
      </c>
      <c r="H88" s="279">
        <v>10</v>
      </c>
      <c r="I88" s="279" t="s">
        <v>208</v>
      </c>
      <c r="J88" s="279" t="s">
        <v>209</v>
      </c>
      <c r="K88" s="279" t="s">
        <v>210</v>
      </c>
      <c r="L88" s="279" t="s">
        <v>211</v>
      </c>
      <c r="M88" s="279" t="s">
        <v>757</v>
      </c>
      <c r="N88" s="279" t="s">
        <v>758</v>
      </c>
      <c r="O88" s="279" t="s">
        <v>759</v>
      </c>
      <c r="P88" s="283">
        <v>78</v>
      </c>
      <c r="Q88" s="279" t="s">
        <v>3325</v>
      </c>
      <c r="R88" s="279" t="s">
        <v>762</v>
      </c>
      <c r="S88" s="279" t="s">
        <v>683</v>
      </c>
      <c r="T88" s="279">
        <v>60</v>
      </c>
      <c r="U88" s="267">
        <v>7</v>
      </c>
      <c r="V88" s="267">
        <v>8</v>
      </c>
      <c r="W88" s="224">
        <v>15</v>
      </c>
      <c r="X88" s="267">
        <v>3</v>
      </c>
      <c r="Y88" s="267">
        <v>4</v>
      </c>
      <c r="Z88" s="267">
        <v>4</v>
      </c>
      <c r="AA88" s="267">
        <v>4</v>
      </c>
      <c r="AB88" s="224">
        <v>15</v>
      </c>
      <c r="AC88" s="267">
        <v>3</v>
      </c>
      <c r="AD88" s="267">
        <v>4</v>
      </c>
      <c r="AE88" s="267">
        <v>4</v>
      </c>
      <c r="AF88" s="267">
        <v>4</v>
      </c>
      <c r="AG88" s="224">
        <v>15</v>
      </c>
      <c r="AH88" s="267">
        <v>3</v>
      </c>
      <c r="AI88" s="267">
        <v>5</v>
      </c>
      <c r="AJ88" s="267">
        <v>5</v>
      </c>
      <c r="AK88" s="267">
        <v>5</v>
      </c>
      <c r="AL88" s="224">
        <v>18</v>
      </c>
      <c r="AM88" s="104">
        <v>63</v>
      </c>
      <c r="AN88" s="103" t="s">
        <v>685</v>
      </c>
      <c r="AO88" s="103" t="s">
        <v>613</v>
      </c>
      <c r="AP88" s="103" t="s">
        <v>1214</v>
      </c>
      <c r="AQ88" s="103" t="s">
        <v>1194</v>
      </c>
      <c r="AR88" s="103" t="s">
        <v>938</v>
      </c>
      <c r="AS88" s="271"/>
      <c r="AT88" s="271"/>
      <c r="AU88" s="271"/>
      <c r="AV88" s="271"/>
      <c r="AW88" s="271"/>
      <c r="AX88" s="271"/>
      <c r="AY88" s="271"/>
      <c r="AZ88" s="271"/>
      <c r="BA88" s="271"/>
      <c r="BB88" s="271"/>
      <c r="BC88" s="271"/>
      <c r="BD88" s="271"/>
      <c r="BE88" s="271"/>
      <c r="BF88" s="271">
        <v>116224770</v>
      </c>
      <c r="BG88" s="271"/>
      <c r="BH88" s="235">
        <f t="shared" si="23"/>
        <v>116224770</v>
      </c>
      <c r="BI88" s="271"/>
      <c r="BJ88" s="271"/>
      <c r="BK88" s="271"/>
      <c r="BL88" s="271"/>
      <c r="BM88" s="271"/>
      <c r="BN88" s="271"/>
      <c r="BO88" s="271"/>
      <c r="BP88" s="271"/>
      <c r="BQ88" s="271"/>
      <c r="BR88" s="271"/>
      <c r="BS88" s="271"/>
      <c r="BT88" s="271"/>
      <c r="BU88" s="271"/>
      <c r="BV88" s="271">
        <v>119711513</v>
      </c>
      <c r="BW88" s="271"/>
      <c r="BX88" s="235">
        <f t="shared" si="24"/>
        <v>119711513</v>
      </c>
      <c r="BY88" s="271"/>
      <c r="BZ88" s="271"/>
      <c r="CA88" s="271"/>
      <c r="CB88" s="271"/>
      <c r="CC88" s="271"/>
      <c r="CD88" s="271"/>
      <c r="CE88" s="271"/>
      <c r="CF88" s="271"/>
      <c r="CG88" s="271"/>
      <c r="CH88" s="271"/>
      <c r="CI88" s="271"/>
      <c r="CJ88" s="271"/>
      <c r="CK88" s="271"/>
      <c r="CL88" s="271">
        <v>123302858</v>
      </c>
      <c r="CM88" s="271"/>
      <c r="CN88" s="235">
        <f t="shared" si="25"/>
        <v>123302858</v>
      </c>
      <c r="CO88" s="271"/>
      <c r="CP88" s="271"/>
      <c r="CQ88" s="271"/>
      <c r="CR88" s="271"/>
      <c r="CS88" s="271"/>
      <c r="CT88" s="271"/>
      <c r="CU88" s="271"/>
      <c r="CV88" s="271"/>
      <c r="CW88" s="271"/>
      <c r="CX88" s="271"/>
      <c r="CY88" s="271"/>
      <c r="CZ88" s="271"/>
      <c r="DA88" s="271"/>
      <c r="DB88" s="271">
        <v>127001944</v>
      </c>
      <c r="DC88" s="271"/>
      <c r="DD88" s="234">
        <f t="shared" si="26"/>
        <v>127001944</v>
      </c>
      <c r="DE88" s="244">
        <f t="shared" si="27"/>
        <v>486241085</v>
      </c>
    </row>
    <row r="89" spans="1:109" s="99" customFormat="1" ht="124.05" customHeight="1">
      <c r="A89" s="103" t="s">
        <v>1233</v>
      </c>
      <c r="B89" s="279" t="s">
        <v>9</v>
      </c>
      <c r="C89" s="279" t="s">
        <v>1701</v>
      </c>
      <c r="D89" s="279">
        <v>7</v>
      </c>
      <c r="E89" s="279" t="s">
        <v>203</v>
      </c>
      <c r="F89" s="280" t="s">
        <v>756</v>
      </c>
      <c r="G89" s="279" t="s">
        <v>3322</v>
      </c>
      <c r="H89" s="279">
        <v>10</v>
      </c>
      <c r="I89" s="279" t="s">
        <v>208</v>
      </c>
      <c r="J89" s="279" t="s">
        <v>209</v>
      </c>
      <c r="K89" s="279" t="s">
        <v>210</v>
      </c>
      <c r="L89" s="279" t="s">
        <v>211</v>
      </c>
      <c r="M89" s="279" t="s">
        <v>757</v>
      </c>
      <c r="N89" s="279" t="s">
        <v>758</v>
      </c>
      <c r="O89" s="279" t="s">
        <v>759</v>
      </c>
      <c r="P89" s="283">
        <v>79</v>
      </c>
      <c r="Q89" s="279" t="s">
        <v>3732</v>
      </c>
      <c r="R89" s="279" t="s">
        <v>763</v>
      </c>
      <c r="S89" s="279" t="s">
        <v>683</v>
      </c>
      <c r="T89" s="279">
        <v>0</v>
      </c>
      <c r="U89" s="267"/>
      <c r="V89" s="267">
        <v>3</v>
      </c>
      <c r="W89" s="224">
        <v>3</v>
      </c>
      <c r="X89" s="267">
        <v>1</v>
      </c>
      <c r="Y89" s="267">
        <v>2</v>
      </c>
      <c r="Z89" s="267">
        <v>2</v>
      </c>
      <c r="AA89" s="267">
        <v>2</v>
      </c>
      <c r="AB89" s="224">
        <v>7</v>
      </c>
      <c r="AC89" s="267">
        <v>1</v>
      </c>
      <c r="AD89" s="267">
        <v>2</v>
      </c>
      <c r="AE89" s="267">
        <v>2</v>
      </c>
      <c r="AF89" s="267">
        <v>2</v>
      </c>
      <c r="AG89" s="224">
        <v>7</v>
      </c>
      <c r="AH89" s="267">
        <v>2</v>
      </c>
      <c r="AI89" s="267">
        <v>2</v>
      </c>
      <c r="AJ89" s="267">
        <v>2</v>
      </c>
      <c r="AK89" s="267">
        <v>2</v>
      </c>
      <c r="AL89" s="224">
        <v>8</v>
      </c>
      <c r="AM89" s="104">
        <v>25</v>
      </c>
      <c r="AN89" s="103" t="s">
        <v>685</v>
      </c>
      <c r="AO89" s="103" t="s">
        <v>613</v>
      </c>
      <c r="AP89" s="103" t="s">
        <v>1214</v>
      </c>
      <c r="AQ89" s="103" t="s">
        <v>1194</v>
      </c>
      <c r="AR89" s="103" t="s">
        <v>938</v>
      </c>
      <c r="AS89" s="271"/>
      <c r="AT89" s="271"/>
      <c r="AU89" s="271"/>
      <c r="AV89" s="271"/>
      <c r="AW89" s="271">
        <v>422536654</v>
      </c>
      <c r="AX89" s="271"/>
      <c r="AY89" s="271"/>
      <c r="AZ89" s="271"/>
      <c r="BA89" s="271"/>
      <c r="BB89" s="271"/>
      <c r="BC89" s="271"/>
      <c r="BD89" s="271"/>
      <c r="BE89" s="271"/>
      <c r="BF89" s="271">
        <v>1443130410</v>
      </c>
      <c r="BG89" s="271"/>
      <c r="BH89" s="235">
        <f t="shared" si="23"/>
        <v>1865667064</v>
      </c>
      <c r="BI89" s="271"/>
      <c r="BJ89" s="271"/>
      <c r="BK89" s="271"/>
      <c r="BL89" s="271"/>
      <c r="BM89" s="271">
        <v>442323469</v>
      </c>
      <c r="BN89" s="271"/>
      <c r="BO89" s="271"/>
      <c r="BP89" s="271"/>
      <c r="BQ89" s="271"/>
      <c r="BR89" s="271"/>
      <c r="BS89" s="271"/>
      <c r="BT89" s="271"/>
      <c r="BU89" s="271"/>
      <c r="BV89" s="271">
        <v>1486424322</v>
      </c>
      <c r="BW89" s="271"/>
      <c r="BX89" s="235">
        <f t="shared" si="24"/>
        <v>1928747791</v>
      </c>
      <c r="BY89" s="271"/>
      <c r="BZ89" s="271"/>
      <c r="CA89" s="271"/>
      <c r="CB89" s="271"/>
      <c r="CC89" s="271">
        <v>456152549</v>
      </c>
      <c r="CD89" s="271"/>
      <c r="CE89" s="271"/>
      <c r="CF89" s="271"/>
      <c r="CG89" s="271"/>
      <c r="CH89" s="271"/>
      <c r="CI89" s="271"/>
      <c r="CJ89" s="271"/>
      <c r="CK89" s="271"/>
      <c r="CL89" s="271">
        <v>1531017052</v>
      </c>
      <c r="CM89" s="271"/>
      <c r="CN89" s="235">
        <f t="shared" si="25"/>
        <v>1987169601</v>
      </c>
      <c r="CO89" s="271"/>
      <c r="CP89" s="271"/>
      <c r="CQ89" s="271"/>
      <c r="CR89" s="271"/>
      <c r="CS89" s="271">
        <v>474398651</v>
      </c>
      <c r="CT89" s="271"/>
      <c r="CU89" s="271"/>
      <c r="CV89" s="271"/>
      <c r="CW89" s="271"/>
      <c r="CX89" s="271"/>
      <c r="CY89" s="271"/>
      <c r="CZ89" s="271"/>
      <c r="DA89" s="271"/>
      <c r="DB89" s="271">
        <v>1576947564</v>
      </c>
      <c r="DC89" s="271"/>
      <c r="DD89" s="234">
        <f t="shared" si="26"/>
        <v>2051346215</v>
      </c>
      <c r="DE89" s="244">
        <f t="shared" si="27"/>
        <v>7832930671</v>
      </c>
    </row>
    <row r="90" spans="1:109" s="99" customFormat="1" ht="124.05" customHeight="1">
      <c r="A90" s="103" t="s">
        <v>1233</v>
      </c>
      <c r="B90" s="279" t="s">
        <v>9</v>
      </c>
      <c r="C90" s="279" t="s">
        <v>1701</v>
      </c>
      <c r="D90" s="279">
        <v>7</v>
      </c>
      <c r="E90" s="279" t="s">
        <v>203</v>
      </c>
      <c r="F90" s="280" t="s">
        <v>756</v>
      </c>
      <c r="G90" s="279" t="s">
        <v>3322</v>
      </c>
      <c r="H90" s="279">
        <v>10</v>
      </c>
      <c r="I90" s="279" t="s">
        <v>208</v>
      </c>
      <c r="J90" s="279" t="s">
        <v>209</v>
      </c>
      <c r="K90" s="279" t="s">
        <v>210</v>
      </c>
      <c r="L90" s="279" t="s">
        <v>211</v>
      </c>
      <c r="M90" s="279" t="s">
        <v>757</v>
      </c>
      <c r="N90" s="279" t="s">
        <v>758</v>
      </c>
      <c r="O90" s="279" t="s">
        <v>759</v>
      </c>
      <c r="P90" s="283">
        <v>80</v>
      </c>
      <c r="Q90" s="279" t="s">
        <v>3326</v>
      </c>
      <c r="R90" s="279" t="s">
        <v>764</v>
      </c>
      <c r="S90" s="279" t="s">
        <v>683</v>
      </c>
      <c r="T90" s="279">
        <v>0</v>
      </c>
      <c r="U90" s="267">
        <v>10</v>
      </c>
      <c r="V90" s="267">
        <v>5</v>
      </c>
      <c r="W90" s="224">
        <v>15</v>
      </c>
      <c r="X90" s="267">
        <v>5</v>
      </c>
      <c r="Y90" s="267">
        <v>10</v>
      </c>
      <c r="Z90" s="267">
        <v>10</v>
      </c>
      <c r="AA90" s="267">
        <v>5</v>
      </c>
      <c r="AB90" s="224">
        <v>30</v>
      </c>
      <c r="AC90" s="267">
        <v>5</v>
      </c>
      <c r="AD90" s="267">
        <v>10</v>
      </c>
      <c r="AE90" s="267">
        <v>10</v>
      </c>
      <c r="AF90" s="267">
        <v>5</v>
      </c>
      <c r="AG90" s="224">
        <v>30</v>
      </c>
      <c r="AH90" s="267">
        <v>5</v>
      </c>
      <c r="AI90" s="267">
        <v>10</v>
      </c>
      <c r="AJ90" s="267">
        <v>10</v>
      </c>
      <c r="AK90" s="267">
        <v>5</v>
      </c>
      <c r="AL90" s="224">
        <v>30</v>
      </c>
      <c r="AM90" s="104">
        <v>105</v>
      </c>
      <c r="AN90" s="103" t="s">
        <v>685</v>
      </c>
      <c r="AO90" s="103" t="s">
        <v>613</v>
      </c>
      <c r="AP90" s="103" t="s">
        <v>1214</v>
      </c>
      <c r="AQ90" s="103" t="s">
        <v>1194</v>
      </c>
      <c r="AR90" s="103" t="s">
        <v>938</v>
      </c>
      <c r="AS90" s="271"/>
      <c r="AT90" s="271"/>
      <c r="AU90" s="271"/>
      <c r="AV90" s="271"/>
      <c r="AW90" s="271">
        <v>62112000</v>
      </c>
      <c r="AX90" s="271"/>
      <c r="AY90" s="271"/>
      <c r="AZ90" s="271"/>
      <c r="BA90" s="271"/>
      <c r="BB90" s="271"/>
      <c r="BC90" s="271"/>
      <c r="BD90" s="271"/>
      <c r="BE90" s="271"/>
      <c r="BF90" s="271">
        <v>146245078</v>
      </c>
      <c r="BG90" s="271"/>
      <c r="BH90" s="235">
        <f t="shared" si="23"/>
        <v>208357078</v>
      </c>
      <c r="BI90" s="271"/>
      <c r="BJ90" s="271"/>
      <c r="BK90" s="271"/>
      <c r="BL90" s="271"/>
      <c r="BM90" s="271">
        <v>65020620</v>
      </c>
      <c r="BN90" s="271"/>
      <c r="BO90" s="271"/>
      <c r="BP90" s="271"/>
      <c r="BQ90" s="271"/>
      <c r="BR90" s="271"/>
      <c r="BS90" s="271"/>
      <c r="BT90" s="271"/>
      <c r="BU90" s="271"/>
      <c r="BV90" s="271">
        <v>150632430</v>
      </c>
      <c r="BW90" s="271"/>
      <c r="BX90" s="235">
        <f t="shared" si="24"/>
        <v>215653050</v>
      </c>
      <c r="BY90" s="271"/>
      <c r="BZ90" s="271"/>
      <c r="CA90" s="271"/>
      <c r="CB90" s="271"/>
      <c r="CC90" s="271">
        <v>67053466</v>
      </c>
      <c r="CD90" s="271"/>
      <c r="CE90" s="271"/>
      <c r="CF90" s="271"/>
      <c r="CG90" s="271"/>
      <c r="CH90" s="271"/>
      <c r="CI90" s="271"/>
      <c r="CJ90" s="271"/>
      <c r="CK90" s="271"/>
      <c r="CL90" s="271">
        <v>155151403</v>
      </c>
      <c r="CM90" s="271"/>
      <c r="CN90" s="235">
        <f t="shared" si="25"/>
        <v>222204869</v>
      </c>
      <c r="CO90" s="271"/>
      <c r="CP90" s="271"/>
      <c r="CQ90" s="271"/>
      <c r="CR90" s="271"/>
      <c r="CS90" s="271">
        <v>69735605</v>
      </c>
      <c r="CT90" s="271"/>
      <c r="CU90" s="271"/>
      <c r="CV90" s="271"/>
      <c r="CW90" s="271"/>
      <c r="CX90" s="271"/>
      <c r="CY90" s="271"/>
      <c r="CZ90" s="271"/>
      <c r="DA90" s="271"/>
      <c r="DB90" s="271">
        <v>159805945</v>
      </c>
      <c r="DC90" s="271"/>
      <c r="DD90" s="234">
        <f t="shared" si="26"/>
        <v>229541550</v>
      </c>
      <c r="DE90" s="244">
        <f t="shared" si="27"/>
        <v>875756547</v>
      </c>
    </row>
    <row r="91" spans="1:109" s="99" customFormat="1" ht="124.05" customHeight="1">
      <c r="A91" s="103" t="s">
        <v>1233</v>
      </c>
      <c r="B91" s="279" t="s">
        <v>9</v>
      </c>
      <c r="C91" s="279" t="s">
        <v>1701</v>
      </c>
      <c r="D91" s="279">
        <v>7</v>
      </c>
      <c r="E91" s="279" t="s">
        <v>203</v>
      </c>
      <c r="F91" s="280" t="s">
        <v>756</v>
      </c>
      <c r="G91" s="279" t="s">
        <v>3322</v>
      </c>
      <c r="H91" s="279">
        <v>10</v>
      </c>
      <c r="I91" s="279" t="s">
        <v>208</v>
      </c>
      <c r="J91" s="279" t="s">
        <v>209</v>
      </c>
      <c r="K91" s="279" t="s">
        <v>210</v>
      </c>
      <c r="L91" s="279" t="s">
        <v>211</v>
      </c>
      <c r="M91" s="279" t="s">
        <v>757</v>
      </c>
      <c r="N91" s="279" t="s">
        <v>758</v>
      </c>
      <c r="O91" s="279" t="s">
        <v>759</v>
      </c>
      <c r="P91" s="283">
        <v>81</v>
      </c>
      <c r="Q91" s="279" t="s">
        <v>3327</v>
      </c>
      <c r="R91" s="279" t="s">
        <v>765</v>
      </c>
      <c r="S91" s="279" t="s">
        <v>683</v>
      </c>
      <c r="T91" s="279">
        <v>3</v>
      </c>
      <c r="U91" s="267">
        <v>3</v>
      </c>
      <c r="V91" s="267">
        <v>3</v>
      </c>
      <c r="W91" s="224">
        <v>3</v>
      </c>
      <c r="X91" s="267">
        <v>3</v>
      </c>
      <c r="Y91" s="267">
        <v>3</v>
      </c>
      <c r="Z91" s="267">
        <v>3</v>
      </c>
      <c r="AA91" s="267">
        <v>3</v>
      </c>
      <c r="AB91" s="224">
        <v>3</v>
      </c>
      <c r="AC91" s="267">
        <v>3</v>
      </c>
      <c r="AD91" s="267">
        <v>3</v>
      </c>
      <c r="AE91" s="267">
        <v>3</v>
      </c>
      <c r="AF91" s="267">
        <v>3</v>
      </c>
      <c r="AG91" s="224">
        <v>3</v>
      </c>
      <c r="AH91" s="267">
        <v>3</v>
      </c>
      <c r="AI91" s="267">
        <v>3</v>
      </c>
      <c r="AJ91" s="267">
        <v>3</v>
      </c>
      <c r="AK91" s="267">
        <v>3</v>
      </c>
      <c r="AL91" s="224">
        <v>3</v>
      </c>
      <c r="AM91" s="104">
        <v>3</v>
      </c>
      <c r="AN91" s="103" t="s">
        <v>686</v>
      </c>
      <c r="AO91" s="103" t="s">
        <v>613</v>
      </c>
      <c r="AP91" s="103" t="s">
        <v>1214</v>
      </c>
      <c r="AQ91" s="103" t="s">
        <v>1194</v>
      </c>
      <c r="AR91" s="103" t="s">
        <v>938</v>
      </c>
      <c r="AS91" s="271"/>
      <c r="AT91" s="271"/>
      <c r="AU91" s="271"/>
      <c r="AV91" s="271"/>
      <c r="AW91" s="271">
        <v>56563995</v>
      </c>
      <c r="AX91" s="271"/>
      <c r="AY91" s="271"/>
      <c r="AZ91" s="271"/>
      <c r="BA91" s="271"/>
      <c r="BB91" s="271"/>
      <c r="BC91" s="271"/>
      <c r="BD91" s="271"/>
      <c r="BE91" s="271"/>
      <c r="BF91" s="271">
        <v>146245078</v>
      </c>
      <c r="BG91" s="271"/>
      <c r="BH91" s="235">
        <f t="shared" si="23"/>
        <v>202809073</v>
      </c>
      <c r="BI91" s="271"/>
      <c r="BJ91" s="271"/>
      <c r="BK91" s="271"/>
      <c r="BL91" s="271"/>
      <c r="BM91" s="271"/>
      <c r="BN91" s="271"/>
      <c r="BO91" s="271"/>
      <c r="BP91" s="271"/>
      <c r="BQ91" s="271"/>
      <c r="BR91" s="271"/>
      <c r="BS91" s="271"/>
      <c r="BT91" s="271"/>
      <c r="BU91" s="271"/>
      <c r="BV91" s="271">
        <v>150632430</v>
      </c>
      <c r="BW91" s="271"/>
      <c r="BX91" s="235">
        <f t="shared" si="24"/>
        <v>150632430</v>
      </c>
      <c r="BY91" s="271"/>
      <c r="BZ91" s="271"/>
      <c r="CA91" s="271"/>
      <c r="CB91" s="271"/>
      <c r="CC91" s="271"/>
      <c r="CD91" s="271"/>
      <c r="CE91" s="271"/>
      <c r="CF91" s="271"/>
      <c r="CG91" s="271"/>
      <c r="CH91" s="271"/>
      <c r="CI91" s="271"/>
      <c r="CJ91" s="271"/>
      <c r="CK91" s="271"/>
      <c r="CL91" s="271">
        <v>155141403</v>
      </c>
      <c r="CM91" s="271"/>
      <c r="CN91" s="235">
        <f t="shared" si="25"/>
        <v>155141403</v>
      </c>
      <c r="CO91" s="271"/>
      <c r="CP91" s="271"/>
      <c r="CQ91" s="271"/>
      <c r="CR91" s="271"/>
      <c r="CS91" s="271"/>
      <c r="CT91" s="271"/>
      <c r="CU91" s="271"/>
      <c r="CV91" s="271"/>
      <c r="CW91" s="271"/>
      <c r="CX91" s="271"/>
      <c r="CY91" s="271"/>
      <c r="CZ91" s="271"/>
      <c r="DA91" s="271"/>
      <c r="DB91" s="271">
        <v>159805945</v>
      </c>
      <c r="DC91" s="271"/>
      <c r="DD91" s="234">
        <f t="shared" si="26"/>
        <v>159805945</v>
      </c>
      <c r="DE91" s="244">
        <f t="shared" si="27"/>
        <v>668388851</v>
      </c>
    </row>
    <row r="92" spans="1:109" s="99" customFormat="1" ht="124.05" customHeight="1">
      <c r="A92" s="103" t="s">
        <v>1233</v>
      </c>
      <c r="B92" s="279" t="s">
        <v>9</v>
      </c>
      <c r="C92" s="279" t="s">
        <v>1701</v>
      </c>
      <c r="D92" s="279">
        <v>7</v>
      </c>
      <c r="E92" s="279" t="s">
        <v>203</v>
      </c>
      <c r="F92" s="280" t="s">
        <v>756</v>
      </c>
      <c r="G92" s="279" t="s">
        <v>3322</v>
      </c>
      <c r="H92" s="279">
        <v>10</v>
      </c>
      <c r="I92" s="279" t="s">
        <v>208</v>
      </c>
      <c r="J92" s="279" t="s">
        <v>209</v>
      </c>
      <c r="K92" s="279" t="s">
        <v>210</v>
      </c>
      <c r="L92" s="279" t="s">
        <v>211</v>
      </c>
      <c r="M92" s="279" t="s">
        <v>757</v>
      </c>
      <c r="N92" s="279" t="s">
        <v>758</v>
      </c>
      <c r="O92" s="279" t="s">
        <v>759</v>
      </c>
      <c r="P92" s="283">
        <v>82</v>
      </c>
      <c r="Q92" s="279" t="s">
        <v>3149</v>
      </c>
      <c r="R92" s="279" t="s">
        <v>765</v>
      </c>
      <c r="S92" s="279" t="s">
        <v>683</v>
      </c>
      <c r="T92" s="279">
        <v>3</v>
      </c>
      <c r="U92" s="267"/>
      <c r="V92" s="267"/>
      <c r="W92" s="224">
        <v>0</v>
      </c>
      <c r="X92" s="267"/>
      <c r="Y92" s="267"/>
      <c r="Z92" s="267"/>
      <c r="AA92" s="267">
        <v>0.5</v>
      </c>
      <c r="AB92" s="224">
        <v>0.5</v>
      </c>
      <c r="AC92" s="267"/>
      <c r="AD92" s="267"/>
      <c r="AE92" s="267"/>
      <c r="AF92" s="267">
        <v>0.5</v>
      </c>
      <c r="AG92" s="224">
        <v>0.5</v>
      </c>
      <c r="AH92" s="267"/>
      <c r="AI92" s="267"/>
      <c r="AJ92" s="267"/>
      <c r="AK92" s="267">
        <v>1</v>
      </c>
      <c r="AL92" s="224">
        <v>1</v>
      </c>
      <c r="AM92" s="104">
        <v>2</v>
      </c>
      <c r="AN92" s="103" t="s">
        <v>685</v>
      </c>
      <c r="AO92" s="103" t="s">
        <v>613</v>
      </c>
      <c r="AP92" s="103" t="s">
        <v>1214</v>
      </c>
      <c r="AQ92" s="103" t="s">
        <v>1194</v>
      </c>
      <c r="AR92" s="103" t="s">
        <v>938</v>
      </c>
      <c r="AS92" s="271"/>
      <c r="AT92" s="271"/>
      <c r="AU92" s="271"/>
      <c r="AV92" s="271"/>
      <c r="AW92" s="271"/>
      <c r="AX92" s="271"/>
      <c r="AY92" s="271"/>
      <c r="AZ92" s="271"/>
      <c r="BA92" s="271"/>
      <c r="BB92" s="271"/>
      <c r="BC92" s="271"/>
      <c r="BD92" s="271"/>
      <c r="BE92" s="271"/>
      <c r="BF92" s="271"/>
      <c r="BG92" s="271"/>
      <c r="BH92" s="235">
        <f t="shared" si="23"/>
        <v>0</v>
      </c>
      <c r="BI92" s="271"/>
      <c r="BJ92" s="271"/>
      <c r="BK92" s="271"/>
      <c r="BL92" s="271"/>
      <c r="BM92" s="271">
        <v>59212810</v>
      </c>
      <c r="BN92" s="271"/>
      <c r="BO92" s="271"/>
      <c r="BP92" s="271"/>
      <c r="BQ92" s="271"/>
      <c r="BR92" s="271"/>
      <c r="BS92" s="271"/>
      <c r="BT92" s="271"/>
      <c r="BU92" s="271"/>
      <c r="BV92" s="271"/>
      <c r="BW92" s="271"/>
      <c r="BX92" s="235">
        <f t="shared" si="24"/>
        <v>59212810</v>
      </c>
      <c r="BY92" s="271"/>
      <c r="BZ92" s="271"/>
      <c r="CA92" s="271"/>
      <c r="CB92" s="271"/>
      <c r="CC92" s="271">
        <v>61064076</v>
      </c>
      <c r="CD92" s="271"/>
      <c r="CE92" s="271"/>
      <c r="CF92" s="271"/>
      <c r="CG92" s="271"/>
      <c r="CH92" s="271"/>
      <c r="CI92" s="271"/>
      <c r="CJ92" s="271"/>
      <c r="CK92" s="271"/>
      <c r="CL92" s="271"/>
      <c r="CM92" s="271"/>
      <c r="CN92" s="235">
        <f t="shared" si="25"/>
        <v>61064076</v>
      </c>
      <c r="CO92" s="271"/>
      <c r="CP92" s="271"/>
      <c r="CQ92" s="271"/>
      <c r="CR92" s="271"/>
      <c r="CS92" s="271">
        <v>63506639</v>
      </c>
      <c r="CT92" s="271"/>
      <c r="CU92" s="271"/>
      <c r="CV92" s="271"/>
      <c r="CW92" s="271"/>
      <c r="CX92" s="271"/>
      <c r="CY92" s="271"/>
      <c r="CZ92" s="271"/>
      <c r="DA92" s="271"/>
      <c r="DB92" s="271"/>
      <c r="DC92" s="271"/>
      <c r="DD92" s="234">
        <f t="shared" si="26"/>
        <v>63506639</v>
      </c>
      <c r="DE92" s="244">
        <f t="shared" si="27"/>
        <v>183783525</v>
      </c>
    </row>
    <row r="93" spans="1:109" s="99" customFormat="1" ht="124.05" customHeight="1">
      <c r="A93" s="103" t="s">
        <v>1233</v>
      </c>
      <c r="B93" s="279" t="s">
        <v>9</v>
      </c>
      <c r="C93" s="279" t="s">
        <v>1701</v>
      </c>
      <c r="D93" s="279">
        <v>7</v>
      </c>
      <c r="E93" s="279" t="s">
        <v>203</v>
      </c>
      <c r="F93" s="280" t="s">
        <v>756</v>
      </c>
      <c r="G93" s="279" t="s">
        <v>3322</v>
      </c>
      <c r="H93" s="279">
        <v>10</v>
      </c>
      <c r="I93" s="279" t="s">
        <v>208</v>
      </c>
      <c r="J93" s="279" t="s">
        <v>209</v>
      </c>
      <c r="K93" s="279" t="s">
        <v>210</v>
      </c>
      <c r="L93" s="279" t="s">
        <v>211</v>
      </c>
      <c r="M93" s="279" t="s">
        <v>757</v>
      </c>
      <c r="N93" s="279" t="s">
        <v>758</v>
      </c>
      <c r="O93" s="279" t="s">
        <v>759</v>
      </c>
      <c r="P93" s="283">
        <v>83</v>
      </c>
      <c r="Q93" s="279" t="s">
        <v>3328</v>
      </c>
      <c r="R93" s="279" t="s">
        <v>766</v>
      </c>
      <c r="S93" s="279" t="s">
        <v>683</v>
      </c>
      <c r="T93" s="279">
        <v>12</v>
      </c>
      <c r="U93" s="267">
        <v>10</v>
      </c>
      <c r="V93" s="267">
        <v>11</v>
      </c>
      <c r="W93" s="224">
        <v>21</v>
      </c>
      <c r="X93" s="267">
        <v>6</v>
      </c>
      <c r="Y93" s="267">
        <v>9</v>
      </c>
      <c r="Z93" s="267">
        <v>6</v>
      </c>
      <c r="AA93" s="267">
        <v>9</v>
      </c>
      <c r="AB93" s="224">
        <v>30</v>
      </c>
      <c r="AC93" s="267">
        <v>6</v>
      </c>
      <c r="AD93" s="267">
        <v>9</v>
      </c>
      <c r="AE93" s="267">
        <v>6</v>
      </c>
      <c r="AF93" s="267">
        <v>9</v>
      </c>
      <c r="AG93" s="224">
        <v>30</v>
      </c>
      <c r="AH93" s="267">
        <v>6</v>
      </c>
      <c r="AI93" s="267">
        <v>9</v>
      </c>
      <c r="AJ93" s="267">
        <v>6</v>
      </c>
      <c r="AK93" s="267">
        <v>9</v>
      </c>
      <c r="AL93" s="224">
        <v>30</v>
      </c>
      <c r="AM93" s="104">
        <v>111</v>
      </c>
      <c r="AN93" s="103" t="s">
        <v>685</v>
      </c>
      <c r="AO93" s="103" t="s">
        <v>613</v>
      </c>
      <c r="AP93" s="103" t="s">
        <v>1214</v>
      </c>
      <c r="AQ93" s="103" t="s">
        <v>1194</v>
      </c>
      <c r="AR93" s="103" t="s">
        <v>938</v>
      </c>
      <c r="AS93" s="271"/>
      <c r="AT93" s="271"/>
      <c r="AU93" s="271"/>
      <c r="AV93" s="271"/>
      <c r="AW93" s="271">
        <v>23760000</v>
      </c>
      <c r="AX93" s="271"/>
      <c r="AY93" s="271"/>
      <c r="AZ93" s="271"/>
      <c r="BA93" s="271"/>
      <c r="BB93" s="271"/>
      <c r="BC93" s="271"/>
      <c r="BD93" s="271"/>
      <c r="BE93" s="271"/>
      <c r="BF93" s="271">
        <v>138556960</v>
      </c>
      <c r="BG93" s="271"/>
      <c r="BH93" s="235">
        <f t="shared" si="23"/>
        <v>162316960</v>
      </c>
      <c r="BI93" s="271"/>
      <c r="BJ93" s="271"/>
      <c r="BK93" s="271"/>
      <c r="BL93" s="271"/>
      <c r="BM93" s="271">
        <v>24872648</v>
      </c>
      <c r="BN93" s="271"/>
      <c r="BO93" s="271"/>
      <c r="BP93" s="271"/>
      <c r="BQ93" s="271"/>
      <c r="BR93" s="271"/>
      <c r="BS93" s="271"/>
      <c r="BT93" s="271"/>
      <c r="BU93" s="271"/>
      <c r="BV93" s="271">
        <v>142713648</v>
      </c>
      <c r="BW93" s="271"/>
      <c r="BX93" s="235">
        <f t="shared" si="24"/>
        <v>167586296</v>
      </c>
      <c r="BY93" s="271"/>
      <c r="BZ93" s="271"/>
      <c r="CA93" s="271"/>
      <c r="CB93" s="271"/>
      <c r="CC93" s="271">
        <v>25650283</v>
      </c>
      <c r="CD93" s="271"/>
      <c r="CE93" s="271"/>
      <c r="CF93" s="271"/>
      <c r="CG93" s="271"/>
      <c r="CH93" s="271"/>
      <c r="CI93" s="271"/>
      <c r="CJ93" s="271"/>
      <c r="CK93" s="271"/>
      <c r="CL93" s="271">
        <v>146995079</v>
      </c>
      <c r="CM93" s="271"/>
      <c r="CN93" s="235">
        <f t="shared" si="25"/>
        <v>172645362</v>
      </c>
      <c r="CO93" s="271"/>
      <c r="CP93" s="271"/>
      <c r="CQ93" s="271"/>
      <c r="CR93" s="271"/>
      <c r="CS93" s="271">
        <v>26676294</v>
      </c>
      <c r="CT93" s="271"/>
      <c r="CU93" s="271"/>
      <c r="CV93" s="271"/>
      <c r="CW93" s="271"/>
      <c r="CX93" s="271"/>
      <c r="CY93" s="271"/>
      <c r="CZ93" s="271"/>
      <c r="DA93" s="271"/>
      <c r="DB93" s="271">
        <v>151404931</v>
      </c>
      <c r="DC93" s="271"/>
      <c r="DD93" s="234">
        <f t="shared" si="26"/>
        <v>178081225</v>
      </c>
      <c r="DE93" s="244">
        <f t="shared" si="27"/>
        <v>680629843</v>
      </c>
    </row>
    <row r="94" spans="1:109" s="99" customFormat="1" ht="124.05" customHeight="1">
      <c r="A94" s="103" t="s">
        <v>1233</v>
      </c>
      <c r="B94" s="279" t="s">
        <v>9</v>
      </c>
      <c r="C94" s="279" t="s">
        <v>1701</v>
      </c>
      <c r="D94" s="279">
        <v>7</v>
      </c>
      <c r="E94" s="279" t="s">
        <v>203</v>
      </c>
      <c r="F94" s="280" t="s">
        <v>756</v>
      </c>
      <c r="G94" s="279" t="s">
        <v>3322</v>
      </c>
      <c r="H94" s="279">
        <v>10</v>
      </c>
      <c r="I94" s="279" t="s">
        <v>208</v>
      </c>
      <c r="J94" s="279" t="s">
        <v>209</v>
      </c>
      <c r="K94" s="279" t="s">
        <v>210</v>
      </c>
      <c r="L94" s="279" t="s">
        <v>211</v>
      </c>
      <c r="M94" s="279" t="s">
        <v>757</v>
      </c>
      <c r="N94" s="279" t="s">
        <v>758</v>
      </c>
      <c r="O94" s="279" t="s">
        <v>759</v>
      </c>
      <c r="P94" s="283">
        <v>84</v>
      </c>
      <c r="Q94" s="279" t="s">
        <v>3150</v>
      </c>
      <c r="R94" s="279" t="s">
        <v>767</v>
      </c>
      <c r="S94" s="279" t="s">
        <v>683</v>
      </c>
      <c r="T94" s="279">
        <v>0</v>
      </c>
      <c r="U94" s="267"/>
      <c r="V94" s="267">
        <v>0.25</v>
      </c>
      <c r="W94" s="224">
        <v>0.25</v>
      </c>
      <c r="X94" s="267"/>
      <c r="Y94" s="267"/>
      <c r="Z94" s="267"/>
      <c r="AA94" s="267">
        <v>0.25</v>
      </c>
      <c r="AB94" s="224">
        <v>0.25</v>
      </c>
      <c r="AC94" s="267"/>
      <c r="AD94" s="267"/>
      <c r="AE94" s="267"/>
      <c r="AF94" s="267">
        <v>0.25</v>
      </c>
      <c r="AG94" s="224">
        <v>0.25</v>
      </c>
      <c r="AH94" s="267"/>
      <c r="AI94" s="267"/>
      <c r="AJ94" s="267"/>
      <c r="AK94" s="267">
        <v>0.25</v>
      </c>
      <c r="AL94" s="224">
        <v>0.25</v>
      </c>
      <c r="AM94" s="104">
        <v>1</v>
      </c>
      <c r="AN94" s="103" t="s">
        <v>685</v>
      </c>
      <c r="AO94" s="103" t="s">
        <v>613</v>
      </c>
      <c r="AP94" s="103" t="s">
        <v>1214</v>
      </c>
      <c r="AQ94" s="103" t="s">
        <v>1194</v>
      </c>
      <c r="AR94" s="103" t="s">
        <v>938</v>
      </c>
      <c r="AS94" s="271"/>
      <c r="AT94" s="271"/>
      <c r="AU94" s="271"/>
      <c r="AV94" s="271"/>
      <c r="AW94" s="271"/>
      <c r="AX94" s="271"/>
      <c r="AY94" s="271"/>
      <c r="AZ94" s="271"/>
      <c r="BA94" s="271"/>
      <c r="BB94" s="271"/>
      <c r="BC94" s="271"/>
      <c r="BD94" s="271"/>
      <c r="BE94" s="271"/>
      <c r="BF94" s="271">
        <v>25000000</v>
      </c>
      <c r="BG94" s="271"/>
      <c r="BH94" s="235">
        <f t="shared" si="23"/>
        <v>25000000</v>
      </c>
      <c r="BI94" s="271"/>
      <c r="BJ94" s="271"/>
      <c r="BK94" s="271"/>
      <c r="BL94" s="271"/>
      <c r="BM94" s="271"/>
      <c r="BN94" s="271"/>
      <c r="BO94" s="271"/>
      <c r="BP94" s="271"/>
      <c r="BQ94" s="271"/>
      <c r="BR94" s="271"/>
      <c r="BS94" s="271"/>
      <c r="BT94" s="271"/>
      <c r="BU94" s="271"/>
      <c r="BV94" s="271">
        <v>40000000</v>
      </c>
      <c r="BW94" s="271"/>
      <c r="BX94" s="235">
        <f t="shared" si="24"/>
        <v>40000000</v>
      </c>
      <c r="BY94" s="271"/>
      <c r="BZ94" s="271"/>
      <c r="CA94" s="271"/>
      <c r="CB94" s="271"/>
      <c r="CC94" s="271"/>
      <c r="CD94" s="271"/>
      <c r="CE94" s="271"/>
      <c r="CF94" s="271"/>
      <c r="CG94" s="271"/>
      <c r="CH94" s="271"/>
      <c r="CI94" s="271"/>
      <c r="CJ94" s="271"/>
      <c r="CK94" s="271"/>
      <c r="CL94" s="271">
        <v>40000000</v>
      </c>
      <c r="CM94" s="271"/>
      <c r="CN94" s="235">
        <f t="shared" si="25"/>
        <v>40000000</v>
      </c>
      <c r="CO94" s="271"/>
      <c r="CP94" s="271"/>
      <c r="CQ94" s="271"/>
      <c r="CR94" s="271"/>
      <c r="CS94" s="271"/>
      <c r="CT94" s="271"/>
      <c r="CU94" s="271"/>
      <c r="CV94" s="271"/>
      <c r="CW94" s="271"/>
      <c r="CX94" s="271"/>
      <c r="CY94" s="271"/>
      <c r="CZ94" s="271"/>
      <c r="DA94" s="271"/>
      <c r="DB94" s="271">
        <v>45000000</v>
      </c>
      <c r="DC94" s="271"/>
      <c r="DD94" s="234">
        <f t="shared" si="26"/>
        <v>45000000</v>
      </c>
      <c r="DE94" s="244">
        <f t="shared" si="27"/>
        <v>150000000</v>
      </c>
    </row>
    <row r="95" spans="1:109" s="99" customFormat="1" ht="124.05" customHeight="1">
      <c r="A95" s="103" t="s">
        <v>1233</v>
      </c>
      <c r="B95" s="279" t="s">
        <v>9</v>
      </c>
      <c r="C95" s="279" t="s">
        <v>1701</v>
      </c>
      <c r="D95" s="279">
        <v>7</v>
      </c>
      <c r="E95" s="279" t="s">
        <v>203</v>
      </c>
      <c r="F95" s="280" t="s">
        <v>756</v>
      </c>
      <c r="G95" s="279" t="s">
        <v>3322</v>
      </c>
      <c r="H95" s="279">
        <v>10</v>
      </c>
      <c r="I95" s="279" t="s">
        <v>208</v>
      </c>
      <c r="J95" s="279" t="s">
        <v>209</v>
      </c>
      <c r="K95" s="279" t="s">
        <v>210</v>
      </c>
      <c r="L95" s="279" t="s">
        <v>211</v>
      </c>
      <c r="M95" s="279" t="s">
        <v>757</v>
      </c>
      <c r="N95" s="279" t="s">
        <v>758</v>
      </c>
      <c r="O95" s="279" t="s">
        <v>759</v>
      </c>
      <c r="P95" s="283">
        <v>85</v>
      </c>
      <c r="Q95" s="279" t="s">
        <v>3151</v>
      </c>
      <c r="R95" s="279" t="s">
        <v>768</v>
      </c>
      <c r="S95" s="279" t="s">
        <v>677</v>
      </c>
      <c r="T95" s="279">
        <v>0</v>
      </c>
      <c r="U95" s="267">
        <v>7</v>
      </c>
      <c r="V95" s="267">
        <v>8</v>
      </c>
      <c r="W95" s="224">
        <v>15</v>
      </c>
      <c r="X95" s="267">
        <v>5</v>
      </c>
      <c r="Y95" s="267">
        <v>10</v>
      </c>
      <c r="Z95" s="267">
        <v>10</v>
      </c>
      <c r="AA95" s="267">
        <v>5</v>
      </c>
      <c r="AB95" s="224">
        <v>30</v>
      </c>
      <c r="AC95" s="267">
        <v>5</v>
      </c>
      <c r="AD95" s="267">
        <v>15</v>
      </c>
      <c r="AE95" s="267">
        <v>10</v>
      </c>
      <c r="AF95" s="267">
        <v>5</v>
      </c>
      <c r="AG95" s="224">
        <v>35</v>
      </c>
      <c r="AH95" s="267">
        <v>5</v>
      </c>
      <c r="AI95" s="267">
        <v>5</v>
      </c>
      <c r="AJ95" s="267">
        <v>5</v>
      </c>
      <c r="AK95" s="267">
        <v>5</v>
      </c>
      <c r="AL95" s="224">
        <v>20</v>
      </c>
      <c r="AM95" s="104">
        <v>100</v>
      </c>
      <c r="AN95" s="103" t="s">
        <v>685</v>
      </c>
      <c r="AO95" s="103" t="s">
        <v>613</v>
      </c>
      <c r="AP95" s="103" t="s">
        <v>1214</v>
      </c>
      <c r="AQ95" s="103" t="s">
        <v>1194</v>
      </c>
      <c r="AR95" s="103" t="s">
        <v>938</v>
      </c>
      <c r="AS95" s="271"/>
      <c r="AT95" s="271"/>
      <c r="AU95" s="271"/>
      <c r="AV95" s="271"/>
      <c r="AW95" s="271"/>
      <c r="AX95" s="271"/>
      <c r="AY95" s="271"/>
      <c r="AZ95" s="271"/>
      <c r="BA95" s="271"/>
      <c r="BB95" s="271"/>
      <c r="BC95" s="271"/>
      <c r="BD95" s="271"/>
      <c r="BE95" s="271"/>
      <c r="BF95" s="271">
        <v>198995963</v>
      </c>
      <c r="BG95" s="271"/>
      <c r="BH95" s="235">
        <f t="shared" si="23"/>
        <v>198995963</v>
      </c>
      <c r="BI95" s="271"/>
      <c r="BJ95" s="271"/>
      <c r="BK95" s="271"/>
      <c r="BL95" s="271"/>
      <c r="BM95" s="271"/>
      <c r="BN95" s="271"/>
      <c r="BO95" s="271"/>
      <c r="BP95" s="271"/>
      <c r="BQ95" s="271"/>
      <c r="BR95" s="271"/>
      <c r="BS95" s="271"/>
      <c r="BT95" s="271"/>
      <c r="BU95" s="271"/>
      <c r="BV95" s="271">
        <v>204965842</v>
      </c>
      <c r="BW95" s="271"/>
      <c r="BX95" s="235">
        <f t="shared" si="24"/>
        <v>204965842</v>
      </c>
      <c r="BY95" s="271"/>
      <c r="BZ95" s="271"/>
      <c r="CA95" s="271"/>
      <c r="CB95" s="271"/>
      <c r="CC95" s="271"/>
      <c r="CD95" s="271"/>
      <c r="CE95" s="271"/>
      <c r="CF95" s="271"/>
      <c r="CG95" s="271"/>
      <c r="CH95" s="271"/>
      <c r="CI95" s="271"/>
      <c r="CJ95" s="271"/>
      <c r="CK95" s="271"/>
      <c r="CL95" s="271">
        <v>211114817</v>
      </c>
      <c r="CM95" s="271"/>
      <c r="CN95" s="235">
        <f t="shared" si="25"/>
        <v>211114817</v>
      </c>
      <c r="CO95" s="271"/>
      <c r="CP95" s="271"/>
      <c r="CQ95" s="271"/>
      <c r="CR95" s="271"/>
      <c r="CS95" s="271"/>
      <c r="CT95" s="271"/>
      <c r="CU95" s="271"/>
      <c r="CV95" s="271"/>
      <c r="CW95" s="271"/>
      <c r="CX95" s="271"/>
      <c r="CY95" s="271"/>
      <c r="CZ95" s="271"/>
      <c r="DA95" s="271"/>
      <c r="DB95" s="271">
        <v>217448262</v>
      </c>
      <c r="DC95" s="271"/>
      <c r="DD95" s="234">
        <f t="shared" si="26"/>
        <v>217448262</v>
      </c>
      <c r="DE95" s="244">
        <f t="shared" si="27"/>
        <v>832524884</v>
      </c>
    </row>
    <row r="96" spans="1:109" s="99" customFormat="1" ht="124.05" customHeight="1">
      <c r="A96" s="103" t="s">
        <v>1233</v>
      </c>
      <c r="B96" s="279" t="s">
        <v>9</v>
      </c>
      <c r="C96" s="279" t="s">
        <v>1701</v>
      </c>
      <c r="D96" s="279">
        <v>7</v>
      </c>
      <c r="E96" s="279" t="s">
        <v>203</v>
      </c>
      <c r="F96" s="280" t="s">
        <v>756</v>
      </c>
      <c r="G96" s="279" t="s">
        <v>3322</v>
      </c>
      <c r="H96" s="279">
        <v>10</v>
      </c>
      <c r="I96" s="279" t="s">
        <v>208</v>
      </c>
      <c r="J96" s="279" t="s">
        <v>209</v>
      </c>
      <c r="K96" s="279" t="s">
        <v>210</v>
      </c>
      <c r="L96" s="279" t="s">
        <v>211</v>
      </c>
      <c r="M96" s="279" t="s">
        <v>757</v>
      </c>
      <c r="N96" s="279" t="s">
        <v>758</v>
      </c>
      <c r="O96" s="279" t="s">
        <v>759</v>
      </c>
      <c r="P96" s="283">
        <v>86</v>
      </c>
      <c r="Q96" s="279" t="s">
        <v>3152</v>
      </c>
      <c r="R96" s="279" t="s">
        <v>769</v>
      </c>
      <c r="S96" s="279" t="s">
        <v>683</v>
      </c>
      <c r="T96" s="279">
        <v>0</v>
      </c>
      <c r="U96" s="267"/>
      <c r="V96" s="267">
        <v>1</v>
      </c>
      <c r="W96" s="224">
        <v>1</v>
      </c>
      <c r="X96" s="267"/>
      <c r="Y96" s="267"/>
      <c r="Z96" s="267">
        <v>2</v>
      </c>
      <c r="AA96" s="267"/>
      <c r="AB96" s="224">
        <v>2</v>
      </c>
      <c r="AC96" s="267"/>
      <c r="AD96" s="267"/>
      <c r="AE96" s="267">
        <v>1</v>
      </c>
      <c r="AF96" s="267"/>
      <c r="AG96" s="224">
        <v>1</v>
      </c>
      <c r="AH96" s="267"/>
      <c r="AI96" s="267"/>
      <c r="AJ96" s="267"/>
      <c r="AK96" s="267">
        <v>1</v>
      </c>
      <c r="AL96" s="224">
        <v>1</v>
      </c>
      <c r="AM96" s="104">
        <v>5</v>
      </c>
      <c r="AN96" s="103" t="s">
        <v>685</v>
      </c>
      <c r="AO96" s="103" t="s">
        <v>613</v>
      </c>
      <c r="AP96" s="103" t="s">
        <v>1214</v>
      </c>
      <c r="AQ96" s="103" t="s">
        <v>1194</v>
      </c>
      <c r="AR96" s="103" t="s">
        <v>938</v>
      </c>
      <c r="AS96" s="271"/>
      <c r="AT96" s="271"/>
      <c r="AU96" s="271"/>
      <c r="AV96" s="271"/>
      <c r="AW96" s="271">
        <f>120000000+30000000</f>
        <v>150000000</v>
      </c>
      <c r="AX96" s="271"/>
      <c r="AY96" s="271"/>
      <c r="AZ96" s="271"/>
      <c r="BA96" s="271"/>
      <c r="BB96" s="271"/>
      <c r="BC96" s="271"/>
      <c r="BD96" s="271"/>
      <c r="BE96" s="271"/>
      <c r="BF96" s="271">
        <f>246094124+80000000</f>
        <v>326094124</v>
      </c>
      <c r="BG96" s="271"/>
      <c r="BH96" s="235">
        <f t="shared" si="23"/>
        <v>476094124</v>
      </c>
      <c r="BI96" s="271"/>
      <c r="BJ96" s="271"/>
      <c r="BK96" s="271"/>
      <c r="BL96" s="271"/>
      <c r="BM96" s="271">
        <v>157024295</v>
      </c>
      <c r="BN96" s="271"/>
      <c r="BO96" s="271"/>
      <c r="BP96" s="271"/>
      <c r="BQ96" s="271"/>
      <c r="BR96" s="271"/>
      <c r="BS96" s="271"/>
      <c r="BT96" s="271"/>
      <c r="BU96" s="271"/>
      <c r="BV96" s="271">
        <f>231626948+90000000+1665.64</f>
        <v>321628613.63999999</v>
      </c>
      <c r="BW96" s="271"/>
      <c r="BX96" s="235">
        <f t="shared" si="24"/>
        <v>478652908.63999999</v>
      </c>
      <c r="BY96" s="271"/>
      <c r="BZ96" s="271"/>
      <c r="CA96" s="271"/>
      <c r="CB96" s="271"/>
      <c r="CC96" s="271">
        <f>121933602+40000000</f>
        <v>161933602</v>
      </c>
      <c r="CD96" s="271"/>
      <c r="CE96" s="271"/>
      <c r="CF96" s="271"/>
      <c r="CG96" s="271"/>
      <c r="CH96" s="271"/>
      <c r="CI96" s="271"/>
      <c r="CJ96" s="271"/>
      <c r="CK96" s="271"/>
      <c r="CL96" s="271">
        <f>242475756+90000000+24023.8892</f>
        <v>332499779.88919997</v>
      </c>
      <c r="CM96" s="271"/>
      <c r="CN96" s="235">
        <f t="shared" si="25"/>
        <v>494433381.88919997</v>
      </c>
      <c r="CO96" s="271"/>
      <c r="CP96" s="271"/>
      <c r="CQ96" s="271"/>
      <c r="CR96" s="271"/>
      <c r="CS96" s="271">
        <f>128410946+40000000</f>
        <v>168410946</v>
      </c>
      <c r="CT96" s="271"/>
      <c r="CU96" s="271"/>
      <c r="CV96" s="271"/>
      <c r="CW96" s="271"/>
      <c r="CX96" s="271"/>
      <c r="CY96" s="271"/>
      <c r="CZ96" s="271"/>
      <c r="DA96" s="271"/>
      <c r="DB96" s="271">
        <f>248650029+90000000</f>
        <v>338650029</v>
      </c>
      <c r="DC96" s="271"/>
      <c r="DD96" s="234">
        <f t="shared" si="26"/>
        <v>507060975</v>
      </c>
      <c r="DE96" s="244">
        <f t="shared" si="27"/>
        <v>1956241389.5292001</v>
      </c>
    </row>
    <row r="97" spans="1:109" s="99" customFormat="1" ht="124.05" customHeight="1">
      <c r="A97" s="103" t="s">
        <v>1233</v>
      </c>
      <c r="B97" s="279" t="s">
        <v>9</v>
      </c>
      <c r="C97" s="279" t="s">
        <v>1701</v>
      </c>
      <c r="D97" s="279">
        <v>7</v>
      </c>
      <c r="E97" s="279" t="s">
        <v>203</v>
      </c>
      <c r="F97" s="280" t="s">
        <v>756</v>
      </c>
      <c r="G97" s="279" t="s">
        <v>3322</v>
      </c>
      <c r="H97" s="279">
        <v>10</v>
      </c>
      <c r="I97" s="279" t="s">
        <v>208</v>
      </c>
      <c r="J97" s="279" t="s">
        <v>209</v>
      </c>
      <c r="K97" s="279" t="s">
        <v>210</v>
      </c>
      <c r="L97" s="279" t="s">
        <v>211</v>
      </c>
      <c r="M97" s="279" t="s">
        <v>757</v>
      </c>
      <c r="N97" s="279" t="s">
        <v>758</v>
      </c>
      <c r="O97" s="279" t="s">
        <v>759</v>
      </c>
      <c r="P97" s="283">
        <v>87</v>
      </c>
      <c r="Q97" s="279" t="s">
        <v>3329</v>
      </c>
      <c r="R97" s="279" t="s">
        <v>770</v>
      </c>
      <c r="S97" s="279" t="s">
        <v>683</v>
      </c>
      <c r="T97" s="279">
        <v>0</v>
      </c>
      <c r="U97" s="267"/>
      <c r="V97" s="267">
        <v>0.1</v>
      </c>
      <c r="W97" s="224">
        <v>0.1</v>
      </c>
      <c r="X97" s="267"/>
      <c r="Y97" s="267">
        <v>0.1</v>
      </c>
      <c r="Z97" s="267">
        <v>0.1</v>
      </c>
      <c r="AA97" s="267">
        <v>0.1</v>
      </c>
      <c r="AB97" s="224">
        <v>0.30000000000000004</v>
      </c>
      <c r="AC97" s="267"/>
      <c r="AD97" s="267">
        <v>0.1</v>
      </c>
      <c r="AE97" s="267">
        <v>0.1</v>
      </c>
      <c r="AF97" s="267">
        <v>0.1</v>
      </c>
      <c r="AG97" s="224">
        <v>0.30000000000000004</v>
      </c>
      <c r="AH97" s="267"/>
      <c r="AI97" s="267">
        <v>0.1</v>
      </c>
      <c r="AJ97" s="267">
        <v>0.1</v>
      </c>
      <c r="AK97" s="267">
        <v>0.1</v>
      </c>
      <c r="AL97" s="224">
        <v>0.30000000000000004</v>
      </c>
      <c r="AM97" s="104">
        <v>1</v>
      </c>
      <c r="AN97" s="103" t="s">
        <v>685</v>
      </c>
      <c r="AO97" s="103" t="s">
        <v>613</v>
      </c>
      <c r="AP97" s="103" t="s">
        <v>1214</v>
      </c>
      <c r="AQ97" s="103" t="s">
        <v>1194</v>
      </c>
      <c r="AR97" s="103" t="s">
        <v>938</v>
      </c>
      <c r="AS97" s="271"/>
      <c r="AT97" s="271"/>
      <c r="AU97" s="271"/>
      <c r="AV97" s="271"/>
      <c r="AW97" s="271">
        <v>62112000</v>
      </c>
      <c r="AX97" s="271"/>
      <c r="AY97" s="271"/>
      <c r="AZ97" s="271"/>
      <c r="BA97" s="271"/>
      <c r="BB97" s="271"/>
      <c r="BC97" s="271"/>
      <c r="BD97" s="271"/>
      <c r="BE97" s="271"/>
      <c r="BF97" s="271"/>
      <c r="BG97" s="271"/>
      <c r="BH97" s="235">
        <f t="shared" si="23"/>
        <v>62112000</v>
      </c>
      <c r="BI97" s="271"/>
      <c r="BJ97" s="271"/>
      <c r="BK97" s="271"/>
      <c r="BL97" s="271"/>
      <c r="BM97" s="271">
        <v>65020620</v>
      </c>
      <c r="BN97" s="271"/>
      <c r="BO97" s="271"/>
      <c r="BP97" s="271"/>
      <c r="BQ97" s="271"/>
      <c r="BR97" s="271"/>
      <c r="BS97" s="271"/>
      <c r="BT97" s="271"/>
      <c r="BU97" s="271"/>
      <c r="BV97" s="271"/>
      <c r="BW97" s="271"/>
      <c r="BX97" s="235">
        <f t="shared" si="24"/>
        <v>65020620</v>
      </c>
      <c r="BY97" s="271"/>
      <c r="BZ97" s="271"/>
      <c r="CA97" s="271"/>
      <c r="CB97" s="271"/>
      <c r="CC97" s="271">
        <v>67053466</v>
      </c>
      <c r="CD97" s="271"/>
      <c r="CE97" s="271"/>
      <c r="CF97" s="271"/>
      <c r="CG97" s="271"/>
      <c r="CH97" s="271"/>
      <c r="CI97" s="271"/>
      <c r="CJ97" s="271"/>
      <c r="CK97" s="271"/>
      <c r="CL97" s="271"/>
      <c r="CM97" s="271"/>
      <c r="CN97" s="235">
        <f t="shared" si="25"/>
        <v>67053466</v>
      </c>
      <c r="CO97" s="271"/>
      <c r="CP97" s="271"/>
      <c r="CQ97" s="271"/>
      <c r="CR97" s="271"/>
      <c r="CS97" s="271">
        <v>69735605</v>
      </c>
      <c r="CT97" s="271"/>
      <c r="CU97" s="271"/>
      <c r="CV97" s="271"/>
      <c r="CW97" s="271"/>
      <c r="CX97" s="271"/>
      <c r="CY97" s="271"/>
      <c r="CZ97" s="271"/>
      <c r="DA97" s="271"/>
      <c r="DB97" s="271"/>
      <c r="DC97" s="271"/>
      <c r="DD97" s="234">
        <f t="shared" si="26"/>
        <v>69735605</v>
      </c>
      <c r="DE97" s="244">
        <f t="shared" si="27"/>
        <v>263921691</v>
      </c>
    </row>
    <row r="98" spans="1:109" s="99" customFormat="1" ht="124.05" customHeight="1">
      <c r="A98" s="103" t="s">
        <v>1233</v>
      </c>
      <c r="B98" s="279" t="s">
        <v>9</v>
      </c>
      <c r="C98" s="279" t="s">
        <v>1701</v>
      </c>
      <c r="D98" s="279">
        <v>7</v>
      </c>
      <c r="E98" s="279" t="s">
        <v>203</v>
      </c>
      <c r="F98" s="280" t="s">
        <v>756</v>
      </c>
      <c r="G98" s="279" t="s">
        <v>3322</v>
      </c>
      <c r="H98" s="279">
        <v>10</v>
      </c>
      <c r="I98" s="279" t="s">
        <v>208</v>
      </c>
      <c r="J98" s="279" t="s">
        <v>209</v>
      </c>
      <c r="K98" s="279" t="s">
        <v>210</v>
      </c>
      <c r="L98" s="279" t="s">
        <v>211</v>
      </c>
      <c r="M98" s="279" t="s">
        <v>757</v>
      </c>
      <c r="N98" s="279" t="s">
        <v>758</v>
      </c>
      <c r="O98" s="279" t="s">
        <v>759</v>
      </c>
      <c r="P98" s="283">
        <v>88</v>
      </c>
      <c r="Q98" s="279" t="s">
        <v>3153</v>
      </c>
      <c r="R98" s="279" t="s">
        <v>771</v>
      </c>
      <c r="S98" s="279" t="s">
        <v>677</v>
      </c>
      <c r="T98" s="279">
        <v>1</v>
      </c>
      <c r="U98" s="267"/>
      <c r="V98" s="267">
        <v>1</v>
      </c>
      <c r="W98" s="224">
        <v>1</v>
      </c>
      <c r="X98" s="267"/>
      <c r="Y98" s="267"/>
      <c r="Z98" s="267">
        <v>2</v>
      </c>
      <c r="AA98" s="267">
        <v>3</v>
      </c>
      <c r="AB98" s="224">
        <v>5</v>
      </c>
      <c r="AC98" s="267">
        <v>2</v>
      </c>
      <c r="AD98" s="267">
        <v>3</v>
      </c>
      <c r="AE98" s="267">
        <v>3</v>
      </c>
      <c r="AF98" s="267">
        <v>1</v>
      </c>
      <c r="AG98" s="224">
        <v>9</v>
      </c>
      <c r="AH98" s="267">
        <v>2</v>
      </c>
      <c r="AI98" s="267">
        <v>3</v>
      </c>
      <c r="AJ98" s="267">
        <v>3</v>
      </c>
      <c r="AK98" s="267">
        <v>1</v>
      </c>
      <c r="AL98" s="224">
        <v>9</v>
      </c>
      <c r="AM98" s="104">
        <v>24</v>
      </c>
      <c r="AN98" s="103" t="s">
        <v>685</v>
      </c>
      <c r="AO98" s="103" t="s">
        <v>613</v>
      </c>
      <c r="AP98" s="103" t="s">
        <v>1214</v>
      </c>
      <c r="AQ98" s="103" t="s">
        <v>1194</v>
      </c>
      <c r="AR98" s="103" t="s">
        <v>938</v>
      </c>
      <c r="AS98" s="271"/>
      <c r="AT98" s="271"/>
      <c r="AU98" s="271"/>
      <c r="AV98" s="271"/>
      <c r="AW98" s="271">
        <v>59676000</v>
      </c>
      <c r="AX98" s="271"/>
      <c r="AY98" s="271"/>
      <c r="AZ98" s="271"/>
      <c r="BA98" s="271"/>
      <c r="BB98" s="271"/>
      <c r="BC98" s="271"/>
      <c r="BD98" s="271"/>
      <c r="BE98" s="271"/>
      <c r="BF98" s="271">
        <v>152098161</v>
      </c>
      <c r="BG98" s="271"/>
      <c r="BH98" s="235">
        <f t="shared" si="23"/>
        <v>211774161</v>
      </c>
      <c r="BI98" s="271"/>
      <c r="BJ98" s="271"/>
      <c r="BK98" s="271"/>
      <c r="BL98" s="271"/>
      <c r="BM98" s="271">
        <v>62470546</v>
      </c>
      <c r="BN98" s="271"/>
      <c r="BO98" s="271"/>
      <c r="BP98" s="271"/>
      <c r="BQ98" s="271"/>
      <c r="BR98" s="271"/>
      <c r="BS98" s="271"/>
      <c r="BT98" s="271"/>
      <c r="BU98" s="271"/>
      <c r="BV98" s="271">
        <v>156661106</v>
      </c>
      <c r="BW98" s="271"/>
      <c r="BX98" s="235">
        <f t="shared" si="24"/>
        <v>219131652</v>
      </c>
      <c r="BY98" s="271"/>
      <c r="BZ98" s="271"/>
      <c r="CA98" s="271"/>
      <c r="CB98" s="271"/>
      <c r="CC98" s="271">
        <v>64423664</v>
      </c>
      <c r="CD98" s="271"/>
      <c r="CE98" s="271"/>
      <c r="CF98" s="271"/>
      <c r="CG98" s="271"/>
      <c r="CH98" s="271"/>
      <c r="CI98" s="271"/>
      <c r="CJ98" s="271"/>
      <c r="CK98" s="271"/>
      <c r="CL98" s="271">
        <v>161360939</v>
      </c>
      <c r="CM98" s="271"/>
      <c r="CN98" s="235">
        <f t="shared" si="25"/>
        <v>225784603</v>
      </c>
      <c r="CO98" s="271"/>
      <c r="CP98" s="271"/>
      <c r="CQ98" s="271"/>
      <c r="CR98" s="271"/>
      <c r="CS98" s="271">
        <v>67000611</v>
      </c>
      <c r="CT98" s="271"/>
      <c r="CU98" s="271"/>
      <c r="CV98" s="271"/>
      <c r="CW98" s="271"/>
      <c r="CX98" s="271"/>
      <c r="CY98" s="271"/>
      <c r="CZ98" s="271"/>
      <c r="DA98" s="271"/>
      <c r="DB98" s="271">
        <v>166201767</v>
      </c>
      <c r="DC98" s="271"/>
      <c r="DD98" s="234">
        <f t="shared" si="26"/>
        <v>233202378</v>
      </c>
      <c r="DE98" s="244">
        <f t="shared" si="27"/>
        <v>889892794</v>
      </c>
    </row>
    <row r="99" spans="1:109" s="99" customFormat="1" ht="124.05" customHeight="1">
      <c r="A99" s="103" t="s">
        <v>1233</v>
      </c>
      <c r="B99" s="279" t="s">
        <v>9</v>
      </c>
      <c r="C99" s="279" t="s">
        <v>1701</v>
      </c>
      <c r="D99" s="279">
        <v>7</v>
      </c>
      <c r="E99" s="279" t="s">
        <v>203</v>
      </c>
      <c r="F99" s="280" t="s">
        <v>756</v>
      </c>
      <c r="G99" s="279" t="s">
        <v>3322</v>
      </c>
      <c r="H99" s="279">
        <v>10</v>
      </c>
      <c r="I99" s="279" t="s">
        <v>208</v>
      </c>
      <c r="J99" s="279" t="s">
        <v>209</v>
      </c>
      <c r="K99" s="279" t="s">
        <v>210</v>
      </c>
      <c r="L99" s="279" t="s">
        <v>211</v>
      </c>
      <c r="M99" s="279" t="s">
        <v>757</v>
      </c>
      <c r="N99" s="279" t="s">
        <v>758</v>
      </c>
      <c r="O99" s="279" t="s">
        <v>759</v>
      </c>
      <c r="P99" s="283">
        <v>89</v>
      </c>
      <c r="Q99" s="279" t="s">
        <v>3154</v>
      </c>
      <c r="R99" s="279" t="s">
        <v>772</v>
      </c>
      <c r="S99" s="279" t="s">
        <v>683</v>
      </c>
      <c r="T99" s="104">
        <v>4000</v>
      </c>
      <c r="U99" s="267">
        <v>50</v>
      </c>
      <c r="V99" s="267">
        <v>50</v>
      </c>
      <c r="W99" s="224">
        <v>100</v>
      </c>
      <c r="X99" s="267">
        <v>100</v>
      </c>
      <c r="Y99" s="267">
        <v>400</v>
      </c>
      <c r="Z99" s="267">
        <v>300</v>
      </c>
      <c r="AA99" s="267">
        <v>200</v>
      </c>
      <c r="AB99" s="224">
        <v>1000</v>
      </c>
      <c r="AC99" s="267">
        <v>250</v>
      </c>
      <c r="AD99" s="267">
        <v>500</v>
      </c>
      <c r="AE99" s="267">
        <v>500</v>
      </c>
      <c r="AF99" s="267">
        <v>250</v>
      </c>
      <c r="AG99" s="224">
        <v>1500</v>
      </c>
      <c r="AH99" s="267">
        <v>200</v>
      </c>
      <c r="AI99" s="267">
        <v>500</v>
      </c>
      <c r="AJ99" s="267">
        <v>500</v>
      </c>
      <c r="AK99" s="267">
        <v>200</v>
      </c>
      <c r="AL99" s="224">
        <v>1400</v>
      </c>
      <c r="AM99" s="104">
        <v>4000</v>
      </c>
      <c r="AN99" s="103" t="s">
        <v>685</v>
      </c>
      <c r="AO99" s="103" t="s">
        <v>613</v>
      </c>
      <c r="AP99" s="103" t="s">
        <v>1214</v>
      </c>
      <c r="AQ99" s="103" t="s">
        <v>1194</v>
      </c>
      <c r="AR99" s="103" t="s">
        <v>938</v>
      </c>
      <c r="AS99" s="271"/>
      <c r="AT99" s="271"/>
      <c r="AU99" s="271"/>
      <c r="AV99" s="271"/>
      <c r="AW99" s="271"/>
      <c r="AX99" s="271"/>
      <c r="AY99" s="271"/>
      <c r="AZ99" s="271"/>
      <c r="BA99" s="271"/>
      <c r="BB99" s="271"/>
      <c r="BC99" s="271"/>
      <c r="BD99" s="271"/>
      <c r="BE99" s="271"/>
      <c r="BF99" s="271">
        <v>152098161</v>
      </c>
      <c r="BG99" s="271"/>
      <c r="BH99" s="235">
        <f t="shared" si="23"/>
        <v>152098161</v>
      </c>
      <c r="BI99" s="271"/>
      <c r="BJ99" s="271"/>
      <c r="BK99" s="271"/>
      <c r="BL99" s="271"/>
      <c r="BM99" s="271"/>
      <c r="BN99" s="271"/>
      <c r="BO99" s="271"/>
      <c r="BP99" s="271"/>
      <c r="BQ99" s="271"/>
      <c r="BR99" s="271"/>
      <c r="BS99" s="271"/>
      <c r="BT99" s="271"/>
      <c r="BU99" s="271"/>
      <c r="BV99" s="271">
        <v>156661106</v>
      </c>
      <c r="BW99" s="271"/>
      <c r="BX99" s="235">
        <f t="shared" si="24"/>
        <v>156661106</v>
      </c>
      <c r="BY99" s="271"/>
      <c r="BZ99" s="271"/>
      <c r="CA99" s="271"/>
      <c r="CB99" s="271"/>
      <c r="CC99" s="271"/>
      <c r="CD99" s="271"/>
      <c r="CE99" s="271"/>
      <c r="CF99" s="271"/>
      <c r="CG99" s="271"/>
      <c r="CH99" s="271"/>
      <c r="CI99" s="271"/>
      <c r="CJ99" s="271"/>
      <c r="CK99" s="271"/>
      <c r="CL99" s="271">
        <v>161360939</v>
      </c>
      <c r="CM99" s="271"/>
      <c r="CN99" s="235">
        <f t="shared" si="25"/>
        <v>161360939</v>
      </c>
      <c r="CO99" s="271"/>
      <c r="CP99" s="271"/>
      <c r="CQ99" s="271"/>
      <c r="CR99" s="271"/>
      <c r="CS99" s="271"/>
      <c r="CT99" s="271"/>
      <c r="CU99" s="271"/>
      <c r="CV99" s="271"/>
      <c r="CW99" s="271"/>
      <c r="CX99" s="271"/>
      <c r="CY99" s="271"/>
      <c r="CZ99" s="271"/>
      <c r="DA99" s="271"/>
      <c r="DB99" s="271">
        <v>166201767</v>
      </c>
      <c r="DC99" s="271"/>
      <c r="DD99" s="234">
        <f t="shared" si="26"/>
        <v>166201767</v>
      </c>
      <c r="DE99" s="244">
        <f t="shared" si="27"/>
        <v>636321973</v>
      </c>
    </row>
    <row r="100" spans="1:109" s="99" customFormat="1" ht="124.05" customHeight="1">
      <c r="A100" s="103" t="s">
        <v>1233</v>
      </c>
      <c r="B100" s="279" t="s">
        <v>9</v>
      </c>
      <c r="C100" s="279" t="s">
        <v>1701</v>
      </c>
      <c r="D100" s="279">
        <v>7</v>
      </c>
      <c r="E100" s="279" t="s">
        <v>203</v>
      </c>
      <c r="F100" s="280" t="s">
        <v>756</v>
      </c>
      <c r="G100" s="279" t="s">
        <v>3322</v>
      </c>
      <c r="H100" s="279">
        <v>10</v>
      </c>
      <c r="I100" s="279" t="s">
        <v>208</v>
      </c>
      <c r="J100" s="279" t="s">
        <v>209</v>
      </c>
      <c r="K100" s="279" t="s">
        <v>210</v>
      </c>
      <c r="L100" s="279" t="s">
        <v>211</v>
      </c>
      <c r="M100" s="279" t="s">
        <v>757</v>
      </c>
      <c r="N100" s="279" t="s">
        <v>758</v>
      </c>
      <c r="O100" s="279" t="s">
        <v>759</v>
      </c>
      <c r="P100" s="283">
        <v>90</v>
      </c>
      <c r="Q100" s="279" t="s">
        <v>3330</v>
      </c>
      <c r="R100" s="279" t="s">
        <v>773</v>
      </c>
      <c r="S100" s="279" t="s">
        <v>683</v>
      </c>
      <c r="T100" s="279">
        <v>105</v>
      </c>
      <c r="U100" s="267">
        <v>75</v>
      </c>
      <c r="V100" s="267">
        <v>30</v>
      </c>
      <c r="W100" s="224">
        <v>105</v>
      </c>
      <c r="X100" s="267">
        <v>10</v>
      </c>
      <c r="Y100" s="267">
        <v>30</v>
      </c>
      <c r="Z100" s="267">
        <v>35</v>
      </c>
      <c r="AA100" s="267">
        <v>30</v>
      </c>
      <c r="AB100" s="224">
        <v>105</v>
      </c>
      <c r="AC100" s="267">
        <v>10</v>
      </c>
      <c r="AD100" s="267">
        <v>30</v>
      </c>
      <c r="AE100" s="267">
        <v>35</v>
      </c>
      <c r="AF100" s="267">
        <v>30</v>
      </c>
      <c r="AG100" s="224">
        <v>105</v>
      </c>
      <c r="AH100" s="267">
        <v>10</v>
      </c>
      <c r="AI100" s="267">
        <v>30</v>
      </c>
      <c r="AJ100" s="267">
        <v>35</v>
      </c>
      <c r="AK100" s="267">
        <v>30</v>
      </c>
      <c r="AL100" s="224">
        <v>105</v>
      </c>
      <c r="AM100" s="104">
        <v>105</v>
      </c>
      <c r="AN100" s="103" t="s">
        <v>686</v>
      </c>
      <c r="AO100" s="103" t="s">
        <v>613</v>
      </c>
      <c r="AP100" s="103" t="s">
        <v>1214</v>
      </c>
      <c r="AQ100" s="103" t="s">
        <v>1194</v>
      </c>
      <c r="AR100" s="103" t="s">
        <v>938</v>
      </c>
      <c r="AS100" s="271"/>
      <c r="AT100" s="271"/>
      <c r="AU100" s="271"/>
      <c r="AV100" s="271"/>
      <c r="AW100" s="271">
        <v>59676000</v>
      </c>
      <c r="AX100" s="271"/>
      <c r="AY100" s="271"/>
      <c r="AZ100" s="271"/>
      <c r="BA100" s="271"/>
      <c r="BB100" s="271"/>
      <c r="BC100" s="271"/>
      <c r="BD100" s="271"/>
      <c r="BE100" s="271"/>
      <c r="BF100" s="271">
        <v>41162000</v>
      </c>
      <c r="BG100" s="271"/>
      <c r="BH100" s="235">
        <f t="shared" si="23"/>
        <v>100838000</v>
      </c>
      <c r="BI100" s="271"/>
      <c r="BJ100" s="271"/>
      <c r="BK100" s="271"/>
      <c r="BL100" s="271"/>
      <c r="BM100" s="271">
        <v>62470546</v>
      </c>
      <c r="BN100" s="271"/>
      <c r="BO100" s="271"/>
      <c r="BP100" s="271"/>
      <c r="BQ100" s="271"/>
      <c r="BR100" s="271"/>
      <c r="BS100" s="271"/>
      <c r="BT100" s="271"/>
      <c r="BU100" s="271"/>
      <c r="BV100" s="271">
        <v>42396860</v>
      </c>
      <c r="BW100" s="271"/>
      <c r="BX100" s="235">
        <f t="shared" si="24"/>
        <v>104867406</v>
      </c>
      <c r="BY100" s="271"/>
      <c r="BZ100" s="271"/>
      <c r="CA100" s="271"/>
      <c r="CB100" s="271"/>
      <c r="CC100" s="271">
        <v>64423664</v>
      </c>
      <c r="CD100" s="271"/>
      <c r="CE100" s="271"/>
      <c r="CF100" s="271"/>
      <c r="CG100" s="271"/>
      <c r="CH100" s="271"/>
      <c r="CI100" s="271"/>
      <c r="CJ100" s="271"/>
      <c r="CK100" s="271"/>
      <c r="CL100" s="271">
        <v>43668766</v>
      </c>
      <c r="CM100" s="271"/>
      <c r="CN100" s="235">
        <f t="shared" si="25"/>
        <v>108092430</v>
      </c>
      <c r="CO100" s="271"/>
      <c r="CP100" s="271"/>
      <c r="CQ100" s="271"/>
      <c r="CR100" s="271"/>
      <c r="CS100" s="271">
        <v>67000611</v>
      </c>
      <c r="CT100" s="271"/>
      <c r="CU100" s="271"/>
      <c r="CV100" s="271"/>
      <c r="CW100" s="271"/>
      <c r="CX100" s="271"/>
      <c r="CY100" s="271"/>
      <c r="CZ100" s="271"/>
      <c r="DA100" s="271"/>
      <c r="DB100" s="271">
        <v>44978829</v>
      </c>
      <c r="DC100" s="271"/>
      <c r="DD100" s="234">
        <f t="shared" si="26"/>
        <v>111979440</v>
      </c>
      <c r="DE100" s="244">
        <f t="shared" si="27"/>
        <v>425777276</v>
      </c>
    </row>
    <row r="101" spans="1:109" s="99" customFormat="1" ht="124.05" customHeight="1">
      <c r="A101" s="103" t="s">
        <v>1233</v>
      </c>
      <c r="B101" s="279" t="s">
        <v>9</v>
      </c>
      <c r="C101" s="279" t="s">
        <v>1701</v>
      </c>
      <c r="D101" s="279">
        <v>7</v>
      </c>
      <c r="E101" s="279" t="s">
        <v>203</v>
      </c>
      <c r="F101" s="280" t="s">
        <v>756</v>
      </c>
      <c r="G101" s="279" t="s">
        <v>3322</v>
      </c>
      <c r="H101" s="279">
        <v>10</v>
      </c>
      <c r="I101" s="279" t="s">
        <v>208</v>
      </c>
      <c r="J101" s="279" t="s">
        <v>209</v>
      </c>
      <c r="K101" s="279" t="s">
        <v>210</v>
      </c>
      <c r="L101" s="279" t="s">
        <v>211</v>
      </c>
      <c r="M101" s="279" t="s">
        <v>757</v>
      </c>
      <c r="N101" s="279" t="s">
        <v>758</v>
      </c>
      <c r="O101" s="279" t="s">
        <v>759</v>
      </c>
      <c r="P101" s="283">
        <v>91</v>
      </c>
      <c r="Q101" s="279" t="s">
        <v>3331</v>
      </c>
      <c r="R101" s="279" t="s">
        <v>774</v>
      </c>
      <c r="S101" s="279" t="s">
        <v>683</v>
      </c>
      <c r="T101" s="279">
        <v>16</v>
      </c>
      <c r="U101" s="267">
        <v>2</v>
      </c>
      <c r="V101" s="267">
        <v>2</v>
      </c>
      <c r="W101" s="224">
        <v>4</v>
      </c>
      <c r="X101" s="267">
        <v>5</v>
      </c>
      <c r="Y101" s="267">
        <v>6</v>
      </c>
      <c r="Z101" s="267">
        <v>7</v>
      </c>
      <c r="AA101" s="267">
        <v>7</v>
      </c>
      <c r="AB101" s="224">
        <v>25</v>
      </c>
      <c r="AC101" s="267">
        <v>8</v>
      </c>
      <c r="AD101" s="267">
        <v>9</v>
      </c>
      <c r="AE101" s="267">
        <v>10</v>
      </c>
      <c r="AF101" s="267">
        <v>10</v>
      </c>
      <c r="AG101" s="224">
        <v>37</v>
      </c>
      <c r="AH101" s="267">
        <v>11</v>
      </c>
      <c r="AI101" s="267">
        <v>10</v>
      </c>
      <c r="AJ101" s="267">
        <v>10</v>
      </c>
      <c r="AK101" s="267">
        <v>10</v>
      </c>
      <c r="AL101" s="224">
        <v>41</v>
      </c>
      <c r="AM101" s="104">
        <v>107</v>
      </c>
      <c r="AN101" s="103" t="s">
        <v>685</v>
      </c>
      <c r="AO101" s="103" t="s">
        <v>613</v>
      </c>
      <c r="AP101" s="103" t="s">
        <v>1214</v>
      </c>
      <c r="AQ101" s="103" t="s">
        <v>1194</v>
      </c>
      <c r="AR101" s="103" t="s">
        <v>938</v>
      </c>
      <c r="AS101" s="271"/>
      <c r="AT101" s="271"/>
      <c r="AU101" s="271"/>
      <c r="AV101" s="271"/>
      <c r="AW101" s="271">
        <v>152785050</v>
      </c>
      <c r="AX101" s="271"/>
      <c r="AY101" s="271"/>
      <c r="AZ101" s="271"/>
      <c r="BA101" s="271"/>
      <c r="BB101" s="271"/>
      <c r="BC101" s="271"/>
      <c r="BD101" s="271"/>
      <c r="BE101" s="271"/>
      <c r="BF101" s="271">
        <v>74531432</v>
      </c>
      <c r="BG101" s="271"/>
      <c r="BH101" s="235">
        <f t="shared" si="23"/>
        <v>227316482</v>
      </c>
      <c r="BI101" s="271"/>
      <c r="BJ101" s="271"/>
      <c r="BK101" s="271"/>
      <c r="BL101" s="271"/>
      <c r="BM101" s="271">
        <v>128534906</v>
      </c>
      <c r="BN101" s="271"/>
      <c r="BO101" s="271"/>
      <c r="BP101" s="271"/>
      <c r="BQ101" s="271"/>
      <c r="BR101" s="271"/>
      <c r="BS101" s="271"/>
      <c r="BT101" s="271"/>
      <c r="BU101" s="271"/>
      <c r="BV101" s="271">
        <v>76767375</v>
      </c>
      <c r="BW101" s="271"/>
      <c r="BX101" s="235">
        <f t="shared" si="24"/>
        <v>205302281</v>
      </c>
      <c r="BY101" s="271"/>
      <c r="BZ101" s="271"/>
      <c r="CA101" s="271"/>
      <c r="CB101" s="271"/>
      <c r="CC101" s="271">
        <v>132553503</v>
      </c>
      <c r="CD101" s="271"/>
      <c r="CE101" s="271"/>
      <c r="CF101" s="271"/>
      <c r="CG101" s="271"/>
      <c r="CH101" s="271"/>
      <c r="CI101" s="271"/>
      <c r="CJ101" s="271"/>
      <c r="CK101" s="271"/>
      <c r="CL101" s="271">
        <v>79070396</v>
      </c>
      <c r="CM101" s="271"/>
      <c r="CN101" s="235">
        <f t="shared" si="25"/>
        <v>211623899</v>
      </c>
      <c r="CO101" s="271"/>
      <c r="CP101" s="271"/>
      <c r="CQ101" s="271"/>
      <c r="CR101" s="271"/>
      <c r="CS101" s="271">
        <v>137855643</v>
      </c>
      <c r="CT101" s="271"/>
      <c r="CU101" s="271"/>
      <c r="CV101" s="271"/>
      <c r="CW101" s="271"/>
      <c r="CX101" s="271"/>
      <c r="CY101" s="271"/>
      <c r="CZ101" s="271"/>
      <c r="DA101" s="271"/>
      <c r="DB101" s="271">
        <v>81442508</v>
      </c>
      <c r="DC101" s="271"/>
      <c r="DD101" s="234">
        <f t="shared" si="26"/>
        <v>219298151</v>
      </c>
      <c r="DE101" s="244">
        <f t="shared" si="27"/>
        <v>863540813</v>
      </c>
    </row>
    <row r="102" spans="1:109" s="99" customFormat="1" ht="124.05" customHeight="1">
      <c r="A102" s="103" t="s">
        <v>1233</v>
      </c>
      <c r="B102" s="279" t="s">
        <v>9</v>
      </c>
      <c r="C102" s="279" t="s">
        <v>1701</v>
      </c>
      <c r="D102" s="279">
        <v>7</v>
      </c>
      <c r="E102" s="279" t="s">
        <v>203</v>
      </c>
      <c r="F102" s="280" t="s">
        <v>756</v>
      </c>
      <c r="G102" s="279" t="s">
        <v>3322</v>
      </c>
      <c r="H102" s="279">
        <v>10</v>
      </c>
      <c r="I102" s="279" t="s">
        <v>208</v>
      </c>
      <c r="J102" s="279" t="s">
        <v>209</v>
      </c>
      <c r="K102" s="279" t="s">
        <v>210</v>
      </c>
      <c r="L102" s="279" t="s">
        <v>211</v>
      </c>
      <c r="M102" s="279" t="s">
        <v>757</v>
      </c>
      <c r="N102" s="279" t="s">
        <v>758</v>
      </c>
      <c r="O102" s="279" t="s">
        <v>759</v>
      </c>
      <c r="P102" s="283">
        <v>92</v>
      </c>
      <c r="Q102" s="279" t="s">
        <v>3155</v>
      </c>
      <c r="R102" s="279" t="s">
        <v>775</v>
      </c>
      <c r="S102" s="279" t="s">
        <v>677</v>
      </c>
      <c r="T102" s="279">
        <v>0</v>
      </c>
      <c r="U102" s="267"/>
      <c r="V102" s="267"/>
      <c r="W102" s="224">
        <v>0</v>
      </c>
      <c r="X102" s="267">
        <v>2</v>
      </c>
      <c r="Y102" s="267">
        <v>2</v>
      </c>
      <c r="Z102" s="267">
        <v>3</v>
      </c>
      <c r="AA102" s="267">
        <v>3</v>
      </c>
      <c r="AB102" s="224">
        <v>10</v>
      </c>
      <c r="AC102" s="267">
        <v>5</v>
      </c>
      <c r="AD102" s="267">
        <v>5</v>
      </c>
      <c r="AE102" s="267">
        <v>5</v>
      </c>
      <c r="AF102" s="267">
        <v>5</v>
      </c>
      <c r="AG102" s="224">
        <v>20</v>
      </c>
      <c r="AH102" s="267">
        <v>5</v>
      </c>
      <c r="AI102" s="267">
        <v>5</v>
      </c>
      <c r="AJ102" s="267">
        <v>5</v>
      </c>
      <c r="AK102" s="267">
        <v>5</v>
      </c>
      <c r="AL102" s="224">
        <v>20</v>
      </c>
      <c r="AM102" s="104">
        <v>50</v>
      </c>
      <c r="AN102" s="103" t="s">
        <v>685</v>
      </c>
      <c r="AO102" s="103" t="s">
        <v>613</v>
      </c>
      <c r="AP102" s="103" t="s">
        <v>1214</v>
      </c>
      <c r="AQ102" s="103" t="s">
        <v>1194</v>
      </c>
      <c r="AR102" s="103" t="s">
        <v>938</v>
      </c>
      <c r="AS102" s="271"/>
      <c r="AT102" s="271"/>
      <c r="AU102" s="271"/>
      <c r="AV102" s="271"/>
      <c r="AW102" s="271"/>
      <c r="AX102" s="271"/>
      <c r="AY102" s="271"/>
      <c r="AZ102" s="271"/>
      <c r="BA102" s="271"/>
      <c r="BB102" s="271"/>
      <c r="BC102" s="271"/>
      <c r="BD102" s="271"/>
      <c r="BE102" s="271"/>
      <c r="BF102" s="271"/>
      <c r="BG102" s="271"/>
      <c r="BH102" s="235">
        <f t="shared" si="23"/>
        <v>0</v>
      </c>
      <c r="BI102" s="271"/>
      <c r="BJ102" s="271"/>
      <c r="BK102" s="271"/>
      <c r="BL102" s="271"/>
      <c r="BM102" s="271">
        <v>31404859</v>
      </c>
      <c r="BN102" s="271"/>
      <c r="BO102" s="271"/>
      <c r="BP102" s="271"/>
      <c r="BQ102" s="271"/>
      <c r="BR102" s="271"/>
      <c r="BS102" s="271"/>
      <c r="BT102" s="271"/>
      <c r="BU102" s="271"/>
      <c r="BV102" s="271"/>
      <c r="BW102" s="271"/>
      <c r="BX102" s="235">
        <f t="shared" si="24"/>
        <v>31404859</v>
      </c>
      <c r="BY102" s="271"/>
      <c r="BZ102" s="271"/>
      <c r="CA102" s="271"/>
      <c r="CB102" s="271"/>
      <c r="CC102" s="271">
        <v>32386720</v>
      </c>
      <c r="CD102" s="271"/>
      <c r="CE102" s="271"/>
      <c r="CF102" s="271"/>
      <c r="CG102" s="271"/>
      <c r="CH102" s="271"/>
      <c r="CI102" s="271"/>
      <c r="CJ102" s="271"/>
      <c r="CK102" s="271"/>
      <c r="CL102" s="271"/>
      <c r="CM102" s="271"/>
      <c r="CN102" s="235">
        <f t="shared" si="25"/>
        <v>32386720</v>
      </c>
      <c r="CO102" s="271"/>
      <c r="CP102" s="271"/>
      <c r="CQ102" s="271"/>
      <c r="CR102" s="271"/>
      <c r="CS102" s="271">
        <v>33682189</v>
      </c>
      <c r="CT102" s="271"/>
      <c r="CU102" s="271"/>
      <c r="CV102" s="271"/>
      <c r="CW102" s="271"/>
      <c r="CX102" s="271"/>
      <c r="CY102" s="271"/>
      <c r="CZ102" s="271"/>
      <c r="DA102" s="271"/>
      <c r="DB102" s="271"/>
      <c r="DC102" s="271"/>
      <c r="DD102" s="234">
        <f t="shared" si="26"/>
        <v>33682189</v>
      </c>
      <c r="DE102" s="244">
        <f t="shared" si="27"/>
        <v>97473768</v>
      </c>
    </row>
    <row r="103" spans="1:109" s="99" customFormat="1" ht="124.05" customHeight="1">
      <c r="A103" s="103" t="s">
        <v>1233</v>
      </c>
      <c r="B103" s="279" t="s">
        <v>9</v>
      </c>
      <c r="C103" s="279" t="s">
        <v>1701</v>
      </c>
      <c r="D103" s="279">
        <v>7</v>
      </c>
      <c r="E103" s="279" t="s">
        <v>203</v>
      </c>
      <c r="F103" s="280" t="s">
        <v>756</v>
      </c>
      <c r="G103" s="279" t="s">
        <v>3322</v>
      </c>
      <c r="H103" s="279">
        <v>10</v>
      </c>
      <c r="I103" s="279" t="s">
        <v>208</v>
      </c>
      <c r="J103" s="279" t="s">
        <v>209</v>
      </c>
      <c r="K103" s="279" t="s">
        <v>210</v>
      </c>
      <c r="L103" s="279" t="s">
        <v>211</v>
      </c>
      <c r="M103" s="279" t="s">
        <v>757</v>
      </c>
      <c r="N103" s="279" t="s">
        <v>758</v>
      </c>
      <c r="O103" s="279" t="s">
        <v>759</v>
      </c>
      <c r="P103" s="283">
        <v>93</v>
      </c>
      <c r="Q103" s="279" t="s">
        <v>3332</v>
      </c>
      <c r="R103" s="279" t="s">
        <v>776</v>
      </c>
      <c r="S103" s="279" t="s">
        <v>683</v>
      </c>
      <c r="T103" s="279">
        <v>9</v>
      </c>
      <c r="U103" s="267"/>
      <c r="V103" s="267">
        <v>2</v>
      </c>
      <c r="W103" s="224">
        <v>2</v>
      </c>
      <c r="X103" s="267"/>
      <c r="Y103" s="267"/>
      <c r="Z103" s="267"/>
      <c r="AA103" s="267">
        <v>6</v>
      </c>
      <c r="AB103" s="224">
        <v>6</v>
      </c>
      <c r="AC103" s="267"/>
      <c r="AD103" s="267"/>
      <c r="AE103" s="267"/>
      <c r="AF103" s="267">
        <v>8</v>
      </c>
      <c r="AG103" s="224">
        <v>8</v>
      </c>
      <c r="AH103" s="267"/>
      <c r="AI103" s="267"/>
      <c r="AJ103" s="267"/>
      <c r="AK103" s="267">
        <v>8</v>
      </c>
      <c r="AL103" s="224">
        <v>8</v>
      </c>
      <c r="AM103" s="104">
        <v>24</v>
      </c>
      <c r="AN103" s="103" t="s">
        <v>685</v>
      </c>
      <c r="AO103" s="103" t="s">
        <v>613</v>
      </c>
      <c r="AP103" s="103" t="s">
        <v>1214</v>
      </c>
      <c r="AQ103" s="103" t="s">
        <v>1194</v>
      </c>
      <c r="AR103" s="103" t="s">
        <v>938</v>
      </c>
      <c r="AS103" s="271"/>
      <c r="AT103" s="271"/>
      <c r="AU103" s="271"/>
      <c r="AV103" s="271"/>
      <c r="AW103" s="271"/>
      <c r="AX103" s="271"/>
      <c r="AY103" s="271"/>
      <c r="AZ103" s="271"/>
      <c r="BA103" s="271"/>
      <c r="BB103" s="271"/>
      <c r="BC103" s="271"/>
      <c r="BD103" s="271"/>
      <c r="BE103" s="271"/>
      <c r="BF103" s="271">
        <v>320034600</v>
      </c>
      <c r="BG103" s="271"/>
      <c r="BH103" s="235">
        <f t="shared" si="23"/>
        <v>320034600</v>
      </c>
      <c r="BI103" s="271"/>
      <c r="BJ103" s="271"/>
      <c r="BK103" s="271"/>
      <c r="BL103" s="271"/>
      <c r="BM103" s="271"/>
      <c r="BN103" s="271"/>
      <c r="BO103" s="271"/>
      <c r="BP103" s="271"/>
      <c r="BQ103" s="271"/>
      <c r="BR103" s="271"/>
      <c r="BS103" s="271"/>
      <c r="BT103" s="271"/>
      <c r="BU103" s="271"/>
      <c r="BV103" s="271">
        <v>329635638</v>
      </c>
      <c r="BW103" s="271"/>
      <c r="BX103" s="235">
        <f t="shared" si="24"/>
        <v>329635638</v>
      </c>
      <c r="BY103" s="271"/>
      <c r="BZ103" s="271"/>
      <c r="CA103" s="271"/>
      <c r="CB103" s="271"/>
      <c r="CC103" s="271"/>
      <c r="CD103" s="271"/>
      <c r="CE103" s="271"/>
      <c r="CF103" s="271"/>
      <c r="CG103" s="271"/>
      <c r="CH103" s="271"/>
      <c r="CI103" s="271"/>
      <c r="CJ103" s="271"/>
      <c r="CK103" s="271"/>
      <c r="CL103" s="271">
        <v>339524707</v>
      </c>
      <c r="CM103" s="271"/>
      <c r="CN103" s="235">
        <f t="shared" si="25"/>
        <v>339524707</v>
      </c>
      <c r="CO103" s="271"/>
      <c r="CP103" s="271"/>
      <c r="CQ103" s="271"/>
      <c r="CR103" s="271"/>
      <c r="CS103" s="271"/>
      <c r="CT103" s="271"/>
      <c r="CU103" s="271"/>
      <c r="CV103" s="271"/>
      <c r="CW103" s="271"/>
      <c r="CX103" s="271"/>
      <c r="CY103" s="271"/>
      <c r="CZ103" s="271"/>
      <c r="DA103" s="271"/>
      <c r="DB103" s="271">
        <v>349710448</v>
      </c>
      <c r="DC103" s="271"/>
      <c r="DD103" s="234">
        <f t="shared" si="26"/>
        <v>349710448</v>
      </c>
      <c r="DE103" s="244">
        <f t="shared" si="27"/>
        <v>1338905393</v>
      </c>
    </row>
    <row r="104" spans="1:109" s="99" customFormat="1" ht="124.05" customHeight="1">
      <c r="A104" s="103" t="s">
        <v>1233</v>
      </c>
      <c r="B104" s="279" t="s">
        <v>9</v>
      </c>
      <c r="C104" s="279" t="s">
        <v>1701</v>
      </c>
      <c r="D104" s="279">
        <v>7</v>
      </c>
      <c r="E104" s="279" t="s">
        <v>203</v>
      </c>
      <c r="F104" s="280" t="s">
        <v>756</v>
      </c>
      <c r="G104" s="279" t="s">
        <v>3322</v>
      </c>
      <c r="H104" s="279">
        <v>10</v>
      </c>
      <c r="I104" s="279" t="s">
        <v>208</v>
      </c>
      <c r="J104" s="279" t="s">
        <v>209</v>
      </c>
      <c r="K104" s="279" t="s">
        <v>210</v>
      </c>
      <c r="L104" s="279" t="s">
        <v>211</v>
      </c>
      <c r="M104" s="279" t="s">
        <v>757</v>
      </c>
      <c r="N104" s="279" t="s">
        <v>758</v>
      </c>
      <c r="O104" s="279" t="s">
        <v>759</v>
      </c>
      <c r="P104" s="283">
        <v>94</v>
      </c>
      <c r="Q104" s="279" t="s">
        <v>3333</v>
      </c>
      <c r="R104" s="279" t="s">
        <v>777</v>
      </c>
      <c r="S104" s="279" t="s">
        <v>683</v>
      </c>
      <c r="T104" s="279">
        <v>63</v>
      </c>
      <c r="U104" s="267">
        <v>50</v>
      </c>
      <c r="V104" s="267">
        <v>13</v>
      </c>
      <c r="W104" s="224">
        <v>63</v>
      </c>
      <c r="X104" s="267">
        <v>10</v>
      </c>
      <c r="Y104" s="267">
        <v>20</v>
      </c>
      <c r="Z104" s="267">
        <v>20</v>
      </c>
      <c r="AA104" s="267">
        <v>13</v>
      </c>
      <c r="AB104" s="224">
        <v>63</v>
      </c>
      <c r="AC104" s="267">
        <v>10</v>
      </c>
      <c r="AD104" s="267">
        <v>20</v>
      </c>
      <c r="AE104" s="267">
        <v>20</v>
      </c>
      <c r="AF104" s="267">
        <v>13</v>
      </c>
      <c r="AG104" s="224">
        <v>63</v>
      </c>
      <c r="AH104" s="267">
        <v>10</v>
      </c>
      <c r="AI104" s="267">
        <v>20</v>
      </c>
      <c r="AJ104" s="267">
        <v>20</v>
      </c>
      <c r="AK104" s="267">
        <v>13</v>
      </c>
      <c r="AL104" s="224">
        <v>63</v>
      </c>
      <c r="AM104" s="104">
        <v>63</v>
      </c>
      <c r="AN104" s="103" t="s">
        <v>686</v>
      </c>
      <c r="AO104" s="103" t="s">
        <v>613</v>
      </c>
      <c r="AP104" s="103" t="s">
        <v>1214</v>
      </c>
      <c r="AQ104" s="103" t="s">
        <v>1194</v>
      </c>
      <c r="AR104" s="103" t="s">
        <v>938</v>
      </c>
      <c r="AS104" s="271"/>
      <c r="AT104" s="271"/>
      <c r="AU104" s="271"/>
      <c r="AV104" s="271"/>
      <c r="AW104" s="271">
        <v>239176189</v>
      </c>
      <c r="AX104" s="271"/>
      <c r="AY104" s="271"/>
      <c r="AZ104" s="271"/>
      <c r="BA104" s="271"/>
      <c r="BB104" s="271"/>
      <c r="BC104" s="271"/>
      <c r="BD104" s="271"/>
      <c r="BE104" s="271"/>
      <c r="BF104" s="271">
        <v>54988281</v>
      </c>
      <c r="BG104" s="271"/>
      <c r="BH104" s="235">
        <f t="shared" si="23"/>
        <v>294164470</v>
      </c>
      <c r="BI104" s="271"/>
      <c r="BJ104" s="271"/>
      <c r="BK104" s="271"/>
      <c r="BL104" s="271"/>
      <c r="BM104" s="271">
        <v>250376483</v>
      </c>
      <c r="BN104" s="271"/>
      <c r="BO104" s="271"/>
      <c r="BP104" s="271"/>
      <c r="BQ104" s="271"/>
      <c r="BR104" s="271"/>
      <c r="BS104" s="271"/>
      <c r="BT104" s="271"/>
      <c r="BU104" s="271"/>
      <c r="BV104" s="271"/>
      <c r="BW104" s="271"/>
      <c r="BX104" s="235">
        <f t="shared" si="24"/>
        <v>250376483</v>
      </c>
      <c r="BY104" s="271"/>
      <c r="BZ104" s="271"/>
      <c r="CA104" s="271"/>
      <c r="CB104" s="271"/>
      <c r="CC104" s="271">
        <v>258204412</v>
      </c>
      <c r="CD104" s="271"/>
      <c r="CE104" s="271"/>
      <c r="CF104" s="271"/>
      <c r="CG104" s="271"/>
      <c r="CH104" s="271"/>
      <c r="CI104" s="271"/>
      <c r="CJ104" s="271"/>
      <c r="CK104" s="271"/>
      <c r="CL104" s="271"/>
      <c r="CM104" s="271"/>
      <c r="CN104" s="235">
        <f t="shared" si="25"/>
        <v>258204412</v>
      </c>
      <c r="CO104" s="271"/>
      <c r="CP104" s="271"/>
      <c r="CQ104" s="271"/>
      <c r="CR104" s="271"/>
      <c r="CS104" s="271">
        <v>268532588</v>
      </c>
      <c r="CT104" s="271"/>
      <c r="CU104" s="271"/>
      <c r="CV104" s="271"/>
      <c r="CW104" s="271"/>
      <c r="CX104" s="271"/>
      <c r="CY104" s="271"/>
      <c r="CZ104" s="271"/>
      <c r="DA104" s="271"/>
      <c r="DB104" s="271"/>
      <c r="DC104" s="271"/>
      <c r="DD104" s="234">
        <f t="shared" si="26"/>
        <v>268532588</v>
      </c>
      <c r="DE104" s="244">
        <f t="shared" si="27"/>
        <v>1071277953</v>
      </c>
    </row>
    <row r="105" spans="1:109" s="99" customFormat="1" ht="124.05" customHeight="1">
      <c r="A105" s="103" t="s">
        <v>1233</v>
      </c>
      <c r="B105" s="279" t="s">
        <v>9</v>
      </c>
      <c r="C105" s="279" t="s">
        <v>1701</v>
      </c>
      <c r="D105" s="279">
        <v>7</v>
      </c>
      <c r="E105" s="279" t="s">
        <v>203</v>
      </c>
      <c r="F105" s="280" t="s">
        <v>756</v>
      </c>
      <c r="G105" s="279" t="s">
        <v>3322</v>
      </c>
      <c r="H105" s="279">
        <v>10</v>
      </c>
      <c r="I105" s="279" t="s">
        <v>208</v>
      </c>
      <c r="J105" s="279" t="s">
        <v>209</v>
      </c>
      <c r="K105" s="279" t="s">
        <v>210</v>
      </c>
      <c r="L105" s="279" t="s">
        <v>211</v>
      </c>
      <c r="M105" s="279" t="s">
        <v>757</v>
      </c>
      <c r="N105" s="279" t="s">
        <v>758</v>
      </c>
      <c r="O105" s="279" t="s">
        <v>759</v>
      </c>
      <c r="P105" s="283">
        <v>95</v>
      </c>
      <c r="Q105" s="279" t="s">
        <v>3334</v>
      </c>
      <c r="R105" s="279" t="s">
        <v>777</v>
      </c>
      <c r="S105" s="279" t="s">
        <v>683</v>
      </c>
      <c r="T105" s="279">
        <v>63</v>
      </c>
      <c r="U105" s="267"/>
      <c r="V105" s="267"/>
      <c r="W105" s="224">
        <v>0</v>
      </c>
      <c r="X105" s="267">
        <v>1</v>
      </c>
      <c r="Y105" s="267">
        <v>1</v>
      </c>
      <c r="Z105" s="267">
        <v>1</v>
      </c>
      <c r="AA105" s="267">
        <v>1</v>
      </c>
      <c r="AB105" s="224">
        <v>4</v>
      </c>
      <c r="AC105" s="267"/>
      <c r="AD105" s="267"/>
      <c r="AE105" s="267">
        <v>1</v>
      </c>
      <c r="AF105" s="267"/>
      <c r="AG105" s="224">
        <v>1</v>
      </c>
      <c r="AH105" s="267"/>
      <c r="AI105" s="267">
        <v>1</v>
      </c>
      <c r="AJ105" s="267">
        <v>1</v>
      </c>
      <c r="AK105" s="267">
        <v>1</v>
      </c>
      <c r="AL105" s="224">
        <v>3</v>
      </c>
      <c r="AM105" s="104">
        <v>8</v>
      </c>
      <c r="AN105" s="103" t="s">
        <v>685</v>
      </c>
      <c r="AO105" s="103" t="s">
        <v>613</v>
      </c>
      <c r="AP105" s="103" t="s">
        <v>1214</v>
      </c>
      <c r="AQ105" s="103" t="s">
        <v>1194</v>
      </c>
      <c r="AR105" s="103" t="s">
        <v>938</v>
      </c>
      <c r="AS105" s="271"/>
      <c r="AT105" s="271"/>
      <c r="AU105" s="271"/>
      <c r="AV105" s="271"/>
      <c r="AW105" s="271"/>
      <c r="AX105" s="271"/>
      <c r="AY105" s="271"/>
      <c r="AZ105" s="271"/>
      <c r="BA105" s="271"/>
      <c r="BB105" s="271"/>
      <c r="BC105" s="271"/>
      <c r="BD105" s="271"/>
      <c r="BE105" s="271"/>
      <c r="BF105" s="271"/>
      <c r="BG105" s="271"/>
      <c r="BH105" s="235">
        <f t="shared" si="23"/>
        <v>0</v>
      </c>
      <c r="BI105" s="271"/>
      <c r="BJ105" s="271"/>
      <c r="BK105" s="271"/>
      <c r="BL105" s="271"/>
      <c r="BM105" s="271"/>
      <c r="BN105" s="271"/>
      <c r="BO105" s="271"/>
      <c r="BP105" s="271"/>
      <c r="BQ105" s="271"/>
      <c r="BR105" s="271"/>
      <c r="BS105" s="271"/>
      <c r="BT105" s="271"/>
      <c r="BU105" s="271"/>
      <c r="BV105" s="271">
        <v>56637929</v>
      </c>
      <c r="BW105" s="271"/>
      <c r="BX105" s="235">
        <f t="shared" si="24"/>
        <v>56637929</v>
      </c>
      <c r="BY105" s="271"/>
      <c r="BZ105" s="271"/>
      <c r="CA105" s="271"/>
      <c r="CB105" s="271"/>
      <c r="CC105" s="271"/>
      <c r="CD105" s="271"/>
      <c r="CE105" s="271"/>
      <c r="CF105" s="271"/>
      <c r="CG105" s="271"/>
      <c r="CH105" s="271"/>
      <c r="CI105" s="271"/>
      <c r="CJ105" s="271"/>
      <c r="CK105" s="271"/>
      <c r="CL105" s="271">
        <v>58337067</v>
      </c>
      <c r="CM105" s="271"/>
      <c r="CN105" s="235">
        <f t="shared" si="25"/>
        <v>58337067</v>
      </c>
      <c r="CO105" s="271"/>
      <c r="CP105" s="271"/>
      <c r="CQ105" s="271"/>
      <c r="CR105" s="271"/>
      <c r="CS105" s="271"/>
      <c r="CT105" s="271"/>
      <c r="CU105" s="271"/>
      <c r="CV105" s="271"/>
      <c r="CW105" s="271"/>
      <c r="CX105" s="271"/>
      <c r="CY105" s="271"/>
      <c r="CZ105" s="271"/>
      <c r="DA105" s="271"/>
      <c r="DB105" s="271">
        <v>60087179</v>
      </c>
      <c r="DC105" s="271"/>
      <c r="DD105" s="234">
        <f t="shared" si="26"/>
        <v>60087179</v>
      </c>
      <c r="DE105" s="244">
        <f t="shared" si="27"/>
        <v>175062175</v>
      </c>
    </row>
    <row r="106" spans="1:109" s="99" customFormat="1" ht="124.05" customHeight="1">
      <c r="A106" s="103" t="s">
        <v>1233</v>
      </c>
      <c r="B106" s="279" t="s">
        <v>9</v>
      </c>
      <c r="C106" s="279" t="s">
        <v>1701</v>
      </c>
      <c r="D106" s="279">
        <v>7</v>
      </c>
      <c r="E106" s="279" t="s">
        <v>203</v>
      </c>
      <c r="F106" s="280" t="s">
        <v>756</v>
      </c>
      <c r="G106" s="279" t="s">
        <v>3322</v>
      </c>
      <c r="H106" s="279">
        <v>10</v>
      </c>
      <c r="I106" s="279" t="s">
        <v>208</v>
      </c>
      <c r="J106" s="279" t="s">
        <v>209</v>
      </c>
      <c r="K106" s="279" t="s">
        <v>210</v>
      </c>
      <c r="L106" s="279" t="s">
        <v>211</v>
      </c>
      <c r="M106" s="279" t="s">
        <v>757</v>
      </c>
      <c r="N106" s="279" t="s">
        <v>758</v>
      </c>
      <c r="O106" s="279" t="s">
        <v>759</v>
      </c>
      <c r="P106" s="283">
        <v>96</v>
      </c>
      <c r="Q106" s="279" t="s">
        <v>3335</v>
      </c>
      <c r="R106" s="279" t="s">
        <v>778</v>
      </c>
      <c r="S106" s="279" t="s">
        <v>683</v>
      </c>
      <c r="T106" s="279">
        <v>508</v>
      </c>
      <c r="U106" s="267">
        <v>350</v>
      </c>
      <c r="V106" s="267">
        <v>158</v>
      </c>
      <c r="W106" s="224">
        <v>508</v>
      </c>
      <c r="X106" s="267">
        <v>100</v>
      </c>
      <c r="Y106" s="267">
        <v>150</v>
      </c>
      <c r="Z106" s="267">
        <v>150</v>
      </c>
      <c r="AA106" s="267">
        <v>108</v>
      </c>
      <c r="AB106" s="224">
        <v>508</v>
      </c>
      <c r="AC106" s="267">
        <v>100</v>
      </c>
      <c r="AD106" s="267">
        <v>150</v>
      </c>
      <c r="AE106" s="267">
        <v>150</v>
      </c>
      <c r="AF106" s="267">
        <v>108</v>
      </c>
      <c r="AG106" s="224">
        <v>508</v>
      </c>
      <c r="AH106" s="267">
        <v>100</v>
      </c>
      <c r="AI106" s="267">
        <v>150</v>
      </c>
      <c r="AJ106" s="267">
        <v>150</v>
      </c>
      <c r="AK106" s="267">
        <v>108</v>
      </c>
      <c r="AL106" s="224">
        <v>508</v>
      </c>
      <c r="AM106" s="104">
        <v>508</v>
      </c>
      <c r="AN106" s="103" t="s">
        <v>686</v>
      </c>
      <c r="AO106" s="103" t="s">
        <v>613</v>
      </c>
      <c r="AP106" s="103" t="s">
        <v>1214</v>
      </c>
      <c r="AQ106" s="103" t="s">
        <v>1194</v>
      </c>
      <c r="AR106" s="103" t="s">
        <v>938</v>
      </c>
      <c r="AS106" s="271"/>
      <c r="AT106" s="271"/>
      <c r="AU106" s="271"/>
      <c r="AV106" s="271"/>
      <c r="AW106" s="271"/>
      <c r="AX106" s="271"/>
      <c r="AY106" s="271"/>
      <c r="AZ106" s="271"/>
      <c r="BA106" s="271"/>
      <c r="BB106" s="271"/>
      <c r="BC106" s="271"/>
      <c r="BD106" s="271"/>
      <c r="BE106" s="271"/>
      <c r="BF106" s="271">
        <v>463944526</v>
      </c>
      <c r="BG106" s="271"/>
      <c r="BH106" s="235">
        <f t="shared" si="23"/>
        <v>463944526</v>
      </c>
      <c r="BI106" s="271"/>
      <c r="BJ106" s="271"/>
      <c r="BK106" s="271"/>
      <c r="BL106" s="271"/>
      <c r="BM106" s="271"/>
      <c r="BN106" s="271"/>
      <c r="BO106" s="271"/>
      <c r="BP106" s="271"/>
      <c r="BQ106" s="271"/>
      <c r="BR106" s="271"/>
      <c r="BS106" s="271"/>
      <c r="BT106" s="271"/>
      <c r="BU106" s="271"/>
      <c r="BV106" s="271">
        <v>400000000</v>
      </c>
      <c r="BW106" s="271"/>
      <c r="BX106" s="235">
        <f t="shared" si="24"/>
        <v>400000000</v>
      </c>
      <c r="BY106" s="271"/>
      <c r="BZ106" s="271"/>
      <c r="CA106" s="271"/>
      <c r="CB106" s="271"/>
      <c r="CC106" s="271"/>
      <c r="CD106" s="271"/>
      <c r="CE106" s="271"/>
      <c r="CF106" s="271"/>
      <c r="CG106" s="271"/>
      <c r="CH106" s="271"/>
      <c r="CI106" s="271"/>
      <c r="CJ106" s="271"/>
      <c r="CK106" s="271"/>
      <c r="CL106" s="271">
        <v>402000000</v>
      </c>
      <c r="CM106" s="271"/>
      <c r="CN106" s="235">
        <f t="shared" si="25"/>
        <v>402000000</v>
      </c>
      <c r="CO106" s="271"/>
      <c r="CP106" s="271"/>
      <c r="CQ106" s="271"/>
      <c r="CR106" s="271"/>
      <c r="CS106" s="271"/>
      <c r="CT106" s="271"/>
      <c r="CU106" s="271"/>
      <c r="CV106" s="271"/>
      <c r="CW106" s="271"/>
      <c r="CX106" s="271"/>
      <c r="CY106" s="271"/>
      <c r="CZ106" s="271"/>
      <c r="DA106" s="271"/>
      <c r="DB106" s="271">
        <v>414000000</v>
      </c>
      <c r="DC106" s="271"/>
      <c r="DD106" s="234">
        <f t="shared" si="26"/>
        <v>414000000</v>
      </c>
      <c r="DE106" s="244">
        <f t="shared" si="27"/>
        <v>1679944526</v>
      </c>
    </row>
    <row r="107" spans="1:109" s="99" customFormat="1" ht="124.05" customHeight="1">
      <c r="A107" s="103" t="s">
        <v>1233</v>
      </c>
      <c r="B107" s="279" t="s">
        <v>9</v>
      </c>
      <c r="C107" s="279" t="s">
        <v>1701</v>
      </c>
      <c r="D107" s="279">
        <v>7</v>
      </c>
      <c r="E107" s="279" t="s">
        <v>203</v>
      </c>
      <c r="F107" s="280" t="s">
        <v>756</v>
      </c>
      <c r="G107" s="279" t="s">
        <v>3322</v>
      </c>
      <c r="H107" s="279">
        <v>10</v>
      </c>
      <c r="I107" s="279" t="s">
        <v>208</v>
      </c>
      <c r="J107" s="279" t="s">
        <v>209</v>
      </c>
      <c r="K107" s="279" t="s">
        <v>210</v>
      </c>
      <c r="L107" s="279" t="s">
        <v>211</v>
      </c>
      <c r="M107" s="279" t="s">
        <v>757</v>
      </c>
      <c r="N107" s="279" t="s">
        <v>758</v>
      </c>
      <c r="O107" s="279" t="s">
        <v>759</v>
      </c>
      <c r="P107" s="283">
        <v>97</v>
      </c>
      <c r="Q107" s="279" t="s">
        <v>3156</v>
      </c>
      <c r="R107" s="279" t="s">
        <v>778</v>
      </c>
      <c r="S107" s="279" t="s">
        <v>683</v>
      </c>
      <c r="T107" s="279">
        <v>508</v>
      </c>
      <c r="U107" s="267"/>
      <c r="V107" s="267"/>
      <c r="W107" s="224">
        <v>0</v>
      </c>
      <c r="X107" s="267">
        <v>4</v>
      </c>
      <c r="Y107" s="267">
        <v>8</v>
      </c>
      <c r="Z107" s="267">
        <v>8</v>
      </c>
      <c r="AA107" s="267">
        <v>7</v>
      </c>
      <c r="AB107" s="224">
        <v>27</v>
      </c>
      <c r="AC107" s="267">
        <v>8</v>
      </c>
      <c r="AD107" s="267">
        <v>10</v>
      </c>
      <c r="AE107" s="267">
        <v>10</v>
      </c>
      <c r="AF107" s="267">
        <v>10</v>
      </c>
      <c r="AG107" s="224">
        <v>38</v>
      </c>
      <c r="AH107" s="267">
        <v>7</v>
      </c>
      <c r="AI107" s="267">
        <v>10</v>
      </c>
      <c r="AJ107" s="267">
        <v>10</v>
      </c>
      <c r="AK107" s="267">
        <v>10</v>
      </c>
      <c r="AL107" s="224">
        <v>37</v>
      </c>
      <c r="AM107" s="104">
        <v>102</v>
      </c>
      <c r="AN107" s="103" t="s">
        <v>685</v>
      </c>
      <c r="AO107" s="103" t="s">
        <v>613</v>
      </c>
      <c r="AP107" s="103" t="s">
        <v>1214</v>
      </c>
      <c r="AQ107" s="103" t="s">
        <v>1194</v>
      </c>
      <c r="AR107" s="103" t="s">
        <v>938</v>
      </c>
      <c r="AS107" s="271"/>
      <c r="AT107" s="271"/>
      <c r="AU107" s="271"/>
      <c r="AV107" s="271"/>
      <c r="AW107" s="271"/>
      <c r="AX107" s="271"/>
      <c r="AY107" s="271"/>
      <c r="AZ107" s="271"/>
      <c r="BA107" s="271"/>
      <c r="BB107" s="271"/>
      <c r="BC107" s="271"/>
      <c r="BD107" s="271"/>
      <c r="BE107" s="271"/>
      <c r="BF107" s="271"/>
      <c r="BG107" s="271"/>
      <c r="BH107" s="235">
        <f t="shared" si="23"/>
        <v>0</v>
      </c>
      <c r="BI107" s="271"/>
      <c r="BJ107" s="271"/>
      <c r="BK107" s="271"/>
      <c r="BL107" s="271"/>
      <c r="BM107" s="271"/>
      <c r="BN107" s="271"/>
      <c r="BO107" s="271"/>
      <c r="BP107" s="271"/>
      <c r="BQ107" s="271"/>
      <c r="BR107" s="271"/>
      <c r="BS107" s="271"/>
      <c r="BT107" s="271"/>
      <c r="BU107" s="271"/>
      <c r="BV107" s="271">
        <v>77862862</v>
      </c>
      <c r="BW107" s="271"/>
      <c r="BX107" s="235">
        <f t="shared" si="24"/>
        <v>77862862</v>
      </c>
      <c r="BY107" s="271"/>
      <c r="BZ107" s="271"/>
      <c r="CA107" s="271"/>
      <c r="CB107" s="271"/>
      <c r="CC107" s="271"/>
      <c r="CD107" s="271"/>
      <c r="CE107" s="271"/>
      <c r="CF107" s="271"/>
      <c r="CG107" s="271"/>
      <c r="CH107" s="271"/>
      <c r="CI107" s="271"/>
      <c r="CJ107" s="271"/>
      <c r="CK107" s="271"/>
      <c r="CL107" s="271">
        <v>90198748</v>
      </c>
      <c r="CM107" s="271"/>
      <c r="CN107" s="235">
        <f t="shared" si="25"/>
        <v>90198748</v>
      </c>
      <c r="CO107" s="271"/>
      <c r="CP107" s="271"/>
      <c r="CQ107" s="271"/>
      <c r="CR107" s="271"/>
      <c r="CS107" s="271"/>
      <c r="CT107" s="271"/>
      <c r="CU107" s="271"/>
      <c r="CV107" s="271"/>
      <c r="CW107" s="271"/>
      <c r="CX107" s="271"/>
      <c r="CY107" s="271"/>
      <c r="CZ107" s="271"/>
      <c r="DA107" s="271"/>
      <c r="DB107" s="271">
        <v>92964710</v>
      </c>
      <c r="DC107" s="271"/>
      <c r="DD107" s="234">
        <f t="shared" si="26"/>
        <v>92964710</v>
      </c>
      <c r="DE107" s="244">
        <f t="shared" si="27"/>
        <v>261026320</v>
      </c>
    </row>
    <row r="108" spans="1:109" s="99" customFormat="1" ht="124.05" customHeight="1">
      <c r="A108" s="103" t="s">
        <v>1233</v>
      </c>
      <c r="B108" s="279" t="s">
        <v>9</v>
      </c>
      <c r="C108" s="279" t="s">
        <v>1701</v>
      </c>
      <c r="D108" s="279">
        <v>7</v>
      </c>
      <c r="E108" s="279" t="s">
        <v>203</v>
      </c>
      <c r="F108" s="280" t="s">
        <v>756</v>
      </c>
      <c r="G108" s="279" t="s">
        <v>3322</v>
      </c>
      <c r="H108" s="279">
        <v>10</v>
      </c>
      <c r="I108" s="279" t="s">
        <v>208</v>
      </c>
      <c r="J108" s="279" t="s">
        <v>209</v>
      </c>
      <c r="K108" s="279" t="s">
        <v>210</v>
      </c>
      <c r="L108" s="279" t="s">
        <v>211</v>
      </c>
      <c r="M108" s="279" t="s">
        <v>757</v>
      </c>
      <c r="N108" s="279" t="s">
        <v>758</v>
      </c>
      <c r="O108" s="279" t="s">
        <v>759</v>
      </c>
      <c r="P108" s="283">
        <v>98</v>
      </c>
      <c r="Q108" s="279" t="s">
        <v>3157</v>
      </c>
      <c r="R108" s="279" t="s">
        <v>779</v>
      </c>
      <c r="S108" s="279" t="s">
        <v>683</v>
      </c>
      <c r="T108" s="279">
        <v>0</v>
      </c>
      <c r="U108" s="267">
        <v>3</v>
      </c>
      <c r="V108" s="267">
        <v>5</v>
      </c>
      <c r="W108" s="224">
        <v>8</v>
      </c>
      <c r="X108" s="267">
        <v>5</v>
      </c>
      <c r="Y108" s="267">
        <v>10</v>
      </c>
      <c r="Z108" s="267">
        <v>10</v>
      </c>
      <c r="AA108" s="267">
        <v>5</v>
      </c>
      <c r="AB108" s="224">
        <v>30</v>
      </c>
      <c r="AC108" s="267">
        <v>5</v>
      </c>
      <c r="AD108" s="267">
        <v>10</v>
      </c>
      <c r="AE108" s="267">
        <v>10</v>
      </c>
      <c r="AF108" s="267">
        <v>5</v>
      </c>
      <c r="AG108" s="224">
        <v>30</v>
      </c>
      <c r="AH108" s="267">
        <v>5</v>
      </c>
      <c r="AI108" s="267">
        <v>10</v>
      </c>
      <c r="AJ108" s="267">
        <v>10</v>
      </c>
      <c r="AK108" s="267">
        <v>5</v>
      </c>
      <c r="AL108" s="224">
        <v>30</v>
      </c>
      <c r="AM108" s="104">
        <v>98</v>
      </c>
      <c r="AN108" s="103" t="s">
        <v>685</v>
      </c>
      <c r="AO108" s="103" t="s">
        <v>613</v>
      </c>
      <c r="AP108" s="103" t="s">
        <v>1214</v>
      </c>
      <c r="AQ108" s="103" t="s">
        <v>1194</v>
      </c>
      <c r="AR108" s="103" t="s">
        <v>938</v>
      </c>
      <c r="AS108" s="271"/>
      <c r="AT108" s="271"/>
      <c r="AU108" s="271"/>
      <c r="AV108" s="271"/>
      <c r="AW108" s="271"/>
      <c r="AX108" s="271"/>
      <c r="AY108" s="271"/>
      <c r="AZ108" s="271"/>
      <c r="BA108" s="271"/>
      <c r="BB108" s="271"/>
      <c r="BC108" s="271"/>
      <c r="BD108" s="271"/>
      <c r="BE108" s="271"/>
      <c r="BF108" s="271">
        <v>117273600</v>
      </c>
      <c r="BG108" s="271"/>
      <c r="BH108" s="235">
        <f t="shared" si="23"/>
        <v>117273600</v>
      </c>
      <c r="BI108" s="271"/>
      <c r="BJ108" s="271"/>
      <c r="BK108" s="271"/>
      <c r="BL108" s="271"/>
      <c r="BM108" s="271"/>
      <c r="BN108" s="271"/>
      <c r="BO108" s="271"/>
      <c r="BP108" s="271"/>
      <c r="BQ108" s="271"/>
      <c r="BR108" s="271"/>
      <c r="BS108" s="271"/>
      <c r="BT108" s="271"/>
      <c r="BU108" s="271"/>
      <c r="BV108" s="271">
        <v>120791808</v>
      </c>
      <c r="BW108" s="271"/>
      <c r="BX108" s="235">
        <f t="shared" si="24"/>
        <v>120791808</v>
      </c>
      <c r="BY108" s="271"/>
      <c r="BZ108" s="271"/>
      <c r="CA108" s="271"/>
      <c r="CB108" s="271"/>
      <c r="CC108" s="271"/>
      <c r="CD108" s="271"/>
      <c r="CE108" s="271"/>
      <c r="CF108" s="271"/>
      <c r="CG108" s="271"/>
      <c r="CH108" s="271"/>
      <c r="CI108" s="271"/>
      <c r="CJ108" s="271"/>
      <c r="CK108" s="271"/>
      <c r="CL108" s="271">
        <v>124415562</v>
      </c>
      <c r="CM108" s="271"/>
      <c r="CN108" s="235">
        <f t="shared" si="25"/>
        <v>124415562</v>
      </c>
      <c r="CO108" s="271"/>
      <c r="CP108" s="271"/>
      <c r="CQ108" s="271"/>
      <c r="CR108" s="271"/>
      <c r="CS108" s="271"/>
      <c r="CT108" s="271"/>
      <c r="CU108" s="271"/>
      <c r="CV108" s="271"/>
      <c r="CW108" s="271"/>
      <c r="CX108" s="271"/>
      <c r="CY108" s="271"/>
      <c r="CZ108" s="271"/>
      <c r="DA108" s="271"/>
      <c r="DB108" s="271">
        <v>128148029</v>
      </c>
      <c r="DC108" s="271"/>
      <c r="DD108" s="234">
        <f t="shared" si="26"/>
        <v>128148029</v>
      </c>
      <c r="DE108" s="244">
        <f t="shared" si="27"/>
        <v>490628999</v>
      </c>
    </row>
    <row r="109" spans="1:109" s="99" customFormat="1" ht="124.05" customHeight="1">
      <c r="A109" s="103" t="s">
        <v>1233</v>
      </c>
      <c r="B109" s="279" t="s">
        <v>9</v>
      </c>
      <c r="C109" s="279" t="s">
        <v>1701</v>
      </c>
      <c r="D109" s="279">
        <v>7</v>
      </c>
      <c r="E109" s="279" t="s">
        <v>203</v>
      </c>
      <c r="F109" s="280" t="s">
        <v>756</v>
      </c>
      <c r="G109" s="279" t="s">
        <v>3322</v>
      </c>
      <c r="H109" s="279">
        <v>10</v>
      </c>
      <c r="I109" s="279" t="s">
        <v>208</v>
      </c>
      <c r="J109" s="279" t="s">
        <v>209</v>
      </c>
      <c r="K109" s="279" t="s">
        <v>210</v>
      </c>
      <c r="L109" s="279" t="s">
        <v>211</v>
      </c>
      <c r="M109" s="279" t="s">
        <v>757</v>
      </c>
      <c r="N109" s="279" t="s">
        <v>758</v>
      </c>
      <c r="O109" s="279" t="s">
        <v>759</v>
      </c>
      <c r="P109" s="283">
        <v>99</v>
      </c>
      <c r="Q109" s="279" t="s">
        <v>3158</v>
      </c>
      <c r="R109" s="279" t="s">
        <v>780</v>
      </c>
      <c r="S109" s="279" t="s">
        <v>683</v>
      </c>
      <c r="T109" s="279">
        <v>124</v>
      </c>
      <c r="U109" s="267">
        <v>85</v>
      </c>
      <c r="V109" s="267">
        <v>39</v>
      </c>
      <c r="W109" s="224">
        <v>124</v>
      </c>
      <c r="X109" s="267">
        <v>20</v>
      </c>
      <c r="Y109" s="267">
        <v>42</v>
      </c>
      <c r="Z109" s="267">
        <v>42</v>
      </c>
      <c r="AA109" s="267">
        <v>20</v>
      </c>
      <c r="AB109" s="224">
        <v>124</v>
      </c>
      <c r="AC109" s="267">
        <v>20</v>
      </c>
      <c r="AD109" s="267">
        <v>42</v>
      </c>
      <c r="AE109" s="267">
        <v>42</v>
      </c>
      <c r="AF109" s="267">
        <v>20</v>
      </c>
      <c r="AG109" s="224">
        <v>124</v>
      </c>
      <c r="AH109" s="267">
        <v>20</v>
      </c>
      <c r="AI109" s="267">
        <v>42</v>
      </c>
      <c r="AJ109" s="267">
        <v>42</v>
      </c>
      <c r="AK109" s="267">
        <v>20</v>
      </c>
      <c r="AL109" s="224">
        <v>124</v>
      </c>
      <c r="AM109" s="104">
        <v>124</v>
      </c>
      <c r="AN109" s="103" t="s">
        <v>686</v>
      </c>
      <c r="AO109" s="103" t="s">
        <v>613</v>
      </c>
      <c r="AP109" s="103" t="s">
        <v>1214</v>
      </c>
      <c r="AQ109" s="103" t="s">
        <v>1194</v>
      </c>
      <c r="AR109" s="103" t="s">
        <v>938</v>
      </c>
      <c r="AS109" s="271"/>
      <c r="AT109" s="271"/>
      <c r="AU109" s="271"/>
      <c r="AV109" s="271"/>
      <c r="AW109" s="271"/>
      <c r="AX109" s="271"/>
      <c r="AY109" s="271"/>
      <c r="AZ109" s="271"/>
      <c r="BA109" s="271"/>
      <c r="BB109" s="271"/>
      <c r="BC109" s="271"/>
      <c r="BD109" s="271"/>
      <c r="BE109" s="271"/>
      <c r="BF109" s="271">
        <v>67335700</v>
      </c>
      <c r="BG109" s="271"/>
      <c r="BH109" s="235">
        <f t="shared" si="23"/>
        <v>67335700</v>
      </c>
      <c r="BI109" s="271"/>
      <c r="BJ109" s="271"/>
      <c r="BK109" s="271"/>
      <c r="BL109" s="271"/>
      <c r="BM109" s="271"/>
      <c r="BN109" s="271"/>
      <c r="BO109" s="271"/>
      <c r="BP109" s="271"/>
      <c r="BQ109" s="271"/>
      <c r="BR109" s="271"/>
      <c r="BS109" s="271"/>
      <c r="BT109" s="271"/>
      <c r="BU109" s="271"/>
      <c r="BV109" s="271">
        <v>69355771</v>
      </c>
      <c r="BW109" s="271"/>
      <c r="BX109" s="235">
        <f t="shared" si="24"/>
        <v>69355771</v>
      </c>
      <c r="BY109" s="271"/>
      <c r="BZ109" s="271"/>
      <c r="CA109" s="271"/>
      <c r="CB109" s="271"/>
      <c r="CC109" s="271"/>
      <c r="CD109" s="271"/>
      <c r="CE109" s="271"/>
      <c r="CF109" s="271"/>
      <c r="CG109" s="271"/>
      <c r="CH109" s="271"/>
      <c r="CI109" s="271"/>
      <c r="CJ109" s="271"/>
      <c r="CK109" s="271"/>
      <c r="CL109" s="271">
        <v>71436444</v>
      </c>
      <c r="CM109" s="271"/>
      <c r="CN109" s="235">
        <f t="shared" si="25"/>
        <v>71436444</v>
      </c>
      <c r="CO109" s="271"/>
      <c r="CP109" s="271"/>
      <c r="CQ109" s="271"/>
      <c r="CR109" s="271"/>
      <c r="CS109" s="271"/>
      <c r="CT109" s="271"/>
      <c r="CU109" s="271"/>
      <c r="CV109" s="271"/>
      <c r="CW109" s="271"/>
      <c r="CX109" s="271"/>
      <c r="CY109" s="271"/>
      <c r="CZ109" s="271"/>
      <c r="DA109" s="271"/>
      <c r="DB109" s="271">
        <v>73579537</v>
      </c>
      <c r="DC109" s="271"/>
      <c r="DD109" s="234">
        <f t="shared" si="26"/>
        <v>73579537</v>
      </c>
      <c r="DE109" s="244">
        <f t="shared" si="27"/>
        <v>281707452</v>
      </c>
    </row>
    <row r="110" spans="1:109" s="99" customFormat="1" ht="124.05" customHeight="1">
      <c r="A110" s="103" t="s">
        <v>1233</v>
      </c>
      <c r="B110" s="279" t="s">
        <v>9</v>
      </c>
      <c r="C110" s="279" t="s">
        <v>1701</v>
      </c>
      <c r="D110" s="279">
        <v>7</v>
      </c>
      <c r="E110" s="279" t="s">
        <v>203</v>
      </c>
      <c r="F110" s="280" t="s">
        <v>756</v>
      </c>
      <c r="G110" s="279" t="s">
        <v>3322</v>
      </c>
      <c r="H110" s="279">
        <v>10</v>
      </c>
      <c r="I110" s="279" t="s">
        <v>208</v>
      </c>
      <c r="J110" s="279" t="s">
        <v>209</v>
      </c>
      <c r="K110" s="279" t="s">
        <v>210</v>
      </c>
      <c r="L110" s="279" t="s">
        <v>211</v>
      </c>
      <c r="M110" s="279" t="s">
        <v>757</v>
      </c>
      <c r="N110" s="279" t="s">
        <v>758</v>
      </c>
      <c r="O110" s="279" t="s">
        <v>759</v>
      </c>
      <c r="P110" s="283">
        <v>100</v>
      </c>
      <c r="Q110" s="279" t="s">
        <v>3159</v>
      </c>
      <c r="R110" s="279" t="s">
        <v>781</v>
      </c>
      <c r="S110" s="279" t="s">
        <v>677</v>
      </c>
      <c r="T110" s="279">
        <v>89.6</v>
      </c>
      <c r="U110" s="267"/>
      <c r="V110" s="267">
        <v>89.6</v>
      </c>
      <c r="W110" s="224">
        <v>89.6</v>
      </c>
      <c r="X110" s="267"/>
      <c r="Y110" s="267"/>
      <c r="Z110" s="267"/>
      <c r="AA110" s="267">
        <v>89.6</v>
      </c>
      <c r="AB110" s="224">
        <v>89.6</v>
      </c>
      <c r="AC110" s="267"/>
      <c r="AD110" s="267"/>
      <c r="AE110" s="267"/>
      <c r="AF110" s="267">
        <v>89.6</v>
      </c>
      <c r="AG110" s="224">
        <v>89.6</v>
      </c>
      <c r="AH110" s="267"/>
      <c r="AI110" s="267"/>
      <c r="AJ110" s="267"/>
      <c r="AK110" s="267">
        <v>89.6</v>
      </c>
      <c r="AL110" s="224">
        <v>89.6</v>
      </c>
      <c r="AM110" s="105">
        <v>89.6</v>
      </c>
      <c r="AN110" s="103" t="s">
        <v>686</v>
      </c>
      <c r="AO110" s="103" t="s">
        <v>613</v>
      </c>
      <c r="AP110" s="103" t="s">
        <v>1214</v>
      </c>
      <c r="AQ110" s="103" t="s">
        <v>1194</v>
      </c>
      <c r="AR110" s="103" t="s">
        <v>938</v>
      </c>
      <c r="AS110" s="271"/>
      <c r="AT110" s="271"/>
      <c r="AU110" s="271"/>
      <c r="AV110" s="271"/>
      <c r="AW110" s="271"/>
      <c r="AX110" s="271"/>
      <c r="AY110" s="271"/>
      <c r="AZ110" s="271"/>
      <c r="BA110" s="271"/>
      <c r="BB110" s="271"/>
      <c r="BC110" s="271"/>
      <c r="BD110" s="271"/>
      <c r="BE110" s="271"/>
      <c r="BF110" s="271">
        <v>130220000</v>
      </c>
      <c r="BG110" s="271"/>
      <c r="BH110" s="235">
        <f t="shared" si="23"/>
        <v>130220000</v>
      </c>
      <c r="BI110" s="271"/>
      <c r="BJ110" s="271"/>
      <c r="BK110" s="271"/>
      <c r="BL110" s="271"/>
      <c r="BM110" s="271"/>
      <c r="BN110" s="271"/>
      <c r="BO110" s="271"/>
      <c r="BP110" s="271"/>
      <c r="BQ110" s="271"/>
      <c r="BR110" s="271"/>
      <c r="BS110" s="271"/>
      <c r="BT110" s="271"/>
      <c r="BU110" s="271"/>
      <c r="BV110" s="271">
        <v>134126600</v>
      </c>
      <c r="BW110" s="271"/>
      <c r="BX110" s="235">
        <f t="shared" si="24"/>
        <v>134126600</v>
      </c>
      <c r="BY110" s="271"/>
      <c r="BZ110" s="271"/>
      <c r="CA110" s="271"/>
      <c r="CB110" s="271"/>
      <c r="CC110" s="271"/>
      <c r="CD110" s="271"/>
      <c r="CE110" s="271"/>
      <c r="CF110" s="271"/>
      <c r="CG110" s="271"/>
      <c r="CH110" s="271"/>
      <c r="CI110" s="271"/>
      <c r="CJ110" s="271"/>
      <c r="CK110" s="271"/>
      <c r="CL110" s="271">
        <v>138150398</v>
      </c>
      <c r="CM110" s="271"/>
      <c r="CN110" s="235">
        <f t="shared" si="25"/>
        <v>138150398</v>
      </c>
      <c r="CO110" s="271"/>
      <c r="CP110" s="271"/>
      <c r="CQ110" s="271"/>
      <c r="CR110" s="271"/>
      <c r="CS110" s="271"/>
      <c r="CT110" s="271"/>
      <c r="CU110" s="271"/>
      <c r="CV110" s="271"/>
      <c r="CW110" s="271"/>
      <c r="CX110" s="271"/>
      <c r="CY110" s="271"/>
      <c r="CZ110" s="271"/>
      <c r="DA110" s="271"/>
      <c r="DB110" s="271">
        <v>142294910</v>
      </c>
      <c r="DC110" s="271"/>
      <c r="DD110" s="234">
        <f t="shared" si="26"/>
        <v>142294910</v>
      </c>
      <c r="DE110" s="244">
        <f t="shared" si="27"/>
        <v>544791908</v>
      </c>
    </row>
    <row r="111" spans="1:109" s="99" customFormat="1" ht="124.05" customHeight="1">
      <c r="A111" s="103" t="s">
        <v>1233</v>
      </c>
      <c r="B111" s="279" t="s">
        <v>9</v>
      </c>
      <c r="C111" s="279" t="s">
        <v>1701</v>
      </c>
      <c r="D111" s="279">
        <v>7</v>
      </c>
      <c r="E111" s="279" t="s">
        <v>203</v>
      </c>
      <c r="F111" s="280" t="s">
        <v>756</v>
      </c>
      <c r="G111" s="279" t="s">
        <v>3322</v>
      </c>
      <c r="H111" s="279">
        <v>10</v>
      </c>
      <c r="I111" s="279" t="s">
        <v>208</v>
      </c>
      <c r="J111" s="279" t="s">
        <v>209</v>
      </c>
      <c r="K111" s="279" t="s">
        <v>210</v>
      </c>
      <c r="L111" s="279" t="s">
        <v>211</v>
      </c>
      <c r="M111" s="279" t="s">
        <v>757</v>
      </c>
      <c r="N111" s="279" t="s">
        <v>758</v>
      </c>
      <c r="O111" s="279" t="s">
        <v>759</v>
      </c>
      <c r="P111" s="283">
        <v>101</v>
      </c>
      <c r="Q111" s="279" t="s">
        <v>3160</v>
      </c>
      <c r="R111" s="279" t="s">
        <v>781</v>
      </c>
      <c r="S111" s="279" t="s">
        <v>677</v>
      </c>
      <c r="T111" s="279">
        <v>89.6</v>
      </c>
      <c r="U111" s="267"/>
      <c r="V111" s="267">
        <v>0.1</v>
      </c>
      <c r="W111" s="224">
        <v>0.1</v>
      </c>
      <c r="X111" s="267"/>
      <c r="Y111" s="267"/>
      <c r="Z111" s="267"/>
      <c r="AA111" s="267">
        <v>0.1</v>
      </c>
      <c r="AB111" s="224">
        <v>0.1</v>
      </c>
      <c r="AC111" s="267"/>
      <c r="AD111" s="267"/>
      <c r="AE111" s="267"/>
      <c r="AF111" s="267">
        <v>0.1</v>
      </c>
      <c r="AG111" s="224">
        <v>0.1</v>
      </c>
      <c r="AH111" s="267"/>
      <c r="AI111" s="267"/>
      <c r="AJ111" s="267"/>
      <c r="AK111" s="267">
        <v>0.1</v>
      </c>
      <c r="AL111" s="224">
        <v>0.1</v>
      </c>
      <c r="AM111" s="105">
        <v>0.4</v>
      </c>
      <c r="AN111" s="103" t="s">
        <v>685</v>
      </c>
      <c r="AO111" s="103" t="s">
        <v>613</v>
      </c>
      <c r="AP111" s="103" t="s">
        <v>1214</v>
      </c>
      <c r="AQ111" s="103" t="s">
        <v>1194</v>
      </c>
      <c r="AR111" s="103" t="s">
        <v>938</v>
      </c>
      <c r="AS111" s="271"/>
      <c r="AT111" s="271"/>
      <c r="AU111" s="271"/>
      <c r="AV111" s="271"/>
      <c r="AW111" s="271">
        <v>15841880</v>
      </c>
      <c r="AX111" s="271"/>
      <c r="AY111" s="271"/>
      <c r="AZ111" s="271"/>
      <c r="BA111" s="271"/>
      <c r="BB111" s="271"/>
      <c r="BC111" s="271"/>
      <c r="BD111" s="271"/>
      <c r="BE111" s="271"/>
      <c r="BF111" s="271"/>
      <c r="BG111" s="271"/>
      <c r="BH111" s="235">
        <f t="shared" si="23"/>
        <v>15841880</v>
      </c>
      <c r="BI111" s="271"/>
      <c r="BJ111" s="271"/>
      <c r="BK111" s="271"/>
      <c r="BL111" s="271"/>
      <c r="BM111" s="271">
        <v>16583734</v>
      </c>
      <c r="BN111" s="271"/>
      <c r="BO111" s="271"/>
      <c r="BP111" s="271"/>
      <c r="BQ111" s="271"/>
      <c r="BR111" s="271"/>
      <c r="BS111" s="271"/>
      <c r="BT111" s="271"/>
      <c r="BU111" s="271"/>
      <c r="BV111" s="271"/>
      <c r="BW111" s="271"/>
      <c r="BX111" s="235">
        <f t="shared" si="24"/>
        <v>16583734</v>
      </c>
      <c r="BY111" s="271"/>
      <c r="BZ111" s="271"/>
      <c r="CA111" s="271"/>
      <c r="CB111" s="271"/>
      <c r="CC111" s="271">
        <v>17102218</v>
      </c>
      <c r="CD111" s="271"/>
      <c r="CE111" s="271"/>
      <c r="CF111" s="271"/>
      <c r="CG111" s="271"/>
      <c r="CH111" s="271"/>
      <c r="CI111" s="271"/>
      <c r="CJ111" s="271"/>
      <c r="CK111" s="271"/>
      <c r="CL111" s="271"/>
      <c r="CM111" s="271"/>
      <c r="CN111" s="235">
        <f t="shared" si="25"/>
        <v>17102218</v>
      </c>
      <c r="CO111" s="271"/>
      <c r="CP111" s="271"/>
      <c r="CQ111" s="271"/>
      <c r="CR111" s="271"/>
      <c r="CS111" s="271">
        <v>17786307</v>
      </c>
      <c r="CT111" s="271"/>
      <c r="CU111" s="271"/>
      <c r="CV111" s="271"/>
      <c r="CW111" s="271"/>
      <c r="CX111" s="271"/>
      <c r="CY111" s="271"/>
      <c r="CZ111" s="271"/>
      <c r="DA111" s="271"/>
      <c r="DB111" s="271"/>
      <c r="DC111" s="271"/>
      <c r="DD111" s="234">
        <f t="shared" si="26"/>
        <v>17786307</v>
      </c>
      <c r="DE111" s="244">
        <f t="shared" si="27"/>
        <v>67314139</v>
      </c>
    </row>
    <row r="112" spans="1:109" s="99" customFormat="1" ht="124.05" customHeight="1">
      <c r="A112" s="103" t="s">
        <v>1233</v>
      </c>
      <c r="B112" s="279" t="s">
        <v>9</v>
      </c>
      <c r="C112" s="279" t="s">
        <v>1701</v>
      </c>
      <c r="D112" s="279">
        <v>7</v>
      </c>
      <c r="E112" s="279" t="s">
        <v>203</v>
      </c>
      <c r="F112" s="280" t="s">
        <v>756</v>
      </c>
      <c r="G112" s="279" t="s">
        <v>3322</v>
      </c>
      <c r="H112" s="279">
        <v>10</v>
      </c>
      <c r="I112" s="279" t="s">
        <v>208</v>
      </c>
      <c r="J112" s="279" t="s">
        <v>209</v>
      </c>
      <c r="K112" s="279" t="s">
        <v>210</v>
      </c>
      <c r="L112" s="279" t="s">
        <v>211</v>
      </c>
      <c r="M112" s="279" t="s">
        <v>757</v>
      </c>
      <c r="N112" s="279" t="s">
        <v>758</v>
      </c>
      <c r="O112" s="279" t="s">
        <v>759</v>
      </c>
      <c r="P112" s="283">
        <v>102</v>
      </c>
      <c r="Q112" s="279" t="s">
        <v>3161</v>
      </c>
      <c r="R112" s="279" t="s">
        <v>782</v>
      </c>
      <c r="S112" s="279" t="s">
        <v>677</v>
      </c>
      <c r="T112" s="279">
        <v>99.05</v>
      </c>
      <c r="U112" s="267">
        <v>99.05</v>
      </c>
      <c r="V112" s="267">
        <v>99.05</v>
      </c>
      <c r="W112" s="224">
        <v>99.05</v>
      </c>
      <c r="X112" s="267">
        <v>99.05</v>
      </c>
      <c r="Y112" s="267">
        <v>99.05</v>
      </c>
      <c r="Z112" s="267">
        <v>99.05</v>
      </c>
      <c r="AA112" s="267">
        <v>99.05</v>
      </c>
      <c r="AB112" s="224">
        <v>99.05</v>
      </c>
      <c r="AC112" s="267">
        <v>99.05</v>
      </c>
      <c r="AD112" s="267">
        <v>99.05</v>
      </c>
      <c r="AE112" s="267">
        <v>99.05</v>
      </c>
      <c r="AF112" s="267">
        <v>99.05</v>
      </c>
      <c r="AG112" s="224">
        <v>99.05</v>
      </c>
      <c r="AH112" s="267">
        <v>99.05</v>
      </c>
      <c r="AI112" s="267">
        <v>99.05</v>
      </c>
      <c r="AJ112" s="267">
        <v>99.05</v>
      </c>
      <c r="AK112" s="267">
        <v>99.05</v>
      </c>
      <c r="AL112" s="224">
        <v>99.05</v>
      </c>
      <c r="AM112" s="105">
        <v>99.05</v>
      </c>
      <c r="AN112" s="103" t="s">
        <v>686</v>
      </c>
      <c r="AO112" s="103" t="s">
        <v>613</v>
      </c>
      <c r="AP112" s="103" t="s">
        <v>1214</v>
      </c>
      <c r="AQ112" s="103" t="s">
        <v>1194</v>
      </c>
      <c r="AR112" s="103" t="s">
        <v>938</v>
      </c>
      <c r="AS112" s="271"/>
      <c r="AT112" s="271"/>
      <c r="AU112" s="271"/>
      <c r="AV112" s="271"/>
      <c r="AW112" s="271">
        <v>15841880</v>
      </c>
      <c r="AX112" s="271"/>
      <c r="AY112" s="271"/>
      <c r="AZ112" s="271"/>
      <c r="BA112" s="271"/>
      <c r="BB112" s="271"/>
      <c r="BC112" s="271"/>
      <c r="BD112" s="271"/>
      <c r="BE112" s="271"/>
      <c r="BF112" s="271">
        <v>136982448</v>
      </c>
      <c r="BG112" s="271"/>
      <c r="BH112" s="235">
        <f t="shared" si="23"/>
        <v>152824328</v>
      </c>
      <c r="BI112" s="271"/>
      <c r="BJ112" s="271"/>
      <c r="BK112" s="271"/>
      <c r="BL112" s="271"/>
      <c r="BM112" s="271">
        <v>16583734</v>
      </c>
      <c r="BN112" s="271"/>
      <c r="BO112" s="271"/>
      <c r="BP112" s="271"/>
      <c r="BQ112" s="271"/>
      <c r="BR112" s="271"/>
      <c r="BS112" s="271"/>
      <c r="BT112" s="271"/>
      <c r="BU112" s="271"/>
      <c r="BV112" s="271">
        <v>141091921</v>
      </c>
      <c r="BW112" s="271"/>
      <c r="BX112" s="235">
        <f t="shared" si="24"/>
        <v>157675655</v>
      </c>
      <c r="BY112" s="271"/>
      <c r="BZ112" s="271"/>
      <c r="CA112" s="271"/>
      <c r="CB112" s="271"/>
      <c r="CC112" s="271">
        <v>17102218</v>
      </c>
      <c r="CD112" s="271"/>
      <c r="CE112" s="271"/>
      <c r="CF112" s="271"/>
      <c r="CG112" s="271"/>
      <c r="CH112" s="271"/>
      <c r="CI112" s="271"/>
      <c r="CJ112" s="271"/>
      <c r="CK112" s="271"/>
      <c r="CL112" s="271">
        <v>145324679</v>
      </c>
      <c r="CM112" s="271"/>
      <c r="CN112" s="235">
        <f t="shared" si="25"/>
        <v>162426897</v>
      </c>
      <c r="CO112" s="271"/>
      <c r="CP112" s="271"/>
      <c r="CQ112" s="271"/>
      <c r="CR112" s="271"/>
      <c r="CS112" s="271">
        <v>17786307</v>
      </c>
      <c r="CT112" s="271"/>
      <c r="CU112" s="271"/>
      <c r="CV112" s="271"/>
      <c r="CW112" s="271"/>
      <c r="CX112" s="271"/>
      <c r="CY112" s="271"/>
      <c r="CZ112" s="271"/>
      <c r="DA112" s="271"/>
      <c r="DB112" s="271">
        <v>149684419</v>
      </c>
      <c r="DC112" s="271"/>
      <c r="DD112" s="234">
        <f t="shared" si="26"/>
        <v>167470726</v>
      </c>
      <c r="DE112" s="244">
        <f t="shared" si="27"/>
        <v>640397606</v>
      </c>
    </row>
    <row r="113" spans="1:109" s="99" customFormat="1" ht="124.05" customHeight="1">
      <c r="A113" s="103" t="s">
        <v>1233</v>
      </c>
      <c r="B113" s="279" t="s">
        <v>9</v>
      </c>
      <c r="C113" s="279" t="s">
        <v>1701</v>
      </c>
      <c r="D113" s="279">
        <v>7</v>
      </c>
      <c r="E113" s="279" t="s">
        <v>203</v>
      </c>
      <c r="F113" s="280" t="s">
        <v>756</v>
      </c>
      <c r="G113" s="279" t="s">
        <v>3322</v>
      </c>
      <c r="H113" s="279">
        <v>10</v>
      </c>
      <c r="I113" s="279" t="s">
        <v>208</v>
      </c>
      <c r="J113" s="279" t="s">
        <v>209</v>
      </c>
      <c r="K113" s="279" t="s">
        <v>210</v>
      </c>
      <c r="L113" s="279" t="s">
        <v>211</v>
      </c>
      <c r="M113" s="279" t="s">
        <v>757</v>
      </c>
      <c r="N113" s="279" t="s">
        <v>758</v>
      </c>
      <c r="O113" s="279" t="s">
        <v>759</v>
      </c>
      <c r="P113" s="283">
        <v>103</v>
      </c>
      <c r="Q113" s="279" t="s">
        <v>3336</v>
      </c>
      <c r="R113" s="279" t="s">
        <v>783</v>
      </c>
      <c r="S113" s="279" t="s">
        <v>683</v>
      </c>
      <c r="T113" s="279">
        <v>5</v>
      </c>
      <c r="U113" s="267"/>
      <c r="V113" s="267">
        <v>1</v>
      </c>
      <c r="W113" s="224">
        <v>1</v>
      </c>
      <c r="X113" s="267"/>
      <c r="Y113" s="267">
        <v>5</v>
      </c>
      <c r="Z113" s="267">
        <v>9</v>
      </c>
      <c r="AA113" s="267">
        <v>5</v>
      </c>
      <c r="AB113" s="224">
        <v>19</v>
      </c>
      <c r="AC113" s="267"/>
      <c r="AD113" s="267">
        <v>5</v>
      </c>
      <c r="AE113" s="267">
        <v>10</v>
      </c>
      <c r="AF113" s="267">
        <v>5</v>
      </c>
      <c r="AG113" s="224">
        <v>20</v>
      </c>
      <c r="AH113" s="267"/>
      <c r="AI113" s="267">
        <v>5</v>
      </c>
      <c r="AJ113" s="267">
        <v>10</v>
      </c>
      <c r="AK113" s="267">
        <v>5</v>
      </c>
      <c r="AL113" s="224">
        <v>20</v>
      </c>
      <c r="AM113" s="104">
        <v>60</v>
      </c>
      <c r="AN113" s="103" t="s">
        <v>685</v>
      </c>
      <c r="AO113" s="103" t="s">
        <v>613</v>
      </c>
      <c r="AP113" s="103" t="s">
        <v>1214</v>
      </c>
      <c r="AQ113" s="103" t="s">
        <v>1194</v>
      </c>
      <c r="AR113" s="103" t="s">
        <v>938</v>
      </c>
      <c r="AS113" s="271"/>
      <c r="AT113" s="271"/>
      <c r="AU113" s="271"/>
      <c r="AV113" s="271"/>
      <c r="AW113" s="271">
        <v>15841880</v>
      </c>
      <c r="AX113" s="271"/>
      <c r="AY113" s="271"/>
      <c r="AZ113" s="271"/>
      <c r="BA113" s="271"/>
      <c r="BB113" s="271"/>
      <c r="BC113" s="271"/>
      <c r="BD113" s="271"/>
      <c r="BE113" s="271"/>
      <c r="BF113" s="271">
        <v>71994800</v>
      </c>
      <c r="BG113" s="271"/>
      <c r="BH113" s="235">
        <f t="shared" si="23"/>
        <v>87836680</v>
      </c>
      <c r="BI113" s="271"/>
      <c r="BJ113" s="271"/>
      <c r="BK113" s="271"/>
      <c r="BL113" s="271"/>
      <c r="BM113" s="271">
        <v>16583734</v>
      </c>
      <c r="BN113" s="271"/>
      <c r="BO113" s="271"/>
      <c r="BP113" s="271"/>
      <c r="BQ113" s="271"/>
      <c r="BR113" s="271"/>
      <c r="BS113" s="271"/>
      <c r="BT113" s="271"/>
      <c r="BU113" s="271"/>
      <c r="BV113" s="271">
        <v>74154000</v>
      </c>
      <c r="BW113" s="271"/>
      <c r="BX113" s="235">
        <f t="shared" si="24"/>
        <v>90737734</v>
      </c>
      <c r="BY113" s="271"/>
      <c r="BZ113" s="271"/>
      <c r="CA113" s="271"/>
      <c r="CB113" s="271"/>
      <c r="CC113" s="271">
        <v>17102218</v>
      </c>
      <c r="CD113" s="271"/>
      <c r="CE113" s="271"/>
      <c r="CF113" s="271"/>
      <c r="CG113" s="271"/>
      <c r="CH113" s="271"/>
      <c r="CI113" s="271"/>
      <c r="CJ113" s="271"/>
      <c r="CK113" s="271"/>
      <c r="CL113" s="271">
        <v>76379283</v>
      </c>
      <c r="CM113" s="271"/>
      <c r="CN113" s="235">
        <f t="shared" si="25"/>
        <v>93481501</v>
      </c>
      <c r="CO113" s="271"/>
      <c r="CP113" s="271"/>
      <c r="CQ113" s="271"/>
      <c r="CR113" s="271"/>
      <c r="CS113" s="271">
        <v>17786307</v>
      </c>
      <c r="CT113" s="271"/>
      <c r="CU113" s="271"/>
      <c r="CV113" s="271"/>
      <c r="CW113" s="271"/>
      <c r="CX113" s="271"/>
      <c r="CY113" s="271"/>
      <c r="CZ113" s="271"/>
      <c r="DA113" s="271"/>
      <c r="DB113" s="271">
        <v>78670662</v>
      </c>
      <c r="DC113" s="271"/>
      <c r="DD113" s="234">
        <f t="shared" si="26"/>
        <v>96456969</v>
      </c>
      <c r="DE113" s="244">
        <f t="shared" ref="DE113:DE154" si="28">SUM(DD113+CN113+BX113+BH113)</f>
        <v>368512884</v>
      </c>
    </row>
    <row r="114" spans="1:109" s="99" customFormat="1" ht="124.05" customHeight="1">
      <c r="A114" s="103" t="s">
        <v>1233</v>
      </c>
      <c r="B114" s="279" t="s">
        <v>9</v>
      </c>
      <c r="C114" s="279" t="s">
        <v>1701</v>
      </c>
      <c r="D114" s="279">
        <v>7</v>
      </c>
      <c r="E114" s="279" t="s">
        <v>203</v>
      </c>
      <c r="F114" s="280" t="s">
        <v>756</v>
      </c>
      <c r="G114" s="279" t="s">
        <v>3322</v>
      </c>
      <c r="H114" s="279">
        <v>10</v>
      </c>
      <c r="I114" s="279" t="s">
        <v>208</v>
      </c>
      <c r="J114" s="279" t="s">
        <v>209</v>
      </c>
      <c r="K114" s="279" t="s">
        <v>210</v>
      </c>
      <c r="L114" s="279" t="s">
        <v>211</v>
      </c>
      <c r="M114" s="279" t="s">
        <v>757</v>
      </c>
      <c r="N114" s="279" t="s">
        <v>758</v>
      </c>
      <c r="O114" s="279" t="s">
        <v>759</v>
      </c>
      <c r="P114" s="283">
        <v>104</v>
      </c>
      <c r="Q114" s="279" t="s">
        <v>3337</v>
      </c>
      <c r="R114" s="279" t="s">
        <v>784</v>
      </c>
      <c r="S114" s="279" t="s">
        <v>677</v>
      </c>
      <c r="T114" s="279">
        <v>74</v>
      </c>
      <c r="U114" s="267">
        <v>37</v>
      </c>
      <c r="V114" s="267">
        <v>37</v>
      </c>
      <c r="W114" s="224">
        <v>74</v>
      </c>
      <c r="X114" s="267">
        <v>18.5</v>
      </c>
      <c r="Y114" s="267">
        <v>18.5</v>
      </c>
      <c r="Z114" s="267">
        <v>18.5</v>
      </c>
      <c r="AA114" s="267">
        <v>18.5</v>
      </c>
      <c r="AB114" s="224">
        <v>74</v>
      </c>
      <c r="AC114" s="267">
        <v>18.5</v>
      </c>
      <c r="AD114" s="267">
        <v>18.5</v>
      </c>
      <c r="AE114" s="267">
        <v>18.5</v>
      </c>
      <c r="AF114" s="267">
        <v>18.5</v>
      </c>
      <c r="AG114" s="224">
        <v>74</v>
      </c>
      <c r="AH114" s="267">
        <v>74</v>
      </c>
      <c r="AI114" s="267">
        <v>74</v>
      </c>
      <c r="AJ114" s="267">
        <v>74</v>
      </c>
      <c r="AK114" s="267">
        <v>74</v>
      </c>
      <c r="AL114" s="224">
        <v>74</v>
      </c>
      <c r="AM114" s="104">
        <v>74</v>
      </c>
      <c r="AN114" s="103" t="s">
        <v>686</v>
      </c>
      <c r="AO114" s="103" t="s">
        <v>613</v>
      </c>
      <c r="AP114" s="103" t="s">
        <v>1214</v>
      </c>
      <c r="AQ114" s="103" t="s">
        <v>1194</v>
      </c>
      <c r="AR114" s="103" t="s">
        <v>938</v>
      </c>
      <c r="AS114" s="271"/>
      <c r="AT114" s="271">
        <v>195501000</v>
      </c>
      <c r="AU114" s="271"/>
      <c r="AV114" s="271"/>
      <c r="AW114" s="271"/>
      <c r="AX114" s="271"/>
      <c r="AY114" s="271"/>
      <c r="AZ114" s="271"/>
      <c r="BA114" s="271"/>
      <c r="BB114" s="271"/>
      <c r="BC114" s="271"/>
      <c r="BD114" s="271"/>
      <c r="BE114" s="271"/>
      <c r="BF114" s="271">
        <v>148758064</v>
      </c>
      <c r="BG114" s="271"/>
      <c r="BH114" s="235">
        <f t="shared" si="23"/>
        <v>344259064</v>
      </c>
      <c r="BI114" s="271"/>
      <c r="BJ114" s="271"/>
      <c r="BK114" s="271"/>
      <c r="BL114" s="271"/>
      <c r="BM114" s="271"/>
      <c r="BN114" s="271"/>
      <c r="BO114" s="271"/>
      <c r="BP114" s="271"/>
      <c r="BQ114" s="271"/>
      <c r="BR114" s="271"/>
      <c r="BS114" s="271"/>
      <c r="BT114" s="271"/>
      <c r="BU114" s="271"/>
      <c r="BV114" s="271">
        <v>153220806</v>
      </c>
      <c r="BW114" s="271"/>
      <c r="BX114" s="235">
        <f t="shared" si="24"/>
        <v>153220806</v>
      </c>
      <c r="BY114" s="271"/>
      <c r="BZ114" s="271"/>
      <c r="CA114" s="271"/>
      <c r="CB114" s="271"/>
      <c r="CC114" s="271"/>
      <c r="CD114" s="271"/>
      <c r="CE114" s="271"/>
      <c r="CF114" s="271"/>
      <c r="CG114" s="271"/>
      <c r="CH114" s="271"/>
      <c r="CI114" s="271"/>
      <c r="CJ114" s="271"/>
      <c r="CK114" s="271"/>
      <c r="CL114" s="271">
        <v>157817430</v>
      </c>
      <c r="CM114" s="271"/>
      <c r="CN114" s="235">
        <f t="shared" si="25"/>
        <v>157817430</v>
      </c>
      <c r="CO114" s="271"/>
      <c r="CP114" s="271"/>
      <c r="CQ114" s="271"/>
      <c r="CR114" s="271"/>
      <c r="CS114" s="271"/>
      <c r="CT114" s="271"/>
      <c r="CU114" s="271"/>
      <c r="CV114" s="271"/>
      <c r="CW114" s="271"/>
      <c r="CX114" s="271"/>
      <c r="CY114" s="271"/>
      <c r="CZ114" s="271"/>
      <c r="DA114" s="271"/>
      <c r="DB114" s="271">
        <v>162551953</v>
      </c>
      <c r="DC114" s="271"/>
      <c r="DD114" s="234">
        <f t="shared" si="26"/>
        <v>162551953</v>
      </c>
      <c r="DE114" s="244">
        <f t="shared" si="28"/>
        <v>817849253</v>
      </c>
    </row>
    <row r="115" spans="1:109" s="99" customFormat="1" ht="124.05" customHeight="1">
      <c r="A115" s="103" t="s">
        <v>1233</v>
      </c>
      <c r="B115" s="279" t="s">
        <v>9</v>
      </c>
      <c r="C115" s="279" t="s">
        <v>1701</v>
      </c>
      <c r="D115" s="279">
        <v>7</v>
      </c>
      <c r="E115" s="279" t="s">
        <v>203</v>
      </c>
      <c r="F115" s="280" t="s">
        <v>756</v>
      </c>
      <c r="G115" s="279" t="s">
        <v>3322</v>
      </c>
      <c r="H115" s="279">
        <v>10</v>
      </c>
      <c r="I115" s="279" t="s">
        <v>208</v>
      </c>
      <c r="J115" s="279" t="s">
        <v>209</v>
      </c>
      <c r="K115" s="279" t="s">
        <v>210</v>
      </c>
      <c r="L115" s="279" t="s">
        <v>211</v>
      </c>
      <c r="M115" s="279" t="s">
        <v>757</v>
      </c>
      <c r="N115" s="279" t="s">
        <v>758</v>
      </c>
      <c r="O115" s="279" t="s">
        <v>759</v>
      </c>
      <c r="P115" s="283">
        <v>105</v>
      </c>
      <c r="Q115" s="279" t="s">
        <v>3162</v>
      </c>
      <c r="R115" s="279" t="s">
        <v>784</v>
      </c>
      <c r="S115" s="279" t="s">
        <v>677</v>
      </c>
      <c r="T115" s="279">
        <v>74</v>
      </c>
      <c r="U115" s="267">
        <v>1</v>
      </c>
      <c r="V115" s="267">
        <v>0.5</v>
      </c>
      <c r="W115" s="224">
        <v>1.5</v>
      </c>
      <c r="X115" s="267">
        <v>0.25</v>
      </c>
      <c r="Y115" s="267">
        <v>0.25</v>
      </c>
      <c r="Z115" s="267">
        <v>0.5</v>
      </c>
      <c r="AA115" s="267">
        <v>0.5</v>
      </c>
      <c r="AB115" s="224">
        <v>1.5</v>
      </c>
      <c r="AC115" s="267">
        <v>0.25</v>
      </c>
      <c r="AD115" s="267">
        <v>0.25</v>
      </c>
      <c r="AE115" s="267">
        <v>0.5</v>
      </c>
      <c r="AF115" s="267">
        <v>0.5</v>
      </c>
      <c r="AG115" s="224">
        <v>1.5</v>
      </c>
      <c r="AH115" s="267">
        <v>0.25</v>
      </c>
      <c r="AI115" s="267">
        <v>0.25</v>
      </c>
      <c r="AJ115" s="267">
        <v>0.5</v>
      </c>
      <c r="AK115" s="267">
        <v>0.5</v>
      </c>
      <c r="AL115" s="224">
        <v>1.5</v>
      </c>
      <c r="AM115" s="104">
        <v>6</v>
      </c>
      <c r="AN115" s="103" t="s">
        <v>685</v>
      </c>
      <c r="AO115" s="103" t="s">
        <v>613</v>
      </c>
      <c r="AP115" s="103" t="s">
        <v>1214</v>
      </c>
      <c r="AQ115" s="103" t="s">
        <v>1194</v>
      </c>
      <c r="AR115" s="103" t="s">
        <v>938</v>
      </c>
      <c r="AS115" s="271"/>
      <c r="AT115" s="271"/>
      <c r="AU115" s="271"/>
      <c r="AV115" s="271"/>
      <c r="AW115" s="271">
        <v>29838000</v>
      </c>
      <c r="AX115" s="271"/>
      <c r="AY115" s="271"/>
      <c r="AZ115" s="271"/>
      <c r="BA115" s="271"/>
      <c r="BB115" s="271"/>
      <c r="BC115" s="271"/>
      <c r="BD115" s="271"/>
      <c r="BE115" s="271"/>
      <c r="BF115" s="271"/>
      <c r="BG115" s="271"/>
      <c r="BH115" s="235">
        <f t="shared" si="23"/>
        <v>29838000</v>
      </c>
      <c r="BI115" s="271"/>
      <c r="BJ115" s="271"/>
      <c r="BK115" s="271"/>
      <c r="BL115" s="271"/>
      <c r="BM115" s="271">
        <v>31235273</v>
      </c>
      <c r="BN115" s="271"/>
      <c r="BO115" s="271"/>
      <c r="BP115" s="271"/>
      <c r="BQ115" s="271"/>
      <c r="BR115" s="271"/>
      <c r="BS115" s="271"/>
      <c r="BT115" s="271"/>
      <c r="BU115" s="271"/>
      <c r="BV115" s="271"/>
      <c r="BW115" s="271"/>
      <c r="BX115" s="235">
        <f t="shared" si="24"/>
        <v>31235273</v>
      </c>
      <c r="BY115" s="271"/>
      <c r="BZ115" s="271"/>
      <c r="CA115" s="271"/>
      <c r="CB115" s="271"/>
      <c r="CC115" s="271">
        <v>32211832</v>
      </c>
      <c r="CD115" s="271"/>
      <c r="CE115" s="271"/>
      <c r="CF115" s="271"/>
      <c r="CG115" s="271"/>
      <c r="CH115" s="271"/>
      <c r="CI115" s="271"/>
      <c r="CJ115" s="271"/>
      <c r="CK115" s="271"/>
      <c r="CL115" s="271"/>
      <c r="CM115" s="271"/>
      <c r="CN115" s="235">
        <f t="shared" si="25"/>
        <v>32211832</v>
      </c>
      <c r="CO115" s="271"/>
      <c r="CP115" s="271"/>
      <c r="CQ115" s="271"/>
      <c r="CR115" s="271"/>
      <c r="CS115" s="271">
        <v>33500306</v>
      </c>
      <c r="CT115" s="271"/>
      <c r="CU115" s="271"/>
      <c r="CV115" s="271"/>
      <c r="CW115" s="271"/>
      <c r="CX115" s="271"/>
      <c r="CY115" s="271"/>
      <c r="CZ115" s="271"/>
      <c r="DA115" s="271"/>
      <c r="DB115" s="271"/>
      <c r="DC115" s="271"/>
      <c r="DD115" s="234">
        <f t="shared" si="26"/>
        <v>33500306</v>
      </c>
      <c r="DE115" s="244">
        <f t="shared" si="28"/>
        <v>126785411</v>
      </c>
    </row>
    <row r="116" spans="1:109" s="99" customFormat="1" ht="124.05" customHeight="1">
      <c r="A116" s="103" t="s">
        <v>1233</v>
      </c>
      <c r="B116" s="279" t="s">
        <v>9</v>
      </c>
      <c r="C116" s="279" t="s">
        <v>1701</v>
      </c>
      <c r="D116" s="279">
        <v>7</v>
      </c>
      <c r="E116" s="279" t="s">
        <v>203</v>
      </c>
      <c r="F116" s="280" t="s">
        <v>756</v>
      </c>
      <c r="G116" s="279" t="s">
        <v>3322</v>
      </c>
      <c r="H116" s="279">
        <v>10</v>
      </c>
      <c r="I116" s="279" t="s">
        <v>208</v>
      </c>
      <c r="J116" s="279" t="s">
        <v>209</v>
      </c>
      <c r="K116" s="279" t="s">
        <v>210</v>
      </c>
      <c r="L116" s="279" t="s">
        <v>211</v>
      </c>
      <c r="M116" s="279" t="s">
        <v>757</v>
      </c>
      <c r="N116" s="279" t="s">
        <v>758</v>
      </c>
      <c r="O116" s="279" t="s">
        <v>759</v>
      </c>
      <c r="P116" s="283">
        <v>106</v>
      </c>
      <c r="Q116" s="279" t="s">
        <v>3338</v>
      </c>
      <c r="R116" s="279" t="s">
        <v>785</v>
      </c>
      <c r="S116" s="279" t="s">
        <v>677</v>
      </c>
      <c r="T116" s="279">
        <v>80</v>
      </c>
      <c r="U116" s="267">
        <v>40</v>
      </c>
      <c r="V116" s="267">
        <v>40</v>
      </c>
      <c r="W116" s="224">
        <v>80</v>
      </c>
      <c r="X116" s="267">
        <v>20</v>
      </c>
      <c r="Y116" s="267">
        <v>20</v>
      </c>
      <c r="Z116" s="267">
        <v>20</v>
      </c>
      <c r="AA116" s="267">
        <v>20</v>
      </c>
      <c r="AB116" s="224">
        <v>80</v>
      </c>
      <c r="AC116" s="267">
        <v>20</v>
      </c>
      <c r="AD116" s="267">
        <v>20</v>
      </c>
      <c r="AE116" s="267">
        <v>20</v>
      </c>
      <c r="AF116" s="267">
        <v>20</v>
      </c>
      <c r="AG116" s="224">
        <v>80</v>
      </c>
      <c r="AH116" s="267">
        <v>20</v>
      </c>
      <c r="AI116" s="267">
        <v>20</v>
      </c>
      <c r="AJ116" s="267">
        <v>20</v>
      </c>
      <c r="AK116" s="267">
        <v>20</v>
      </c>
      <c r="AL116" s="224">
        <v>80</v>
      </c>
      <c r="AM116" s="104">
        <v>80</v>
      </c>
      <c r="AN116" s="103" t="s">
        <v>686</v>
      </c>
      <c r="AO116" s="103" t="s">
        <v>613</v>
      </c>
      <c r="AP116" s="103" t="s">
        <v>1214</v>
      </c>
      <c r="AQ116" s="103" t="s">
        <v>1194</v>
      </c>
      <c r="AR116" s="103" t="s">
        <v>938</v>
      </c>
      <c r="AS116" s="271"/>
      <c r="AT116" s="271"/>
      <c r="AU116" s="271"/>
      <c r="AV116" s="271"/>
      <c r="AW116" s="271"/>
      <c r="AX116" s="271"/>
      <c r="AY116" s="271"/>
      <c r="AZ116" s="271"/>
      <c r="BA116" s="271"/>
      <c r="BB116" s="271"/>
      <c r="BC116" s="271"/>
      <c r="BD116" s="271"/>
      <c r="BE116" s="271"/>
      <c r="BF116" s="271">
        <v>148758064</v>
      </c>
      <c r="BG116" s="271"/>
      <c r="BH116" s="235">
        <f t="shared" si="23"/>
        <v>148758064</v>
      </c>
      <c r="BI116" s="271"/>
      <c r="BJ116" s="271"/>
      <c r="BK116" s="271"/>
      <c r="BL116" s="271"/>
      <c r="BM116" s="271"/>
      <c r="BN116" s="271"/>
      <c r="BO116" s="271"/>
      <c r="BP116" s="271"/>
      <c r="BQ116" s="271"/>
      <c r="BR116" s="271"/>
      <c r="BS116" s="271"/>
      <c r="BT116" s="271"/>
      <c r="BU116" s="271"/>
      <c r="BV116" s="271">
        <v>153220806</v>
      </c>
      <c r="BW116" s="271"/>
      <c r="BX116" s="235">
        <f t="shared" si="24"/>
        <v>153220806</v>
      </c>
      <c r="BY116" s="271"/>
      <c r="BZ116" s="271"/>
      <c r="CA116" s="271"/>
      <c r="CB116" s="271"/>
      <c r="CC116" s="271"/>
      <c r="CD116" s="271"/>
      <c r="CE116" s="271"/>
      <c r="CF116" s="271"/>
      <c r="CG116" s="271"/>
      <c r="CH116" s="271"/>
      <c r="CI116" s="271"/>
      <c r="CJ116" s="271"/>
      <c r="CK116" s="271"/>
      <c r="CL116" s="271">
        <v>157817430</v>
      </c>
      <c r="CM116" s="271"/>
      <c r="CN116" s="235">
        <f t="shared" si="25"/>
        <v>157817430</v>
      </c>
      <c r="CO116" s="271"/>
      <c r="CP116" s="271"/>
      <c r="CQ116" s="271"/>
      <c r="CR116" s="271"/>
      <c r="CS116" s="271"/>
      <c r="CT116" s="271"/>
      <c r="CU116" s="271"/>
      <c r="CV116" s="271"/>
      <c r="CW116" s="271"/>
      <c r="CX116" s="271"/>
      <c r="CY116" s="271"/>
      <c r="CZ116" s="271"/>
      <c r="DA116" s="271"/>
      <c r="DB116" s="271">
        <v>162551953</v>
      </c>
      <c r="DC116" s="271"/>
      <c r="DD116" s="234">
        <f t="shared" si="26"/>
        <v>162551953</v>
      </c>
      <c r="DE116" s="244">
        <f t="shared" si="28"/>
        <v>622348253</v>
      </c>
    </row>
    <row r="117" spans="1:109" s="99" customFormat="1" ht="124.05" customHeight="1">
      <c r="A117" s="103" t="s">
        <v>1233</v>
      </c>
      <c r="B117" s="279" t="s">
        <v>9</v>
      </c>
      <c r="C117" s="279" t="s">
        <v>1701</v>
      </c>
      <c r="D117" s="279">
        <v>7</v>
      </c>
      <c r="E117" s="279" t="s">
        <v>203</v>
      </c>
      <c r="F117" s="280" t="s">
        <v>756</v>
      </c>
      <c r="G117" s="279" t="s">
        <v>3322</v>
      </c>
      <c r="H117" s="279">
        <v>10</v>
      </c>
      <c r="I117" s="279" t="s">
        <v>208</v>
      </c>
      <c r="J117" s="279" t="s">
        <v>209</v>
      </c>
      <c r="K117" s="279" t="s">
        <v>210</v>
      </c>
      <c r="L117" s="279" t="s">
        <v>211</v>
      </c>
      <c r="M117" s="279" t="s">
        <v>757</v>
      </c>
      <c r="N117" s="279" t="s">
        <v>758</v>
      </c>
      <c r="O117" s="279" t="s">
        <v>759</v>
      </c>
      <c r="P117" s="283">
        <v>107</v>
      </c>
      <c r="Q117" s="279" t="s">
        <v>3163</v>
      </c>
      <c r="R117" s="279" t="s">
        <v>785</v>
      </c>
      <c r="S117" s="279" t="s">
        <v>677</v>
      </c>
      <c r="T117" s="279">
        <v>80</v>
      </c>
      <c r="U117" s="267">
        <v>0.5</v>
      </c>
      <c r="V117" s="267">
        <v>0.5</v>
      </c>
      <c r="W117" s="224">
        <v>1</v>
      </c>
      <c r="X117" s="267">
        <v>0.25</v>
      </c>
      <c r="Y117" s="267">
        <v>0.25</v>
      </c>
      <c r="Z117" s="267">
        <v>0.25</v>
      </c>
      <c r="AA117" s="267">
        <v>0.25</v>
      </c>
      <c r="AB117" s="224">
        <v>1</v>
      </c>
      <c r="AC117" s="267">
        <v>0.25</v>
      </c>
      <c r="AD117" s="267">
        <v>0.25</v>
      </c>
      <c r="AE117" s="267">
        <v>0.25</v>
      </c>
      <c r="AF117" s="267">
        <v>0.25</v>
      </c>
      <c r="AG117" s="224">
        <v>1</v>
      </c>
      <c r="AH117" s="267">
        <v>0.5</v>
      </c>
      <c r="AI117" s="267">
        <v>0.5</v>
      </c>
      <c r="AJ117" s="267">
        <v>0.5</v>
      </c>
      <c r="AK117" s="267">
        <v>0.5</v>
      </c>
      <c r="AL117" s="224">
        <v>2</v>
      </c>
      <c r="AM117" s="104">
        <v>5</v>
      </c>
      <c r="AN117" s="103" t="s">
        <v>685</v>
      </c>
      <c r="AO117" s="103" t="s">
        <v>613</v>
      </c>
      <c r="AP117" s="103" t="s">
        <v>1214</v>
      </c>
      <c r="AQ117" s="103" t="s">
        <v>1194</v>
      </c>
      <c r="AR117" s="103" t="s">
        <v>938</v>
      </c>
      <c r="AS117" s="271"/>
      <c r="AT117" s="271"/>
      <c r="AU117" s="271"/>
      <c r="AV117" s="271"/>
      <c r="AW117" s="271">
        <v>29838000</v>
      </c>
      <c r="AX117" s="271"/>
      <c r="AY117" s="271"/>
      <c r="AZ117" s="271"/>
      <c r="BA117" s="271"/>
      <c r="BB117" s="271"/>
      <c r="BC117" s="271"/>
      <c r="BD117" s="271"/>
      <c r="BE117" s="271"/>
      <c r="BF117" s="271"/>
      <c r="BG117" s="271"/>
      <c r="BH117" s="235">
        <f t="shared" ref="BH117:BH148" si="29">IF(W117=0,0,BG117+BF117+BE117+BD117+BC117+BB117+BA117+AZ117+AY117+AX117+AW117+AV117+AU117+AT117+AS117)</f>
        <v>29838000</v>
      </c>
      <c r="BI117" s="271"/>
      <c r="BJ117" s="271"/>
      <c r="BK117" s="271"/>
      <c r="BL117" s="271"/>
      <c r="BM117" s="271">
        <v>31235273</v>
      </c>
      <c r="BN117" s="271"/>
      <c r="BO117" s="271"/>
      <c r="BP117" s="271"/>
      <c r="BQ117" s="271"/>
      <c r="BR117" s="271"/>
      <c r="BS117" s="271"/>
      <c r="BT117" s="271"/>
      <c r="BU117" s="271"/>
      <c r="BV117" s="271"/>
      <c r="BW117" s="271"/>
      <c r="BX117" s="235">
        <f t="shared" ref="BX117:BX148" si="30">IF(AB117=0,0,BI117+BJ117+BK117+BL117+BM117+BN117+BO117+BP117+BQ117+BR117+BS117+BT117+BU117+BV117+BW117)</f>
        <v>31235273</v>
      </c>
      <c r="BY117" s="271"/>
      <c r="BZ117" s="271"/>
      <c r="CA117" s="271"/>
      <c r="CB117" s="271"/>
      <c r="CC117" s="271">
        <v>32211832</v>
      </c>
      <c r="CD117" s="271"/>
      <c r="CE117" s="271"/>
      <c r="CF117" s="271"/>
      <c r="CG117" s="271"/>
      <c r="CH117" s="271"/>
      <c r="CI117" s="271"/>
      <c r="CJ117" s="271"/>
      <c r="CK117" s="271"/>
      <c r="CL117" s="271"/>
      <c r="CM117" s="271"/>
      <c r="CN117" s="235">
        <f t="shared" ref="CN117:CN148" si="31">IF(AG117=0,0,(BY117+BZ117+CA117+CB117+CC117+CD117+CE117+CF117+CG117+CH117+CI117+CJ117+CK117+CL117+CM117))</f>
        <v>32211832</v>
      </c>
      <c r="CO117" s="271"/>
      <c r="CP117" s="271"/>
      <c r="CQ117" s="271"/>
      <c r="CR117" s="271"/>
      <c r="CS117" s="271">
        <v>33500305</v>
      </c>
      <c r="CT117" s="271"/>
      <c r="CU117" s="271"/>
      <c r="CV117" s="271"/>
      <c r="CW117" s="271"/>
      <c r="CX117" s="271"/>
      <c r="CY117" s="271"/>
      <c r="CZ117" s="271"/>
      <c r="DA117" s="271"/>
      <c r="DB117" s="271"/>
      <c r="DC117" s="271"/>
      <c r="DD117" s="234">
        <f t="shared" ref="DD117:DD148" si="32">IF(AL117=0,0,(CO117+CP117+CQ117+CR117+CS117+CT117+CU117+CV117+CW117+CX117+CY117+CZ117+DA117+DB117+DC117))</f>
        <v>33500305</v>
      </c>
      <c r="DE117" s="244">
        <f t="shared" si="28"/>
        <v>126785410</v>
      </c>
    </row>
    <row r="118" spans="1:109" s="99" customFormat="1" ht="124.05" customHeight="1">
      <c r="A118" s="103" t="s">
        <v>1233</v>
      </c>
      <c r="B118" s="279" t="s">
        <v>9</v>
      </c>
      <c r="C118" s="279" t="s">
        <v>1701</v>
      </c>
      <c r="D118" s="279">
        <v>7</v>
      </c>
      <c r="E118" s="279" t="s">
        <v>203</v>
      </c>
      <c r="F118" s="280" t="s">
        <v>756</v>
      </c>
      <c r="G118" s="279" t="s">
        <v>3322</v>
      </c>
      <c r="H118" s="279">
        <v>10</v>
      </c>
      <c r="I118" s="279" t="s">
        <v>208</v>
      </c>
      <c r="J118" s="279" t="s">
        <v>209</v>
      </c>
      <c r="K118" s="279" t="s">
        <v>210</v>
      </c>
      <c r="L118" s="279" t="s">
        <v>211</v>
      </c>
      <c r="M118" s="279" t="s">
        <v>757</v>
      </c>
      <c r="N118" s="279" t="s">
        <v>758</v>
      </c>
      <c r="O118" s="279" t="s">
        <v>759</v>
      </c>
      <c r="P118" s="283">
        <v>108</v>
      </c>
      <c r="Q118" s="279" t="s">
        <v>3164</v>
      </c>
      <c r="R118" s="279" t="s">
        <v>786</v>
      </c>
      <c r="S118" s="279" t="s">
        <v>677</v>
      </c>
      <c r="T118" s="279">
        <v>93.17</v>
      </c>
      <c r="U118" s="267">
        <v>93.17</v>
      </c>
      <c r="V118" s="267">
        <v>93.17</v>
      </c>
      <c r="W118" s="224">
        <v>93.17</v>
      </c>
      <c r="X118" s="267">
        <v>93.17</v>
      </c>
      <c r="Y118" s="267">
        <v>93.17</v>
      </c>
      <c r="Z118" s="267">
        <v>93.17</v>
      </c>
      <c r="AA118" s="267">
        <v>93.17</v>
      </c>
      <c r="AB118" s="224">
        <v>93.17</v>
      </c>
      <c r="AC118" s="267">
        <v>93.17</v>
      </c>
      <c r="AD118" s="267">
        <v>93.17</v>
      </c>
      <c r="AE118" s="267">
        <v>93.17</v>
      </c>
      <c r="AF118" s="267">
        <v>93.17</v>
      </c>
      <c r="AG118" s="224">
        <v>93.17</v>
      </c>
      <c r="AH118" s="267">
        <v>93.17</v>
      </c>
      <c r="AI118" s="267">
        <v>93.17</v>
      </c>
      <c r="AJ118" s="267">
        <v>93.17</v>
      </c>
      <c r="AK118" s="267">
        <v>93.17</v>
      </c>
      <c r="AL118" s="224">
        <v>93.17</v>
      </c>
      <c r="AM118" s="105">
        <v>93.17</v>
      </c>
      <c r="AN118" s="103" t="s">
        <v>686</v>
      </c>
      <c r="AO118" s="103" t="s">
        <v>613</v>
      </c>
      <c r="AP118" s="103" t="s">
        <v>1214</v>
      </c>
      <c r="AQ118" s="103" t="s">
        <v>1194</v>
      </c>
      <c r="AR118" s="103" t="s">
        <v>938</v>
      </c>
      <c r="AS118" s="271"/>
      <c r="AT118" s="271"/>
      <c r="AU118" s="271"/>
      <c r="AV118" s="271"/>
      <c r="AW118" s="271"/>
      <c r="AX118" s="271"/>
      <c r="AY118" s="271"/>
      <c r="AZ118" s="271"/>
      <c r="BA118" s="271"/>
      <c r="BB118" s="271"/>
      <c r="BC118" s="271"/>
      <c r="BD118" s="271"/>
      <c r="BE118" s="271"/>
      <c r="BF118" s="271">
        <v>130000000</v>
      </c>
      <c r="BG118" s="271"/>
      <c r="BH118" s="235">
        <f t="shared" si="29"/>
        <v>130000000</v>
      </c>
      <c r="BI118" s="271"/>
      <c r="BJ118" s="271"/>
      <c r="BK118" s="271"/>
      <c r="BL118" s="271"/>
      <c r="BM118" s="271">
        <v>16581766</v>
      </c>
      <c r="BN118" s="271"/>
      <c r="BO118" s="271"/>
      <c r="BP118" s="271"/>
      <c r="BQ118" s="271"/>
      <c r="BR118" s="271"/>
      <c r="BS118" s="271"/>
      <c r="BT118" s="271"/>
      <c r="BU118" s="271"/>
      <c r="BV118" s="271">
        <v>149756371</v>
      </c>
      <c r="BW118" s="271"/>
      <c r="BX118" s="235">
        <f t="shared" si="30"/>
        <v>166338137</v>
      </c>
      <c r="BY118" s="271"/>
      <c r="BZ118" s="271"/>
      <c r="CA118" s="271"/>
      <c r="CB118" s="271"/>
      <c r="CC118" s="271">
        <v>17100188</v>
      </c>
      <c r="CD118" s="271"/>
      <c r="CE118" s="271"/>
      <c r="CF118" s="271"/>
      <c r="CG118" s="271"/>
      <c r="CH118" s="271"/>
      <c r="CI118" s="271"/>
      <c r="CJ118" s="271"/>
      <c r="CK118" s="271"/>
      <c r="CL118" s="271">
        <v>154249062</v>
      </c>
      <c r="CM118" s="271"/>
      <c r="CN118" s="235">
        <f t="shared" si="31"/>
        <v>171349250</v>
      </c>
      <c r="CO118" s="271"/>
      <c r="CP118" s="271"/>
      <c r="CQ118" s="271"/>
      <c r="CR118" s="271"/>
      <c r="CS118" s="271">
        <v>17784196</v>
      </c>
      <c r="CT118" s="271"/>
      <c r="CU118" s="271"/>
      <c r="CV118" s="271"/>
      <c r="CW118" s="271"/>
      <c r="CX118" s="271"/>
      <c r="CY118" s="271"/>
      <c r="CZ118" s="271"/>
      <c r="DA118" s="271"/>
      <c r="DB118" s="271">
        <v>158876534</v>
      </c>
      <c r="DC118" s="271"/>
      <c r="DD118" s="234">
        <f t="shared" si="32"/>
        <v>176660730</v>
      </c>
      <c r="DE118" s="244">
        <f t="shared" si="28"/>
        <v>644348117</v>
      </c>
    </row>
    <row r="119" spans="1:109" s="99" customFormat="1" ht="124.05" customHeight="1">
      <c r="A119" s="103" t="s">
        <v>1233</v>
      </c>
      <c r="B119" s="279" t="s">
        <v>9</v>
      </c>
      <c r="C119" s="279" t="s">
        <v>1701</v>
      </c>
      <c r="D119" s="279">
        <v>7</v>
      </c>
      <c r="E119" s="279" t="s">
        <v>203</v>
      </c>
      <c r="F119" s="280" t="s">
        <v>756</v>
      </c>
      <c r="G119" s="279" t="s">
        <v>3322</v>
      </c>
      <c r="H119" s="279">
        <v>10</v>
      </c>
      <c r="I119" s="279" t="s">
        <v>208</v>
      </c>
      <c r="J119" s="279" t="s">
        <v>209</v>
      </c>
      <c r="K119" s="279" t="s">
        <v>210</v>
      </c>
      <c r="L119" s="279" t="s">
        <v>211</v>
      </c>
      <c r="M119" s="279" t="s">
        <v>757</v>
      </c>
      <c r="N119" s="279" t="s">
        <v>758</v>
      </c>
      <c r="O119" s="279" t="s">
        <v>759</v>
      </c>
      <c r="P119" s="283">
        <v>109</v>
      </c>
      <c r="Q119" s="279" t="s">
        <v>3165</v>
      </c>
      <c r="R119" s="279" t="s">
        <v>786</v>
      </c>
      <c r="S119" s="279" t="s">
        <v>677</v>
      </c>
      <c r="T119" s="279">
        <v>93.17</v>
      </c>
      <c r="U119" s="267">
        <v>1.37</v>
      </c>
      <c r="V119" s="267">
        <v>0.46</v>
      </c>
      <c r="W119" s="224">
        <v>1.83</v>
      </c>
      <c r="X119" s="267"/>
      <c r="Y119" s="267"/>
      <c r="Z119" s="267"/>
      <c r="AA119" s="267"/>
      <c r="AB119" s="224">
        <v>0</v>
      </c>
      <c r="AC119" s="267"/>
      <c r="AD119" s="267"/>
      <c r="AE119" s="267"/>
      <c r="AF119" s="267"/>
      <c r="AG119" s="224">
        <v>0</v>
      </c>
      <c r="AH119" s="267"/>
      <c r="AI119" s="267"/>
      <c r="AJ119" s="267"/>
      <c r="AK119" s="267"/>
      <c r="AL119" s="224">
        <v>0</v>
      </c>
      <c r="AM119" s="104">
        <v>1.83</v>
      </c>
      <c r="AN119" s="103" t="s">
        <v>685</v>
      </c>
      <c r="AO119" s="103" t="s">
        <v>613</v>
      </c>
      <c r="AP119" s="103" t="s">
        <v>1214</v>
      </c>
      <c r="AQ119" s="103" t="s">
        <v>1194</v>
      </c>
      <c r="AR119" s="103" t="s">
        <v>938</v>
      </c>
      <c r="AS119" s="271"/>
      <c r="AT119" s="271"/>
      <c r="AU119" s="271"/>
      <c r="AV119" s="271"/>
      <c r="AW119" s="271">
        <v>15840000</v>
      </c>
      <c r="AX119" s="271"/>
      <c r="AY119" s="271"/>
      <c r="AZ119" s="271"/>
      <c r="BA119" s="271"/>
      <c r="BB119" s="271"/>
      <c r="BC119" s="271"/>
      <c r="BD119" s="271"/>
      <c r="BE119" s="271"/>
      <c r="BF119" s="271">
        <v>15394535</v>
      </c>
      <c r="BG119" s="271"/>
      <c r="BH119" s="235">
        <f t="shared" si="29"/>
        <v>31234535</v>
      </c>
      <c r="BI119" s="271"/>
      <c r="BJ119" s="271"/>
      <c r="BK119" s="271"/>
      <c r="BL119" s="271"/>
      <c r="BM119" s="271"/>
      <c r="BN119" s="271"/>
      <c r="BO119" s="271"/>
      <c r="BP119" s="271"/>
      <c r="BQ119" s="271"/>
      <c r="BR119" s="271"/>
      <c r="BS119" s="271"/>
      <c r="BT119" s="271"/>
      <c r="BU119" s="271"/>
      <c r="BV119" s="271"/>
      <c r="BW119" s="271"/>
      <c r="BX119" s="235">
        <f t="shared" si="30"/>
        <v>0</v>
      </c>
      <c r="BY119" s="271"/>
      <c r="BZ119" s="271"/>
      <c r="CA119" s="271"/>
      <c r="CB119" s="271"/>
      <c r="CC119" s="271"/>
      <c r="CD119" s="271"/>
      <c r="CE119" s="271"/>
      <c r="CF119" s="271"/>
      <c r="CG119" s="271"/>
      <c r="CH119" s="271"/>
      <c r="CI119" s="271"/>
      <c r="CJ119" s="271"/>
      <c r="CK119" s="271"/>
      <c r="CL119" s="271"/>
      <c r="CM119" s="271"/>
      <c r="CN119" s="235">
        <f t="shared" si="31"/>
        <v>0</v>
      </c>
      <c r="CO119" s="271"/>
      <c r="CP119" s="271"/>
      <c r="CQ119" s="271"/>
      <c r="CR119" s="271"/>
      <c r="CS119" s="271"/>
      <c r="CT119" s="271"/>
      <c r="CU119" s="271"/>
      <c r="CV119" s="271"/>
      <c r="CW119" s="271"/>
      <c r="CX119" s="271"/>
      <c r="CY119" s="271"/>
      <c r="CZ119" s="271"/>
      <c r="DA119" s="271"/>
      <c r="DB119" s="271"/>
      <c r="DC119" s="271"/>
      <c r="DD119" s="234">
        <f t="shared" si="32"/>
        <v>0</v>
      </c>
      <c r="DE119" s="244">
        <f t="shared" si="28"/>
        <v>31234535</v>
      </c>
    </row>
    <row r="120" spans="1:109" s="99" customFormat="1" ht="124.05" customHeight="1">
      <c r="A120" s="103" t="s">
        <v>1233</v>
      </c>
      <c r="B120" s="279" t="s">
        <v>9</v>
      </c>
      <c r="C120" s="279" t="s">
        <v>1701</v>
      </c>
      <c r="D120" s="279">
        <v>7</v>
      </c>
      <c r="E120" s="279" t="s">
        <v>203</v>
      </c>
      <c r="F120" s="280" t="s">
        <v>756</v>
      </c>
      <c r="G120" s="279" t="s">
        <v>3322</v>
      </c>
      <c r="H120" s="279">
        <v>10</v>
      </c>
      <c r="I120" s="279" t="s">
        <v>208</v>
      </c>
      <c r="J120" s="279" t="s">
        <v>209</v>
      </c>
      <c r="K120" s="279" t="s">
        <v>210</v>
      </c>
      <c r="L120" s="279" t="s">
        <v>211</v>
      </c>
      <c r="M120" s="279" t="s">
        <v>757</v>
      </c>
      <c r="N120" s="279" t="s">
        <v>758</v>
      </c>
      <c r="O120" s="279" t="s">
        <v>759</v>
      </c>
      <c r="P120" s="283">
        <v>110</v>
      </c>
      <c r="Q120" s="279" t="s">
        <v>3166</v>
      </c>
      <c r="R120" s="279" t="s">
        <v>787</v>
      </c>
      <c r="S120" s="279" t="s">
        <v>677</v>
      </c>
      <c r="T120" s="279">
        <v>97.97</v>
      </c>
      <c r="U120" s="267">
        <v>40</v>
      </c>
      <c r="V120" s="267">
        <v>57.97</v>
      </c>
      <c r="W120" s="224">
        <v>97.97</v>
      </c>
      <c r="X120" s="267">
        <v>20</v>
      </c>
      <c r="Y120" s="267">
        <v>20</v>
      </c>
      <c r="Z120" s="267">
        <v>27</v>
      </c>
      <c r="AA120" s="267">
        <v>30.97</v>
      </c>
      <c r="AB120" s="224">
        <v>97.97</v>
      </c>
      <c r="AC120" s="267">
        <v>20</v>
      </c>
      <c r="AD120" s="267">
        <v>20</v>
      </c>
      <c r="AE120" s="267">
        <v>27</v>
      </c>
      <c r="AF120" s="267">
        <v>30.97</v>
      </c>
      <c r="AG120" s="224">
        <v>97.97</v>
      </c>
      <c r="AH120" s="267">
        <v>20</v>
      </c>
      <c r="AI120" s="267">
        <v>20</v>
      </c>
      <c r="AJ120" s="267">
        <v>27</v>
      </c>
      <c r="AK120" s="267">
        <v>30.97</v>
      </c>
      <c r="AL120" s="224">
        <v>97.97</v>
      </c>
      <c r="AM120" s="105">
        <v>97.97</v>
      </c>
      <c r="AN120" s="103" t="s">
        <v>686</v>
      </c>
      <c r="AO120" s="103" t="s">
        <v>613</v>
      </c>
      <c r="AP120" s="103" t="s">
        <v>1214</v>
      </c>
      <c r="AQ120" s="103" t="s">
        <v>1194</v>
      </c>
      <c r="AR120" s="103" t="s">
        <v>938</v>
      </c>
      <c r="AS120" s="271"/>
      <c r="AT120" s="271"/>
      <c r="AU120" s="271"/>
      <c r="AV120" s="271"/>
      <c r="AW120" s="271">
        <f>15840000+15840000</f>
        <v>31680000</v>
      </c>
      <c r="AX120" s="271"/>
      <c r="AY120" s="271"/>
      <c r="AZ120" s="271"/>
      <c r="BA120" s="271"/>
      <c r="BB120" s="271"/>
      <c r="BC120" s="271"/>
      <c r="BD120" s="271"/>
      <c r="BE120" s="271"/>
      <c r="BF120" s="271">
        <f>212434535+145394535</f>
        <v>357829070</v>
      </c>
      <c r="BG120" s="271"/>
      <c r="BH120" s="235">
        <f t="shared" si="29"/>
        <v>389509070</v>
      </c>
      <c r="BI120" s="271"/>
      <c r="BJ120" s="271"/>
      <c r="BK120" s="271"/>
      <c r="BL120" s="271"/>
      <c r="BM120" s="271">
        <f>16581766+16581766</f>
        <v>33163532</v>
      </c>
      <c r="BN120" s="271"/>
      <c r="BO120" s="271"/>
      <c r="BP120" s="271"/>
      <c r="BQ120" s="271"/>
      <c r="BR120" s="271"/>
      <c r="BS120" s="271"/>
      <c r="BT120" s="271"/>
      <c r="BU120" s="271"/>
      <c r="BV120" s="271">
        <f>218807571+149756371</f>
        <v>368563942</v>
      </c>
      <c r="BW120" s="271"/>
      <c r="BX120" s="235">
        <f t="shared" si="30"/>
        <v>401727474</v>
      </c>
      <c r="BY120" s="271"/>
      <c r="BZ120" s="271"/>
      <c r="CA120" s="271"/>
      <c r="CB120" s="271"/>
      <c r="CC120" s="271">
        <f>17100188+17100188</f>
        <v>34200376</v>
      </c>
      <c r="CD120" s="271"/>
      <c r="CE120" s="271"/>
      <c r="CF120" s="271"/>
      <c r="CG120" s="271"/>
      <c r="CH120" s="271"/>
      <c r="CI120" s="271"/>
      <c r="CJ120" s="271"/>
      <c r="CK120" s="271"/>
      <c r="CL120" s="271">
        <f>225371798+154249062</f>
        <v>379620860</v>
      </c>
      <c r="CM120" s="271"/>
      <c r="CN120" s="235">
        <f t="shared" si="31"/>
        <v>413821236</v>
      </c>
      <c r="CO120" s="271"/>
      <c r="CP120" s="271"/>
      <c r="CQ120" s="271"/>
      <c r="CR120" s="271"/>
      <c r="CS120" s="271">
        <f>17784196+17784196</f>
        <v>35568392</v>
      </c>
      <c r="CT120" s="271"/>
      <c r="CU120" s="271"/>
      <c r="CV120" s="271"/>
      <c r="CW120" s="271"/>
      <c r="CX120" s="271"/>
      <c r="CY120" s="271"/>
      <c r="CZ120" s="271"/>
      <c r="DA120" s="271"/>
      <c r="DB120" s="271">
        <f>232132952+158876534</f>
        <v>391009486</v>
      </c>
      <c r="DC120" s="271"/>
      <c r="DD120" s="234">
        <f t="shared" si="32"/>
        <v>426577878</v>
      </c>
      <c r="DE120" s="244">
        <f t="shared" si="28"/>
        <v>1631635658</v>
      </c>
    </row>
    <row r="121" spans="1:109" s="99" customFormat="1" ht="124.05" customHeight="1">
      <c r="A121" s="103" t="s">
        <v>1233</v>
      </c>
      <c r="B121" s="279" t="s">
        <v>9</v>
      </c>
      <c r="C121" s="279" t="s">
        <v>1701</v>
      </c>
      <c r="D121" s="279">
        <v>7</v>
      </c>
      <c r="E121" s="279" t="s">
        <v>203</v>
      </c>
      <c r="F121" s="280" t="s">
        <v>756</v>
      </c>
      <c r="G121" s="279" t="s">
        <v>3322</v>
      </c>
      <c r="H121" s="279">
        <v>10</v>
      </c>
      <c r="I121" s="279" t="s">
        <v>208</v>
      </c>
      <c r="J121" s="279" t="s">
        <v>209</v>
      </c>
      <c r="K121" s="279" t="s">
        <v>210</v>
      </c>
      <c r="L121" s="279" t="s">
        <v>211</v>
      </c>
      <c r="M121" s="279" t="s">
        <v>757</v>
      </c>
      <c r="N121" s="279" t="s">
        <v>758</v>
      </c>
      <c r="O121" s="279" t="s">
        <v>759</v>
      </c>
      <c r="P121" s="283">
        <v>111</v>
      </c>
      <c r="Q121" s="279" t="s">
        <v>3497</v>
      </c>
      <c r="R121" s="279" t="s">
        <v>788</v>
      </c>
      <c r="S121" s="279" t="s">
        <v>677</v>
      </c>
      <c r="T121" s="279">
        <v>10</v>
      </c>
      <c r="U121" s="267">
        <v>5</v>
      </c>
      <c r="V121" s="267">
        <v>5</v>
      </c>
      <c r="W121" s="224">
        <v>10</v>
      </c>
      <c r="X121" s="267">
        <v>6</v>
      </c>
      <c r="Y121" s="267">
        <v>2</v>
      </c>
      <c r="Z121" s="267">
        <v>1</v>
      </c>
      <c r="AA121" s="267">
        <v>1</v>
      </c>
      <c r="AB121" s="224">
        <v>10</v>
      </c>
      <c r="AC121" s="267">
        <v>6</v>
      </c>
      <c r="AD121" s="267">
        <v>2</v>
      </c>
      <c r="AE121" s="267">
        <v>1</v>
      </c>
      <c r="AF121" s="267">
        <v>1</v>
      </c>
      <c r="AG121" s="224">
        <v>10</v>
      </c>
      <c r="AH121" s="267">
        <v>7</v>
      </c>
      <c r="AI121" s="267">
        <v>2</v>
      </c>
      <c r="AJ121" s="267">
        <v>1</v>
      </c>
      <c r="AK121" s="267"/>
      <c r="AL121" s="224">
        <v>10</v>
      </c>
      <c r="AM121" s="104">
        <v>40</v>
      </c>
      <c r="AN121" s="103" t="s">
        <v>685</v>
      </c>
      <c r="AO121" s="103" t="s">
        <v>613</v>
      </c>
      <c r="AP121" s="103" t="s">
        <v>1214</v>
      </c>
      <c r="AQ121" s="103" t="s">
        <v>1194</v>
      </c>
      <c r="AR121" s="103" t="s">
        <v>938</v>
      </c>
      <c r="AS121" s="271"/>
      <c r="AT121" s="271"/>
      <c r="AU121" s="271"/>
      <c r="AV121" s="271"/>
      <c r="AW121" s="271">
        <v>23760000</v>
      </c>
      <c r="AX121" s="271"/>
      <c r="AY121" s="271"/>
      <c r="AZ121" s="271"/>
      <c r="BA121" s="271"/>
      <c r="BB121" s="271"/>
      <c r="BC121" s="271"/>
      <c r="BD121" s="271"/>
      <c r="BE121" s="271"/>
      <c r="BF121" s="271">
        <v>771668656</v>
      </c>
      <c r="BG121" s="271"/>
      <c r="BH121" s="235">
        <f t="shared" si="29"/>
        <v>795428656</v>
      </c>
      <c r="BI121" s="271"/>
      <c r="BJ121" s="271"/>
      <c r="BK121" s="271"/>
      <c r="BL121" s="271"/>
      <c r="BM121" s="271">
        <v>24872648</v>
      </c>
      <c r="BN121" s="271"/>
      <c r="BO121" s="271"/>
      <c r="BP121" s="271"/>
      <c r="BQ121" s="271"/>
      <c r="BR121" s="271"/>
      <c r="BS121" s="271"/>
      <c r="BT121" s="271"/>
      <c r="BU121" s="271"/>
      <c r="BV121" s="271">
        <v>794818716</v>
      </c>
      <c r="BW121" s="271"/>
      <c r="BX121" s="235">
        <f t="shared" si="30"/>
        <v>819691364</v>
      </c>
      <c r="BY121" s="271"/>
      <c r="BZ121" s="271"/>
      <c r="CA121" s="271"/>
      <c r="CB121" s="271"/>
      <c r="CC121" s="271">
        <v>25650283</v>
      </c>
      <c r="CD121" s="271"/>
      <c r="CE121" s="271"/>
      <c r="CF121" s="271"/>
      <c r="CG121" s="271"/>
      <c r="CH121" s="271"/>
      <c r="CI121" s="271"/>
      <c r="CJ121" s="271"/>
      <c r="CK121" s="271"/>
      <c r="CL121" s="271">
        <v>818650283</v>
      </c>
      <c r="CM121" s="271"/>
      <c r="CN121" s="235">
        <f t="shared" si="31"/>
        <v>844300566</v>
      </c>
      <c r="CO121" s="271"/>
      <c r="CP121" s="271"/>
      <c r="CQ121" s="271"/>
      <c r="CR121" s="271"/>
      <c r="CS121" s="271">
        <v>26676294</v>
      </c>
      <c r="CT121" s="271"/>
      <c r="CU121" s="271"/>
      <c r="CV121" s="271"/>
      <c r="CW121" s="271"/>
      <c r="CX121" s="271"/>
      <c r="CY121" s="271"/>
      <c r="CZ121" s="271"/>
      <c r="DA121" s="271"/>
      <c r="DB121" s="271">
        <v>843223175</v>
      </c>
      <c r="DC121" s="271"/>
      <c r="DD121" s="234">
        <f t="shared" si="32"/>
        <v>869899469</v>
      </c>
      <c r="DE121" s="244">
        <f t="shared" si="28"/>
        <v>3329320055</v>
      </c>
    </row>
    <row r="122" spans="1:109" s="99" customFormat="1" ht="124.05" customHeight="1">
      <c r="A122" s="103" t="s">
        <v>1233</v>
      </c>
      <c r="B122" s="279" t="s">
        <v>9</v>
      </c>
      <c r="C122" s="279" t="s">
        <v>1701</v>
      </c>
      <c r="D122" s="279">
        <v>7</v>
      </c>
      <c r="E122" s="279" t="s">
        <v>203</v>
      </c>
      <c r="F122" s="280" t="s">
        <v>756</v>
      </c>
      <c r="G122" s="279" t="s">
        <v>3322</v>
      </c>
      <c r="H122" s="279">
        <v>10</v>
      </c>
      <c r="I122" s="279" t="s">
        <v>208</v>
      </c>
      <c r="J122" s="279" t="s">
        <v>209</v>
      </c>
      <c r="K122" s="279" t="s">
        <v>210</v>
      </c>
      <c r="L122" s="279" t="s">
        <v>211</v>
      </c>
      <c r="M122" s="279" t="s">
        <v>757</v>
      </c>
      <c r="N122" s="279" t="s">
        <v>758</v>
      </c>
      <c r="O122" s="279" t="s">
        <v>759</v>
      </c>
      <c r="P122" s="283">
        <v>112</v>
      </c>
      <c r="Q122" s="279" t="s">
        <v>3167</v>
      </c>
      <c r="R122" s="279" t="s">
        <v>789</v>
      </c>
      <c r="S122" s="279" t="s">
        <v>683</v>
      </c>
      <c r="T122" s="279">
        <v>24</v>
      </c>
      <c r="U122" s="267"/>
      <c r="V122" s="267">
        <v>1</v>
      </c>
      <c r="W122" s="224">
        <v>1</v>
      </c>
      <c r="X122" s="267"/>
      <c r="Y122" s="267"/>
      <c r="Z122" s="267">
        <v>2</v>
      </c>
      <c r="AA122" s="267">
        <v>3</v>
      </c>
      <c r="AB122" s="224">
        <v>5</v>
      </c>
      <c r="AC122" s="267"/>
      <c r="AD122" s="267"/>
      <c r="AE122" s="267">
        <v>2</v>
      </c>
      <c r="AF122" s="267">
        <v>2</v>
      </c>
      <c r="AG122" s="224">
        <v>4</v>
      </c>
      <c r="AH122" s="267"/>
      <c r="AI122" s="267"/>
      <c r="AJ122" s="267">
        <v>2</v>
      </c>
      <c r="AK122" s="267">
        <v>3</v>
      </c>
      <c r="AL122" s="224">
        <v>5</v>
      </c>
      <c r="AM122" s="104">
        <v>15</v>
      </c>
      <c r="AN122" s="103" t="s">
        <v>685</v>
      </c>
      <c r="AO122" s="103" t="s">
        <v>613</v>
      </c>
      <c r="AP122" s="103" t="s">
        <v>1214</v>
      </c>
      <c r="AQ122" s="103" t="s">
        <v>1194</v>
      </c>
      <c r="AR122" s="103" t="s">
        <v>938</v>
      </c>
      <c r="AS122" s="271"/>
      <c r="AT122" s="271">
        <v>182870961</v>
      </c>
      <c r="AU122" s="271"/>
      <c r="AV122" s="271"/>
      <c r="AW122" s="271">
        <v>47520000</v>
      </c>
      <c r="AX122" s="271"/>
      <c r="AY122" s="271"/>
      <c r="AZ122" s="271"/>
      <c r="BA122" s="271"/>
      <c r="BB122" s="271"/>
      <c r="BC122" s="271"/>
      <c r="BD122" s="271"/>
      <c r="BE122" s="271"/>
      <c r="BF122" s="271">
        <v>144777692</v>
      </c>
      <c r="BG122" s="271"/>
      <c r="BH122" s="235">
        <f t="shared" si="29"/>
        <v>375168653</v>
      </c>
      <c r="BI122" s="271"/>
      <c r="BJ122" s="271"/>
      <c r="BK122" s="271"/>
      <c r="BL122" s="271"/>
      <c r="BM122" s="271">
        <v>49745297</v>
      </c>
      <c r="BN122" s="271"/>
      <c r="BO122" s="271"/>
      <c r="BP122" s="271"/>
      <c r="BQ122" s="271"/>
      <c r="BR122" s="271"/>
      <c r="BS122" s="271"/>
      <c r="BT122" s="271"/>
      <c r="BU122" s="271"/>
      <c r="BV122" s="271">
        <v>149121023</v>
      </c>
      <c r="BW122" s="271"/>
      <c r="BX122" s="235">
        <f t="shared" si="30"/>
        <v>198866320</v>
      </c>
      <c r="BY122" s="271"/>
      <c r="BZ122" s="271"/>
      <c r="CA122" s="271"/>
      <c r="CB122" s="271"/>
      <c r="CC122" s="271">
        <v>51300565</v>
      </c>
      <c r="CD122" s="271"/>
      <c r="CE122" s="271"/>
      <c r="CF122" s="271"/>
      <c r="CG122" s="271"/>
      <c r="CH122" s="271"/>
      <c r="CI122" s="271"/>
      <c r="CJ122" s="271"/>
      <c r="CK122" s="271"/>
      <c r="CL122" s="271">
        <v>153594653</v>
      </c>
      <c r="CM122" s="271"/>
      <c r="CN122" s="235">
        <f t="shared" si="31"/>
        <v>204895218</v>
      </c>
      <c r="CO122" s="271"/>
      <c r="CP122" s="271"/>
      <c r="CQ122" s="271"/>
      <c r="CR122" s="271"/>
      <c r="CS122" s="271">
        <v>53352588</v>
      </c>
      <c r="CT122" s="271"/>
      <c r="CU122" s="271"/>
      <c r="CV122" s="271"/>
      <c r="CW122" s="271"/>
      <c r="CX122" s="271"/>
      <c r="CY122" s="271"/>
      <c r="CZ122" s="271"/>
      <c r="DA122" s="271"/>
      <c r="DB122" s="271">
        <v>158202493</v>
      </c>
      <c r="DC122" s="271"/>
      <c r="DD122" s="234">
        <f t="shared" si="32"/>
        <v>211555081</v>
      </c>
      <c r="DE122" s="244">
        <f t="shared" si="28"/>
        <v>990485272</v>
      </c>
    </row>
    <row r="123" spans="1:109" s="99" customFormat="1" ht="124.05" customHeight="1">
      <c r="A123" s="103" t="s">
        <v>1233</v>
      </c>
      <c r="B123" s="279" t="s">
        <v>9</v>
      </c>
      <c r="C123" s="279" t="s">
        <v>1701</v>
      </c>
      <c r="D123" s="279">
        <v>7</v>
      </c>
      <c r="E123" s="279" t="s">
        <v>203</v>
      </c>
      <c r="F123" s="280" t="s">
        <v>756</v>
      </c>
      <c r="G123" s="279" t="s">
        <v>3322</v>
      </c>
      <c r="H123" s="279">
        <v>10</v>
      </c>
      <c r="I123" s="279" t="s">
        <v>208</v>
      </c>
      <c r="J123" s="279" t="s">
        <v>209</v>
      </c>
      <c r="K123" s="279" t="s">
        <v>210</v>
      </c>
      <c r="L123" s="279" t="s">
        <v>211</v>
      </c>
      <c r="M123" s="279" t="s">
        <v>757</v>
      </c>
      <c r="N123" s="279" t="s">
        <v>758</v>
      </c>
      <c r="O123" s="279" t="s">
        <v>759</v>
      </c>
      <c r="P123" s="283">
        <v>113</v>
      </c>
      <c r="Q123" s="279" t="s">
        <v>3168</v>
      </c>
      <c r="R123" s="279" t="s">
        <v>790</v>
      </c>
      <c r="S123" s="279" t="s">
        <v>683</v>
      </c>
      <c r="T123" s="279">
        <v>42</v>
      </c>
      <c r="U123" s="267">
        <v>32</v>
      </c>
      <c r="V123" s="267">
        <v>10</v>
      </c>
      <c r="W123" s="224">
        <v>42</v>
      </c>
      <c r="X123" s="267">
        <v>5</v>
      </c>
      <c r="Y123" s="267">
        <v>15</v>
      </c>
      <c r="Z123" s="267">
        <v>15</v>
      </c>
      <c r="AA123" s="267">
        <v>7</v>
      </c>
      <c r="AB123" s="224">
        <v>42</v>
      </c>
      <c r="AC123" s="267">
        <v>5</v>
      </c>
      <c r="AD123" s="267">
        <v>15</v>
      </c>
      <c r="AE123" s="267">
        <v>15</v>
      </c>
      <c r="AF123" s="267">
        <v>7</v>
      </c>
      <c r="AG123" s="224">
        <v>42</v>
      </c>
      <c r="AH123" s="267">
        <v>5</v>
      </c>
      <c r="AI123" s="267">
        <v>15</v>
      </c>
      <c r="AJ123" s="267">
        <v>15</v>
      </c>
      <c r="AK123" s="267">
        <v>7</v>
      </c>
      <c r="AL123" s="224">
        <v>42</v>
      </c>
      <c r="AM123" s="104">
        <v>42</v>
      </c>
      <c r="AN123" s="103" t="s">
        <v>686</v>
      </c>
      <c r="AO123" s="103" t="s">
        <v>613</v>
      </c>
      <c r="AP123" s="103" t="s">
        <v>1214</v>
      </c>
      <c r="AQ123" s="103" t="s">
        <v>1194</v>
      </c>
      <c r="AR123" s="103" t="s">
        <v>938</v>
      </c>
      <c r="AS123" s="271"/>
      <c r="AT123" s="271">
        <v>167439819</v>
      </c>
      <c r="AU123" s="271"/>
      <c r="AV123" s="271"/>
      <c r="AW123" s="271">
        <v>62808000</v>
      </c>
      <c r="AX123" s="271"/>
      <c r="AY123" s="271"/>
      <c r="AZ123" s="271"/>
      <c r="BA123" s="271"/>
      <c r="BB123" s="271"/>
      <c r="BC123" s="271"/>
      <c r="BD123" s="271"/>
      <c r="BE123" s="271"/>
      <c r="BF123" s="271">
        <v>252922069</v>
      </c>
      <c r="BG123" s="271"/>
      <c r="BH123" s="235">
        <f t="shared" si="29"/>
        <v>483169888</v>
      </c>
      <c r="BI123" s="271"/>
      <c r="BJ123" s="271"/>
      <c r="BK123" s="271"/>
      <c r="BL123" s="271"/>
      <c r="BM123" s="271">
        <v>65749213</v>
      </c>
      <c r="BN123" s="271"/>
      <c r="BO123" s="271"/>
      <c r="BP123" s="271"/>
      <c r="BQ123" s="271"/>
      <c r="BR123" s="271"/>
      <c r="BS123" s="271"/>
      <c r="BT123" s="271"/>
      <c r="BU123" s="271"/>
      <c r="BV123" s="271">
        <v>260509731</v>
      </c>
      <c r="BW123" s="271"/>
      <c r="BX123" s="235">
        <f t="shared" si="30"/>
        <v>326258944</v>
      </c>
      <c r="BY123" s="271"/>
      <c r="BZ123" s="271"/>
      <c r="CA123" s="271"/>
      <c r="CB123" s="271"/>
      <c r="CC123" s="271">
        <v>67804838</v>
      </c>
      <c r="CD123" s="271"/>
      <c r="CE123" s="271"/>
      <c r="CF123" s="271"/>
      <c r="CG123" s="271"/>
      <c r="CH123" s="271"/>
      <c r="CI123" s="271"/>
      <c r="CJ123" s="271"/>
      <c r="CK123" s="271"/>
      <c r="CL123" s="271">
        <v>268325023</v>
      </c>
      <c r="CM123" s="271"/>
      <c r="CN123" s="235">
        <f t="shared" si="31"/>
        <v>336129861</v>
      </c>
      <c r="CO123" s="271"/>
      <c r="CP123" s="271"/>
      <c r="CQ123" s="271"/>
      <c r="CR123" s="271"/>
      <c r="CS123" s="271">
        <v>70517031</v>
      </c>
      <c r="CT123" s="271"/>
      <c r="CU123" s="271"/>
      <c r="CV123" s="271"/>
      <c r="CW123" s="271"/>
      <c r="CX123" s="271"/>
      <c r="CY123" s="271"/>
      <c r="CZ123" s="271"/>
      <c r="DA123" s="271"/>
      <c r="DB123" s="271">
        <v>276374774</v>
      </c>
      <c r="DC123" s="271"/>
      <c r="DD123" s="234">
        <f t="shared" si="32"/>
        <v>346891805</v>
      </c>
      <c r="DE123" s="244">
        <f t="shared" si="28"/>
        <v>1492450498</v>
      </c>
    </row>
    <row r="124" spans="1:109" s="99" customFormat="1" ht="124.05" customHeight="1">
      <c r="A124" s="103" t="s">
        <v>1233</v>
      </c>
      <c r="B124" s="279" t="s">
        <v>9</v>
      </c>
      <c r="C124" s="279" t="s">
        <v>1701</v>
      </c>
      <c r="D124" s="279">
        <v>7</v>
      </c>
      <c r="E124" s="279" t="s">
        <v>203</v>
      </c>
      <c r="F124" s="280" t="s">
        <v>756</v>
      </c>
      <c r="G124" s="279" t="s">
        <v>3322</v>
      </c>
      <c r="H124" s="279">
        <v>10</v>
      </c>
      <c r="I124" s="279" t="s">
        <v>208</v>
      </c>
      <c r="J124" s="279" t="s">
        <v>209</v>
      </c>
      <c r="K124" s="279" t="s">
        <v>210</v>
      </c>
      <c r="L124" s="279" t="s">
        <v>211</v>
      </c>
      <c r="M124" s="279" t="s">
        <v>757</v>
      </c>
      <c r="N124" s="279" t="s">
        <v>758</v>
      </c>
      <c r="O124" s="279" t="s">
        <v>759</v>
      </c>
      <c r="P124" s="283">
        <v>114</v>
      </c>
      <c r="Q124" s="279" t="s">
        <v>3339</v>
      </c>
      <c r="R124" s="279" t="s">
        <v>790</v>
      </c>
      <c r="S124" s="279" t="s">
        <v>683</v>
      </c>
      <c r="T124" s="279">
        <v>42</v>
      </c>
      <c r="U124" s="267">
        <v>2</v>
      </c>
      <c r="V124" s="267">
        <v>3</v>
      </c>
      <c r="W124" s="224">
        <v>5</v>
      </c>
      <c r="X124" s="267">
        <v>1</v>
      </c>
      <c r="Y124" s="267">
        <v>1</v>
      </c>
      <c r="Z124" s="267">
        <v>2</v>
      </c>
      <c r="AA124" s="267">
        <v>1</v>
      </c>
      <c r="AB124" s="224">
        <v>5</v>
      </c>
      <c r="AC124" s="267">
        <v>1</v>
      </c>
      <c r="AD124" s="267">
        <v>1</v>
      </c>
      <c r="AE124" s="267">
        <v>2</v>
      </c>
      <c r="AF124" s="267">
        <v>1</v>
      </c>
      <c r="AG124" s="224">
        <v>5</v>
      </c>
      <c r="AH124" s="267">
        <v>1</v>
      </c>
      <c r="AI124" s="267">
        <v>1</v>
      </c>
      <c r="AJ124" s="267">
        <v>2</v>
      </c>
      <c r="AK124" s="267">
        <v>1</v>
      </c>
      <c r="AL124" s="224">
        <v>5</v>
      </c>
      <c r="AM124" s="104">
        <v>20</v>
      </c>
      <c r="AN124" s="103" t="s">
        <v>685</v>
      </c>
      <c r="AO124" s="103" t="s">
        <v>613</v>
      </c>
      <c r="AP124" s="103" t="s">
        <v>1214</v>
      </c>
      <c r="AQ124" s="103" t="s">
        <v>1194</v>
      </c>
      <c r="AR124" s="103" t="s">
        <v>938</v>
      </c>
      <c r="AS124" s="271"/>
      <c r="AT124" s="271">
        <v>167439220</v>
      </c>
      <c r="AU124" s="271"/>
      <c r="AV124" s="271"/>
      <c r="AW124" s="271">
        <v>62808000</v>
      </c>
      <c r="AX124" s="271"/>
      <c r="AY124" s="271"/>
      <c r="AZ124" s="271"/>
      <c r="BA124" s="271"/>
      <c r="BB124" s="271"/>
      <c r="BC124" s="271"/>
      <c r="BD124" s="271"/>
      <c r="BE124" s="271"/>
      <c r="BF124" s="271">
        <v>252922069</v>
      </c>
      <c r="BG124" s="271"/>
      <c r="BH124" s="235">
        <f t="shared" si="29"/>
        <v>483169289</v>
      </c>
      <c r="BI124" s="271"/>
      <c r="BJ124" s="271"/>
      <c r="BK124" s="271"/>
      <c r="BL124" s="271"/>
      <c r="BM124" s="271">
        <v>65749213</v>
      </c>
      <c r="BN124" s="271"/>
      <c r="BO124" s="271"/>
      <c r="BP124" s="271"/>
      <c r="BQ124" s="271"/>
      <c r="BR124" s="271"/>
      <c r="BS124" s="271"/>
      <c r="BT124" s="271"/>
      <c r="BU124" s="271"/>
      <c r="BV124" s="271">
        <v>260509731</v>
      </c>
      <c r="BW124" s="271"/>
      <c r="BX124" s="235">
        <f t="shared" si="30"/>
        <v>326258944</v>
      </c>
      <c r="BY124" s="271"/>
      <c r="BZ124" s="271"/>
      <c r="CA124" s="271"/>
      <c r="CB124" s="271"/>
      <c r="CC124" s="271">
        <v>67804838</v>
      </c>
      <c r="CD124" s="271"/>
      <c r="CE124" s="271"/>
      <c r="CF124" s="271"/>
      <c r="CG124" s="271"/>
      <c r="CH124" s="271"/>
      <c r="CI124" s="271"/>
      <c r="CJ124" s="271"/>
      <c r="CK124" s="271"/>
      <c r="CL124" s="271">
        <v>268325023</v>
      </c>
      <c r="CM124" s="271"/>
      <c r="CN124" s="235">
        <f t="shared" si="31"/>
        <v>336129861</v>
      </c>
      <c r="CO124" s="271"/>
      <c r="CP124" s="271"/>
      <c r="CQ124" s="271"/>
      <c r="CR124" s="271"/>
      <c r="CS124" s="271">
        <v>70517031</v>
      </c>
      <c r="CT124" s="271"/>
      <c r="CU124" s="271"/>
      <c r="CV124" s="271"/>
      <c r="CW124" s="271"/>
      <c r="CX124" s="271"/>
      <c r="CY124" s="271"/>
      <c r="CZ124" s="271"/>
      <c r="DA124" s="271"/>
      <c r="DB124" s="271">
        <v>276374774</v>
      </c>
      <c r="DC124" s="271"/>
      <c r="DD124" s="234">
        <f t="shared" si="32"/>
        <v>346891805</v>
      </c>
      <c r="DE124" s="244">
        <f t="shared" si="28"/>
        <v>1492449899</v>
      </c>
    </row>
    <row r="125" spans="1:109" s="99" customFormat="1" ht="124.05" customHeight="1">
      <c r="A125" s="103" t="s">
        <v>1233</v>
      </c>
      <c r="B125" s="279" t="s">
        <v>9</v>
      </c>
      <c r="C125" s="279" t="s">
        <v>1701</v>
      </c>
      <c r="D125" s="279">
        <v>7</v>
      </c>
      <c r="E125" s="279" t="s">
        <v>203</v>
      </c>
      <c r="F125" s="280" t="s">
        <v>756</v>
      </c>
      <c r="G125" s="279" t="s">
        <v>3322</v>
      </c>
      <c r="H125" s="279">
        <v>10</v>
      </c>
      <c r="I125" s="279" t="s">
        <v>208</v>
      </c>
      <c r="J125" s="279" t="s">
        <v>209</v>
      </c>
      <c r="K125" s="279" t="s">
        <v>210</v>
      </c>
      <c r="L125" s="279" t="s">
        <v>211</v>
      </c>
      <c r="M125" s="279" t="s">
        <v>757</v>
      </c>
      <c r="N125" s="279" t="s">
        <v>758</v>
      </c>
      <c r="O125" s="279" t="s">
        <v>759</v>
      </c>
      <c r="P125" s="283">
        <v>115</v>
      </c>
      <c r="Q125" s="279" t="s">
        <v>3169</v>
      </c>
      <c r="R125" s="279" t="s">
        <v>791</v>
      </c>
      <c r="S125" s="279" t="s">
        <v>677</v>
      </c>
      <c r="T125" s="279">
        <v>82</v>
      </c>
      <c r="U125" s="267">
        <v>40</v>
      </c>
      <c r="V125" s="267">
        <v>42</v>
      </c>
      <c r="W125" s="224">
        <v>82</v>
      </c>
      <c r="X125" s="267">
        <v>1</v>
      </c>
      <c r="Y125" s="267">
        <v>1</v>
      </c>
      <c r="Z125" s="267">
        <v>40</v>
      </c>
      <c r="AA125" s="267">
        <v>40</v>
      </c>
      <c r="AB125" s="224">
        <v>82</v>
      </c>
      <c r="AC125" s="267">
        <v>1</v>
      </c>
      <c r="AD125" s="267">
        <v>1</v>
      </c>
      <c r="AE125" s="267">
        <v>40</v>
      </c>
      <c r="AF125" s="267">
        <v>40</v>
      </c>
      <c r="AG125" s="224">
        <v>82</v>
      </c>
      <c r="AH125" s="267">
        <v>1</v>
      </c>
      <c r="AI125" s="267">
        <v>1</v>
      </c>
      <c r="AJ125" s="267">
        <v>40</v>
      </c>
      <c r="AK125" s="267">
        <v>40</v>
      </c>
      <c r="AL125" s="224">
        <v>82</v>
      </c>
      <c r="AM125" s="104">
        <v>82</v>
      </c>
      <c r="AN125" s="103" t="s">
        <v>686</v>
      </c>
      <c r="AO125" s="103" t="s">
        <v>613</v>
      </c>
      <c r="AP125" s="103" t="s">
        <v>1214</v>
      </c>
      <c r="AQ125" s="103" t="s">
        <v>1194</v>
      </c>
      <c r="AR125" s="103" t="s">
        <v>938</v>
      </c>
      <c r="AS125" s="271"/>
      <c r="AT125" s="271"/>
      <c r="AU125" s="271"/>
      <c r="AV125" s="271"/>
      <c r="AW125" s="271"/>
      <c r="AX125" s="271"/>
      <c r="AY125" s="271"/>
      <c r="AZ125" s="271"/>
      <c r="BA125" s="271"/>
      <c r="BB125" s="271"/>
      <c r="BC125" s="271"/>
      <c r="BD125" s="271"/>
      <c r="BE125" s="271"/>
      <c r="BF125" s="271">
        <v>512921564</v>
      </c>
      <c r="BG125" s="271"/>
      <c r="BH125" s="235">
        <f t="shared" si="29"/>
        <v>512921564</v>
      </c>
      <c r="BI125" s="271"/>
      <c r="BJ125" s="271"/>
      <c r="BK125" s="271"/>
      <c r="BL125" s="271"/>
      <c r="BM125" s="271"/>
      <c r="BN125" s="271"/>
      <c r="BO125" s="271"/>
      <c r="BP125" s="271"/>
      <c r="BQ125" s="271"/>
      <c r="BR125" s="271"/>
      <c r="BS125" s="271"/>
      <c r="BT125" s="271"/>
      <c r="BU125" s="271"/>
      <c r="BV125" s="271">
        <v>496095235</v>
      </c>
      <c r="BW125" s="271"/>
      <c r="BX125" s="235">
        <f t="shared" si="30"/>
        <v>496095235</v>
      </c>
      <c r="BY125" s="271"/>
      <c r="BZ125" s="271"/>
      <c r="CA125" s="271"/>
      <c r="CB125" s="271"/>
      <c r="CC125" s="271"/>
      <c r="CD125" s="271"/>
      <c r="CE125" s="271"/>
      <c r="CF125" s="271"/>
      <c r="CG125" s="271"/>
      <c r="CH125" s="271"/>
      <c r="CI125" s="271"/>
      <c r="CJ125" s="271"/>
      <c r="CK125" s="271"/>
      <c r="CL125" s="271">
        <v>510978091.45121902</v>
      </c>
      <c r="CM125" s="271"/>
      <c r="CN125" s="235">
        <f t="shared" si="31"/>
        <v>510978091.45121902</v>
      </c>
      <c r="CO125" s="271"/>
      <c r="CP125" s="271"/>
      <c r="CQ125" s="271"/>
      <c r="CR125" s="271"/>
      <c r="CS125" s="271"/>
      <c r="CT125" s="271"/>
      <c r="CU125" s="271"/>
      <c r="CV125" s="271"/>
      <c r="CW125" s="271"/>
      <c r="CX125" s="271"/>
      <c r="CY125" s="271"/>
      <c r="CZ125" s="271"/>
      <c r="DA125" s="271"/>
      <c r="DB125" s="271">
        <v>526307435</v>
      </c>
      <c r="DC125" s="271"/>
      <c r="DD125" s="234">
        <f t="shared" si="32"/>
        <v>526307435</v>
      </c>
      <c r="DE125" s="244">
        <f t="shared" si="28"/>
        <v>2046302325.4512191</v>
      </c>
    </row>
    <row r="126" spans="1:109" s="99" customFormat="1" ht="124.05" customHeight="1">
      <c r="A126" s="103" t="s">
        <v>1233</v>
      </c>
      <c r="B126" s="279" t="s">
        <v>9</v>
      </c>
      <c r="C126" s="279" t="s">
        <v>1701</v>
      </c>
      <c r="D126" s="279">
        <v>7</v>
      </c>
      <c r="E126" s="279" t="s">
        <v>203</v>
      </c>
      <c r="F126" s="280" t="s">
        <v>756</v>
      </c>
      <c r="G126" s="279" t="s">
        <v>3322</v>
      </c>
      <c r="H126" s="279">
        <v>10</v>
      </c>
      <c r="I126" s="279" t="s">
        <v>208</v>
      </c>
      <c r="J126" s="279" t="s">
        <v>209</v>
      </c>
      <c r="K126" s="279" t="s">
        <v>210</v>
      </c>
      <c r="L126" s="279" t="s">
        <v>211</v>
      </c>
      <c r="M126" s="279" t="s">
        <v>757</v>
      </c>
      <c r="N126" s="279" t="s">
        <v>758</v>
      </c>
      <c r="O126" s="279" t="s">
        <v>759</v>
      </c>
      <c r="P126" s="283">
        <v>116</v>
      </c>
      <c r="Q126" s="279" t="s">
        <v>3170</v>
      </c>
      <c r="R126" s="279" t="s">
        <v>791</v>
      </c>
      <c r="S126" s="279" t="s">
        <v>677</v>
      </c>
      <c r="T126" s="279">
        <v>82</v>
      </c>
      <c r="U126" s="267"/>
      <c r="V126" s="267"/>
      <c r="W126" s="224">
        <v>0</v>
      </c>
      <c r="X126" s="267"/>
      <c r="Y126" s="267"/>
      <c r="Z126" s="267"/>
      <c r="AA126" s="267">
        <v>1</v>
      </c>
      <c r="AB126" s="224">
        <v>1</v>
      </c>
      <c r="AC126" s="267"/>
      <c r="AD126" s="267"/>
      <c r="AE126" s="267"/>
      <c r="AF126" s="267">
        <v>1</v>
      </c>
      <c r="AG126" s="224">
        <v>1</v>
      </c>
      <c r="AH126" s="267"/>
      <c r="AI126" s="267"/>
      <c r="AJ126" s="267"/>
      <c r="AK126" s="267">
        <v>3</v>
      </c>
      <c r="AL126" s="224">
        <v>3</v>
      </c>
      <c r="AM126" s="104">
        <v>5</v>
      </c>
      <c r="AN126" s="103" t="s">
        <v>685</v>
      </c>
      <c r="AO126" s="103" t="s">
        <v>613</v>
      </c>
      <c r="AP126" s="103" t="s">
        <v>1214</v>
      </c>
      <c r="AQ126" s="103" t="s">
        <v>1194</v>
      </c>
      <c r="AR126" s="103" t="s">
        <v>938</v>
      </c>
      <c r="AS126" s="271"/>
      <c r="AT126" s="271"/>
      <c r="AU126" s="271"/>
      <c r="AV126" s="271"/>
      <c r="AW126" s="271"/>
      <c r="AX126" s="271"/>
      <c r="AY126" s="271"/>
      <c r="AZ126" s="271"/>
      <c r="BA126" s="271"/>
      <c r="BB126" s="271"/>
      <c r="BC126" s="271"/>
      <c r="BD126" s="271"/>
      <c r="BE126" s="271"/>
      <c r="BF126" s="271"/>
      <c r="BG126" s="271"/>
      <c r="BH126" s="235">
        <f t="shared" si="29"/>
        <v>0</v>
      </c>
      <c r="BI126" s="271"/>
      <c r="BJ126" s="271"/>
      <c r="BK126" s="271"/>
      <c r="BL126" s="271"/>
      <c r="BM126" s="271"/>
      <c r="BN126" s="271"/>
      <c r="BO126" s="271"/>
      <c r="BP126" s="271"/>
      <c r="BQ126" s="271"/>
      <c r="BR126" s="271"/>
      <c r="BS126" s="271"/>
      <c r="BT126" s="271"/>
      <c r="BU126" s="271"/>
      <c r="BV126" s="271">
        <v>32213976</v>
      </c>
      <c r="BW126" s="271"/>
      <c r="BX126" s="235">
        <f t="shared" si="30"/>
        <v>32213976</v>
      </c>
      <c r="BY126" s="271"/>
      <c r="BZ126" s="271"/>
      <c r="CA126" s="271"/>
      <c r="CB126" s="271"/>
      <c r="CC126" s="271"/>
      <c r="CD126" s="271"/>
      <c r="CE126" s="271"/>
      <c r="CF126" s="271"/>
      <c r="CG126" s="271"/>
      <c r="CH126" s="271"/>
      <c r="CI126" s="271"/>
      <c r="CJ126" s="271"/>
      <c r="CK126" s="271"/>
      <c r="CL126" s="271">
        <v>33180395.548780486</v>
      </c>
      <c r="CM126" s="271"/>
      <c r="CN126" s="235">
        <f t="shared" si="31"/>
        <v>33180395.548780486</v>
      </c>
      <c r="CO126" s="271"/>
      <c r="CP126" s="271"/>
      <c r="CQ126" s="271"/>
      <c r="CR126" s="271"/>
      <c r="CS126" s="271"/>
      <c r="CT126" s="271"/>
      <c r="CU126" s="271"/>
      <c r="CV126" s="271"/>
      <c r="CW126" s="271"/>
      <c r="CX126" s="271"/>
      <c r="CY126" s="271"/>
      <c r="CZ126" s="271"/>
      <c r="DA126" s="271"/>
      <c r="DB126" s="271">
        <v>34175807</v>
      </c>
      <c r="DC126" s="271"/>
      <c r="DD126" s="234">
        <f t="shared" si="32"/>
        <v>34175807</v>
      </c>
      <c r="DE126" s="244">
        <f t="shared" si="28"/>
        <v>99570178.548780486</v>
      </c>
    </row>
    <row r="127" spans="1:109" s="99" customFormat="1" ht="124.05" customHeight="1">
      <c r="A127" s="103" t="s">
        <v>1233</v>
      </c>
      <c r="B127" s="279" t="s">
        <v>9</v>
      </c>
      <c r="C127" s="279" t="s">
        <v>1701</v>
      </c>
      <c r="D127" s="279">
        <v>7</v>
      </c>
      <c r="E127" s="279" t="s">
        <v>203</v>
      </c>
      <c r="F127" s="280" t="s">
        <v>756</v>
      </c>
      <c r="G127" s="279" t="s">
        <v>3322</v>
      </c>
      <c r="H127" s="279">
        <v>10</v>
      </c>
      <c r="I127" s="279" t="s">
        <v>208</v>
      </c>
      <c r="J127" s="279" t="s">
        <v>209</v>
      </c>
      <c r="K127" s="279" t="s">
        <v>210</v>
      </c>
      <c r="L127" s="279" t="s">
        <v>211</v>
      </c>
      <c r="M127" s="279" t="s">
        <v>757</v>
      </c>
      <c r="N127" s="279" t="s">
        <v>758</v>
      </c>
      <c r="O127" s="279" t="s">
        <v>759</v>
      </c>
      <c r="P127" s="283">
        <v>117</v>
      </c>
      <c r="Q127" s="279" t="s">
        <v>3171</v>
      </c>
      <c r="R127" s="279" t="s">
        <v>792</v>
      </c>
      <c r="S127" s="279" t="s">
        <v>677</v>
      </c>
      <c r="T127" s="279">
        <v>50</v>
      </c>
      <c r="U127" s="267">
        <v>4.5</v>
      </c>
      <c r="V127" s="267">
        <v>3</v>
      </c>
      <c r="W127" s="224">
        <v>7.5</v>
      </c>
      <c r="X127" s="267">
        <v>1</v>
      </c>
      <c r="Y127" s="267">
        <v>2</v>
      </c>
      <c r="Z127" s="267">
        <v>2.5</v>
      </c>
      <c r="AA127" s="267">
        <v>2</v>
      </c>
      <c r="AB127" s="224">
        <v>7.5</v>
      </c>
      <c r="AC127" s="267">
        <v>1</v>
      </c>
      <c r="AD127" s="267">
        <v>2</v>
      </c>
      <c r="AE127" s="267">
        <v>2.5</v>
      </c>
      <c r="AF127" s="267">
        <v>2</v>
      </c>
      <c r="AG127" s="224">
        <v>7.5</v>
      </c>
      <c r="AH127" s="267">
        <v>1</v>
      </c>
      <c r="AI127" s="267">
        <v>2</v>
      </c>
      <c r="AJ127" s="267">
        <v>2.5</v>
      </c>
      <c r="AK127" s="267">
        <v>2</v>
      </c>
      <c r="AL127" s="224">
        <v>7.5</v>
      </c>
      <c r="AM127" s="104">
        <v>30</v>
      </c>
      <c r="AN127" s="103" t="s">
        <v>685</v>
      </c>
      <c r="AO127" s="103" t="s">
        <v>613</v>
      </c>
      <c r="AP127" s="103" t="s">
        <v>1214</v>
      </c>
      <c r="AQ127" s="103" t="s">
        <v>1194</v>
      </c>
      <c r="AR127" s="103" t="s">
        <v>938</v>
      </c>
      <c r="AS127" s="271"/>
      <c r="AT127" s="271"/>
      <c r="AU127" s="271"/>
      <c r="AV127" s="271"/>
      <c r="AW127" s="271">
        <v>196252000</v>
      </c>
      <c r="AX127" s="271"/>
      <c r="AY127" s="271"/>
      <c r="AZ127" s="271"/>
      <c r="BA127" s="271"/>
      <c r="BB127" s="271"/>
      <c r="BC127" s="271"/>
      <c r="BD127" s="271"/>
      <c r="BE127" s="271"/>
      <c r="BF127" s="271"/>
      <c r="BG127" s="271"/>
      <c r="BH127" s="235">
        <f t="shared" si="29"/>
        <v>196252000</v>
      </c>
      <c r="BI127" s="271"/>
      <c r="BJ127" s="271"/>
      <c r="BK127" s="271"/>
      <c r="BL127" s="271"/>
      <c r="BM127" s="271">
        <v>205442213</v>
      </c>
      <c r="BN127" s="271"/>
      <c r="BO127" s="271"/>
      <c r="BP127" s="271"/>
      <c r="BQ127" s="271"/>
      <c r="BR127" s="271"/>
      <c r="BS127" s="271"/>
      <c r="BT127" s="271"/>
      <c r="BU127" s="271"/>
      <c r="BV127" s="271"/>
      <c r="BW127" s="271"/>
      <c r="BX127" s="235">
        <f t="shared" si="30"/>
        <v>205442213</v>
      </c>
      <c r="BY127" s="271"/>
      <c r="BZ127" s="271"/>
      <c r="CA127" s="271"/>
      <c r="CB127" s="271"/>
      <c r="CC127" s="271">
        <v>211865288</v>
      </c>
      <c r="CD127" s="271"/>
      <c r="CE127" s="271"/>
      <c r="CF127" s="271"/>
      <c r="CG127" s="271"/>
      <c r="CH127" s="271"/>
      <c r="CI127" s="271"/>
      <c r="CJ127" s="271"/>
      <c r="CK127" s="271"/>
      <c r="CL127" s="271"/>
      <c r="CM127" s="271"/>
      <c r="CN127" s="235">
        <f t="shared" si="31"/>
        <v>211865288</v>
      </c>
      <c r="CO127" s="271"/>
      <c r="CP127" s="271"/>
      <c r="CQ127" s="271"/>
      <c r="CR127" s="271"/>
      <c r="CS127" s="271">
        <v>220339900</v>
      </c>
      <c r="CT127" s="271"/>
      <c r="CU127" s="271"/>
      <c r="CV127" s="271"/>
      <c r="CW127" s="271"/>
      <c r="CX127" s="271"/>
      <c r="CY127" s="271"/>
      <c r="CZ127" s="271"/>
      <c r="DA127" s="271"/>
      <c r="DB127" s="271"/>
      <c r="DC127" s="271"/>
      <c r="DD127" s="234">
        <f t="shared" si="32"/>
        <v>220339900</v>
      </c>
      <c r="DE127" s="244">
        <f t="shared" si="28"/>
        <v>833899401</v>
      </c>
    </row>
    <row r="128" spans="1:109" s="99" customFormat="1" ht="124.05" customHeight="1">
      <c r="A128" s="103" t="s">
        <v>1233</v>
      </c>
      <c r="B128" s="279" t="s">
        <v>9</v>
      </c>
      <c r="C128" s="279" t="s">
        <v>1701</v>
      </c>
      <c r="D128" s="279">
        <v>7</v>
      </c>
      <c r="E128" s="279" t="s">
        <v>203</v>
      </c>
      <c r="F128" s="280" t="s">
        <v>756</v>
      </c>
      <c r="G128" s="279" t="s">
        <v>3322</v>
      </c>
      <c r="H128" s="279">
        <v>10</v>
      </c>
      <c r="I128" s="279" t="s">
        <v>208</v>
      </c>
      <c r="J128" s="279" t="s">
        <v>209</v>
      </c>
      <c r="K128" s="279" t="s">
        <v>210</v>
      </c>
      <c r="L128" s="279" t="s">
        <v>211</v>
      </c>
      <c r="M128" s="279" t="s">
        <v>757</v>
      </c>
      <c r="N128" s="279" t="s">
        <v>758</v>
      </c>
      <c r="O128" s="279" t="s">
        <v>759</v>
      </c>
      <c r="P128" s="283">
        <v>118</v>
      </c>
      <c r="Q128" s="279" t="s">
        <v>3172</v>
      </c>
      <c r="R128" s="279" t="s">
        <v>793</v>
      </c>
      <c r="S128" s="279" t="s">
        <v>683</v>
      </c>
      <c r="T128" s="279">
        <v>0</v>
      </c>
      <c r="U128" s="267">
        <v>0.5</v>
      </c>
      <c r="V128" s="267">
        <v>0.5</v>
      </c>
      <c r="W128" s="224">
        <v>1</v>
      </c>
      <c r="X128" s="267">
        <v>0.25</v>
      </c>
      <c r="Y128" s="267">
        <v>0.25</v>
      </c>
      <c r="Z128" s="267">
        <v>0.25</v>
      </c>
      <c r="AA128" s="267">
        <v>0.25</v>
      </c>
      <c r="AB128" s="224">
        <v>1</v>
      </c>
      <c r="AC128" s="267">
        <v>0.25</v>
      </c>
      <c r="AD128" s="267">
        <v>0.25</v>
      </c>
      <c r="AE128" s="267">
        <v>0.25</v>
      </c>
      <c r="AF128" s="267">
        <v>0.25</v>
      </c>
      <c r="AG128" s="224">
        <v>1</v>
      </c>
      <c r="AH128" s="267">
        <v>0.25</v>
      </c>
      <c r="AI128" s="267">
        <v>0.25</v>
      </c>
      <c r="AJ128" s="267">
        <v>0.25</v>
      </c>
      <c r="AK128" s="267">
        <v>0.25</v>
      </c>
      <c r="AL128" s="224">
        <v>1</v>
      </c>
      <c r="AM128" s="104">
        <v>4</v>
      </c>
      <c r="AN128" s="103" t="s">
        <v>685</v>
      </c>
      <c r="AO128" s="103" t="s">
        <v>613</v>
      </c>
      <c r="AP128" s="103" t="s">
        <v>1214</v>
      </c>
      <c r="AQ128" s="103" t="s">
        <v>1194</v>
      </c>
      <c r="AR128" s="103" t="s">
        <v>938</v>
      </c>
      <c r="AS128" s="271"/>
      <c r="AT128" s="271"/>
      <c r="AU128" s="271"/>
      <c r="AV128" s="271"/>
      <c r="AW128" s="271">
        <v>648738000</v>
      </c>
      <c r="AX128" s="271"/>
      <c r="AY128" s="271"/>
      <c r="AZ128" s="271"/>
      <c r="BA128" s="271"/>
      <c r="BB128" s="271"/>
      <c r="BC128" s="271"/>
      <c r="BD128" s="271"/>
      <c r="BE128" s="271"/>
      <c r="BF128" s="271"/>
      <c r="BG128" s="271"/>
      <c r="BH128" s="235">
        <f t="shared" si="29"/>
        <v>648738000</v>
      </c>
      <c r="BI128" s="271"/>
      <c r="BJ128" s="271"/>
      <c r="BK128" s="271"/>
      <c r="BL128" s="271"/>
      <c r="BM128" s="271">
        <f>679117515+62470546</f>
        <v>741588061</v>
      </c>
      <c r="BN128" s="271"/>
      <c r="BO128" s="271"/>
      <c r="BP128" s="271"/>
      <c r="BQ128" s="271"/>
      <c r="BR128" s="271"/>
      <c r="BS128" s="271"/>
      <c r="BT128" s="271"/>
      <c r="BU128" s="271"/>
      <c r="BV128" s="271"/>
      <c r="BW128" s="271"/>
      <c r="BX128" s="235">
        <f t="shared" si="30"/>
        <v>741588061</v>
      </c>
      <c r="BY128" s="271"/>
      <c r="BZ128" s="271"/>
      <c r="CA128" s="271"/>
      <c r="CB128" s="271"/>
      <c r="CC128" s="271">
        <f>700349874+64423664</f>
        <v>764773538</v>
      </c>
      <c r="CD128" s="271"/>
      <c r="CE128" s="271"/>
      <c r="CF128" s="271"/>
      <c r="CG128" s="271"/>
      <c r="CH128" s="271"/>
      <c r="CI128" s="271"/>
      <c r="CJ128" s="271"/>
      <c r="CK128" s="271"/>
      <c r="CL128" s="271"/>
      <c r="CM128" s="271"/>
      <c r="CN128" s="235">
        <f t="shared" si="31"/>
        <v>764773538</v>
      </c>
      <c r="CO128" s="271"/>
      <c r="CP128" s="271"/>
      <c r="CQ128" s="271"/>
      <c r="CR128" s="271"/>
      <c r="CS128" s="271">
        <f>728363869+67000611</f>
        <v>795364480</v>
      </c>
      <c r="CT128" s="271"/>
      <c r="CU128" s="271"/>
      <c r="CV128" s="271"/>
      <c r="CW128" s="271"/>
      <c r="CX128" s="271"/>
      <c r="CY128" s="271"/>
      <c r="CZ128" s="271"/>
      <c r="DA128" s="271"/>
      <c r="DB128" s="271"/>
      <c r="DC128" s="271"/>
      <c r="DD128" s="234">
        <f t="shared" si="32"/>
        <v>795364480</v>
      </c>
      <c r="DE128" s="244">
        <f t="shared" si="28"/>
        <v>2950464079</v>
      </c>
    </row>
    <row r="129" spans="1:109" s="99" customFormat="1" ht="124.05" customHeight="1">
      <c r="A129" s="103" t="s">
        <v>1233</v>
      </c>
      <c r="B129" s="279" t="s">
        <v>9</v>
      </c>
      <c r="C129" s="279" t="s">
        <v>1701</v>
      </c>
      <c r="D129" s="279">
        <v>7</v>
      </c>
      <c r="E129" s="279" t="s">
        <v>203</v>
      </c>
      <c r="F129" s="280" t="s">
        <v>756</v>
      </c>
      <c r="G129" s="279" t="s">
        <v>3322</v>
      </c>
      <c r="H129" s="279">
        <v>10</v>
      </c>
      <c r="I129" s="279" t="s">
        <v>208</v>
      </c>
      <c r="J129" s="279" t="s">
        <v>209</v>
      </c>
      <c r="K129" s="279" t="s">
        <v>210</v>
      </c>
      <c r="L129" s="279" t="s">
        <v>211</v>
      </c>
      <c r="M129" s="279" t="s">
        <v>757</v>
      </c>
      <c r="N129" s="279" t="s">
        <v>758</v>
      </c>
      <c r="O129" s="279" t="s">
        <v>759</v>
      </c>
      <c r="P129" s="283">
        <v>119</v>
      </c>
      <c r="Q129" s="279" t="s">
        <v>3173</v>
      </c>
      <c r="R129" s="279" t="s">
        <v>794</v>
      </c>
      <c r="S129" s="279" t="s">
        <v>683</v>
      </c>
      <c r="T129" s="104">
        <v>5200</v>
      </c>
      <c r="U129" s="267">
        <v>100</v>
      </c>
      <c r="V129" s="267">
        <v>100</v>
      </c>
      <c r="W129" s="224">
        <v>200</v>
      </c>
      <c r="X129" s="267">
        <v>50</v>
      </c>
      <c r="Y129" s="267">
        <v>50</v>
      </c>
      <c r="Z129" s="267">
        <v>50</v>
      </c>
      <c r="AA129" s="267">
        <v>50</v>
      </c>
      <c r="AB129" s="224">
        <v>200</v>
      </c>
      <c r="AC129" s="267">
        <v>50</v>
      </c>
      <c r="AD129" s="267">
        <v>50</v>
      </c>
      <c r="AE129" s="267">
        <v>50</v>
      </c>
      <c r="AF129" s="267">
        <v>50</v>
      </c>
      <c r="AG129" s="224">
        <v>200</v>
      </c>
      <c r="AH129" s="267">
        <v>50</v>
      </c>
      <c r="AI129" s="267">
        <v>50</v>
      </c>
      <c r="AJ129" s="267">
        <v>50</v>
      </c>
      <c r="AK129" s="267">
        <v>50</v>
      </c>
      <c r="AL129" s="224">
        <v>200</v>
      </c>
      <c r="AM129" s="104">
        <v>800</v>
      </c>
      <c r="AN129" s="103" t="s">
        <v>685</v>
      </c>
      <c r="AO129" s="103" t="s">
        <v>613</v>
      </c>
      <c r="AP129" s="103" t="s">
        <v>1214</v>
      </c>
      <c r="AQ129" s="103" t="s">
        <v>1194</v>
      </c>
      <c r="AR129" s="103" t="s">
        <v>938</v>
      </c>
      <c r="AS129" s="271"/>
      <c r="AT129" s="271"/>
      <c r="AU129" s="271"/>
      <c r="AV129" s="271"/>
      <c r="AW129" s="271">
        <v>59676000</v>
      </c>
      <c r="AX129" s="271"/>
      <c r="AY129" s="271"/>
      <c r="AZ129" s="271"/>
      <c r="BA129" s="271"/>
      <c r="BB129" s="271"/>
      <c r="BC129" s="271"/>
      <c r="BD129" s="271"/>
      <c r="BE129" s="271"/>
      <c r="BF129" s="271">
        <v>130577222</v>
      </c>
      <c r="BG129" s="271"/>
      <c r="BH129" s="235">
        <f t="shared" si="29"/>
        <v>190253222</v>
      </c>
      <c r="BI129" s="271"/>
      <c r="BJ129" s="271"/>
      <c r="BK129" s="271"/>
      <c r="BL129" s="271"/>
      <c r="BM129" s="271">
        <v>62470546</v>
      </c>
      <c r="BN129" s="271"/>
      <c r="BO129" s="271"/>
      <c r="BP129" s="271"/>
      <c r="BQ129" s="271"/>
      <c r="BR129" s="271"/>
      <c r="BS129" s="271"/>
      <c r="BT129" s="271"/>
      <c r="BU129" s="271"/>
      <c r="BV129" s="271">
        <v>134494539</v>
      </c>
      <c r="BW129" s="271"/>
      <c r="BX129" s="235">
        <f t="shared" si="30"/>
        <v>196965085</v>
      </c>
      <c r="BY129" s="271"/>
      <c r="BZ129" s="271"/>
      <c r="CA129" s="271"/>
      <c r="CB129" s="271"/>
      <c r="CC129" s="271">
        <v>64423664</v>
      </c>
      <c r="CD129" s="271"/>
      <c r="CE129" s="271"/>
      <c r="CF129" s="271"/>
      <c r="CG129" s="271"/>
      <c r="CH129" s="271"/>
      <c r="CI129" s="271"/>
      <c r="CJ129" s="271"/>
      <c r="CK129" s="271"/>
      <c r="CL129" s="271">
        <v>138529375</v>
      </c>
      <c r="CM129" s="271"/>
      <c r="CN129" s="235">
        <f t="shared" si="31"/>
        <v>202953039</v>
      </c>
      <c r="CO129" s="271"/>
      <c r="CP129" s="271"/>
      <c r="CQ129" s="271"/>
      <c r="CR129" s="271"/>
      <c r="CS129" s="271">
        <v>67000611</v>
      </c>
      <c r="CT129" s="271"/>
      <c r="CU129" s="271"/>
      <c r="CV129" s="271"/>
      <c r="CW129" s="271"/>
      <c r="CX129" s="271"/>
      <c r="CY129" s="271"/>
      <c r="CZ129" s="271"/>
      <c r="DA129" s="271"/>
      <c r="DB129" s="271">
        <v>142685256</v>
      </c>
      <c r="DC129" s="271"/>
      <c r="DD129" s="234">
        <f t="shared" si="32"/>
        <v>209685867</v>
      </c>
      <c r="DE129" s="244">
        <f t="shared" si="28"/>
        <v>799857213</v>
      </c>
    </row>
    <row r="130" spans="1:109" s="99" customFormat="1" ht="124.05" customHeight="1">
      <c r="A130" s="103" t="s">
        <v>1233</v>
      </c>
      <c r="B130" s="279" t="s">
        <v>9</v>
      </c>
      <c r="C130" s="279" t="s">
        <v>1701</v>
      </c>
      <c r="D130" s="279">
        <v>7</v>
      </c>
      <c r="E130" s="279" t="s">
        <v>203</v>
      </c>
      <c r="F130" s="280" t="s">
        <v>756</v>
      </c>
      <c r="G130" s="279" t="s">
        <v>3323</v>
      </c>
      <c r="H130" s="279">
        <v>11</v>
      </c>
      <c r="I130" s="279" t="s">
        <v>213</v>
      </c>
      <c r="J130" s="279" t="s">
        <v>214</v>
      </c>
      <c r="K130" s="279">
        <v>8.3699999999999992</v>
      </c>
      <c r="L130" s="279">
        <v>8.3699999999999992</v>
      </c>
      <c r="M130" s="279" t="s">
        <v>795</v>
      </c>
      <c r="N130" s="279" t="s">
        <v>796</v>
      </c>
      <c r="O130" s="279" t="s">
        <v>797</v>
      </c>
      <c r="P130" s="283">
        <v>120</v>
      </c>
      <c r="Q130" s="279" t="s">
        <v>3340</v>
      </c>
      <c r="R130" s="279" t="s">
        <v>798</v>
      </c>
      <c r="S130" s="279" t="s">
        <v>683</v>
      </c>
      <c r="T130" s="279">
        <v>123</v>
      </c>
      <c r="U130" s="267">
        <v>80</v>
      </c>
      <c r="V130" s="267">
        <v>43</v>
      </c>
      <c r="W130" s="224">
        <v>123</v>
      </c>
      <c r="X130" s="267">
        <v>20</v>
      </c>
      <c r="Y130" s="267">
        <v>35</v>
      </c>
      <c r="Z130" s="267">
        <v>35</v>
      </c>
      <c r="AA130" s="267">
        <v>33</v>
      </c>
      <c r="AB130" s="224">
        <v>123</v>
      </c>
      <c r="AC130" s="267">
        <v>20</v>
      </c>
      <c r="AD130" s="267">
        <v>35</v>
      </c>
      <c r="AE130" s="267">
        <v>35</v>
      </c>
      <c r="AF130" s="267">
        <v>33</v>
      </c>
      <c r="AG130" s="224">
        <v>123</v>
      </c>
      <c r="AH130" s="267">
        <v>20</v>
      </c>
      <c r="AI130" s="267">
        <v>35</v>
      </c>
      <c r="AJ130" s="267">
        <v>35</v>
      </c>
      <c r="AK130" s="267">
        <v>33</v>
      </c>
      <c r="AL130" s="224">
        <v>123</v>
      </c>
      <c r="AM130" s="104">
        <v>123</v>
      </c>
      <c r="AN130" s="103" t="s">
        <v>686</v>
      </c>
      <c r="AO130" s="103" t="s">
        <v>613</v>
      </c>
      <c r="AP130" s="103" t="s">
        <v>1214</v>
      </c>
      <c r="AQ130" s="103" t="s">
        <v>1194</v>
      </c>
      <c r="AR130" s="103" t="s">
        <v>938</v>
      </c>
      <c r="AS130" s="271"/>
      <c r="AT130" s="271"/>
      <c r="AU130" s="271"/>
      <c r="AV130" s="271"/>
      <c r="AW130" s="271">
        <v>73128000</v>
      </c>
      <c r="AX130" s="271"/>
      <c r="AY130" s="271"/>
      <c r="AZ130" s="271"/>
      <c r="BA130" s="271"/>
      <c r="BB130" s="271"/>
      <c r="BC130" s="271"/>
      <c r="BD130" s="271"/>
      <c r="BE130" s="271"/>
      <c r="BF130" s="271">
        <f>250703062+50907866</f>
        <v>301610928</v>
      </c>
      <c r="BG130" s="271"/>
      <c r="BH130" s="235">
        <f t="shared" si="29"/>
        <v>374738928</v>
      </c>
      <c r="BI130" s="271"/>
      <c r="BJ130" s="271"/>
      <c r="BK130" s="271"/>
      <c r="BL130" s="271"/>
      <c r="BM130" s="271">
        <v>76552484</v>
      </c>
      <c r="BN130" s="271"/>
      <c r="BO130" s="271"/>
      <c r="BP130" s="271"/>
      <c r="BQ130" s="271"/>
      <c r="BR130" s="271"/>
      <c r="BS130" s="271"/>
      <c r="BT130" s="271"/>
      <c r="BU130" s="271"/>
      <c r="BV130" s="271">
        <f>258224153+52435102</f>
        <v>310659255</v>
      </c>
      <c r="BW130" s="271"/>
      <c r="BX130" s="235">
        <f t="shared" si="30"/>
        <v>387211739</v>
      </c>
      <c r="BY130" s="271"/>
      <c r="BZ130" s="271"/>
      <c r="CA130" s="271"/>
      <c r="CB130" s="271"/>
      <c r="CC130" s="271">
        <v>78945870</v>
      </c>
      <c r="CD130" s="271"/>
      <c r="CE130" s="271"/>
      <c r="CF130" s="271"/>
      <c r="CG130" s="271"/>
      <c r="CH130" s="271"/>
      <c r="CI130" s="271"/>
      <c r="CJ130" s="271"/>
      <c r="CK130" s="271"/>
      <c r="CL130" s="271">
        <f>265970878+54008155</f>
        <v>319979033</v>
      </c>
      <c r="CM130" s="271"/>
      <c r="CN130" s="235">
        <f t="shared" si="31"/>
        <v>398924903</v>
      </c>
      <c r="CO130" s="271"/>
      <c r="CP130" s="271"/>
      <c r="CQ130" s="271"/>
      <c r="CR130" s="271"/>
      <c r="CS130" s="271">
        <v>82103704</v>
      </c>
      <c r="CT130" s="271"/>
      <c r="CU130" s="271"/>
      <c r="CV130" s="271"/>
      <c r="CW130" s="271"/>
      <c r="CX130" s="271"/>
      <c r="CY130" s="271"/>
      <c r="CZ130" s="271"/>
      <c r="DA130" s="271"/>
      <c r="DB130" s="271">
        <f>273950005+55628400</f>
        <v>329578405</v>
      </c>
      <c r="DC130" s="271"/>
      <c r="DD130" s="234">
        <f t="shared" si="32"/>
        <v>411682109</v>
      </c>
      <c r="DE130" s="244">
        <f t="shared" si="28"/>
        <v>1572557679</v>
      </c>
    </row>
    <row r="131" spans="1:109" s="99" customFormat="1" ht="124.05" customHeight="1">
      <c r="A131" s="103" t="s">
        <v>1233</v>
      </c>
      <c r="B131" s="279" t="s">
        <v>9</v>
      </c>
      <c r="C131" s="279" t="s">
        <v>1701</v>
      </c>
      <c r="D131" s="279">
        <v>7</v>
      </c>
      <c r="E131" s="279" t="s">
        <v>203</v>
      </c>
      <c r="F131" s="280" t="s">
        <v>756</v>
      </c>
      <c r="G131" s="279" t="s">
        <v>3323</v>
      </c>
      <c r="H131" s="279">
        <v>11</v>
      </c>
      <c r="I131" s="279" t="s">
        <v>213</v>
      </c>
      <c r="J131" s="279" t="s">
        <v>214</v>
      </c>
      <c r="K131" s="279">
        <v>8.3699999999999992</v>
      </c>
      <c r="L131" s="279">
        <v>8.3699999999999992</v>
      </c>
      <c r="M131" s="279" t="s">
        <v>795</v>
      </c>
      <c r="N131" s="279" t="s">
        <v>796</v>
      </c>
      <c r="O131" s="279" t="s">
        <v>797</v>
      </c>
      <c r="P131" s="283">
        <v>121</v>
      </c>
      <c r="Q131" s="279" t="s">
        <v>3174</v>
      </c>
      <c r="R131" s="279" t="s">
        <v>799</v>
      </c>
      <c r="S131" s="279" t="s">
        <v>683</v>
      </c>
      <c r="T131" s="279" t="s">
        <v>244</v>
      </c>
      <c r="U131" s="267"/>
      <c r="V131" s="267">
        <v>50</v>
      </c>
      <c r="W131" s="224">
        <v>50</v>
      </c>
      <c r="X131" s="267">
        <v>300</v>
      </c>
      <c r="Y131" s="267">
        <v>650</v>
      </c>
      <c r="Z131" s="267">
        <v>650</v>
      </c>
      <c r="AA131" s="267">
        <v>500</v>
      </c>
      <c r="AB131" s="224">
        <v>2100</v>
      </c>
      <c r="AC131" s="267">
        <v>350</v>
      </c>
      <c r="AD131" s="267">
        <v>650</v>
      </c>
      <c r="AE131" s="267">
        <v>650</v>
      </c>
      <c r="AF131" s="267">
        <v>500</v>
      </c>
      <c r="AG131" s="224">
        <v>2150</v>
      </c>
      <c r="AH131" s="267">
        <v>350</v>
      </c>
      <c r="AI131" s="267">
        <v>650</v>
      </c>
      <c r="AJ131" s="267">
        <v>650</v>
      </c>
      <c r="AK131" s="267">
        <v>500</v>
      </c>
      <c r="AL131" s="224">
        <v>2150</v>
      </c>
      <c r="AM131" s="104">
        <v>6450</v>
      </c>
      <c r="AN131" s="103" t="s">
        <v>685</v>
      </c>
      <c r="AO131" s="103" t="s">
        <v>613</v>
      </c>
      <c r="AP131" s="103" t="s">
        <v>1214</v>
      </c>
      <c r="AQ131" s="103" t="s">
        <v>1194</v>
      </c>
      <c r="AR131" s="103" t="s">
        <v>938</v>
      </c>
      <c r="AS131" s="271"/>
      <c r="AT131" s="271"/>
      <c r="AU131" s="271"/>
      <c r="AV131" s="271"/>
      <c r="AW131" s="271"/>
      <c r="AX131" s="271"/>
      <c r="AY131" s="271"/>
      <c r="AZ131" s="271"/>
      <c r="BA131" s="271"/>
      <c r="BB131" s="271"/>
      <c r="BC131" s="271"/>
      <c r="BD131" s="271"/>
      <c r="BE131" s="271"/>
      <c r="BF131" s="271">
        <v>60509091</v>
      </c>
      <c r="BG131" s="271"/>
      <c r="BH131" s="235">
        <f t="shared" si="29"/>
        <v>60509091</v>
      </c>
      <c r="BI131" s="271"/>
      <c r="BJ131" s="271"/>
      <c r="BK131" s="271"/>
      <c r="BL131" s="271"/>
      <c r="BM131" s="271"/>
      <c r="BN131" s="271"/>
      <c r="BO131" s="271"/>
      <c r="BP131" s="271"/>
      <c r="BQ131" s="271"/>
      <c r="BR131" s="271"/>
      <c r="BS131" s="271"/>
      <c r="BT131" s="271"/>
      <c r="BU131" s="271"/>
      <c r="BV131" s="271">
        <v>62324364</v>
      </c>
      <c r="BW131" s="271"/>
      <c r="BX131" s="235">
        <f t="shared" si="30"/>
        <v>62324364</v>
      </c>
      <c r="BY131" s="271"/>
      <c r="BZ131" s="271"/>
      <c r="CA131" s="271"/>
      <c r="CB131" s="271"/>
      <c r="CC131" s="271"/>
      <c r="CD131" s="271"/>
      <c r="CE131" s="271"/>
      <c r="CF131" s="271"/>
      <c r="CG131" s="271"/>
      <c r="CH131" s="271"/>
      <c r="CI131" s="271"/>
      <c r="CJ131" s="271"/>
      <c r="CK131" s="271"/>
      <c r="CL131" s="271">
        <v>64194095</v>
      </c>
      <c r="CM131" s="271"/>
      <c r="CN131" s="235">
        <f t="shared" si="31"/>
        <v>64194095</v>
      </c>
      <c r="CO131" s="271"/>
      <c r="CP131" s="271"/>
      <c r="CQ131" s="271"/>
      <c r="CR131" s="271"/>
      <c r="CS131" s="271"/>
      <c r="CT131" s="271"/>
      <c r="CU131" s="271"/>
      <c r="CV131" s="271"/>
      <c r="CW131" s="271"/>
      <c r="CX131" s="271"/>
      <c r="CY131" s="271"/>
      <c r="CZ131" s="271"/>
      <c r="DA131" s="271"/>
      <c r="DB131" s="271">
        <v>66119917</v>
      </c>
      <c r="DC131" s="271"/>
      <c r="DD131" s="234">
        <f t="shared" si="32"/>
        <v>66119917</v>
      </c>
      <c r="DE131" s="244">
        <f t="shared" si="28"/>
        <v>253147467</v>
      </c>
    </row>
    <row r="132" spans="1:109" s="99" customFormat="1" ht="124.05" customHeight="1">
      <c r="A132" s="103" t="s">
        <v>1233</v>
      </c>
      <c r="B132" s="279" t="s">
        <v>9</v>
      </c>
      <c r="C132" s="279" t="s">
        <v>1701</v>
      </c>
      <c r="D132" s="279">
        <v>7</v>
      </c>
      <c r="E132" s="279" t="s">
        <v>203</v>
      </c>
      <c r="F132" s="280" t="s">
        <v>756</v>
      </c>
      <c r="G132" s="279" t="s">
        <v>3323</v>
      </c>
      <c r="H132" s="279">
        <v>11</v>
      </c>
      <c r="I132" s="279" t="s">
        <v>213</v>
      </c>
      <c r="J132" s="279" t="s">
        <v>214</v>
      </c>
      <c r="K132" s="279">
        <v>8.3699999999999992</v>
      </c>
      <c r="L132" s="279">
        <v>8.3699999999999992</v>
      </c>
      <c r="M132" s="279" t="s">
        <v>795</v>
      </c>
      <c r="N132" s="279" t="s">
        <v>796</v>
      </c>
      <c r="O132" s="279" t="s">
        <v>797</v>
      </c>
      <c r="P132" s="283">
        <v>122</v>
      </c>
      <c r="Q132" s="279" t="s">
        <v>3341</v>
      </c>
      <c r="R132" s="279" t="s">
        <v>800</v>
      </c>
      <c r="S132" s="279" t="s">
        <v>683</v>
      </c>
      <c r="T132" s="279">
        <v>0</v>
      </c>
      <c r="U132" s="267"/>
      <c r="V132" s="267">
        <v>1</v>
      </c>
      <c r="W132" s="224">
        <v>1</v>
      </c>
      <c r="X132" s="267"/>
      <c r="Y132" s="267">
        <v>1</v>
      </c>
      <c r="Z132" s="267">
        <v>1</v>
      </c>
      <c r="AA132" s="267">
        <v>1</v>
      </c>
      <c r="AB132" s="224">
        <v>3</v>
      </c>
      <c r="AC132" s="267"/>
      <c r="AD132" s="267">
        <v>1</v>
      </c>
      <c r="AE132" s="267">
        <v>2</v>
      </c>
      <c r="AF132" s="267"/>
      <c r="AG132" s="224">
        <v>3</v>
      </c>
      <c r="AH132" s="267"/>
      <c r="AI132" s="267">
        <v>1</v>
      </c>
      <c r="AJ132" s="267">
        <v>1</v>
      </c>
      <c r="AK132" s="267">
        <v>1</v>
      </c>
      <c r="AL132" s="224">
        <v>3</v>
      </c>
      <c r="AM132" s="104">
        <v>10</v>
      </c>
      <c r="AN132" s="103" t="s">
        <v>685</v>
      </c>
      <c r="AO132" s="103" t="s">
        <v>613</v>
      </c>
      <c r="AP132" s="103" t="s">
        <v>1214</v>
      </c>
      <c r="AQ132" s="103" t="s">
        <v>1194</v>
      </c>
      <c r="AR132" s="103" t="s">
        <v>938</v>
      </c>
      <c r="AS132" s="271"/>
      <c r="AT132" s="271"/>
      <c r="AU132" s="271"/>
      <c r="AV132" s="271"/>
      <c r="AW132" s="271">
        <v>47520000</v>
      </c>
      <c r="AX132" s="271"/>
      <c r="AY132" s="271"/>
      <c r="AZ132" s="271"/>
      <c r="BA132" s="271"/>
      <c r="BB132" s="271"/>
      <c r="BC132" s="271"/>
      <c r="BD132" s="271"/>
      <c r="BE132" s="271"/>
      <c r="BF132" s="271">
        <v>28000000</v>
      </c>
      <c r="BG132" s="271"/>
      <c r="BH132" s="235">
        <f t="shared" si="29"/>
        <v>75520000</v>
      </c>
      <c r="BI132" s="271"/>
      <c r="BJ132" s="271"/>
      <c r="BK132" s="271"/>
      <c r="BL132" s="271"/>
      <c r="BM132" s="271">
        <v>49745297</v>
      </c>
      <c r="BN132" s="271"/>
      <c r="BO132" s="271"/>
      <c r="BP132" s="271"/>
      <c r="BQ132" s="271"/>
      <c r="BR132" s="271"/>
      <c r="BS132" s="271"/>
      <c r="BT132" s="271"/>
      <c r="BU132" s="271"/>
      <c r="BV132" s="271">
        <v>28840000</v>
      </c>
      <c r="BW132" s="271"/>
      <c r="BX132" s="235">
        <f t="shared" si="30"/>
        <v>78585297</v>
      </c>
      <c r="BY132" s="271"/>
      <c r="BZ132" s="271"/>
      <c r="CA132" s="271"/>
      <c r="CB132" s="271"/>
      <c r="CC132" s="271">
        <v>51300565</v>
      </c>
      <c r="CD132" s="271"/>
      <c r="CE132" s="271"/>
      <c r="CF132" s="271"/>
      <c r="CG132" s="271"/>
      <c r="CH132" s="271"/>
      <c r="CI132" s="271"/>
      <c r="CJ132" s="271"/>
      <c r="CK132" s="271"/>
      <c r="CL132" s="271">
        <v>29705200</v>
      </c>
      <c r="CM132" s="271"/>
      <c r="CN132" s="235">
        <f t="shared" si="31"/>
        <v>81005765</v>
      </c>
      <c r="CO132" s="271"/>
      <c r="CP132" s="271"/>
      <c r="CQ132" s="271"/>
      <c r="CR132" s="271"/>
      <c r="CS132" s="271">
        <v>53352588</v>
      </c>
      <c r="CT132" s="271"/>
      <c r="CU132" s="271"/>
      <c r="CV132" s="271"/>
      <c r="CW132" s="271"/>
      <c r="CX132" s="271"/>
      <c r="CY132" s="271"/>
      <c r="CZ132" s="271"/>
      <c r="DA132" s="271"/>
      <c r="DB132" s="271">
        <v>30596356</v>
      </c>
      <c r="DC132" s="271"/>
      <c r="DD132" s="234">
        <f t="shared" si="32"/>
        <v>83948944</v>
      </c>
      <c r="DE132" s="244">
        <f t="shared" si="28"/>
        <v>319060006</v>
      </c>
    </row>
    <row r="133" spans="1:109" s="99" customFormat="1" ht="124.05" customHeight="1">
      <c r="A133" s="103" t="s">
        <v>1233</v>
      </c>
      <c r="B133" s="279" t="s">
        <v>9</v>
      </c>
      <c r="C133" s="279" t="s">
        <v>1701</v>
      </c>
      <c r="D133" s="279">
        <v>7</v>
      </c>
      <c r="E133" s="279" t="s">
        <v>203</v>
      </c>
      <c r="F133" s="280" t="s">
        <v>756</v>
      </c>
      <c r="G133" s="279" t="s">
        <v>3323</v>
      </c>
      <c r="H133" s="279">
        <v>11</v>
      </c>
      <c r="I133" s="279" t="s">
        <v>213</v>
      </c>
      <c r="J133" s="279" t="s">
        <v>214</v>
      </c>
      <c r="K133" s="279">
        <v>8.3699999999999992</v>
      </c>
      <c r="L133" s="279">
        <v>8.3699999999999992</v>
      </c>
      <c r="M133" s="279" t="s">
        <v>795</v>
      </c>
      <c r="N133" s="279" t="s">
        <v>796</v>
      </c>
      <c r="O133" s="279" t="s">
        <v>797</v>
      </c>
      <c r="P133" s="283">
        <v>123</v>
      </c>
      <c r="Q133" s="279" t="s">
        <v>3175</v>
      </c>
      <c r="R133" s="279" t="s">
        <v>801</v>
      </c>
      <c r="S133" s="279" t="s">
        <v>683</v>
      </c>
      <c r="T133" s="279">
        <v>0</v>
      </c>
      <c r="U133" s="267"/>
      <c r="V133" s="267">
        <v>1</v>
      </c>
      <c r="W133" s="224">
        <v>1</v>
      </c>
      <c r="X133" s="267"/>
      <c r="Y133" s="267"/>
      <c r="Z133" s="267"/>
      <c r="AA133" s="267">
        <v>1</v>
      </c>
      <c r="AB133" s="224">
        <v>1</v>
      </c>
      <c r="AC133" s="267"/>
      <c r="AD133" s="267"/>
      <c r="AE133" s="267"/>
      <c r="AF133" s="267">
        <v>1</v>
      </c>
      <c r="AG133" s="224">
        <v>1</v>
      </c>
      <c r="AH133" s="267"/>
      <c r="AI133" s="267"/>
      <c r="AJ133" s="267"/>
      <c r="AK133" s="267">
        <v>1</v>
      </c>
      <c r="AL133" s="224">
        <v>1</v>
      </c>
      <c r="AM133" s="104">
        <v>4</v>
      </c>
      <c r="AN133" s="103" t="s">
        <v>685</v>
      </c>
      <c r="AO133" s="103" t="s">
        <v>613</v>
      </c>
      <c r="AP133" s="103" t="s">
        <v>1214</v>
      </c>
      <c r="AQ133" s="103" t="s">
        <v>1194</v>
      </c>
      <c r="AR133" s="103" t="s">
        <v>938</v>
      </c>
      <c r="AS133" s="271"/>
      <c r="AT133" s="271"/>
      <c r="AU133" s="271"/>
      <c r="AV133" s="271"/>
      <c r="AW133" s="271"/>
      <c r="AX133" s="271"/>
      <c r="AY133" s="271"/>
      <c r="AZ133" s="271"/>
      <c r="BA133" s="271"/>
      <c r="BB133" s="271"/>
      <c r="BC133" s="271"/>
      <c r="BD133" s="271"/>
      <c r="BE133" s="271"/>
      <c r="BF133" s="271">
        <v>134085476</v>
      </c>
      <c r="BG133" s="271"/>
      <c r="BH133" s="235">
        <f t="shared" si="29"/>
        <v>134085476</v>
      </c>
      <c r="BI133" s="271"/>
      <c r="BJ133" s="271"/>
      <c r="BK133" s="271"/>
      <c r="BL133" s="271"/>
      <c r="BM133" s="271"/>
      <c r="BN133" s="271"/>
      <c r="BO133" s="271"/>
      <c r="BP133" s="271"/>
      <c r="BQ133" s="271"/>
      <c r="BR133" s="271"/>
      <c r="BS133" s="271"/>
      <c r="BT133" s="271"/>
      <c r="BU133" s="271"/>
      <c r="BV133" s="271">
        <v>138108040</v>
      </c>
      <c r="BW133" s="271"/>
      <c r="BX133" s="235">
        <f t="shared" si="30"/>
        <v>138108040</v>
      </c>
      <c r="BY133" s="271"/>
      <c r="BZ133" s="271"/>
      <c r="CA133" s="271"/>
      <c r="CB133" s="271"/>
      <c r="CC133" s="271"/>
      <c r="CD133" s="271"/>
      <c r="CE133" s="271"/>
      <c r="CF133" s="271"/>
      <c r="CG133" s="271"/>
      <c r="CH133" s="271"/>
      <c r="CI133" s="271"/>
      <c r="CJ133" s="271"/>
      <c r="CK133" s="271"/>
      <c r="CL133" s="271">
        <v>142251281</v>
      </c>
      <c r="CM133" s="271"/>
      <c r="CN133" s="235">
        <f t="shared" si="31"/>
        <v>142251281</v>
      </c>
      <c r="CO133" s="271"/>
      <c r="CP133" s="271"/>
      <c r="CQ133" s="271"/>
      <c r="CR133" s="271"/>
      <c r="CS133" s="271"/>
      <c r="CT133" s="271"/>
      <c r="CU133" s="271"/>
      <c r="CV133" s="271"/>
      <c r="CW133" s="271"/>
      <c r="CX133" s="271"/>
      <c r="CY133" s="271"/>
      <c r="CZ133" s="271"/>
      <c r="DA133" s="271"/>
      <c r="DB133" s="271">
        <v>146518820</v>
      </c>
      <c r="DC133" s="271"/>
      <c r="DD133" s="234">
        <f t="shared" si="32"/>
        <v>146518820</v>
      </c>
      <c r="DE133" s="244">
        <f t="shared" si="28"/>
        <v>560963617</v>
      </c>
    </row>
    <row r="134" spans="1:109" s="99" customFormat="1" ht="124.05" customHeight="1">
      <c r="A134" s="103" t="s">
        <v>1233</v>
      </c>
      <c r="B134" s="279" t="s">
        <v>9</v>
      </c>
      <c r="C134" s="279" t="s">
        <v>1701</v>
      </c>
      <c r="D134" s="279">
        <v>7</v>
      </c>
      <c r="E134" s="279" t="s">
        <v>203</v>
      </c>
      <c r="F134" s="280" t="s">
        <v>756</v>
      </c>
      <c r="G134" s="279" t="s">
        <v>3323</v>
      </c>
      <c r="H134" s="279">
        <v>11</v>
      </c>
      <c r="I134" s="279" t="s">
        <v>213</v>
      </c>
      <c r="J134" s="279" t="s">
        <v>214</v>
      </c>
      <c r="K134" s="279">
        <v>8.3699999999999992</v>
      </c>
      <c r="L134" s="279">
        <v>8.3699999999999992</v>
      </c>
      <c r="M134" s="279" t="s">
        <v>795</v>
      </c>
      <c r="N134" s="279" t="s">
        <v>796</v>
      </c>
      <c r="O134" s="279" t="s">
        <v>797</v>
      </c>
      <c r="P134" s="283">
        <v>124</v>
      </c>
      <c r="Q134" s="279" t="s">
        <v>3176</v>
      </c>
      <c r="R134" s="279" t="s">
        <v>802</v>
      </c>
      <c r="S134" s="279" t="s">
        <v>677</v>
      </c>
      <c r="T134" s="279">
        <v>100</v>
      </c>
      <c r="U134" s="267">
        <v>100</v>
      </c>
      <c r="V134" s="267">
        <v>100</v>
      </c>
      <c r="W134" s="224">
        <v>100</v>
      </c>
      <c r="X134" s="267">
        <v>100</v>
      </c>
      <c r="Y134" s="267">
        <v>100</v>
      </c>
      <c r="Z134" s="267">
        <v>100</v>
      </c>
      <c r="AA134" s="267">
        <v>100</v>
      </c>
      <c r="AB134" s="224">
        <v>100</v>
      </c>
      <c r="AC134" s="267">
        <v>100</v>
      </c>
      <c r="AD134" s="267">
        <v>100</v>
      </c>
      <c r="AE134" s="267">
        <v>100</v>
      </c>
      <c r="AF134" s="267">
        <v>100</v>
      </c>
      <c r="AG134" s="224">
        <v>100</v>
      </c>
      <c r="AH134" s="267">
        <v>100</v>
      </c>
      <c r="AI134" s="267">
        <v>100</v>
      </c>
      <c r="AJ134" s="267">
        <v>100</v>
      </c>
      <c r="AK134" s="267">
        <v>100</v>
      </c>
      <c r="AL134" s="224">
        <v>100</v>
      </c>
      <c r="AM134" s="104">
        <v>100</v>
      </c>
      <c r="AN134" s="103" t="s">
        <v>686</v>
      </c>
      <c r="AO134" s="103" t="s">
        <v>613</v>
      </c>
      <c r="AP134" s="103" t="s">
        <v>1214</v>
      </c>
      <c r="AQ134" s="103" t="s">
        <v>1194</v>
      </c>
      <c r="AR134" s="103" t="s">
        <v>938</v>
      </c>
      <c r="AS134" s="271"/>
      <c r="AT134" s="271"/>
      <c r="AU134" s="271"/>
      <c r="AV134" s="271"/>
      <c r="AW134" s="271">
        <v>3340418604</v>
      </c>
      <c r="AX134" s="271"/>
      <c r="AY134" s="271"/>
      <c r="AZ134" s="271"/>
      <c r="BA134" s="271"/>
      <c r="BB134" s="271"/>
      <c r="BC134" s="271"/>
      <c r="BD134" s="271"/>
      <c r="BE134" s="271"/>
      <c r="BF134" s="271">
        <v>448200000</v>
      </c>
      <c r="BG134" s="271"/>
      <c r="BH134" s="235">
        <f t="shared" si="29"/>
        <v>3788618604</v>
      </c>
      <c r="BI134" s="271"/>
      <c r="BJ134" s="271"/>
      <c r="BK134" s="271"/>
      <c r="BL134" s="271"/>
      <c r="BM134" s="271">
        <v>3496845847</v>
      </c>
      <c r="BN134" s="271"/>
      <c r="BO134" s="271"/>
      <c r="BP134" s="271"/>
      <c r="BQ134" s="271"/>
      <c r="BR134" s="271"/>
      <c r="BS134" s="271"/>
      <c r="BT134" s="271"/>
      <c r="BU134" s="271"/>
      <c r="BV134" s="271">
        <v>461646000</v>
      </c>
      <c r="BW134" s="271"/>
      <c r="BX134" s="235">
        <f t="shared" si="30"/>
        <v>3958491847</v>
      </c>
      <c r="BY134" s="271"/>
      <c r="BZ134" s="271"/>
      <c r="CA134" s="271"/>
      <c r="CB134" s="271"/>
      <c r="CC134" s="271">
        <v>3606173445</v>
      </c>
      <c r="CD134" s="271"/>
      <c r="CE134" s="271"/>
      <c r="CF134" s="271"/>
      <c r="CG134" s="271"/>
      <c r="CH134" s="271"/>
      <c r="CI134" s="271"/>
      <c r="CJ134" s="271"/>
      <c r="CK134" s="271"/>
      <c r="CL134" s="271">
        <v>475495385</v>
      </c>
      <c r="CM134" s="271"/>
      <c r="CN134" s="235">
        <f t="shared" si="31"/>
        <v>4081668830</v>
      </c>
      <c r="CO134" s="271"/>
      <c r="CP134" s="271"/>
      <c r="CQ134" s="271"/>
      <c r="CR134" s="271"/>
      <c r="CS134" s="271">
        <v>3750420382</v>
      </c>
      <c r="CT134" s="271"/>
      <c r="CU134" s="271"/>
      <c r="CV134" s="271"/>
      <c r="CW134" s="271"/>
      <c r="CX134" s="271"/>
      <c r="CY134" s="271"/>
      <c r="CZ134" s="271"/>
      <c r="DA134" s="271"/>
      <c r="DB134" s="271">
        <v>489760241</v>
      </c>
      <c r="DC134" s="271"/>
      <c r="DD134" s="234">
        <f t="shared" si="32"/>
        <v>4240180623</v>
      </c>
      <c r="DE134" s="244">
        <f t="shared" si="28"/>
        <v>16068959904</v>
      </c>
    </row>
    <row r="135" spans="1:109" s="99" customFormat="1" ht="124.05" customHeight="1">
      <c r="A135" s="103" t="s">
        <v>1233</v>
      </c>
      <c r="B135" s="279" t="s">
        <v>9</v>
      </c>
      <c r="C135" s="279" t="s">
        <v>1701</v>
      </c>
      <c r="D135" s="279">
        <v>7</v>
      </c>
      <c r="E135" s="279" t="s">
        <v>203</v>
      </c>
      <c r="F135" s="280" t="s">
        <v>756</v>
      </c>
      <c r="G135" s="279" t="s">
        <v>3323</v>
      </c>
      <c r="H135" s="279">
        <v>11</v>
      </c>
      <c r="I135" s="279" t="s">
        <v>213</v>
      </c>
      <c r="J135" s="279" t="s">
        <v>214</v>
      </c>
      <c r="K135" s="279">
        <v>8.3699999999999992</v>
      </c>
      <c r="L135" s="279">
        <v>8.3699999999999992</v>
      </c>
      <c r="M135" s="279" t="s">
        <v>795</v>
      </c>
      <c r="N135" s="279" t="s">
        <v>796</v>
      </c>
      <c r="O135" s="279" t="s">
        <v>797</v>
      </c>
      <c r="P135" s="283">
        <v>125</v>
      </c>
      <c r="Q135" s="279" t="s">
        <v>3177</v>
      </c>
      <c r="R135" s="279" t="s">
        <v>803</v>
      </c>
      <c r="S135" s="279" t="s">
        <v>683</v>
      </c>
      <c r="T135" s="279">
        <v>87.3</v>
      </c>
      <c r="U135" s="267">
        <v>2.0299999999999998</v>
      </c>
      <c r="V135" s="267">
        <v>0.67</v>
      </c>
      <c r="W135" s="224">
        <v>2.6999999999999997</v>
      </c>
      <c r="X135" s="267">
        <v>0.5</v>
      </c>
      <c r="Y135" s="267">
        <v>0.5</v>
      </c>
      <c r="Z135" s="267">
        <v>0.5</v>
      </c>
      <c r="AA135" s="267">
        <v>0.5</v>
      </c>
      <c r="AB135" s="224">
        <v>2</v>
      </c>
      <c r="AC135" s="267">
        <v>0.25</v>
      </c>
      <c r="AD135" s="267">
        <v>0.25</v>
      </c>
      <c r="AE135" s="267">
        <v>0.25</v>
      </c>
      <c r="AF135" s="267">
        <v>0.25</v>
      </c>
      <c r="AG135" s="224">
        <v>1</v>
      </c>
      <c r="AH135" s="267">
        <v>0.5</v>
      </c>
      <c r="AI135" s="267">
        <v>0.5</v>
      </c>
      <c r="AJ135" s="267">
        <v>0.5</v>
      </c>
      <c r="AK135" s="267">
        <v>0.5</v>
      </c>
      <c r="AL135" s="224">
        <v>2</v>
      </c>
      <c r="AM135" s="104">
        <v>7.7</v>
      </c>
      <c r="AN135" s="103" t="s">
        <v>685</v>
      </c>
      <c r="AO135" s="103" t="s">
        <v>613</v>
      </c>
      <c r="AP135" s="103" t="s">
        <v>1214</v>
      </c>
      <c r="AQ135" s="103" t="s">
        <v>1194</v>
      </c>
      <c r="AR135" s="103" t="s">
        <v>938</v>
      </c>
      <c r="AS135" s="271"/>
      <c r="AT135" s="271"/>
      <c r="AU135" s="271"/>
      <c r="AV135" s="271"/>
      <c r="AW135" s="271">
        <v>711675909</v>
      </c>
      <c r="AX135" s="271"/>
      <c r="AY135" s="271"/>
      <c r="AZ135" s="271"/>
      <c r="BA135" s="271"/>
      <c r="BB135" s="271"/>
      <c r="BC135" s="271"/>
      <c r="BD135" s="271"/>
      <c r="BE135" s="271"/>
      <c r="BF135" s="271">
        <v>794484157</v>
      </c>
      <c r="BG135" s="271">
        <v>4000000000</v>
      </c>
      <c r="BH135" s="235">
        <f t="shared" si="29"/>
        <v>5506160066</v>
      </c>
      <c r="BI135" s="271"/>
      <c r="BJ135" s="271"/>
      <c r="BK135" s="271"/>
      <c r="BL135" s="271"/>
      <c r="BM135" s="271">
        <v>745002720</v>
      </c>
      <c r="BN135" s="271"/>
      <c r="BO135" s="271"/>
      <c r="BP135" s="271"/>
      <c r="BQ135" s="271"/>
      <c r="BR135" s="271"/>
      <c r="BS135" s="271"/>
      <c r="BT135" s="271"/>
      <c r="BU135" s="271"/>
      <c r="BV135" s="271">
        <v>818318682</v>
      </c>
      <c r="BW135" s="271"/>
      <c r="BX135" s="235">
        <f t="shared" si="30"/>
        <v>1563321402</v>
      </c>
      <c r="BY135" s="271"/>
      <c r="BZ135" s="271"/>
      <c r="CA135" s="271"/>
      <c r="CB135" s="271"/>
      <c r="CC135" s="271">
        <v>768294956</v>
      </c>
      <c r="CD135" s="271"/>
      <c r="CE135" s="271"/>
      <c r="CF135" s="271"/>
      <c r="CG135" s="271"/>
      <c r="CH135" s="271"/>
      <c r="CI135" s="271"/>
      <c r="CJ135" s="271"/>
      <c r="CK135" s="271"/>
      <c r="CL135" s="271">
        <v>842868242</v>
      </c>
      <c r="CM135" s="271">
        <v>7380957228.2914</v>
      </c>
      <c r="CN135" s="235">
        <f t="shared" si="31"/>
        <v>8992120426.2914009</v>
      </c>
      <c r="CO135" s="271"/>
      <c r="CP135" s="271"/>
      <c r="CQ135" s="271"/>
      <c r="CR135" s="271"/>
      <c r="CS135" s="271">
        <v>799026754</v>
      </c>
      <c r="CT135" s="271"/>
      <c r="CU135" s="271"/>
      <c r="CV135" s="271"/>
      <c r="CW135" s="271"/>
      <c r="CX135" s="271"/>
      <c r="CY135" s="271"/>
      <c r="CZ135" s="271"/>
      <c r="DA135" s="271"/>
      <c r="DB135" s="271">
        <v>868154291</v>
      </c>
      <c r="DC135" s="271"/>
      <c r="DD135" s="234">
        <f t="shared" si="32"/>
        <v>1667181045</v>
      </c>
      <c r="DE135" s="244">
        <f t="shared" si="28"/>
        <v>17728782939.291401</v>
      </c>
    </row>
    <row r="136" spans="1:109" s="99" customFormat="1" ht="124.05" customHeight="1">
      <c r="A136" s="103" t="s">
        <v>1233</v>
      </c>
      <c r="B136" s="279" t="s">
        <v>9</v>
      </c>
      <c r="C136" s="279" t="s">
        <v>1701</v>
      </c>
      <c r="D136" s="279">
        <v>7</v>
      </c>
      <c r="E136" s="279" t="s">
        <v>203</v>
      </c>
      <c r="F136" s="280" t="s">
        <v>756</v>
      </c>
      <c r="G136" s="279" t="s">
        <v>3323</v>
      </c>
      <c r="H136" s="279">
        <v>11</v>
      </c>
      <c r="I136" s="279" t="s">
        <v>213</v>
      </c>
      <c r="J136" s="279" t="s">
        <v>214</v>
      </c>
      <c r="K136" s="279">
        <v>8.3699999999999992</v>
      </c>
      <c r="L136" s="279">
        <v>8.3699999999999992</v>
      </c>
      <c r="M136" s="279" t="s">
        <v>795</v>
      </c>
      <c r="N136" s="279" t="s">
        <v>796</v>
      </c>
      <c r="O136" s="279" t="s">
        <v>797</v>
      </c>
      <c r="P136" s="283">
        <v>126</v>
      </c>
      <c r="Q136" s="279" t="s">
        <v>3178</v>
      </c>
      <c r="R136" s="279" t="s">
        <v>804</v>
      </c>
      <c r="S136" s="279" t="s">
        <v>683</v>
      </c>
      <c r="T136" s="279">
        <v>565</v>
      </c>
      <c r="U136" s="267">
        <v>200</v>
      </c>
      <c r="V136" s="267">
        <v>365</v>
      </c>
      <c r="W136" s="224">
        <v>565</v>
      </c>
      <c r="X136" s="267">
        <v>100</v>
      </c>
      <c r="Y136" s="267">
        <v>150</v>
      </c>
      <c r="Z136" s="267">
        <v>150</v>
      </c>
      <c r="AA136" s="267">
        <v>165</v>
      </c>
      <c r="AB136" s="224">
        <v>565</v>
      </c>
      <c r="AC136" s="267">
        <v>100</v>
      </c>
      <c r="AD136" s="267">
        <v>150</v>
      </c>
      <c r="AE136" s="267">
        <v>150</v>
      </c>
      <c r="AF136" s="267">
        <v>165</v>
      </c>
      <c r="AG136" s="224">
        <v>565</v>
      </c>
      <c r="AH136" s="267">
        <v>100</v>
      </c>
      <c r="AI136" s="267">
        <v>150</v>
      </c>
      <c r="AJ136" s="267">
        <v>150</v>
      </c>
      <c r="AK136" s="267">
        <v>165</v>
      </c>
      <c r="AL136" s="224">
        <v>565</v>
      </c>
      <c r="AM136" s="104">
        <v>565</v>
      </c>
      <c r="AN136" s="103" t="s">
        <v>686</v>
      </c>
      <c r="AO136" s="103" t="s">
        <v>613</v>
      </c>
      <c r="AP136" s="103" t="s">
        <v>1214</v>
      </c>
      <c r="AQ136" s="103" t="s">
        <v>1194</v>
      </c>
      <c r="AR136" s="103" t="s">
        <v>938</v>
      </c>
      <c r="AS136" s="271"/>
      <c r="AT136" s="271"/>
      <c r="AU136" s="271"/>
      <c r="AV136" s="271"/>
      <c r="AW136" s="271">
        <v>216827116</v>
      </c>
      <c r="AX136" s="271"/>
      <c r="AY136" s="271"/>
      <c r="AZ136" s="271"/>
      <c r="BA136" s="271"/>
      <c r="BB136" s="271"/>
      <c r="BC136" s="271"/>
      <c r="BD136" s="271"/>
      <c r="BE136" s="271"/>
      <c r="BF136" s="271">
        <v>165604677</v>
      </c>
      <c r="BG136" s="271"/>
      <c r="BH136" s="235">
        <f t="shared" si="29"/>
        <v>382431793</v>
      </c>
      <c r="BI136" s="271"/>
      <c r="BJ136" s="271"/>
      <c r="BK136" s="271"/>
      <c r="BL136" s="271"/>
      <c r="BM136" s="271">
        <v>226980834</v>
      </c>
      <c r="BN136" s="271"/>
      <c r="BO136" s="271"/>
      <c r="BP136" s="271"/>
      <c r="BQ136" s="271"/>
      <c r="BR136" s="271"/>
      <c r="BS136" s="271"/>
      <c r="BT136" s="271"/>
      <c r="BU136" s="271"/>
      <c r="BV136" s="271">
        <v>170572817</v>
      </c>
      <c r="BW136" s="271"/>
      <c r="BX136" s="235">
        <f t="shared" si="30"/>
        <v>397553651</v>
      </c>
      <c r="BY136" s="271"/>
      <c r="BZ136" s="271"/>
      <c r="CA136" s="271"/>
      <c r="CB136" s="271"/>
      <c r="CC136" s="271">
        <v>164077306</v>
      </c>
      <c r="CD136" s="271"/>
      <c r="CE136" s="271"/>
      <c r="CF136" s="271"/>
      <c r="CG136" s="271"/>
      <c r="CH136" s="271"/>
      <c r="CI136" s="271"/>
      <c r="CJ136" s="271"/>
      <c r="CK136" s="271"/>
      <c r="CL136" s="271">
        <v>175690002</v>
      </c>
      <c r="CM136" s="271"/>
      <c r="CN136" s="235">
        <f t="shared" si="31"/>
        <v>339767308</v>
      </c>
      <c r="CO136" s="271"/>
      <c r="CP136" s="271"/>
      <c r="CQ136" s="271"/>
      <c r="CR136" s="271"/>
      <c r="CS136" s="271">
        <v>170440398</v>
      </c>
      <c r="CT136" s="271"/>
      <c r="CU136" s="271"/>
      <c r="CV136" s="271"/>
      <c r="CW136" s="271"/>
      <c r="CX136" s="271"/>
      <c r="CY136" s="271"/>
      <c r="CZ136" s="271"/>
      <c r="DA136" s="271"/>
      <c r="DB136" s="271">
        <v>180960702</v>
      </c>
      <c r="DC136" s="271"/>
      <c r="DD136" s="234">
        <f t="shared" si="32"/>
        <v>351401100</v>
      </c>
      <c r="DE136" s="244">
        <f t="shared" si="28"/>
        <v>1471153852</v>
      </c>
    </row>
    <row r="137" spans="1:109" s="99" customFormat="1" ht="124.05" customHeight="1">
      <c r="A137" s="103" t="s">
        <v>1233</v>
      </c>
      <c r="B137" s="279" t="s">
        <v>9</v>
      </c>
      <c r="C137" s="279" t="s">
        <v>1701</v>
      </c>
      <c r="D137" s="279">
        <v>7</v>
      </c>
      <c r="E137" s="279" t="s">
        <v>203</v>
      </c>
      <c r="F137" s="280" t="s">
        <v>756</v>
      </c>
      <c r="G137" s="279" t="s">
        <v>3323</v>
      </c>
      <c r="H137" s="279">
        <v>11</v>
      </c>
      <c r="I137" s="279" t="s">
        <v>213</v>
      </c>
      <c r="J137" s="279" t="s">
        <v>214</v>
      </c>
      <c r="K137" s="279">
        <v>8.3699999999999992</v>
      </c>
      <c r="L137" s="279">
        <v>8.3699999999999992</v>
      </c>
      <c r="M137" s="279" t="s">
        <v>795</v>
      </c>
      <c r="N137" s="279" t="s">
        <v>796</v>
      </c>
      <c r="O137" s="279" t="s">
        <v>797</v>
      </c>
      <c r="P137" s="283">
        <v>127</v>
      </c>
      <c r="Q137" s="279" t="s">
        <v>3179</v>
      </c>
      <c r="R137" s="279" t="s">
        <v>804</v>
      </c>
      <c r="S137" s="279" t="s">
        <v>683</v>
      </c>
      <c r="T137" s="279">
        <v>565</v>
      </c>
      <c r="U137" s="267"/>
      <c r="V137" s="267"/>
      <c r="W137" s="224">
        <v>0</v>
      </c>
      <c r="X137" s="267"/>
      <c r="Y137" s="267"/>
      <c r="Z137" s="267"/>
      <c r="AA137" s="267"/>
      <c r="AB137" s="224">
        <v>0</v>
      </c>
      <c r="AC137" s="267">
        <v>5</v>
      </c>
      <c r="AD137" s="267">
        <v>10</v>
      </c>
      <c r="AE137" s="267">
        <v>10</v>
      </c>
      <c r="AF137" s="267">
        <v>10</v>
      </c>
      <c r="AG137" s="224">
        <v>35</v>
      </c>
      <c r="AH137" s="267">
        <v>15</v>
      </c>
      <c r="AI137" s="267">
        <v>25</v>
      </c>
      <c r="AJ137" s="267">
        <v>25</v>
      </c>
      <c r="AK137" s="267">
        <v>35</v>
      </c>
      <c r="AL137" s="224">
        <v>100</v>
      </c>
      <c r="AM137" s="104">
        <v>135</v>
      </c>
      <c r="AN137" s="103" t="s">
        <v>685</v>
      </c>
      <c r="AO137" s="103" t="s">
        <v>613</v>
      </c>
      <c r="AP137" s="103" t="s">
        <v>1214</v>
      </c>
      <c r="AQ137" s="103" t="s">
        <v>1194</v>
      </c>
      <c r="AR137" s="103" t="s">
        <v>938</v>
      </c>
      <c r="AS137" s="271"/>
      <c r="AT137" s="271"/>
      <c r="AU137" s="271"/>
      <c r="AV137" s="271"/>
      <c r="AW137" s="271"/>
      <c r="AX137" s="271"/>
      <c r="AY137" s="271"/>
      <c r="AZ137" s="271"/>
      <c r="BA137" s="271"/>
      <c r="BB137" s="271"/>
      <c r="BC137" s="271"/>
      <c r="BD137" s="271"/>
      <c r="BE137" s="271"/>
      <c r="BF137" s="271"/>
      <c r="BG137" s="271"/>
      <c r="BH137" s="235">
        <f t="shared" si="29"/>
        <v>0</v>
      </c>
      <c r="BI137" s="271"/>
      <c r="BJ137" s="271"/>
      <c r="BK137" s="271"/>
      <c r="BL137" s="271"/>
      <c r="BM137" s="271"/>
      <c r="BN137" s="271"/>
      <c r="BO137" s="271"/>
      <c r="BP137" s="271"/>
      <c r="BQ137" s="271"/>
      <c r="BR137" s="271"/>
      <c r="BS137" s="271"/>
      <c r="BT137" s="271"/>
      <c r="BU137" s="271"/>
      <c r="BV137" s="271"/>
      <c r="BW137" s="271"/>
      <c r="BX137" s="235">
        <f t="shared" si="30"/>
        <v>0</v>
      </c>
      <c r="BY137" s="271"/>
      <c r="BZ137" s="271"/>
      <c r="CA137" s="271"/>
      <c r="CB137" s="271"/>
      <c r="CC137" s="271">
        <v>70000000</v>
      </c>
      <c r="CD137" s="271"/>
      <c r="CE137" s="271"/>
      <c r="CF137" s="271"/>
      <c r="CG137" s="271"/>
      <c r="CH137" s="271"/>
      <c r="CI137" s="271"/>
      <c r="CJ137" s="271"/>
      <c r="CK137" s="271"/>
      <c r="CL137" s="271"/>
      <c r="CM137" s="271"/>
      <c r="CN137" s="235">
        <f t="shared" si="31"/>
        <v>70000000</v>
      </c>
      <c r="CO137" s="271"/>
      <c r="CP137" s="271"/>
      <c r="CQ137" s="271"/>
      <c r="CR137" s="271"/>
      <c r="CS137" s="271">
        <v>73000000</v>
      </c>
      <c r="CT137" s="271"/>
      <c r="CU137" s="271"/>
      <c r="CV137" s="271"/>
      <c r="CW137" s="271"/>
      <c r="CX137" s="271"/>
      <c r="CY137" s="271"/>
      <c r="CZ137" s="271"/>
      <c r="DA137" s="271"/>
      <c r="DB137" s="271"/>
      <c r="DC137" s="271"/>
      <c r="DD137" s="234">
        <f t="shared" si="32"/>
        <v>73000000</v>
      </c>
      <c r="DE137" s="244">
        <f t="shared" si="28"/>
        <v>143000000</v>
      </c>
    </row>
    <row r="138" spans="1:109" s="99" customFormat="1" ht="124.05" customHeight="1">
      <c r="A138" s="103" t="s">
        <v>1233</v>
      </c>
      <c r="B138" s="279" t="s">
        <v>9</v>
      </c>
      <c r="C138" s="279" t="s">
        <v>1701</v>
      </c>
      <c r="D138" s="279">
        <v>7</v>
      </c>
      <c r="E138" s="279" t="s">
        <v>203</v>
      </c>
      <c r="F138" s="280" t="s">
        <v>756</v>
      </c>
      <c r="G138" s="279" t="s">
        <v>3323</v>
      </c>
      <c r="H138" s="279">
        <v>11</v>
      </c>
      <c r="I138" s="279" t="s">
        <v>213</v>
      </c>
      <c r="J138" s="279" t="s">
        <v>214</v>
      </c>
      <c r="K138" s="279">
        <v>8.3699999999999992</v>
      </c>
      <c r="L138" s="279">
        <v>8.3699999999999992</v>
      </c>
      <c r="M138" s="279" t="s">
        <v>795</v>
      </c>
      <c r="N138" s="279" t="s">
        <v>796</v>
      </c>
      <c r="O138" s="279" t="s">
        <v>797</v>
      </c>
      <c r="P138" s="283">
        <v>128</v>
      </c>
      <c r="Q138" s="279" t="s">
        <v>3180</v>
      </c>
      <c r="R138" s="279" t="s">
        <v>805</v>
      </c>
      <c r="S138" s="279" t="s">
        <v>683</v>
      </c>
      <c r="T138" s="279">
        <v>1</v>
      </c>
      <c r="U138" s="267"/>
      <c r="V138" s="267">
        <v>1</v>
      </c>
      <c r="W138" s="224">
        <v>1</v>
      </c>
      <c r="X138" s="267"/>
      <c r="Y138" s="267">
        <v>1</v>
      </c>
      <c r="Z138" s="267">
        <v>1</v>
      </c>
      <c r="AA138" s="267">
        <v>1</v>
      </c>
      <c r="AB138" s="224">
        <v>3</v>
      </c>
      <c r="AC138" s="267"/>
      <c r="AD138" s="267">
        <v>1</v>
      </c>
      <c r="AE138" s="267">
        <v>1</v>
      </c>
      <c r="AF138" s="267">
        <v>1</v>
      </c>
      <c r="AG138" s="224">
        <v>3</v>
      </c>
      <c r="AH138" s="267"/>
      <c r="AI138" s="267">
        <v>1</v>
      </c>
      <c r="AJ138" s="267">
        <v>1</v>
      </c>
      <c r="AK138" s="267">
        <v>1</v>
      </c>
      <c r="AL138" s="224">
        <v>3</v>
      </c>
      <c r="AM138" s="104">
        <v>10</v>
      </c>
      <c r="AN138" s="103" t="s">
        <v>685</v>
      </c>
      <c r="AO138" s="103" t="s">
        <v>613</v>
      </c>
      <c r="AP138" s="103" t="s">
        <v>1214</v>
      </c>
      <c r="AQ138" s="103" t="s">
        <v>1194</v>
      </c>
      <c r="AR138" s="103" t="s">
        <v>938</v>
      </c>
      <c r="AS138" s="271"/>
      <c r="AT138" s="271"/>
      <c r="AU138" s="271"/>
      <c r="AV138" s="271"/>
      <c r="AW138" s="271">
        <v>122000000</v>
      </c>
      <c r="AX138" s="271"/>
      <c r="AY138" s="271"/>
      <c r="AZ138" s="271"/>
      <c r="BA138" s="271"/>
      <c r="BB138" s="271"/>
      <c r="BC138" s="271"/>
      <c r="BD138" s="271"/>
      <c r="BE138" s="271"/>
      <c r="BF138" s="271"/>
      <c r="BG138" s="271"/>
      <c r="BH138" s="235">
        <f t="shared" si="29"/>
        <v>122000000</v>
      </c>
      <c r="BI138" s="271"/>
      <c r="BJ138" s="271"/>
      <c r="BK138" s="271"/>
      <c r="BL138" s="271"/>
      <c r="BM138" s="271">
        <v>127713093</v>
      </c>
      <c r="BN138" s="271"/>
      <c r="BO138" s="271"/>
      <c r="BP138" s="271"/>
      <c r="BQ138" s="271"/>
      <c r="BR138" s="271"/>
      <c r="BS138" s="271"/>
      <c r="BT138" s="271"/>
      <c r="BU138" s="271"/>
      <c r="BV138" s="271"/>
      <c r="BW138" s="271"/>
      <c r="BX138" s="235">
        <f t="shared" si="30"/>
        <v>127713093</v>
      </c>
      <c r="BY138" s="271"/>
      <c r="BZ138" s="271"/>
      <c r="CA138" s="271"/>
      <c r="CB138" s="271"/>
      <c r="CC138" s="271">
        <v>131705996</v>
      </c>
      <c r="CD138" s="271"/>
      <c r="CE138" s="271"/>
      <c r="CF138" s="271"/>
      <c r="CG138" s="271"/>
      <c r="CH138" s="271"/>
      <c r="CI138" s="271"/>
      <c r="CJ138" s="271"/>
      <c r="CK138" s="271"/>
      <c r="CL138" s="271"/>
      <c r="CM138" s="271"/>
      <c r="CN138" s="235">
        <f t="shared" si="31"/>
        <v>131705996</v>
      </c>
      <c r="CO138" s="271"/>
      <c r="CP138" s="271"/>
      <c r="CQ138" s="271"/>
      <c r="CR138" s="271"/>
      <c r="CS138" s="271">
        <v>136974236</v>
      </c>
      <c r="CT138" s="271"/>
      <c r="CU138" s="271"/>
      <c r="CV138" s="271"/>
      <c r="CW138" s="271"/>
      <c r="CX138" s="271"/>
      <c r="CY138" s="271"/>
      <c r="CZ138" s="271"/>
      <c r="DA138" s="271"/>
      <c r="DB138" s="271"/>
      <c r="DC138" s="271"/>
      <c r="DD138" s="234">
        <f t="shared" si="32"/>
        <v>136974236</v>
      </c>
      <c r="DE138" s="244">
        <f t="shared" si="28"/>
        <v>518393325</v>
      </c>
    </row>
    <row r="139" spans="1:109" s="99" customFormat="1" ht="124.05" customHeight="1">
      <c r="A139" s="103" t="s">
        <v>1233</v>
      </c>
      <c r="B139" s="279" t="s">
        <v>9</v>
      </c>
      <c r="C139" s="279" t="s">
        <v>1701</v>
      </c>
      <c r="D139" s="279">
        <v>7</v>
      </c>
      <c r="E139" s="279" t="s">
        <v>203</v>
      </c>
      <c r="F139" s="280" t="s">
        <v>756</v>
      </c>
      <c r="G139" s="279" t="s">
        <v>3323</v>
      </c>
      <c r="H139" s="279">
        <v>11</v>
      </c>
      <c r="I139" s="279" t="s">
        <v>213</v>
      </c>
      <c r="J139" s="279" t="s">
        <v>214</v>
      </c>
      <c r="K139" s="279">
        <v>8.3699999999999992</v>
      </c>
      <c r="L139" s="279">
        <v>8.3699999999999992</v>
      </c>
      <c r="M139" s="279" t="s">
        <v>795</v>
      </c>
      <c r="N139" s="279" t="s">
        <v>796</v>
      </c>
      <c r="O139" s="279" t="s">
        <v>797</v>
      </c>
      <c r="P139" s="283">
        <v>129</v>
      </c>
      <c r="Q139" s="279" t="s">
        <v>3181</v>
      </c>
      <c r="R139" s="279" t="s">
        <v>806</v>
      </c>
      <c r="S139" s="279" t="s">
        <v>683</v>
      </c>
      <c r="T139" s="279">
        <v>41</v>
      </c>
      <c r="U139" s="267">
        <v>6</v>
      </c>
      <c r="V139" s="267">
        <v>9</v>
      </c>
      <c r="W139" s="224">
        <v>15</v>
      </c>
      <c r="X139" s="267">
        <v>3</v>
      </c>
      <c r="Y139" s="267">
        <v>4</v>
      </c>
      <c r="Z139" s="267">
        <v>4</v>
      </c>
      <c r="AA139" s="267">
        <v>4</v>
      </c>
      <c r="AB139" s="224">
        <v>15</v>
      </c>
      <c r="AC139" s="267">
        <v>3</v>
      </c>
      <c r="AD139" s="267">
        <v>4</v>
      </c>
      <c r="AE139" s="267">
        <v>4</v>
      </c>
      <c r="AF139" s="267">
        <v>4</v>
      </c>
      <c r="AG139" s="224">
        <v>15</v>
      </c>
      <c r="AH139" s="267">
        <v>3</v>
      </c>
      <c r="AI139" s="267">
        <v>4</v>
      </c>
      <c r="AJ139" s="267">
        <v>4</v>
      </c>
      <c r="AK139" s="267">
        <v>4</v>
      </c>
      <c r="AL139" s="224">
        <v>15</v>
      </c>
      <c r="AM139" s="104">
        <v>60</v>
      </c>
      <c r="AN139" s="103" t="s">
        <v>685</v>
      </c>
      <c r="AO139" s="103" t="s">
        <v>613</v>
      </c>
      <c r="AP139" s="103" t="s">
        <v>1214</v>
      </c>
      <c r="AQ139" s="103" t="s">
        <v>1194</v>
      </c>
      <c r="AR139" s="103" t="s">
        <v>938</v>
      </c>
      <c r="AS139" s="271"/>
      <c r="AT139" s="271"/>
      <c r="AU139" s="271"/>
      <c r="AV139" s="271"/>
      <c r="AW139" s="271">
        <v>102522400</v>
      </c>
      <c r="AX139" s="271"/>
      <c r="AY139" s="271"/>
      <c r="AZ139" s="271"/>
      <c r="BA139" s="271"/>
      <c r="BB139" s="271"/>
      <c r="BC139" s="271"/>
      <c r="BD139" s="271"/>
      <c r="BE139" s="271"/>
      <c r="BF139" s="271"/>
      <c r="BG139" s="271"/>
      <c r="BH139" s="235">
        <f t="shared" si="29"/>
        <v>102522400</v>
      </c>
      <c r="BI139" s="271"/>
      <c r="BJ139" s="271"/>
      <c r="BK139" s="271"/>
      <c r="BL139" s="271"/>
      <c r="BM139" s="271">
        <v>107323384</v>
      </c>
      <c r="BN139" s="271"/>
      <c r="BO139" s="271"/>
      <c r="BP139" s="271"/>
      <c r="BQ139" s="271"/>
      <c r="BR139" s="271"/>
      <c r="BS139" s="271"/>
      <c r="BT139" s="271"/>
      <c r="BU139" s="271"/>
      <c r="BV139" s="271"/>
      <c r="BW139" s="271"/>
      <c r="BX139" s="235">
        <f t="shared" si="30"/>
        <v>107323384</v>
      </c>
      <c r="BY139" s="271"/>
      <c r="BZ139" s="271"/>
      <c r="CA139" s="271"/>
      <c r="CB139" s="271"/>
      <c r="CC139" s="271">
        <v>110678810</v>
      </c>
      <c r="CD139" s="271"/>
      <c r="CE139" s="271"/>
      <c r="CF139" s="271"/>
      <c r="CG139" s="271"/>
      <c r="CH139" s="271"/>
      <c r="CI139" s="271"/>
      <c r="CJ139" s="271"/>
      <c r="CK139" s="271"/>
      <c r="CL139" s="271"/>
      <c r="CM139" s="271"/>
      <c r="CN139" s="235">
        <f t="shared" si="31"/>
        <v>110678810</v>
      </c>
      <c r="CO139" s="271"/>
      <c r="CP139" s="271"/>
      <c r="CQ139" s="271"/>
      <c r="CR139" s="271"/>
      <c r="CS139" s="271">
        <v>115105963</v>
      </c>
      <c r="CT139" s="271"/>
      <c r="CU139" s="271"/>
      <c r="CV139" s="271"/>
      <c r="CW139" s="271"/>
      <c r="CX139" s="271"/>
      <c r="CY139" s="271"/>
      <c r="CZ139" s="271"/>
      <c r="DA139" s="271"/>
      <c r="DB139" s="271"/>
      <c r="DC139" s="271"/>
      <c r="DD139" s="234">
        <f t="shared" si="32"/>
        <v>115105963</v>
      </c>
      <c r="DE139" s="244">
        <f t="shared" si="28"/>
        <v>435630557</v>
      </c>
    </row>
    <row r="140" spans="1:109" s="99" customFormat="1" ht="124.05" customHeight="1">
      <c r="A140" s="103" t="s">
        <v>1233</v>
      </c>
      <c r="B140" s="279" t="s">
        <v>9</v>
      </c>
      <c r="C140" s="279" t="s">
        <v>1701</v>
      </c>
      <c r="D140" s="279">
        <v>7</v>
      </c>
      <c r="E140" s="279" t="s">
        <v>203</v>
      </c>
      <c r="F140" s="280" t="s">
        <v>756</v>
      </c>
      <c r="G140" s="279" t="s">
        <v>3323</v>
      </c>
      <c r="H140" s="279">
        <v>11</v>
      </c>
      <c r="I140" s="279" t="s">
        <v>213</v>
      </c>
      <c r="J140" s="279" t="s">
        <v>214</v>
      </c>
      <c r="K140" s="279">
        <v>8.3699999999999992</v>
      </c>
      <c r="L140" s="279">
        <v>8.3699999999999992</v>
      </c>
      <c r="M140" s="279" t="s">
        <v>795</v>
      </c>
      <c r="N140" s="279" t="s">
        <v>796</v>
      </c>
      <c r="O140" s="279" t="s">
        <v>797</v>
      </c>
      <c r="P140" s="283">
        <v>130</v>
      </c>
      <c r="Q140" s="279" t="s">
        <v>3342</v>
      </c>
      <c r="R140" s="279" t="s">
        <v>807</v>
      </c>
      <c r="S140" s="279" t="s">
        <v>683</v>
      </c>
      <c r="T140" s="279">
        <v>85</v>
      </c>
      <c r="U140" s="267">
        <v>35</v>
      </c>
      <c r="V140" s="267">
        <v>50</v>
      </c>
      <c r="W140" s="224">
        <v>85</v>
      </c>
      <c r="X140" s="267">
        <v>10</v>
      </c>
      <c r="Y140" s="267">
        <v>20</v>
      </c>
      <c r="Z140" s="267">
        <v>25</v>
      </c>
      <c r="AA140" s="267">
        <v>30</v>
      </c>
      <c r="AB140" s="224">
        <v>85</v>
      </c>
      <c r="AC140" s="267">
        <v>10</v>
      </c>
      <c r="AD140" s="267">
        <v>20</v>
      </c>
      <c r="AE140" s="267">
        <v>25</v>
      </c>
      <c r="AF140" s="267">
        <v>30</v>
      </c>
      <c r="AG140" s="224">
        <v>85</v>
      </c>
      <c r="AH140" s="267">
        <v>10</v>
      </c>
      <c r="AI140" s="267">
        <v>20</v>
      </c>
      <c r="AJ140" s="267">
        <v>25</v>
      </c>
      <c r="AK140" s="267">
        <v>30</v>
      </c>
      <c r="AL140" s="224">
        <v>85</v>
      </c>
      <c r="AM140" s="104">
        <v>85</v>
      </c>
      <c r="AN140" s="103" t="s">
        <v>686</v>
      </c>
      <c r="AO140" s="103" t="s">
        <v>613</v>
      </c>
      <c r="AP140" s="103" t="s">
        <v>1214</v>
      </c>
      <c r="AQ140" s="103" t="s">
        <v>1194</v>
      </c>
      <c r="AR140" s="103" t="s">
        <v>938</v>
      </c>
      <c r="AS140" s="271"/>
      <c r="AT140" s="271">
        <v>987975000</v>
      </c>
      <c r="AU140" s="271"/>
      <c r="AV140" s="271"/>
      <c r="AW140" s="271">
        <v>8510277890</v>
      </c>
      <c r="AX140" s="271"/>
      <c r="AY140" s="271"/>
      <c r="AZ140" s="271"/>
      <c r="BA140" s="271"/>
      <c r="BB140" s="271"/>
      <c r="BC140" s="271"/>
      <c r="BD140" s="271"/>
      <c r="BE140" s="271"/>
      <c r="BF140" s="271">
        <v>13882746672</v>
      </c>
      <c r="BG140" s="271"/>
      <c r="BH140" s="235">
        <f t="shared" si="29"/>
        <v>23380999562</v>
      </c>
      <c r="BI140" s="271"/>
      <c r="BJ140" s="271"/>
      <c r="BK140" s="271"/>
      <c r="BL140" s="271"/>
      <c r="BM140" s="271">
        <v>8908802586</v>
      </c>
      <c r="BN140" s="271"/>
      <c r="BO140" s="271"/>
      <c r="BP140" s="271"/>
      <c r="BQ140" s="271"/>
      <c r="BR140" s="271"/>
      <c r="BS140" s="271"/>
      <c r="BT140" s="271"/>
      <c r="BU140" s="271"/>
      <c r="BV140" s="271">
        <v>14299228072</v>
      </c>
      <c r="BW140" s="271"/>
      <c r="BX140" s="235">
        <f t="shared" si="30"/>
        <v>23208030658</v>
      </c>
      <c r="BY140" s="271"/>
      <c r="BZ140" s="271"/>
      <c r="CA140" s="271"/>
      <c r="CB140" s="271"/>
      <c r="CC140" s="271">
        <v>9187333017</v>
      </c>
      <c r="CD140" s="271"/>
      <c r="CE140" s="271"/>
      <c r="CF140" s="271"/>
      <c r="CG140" s="271"/>
      <c r="CH140" s="271"/>
      <c r="CI140" s="271"/>
      <c r="CJ140" s="271"/>
      <c r="CK140" s="271"/>
      <c r="CL140" s="271">
        <v>14728204914.16</v>
      </c>
      <c r="CM140" s="271"/>
      <c r="CN140" s="235">
        <f t="shared" si="31"/>
        <v>23915537931.16</v>
      </c>
      <c r="CO140" s="271"/>
      <c r="CP140" s="271"/>
      <c r="CQ140" s="271"/>
      <c r="CR140" s="271"/>
      <c r="CS140" s="271">
        <v>9554826338</v>
      </c>
      <c r="CT140" s="271"/>
      <c r="CU140" s="271"/>
      <c r="CV140" s="271"/>
      <c r="CW140" s="271"/>
      <c r="CX140" s="271"/>
      <c r="CY140" s="271"/>
      <c r="CZ140" s="271"/>
      <c r="DA140" s="271"/>
      <c r="DB140" s="271">
        <v>15170052123.9907</v>
      </c>
      <c r="DC140" s="271"/>
      <c r="DD140" s="234">
        <f t="shared" si="32"/>
        <v>24724878461.9907</v>
      </c>
      <c r="DE140" s="244">
        <f t="shared" si="28"/>
        <v>95229446613.150696</v>
      </c>
    </row>
    <row r="141" spans="1:109" s="99" customFormat="1" ht="124.05" customHeight="1">
      <c r="A141" s="103" t="s">
        <v>1233</v>
      </c>
      <c r="B141" s="279" t="s">
        <v>9</v>
      </c>
      <c r="C141" s="279" t="s">
        <v>1701</v>
      </c>
      <c r="D141" s="279">
        <v>7</v>
      </c>
      <c r="E141" s="279" t="s">
        <v>203</v>
      </c>
      <c r="F141" s="280" t="s">
        <v>756</v>
      </c>
      <c r="G141" s="279" t="s">
        <v>3323</v>
      </c>
      <c r="H141" s="279">
        <v>11</v>
      </c>
      <c r="I141" s="279" t="s">
        <v>213</v>
      </c>
      <c r="J141" s="279" t="s">
        <v>214</v>
      </c>
      <c r="K141" s="279">
        <v>8.3699999999999992</v>
      </c>
      <c r="L141" s="279">
        <v>8.3699999999999992</v>
      </c>
      <c r="M141" s="279" t="s">
        <v>795</v>
      </c>
      <c r="N141" s="279" t="s">
        <v>796</v>
      </c>
      <c r="O141" s="279" t="s">
        <v>797</v>
      </c>
      <c r="P141" s="283">
        <v>131</v>
      </c>
      <c r="Q141" s="279" t="s">
        <v>3343</v>
      </c>
      <c r="R141" s="279" t="s">
        <v>808</v>
      </c>
      <c r="S141" s="279" t="s">
        <v>683</v>
      </c>
      <c r="T141" s="279">
        <v>14</v>
      </c>
      <c r="U141" s="267"/>
      <c r="V141" s="267">
        <v>1</v>
      </c>
      <c r="W141" s="224">
        <v>1</v>
      </c>
      <c r="X141" s="267">
        <v>0.25</v>
      </c>
      <c r="Y141" s="267">
        <v>0.25</v>
      </c>
      <c r="Z141" s="267">
        <v>0.25</v>
      </c>
      <c r="AA141" s="267">
        <v>0.25</v>
      </c>
      <c r="AB141" s="224">
        <v>1</v>
      </c>
      <c r="AC141" s="267">
        <v>0.25</v>
      </c>
      <c r="AD141" s="267">
        <v>0.25</v>
      </c>
      <c r="AE141" s="267">
        <v>0.25</v>
      </c>
      <c r="AF141" s="267">
        <v>0.25</v>
      </c>
      <c r="AG141" s="224">
        <v>1</v>
      </c>
      <c r="AH141" s="267">
        <v>0.25</v>
      </c>
      <c r="AI141" s="267">
        <v>0.25</v>
      </c>
      <c r="AJ141" s="267">
        <v>0.25</v>
      </c>
      <c r="AK141" s="267">
        <v>0.25</v>
      </c>
      <c r="AL141" s="224">
        <v>1</v>
      </c>
      <c r="AM141" s="104">
        <v>4</v>
      </c>
      <c r="AN141" s="103" t="s">
        <v>685</v>
      </c>
      <c r="AO141" s="103" t="s">
        <v>613</v>
      </c>
      <c r="AP141" s="103" t="s">
        <v>1214</v>
      </c>
      <c r="AQ141" s="103" t="s">
        <v>1194</v>
      </c>
      <c r="AR141" s="103" t="s">
        <v>938</v>
      </c>
      <c r="AS141" s="271"/>
      <c r="AT141" s="271"/>
      <c r="AU141" s="271"/>
      <c r="AV141" s="271"/>
      <c r="AW141" s="271">
        <v>89454600</v>
      </c>
      <c r="AX141" s="271"/>
      <c r="AY141" s="271"/>
      <c r="AZ141" s="271"/>
      <c r="BA141" s="271"/>
      <c r="BB141" s="271"/>
      <c r="BC141" s="271"/>
      <c r="BD141" s="271"/>
      <c r="BE141" s="271"/>
      <c r="BF141" s="271"/>
      <c r="BG141" s="271"/>
      <c r="BH141" s="235">
        <f t="shared" si="29"/>
        <v>89454600</v>
      </c>
      <c r="BI141" s="271"/>
      <c r="BJ141" s="271"/>
      <c r="BK141" s="271"/>
      <c r="BL141" s="271"/>
      <c r="BM141" s="271">
        <v>93643637</v>
      </c>
      <c r="BN141" s="271"/>
      <c r="BO141" s="271"/>
      <c r="BP141" s="271"/>
      <c r="BQ141" s="271"/>
      <c r="BR141" s="271"/>
      <c r="BS141" s="271"/>
      <c r="BT141" s="271"/>
      <c r="BU141" s="271"/>
      <c r="BV141" s="271"/>
      <c r="BW141" s="271"/>
      <c r="BX141" s="235">
        <f t="shared" si="30"/>
        <v>93643637</v>
      </c>
      <c r="BY141" s="271"/>
      <c r="BZ141" s="271"/>
      <c r="CA141" s="271"/>
      <c r="CB141" s="271"/>
      <c r="CC141" s="271">
        <v>96571371</v>
      </c>
      <c r="CD141" s="271"/>
      <c r="CE141" s="271"/>
      <c r="CF141" s="271"/>
      <c r="CG141" s="271"/>
      <c r="CH141" s="271"/>
      <c r="CI141" s="271"/>
      <c r="CJ141" s="271"/>
      <c r="CK141" s="271"/>
      <c r="CL141" s="271"/>
      <c r="CM141" s="271"/>
      <c r="CN141" s="235">
        <f t="shared" si="31"/>
        <v>96571371</v>
      </c>
      <c r="CO141" s="271"/>
      <c r="CP141" s="271"/>
      <c r="CQ141" s="271"/>
      <c r="CR141" s="271"/>
      <c r="CS141" s="271">
        <v>100434225</v>
      </c>
      <c r="CT141" s="271"/>
      <c r="CU141" s="271"/>
      <c r="CV141" s="271"/>
      <c r="CW141" s="271"/>
      <c r="CX141" s="271"/>
      <c r="CY141" s="271"/>
      <c r="CZ141" s="271"/>
      <c r="DA141" s="271"/>
      <c r="DB141" s="271"/>
      <c r="DC141" s="271"/>
      <c r="DD141" s="234">
        <f t="shared" si="32"/>
        <v>100434225</v>
      </c>
      <c r="DE141" s="244">
        <f t="shared" si="28"/>
        <v>380103833</v>
      </c>
    </row>
    <row r="142" spans="1:109" s="99" customFormat="1" ht="124.05" customHeight="1">
      <c r="A142" s="103" t="s">
        <v>1233</v>
      </c>
      <c r="B142" s="279" t="s">
        <v>9</v>
      </c>
      <c r="C142" s="279" t="s">
        <v>1701</v>
      </c>
      <c r="D142" s="279">
        <v>7</v>
      </c>
      <c r="E142" s="279" t="s">
        <v>203</v>
      </c>
      <c r="F142" s="280" t="s">
        <v>756</v>
      </c>
      <c r="G142" s="279" t="s">
        <v>3323</v>
      </c>
      <c r="H142" s="279">
        <v>11</v>
      </c>
      <c r="I142" s="279" t="s">
        <v>213</v>
      </c>
      <c r="J142" s="279" t="s">
        <v>214</v>
      </c>
      <c r="K142" s="279">
        <v>8.3699999999999992</v>
      </c>
      <c r="L142" s="279">
        <v>8.3699999999999992</v>
      </c>
      <c r="M142" s="279" t="s">
        <v>795</v>
      </c>
      <c r="N142" s="279" t="s">
        <v>796</v>
      </c>
      <c r="O142" s="279" t="s">
        <v>797</v>
      </c>
      <c r="P142" s="283">
        <v>132</v>
      </c>
      <c r="Q142" s="279" t="s">
        <v>3182</v>
      </c>
      <c r="R142" s="279" t="s">
        <v>809</v>
      </c>
      <c r="S142" s="279" t="s">
        <v>683</v>
      </c>
      <c r="T142" s="279">
        <v>415</v>
      </c>
      <c r="U142" s="267">
        <v>2</v>
      </c>
      <c r="V142" s="267">
        <v>28</v>
      </c>
      <c r="W142" s="224">
        <v>30</v>
      </c>
      <c r="X142" s="267">
        <v>5</v>
      </c>
      <c r="Y142" s="267">
        <v>10</v>
      </c>
      <c r="Z142" s="267">
        <v>8</v>
      </c>
      <c r="AA142" s="267">
        <v>7</v>
      </c>
      <c r="AB142" s="224">
        <v>30</v>
      </c>
      <c r="AC142" s="267">
        <v>5</v>
      </c>
      <c r="AD142" s="267">
        <v>10</v>
      </c>
      <c r="AE142" s="267">
        <v>8</v>
      </c>
      <c r="AF142" s="267">
        <v>7</v>
      </c>
      <c r="AG142" s="224">
        <v>30</v>
      </c>
      <c r="AH142" s="267">
        <v>5</v>
      </c>
      <c r="AI142" s="267">
        <v>10</v>
      </c>
      <c r="AJ142" s="267">
        <v>8</v>
      </c>
      <c r="AK142" s="267">
        <v>7</v>
      </c>
      <c r="AL142" s="224">
        <v>30</v>
      </c>
      <c r="AM142" s="104">
        <v>120</v>
      </c>
      <c r="AN142" s="103" t="s">
        <v>685</v>
      </c>
      <c r="AO142" s="103" t="s">
        <v>613</v>
      </c>
      <c r="AP142" s="103" t="s">
        <v>1214</v>
      </c>
      <c r="AQ142" s="103" t="s">
        <v>1194</v>
      </c>
      <c r="AR142" s="103" t="s">
        <v>938</v>
      </c>
      <c r="AS142" s="271"/>
      <c r="AT142" s="271"/>
      <c r="AU142" s="271"/>
      <c r="AV142" s="271"/>
      <c r="AW142" s="271">
        <v>1315078200</v>
      </c>
      <c r="AX142" s="271"/>
      <c r="AY142" s="271"/>
      <c r="AZ142" s="271"/>
      <c r="BA142" s="271"/>
      <c r="BB142" s="271"/>
      <c r="BC142" s="271"/>
      <c r="BD142" s="271"/>
      <c r="BE142" s="271"/>
      <c r="BF142" s="271"/>
      <c r="BG142" s="271"/>
      <c r="BH142" s="235">
        <f t="shared" si="29"/>
        <v>1315078200</v>
      </c>
      <c r="BI142" s="271"/>
      <c r="BJ142" s="271"/>
      <c r="BK142" s="271"/>
      <c r="BL142" s="271"/>
      <c r="BM142" s="271">
        <v>1376661517</v>
      </c>
      <c r="BN142" s="271"/>
      <c r="BO142" s="271"/>
      <c r="BP142" s="271"/>
      <c r="BQ142" s="271"/>
      <c r="BR142" s="271"/>
      <c r="BS142" s="271"/>
      <c r="BT142" s="271"/>
      <c r="BU142" s="271"/>
      <c r="BV142" s="271"/>
      <c r="BW142" s="271"/>
      <c r="BX142" s="235">
        <f t="shared" si="30"/>
        <v>1376661517</v>
      </c>
      <c r="BY142" s="271"/>
      <c r="BZ142" s="271"/>
      <c r="CA142" s="271"/>
      <c r="CB142" s="271"/>
      <c r="CC142" s="271">
        <v>1419702332</v>
      </c>
      <c r="CD142" s="271"/>
      <c r="CE142" s="271"/>
      <c r="CF142" s="271"/>
      <c r="CG142" s="271"/>
      <c r="CH142" s="271"/>
      <c r="CI142" s="271"/>
      <c r="CJ142" s="271"/>
      <c r="CK142" s="271"/>
      <c r="CL142" s="271"/>
      <c r="CM142" s="271"/>
      <c r="CN142" s="235">
        <f t="shared" si="31"/>
        <v>1419702332</v>
      </c>
      <c r="CO142" s="271"/>
      <c r="CP142" s="271"/>
      <c r="CQ142" s="271"/>
      <c r="CR142" s="271"/>
      <c r="CS142" s="271">
        <v>1476490425</v>
      </c>
      <c r="CT142" s="271"/>
      <c r="CU142" s="271"/>
      <c r="CV142" s="271"/>
      <c r="CW142" s="271"/>
      <c r="CX142" s="271"/>
      <c r="CY142" s="271"/>
      <c r="CZ142" s="271"/>
      <c r="DA142" s="271"/>
      <c r="DB142" s="271"/>
      <c r="DC142" s="271"/>
      <c r="DD142" s="234">
        <f t="shared" si="32"/>
        <v>1476490425</v>
      </c>
      <c r="DE142" s="244">
        <f t="shared" si="28"/>
        <v>5587932474</v>
      </c>
    </row>
    <row r="143" spans="1:109" s="99" customFormat="1" ht="124.05" customHeight="1">
      <c r="A143" s="103" t="s">
        <v>1233</v>
      </c>
      <c r="B143" s="279" t="s">
        <v>9</v>
      </c>
      <c r="C143" s="279" t="s">
        <v>1701</v>
      </c>
      <c r="D143" s="279">
        <v>7</v>
      </c>
      <c r="E143" s="279" t="s">
        <v>203</v>
      </c>
      <c r="F143" s="280" t="s">
        <v>756</v>
      </c>
      <c r="G143" s="279" t="s">
        <v>3323</v>
      </c>
      <c r="H143" s="279">
        <v>11</v>
      </c>
      <c r="I143" s="279" t="s">
        <v>213</v>
      </c>
      <c r="J143" s="279" t="s">
        <v>214</v>
      </c>
      <c r="K143" s="279">
        <v>8.3699999999999992</v>
      </c>
      <c r="L143" s="279">
        <v>8.3699999999999992</v>
      </c>
      <c r="M143" s="279" t="s">
        <v>795</v>
      </c>
      <c r="N143" s="279" t="s">
        <v>796</v>
      </c>
      <c r="O143" s="279" t="s">
        <v>797</v>
      </c>
      <c r="P143" s="283">
        <v>133</v>
      </c>
      <c r="Q143" s="279" t="s">
        <v>3183</v>
      </c>
      <c r="R143" s="279" t="s">
        <v>810</v>
      </c>
      <c r="S143" s="279" t="s">
        <v>677</v>
      </c>
      <c r="T143" s="279">
        <v>91.97</v>
      </c>
      <c r="U143" s="267">
        <v>91.97</v>
      </c>
      <c r="V143" s="267">
        <v>91.97</v>
      </c>
      <c r="W143" s="224">
        <v>91.97</v>
      </c>
      <c r="X143" s="267">
        <v>91.97</v>
      </c>
      <c r="Y143" s="267">
        <v>91.97</v>
      </c>
      <c r="Z143" s="267">
        <v>91.97</v>
      </c>
      <c r="AA143" s="267">
        <v>91.97</v>
      </c>
      <c r="AB143" s="224">
        <v>91.97</v>
      </c>
      <c r="AC143" s="267">
        <v>91.97</v>
      </c>
      <c r="AD143" s="267">
        <v>91.97</v>
      </c>
      <c r="AE143" s="267">
        <v>91.97</v>
      </c>
      <c r="AF143" s="267">
        <v>91.97</v>
      </c>
      <c r="AG143" s="224">
        <v>91.97</v>
      </c>
      <c r="AH143" s="267">
        <v>91.97</v>
      </c>
      <c r="AI143" s="267">
        <v>91.97</v>
      </c>
      <c r="AJ143" s="267">
        <v>91.97</v>
      </c>
      <c r="AK143" s="267">
        <v>91.97</v>
      </c>
      <c r="AL143" s="224">
        <v>91.97</v>
      </c>
      <c r="AM143" s="105">
        <v>91.97</v>
      </c>
      <c r="AN143" s="103" t="s">
        <v>686</v>
      </c>
      <c r="AO143" s="103" t="s">
        <v>613</v>
      </c>
      <c r="AP143" s="103" t="s">
        <v>1214</v>
      </c>
      <c r="AQ143" s="103" t="s">
        <v>1194</v>
      </c>
      <c r="AR143" s="103" t="s">
        <v>938</v>
      </c>
      <c r="AS143" s="271"/>
      <c r="AT143" s="271"/>
      <c r="AU143" s="271"/>
      <c r="AV143" s="271">
        <v>1097053216</v>
      </c>
      <c r="AW143" s="271">
        <v>54295666739</v>
      </c>
      <c r="AX143" s="271"/>
      <c r="AY143" s="271"/>
      <c r="AZ143" s="271"/>
      <c r="BA143" s="271"/>
      <c r="BB143" s="271"/>
      <c r="BC143" s="271"/>
      <c r="BD143" s="271"/>
      <c r="BE143" s="271"/>
      <c r="BF143" s="271"/>
      <c r="BG143" s="271"/>
      <c r="BH143" s="235">
        <f t="shared" si="29"/>
        <v>55392719955</v>
      </c>
      <c r="BI143" s="271"/>
      <c r="BJ143" s="271"/>
      <c r="BK143" s="271"/>
      <c r="BL143" s="271"/>
      <c r="BM143" s="271">
        <v>56851413754</v>
      </c>
      <c r="BN143" s="271"/>
      <c r="BO143" s="271"/>
      <c r="BP143" s="271"/>
      <c r="BQ143" s="271"/>
      <c r="BR143" s="271"/>
      <c r="BS143" s="271"/>
      <c r="BT143" s="271"/>
      <c r="BU143" s="271"/>
      <c r="BV143" s="271"/>
      <c r="BW143" s="271"/>
      <c r="BX143" s="235">
        <f t="shared" si="30"/>
        <v>56851413754</v>
      </c>
      <c r="BY143" s="271"/>
      <c r="BZ143" s="271"/>
      <c r="CA143" s="271"/>
      <c r="CB143" s="271"/>
      <c r="CC143" s="271">
        <v>58628852263</v>
      </c>
      <c r="CD143" s="271"/>
      <c r="CE143" s="271"/>
      <c r="CF143" s="271"/>
      <c r="CG143" s="271"/>
      <c r="CH143" s="271"/>
      <c r="CI143" s="271"/>
      <c r="CJ143" s="271"/>
      <c r="CK143" s="271"/>
      <c r="CL143" s="271"/>
      <c r="CM143" s="271"/>
      <c r="CN143" s="235">
        <f t="shared" si="31"/>
        <v>58628852263</v>
      </c>
      <c r="CO143" s="271"/>
      <c r="CP143" s="271"/>
      <c r="CQ143" s="271"/>
      <c r="CR143" s="271"/>
      <c r="CS143" s="271">
        <v>60974006353</v>
      </c>
      <c r="CT143" s="271"/>
      <c r="CU143" s="271"/>
      <c r="CV143" s="271"/>
      <c r="CW143" s="271"/>
      <c r="CX143" s="271"/>
      <c r="CY143" s="271"/>
      <c r="CZ143" s="271"/>
      <c r="DA143" s="271"/>
      <c r="DB143" s="271"/>
      <c r="DC143" s="271"/>
      <c r="DD143" s="234">
        <f t="shared" si="32"/>
        <v>60974006353</v>
      </c>
      <c r="DE143" s="244">
        <f t="shared" si="28"/>
        <v>231846992325</v>
      </c>
    </row>
    <row r="144" spans="1:109" s="99" customFormat="1" ht="124.05" customHeight="1">
      <c r="A144" s="103" t="s">
        <v>1233</v>
      </c>
      <c r="B144" s="279" t="s">
        <v>9</v>
      </c>
      <c r="C144" s="279" t="s">
        <v>1701</v>
      </c>
      <c r="D144" s="279">
        <v>7</v>
      </c>
      <c r="E144" s="279" t="s">
        <v>203</v>
      </c>
      <c r="F144" s="280" t="s">
        <v>756</v>
      </c>
      <c r="G144" s="279" t="s">
        <v>3323</v>
      </c>
      <c r="H144" s="279">
        <v>11</v>
      </c>
      <c r="I144" s="279" t="s">
        <v>213</v>
      </c>
      <c r="J144" s="279" t="s">
        <v>214</v>
      </c>
      <c r="K144" s="279">
        <v>8.3699999999999992</v>
      </c>
      <c r="L144" s="279">
        <v>8.3699999999999992</v>
      </c>
      <c r="M144" s="279" t="s">
        <v>795</v>
      </c>
      <c r="N144" s="279" t="s">
        <v>796</v>
      </c>
      <c r="O144" s="279" t="s">
        <v>797</v>
      </c>
      <c r="P144" s="283">
        <v>134</v>
      </c>
      <c r="Q144" s="279" t="s">
        <v>3184</v>
      </c>
      <c r="R144" s="279" t="s">
        <v>810</v>
      </c>
      <c r="S144" s="279" t="s">
        <v>677</v>
      </c>
      <c r="T144" s="279">
        <v>91.97</v>
      </c>
      <c r="U144" s="267">
        <v>0.01</v>
      </c>
      <c r="V144" s="267">
        <v>0.02</v>
      </c>
      <c r="W144" s="224">
        <v>0.03</v>
      </c>
      <c r="X144" s="267">
        <v>0.25</v>
      </c>
      <c r="Y144" s="267">
        <v>0.25</v>
      </c>
      <c r="Z144" s="267">
        <v>0.25</v>
      </c>
      <c r="AA144" s="267">
        <v>0.25</v>
      </c>
      <c r="AB144" s="224">
        <v>1</v>
      </c>
      <c r="AC144" s="267">
        <v>0.25</v>
      </c>
      <c r="AD144" s="267">
        <v>0.25</v>
      </c>
      <c r="AE144" s="267">
        <v>0.25</v>
      </c>
      <c r="AF144" s="267">
        <v>0.25</v>
      </c>
      <c r="AG144" s="224">
        <v>1</v>
      </c>
      <c r="AH144" s="267">
        <v>0.25</v>
      </c>
      <c r="AI144" s="267">
        <v>0.25</v>
      </c>
      <c r="AJ144" s="267">
        <v>0.25</v>
      </c>
      <c r="AK144" s="267">
        <v>0.25</v>
      </c>
      <c r="AL144" s="224">
        <v>1</v>
      </c>
      <c r="AM144" s="107">
        <v>3.03</v>
      </c>
      <c r="AN144" s="103" t="s">
        <v>685</v>
      </c>
      <c r="AO144" s="103" t="s">
        <v>613</v>
      </c>
      <c r="AP144" s="103" t="s">
        <v>1214</v>
      </c>
      <c r="AQ144" s="103" t="s">
        <v>1194</v>
      </c>
      <c r="AR144" s="103" t="s">
        <v>938</v>
      </c>
      <c r="AS144" s="271"/>
      <c r="AT144" s="271"/>
      <c r="AU144" s="271"/>
      <c r="AV144" s="271"/>
      <c r="AW144" s="271">
        <v>641868000</v>
      </c>
      <c r="AX144" s="271"/>
      <c r="AY144" s="271"/>
      <c r="AZ144" s="271"/>
      <c r="BA144" s="271"/>
      <c r="BB144" s="271"/>
      <c r="BC144" s="271"/>
      <c r="BD144" s="271"/>
      <c r="BE144" s="271"/>
      <c r="BF144" s="271"/>
      <c r="BG144" s="271"/>
      <c r="BH144" s="235">
        <f t="shared" si="29"/>
        <v>641868000</v>
      </c>
      <c r="BI144" s="271"/>
      <c r="BJ144" s="271"/>
      <c r="BK144" s="271"/>
      <c r="BL144" s="271"/>
      <c r="BM144" s="271">
        <v>658770742</v>
      </c>
      <c r="BN144" s="271"/>
      <c r="BO144" s="271"/>
      <c r="BP144" s="271"/>
      <c r="BQ144" s="271"/>
      <c r="BR144" s="271"/>
      <c r="BS144" s="271"/>
      <c r="BT144" s="271"/>
      <c r="BU144" s="271"/>
      <c r="BV144" s="271"/>
      <c r="BW144" s="271"/>
      <c r="BX144" s="235">
        <f t="shared" si="30"/>
        <v>658770742</v>
      </c>
      <c r="BY144" s="271"/>
      <c r="BZ144" s="271"/>
      <c r="CA144" s="271"/>
      <c r="CB144" s="271"/>
      <c r="CC144" s="271">
        <v>679366967</v>
      </c>
      <c r="CD144" s="271"/>
      <c r="CE144" s="271"/>
      <c r="CF144" s="271"/>
      <c r="CG144" s="271"/>
      <c r="CH144" s="271"/>
      <c r="CI144" s="271"/>
      <c r="CJ144" s="271"/>
      <c r="CK144" s="271"/>
      <c r="CL144" s="271"/>
      <c r="CM144" s="271"/>
      <c r="CN144" s="235">
        <f t="shared" si="31"/>
        <v>679366967</v>
      </c>
      <c r="CO144" s="271"/>
      <c r="CP144" s="271"/>
      <c r="CQ144" s="271"/>
      <c r="CR144" s="271"/>
      <c r="CS144" s="271">
        <v>706541646</v>
      </c>
      <c r="CT144" s="271"/>
      <c r="CU144" s="271"/>
      <c r="CV144" s="271"/>
      <c r="CW144" s="271"/>
      <c r="CX144" s="271"/>
      <c r="CY144" s="271"/>
      <c r="CZ144" s="271"/>
      <c r="DA144" s="271"/>
      <c r="DB144" s="271"/>
      <c r="DC144" s="271"/>
      <c r="DD144" s="234">
        <f t="shared" si="32"/>
        <v>706541646</v>
      </c>
      <c r="DE144" s="244">
        <f t="shared" si="28"/>
        <v>2686547355</v>
      </c>
    </row>
    <row r="145" spans="1:109" s="99" customFormat="1" ht="124.05" customHeight="1">
      <c r="A145" s="103" t="s">
        <v>1233</v>
      </c>
      <c r="B145" s="279" t="s">
        <v>9</v>
      </c>
      <c r="C145" s="279" t="s">
        <v>1701</v>
      </c>
      <c r="D145" s="279">
        <v>7</v>
      </c>
      <c r="E145" s="279" t="s">
        <v>203</v>
      </c>
      <c r="F145" s="280" t="s">
        <v>756</v>
      </c>
      <c r="G145" s="279" t="s">
        <v>3323</v>
      </c>
      <c r="H145" s="279">
        <v>11</v>
      </c>
      <c r="I145" s="279" t="s">
        <v>213</v>
      </c>
      <c r="J145" s="279" t="s">
        <v>214</v>
      </c>
      <c r="K145" s="279">
        <v>8.3699999999999992</v>
      </c>
      <c r="L145" s="279">
        <v>8.3699999999999992</v>
      </c>
      <c r="M145" s="279" t="s">
        <v>795</v>
      </c>
      <c r="N145" s="279" t="s">
        <v>796</v>
      </c>
      <c r="O145" s="279" t="s">
        <v>797</v>
      </c>
      <c r="P145" s="283">
        <v>135</v>
      </c>
      <c r="Q145" s="279" t="s">
        <v>3344</v>
      </c>
      <c r="R145" s="279" t="s">
        <v>811</v>
      </c>
      <c r="S145" s="279" t="s">
        <v>683</v>
      </c>
      <c r="T145" s="279">
        <v>60</v>
      </c>
      <c r="U145" s="267"/>
      <c r="V145" s="267">
        <v>2</v>
      </c>
      <c r="W145" s="224">
        <v>2</v>
      </c>
      <c r="X145" s="267"/>
      <c r="Y145" s="267"/>
      <c r="Z145" s="267">
        <v>2</v>
      </c>
      <c r="AA145" s="267"/>
      <c r="AB145" s="224">
        <v>2</v>
      </c>
      <c r="AC145" s="267"/>
      <c r="AD145" s="267"/>
      <c r="AE145" s="267">
        <v>3</v>
      </c>
      <c r="AF145" s="267"/>
      <c r="AG145" s="224">
        <v>3</v>
      </c>
      <c r="AH145" s="267"/>
      <c r="AI145" s="267"/>
      <c r="AJ145" s="267">
        <v>3</v>
      </c>
      <c r="AK145" s="267"/>
      <c r="AL145" s="224">
        <v>3</v>
      </c>
      <c r="AM145" s="104">
        <v>10</v>
      </c>
      <c r="AN145" s="103" t="s">
        <v>685</v>
      </c>
      <c r="AO145" s="103" t="s">
        <v>613</v>
      </c>
      <c r="AP145" s="103" t="s">
        <v>1214</v>
      </c>
      <c r="AQ145" s="103" t="s">
        <v>1194</v>
      </c>
      <c r="AR145" s="103" t="s">
        <v>938</v>
      </c>
      <c r="AS145" s="271"/>
      <c r="AT145" s="271"/>
      <c r="AU145" s="271"/>
      <c r="AV145" s="271"/>
      <c r="AW145" s="271">
        <v>100000000</v>
      </c>
      <c r="AX145" s="271"/>
      <c r="AY145" s="271"/>
      <c r="AZ145" s="271"/>
      <c r="BA145" s="271"/>
      <c r="BB145" s="271"/>
      <c r="BC145" s="271"/>
      <c r="BD145" s="271"/>
      <c r="BE145" s="271"/>
      <c r="BF145" s="271"/>
      <c r="BG145" s="271"/>
      <c r="BH145" s="235">
        <f t="shared" si="29"/>
        <v>100000000</v>
      </c>
      <c r="BI145" s="271"/>
      <c r="BJ145" s="271"/>
      <c r="BK145" s="271"/>
      <c r="BL145" s="271"/>
      <c r="BM145" s="271">
        <v>104682863</v>
      </c>
      <c r="BN145" s="271"/>
      <c r="BO145" s="271"/>
      <c r="BP145" s="271"/>
      <c r="BQ145" s="271"/>
      <c r="BR145" s="271"/>
      <c r="BS145" s="271"/>
      <c r="BT145" s="271"/>
      <c r="BU145" s="271"/>
      <c r="BV145" s="271"/>
      <c r="BW145" s="271"/>
      <c r="BX145" s="235">
        <f t="shared" si="30"/>
        <v>104682863</v>
      </c>
      <c r="BY145" s="271"/>
      <c r="BZ145" s="271"/>
      <c r="CA145" s="271"/>
      <c r="CB145" s="271"/>
      <c r="CC145" s="271">
        <v>107955735</v>
      </c>
      <c r="CD145" s="271"/>
      <c r="CE145" s="271"/>
      <c r="CF145" s="271"/>
      <c r="CG145" s="271"/>
      <c r="CH145" s="271"/>
      <c r="CI145" s="271"/>
      <c r="CJ145" s="271"/>
      <c r="CK145" s="271"/>
      <c r="CL145" s="271"/>
      <c r="CM145" s="271"/>
      <c r="CN145" s="235">
        <f t="shared" si="31"/>
        <v>107955735</v>
      </c>
      <c r="CO145" s="271"/>
      <c r="CP145" s="271"/>
      <c r="CQ145" s="271"/>
      <c r="CR145" s="271"/>
      <c r="CS145" s="271">
        <v>112273964</v>
      </c>
      <c r="CT145" s="271"/>
      <c r="CU145" s="271"/>
      <c r="CV145" s="271"/>
      <c r="CW145" s="271"/>
      <c r="CX145" s="271"/>
      <c r="CY145" s="271"/>
      <c r="CZ145" s="271"/>
      <c r="DA145" s="271"/>
      <c r="DB145" s="271"/>
      <c r="DC145" s="271"/>
      <c r="DD145" s="234">
        <f t="shared" si="32"/>
        <v>112273964</v>
      </c>
      <c r="DE145" s="244">
        <f t="shared" si="28"/>
        <v>424912562</v>
      </c>
    </row>
    <row r="146" spans="1:109" s="99" customFormat="1" ht="124.05" customHeight="1">
      <c r="A146" s="103" t="s">
        <v>1233</v>
      </c>
      <c r="B146" s="279" t="s">
        <v>9</v>
      </c>
      <c r="C146" s="279" t="s">
        <v>1701</v>
      </c>
      <c r="D146" s="279">
        <v>7</v>
      </c>
      <c r="E146" s="279" t="s">
        <v>203</v>
      </c>
      <c r="F146" s="280" t="s">
        <v>756</v>
      </c>
      <c r="G146" s="279" t="s">
        <v>3323</v>
      </c>
      <c r="H146" s="279">
        <v>11</v>
      </c>
      <c r="I146" s="279" t="s">
        <v>213</v>
      </c>
      <c r="J146" s="279" t="s">
        <v>214</v>
      </c>
      <c r="K146" s="279">
        <v>8.3699999999999992</v>
      </c>
      <c r="L146" s="279">
        <v>8.3699999999999992</v>
      </c>
      <c r="M146" s="279" t="s">
        <v>795</v>
      </c>
      <c r="N146" s="279" t="s">
        <v>796</v>
      </c>
      <c r="O146" s="279" t="s">
        <v>797</v>
      </c>
      <c r="P146" s="283">
        <v>136</v>
      </c>
      <c r="Q146" s="279" t="s">
        <v>3185</v>
      </c>
      <c r="R146" s="279" t="s">
        <v>812</v>
      </c>
      <c r="S146" s="279" t="s">
        <v>683</v>
      </c>
      <c r="T146" s="279">
        <v>123</v>
      </c>
      <c r="U146" s="267">
        <v>123</v>
      </c>
      <c r="V146" s="267">
        <v>123</v>
      </c>
      <c r="W146" s="224">
        <v>123</v>
      </c>
      <c r="X146" s="267">
        <v>31</v>
      </c>
      <c r="Y146" s="267">
        <v>31</v>
      </c>
      <c r="Z146" s="267">
        <v>31</v>
      </c>
      <c r="AA146" s="267">
        <v>30</v>
      </c>
      <c r="AB146" s="224">
        <v>123</v>
      </c>
      <c r="AC146" s="267">
        <v>31</v>
      </c>
      <c r="AD146" s="267">
        <v>31</v>
      </c>
      <c r="AE146" s="267">
        <v>31</v>
      </c>
      <c r="AF146" s="267">
        <v>30</v>
      </c>
      <c r="AG146" s="224">
        <v>123</v>
      </c>
      <c r="AH146" s="267">
        <v>31</v>
      </c>
      <c r="AI146" s="267">
        <v>31</v>
      </c>
      <c r="AJ146" s="267">
        <v>31</v>
      </c>
      <c r="AK146" s="267">
        <v>30</v>
      </c>
      <c r="AL146" s="224">
        <v>123</v>
      </c>
      <c r="AM146" s="104">
        <v>123</v>
      </c>
      <c r="AN146" s="103" t="s">
        <v>686</v>
      </c>
      <c r="AO146" s="103" t="s">
        <v>613</v>
      </c>
      <c r="AP146" s="103" t="s">
        <v>1214</v>
      </c>
      <c r="AQ146" s="103" t="s">
        <v>1194</v>
      </c>
      <c r="AR146" s="103" t="s">
        <v>938</v>
      </c>
      <c r="AS146" s="271"/>
      <c r="AT146" s="271"/>
      <c r="AU146" s="271"/>
      <c r="AV146" s="271"/>
      <c r="AW146" s="271">
        <v>10438730976.773199</v>
      </c>
      <c r="AX146" s="271"/>
      <c r="AY146" s="271"/>
      <c r="AZ146" s="271"/>
      <c r="BA146" s="271"/>
      <c r="BB146" s="271"/>
      <c r="BC146" s="271"/>
      <c r="BD146" s="271"/>
      <c r="BE146" s="271"/>
      <c r="BF146" s="271"/>
      <c r="BG146" s="271"/>
      <c r="BH146" s="235">
        <f t="shared" si="29"/>
        <v>10438730976.773199</v>
      </c>
      <c r="BI146" s="271"/>
      <c r="BJ146" s="271"/>
      <c r="BK146" s="271"/>
      <c r="BL146" s="271"/>
      <c r="BM146" s="271">
        <v>10927562497.77</v>
      </c>
      <c r="BN146" s="271"/>
      <c r="BO146" s="271"/>
      <c r="BP146" s="271"/>
      <c r="BQ146" s="271"/>
      <c r="BR146" s="271"/>
      <c r="BS146" s="271"/>
      <c r="BT146" s="271"/>
      <c r="BU146" s="271"/>
      <c r="BV146" s="271"/>
      <c r="BW146" s="271"/>
      <c r="BX146" s="235">
        <f t="shared" si="30"/>
        <v>10927562497.77</v>
      </c>
      <c r="BY146" s="271"/>
      <c r="BZ146" s="271"/>
      <c r="CA146" s="271"/>
      <c r="CB146" s="271"/>
      <c r="CC146" s="271">
        <v>11269208714.3731</v>
      </c>
      <c r="CD146" s="271"/>
      <c r="CE146" s="271"/>
      <c r="CF146" s="271"/>
      <c r="CG146" s="271"/>
      <c r="CH146" s="271"/>
      <c r="CI146" s="271"/>
      <c r="CJ146" s="271"/>
      <c r="CK146" s="271"/>
      <c r="CL146" s="271"/>
      <c r="CM146" s="271"/>
      <c r="CN146" s="235">
        <f t="shared" si="31"/>
        <v>11269208714.3731</v>
      </c>
      <c r="CO146" s="271"/>
      <c r="CP146" s="271"/>
      <c r="CQ146" s="271"/>
      <c r="CR146" s="271"/>
      <c r="CS146" s="271">
        <v>11719977063</v>
      </c>
      <c r="CT146" s="271"/>
      <c r="CU146" s="271"/>
      <c r="CV146" s="271"/>
      <c r="CW146" s="271"/>
      <c r="CX146" s="271"/>
      <c r="CY146" s="271"/>
      <c r="CZ146" s="271"/>
      <c r="DA146" s="271"/>
      <c r="DB146" s="271"/>
      <c r="DC146" s="271"/>
      <c r="DD146" s="234">
        <f t="shared" si="32"/>
        <v>11719977063</v>
      </c>
      <c r="DE146" s="244">
        <f t="shared" si="28"/>
        <v>44355479251.916298</v>
      </c>
    </row>
    <row r="147" spans="1:109" s="99" customFormat="1" ht="124.05" customHeight="1">
      <c r="A147" s="103" t="s">
        <v>1233</v>
      </c>
      <c r="B147" s="279" t="s">
        <v>9</v>
      </c>
      <c r="C147" s="279" t="s">
        <v>1701</v>
      </c>
      <c r="D147" s="279">
        <v>7</v>
      </c>
      <c r="E147" s="279" t="s">
        <v>203</v>
      </c>
      <c r="F147" s="280" t="s">
        <v>756</v>
      </c>
      <c r="G147" s="279" t="s">
        <v>3323</v>
      </c>
      <c r="H147" s="279">
        <v>11</v>
      </c>
      <c r="I147" s="279" t="s">
        <v>213</v>
      </c>
      <c r="J147" s="279" t="s">
        <v>214</v>
      </c>
      <c r="K147" s="279">
        <v>8.3699999999999992</v>
      </c>
      <c r="L147" s="279">
        <v>8.3699999999999992</v>
      </c>
      <c r="M147" s="279" t="s">
        <v>795</v>
      </c>
      <c r="N147" s="279" t="s">
        <v>796</v>
      </c>
      <c r="O147" s="279" t="s">
        <v>797</v>
      </c>
      <c r="P147" s="283">
        <v>137</v>
      </c>
      <c r="Q147" s="279" t="s">
        <v>3186</v>
      </c>
      <c r="R147" s="279" t="s">
        <v>813</v>
      </c>
      <c r="S147" s="279" t="s">
        <v>683</v>
      </c>
      <c r="T147" s="279">
        <v>123</v>
      </c>
      <c r="U147" s="267">
        <v>113</v>
      </c>
      <c r="V147" s="267">
        <v>10</v>
      </c>
      <c r="W147" s="224">
        <v>123</v>
      </c>
      <c r="X147" s="267">
        <v>17</v>
      </c>
      <c r="Y147" s="267">
        <v>48</v>
      </c>
      <c r="Z147" s="267">
        <v>48</v>
      </c>
      <c r="AA147" s="267">
        <v>10</v>
      </c>
      <c r="AB147" s="224">
        <v>123</v>
      </c>
      <c r="AC147" s="267">
        <v>17</v>
      </c>
      <c r="AD147" s="267">
        <v>48</v>
      </c>
      <c r="AE147" s="267">
        <v>48</v>
      </c>
      <c r="AF147" s="267">
        <v>10</v>
      </c>
      <c r="AG147" s="224">
        <v>123</v>
      </c>
      <c r="AH147" s="267">
        <v>17</v>
      </c>
      <c r="AI147" s="267">
        <v>48</v>
      </c>
      <c r="AJ147" s="267">
        <v>48</v>
      </c>
      <c r="AK147" s="267">
        <v>10</v>
      </c>
      <c r="AL147" s="224">
        <v>123</v>
      </c>
      <c r="AM147" s="104">
        <v>123</v>
      </c>
      <c r="AN147" s="103" t="s">
        <v>686</v>
      </c>
      <c r="AO147" s="103" t="s">
        <v>613</v>
      </c>
      <c r="AP147" s="103" t="s">
        <v>1214</v>
      </c>
      <c r="AQ147" s="103" t="s">
        <v>1194</v>
      </c>
      <c r="AR147" s="103" t="s">
        <v>938</v>
      </c>
      <c r="AS147" s="271"/>
      <c r="AT147" s="271"/>
      <c r="AU147" s="271"/>
      <c r="AV147" s="271"/>
      <c r="AW147" s="271">
        <v>220003100</v>
      </c>
      <c r="AX147" s="271"/>
      <c r="AY147" s="271"/>
      <c r="AZ147" s="271"/>
      <c r="BA147" s="271"/>
      <c r="BB147" s="271"/>
      <c r="BC147" s="271"/>
      <c r="BD147" s="271"/>
      <c r="BE147" s="271"/>
      <c r="BF147" s="271">
        <v>25881120</v>
      </c>
      <c r="BG147" s="271"/>
      <c r="BH147" s="235">
        <f t="shared" si="29"/>
        <v>245884220</v>
      </c>
      <c r="BI147" s="271"/>
      <c r="BJ147" s="271"/>
      <c r="BK147" s="271"/>
      <c r="BL147" s="271"/>
      <c r="BM147" s="271">
        <v>230305545</v>
      </c>
      <c r="BN147" s="271"/>
      <c r="BO147" s="271"/>
      <c r="BP147" s="271"/>
      <c r="BQ147" s="271"/>
      <c r="BR147" s="271"/>
      <c r="BS147" s="271"/>
      <c r="BT147" s="271"/>
      <c r="BU147" s="271"/>
      <c r="BV147" s="271">
        <v>26657554</v>
      </c>
      <c r="BW147" s="271"/>
      <c r="BX147" s="235">
        <f t="shared" si="30"/>
        <v>256963099</v>
      </c>
      <c r="BY147" s="271"/>
      <c r="BZ147" s="271"/>
      <c r="CA147" s="271"/>
      <c r="CB147" s="271"/>
      <c r="CC147" s="271">
        <v>237505963</v>
      </c>
      <c r="CD147" s="271"/>
      <c r="CE147" s="271"/>
      <c r="CF147" s="271"/>
      <c r="CG147" s="271"/>
      <c r="CH147" s="271"/>
      <c r="CI147" s="271"/>
      <c r="CJ147" s="271"/>
      <c r="CK147" s="271"/>
      <c r="CL147" s="271">
        <v>27457280</v>
      </c>
      <c r="CM147" s="271"/>
      <c r="CN147" s="235">
        <f t="shared" si="31"/>
        <v>264963243</v>
      </c>
      <c r="CO147" s="271"/>
      <c r="CP147" s="271"/>
      <c r="CQ147" s="271"/>
      <c r="CR147" s="271"/>
      <c r="CS147" s="271">
        <v>247006201</v>
      </c>
      <c r="CT147" s="271"/>
      <c r="CU147" s="271"/>
      <c r="CV147" s="271"/>
      <c r="CW147" s="271"/>
      <c r="CX147" s="271"/>
      <c r="CY147" s="271"/>
      <c r="CZ147" s="271"/>
      <c r="DA147" s="271"/>
      <c r="DB147" s="271">
        <v>28280999</v>
      </c>
      <c r="DC147" s="271"/>
      <c r="DD147" s="234">
        <f t="shared" si="32"/>
        <v>275287200</v>
      </c>
      <c r="DE147" s="244">
        <f t="shared" si="28"/>
        <v>1043097762</v>
      </c>
    </row>
    <row r="148" spans="1:109" s="99" customFormat="1" ht="124.05" customHeight="1">
      <c r="A148" s="103" t="s">
        <v>1233</v>
      </c>
      <c r="B148" s="279" t="s">
        <v>9</v>
      </c>
      <c r="C148" s="279" t="s">
        <v>1701</v>
      </c>
      <c r="D148" s="279">
        <v>7</v>
      </c>
      <c r="E148" s="279" t="s">
        <v>203</v>
      </c>
      <c r="F148" s="280" t="s">
        <v>756</v>
      </c>
      <c r="G148" s="279" t="s">
        <v>3323</v>
      </c>
      <c r="H148" s="279">
        <v>11</v>
      </c>
      <c r="I148" s="279" t="s">
        <v>213</v>
      </c>
      <c r="J148" s="279" t="s">
        <v>214</v>
      </c>
      <c r="K148" s="279">
        <v>8.3699999999999992</v>
      </c>
      <c r="L148" s="279">
        <v>8.3699999999999992</v>
      </c>
      <c r="M148" s="279" t="s">
        <v>795</v>
      </c>
      <c r="N148" s="279" t="s">
        <v>796</v>
      </c>
      <c r="O148" s="279" t="s">
        <v>797</v>
      </c>
      <c r="P148" s="283">
        <v>138</v>
      </c>
      <c r="Q148" s="279" t="s">
        <v>3187</v>
      </c>
      <c r="R148" s="279" t="s">
        <v>814</v>
      </c>
      <c r="S148" s="279" t="s">
        <v>683</v>
      </c>
      <c r="T148" s="279">
        <v>0</v>
      </c>
      <c r="U148" s="267">
        <v>0.1875</v>
      </c>
      <c r="V148" s="267">
        <v>6.25E-2</v>
      </c>
      <c r="W148" s="224">
        <v>0.25</v>
      </c>
      <c r="X148" s="267">
        <v>6.25E-2</v>
      </c>
      <c r="Y148" s="267">
        <v>6.25E-2</v>
      </c>
      <c r="Z148" s="267">
        <v>6.25E-2</v>
      </c>
      <c r="AA148" s="267">
        <v>6.25E-2</v>
      </c>
      <c r="AB148" s="224">
        <v>0.25</v>
      </c>
      <c r="AC148" s="267">
        <v>6.25E-2</v>
      </c>
      <c r="AD148" s="267">
        <v>6.25E-2</v>
      </c>
      <c r="AE148" s="267">
        <v>6.25E-2</v>
      </c>
      <c r="AF148" s="267">
        <v>6.25E-2</v>
      </c>
      <c r="AG148" s="224">
        <v>0.25</v>
      </c>
      <c r="AH148" s="267">
        <v>6.25E-2</v>
      </c>
      <c r="AI148" s="267">
        <v>6.25E-2</v>
      </c>
      <c r="AJ148" s="267">
        <v>6.25E-2</v>
      </c>
      <c r="AK148" s="267">
        <v>6.25E-2</v>
      </c>
      <c r="AL148" s="224">
        <v>0.25</v>
      </c>
      <c r="AM148" s="104">
        <v>1</v>
      </c>
      <c r="AN148" s="103" t="s">
        <v>685</v>
      </c>
      <c r="AO148" s="103" t="s">
        <v>613</v>
      </c>
      <c r="AP148" s="103" t="s">
        <v>1214</v>
      </c>
      <c r="AQ148" s="103" t="s">
        <v>1194</v>
      </c>
      <c r="AR148" s="103" t="s">
        <v>938</v>
      </c>
      <c r="AS148" s="271"/>
      <c r="AT148" s="271"/>
      <c r="AU148" s="271"/>
      <c r="AV148" s="271"/>
      <c r="AW148" s="271">
        <v>330893234</v>
      </c>
      <c r="AX148" s="271"/>
      <c r="AY148" s="271"/>
      <c r="AZ148" s="271"/>
      <c r="BA148" s="271"/>
      <c r="BB148" s="271"/>
      <c r="BC148" s="271"/>
      <c r="BD148" s="271"/>
      <c r="BE148" s="271"/>
      <c r="BF148" s="271"/>
      <c r="BG148" s="271"/>
      <c r="BH148" s="235">
        <f t="shared" si="29"/>
        <v>330893234</v>
      </c>
      <c r="BI148" s="271"/>
      <c r="BJ148" s="271"/>
      <c r="BK148" s="271"/>
      <c r="BL148" s="271"/>
      <c r="BM148" s="271">
        <v>346388512</v>
      </c>
      <c r="BN148" s="271"/>
      <c r="BO148" s="271"/>
      <c r="BP148" s="271"/>
      <c r="BQ148" s="271"/>
      <c r="BR148" s="271"/>
      <c r="BS148" s="271"/>
      <c r="BT148" s="271"/>
      <c r="BU148" s="271"/>
      <c r="BV148" s="271"/>
      <c r="BW148" s="271"/>
      <c r="BX148" s="235">
        <f t="shared" si="30"/>
        <v>346388512</v>
      </c>
      <c r="BY148" s="271"/>
      <c r="BZ148" s="271"/>
      <c r="CA148" s="271"/>
      <c r="CB148" s="271"/>
      <c r="CC148" s="271">
        <v>357218222</v>
      </c>
      <c r="CD148" s="271"/>
      <c r="CE148" s="271"/>
      <c r="CF148" s="271"/>
      <c r="CG148" s="271"/>
      <c r="CH148" s="271"/>
      <c r="CI148" s="271"/>
      <c r="CJ148" s="271"/>
      <c r="CK148" s="271"/>
      <c r="CL148" s="271"/>
      <c r="CM148" s="271"/>
      <c r="CN148" s="235">
        <f t="shared" si="31"/>
        <v>357218222</v>
      </c>
      <c r="CO148" s="271"/>
      <c r="CP148" s="271"/>
      <c r="CQ148" s="271"/>
      <c r="CR148" s="271"/>
      <c r="CS148" s="271">
        <v>371506951</v>
      </c>
      <c r="CT148" s="271"/>
      <c r="CU148" s="271"/>
      <c r="CV148" s="271"/>
      <c r="CW148" s="271"/>
      <c r="CX148" s="271"/>
      <c r="CY148" s="271"/>
      <c r="CZ148" s="271"/>
      <c r="DA148" s="271"/>
      <c r="DB148" s="271"/>
      <c r="DC148" s="271"/>
      <c r="DD148" s="234">
        <f t="shared" si="32"/>
        <v>371506951</v>
      </c>
      <c r="DE148" s="244">
        <f t="shared" si="28"/>
        <v>1406006919</v>
      </c>
    </row>
    <row r="149" spans="1:109" s="99" customFormat="1" ht="108" customHeight="1">
      <c r="A149" s="103" t="s">
        <v>1233</v>
      </c>
      <c r="B149" s="279" t="s">
        <v>9</v>
      </c>
      <c r="C149" s="279" t="s">
        <v>1701</v>
      </c>
      <c r="D149" s="279">
        <v>7</v>
      </c>
      <c r="E149" s="279" t="s">
        <v>203</v>
      </c>
      <c r="F149" s="280" t="s">
        <v>756</v>
      </c>
      <c r="G149" s="279" t="s">
        <v>3324</v>
      </c>
      <c r="H149" s="279">
        <v>12</v>
      </c>
      <c r="I149" s="279" t="s">
        <v>204</v>
      </c>
      <c r="J149" s="279" t="s">
        <v>205</v>
      </c>
      <c r="K149" s="279" t="s">
        <v>206</v>
      </c>
      <c r="L149" s="279" t="s">
        <v>206</v>
      </c>
      <c r="M149" s="279" t="s">
        <v>815</v>
      </c>
      <c r="N149" s="279" t="s">
        <v>816</v>
      </c>
      <c r="O149" s="279" t="s">
        <v>817</v>
      </c>
      <c r="P149" s="283">
        <v>139</v>
      </c>
      <c r="Q149" s="279" t="s">
        <v>3188</v>
      </c>
      <c r="R149" s="279" t="s">
        <v>818</v>
      </c>
      <c r="S149" s="279" t="s">
        <v>677</v>
      </c>
      <c r="T149" s="279" t="s">
        <v>2343</v>
      </c>
      <c r="U149" s="267">
        <v>50</v>
      </c>
      <c r="V149" s="267">
        <v>50</v>
      </c>
      <c r="W149" s="224">
        <v>100</v>
      </c>
      <c r="X149" s="267"/>
      <c r="Y149" s="267"/>
      <c r="Z149" s="267"/>
      <c r="AA149" s="267"/>
      <c r="AB149" s="224">
        <v>0</v>
      </c>
      <c r="AC149" s="267"/>
      <c r="AD149" s="267"/>
      <c r="AE149" s="267"/>
      <c r="AF149" s="267"/>
      <c r="AG149" s="224">
        <v>0</v>
      </c>
      <c r="AH149" s="267"/>
      <c r="AI149" s="267"/>
      <c r="AJ149" s="267"/>
      <c r="AK149" s="267"/>
      <c r="AL149" s="224">
        <v>0</v>
      </c>
      <c r="AM149" s="104">
        <v>100</v>
      </c>
      <c r="AN149" s="103" t="s">
        <v>685</v>
      </c>
      <c r="AO149" s="103" t="s">
        <v>613</v>
      </c>
      <c r="AP149" s="103" t="s">
        <v>1214</v>
      </c>
      <c r="AQ149" s="103" t="s">
        <v>1194</v>
      </c>
      <c r="AR149" s="103" t="s">
        <v>938</v>
      </c>
      <c r="AS149" s="271"/>
      <c r="AT149" s="271"/>
      <c r="AU149" s="271"/>
      <c r="AV149" s="271"/>
      <c r="AW149" s="271">
        <v>59676000</v>
      </c>
      <c r="AX149" s="271"/>
      <c r="AY149" s="271"/>
      <c r="AZ149" s="271"/>
      <c r="BA149" s="271"/>
      <c r="BB149" s="271"/>
      <c r="BC149" s="271"/>
      <c r="BD149" s="271"/>
      <c r="BE149" s="271"/>
      <c r="BF149" s="271"/>
      <c r="BG149" s="271"/>
      <c r="BH149" s="235">
        <f t="shared" ref="BH149:BH154" si="33">IF(W149=0,0,BG149+BF149+BE149+BD149+BC149+BB149+BA149+AZ149+AY149+AX149+AW149+AV149+AU149+AT149+AS149)</f>
        <v>59676000</v>
      </c>
      <c r="BI149" s="271"/>
      <c r="BJ149" s="271"/>
      <c r="BK149" s="271"/>
      <c r="BL149" s="271"/>
      <c r="BM149" s="271"/>
      <c r="BN149" s="271"/>
      <c r="BO149" s="271"/>
      <c r="BP149" s="271"/>
      <c r="BQ149" s="271"/>
      <c r="BR149" s="271"/>
      <c r="BS149" s="271"/>
      <c r="BT149" s="271"/>
      <c r="BU149" s="271"/>
      <c r="BV149" s="271"/>
      <c r="BW149" s="271"/>
      <c r="BX149" s="235">
        <f t="shared" ref="BX149:BX154" si="34">IF(AB149=0,0,BI149+BJ149+BK149+BL149+BM149+BN149+BO149+BP149+BQ149+BR149+BS149+BT149+BU149+BV149+BW149)</f>
        <v>0</v>
      </c>
      <c r="BY149" s="271"/>
      <c r="BZ149" s="271"/>
      <c r="CA149" s="271"/>
      <c r="CB149" s="271"/>
      <c r="CC149" s="271"/>
      <c r="CD149" s="271"/>
      <c r="CE149" s="271"/>
      <c r="CF149" s="271"/>
      <c r="CG149" s="271"/>
      <c r="CH149" s="271"/>
      <c r="CI149" s="271"/>
      <c r="CJ149" s="271"/>
      <c r="CK149" s="271"/>
      <c r="CL149" s="271"/>
      <c r="CM149" s="271"/>
      <c r="CN149" s="235">
        <f t="shared" ref="CN149:CN154" si="35">IF(AG149=0,0,(BY149+BZ149+CA149+CB149+CC149+CD149+CE149+CF149+CG149+CH149+CI149+CJ149+CK149+CL149+CM149))</f>
        <v>0</v>
      </c>
      <c r="CO149" s="271"/>
      <c r="CP149" s="271"/>
      <c r="CQ149" s="271"/>
      <c r="CR149" s="271"/>
      <c r="CS149" s="271"/>
      <c r="CT149" s="271"/>
      <c r="CU149" s="271"/>
      <c r="CV149" s="271"/>
      <c r="CW149" s="271"/>
      <c r="CX149" s="271"/>
      <c r="CY149" s="271"/>
      <c r="CZ149" s="271"/>
      <c r="DA149" s="271"/>
      <c r="DB149" s="271"/>
      <c r="DC149" s="271"/>
      <c r="DD149" s="234">
        <f t="shared" ref="DD149:DD154" si="36">IF(AL149=0,0,(CO149+CP149+CQ149+CR149+CS149+CT149+CU149+CV149+CW149+CX149+CY149+CZ149+DA149+DB149+DC149))</f>
        <v>0</v>
      </c>
      <c r="DE149" s="244">
        <f t="shared" si="28"/>
        <v>59676000</v>
      </c>
    </row>
    <row r="150" spans="1:109" s="99" customFormat="1" ht="108" customHeight="1">
      <c r="A150" s="103" t="s">
        <v>1233</v>
      </c>
      <c r="B150" s="279" t="s">
        <v>9</v>
      </c>
      <c r="C150" s="279" t="s">
        <v>1701</v>
      </c>
      <c r="D150" s="279">
        <v>7</v>
      </c>
      <c r="E150" s="279" t="s">
        <v>203</v>
      </c>
      <c r="F150" s="280" t="s">
        <v>756</v>
      </c>
      <c r="G150" s="279" t="s">
        <v>3324</v>
      </c>
      <c r="H150" s="279">
        <v>12</v>
      </c>
      <c r="I150" s="279" t="s">
        <v>204</v>
      </c>
      <c r="J150" s="279" t="s">
        <v>205</v>
      </c>
      <c r="K150" s="279" t="s">
        <v>206</v>
      </c>
      <c r="L150" s="279" t="s">
        <v>206</v>
      </c>
      <c r="M150" s="279" t="s">
        <v>815</v>
      </c>
      <c r="N150" s="279" t="s">
        <v>816</v>
      </c>
      <c r="O150" s="279" t="s">
        <v>817</v>
      </c>
      <c r="P150" s="283">
        <v>140</v>
      </c>
      <c r="Q150" s="279" t="s">
        <v>3345</v>
      </c>
      <c r="R150" s="279" t="s">
        <v>819</v>
      </c>
      <c r="S150" s="279" t="s">
        <v>677</v>
      </c>
      <c r="T150" s="279" t="s">
        <v>2343</v>
      </c>
      <c r="U150" s="267">
        <v>50</v>
      </c>
      <c r="V150" s="267">
        <v>50</v>
      </c>
      <c r="W150" s="224">
        <v>100</v>
      </c>
      <c r="X150" s="267"/>
      <c r="Y150" s="267"/>
      <c r="Z150" s="267"/>
      <c r="AA150" s="267"/>
      <c r="AB150" s="224">
        <v>0</v>
      </c>
      <c r="AC150" s="267"/>
      <c r="AD150" s="267"/>
      <c r="AE150" s="267"/>
      <c r="AF150" s="267"/>
      <c r="AG150" s="224">
        <v>0</v>
      </c>
      <c r="AH150" s="267"/>
      <c r="AI150" s="267"/>
      <c r="AJ150" s="267"/>
      <c r="AK150" s="267"/>
      <c r="AL150" s="224">
        <v>0</v>
      </c>
      <c r="AM150" s="104">
        <v>100</v>
      </c>
      <c r="AN150" s="103" t="s">
        <v>685</v>
      </c>
      <c r="AO150" s="103" t="s">
        <v>613</v>
      </c>
      <c r="AP150" s="103" t="s">
        <v>1214</v>
      </c>
      <c r="AQ150" s="103" t="s">
        <v>1194</v>
      </c>
      <c r="AR150" s="103" t="s">
        <v>938</v>
      </c>
      <c r="AS150" s="271"/>
      <c r="AT150" s="271">
        <v>412000000</v>
      </c>
      <c r="AU150" s="271"/>
      <c r="AV150" s="271"/>
      <c r="AW150" s="271"/>
      <c r="AX150" s="271"/>
      <c r="AY150" s="271"/>
      <c r="AZ150" s="271"/>
      <c r="BA150" s="271"/>
      <c r="BB150" s="271"/>
      <c r="BC150" s="271"/>
      <c r="BD150" s="271"/>
      <c r="BE150" s="271"/>
      <c r="BF150" s="271"/>
      <c r="BG150" s="271"/>
      <c r="BH150" s="235">
        <f t="shared" si="33"/>
        <v>412000000</v>
      </c>
      <c r="BI150" s="271"/>
      <c r="BJ150" s="271"/>
      <c r="BK150" s="271"/>
      <c r="BL150" s="271"/>
      <c r="BM150" s="271"/>
      <c r="BN150" s="271"/>
      <c r="BO150" s="271"/>
      <c r="BP150" s="271"/>
      <c r="BQ150" s="271"/>
      <c r="BR150" s="271"/>
      <c r="BS150" s="271"/>
      <c r="BT150" s="271"/>
      <c r="BU150" s="271"/>
      <c r="BV150" s="271"/>
      <c r="BW150" s="271"/>
      <c r="BX150" s="235">
        <f t="shared" si="34"/>
        <v>0</v>
      </c>
      <c r="BY150" s="271"/>
      <c r="BZ150" s="271"/>
      <c r="CA150" s="271"/>
      <c r="CB150" s="271"/>
      <c r="CC150" s="271"/>
      <c r="CD150" s="271"/>
      <c r="CE150" s="271"/>
      <c r="CF150" s="271"/>
      <c r="CG150" s="271"/>
      <c r="CH150" s="271"/>
      <c r="CI150" s="271"/>
      <c r="CJ150" s="271"/>
      <c r="CK150" s="271"/>
      <c r="CL150" s="271"/>
      <c r="CM150" s="271"/>
      <c r="CN150" s="235">
        <f t="shared" si="35"/>
        <v>0</v>
      </c>
      <c r="CO150" s="271"/>
      <c r="CP150" s="271"/>
      <c r="CQ150" s="271"/>
      <c r="CR150" s="271"/>
      <c r="CS150" s="271"/>
      <c r="CT150" s="271"/>
      <c r="CU150" s="271"/>
      <c r="CV150" s="271"/>
      <c r="CW150" s="271"/>
      <c r="CX150" s="271"/>
      <c r="CY150" s="271"/>
      <c r="CZ150" s="271"/>
      <c r="DA150" s="271"/>
      <c r="DB150" s="271"/>
      <c r="DC150" s="271"/>
      <c r="DD150" s="234">
        <f t="shared" si="36"/>
        <v>0</v>
      </c>
      <c r="DE150" s="244">
        <f t="shared" si="28"/>
        <v>412000000</v>
      </c>
    </row>
    <row r="151" spans="1:109" s="99" customFormat="1" ht="108" customHeight="1">
      <c r="A151" s="103" t="s">
        <v>1233</v>
      </c>
      <c r="B151" s="279" t="s">
        <v>9</v>
      </c>
      <c r="C151" s="279" t="s">
        <v>1701</v>
      </c>
      <c r="D151" s="279">
        <v>7</v>
      </c>
      <c r="E151" s="279" t="s">
        <v>203</v>
      </c>
      <c r="F151" s="280" t="s">
        <v>756</v>
      </c>
      <c r="G151" s="279" t="s">
        <v>3324</v>
      </c>
      <c r="H151" s="279">
        <v>12</v>
      </c>
      <c r="I151" s="279" t="s">
        <v>204</v>
      </c>
      <c r="J151" s="279" t="s">
        <v>205</v>
      </c>
      <c r="K151" s="279" t="s">
        <v>206</v>
      </c>
      <c r="L151" s="279" t="s">
        <v>206</v>
      </c>
      <c r="M151" s="279" t="s">
        <v>815</v>
      </c>
      <c r="N151" s="279" t="s">
        <v>816</v>
      </c>
      <c r="O151" s="279" t="s">
        <v>817</v>
      </c>
      <c r="P151" s="283">
        <v>141</v>
      </c>
      <c r="Q151" s="279" t="s">
        <v>3189</v>
      </c>
      <c r="R151" s="279" t="s">
        <v>820</v>
      </c>
      <c r="S151" s="279" t="s">
        <v>677</v>
      </c>
      <c r="T151" s="279">
        <v>0</v>
      </c>
      <c r="U151" s="267">
        <v>50</v>
      </c>
      <c r="V151" s="267">
        <v>25</v>
      </c>
      <c r="W151" s="224">
        <v>75</v>
      </c>
      <c r="X151" s="267">
        <v>1</v>
      </c>
      <c r="Y151" s="267">
        <v>3</v>
      </c>
      <c r="Z151" s="267">
        <v>3</v>
      </c>
      <c r="AA151" s="267">
        <v>3</v>
      </c>
      <c r="AB151" s="224">
        <v>10</v>
      </c>
      <c r="AC151" s="267">
        <v>1</v>
      </c>
      <c r="AD151" s="267">
        <v>3</v>
      </c>
      <c r="AE151" s="267">
        <v>3</v>
      </c>
      <c r="AF151" s="267">
        <v>3</v>
      </c>
      <c r="AG151" s="224">
        <v>10</v>
      </c>
      <c r="AH151" s="267"/>
      <c r="AI151" s="267">
        <v>2</v>
      </c>
      <c r="AJ151" s="267">
        <v>2</v>
      </c>
      <c r="AK151" s="267">
        <v>1</v>
      </c>
      <c r="AL151" s="224">
        <v>5</v>
      </c>
      <c r="AM151" s="104">
        <v>100</v>
      </c>
      <c r="AN151" s="103" t="s">
        <v>685</v>
      </c>
      <c r="AO151" s="103" t="s">
        <v>613</v>
      </c>
      <c r="AP151" s="103" t="s">
        <v>1214</v>
      </c>
      <c r="AQ151" s="103" t="s">
        <v>1194</v>
      </c>
      <c r="AR151" s="103" t="s">
        <v>938</v>
      </c>
      <c r="AS151" s="271"/>
      <c r="AT151" s="271"/>
      <c r="AU151" s="271"/>
      <c r="AV151" s="271">
        <v>654576858</v>
      </c>
      <c r="AW151" s="271"/>
      <c r="AX151" s="271"/>
      <c r="AY151" s="271"/>
      <c r="AZ151" s="271"/>
      <c r="BA151" s="271"/>
      <c r="BB151" s="271"/>
      <c r="BC151" s="271"/>
      <c r="BD151" s="271"/>
      <c r="BE151" s="271"/>
      <c r="BF151" s="271"/>
      <c r="BG151" s="271">
        <v>5800000000</v>
      </c>
      <c r="BH151" s="235">
        <f t="shared" si="33"/>
        <v>6454576858</v>
      </c>
      <c r="BI151" s="271"/>
      <c r="BJ151" s="271"/>
      <c r="BK151" s="271"/>
      <c r="BL151" s="271"/>
      <c r="BM151" s="271"/>
      <c r="BN151" s="271"/>
      <c r="BO151" s="271"/>
      <c r="BP151" s="271"/>
      <c r="BQ151" s="271"/>
      <c r="BR151" s="271"/>
      <c r="BS151" s="271"/>
      <c r="BT151" s="271"/>
      <c r="BU151" s="271"/>
      <c r="BV151" s="271">
        <v>8000000</v>
      </c>
      <c r="BW151" s="271"/>
      <c r="BX151" s="235">
        <f t="shared" si="34"/>
        <v>8000000</v>
      </c>
      <c r="BY151" s="271"/>
      <c r="BZ151" s="271"/>
      <c r="CA151" s="271"/>
      <c r="CB151" s="271"/>
      <c r="CC151" s="271"/>
      <c r="CD151" s="271"/>
      <c r="CE151" s="271"/>
      <c r="CF151" s="271"/>
      <c r="CG151" s="271"/>
      <c r="CH151" s="271"/>
      <c r="CI151" s="271"/>
      <c r="CJ151" s="271"/>
      <c r="CK151" s="271"/>
      <c r="CL151" s="271"/>
      <c r="CM151" s="271">
        <v>1985011364</v>
      </c>
      <c r="CN151" s="235">
        <f t="shared" si="35"/>
        <v>1985011364</v>
      </c>
      <c r="CO151" s="271"/>
      <c r="CP151" s="271"/>
      <c r="CQ151" s="271"/>
      <c r="CR151" s="271"/>
      <c r="CS151" s="271"/>
      <c r="CT151" s="271"/>
      <c r="CU151" s="271"/>
      <c r="CV151" s="271"/>
      <c r="CW151" s="271"/>
      <c r="CX151" s="271"/>
      <c r="CY151" s="271"/>
      <c r="CZ151" s="271"/>
      <c r="DA151" s="271"/>
      <c r="DB151" s="271">
        <v>10000000</v>
      </c>
      <c r="DC151" s="271"/>
      <c r="DD151" s="234">
        <f t="shared" si="36"/>
        <v>10000000</v>
      </c>
      <c r="DE151" s="244">
        <f t="shared" si="28"/>
        <v>8457588222</v>
      </c>
    </row>
    <row r="152" spans="1:109" s="99" customFormat="1" ht="108" customHeight="1">
      <c r="A152" s="103" t="s">
        <v>1233</v>
      </c>
      <c r="B152" s="279" t="s">
        <v>9</v>
      </c>
      <c r="C152" s="279" t="s">
        <v>1701</v>
      </c>
      <c r="D152" s="279">
        <v>7</v>
      </c>
      <c r="E152" s="279" t="s">
        <v>203</v>
      </c>
      <c r="F152" s="280" t="s">
        <v>756</v>
      </c>
      <c r="G152" s="279" t="s">
        <v>3324</v>
      </c>
      <c r="H152" s="279">
        <v>12</v>
      </c>
      <c r="I152" s="279" t="s">
        <v>204</v>
      </c>
      <c r="J152" s="279" t="s">
        <v>205</v>
      </c>
      <c r="K152" s="279" t="s">
        <v>206</v>
      </c>
      <c r="L152" s="279" t="s">
        <v>206</v>
      </c>
      <c r="M152" s="279" t="s">
        <v>815</v>
      </c>
      <c r="N152" s="279" t="s">
        <v>816</v>
      </c>
      <c r="O152" s="279" t="s">
        <v>817</v>
      </c>
      <c r="P152" s="283">
        <v>142</v>
      </c>
      <c r="Q152" s="279" t="s">
        <v>3346</v>
      </c>
      <c r="R152" s="279" t="s">
        <v>821</v>
      </c>
      <c r="S152" s="279" t="s">
        <v>677</v>
      </c>
      <c r="T152" s="279">
        <v>0</v>
      </c>
      <c r="U152" s="267">
        <v>50</v>
      </c>
      <c r="V152" s="267">
        <v>30</v>
      </c>
      <c r="W152" s="224">
        <v>80</v>
      </c>
      <c r="X152" s="267"/>
      <c r="Y152" s="267">
        <v>2</v>
      </c>
      <c r="Z152" s="267">
        <v>2</v>
      </c>
      <c r="AA152" s="267">
        <v>1</v>
      </c>
      <c r="AB152" s="224">
        <v>5</v>
      </c>
      <c r="AC152" s="267"/>
      <c r="AD152" s="267">
        <v>2</v>
      </c>
      <c r="AE152" s="267">
        <v>2</v>
      </c>
      <c r="AF152" s="267">
        <v>1</v>
      </c>
      <c r="AG152" s="224">
        <v>5</v>
      </c>
      <c r="AH152" s="267"/>
      <c r="AI152" s="267">
        <v>2</v>
      </c>
      <c r="AJ152" s="267">
        <v>2</v>
      </c>
      <c r="AK152" s="267">
        <v>1</v>
      </c>
      <c r="AL152" s="224">
        <v>5</v>
      </c>
      <c r="AM152" s="104">
        <v>95</v>
      </c>
      <c r="AN152" s="103" t="s">
        <v>685</v>
      </c>
      <c r="AO152" s="103" t="s">
        <v>613</v>
      </c>
      <c r="AP152" s="103" t="s">
        <v>1214</v>
      </c>
      <c r="AQ152" s="103" t="s">
        <v>1194</v>
      </c>
      <c r="AR152" s="103" t="s">
        <v>938</v>
      </c>
      <c r="AS152" s="271"/>
      <c r="AT152" s="271">
        <v>96000000</v>
      </c>
      <c r="AU152" s="271"/>
      <c r="AV152" s="271">
        <v>36939000</v>
      </c>
      <c r="AW152" s="271"/>
      <c r="AX152" s="271"/>
      <c r="AY152" s="271"/>
      <c r="AZ152" s="271"/>
      <c r="BA152" s="271"/>
      <c r="BB152" s="271"/>
      <c r="BC152" s="271"/>
      <c r="BD152" s="271"/>
      <c r="BE152" s="271"/>
      <c r="BF152" s="271">
        <v>73882200</v>
      </c>
      <c r="BG152" s="271"/>
      <c r="BH152" s="235">
        <f t="shared" si="33"/>
        <v>206821200</v>
      </c>
      <c r="BI152" s="271"/>
      <c r="BJ152" s="271"/>
      <c r="BK152" s="271"/>
      <c r="BL152" s="271"/>
      <c r="BM152" s="271"/>
      <c r="BN152" s="271"/>
      <c r="BO152" s="271"/>
      <c r="BP152" s="271"/>
      <c r="BQ152" s="271"/>
      <c r="BR152" s="271"/>
      <c r="BS152" s="271"/>
      <c r="BT152" s="271"/>
      <c r="BU152" s="271"/>
      <c r="BV152" s="271">
        <v>61098666</v>
      </c>
      <c r="BW152" s="271"/>
      <c r="BX152" s="235">
        <f t="shared" si="34"/>
        <v>61098666</v>
      </c>
      <c r="BY152" s="271"/>
      <c r="BZ152" s="271"/>
      <c r="CA152" s="271"/>
      <c r="CB152" s="271"/>
      <c r="CC152" s="271"/>
      <c r="CD152" s="271"/>
      <c r="CE152" s="271"/>
      <c r="CF152" s="271"/>
      <c r="CG152" s="271"/>
      <c r="CH152" s="271"/>
      <c r="CI152" s="271"/>
      <c r="CJ152" s="271"/>
      <c r="CK152" s="271"/>
      <c r="CL152" s="271">
        <v>60000000</v>
      </c>
      <c r="CM152" s="271"/>
      <c r="CN152" s="235">
        <f t="shared" si="35"/>
        <v>60000000</v>
      </c>
      <c r="CO152" s="271"/>
      <c r="CP152" s="271"/>
      <c r="CQ152" s="271"/>
      <c r="CR152" s="271"/>
      <c r="CS152" s="271"/>
      <c r="CT152" s="271"/>
      <c r="CU152" s="271"/>
      <c r="CV152" s="271"/>
      <c r="CW152" s="271"/>
      <c r="CX152" s="271"/>
      <c r="CY152" s="271"/>
      <c r="CZ152" s="271"/>
      <c r="DA152" s="271"/>
      <c r="DB152" s="271">
        <v>65733075</v>
      </c>
      <c r="DC152" s="271"/>
      <c r="DD152" s="234">
        <f t="shared" si="36"/>
        <v>65733075</v>
      </c>
      <c r="DE152" s="244">
        <f t="shared" si="28"/>
        <v>393652941</v>
      </c>
    </row>
    <row r="153" spans="1:109" s="99" customFormat="1" ht="108" customHeight="1">
      <c r="A153" s="103" t="s">
        <v>1233</v>
      </c>
      <c r="B153" s="279" t="s">
        <v>9</v>
      </c>
      <c r="C153" s="279" t="s">
        <v>1701</v>
      </c>
      <c r="D153" s="279">
        <v>7</v>
      </c>
      <c r="E153" s="279" t="s">
        <v>203</v>
      </c>
      <c r="F153" s="280" t="s">
        <v>756</v>
      </c>
      <c r="G153" s="279" t="s">
        <v>3324</v>
      </c>
      <c r="H153" s="279">
        <v>12</v>
      </c>
      <c r="I153" s="279" t="s">
        <v>204</v>
      </c>
      <c r="J153" s="279" t="s">
        <v>205</v>
      </c>
      <c r="K153" s="279" t="s">
        <v>206</v>
      </c>
      <c r="L153" s="279" t="s">
        <v>206</v>
      </c>
      <c r="M153" s="279" t="s">
        <v>815</v>
      </c>
      <c r="N153" s="279" t="s">
        <v>816</v>
      </c>
      <c r="O153" s="279" t="s">
        <v>817</v>
      </c>
      <c r="P153" s="283">
        <v>143</v>
      </c>
      <c r="Q153" s="279" t="s">
        <v>3498</v>
      </c>
      <c r="R153" s="279" t="s">
        <v>822</v>
      </c>
      <c r="S153" s="279" t="s">
        <v>683</v>
      </c>
      <c r="T153" s="279">
        <v>0</v>
      </c>
      <c r="U153" s="267"/>
      <c r="V153" s="267">
        <v>1</v>
      </c>
      <c r="W153" s="224">
        <v>1</v>
      </c>
      <c r="X153" s="267"/>
      <c r="Y153" s="267"/>
      <c r="Z153" s="267">
        <v>1</v>
      </c>
      <c r="AA153" s="267">
        <v>1</v>
      </c>
      <c r="AB153" s="224">
        <v>2</v>
      </c>
      <c r="AC153" s="267"/>
      <c r="AD153" s="267"/>
      <c r="AE153" s="267">
        <v>1</v>
      </c>
      <c r="AF153" s="267">
        <v>1</v>
      </c>
      <c r="AG153" s="224">
        <v>2</v>
      </c>
      <c r="AH153" s="267"/>
      <c r="AI153" s="267"/>
      <c r="AJ153" s="267"/>
      <c r="AK153" s="267">
        <v>1</v>
      </c>
      <c r="AL153" s="224">
        <v>1</v>
      </c>
      <c r="AM153" s="104">
        <v>6</v>
      </c>
      <c r="AN153" s="103" t="s">
        <v>685</v>
      </c>
      <c r="AO153" s="103" t="s">
        <v>613</v>
      </c>
      <c r="AP153" s="103" t="s">
        <v>1214</v>
      </c>
      <c r="AQ153" s="103" t="s">
        <v>1194</v>
      </c>
      <c r="AR153" s="103" t="s">
        <v>938</v>
      </c>
      <c r="AS153" s="271"/>
      <c r="AT153" s="271"/>
      <c r="AU153" s="271"/>
      <c r="AV153" s="271">
        <v>346546368</v>
      </c>
      <c r="AW153" s="271"/>
      <c r="AX153" s="271"/>
      <c r="AY153" s="271"/>
      <c r="AZ153" s="271"/>
      <c r="BA153" s="271"/>
      <c r="BB153" s="271"/>
      <c r="BC153" s="271"/>
      <c r="BD153" s="271"/>
      <c r="BE153" s="271"/>
      <c r="BF153" s="271"/>
      <c r="BG153" s="271"/>
      <c r="BH153" s="235">
        <f t="shared" si="33"/>
        <v>346546368</v>
      </c>
      <c r="BI153" s="271"/>
      <c r="BJ153" s="271"/>
      <c r="BK153" s="271"/>
      <c r="BL153" s="271"/>
      <c r="BM153" s="271"/>
      <c r="BN153" s="271"/>
      <c r="BO153" s="271"/>
      <c r="BP153" s="271"/>
      <c r="BQ153" s="271"/>
      <c r="BR153" s="271"/>
      <c r="BS153" s="271"/>
      <c r="BT153" s="271"/>
      <c r="BU153" s="271"/>
      <c r="BV153" s="271">
        <v>7000000</v>
      </c>
      <c r="BW153" s="271"/>
      <c r="BX153" s="235">
        <f t="shared" si="34"/>
        <v>7000000</v>
      </c>
      <c r="BY153" s="271"/>
      <c r="BZ153" s="271"/>
      <c r="CA153" s="271"/>
      <c r="CB153" s="271"/>
      <c r="CC153" s="271"/>
      <c r="CD153" s="271"/>
      <c r="CE153" s="271"/>
      <c r="CF153" s="271"/>
      <c r="CG153" s="271"/>
      <c r="CH153" s="271"/>
      <c r="CI153" s="271"/>
      <c r="CJ153" s="271"/>
      <c r="CK153" s="271"/>
      <c r="CL153" s="271">
        <v>18381626</v>
      </c>
      <c r="CM153" s="271"/>
      <c r="CN153" s="235">
        <f t="shared" si="35"/>
        <v>18381626</v>
      </c>
      <c r="CO153" s="271"/>
      <c r="CP153" s="271"/>
      <c r="CQ153" s="271"/>
      <c r="CR153" s="271"/>
      <c r="CS153" s="271"/>
      <c r="CT153" s="271"/>
      <c r="CU153" s="271"/>
      <c r="CV153" s="271"/>
      <c r="CW153" s="271"/>
      <c r="CX153" s="271"/>
      <c r="CY153" s="271"/>
      <c r="CZ153" s="271"/>
      <c r="DA153" s="271"/>
      <c r="DB153" s="271">
        <v>5000000</v>
      </c>
      <c r="DC153" s="271"/>
      <c r="DD153" s="234">
        <f t="shared" si="36"/>
        <v>5000000</v>
      </c>
      <c r="DE153" s="244">
        <f t="shared" si="28"/>
        <v>376927994</v>
      </c>
    </row>
    <row r="154" spans="1:109" s="99" customFormat="1" ht="108" customHeight="1">
      <c r="A154" s="120" t="s">
        <v>1233</v>
      </c>
      <c r="B154" s="281" t="s">
        <v>9</v>
      </c>
      <c r="C154" s="281" t="s">
        <v>1701</v>
      </c>
      <c r="D154" s="281">
        <v>7</v>
      </c>
      <c r="E154" s="281" t="s">
        <v>203</v>
      </c>
      <c r="F154" s="282" t="s">
        <v>756</v>
      </c>
      <c r="G154" s="281" t="s">
        <v>3324</v>
      </c>
      <c r="H154" s="281">
        <v>12</v>
      </c>
      <c r="I154" s="281" t="s">
        <v>204</v>
      </c>
      <c r="J154" s="281" t="s">
        <v>205</v>
      </c>
      <c r="K154" s="281" t="s">
        <v>206</v>
      </c>
      <c r="L154" s="281" t="s">
        <v>206</v>
      </c>
      <c r="M154" s="281" t="s">
        <v>815</v>
      </c>
      <c r="N154" s="281" t="s">
        <v>816</v>
      </c>
      <c r="O154" s="281" t="s">
        <v>817</v>
      </c>
      <c r="P154" s="283">
        <v>144</v>
      </c>
      <c r="Q154" s="281" t="s">
        <v>3499</v>
      </c>
      <c r="R154" s="281" t="s">
        <v>823</v>
      </c>
      <c r="S154" s="281" t="s">
        <v>683</v>
      </c>
      <c r="T154" s="281">
        <v>0</v>
      </c>
      <c r="U154" s="275">
        <v>34</v>
      </c>
      <c r="V154" s="275"/>
      <c r="W154" s="225">
        <v>34</v>
      </c>
      <c r="X154" s="275"/>
      <c r="Y154" s="275"/>
      <c r="Z154" s="275"/>
      <c r="AA154" s="275"/>
      <c r="AB154" s="225">
        <v>0</v>
      </c>
      <c r="AC154" s="275"/>
      <c r="AD154" s="275"/>
      <c r="AE154" s="275"/>
      <c r="AF154" s="275"/>
      <c r="AG154" s="225">
        <v>0</v>
      </c>
      <c r="AH154" s="275"/>
      <c r="AI154" s="275"/>
      <c r="AJ154" s="275"/>
      <c r="AK154" s="275"/>
      <c r="AL154" s="225">
        <v>0</v>
      </c>
      <c r="AM154" s="119">
        <v>34</v>
      </c>
      <c r="AN154" s="120" t="s">
        <v>685</v>
      </c>
      <c r="AO154" s="120" t="s">
        <v>613</v>
      </c>
      <c r="AP154" s="120" t="s">
        <v>1214</v>
      </c>
      <c r="AQ154" s="120" t="s">
        <v>1194</v>
      </c>
      <c r="AR154" s="120" t="s">
        <v>938</v>
      </c>
      <c r="AS154" s="276"/>
      <c r="AT154" s="276">
        <v>7790774000</v>
      </c>
      <c r="AU154" s="276"/>
      <c r="AV154" s="276">
        <v>9434121758</v>
      </c>
      <c r="AW154" s="276"/>
      <c r="AX154" s="276"/>
      <c r="AY154" s="276"/>
      <c r="AZ154" s="276"/>
      <c r="BA154" s="276"/>
      <c r="BB154" s="276"/>
      <c r="BC154" s="276"/>
      <c r="BD154" s="276"/>
      <c r="BE154" s="276"/>
      <c r="BF154" s="276"/>
      <c r="BG154" s="276">
        <v>5430511841.0299997</v>
      </c>
      <c r="BH154" s="236">
        <f t="shared" si="33"/>
        <v>22655407599.029999</v>
      </c>
      <c r="BI154" s="276"/>
      <c r="BJ154" s="276"/>
      <c r="BK154" s="276"/>
      <c r="BL154" s="276"/>
      <c r="BM154" s="276"/>
      <c r="BN154" s="276"/>
      <c r="BO154" s="276"/>
      <c r="BP154" s="276"/>
      <c r="BQ154" s="276"/>
      <c r="BR154" s="276"/>
      <c r="BS154" s="276"/>
      <c r="BT154" s="276"/>
      <c r="BU154" s="276"/>
      <c r="BV154" s="276"/>
      <c r="BW154" s="276"/>
      <c r="BX154" s="236">
        <f t="shared" si="34"/>
        <v>0</v>
      </c>
      <c r="BY154" s="276"/>
      <c r="BZ154" s="276"/>
      <c r="CA154" s="276"/>
      <c r="CB154" s="276"/>
      <c r="CC154" s="276"/>
      <c r="CD154" s="276"/>
      <c r="CE154" s="276"/>
      <c r="CF154" s="276"/>
      <c r="CG154" s="276"/>
      <c r="CH154" s="276"/>
      <c r="CI154" s="276"/>
      <c r="CJ154" s="276"/>
      <c r="CK154" s="276"/>
      <c r="CL154" s="276"/>
      <c r="CM154" s="276"/>
      <c r="CN154" s="236">
        <f t="shared" si="35"/>
        <v>0</v>
      </c>
      <c r="CO154" s="276"/>
      <c r="CP154" s="276"/>
      <c r="CQ154" s="276"/>
      <c r="CR154" s="276"/>
      <c r="CS154" s="276"/>
      <c r="CT154" s="276"/>
      <c r="CU154" s="276"/>
      <c r="CV154" s="276"/>
      <c r="CW154" s="276"/>
      <c r="CX154" s="276"/>
      <c r="CY154" s="276"/>
      <c r="CZ154" s="276"/>
      <c r="DA154" s="276"/>
      <c r="DB154" s="276"/>
      <c r="DC154" s="276"/>
      <c r="DD154" s="240">
        <f t="shared" si="36"/>
        <v>0</v>
      </c>
      <c r="DE154" s="245">
        <f t="shared" si="28"/>
        <v>22655407599.029999</v>
      </c>
    </row>
    <row r="155" spans="1:109" s="46" customFormat="1" ht="65.099999999999994" customHeight="1">
      <c r="A155" s="134" t="s">
        <v>1233</v>
      </c>
      <c r="B155" s="134" t="s">
        <v>9</v>
      </c>
      <c r="C155" s="134" t="s">
        <v>1701</v>
      </c>
      <c r="D155" s="148">
        <v>7</v>
      </c>
      <c r="E155" s="148" t="s">
        <v>203</v>
      </c>
      <c r="F155" s="149"/>
      <c r="G155" s="150"/>
      <c r="H155" s="151"/>
      <c r="I155" s="151"/>
      <c r="J155" s="151"/>
      <c r="K155" s="152"/>
      <c r="L155" s="151"/>
      <c r="M155" s="151"/>
      <c r="N155" s="151"/>
      <c r="O155" s="151"/>
      <c r="P155" s="151"/>
      <c r="Q155" s="150"/>
      <c r="R155" s="153"/>
      <c r="S155" s="151"/>
      <c r="T155" s="151"/>
      <c r="U155" s="154"/>
      <c r="V155" s="154"/>
      <c r="W155" s="152"/>
      <c r="X155" s="154"/>
      <c r="Y155" s="154"/>
      <c r="Z155" s="154"/>
      <c r="AA155" s="154"/>
      <c r="AB155" s="152"/>
      <c r="AC155" s="154"/>
      <c r="AD155" s="154"/>
      <c r="AE155" s="154"/>
      <c r="AF155" s="154"/>
      <c r="AG155" s="152"/>
      <c r="AH155" s="154"/>
      <c r="AI155" s="154"/>
      <c r="AJ155" s="154"/>
      <c r="AK155" s="154"/>
      <c r="AL155" s="152"/>
      <c r="AM155" s="155"/>
      <c r="AN155" s="156"/>
      <c r="AO155" s="156"/>
      <c r="AP155" s="157"/>
      <c r="AQ155" s="157"/>
      <c r="AR155" s="158"/>
      <c r="AS155" s="132">
        <f t="shared" ref="AS155:BG155" si="37">SUM(AS85:AS154)</f>
        <v>0</v>
      </c>
      <c r="AT155" s="132">
        <f t="shared" si="37"/>
        <v>10000000000</v>
      </c>
      <c r="AU155" s="132">
        <f t="shared" si="37"/>
        <v>0</v>
      </c>
      <c r="AV155" s="132">
        <f t="shared" si="37"/>
        <v>11569237200</v>
      </c>
      <c r="AW155" s="132">
        <f t="shared" si="37"/>
        <v>84018517274.773193</v>
      </c>
      <c r="AX155" s="132">
        <f t="shared" si="37"/>
        <v>0</v>
      </c>
      <c r="AY155" s="132">
        <f t="shared" si="37"/>
        <v>0</v>
      </c>
      <c r="AZ155" s="132">
        <f t="shared" si="37"/>
        <v>0</v>
      </c>
      <c r="BA155" s="132">
        <f t="shared" si="37"/>
        <v>0</v>
      </c>
      <c r="BB155" s="132">
        <f t="shared" si="37"/>
        <v>0</v>
      </c>
      <c r="BC155" s="132">
        <f t="shared" si="37"/>
        <v>0</v>
      </c>
      <c r="BD155" s="132">
        <f t="shared" si="37"/>
        <v>0</v>
      </c>
      <c r="BE155" s="132">
        <f t="shared" si="37"/>
        <v>0</v>
      </c>
      <c r="BF155" s="132">
        <f t="shared" si="37"/>
        <v>23287954188</v>
      </c>
      <c r="BG155" s="132">
        <f t="shared" si="37"/>
        <v>15230511841.029999</v>
      </c>
      <c r="BH155" s="133">
        <f>IF(OR(AND(BH85=0,W85&lt;&gt;0),AND(BH86=0,W86&lt;&gt;0),AND(BH87=0,W87&lt;&gt;0),AND(BH88=0,W88&lt;&gt;0),AND(BH89=0,W89&lt;&gt;0),AND(BH90=0,W90&lt;&gt;0),AND(BH91=0,W91&lt;&gt;0),AND(BH92=0,W92&lt;&gt;0),AND(BH93=0,W93&lt;&gt;0),AND(BH94=0,W94&lt;&gt;0),AND(BH95=0,W95&lt;&gt;0),AND(BH96=0,W96&lt;&gt;0),AND(BH97=0,W97&lt;&gt;0),AND(BH98=0,W98&lt;&gt;0),AND(BH99=0,W99&lt;&gt;0),AND(BH100=0,W100&lt;&gt;0),AND(BH101=0,W101&lt;&gt;0),AND(BH102=0,W102&lt;&gt;0),AND(BH103=0,W103&lt;&gt;0),AND(BH104=0,W104&lt;&gt;0),AND(BH105=0,W105&lt;&gt;0),AND(BH106=0,W106&lt;&gt;0),AND(BH107=0,W107&lt;&gt;0),AND(BH108=0,W108&lt;&gt;0),AND(BH109=0,W109&lt;&gt;0),AND(BH110=0,W110&lt;&gt;0),AND(BH111=0,W111&lt;&gt;0),AND(BH112=0,W112&lt;&gt;0),AND(BH113=0,W113&lt;&gt;0),AND(BH114=0,W114&lt;&gt;0),AND(BH115=0,W115&lt;&gt;0),AND(BH116=0,W116&lt;&gt;0),AND(BH117=0,W117&lt;&gt;0),AND(BH118=0,W118&lt;&gt;0),AND(BH119=0,W119&lt;&gt;0),AND(BH120=0,W120&lt;&gt;0),AND(BH121=0,W121&lt;&gt;0),AND(BH122=0,W122&lt;&gt;0),AND(BH123=0,W123&lt;&gt;0),AND(BH124=0,W124&lt;&gt;0),AND(BH125=0,W125&lt;&gt;0),AND(BH126=0,W126&lt;&gt;0),AND(BH127=0,W127&lt;&gt;0),AND(BH128=0,W128&lt;&gt;0),AND(BH129=0,W129&lt;&gt;0),AND(BH130=0,W130&lt;&gt;0),AND(BH131=0,W131&lt;&gt;0),AND(BH132=0,W132&lt;&gt;0),AND(BH133=0,W133&lt;&gt;0),AND(BH134=0,W134&lt;&gt;0),AND(BH135=0,W135&lt;&gt;0),AND(BH136=0,W136&lt;&gt;0),AND(BH137=0,W137&lt;&gt;0),AND(BH138=0,W138&lt;&gt;0),AND(BH139=0,W139&lt;&gt;0),AND(BH140=0,W140&lt;&gt;0),AND(BH141=0,W141&lt;&gt;0),AND(BH142=0,W142&lt;&gt;0),AND(BH143=0,W143&lt;&gt;0),AND(BH144=0,W144&lt;&gt;0),AND(BH145=0,W145&lt;&gt;0),AND(BH146=0,W146&lt;&gt;0),AND(BH147=0,W147&lt;&gt;0),AND(BH148=0,W148&lt;&gt;0),AND(BH149=0,W149&lt;&gt;0),AND(BH150=0,W150&lt;&gt;0),AND(BH151=0,W151&lt;&gt;0),AND(BH152=0,W152&lt;&gt;0),AND(BH153=0,W153&lt;&gt;0),AND(BH154=0,W154&lt;&gt;0)),"NO DEBEN QUEDAR CELDAS EN ROJO",SUM(BH85:BH154))</f>
        <v>144106220503.80319</v>
      </c>
      <c r="BI155" s="132">
        <f t="shared" ref="BI155:BW155" si="38">SUM(BI85:BI154)</f>
        <v>0</v>
      </c>
      <c r="BJ155" s="132">
        <f t="shared" si="38"/>
        <v>0</v>
      </c>
      <c r="BK155" s="132">
        <f t="shared" si="38"/>
        <v>0</v>
      </c>
      <c r="BL155" s="132">
        <f t="shared" si="38"/>
        <v>0</v>
      </c>
      <c r="BM155" s="132">
        <f t="shared" si="38"/>
        <v>87952989745.770004</v>
      </c>
      <c r="BN155" s="132">
        <f t="shared" si="38"/>
        <v>0</v>
      </c>
      <c r="BO155" s="132">
        <f t="shared" si="38"/>
        <v>0</v>
      </c>
      <c r="BP155" s="132">
        <f t="shared" si="38"/>
        <v>0</v>
      </c>
      <c r="BQ155" s="132">
        <f t="shared" si="38"/>
        <v>0</v>
      </c>
      <c r="BR155" s="132">
        <f t="shared" si="38"/>
        <v>0</v>
      </c>
      <c r="BS155" s="132">
        <f t="shared" si="38"/>
        <v>0</v>
      </c>
      <c r="BT155" s="132">
        <f t="shared" si="38"/>
        <v>0</v>
      </c>
      <c r="BU155" s="132">
        <f t="shared" si="38"/>
        <v>0</v>
      </c>
      <c r="BV155" s="132">
        <f t="shared" si="38"/>
        <v>23986592813.639999</v>
      </c>
      <c r="BW155" s="132">
        <f t="shared" si="38"/>
        <v>0</v>
      </c>
      <c r="BX155" s="133">
        <f>IF(OR(AND(BX85=0,AB85&lt;&gt;0),AND(BX86=0,AB86&lt;&gt;0),AND(BX87=0,AB87&lt;&gt;0),AND(BX88=0,AB88&lt;&gt;0),AND(BX89=0,AB89&lt;&gt;0),AND(BX90=0,AB90&lt;&gt;0),AND(BX91=0,AB91&lt;&gt;0),AND(BX92=0,AB92&lt;&gt;0),AND(BX93=0,AB93&lt;&gt;0),AND(BX94=0,AB94&lt;&gt;0),AND(BX95=0,AB95&lt;&gt;0),AND(BX96=0,AB96&lt;&gt;0),AND(BX97=0,AB97&lt;&gt;0),AND(BX98=0,AB98&lt;&gt;0),AND(BX99=0,AB99&lt;&gt;0),AND(BX100=0,AB100&lt;&gt;0),AND(BX101=0,AB101&lt;&gt;0),AND(BX102=0,AB102&lt;&gt;0),AND(BX103=0,AB103&lt;&gt;0),AND(BX104=0,AB104&lt;&gt;0),AND(BX105=0,AB105&lt;&gt;0),AND(BX106=0,AB106&lt;&gt;0),AND(BX107=0,AB107&lt;&gt;0),AND(BX108=0,AB108&lt;&gt;0),AND(BX109=0,AB109&lt;&gt;0),AND(BX110=0,AB110&lt;&gt;0),AND(BX111=0,AB111&lt;&gt;0),AND(BX112=0,AB112&lt;&gt;0),AND(BX113=0,AB113&lt;&gt;0),AND(BX114=0,AB114&lt;&gt;0),AND(BX115=0,AB115&lt;&gt;0),AND(BX116=0,AB116&lt;&gt;0),AND(BX117=0,AB117&lt;&gt;0),AND(BX118=0,AB118&lt;&gt;0),AND(BX119=0,AB119&lt;&gt;0),AND(BX120=0,AB120&lt;&gt;0),AND(BX121=0,AB121&lt;&gt;0),AND(BX122=0,AB122&lt;&gt;0),AND(BX123=0,AB123&lt;&gt;0),AND(BX124=0,AB124&lt;&gt;0),AND(BX125=0,AB125&lt;&gt;0),AND(BX126=0,AB126&lt;&gt;0),AND(BX127=0,AB127&lt;&gt;0),AND(BX128=0,AB128&lt;&gt;0),AND(BX129=0,AB129&lt;&gt;0),AND(BX130=0,AB130&lt;&gt;0),AND(BX131=0,AB131&lt;&gt;0),AND(BX132=0,AB132&lt;&gt;0),AND(BX133=0,AB133&lt;&gt;0),AND(BX134=0,AB134&lt;&gt;0),AND(BX135=0,AB135&lt;&gt;0),AND(BX136=0,AB136&lt;&gt;0),AND(BX137=0,AB137&lt;&gt;0),AND(BX138=0,AB138&lt;&gt;0),AND(BX139=0,AB139&lt;&gt;0),AND(BX140=0,AB140&lt;&gt;0),AND(BX141=0,AB141&lt;&gt;0),AND(BX142=0,AB142&lt;&gt;0),AND(BX143=0,AB143&lt;&gt;0),AND(BX144=0,AB144&lt;&gt;0),AND(BX145=0,AB145&lt;&gt;0),AND(BX146=0,AB146&lt;&gt;0),AND(BX147=0,AB147&lt;&gt;0),AND(BX148=0,AB148&lt;&gt;0),AND(BX149=0,AB149&lt;&gt;0),AND(BX150=0,AB150&lt;&gt;0),AND(BX151=0,AB151&lt;&gt;0),AND(BX152=0,AB152&lt;&gt;0),AND(BX153=0,AB153&lt;&gt;0),AND(BX154=0,AB154&lt;&gt;0)),"NO DEBEN QUEDAR CELDAS EN ROJO",SUM(BX85:BX154))</f>
        <v>111939582559.41</v>
      </c>
      <c r="BY155" s="132">
        <f t="shared" ref="BY155:CM155" si="39">SUM(BY85:BY154)</f>
        <v>0</v>
      </c>
      <c r="BZ155" s="132">
        <f t="shared" si="39"/>
        <v>0</v>
      </c>
      <c r="CA155" s="132">
        <f t="shared" si="39"/>
        <v>0</v>
      </c>
      <c r="CB155" s="132">
        <f t="shared" si="39"/>
        <v>0</v>
      </c>
      <c r="CC155" s="132">
        <f t="shared" si="39"/>
        <v>90702807571.373108</v>
      </c>
      <c r="CD155" s="132">
        <f t="shared" si="39"/>
        <v>0</v>
      </c>
      <c r="CE155" s="132">
        <f t="shared" si="39"/>
        <v>0</v>
      </c>
      <c r="CF155" s="132">
        <f t="shared" si="39"/>
        <v>0</v>
      </c>
      <c r="CG155" s="132">
        <f t="shared" si="39"/>
        <v>0</v>
      </c>
      <c r="CH155" s="132">
        <f t="shared" si="39"/>
        <v>0</v>
      </c>
      <c r="CI155" s="132">
        <f t="shared" si="39"/>
        <v>0</v>
      </c>
      <c r="CJ155" s="132">
        <f t="shared" si="39"/>
        <v>0</v>
      </c>
      <c r="CK155" s="132">
        <f t="shared" si="39"/>
        <v>0</v>
      </c>
      <c r="CL155" s="132">
        <f t="shared" si="39"/>
        <v>24706190598.049198</v>
      </c>
      <c r="CM155" s="132">
        <f t="shared" si="39"/>
        <v>9365968592.2914009</v>
      </c>
      <c r="CN155" s="133">
        <f>IF(OR(AND(CN85=0,AG85&lt;&gt;0),AND(CN86=0,AG86&lt;&gt;0),AND(CN87=0,AG87&lt;&gt;0),AND(CN88=0,AG88&lt;&gt;0),AND(CN89=0,AG89&lt;&gt;0),AND(CN90=0,AG90&lt;&gt;0),AND(CN91=0,AG91&lt;&gt;0),AND(CN92=0,AG92&lt;&gt;0),AND(CN93=0,AG93&lt;&gt;0),AND(CN94=0,AG94&lt;&gt;0),AND(CN95=0,AG95&lt;&gt;0),AND(CN96=0,AG96&lt;&gt;0),AND(CN97=0,AG97&lt;&gt;0),AND(CN98=0,AG98&lt;&gt;0),AND(CN99=0,AG99&lt;&gt;0),AND(CN100=0,AG100&lt;&gt;0),AND(CN101=0,AG101&lt;&gt;0),AND(CN102=0,AG102&lt;&gt;0),AND(CN103=0,AG103&lt;&gt;0),AND(CN104=0,AG104&lt;&gt;0),AND(CN105=0,AG105&lt;&gt;0),AND(CN106=0,AG106&lt;&gt;0),AND(CN107=0,AG107&lt;&gt;0),AND(CN108=0,AG108&lt;&gt;0),AND(CN109=0,AG109&lt;&gt;0),AND(CN110=0,AG110&lt;&gt;0),AND(CN111=0,AG111&lt;&gt;0),AND(CN112=0,AG112&lt;&gt;0),AND(CN113=0,AG113&lt;&gt;0),AND(CN114=0,AG114&lt;&gt;0),AND(CN115=0,AG115&lt;&gt;0),AND(CN116=0,AG116&lt;&gt;0),AND(CN117=0,AG117&lt;&gt;0),AND(CN118=0,AG118&lt;&gt;0),AND(CN119=0,AG119&lt;&gt;0),AND(CN120=0,AG120&lt;&gt;0),AND(CN121=0,AG121&lt;&gt;0),AND(CN122=0,AG122&lt;&gt;0),AND(CN123=0,AG123&lt;&gt;0),AND(CN124=0,AG124&lt;&gt;0),AND(CN125=0,AG125&lt;&gt;0),AND(CN126=0,AG126&lt;&gt;0),AND(CN127=0,AG127&lt;&gt;0),AND(CN128=0,AG128&lt;&gt;0),AND(CN129=0,AG129&lt;&gt;0),AND(CN130=0,AG130&lt;&gt;0),AND(CN131=0,AG131&lt;&gt;0),AND(CN132=0,AG132&lt;&gt;0),AND(CN133=0,AG133&lt;&gt;0),AND(CN134=0,AG134&lt;&gt;0),AND(CN135=0,AG135&lt;&gt;0),AND(CN136=0,AG136&lt;&gt;0),AND(CN137=0,AG137&lt;&gt;0),AND(CN138=0,AG138&lt;&gt;0),AND(CN139=0,AG139&lt;&gt;0),AND(CN140=0,AG140&lt;&gt;0),AND(CN141=0,AG141&lt;&gt;0),AND(CN142=0,AG142&lt;&gt;0),AND(CN143=0,AG143&lt;&gt;0),AND(CN144=0,AG144&lt;&gt;0),AND(CN145=0,AG145&lt;&gt;0),AND(CN146=0,AG146&lt;&gt;0),AND(CN147=0,AG147&lt;&gt;0),AND(CN148=0,AG148&lt;&gt;0),AND(CN149=0,AG149&lt;&gt;0),AND(CN150=0,AG150&lt;&gt;0),AND(CN151=0,AG151&lt;&gt;0),AND(CN152=0,AG152&lt;&gt;0),AND(CN153=0,AG153&lt;&gt;0),AND(CN154=0,AG154&lt;&gt;0)),"NO DEBEN QUEDAR CELDAS EN ROJO",SUM(CN85:CN154))</f>
        <v>124774966761.71371</v>
      </c>
      <c r="CO155" s="132">
        <f t="shared" ref="CO155:DC155" si="40">SUM(CO85:CO154)</f>
        <v>0</v>
      </c>
      <c r="CP155" s="132">
        <f t="shared" si="40"/>
        <v>0</v>
      </c>
      <c r="CQ155" s="132">
        <f t="shared" si="40"/>
        <v>0</v>
      </c>
      <c r="CR155" s="132">
        <f t="shared" si="40"/>
        <v>0</v>
      </c>
      <c r="CS155" s="132">
        <f t="shared" si="40"/>
        <v>94330919875</v>
      </c>
      <c r="CT155" s="132">
        <f t="shared" si="40"/>
        <v>0</v>
      </c>
      <c r="CU155" s="132">
        <f t="shared" si="40"/>
        <v>0</v>
      </c>
      <c r="CV155" s="132">
        <f t="shared" si="40"/>
        <v>0</v>
      </c>
      <c r="CW155" s="132">
        <f t="shared" si="40"/>
        <v>0</v>
      </c>
      <c r="CX155" s="132">
        <f t="shared" si="40"/>
        <v>0</v>
      </c>
      <c r="CY155" s="132">
        <f t="shared" si="40"/>
        <v>0</v>
      </c>
      <c r="CZ155" s="132">
        <f t="shared" si="40"/>
        <v>0</v>
      </c>
      <c r="DA155" s="132">
        <f t="shared" si="40"/>
        <v>0</v>
      </c>
      <c r="DB155" s="132">
        <f t="shared" si="40"/>
        <v>25447376315.9907</v>
      </c>
      <c r="DC155" s="132">
        <f t="shared" si="40"/>
        <v>0</v>
      </c>
      <c r="DD155" s="133">
        <f>IF(OR(AND(DD85=0,AL85&lt;&gt;0),AND(DD86=0,AL86&lt;&gt;0),AND(DD87=0,AL87&lt;&gt;0),AND(DD88=0,AL88&lt;&gt;0),AND(DD89=0,AL89&lt;&gt;0),AND(DD90=0,AL90&lt;&gt;0),AND(DD91=0,AL91&lt;&gt;0),AND(DD92=0,AL92&lt;&gt;0),AND(DD93=0,AL93&lt;&gt;0),AND(DD94=0,AL94&lt;&gt;0),AND(DD95=0,AL95&lt;&gt;0),AND(DD96=0,AL96&lt;&gt;0),AND(DD97=0,AL97&lt;&gt;0),AND(DD98=0,AL98&lt;&gt;0),AND(DD99=0,AL99&lt;&gt;0),AND(DD100=0,AL100&lt;&gt;0),AND(DD101=0,AL101&lt;&gt;0),AND(DD102=0,AL102&lt;&gt;0),AND(DD103=0,AL103&lt;&gt;0),AND(DD104=0,AL104&lt;&gt;0),AND(DD105=0,AL105&lt;&gt;0),AND(DD106=0,AL106&lt;&gt;0),AND(DD107=0,AL107&lt;&gt;0),AND(DD108=0,AL108&lt;&gt;0),AND(DD109=0,AL109&lt;&gt;0),AND(DD110=0,AL110&lt;&gt;0),AND(DD111=0,AL111&lt;&gt;0),AND(DD112=0,AL112&lt;&gt;0),AND(DD113=0,AL113&lt;&gt;0),AND(DD114=0,AL114&lt;&gt;0),AND(DD115=0,AL115&lt;&gt;0),AND(DD116=0,AL116&lt;&gt;0),AND(DD117=0,AL117&lt;&gt;0),AND(DD118=0,AL118&lt;&gt;0),AND(DD119=0,AL119&lt;&gt;0),AND(DD120=0,AL120&lt;&gt;0),AND(DD121=0,AL121&lt;&gt;0),AND(DD122=0,AL122&lt;&gt;0),AND(DD123=0,AL123&lt;&gt;0),AND(DD124=0,AL124&lt;&gt;0),AND(DD125=0,AL125&lt;&gt;0),AND(DD126=0,AL126&lt;&gt;0),AND(DD127=0,AL127&lt;&gt;0),AND(DD128=0,AL128&lt;&gt;0),AND(DD129=0,AL129&lt;&gt;0),AND(DD130=0,AL130&lt;&gt;0),AND(DD131=0,AL131&lt;&gt;0),AND(DD132=0,AL132&lt;&gt;0),AND(DD133=0,AL133&lt;&gt;0),AND(DD134=0,AL134&lt;&gt;0),AND(DD135=0,AL135&lt;&gt;0),AND(DD136=0,AL136&lt;&gt;0),AND(DD137=0,AL137&lt;&gt;0),AND(DD138=0,AL138&lt;&gt;0),AND(DD139=0,AL139&lt;&gt;0),AND(DD140=0,AL140&lt;&gt;0),AND(DD141=0,AL141&lt;&gt;0),AND(DD142=0,AL142&lt;&gt;0),AND(DD143=0,AL143&lt;&gt;0),AND(DD144=0,AL144&lt;&gt;0),AND(DD145=0,AL145&lt;&gt;0),AND(DD146=0,AL146&lt;&gt;0),AND(DD147=0,AL147&lt;&gt;0),AND(DD148=0,AL148&lt;&gt;0),AND(DD149=0,AL149&lt;&gt;0),AND(DD150=0,AL150&lt;&gt;0),AND(DD151=0,AL151&lt;&gt;0),AND(DD152=0,AL152&lt;&gt;0),AND(DD153=0,AL153&lt;&gt;0),AND(DD154=0,AL154&lt;&gt;0)),"NO DEBEN QUEDAR CELDAS EN ROJO",SUM(DD85:DD154))</f>
        <v>119778296190.99069</v>
      </c>
      <c r="DE155" s="133">
        <f>SUM(DE85:DE154)</f>
        <v>500599066015.9176</v>
      </c>
    </row>
    <row r="156" spans="1:109" s="116" customFormat="1" ht="55.05" customHeight="1">
      <c r="A156" s="124" t="s">
        <v>1233</v>
      </c>
      <c r="B156" s="125" t="s">
        <v>9</v>
      </c>
      <c r="C156" s="145" t="s">
        <v>1701</v>
      </c>
      <c r="D156" s="160"/>
      <c r="E156" s="161"/>
      <c r="F156" s="162"/>
      <c r="G156" s="163"/>
      <c r="H156" s="161"/>
      <c r="I156" s="161"/>
      <c r="J156" s="161"/>
      <c r="K156" s="161"/>
      <c r="L156" s="161"/>
      <c r="M156" s="161"/>
      <c r="N156" s="161"/>
      <c r="O156" s="161"/>
      <c r="P156" s="161"/>
      <c r="Q156" s="163"/>
      <c r="R156" s="164"/>
      <c r="S156" s="161"/>
      <c r="T156" s="161"/>
      <c r="U156" s="165"/>
      <c r="V156" s="165"/>
      <c r="W156" s="166"/>
      <c r="X156" s="165"/>
      <c r="Y156" s="165"/>
      <c r="Z156" s="165"/>
      <c r="AA156" s="165"/>
      <c r="AB156" s="166"/>
      <c r="AC156" s="165"/>
      <c r="AD156" s="165"/>
      <c r="AE156" s="165"/>
      <c r="AF156" s="165"/>
      <c r="AG156" s="166"/>
      <c r="AH156" s="165"/>
      <c r="AI156" s="165"/>
      <c r="AJ156" s="165"/>
      <c r="AK156" s="165"/>
      <c r="AL156" s="166"/>
      <c r="AM156" s="167"/>
      <c r="AN156" s="168"/>
      <c r="AO156" s="168"/>
      <c r="AP156" s="163"/>
      <c r="AQ156" s="163"/>
      <c r="AR156" s="169"/>
      <c r="AS156" s="147">
        <f>AS155</f>
        <v>0</v>
      </c>
      <c r="AT156" s="130">
        <f t="shared" ref="AT156:DE156" si="41">AT155</f>
        <v>10000000000</v>
      </c>
      <c r="AU156" s="130">
        <f t="shared" si="41"/>
        <v>0</v>
      </c>
      <c r="AV156" s="130">
        <f t="shared" si="41"/>
        <v>11569237200</v>
      </c>
      <c r="AW156" s="130">
        <f t="shared" si="41"/>
        <v>84018517274.773193</v>
      </c>
      <c r="AX156" s="130">
        <f t="shared" si="41"/>
        <v>0</v>
      </c>
      <c r="AY156" s="130">
        <f t="shared" si="41"/>
        <v>0</v>
      </c>
      <c r="AZ156" s="130">
        <f t="shared" si="41"/>
        <v>0</v>
      </c>
      <c r="BA156" s="130">
        <f t="shared" si="41"/>
        <v>0</v>
      </c>
      <c r="BB156" s="130">
        <f t="shared" si="41"/>
        <v>0</v>
      </c>
      <c r="BC156" s="130">
        <f t="shared" si="41"/>
        <v>0</v>
      </c>
      <c r="BD156" s="130">
        <f t="shared" si="41"/>
        <v>0</v>
      </c>
      <c r="BE156" s="130">
        <f t="shared" si="41"/>
        <v>0</v>
      </c>
      <c r="BF156" s="130">
        <f t="shared" si="41"/>
        <v>23287954188</v>
      </c>
      <c r="BG156" s="130">
        <f t="shared" si="41"/>
        <v>15230511841.029999</v>
      </c>
      <c r="BH156" s="131">
        <f t="shared" si="41"/>
        <v>144106220503.80319</v>
      </c>
      <c r="BI156" s="130">
        <f t="shared" si="41"/>
        <v>0</v>
      </c>
      <c r="BJ156" s="130">
        <f t="shared" si="41"/>
        <v>0</v>
      </c>
      <c r="BK156" s="130">
        <f t="shared" si="41"/>
        <v>0</v>
      </c>
      <c r="BL156" s="130">
        <f t="shared" si="41"/>
        <v>0</v>
      </c>
      <c r="BM156" s="130">
        <f t="shared" si="41"/>
        <v>87952989745.770004</v>
      </c>
      <c r="BN156" s="130">
        <f t="shared" si="41"/>
        <v>0</v>
      </c>
      <c r="BO156" s="130">
        <f t="shared" si="41"/>
        <v>0</v>
      </c>
      <c r="BP156" s="130">
        <f t="shared" si="41"/>
        <v>0</v>
      </c>
      <c r="BQ156" s="130">
        <f t="shared" si="41"/>
        <v>0</v>
      </c>
      <c r="BR156" s="130">
        <f t="shared" si="41"/>
        <v>0</v>
      </c>
      <c r="BS156" s="130">
        <f t="shared" si="41"/>
        <v>0</v>
      </c>
      <c r="BT156" s="130">
        <f t="shared" si="41"/>
        <v>0</v>
      </c>
      <c r="BU156" s="130">
        <f t="shared" si="41"/>
        <v>0</v>
      </c>
      <c r="BV156" s="130">
        <f t="shared" si="41"/>
        <v>23986592813.639999</v>
      </c>
      <c r="BW156" s="130">
        <f t="shared" si="41"/>
        <v>0</v>
      </c>
      <c r="BX156" s="131">
        <f t="shared" si="41"/>
        <v>111939582559.41</v>
      </c>
      <c r="BY156" s="130">
        <f t="shared" si="41"/>
        <v>0</v>
      </c>
      <c r="BZ156" s="130">
        <f t="shared" si="41"/>
        <v>0</v>
      </c>
      <c r="CA156" s="130">
        <f t="shared" si="41"/>
        <v>0</v>
      </c>
      <c r="CB156" s="130">
        <f t="shared" si="41"/>
        <v>0</v>
      </c>
      <c r="CC156" s="130">
        <f t="shared" si="41"/>
        <v>90702807571.373108</v>
      </c>
      <c r="CD156" s="130">
        <f t="shared" si="41"/>
        <v>0</v>
      </c>
      <c r="CE156" s="130">
        <f t="shared" si="41"/>
        <v>0</v>
      </c>
      <c r="CF156" s="130">
        <f t="shared" si="41"/>
        <v>0</v>
      </c>
      <c r="CG156" s="130">
        <f t="shared" si="41"/>
        <v>0</v>
      </c>
      <c r="CH156" s="130">
        <f t="shared" si="41"/>
        <v>0</v>
      </c>
      <c r="CI156" s="130">
        <f t="shared" si="41"/>
        <v>0</v>
      </c>
      <c r="CJ156" s="130">
        <f t="shared" si="41"/>
        <v>0</v>
      </c>
      <c r="CK156" s="130">
        <f t="shared" si="41"/>
        <v>0</v>
      </c>
      <c r="CL156" s="130">
        <f t="shared" si="41"/>
        <v>24706190598.049198</v>
      </c>
      <c r="CM156" s="130">
        <f t="shared" si="41"/>
        <v>9365968592.2914009</v>
      </c>
      <c r="CN156" s="131">
        <f t="shared" si="41"/>
        <v>124774966761.71371</v>
      </c>
      <c r="CO156" s="130">
        <f t="shared" si="41"/>
        <v>0</v>
      </c>
      <c r="CP156" s="130">
        <f t="shared" si="41"/>
        <v>0</v>
      </c>
      <c r="CQ156" s="130">
        <f t="shared" si="41"/>
        <v>0</v>
      </c>
      <c r="CR156" s="130">
        <f t="shared" si="41"/>
        <v>0</v>
      </c>
      <c r="CS156" s="130">
        <f t="shared" si="41"/>
        <v>94330919875</v>
      </c>
      <c r="CT156" s="130">
        <f t="shared" si="41"/>
        <v>0</v>
      </c>
      <c r="CU156" s="130">
        <f t="shared" si="41"/>
        <v>0</v>
      </c>
      <c r="CV156" s="130">
        <f t="shared" si="41"/>
        <v>0</v>
      </c>
      <c r="CW156" s="130">
        <f t="shared" si="41"/>
        <v>0</v>
      </c>
      <c r="CX156" s="130">
        <f t="shared" si="41"/>
        <v>0</v>
      </c>
      <c r="CY156" s="130">
        <f t="shared" si="41"/>
        <v>0</v>
      </c>
      <c r="CZ156" s="130">
        <f t="shared" si="41"/>
        <v>0</v>
      </c>
      <c r="DA156" s="130">
        <f t="shared" si="41"/>
        <v>0</v>
      </c>
      <c r="DB156" s="130">
        <f t="shared" si="41"/>
        <v>25447376315.9907</v>
      </c>
      <c r="DC156" s="130">
        <f t="shared" si="41"/>
        <v>0</v>
      </c>
      <c r="DD156" s="131">
        <f t="shared" si="41"/>
        <v>119778296190.99069</v>
      </c>
      <c r="DE156" s="131">
        <f t="shared" si="41"/>
        <v>500599066015.9176</v>
      </c>
    </row>
    <row r="157" spans="1:109" s="99" customFormat="1" ht="92.1" customHeight="1">
      <c r="A157" s="103" t="s">
        <v>1234</v>
      </c>
      <c r="B157" s="103" t="s">
        <v>9</v>
      </c>
      <c r="C157" s="103" t="s">
        <v>1702</v>
      </c>
      <c r="D157" s="103">
        <v>8</v>
      </c>
      <c r="E157" s="103" t="s">
        <v>824</v>
      </c>
      <c r="F157" s="278" t="s">
        <v>825</v>
      </c>
      <c r="G157" s="103" t="s">
        <v>3347</v>
      </c>
      <c r="H157" s="103">
        <v>14</v>
      </c>
      <c r="I157" s="103" t="s">
        <v>290</v>
      </c>
      <c r="J157" s="103" t="s">
        <v>677</v>
      </c>
      <c r="K157" s="103">
        <v>5.6</v>
      </c>
      <c r="L157" s="103" t="s">
        <v>827</v>
      </c>
      <c r="M157" s="103" t="s">
        <v>828</v>
      </c>
      <c r="N157" s="103" t="s">
        <v>829</v>
      </c>
      <c r="O157" s="103" t="s">
        <v>288</v>
      </c>
      <c r="P157" s="266">
        <v>145</v>
      </c>
      <c r="Q157" s="103" t="s">
        <v>3021</v>
      </c>
      <c r="R157" s="103" t="s">
        <v>831</v>
      </c>
      <c r="S157" s="103" t="s">
        <v>683</v>
      </c>
      <c r="T157" s="103">
        <v>1470</v>
      </c>
      <c r="U157" s="267"/>
      <c r="V157" s="267"/>
      <c r="W157" s="224">
        <v>0</v>
      </c>
      <c r="X157" s="267"/>
      <c r="Y157" s="267"/>
      <c r="Z157" s="267"/>
      <c r="AA157" s="267">
        <v>50</v>
      </c>
      <c r="AB157" s="224">
        <v>50</v>
      </c>
      <c r="AC157" s="267"/>
      <c r="AD157" s="267"/>
      <c r="AE157" s="267">
        <v>100</v>
      </c>
      <c r="AF157" s="267">
        <v>100</v>
      </c>
      <c r="AG157" s="224">
        <v>200</v>
      </c>
      <c r="AH157" s="267">
        <v>100</v>
      </c>
      <c r="AI157" s="267">
        <v>100</v>
      </c>
      <c r="AJ157" s="267"/>
      <c r="AK157" s="267"/>
      <c r="AL157" s="224">
        <v>200</v>
      </c>
      <c r="AM157" s="102">
        <v>450</v>
      </c>
      <c r="AN157" s="103" t="s">
        <v>685</v>
      </c>
      <c r="AO157" s="103" t="s">
        <v>614</v>
      </c>
      <c r="AP157" s="103" t="s">
        <v>1219</v>
      </c>
      <c r="AQ157" s="103" t="s">
        <v>1196</v>
      </c>
      <c r="AR157" s="103" t="s">
        <v>946</v>
      </c>
      <c r="AS157" s="268"/>
      <c r="AT157" s="268"/>
      <c r="AU157" s="268"/>
      <c r="AV157" s="268"/>
      <c r="AW157" s="268"/>
      <c r="AX157" s="268"/>
      <c r="AY157" s="268"/>
      <c r="AZ157" s="268"/>
      <c r="BA157" s="268"/>
      <c r="BB157" s="268"/>
      <c r="BC157" s="268"/>
      <c r="BD157" s="268"/>
      <c r="BE157" s="268"/>
      <c r="BF157" s="268"/>
      <c r="BG157" s="268"/>
      <c r="BH157" s="234">
        <v>0</v>
      </c>
      <c r="BI157" s="268"/>
      <c r="BJ157" s="268"/>
      <c r="BK157" s="268"/>
      <c r="BL157" s="268"/>
      <c r="BM157" s="268">
        <v>131626765</v>
      </c>
      <c r="BN157" s="268"/>
      <c r="BO157" s="268"/>
      <c r="BP157" s="268"/>
      <c r="BQ157" s="268"/>
      <c r="BR157" s="268"/>
      <c r="BS157" s="268"/>
      <c r="BT157" s="268"/>
      <c r="BU157" s="268"/>
      <c r="BV157" s="268"/>
      <c r="BW157" s="268"/>
      <c r="BX157" s="234">
        <v>131626765</v>
      </c>
      <c r="BY157" s="268"/>
      <c r="BZ157" s="268">
        <v>4195804194</v>
      </c>
      <c r="CA157" s="268"/>
      <c r="CB157" s="268"/>
      <c r="CC157" s="268"/>
      <c r="CD157" s="268"/>
      <c r="CE157" s="268"/>
      <c r="CF157" s="268"/>
      <c r="CG157" s="268"/>
      <c r="CH157" s="268"/>
      <c r="CI157" s="268"/>
      <c r="CJ157" s="268"/>
      <c r="CK157" s="268"/>
      <c r="CL157" s="268"/>
      <c r="CM157" s="268"/>
      <c r="CN157" s="234">
        <v>4195804194</v>
      </c>
      <c r="CO157" s="268"/>
      <c r="CP157" s="268"/>
      <c r="CQ157" s="268"/>
      <c r="CR157" s="268"/>
      <c r="CS157" s="268"/>
      <c r="CT157" s="268"/>
      <c r="CU157" s="268"/>
      <c r="CV157" s="268"/>
      <c r="CW157" s="268"/>
      <c r="CX157" s="268"/>
      <c r="CY157" s="268"/>
      <c r="CZ157" s="268"/>
      <c r="DA157" s="268"/>
      <c r="DB157" s="268"/>
      <c r="DC157" s="268">
        <v>4000000000</v>
      </c>
      <c r="DD157" s="234">
        <v>4000000000</v>
      </c>
      <c r="DE157" s="243">
        <v>8327430959</v>
      </c>
    </row>
    <row r="158" spans="1:109" s="99" customFormat="1" ht="92.1" customHeight="1">
      <c r="A158" s="103" t="s">
        <v>1234</v>
      </c>
      <c r="B158" s="279" t="s">
        <v>9</v>
      </c>
      <c r="C158" s="279" t="s">
        <v>1702</v>
      </c>
      <c r="D158" s="279">
        <v>8</v>
      </c>
      <c r="E158" s="279" t="s">
        <v>824</v>
      </c>
      <c r="F158" s="280" t="s">
        <v>825</v>
      </c>
      <c r="G158" s="279" t="s">
        <v>3348</v>
      </c>
      <c r="H158" s="279">
        <v>14</v>
      </c>
      <c r="I158" s="279" t="s">
        <v>290</v>
      </c>
      <c r="J158" s="279" t="s">
        <v>677</v>
      </c>
      <c r="K158" s="279">
        <v>5.6</v>
      </c>
      <c r="L158" s="279" t="s">
        <v>827</v>
      </c>
      <c r="M158" s="279" t="s">
        <v>828</v>
      </c>
      <c r="N158" s="279" t="s">
        <v>829</v>
      </c>
      <c r="O158" s="279" t="s">
        <v>830</v>
      </c>
      <c r="P158" s="266">
        <v>146</v>
      </c>
      <c r="Q158" s="279" t="s">
        <v>3349</v>
      </c>
      <c r="R158" s="279" t="s">
        <v>832</v>
      </c>
      <c r="S158" s="279" t="s">
        <v>683</v>
      </c>
      <c r="T158" s="279">
        <v>62</v>
      </c>
      <c r="U158" s="267"/>
      <c r="V158" s="267"/>
      <c r="W158" s="224">
        <v>0</v>
      </c>
      <c r="X158" s="267"/>
      <c r="Y158" s="267"/>
      <c r="Z158" s="267"/>
      <c r="AA158" s="267">
        <v>5</v>
      </c>
      <c r="AB158" s="224">
        <v>5</v>
      </c>
      <c r="AC158" s="267"/>
      <c r="AD158" s="267"/>
      <c r="AE158" s="267">
        <v>10</v>
      </c>
      <c r="AF158" s="267">
        <v>10</v>
      </c>
      <c r="AG158" s="224">
        <v>20</v>
      </c>
      <c r="AH158" s="267">
        <v>10</v>
      </c>
      <c r="AI158" s="267">
        <v>10</v>
      </c>
      <c r="AJ158" s="267"/>
      <c r="AK158" s="267"/>
      <c r="AL158" s="224">
        <v>20</v>
      </c>
      <c r="AM158" s="104">
        <v>45</v>
      </c>
      <c r="AN158" s="103" t="s">
        <v>685</v>
      </c>
      <c r="AO158" s="103" t="s">
        <v>614</v>
      </c>
      <c r="AP158" s="103" t="s">
        <v>1219</v>
      </c>
      <c r="AQ158" s="103" t="s">
        <v>1196</v>
      </c>
      <c r="AR158" s="103" t="s">
        <v>945</v>
      </c>
      <c r="AS158" s="271"/>
      <c r="AT158" s="271"/>
      <c r="AU158" s="271"/>
      <c r="AV158" s="271"/>
      <c r="AW158" s="271"/>
      <c r="AX158" s="271"/>
      <c r="AY158" s="271"/>
      <c r="AZ158" s="271"/>
      <c r="BA158" s="271"/>
      <c r="BB158" s="271"/>
      <c r="BC158" s="271"/>
      <c r="BD158" s="271"/>
      <c r="BE158" s="271"/>
      <c r="BF158" s="271"/>
      <c r="BG158" s="271"/>
      <c r="BH158" s="235">
        <v>0</v>
      </c>
      <c r="BI158" s="271"/>
      <c r="BJ158" s="271"/>
      <c r="BK158" s="271"/>
      <c r="BL158" s="271"/>
      <c r="BM158" s="271">
        <v>13162677</v>
      </c>
      <c r="BN158" s="271"/>
      <c r="BO158" s="271"/>
      <c r="BP158" s="271"/>
      <c r="BQ158" s="271"/>
      <c r="BR158" s="271"/>
      <c r="BS158" s="271"/>
      <c r="BT158" s="271"/>
      <c r="BU158" s="271"/>
      <c r="BV158" s="271"/>
      <c r="BW158" s="271"/>
      <c r="BX158" s="235">
        <v>13162677</v>
      </c>
      <c r="BY158" s="271"/>
      <c r="BZ158" s="271">
        <v>419580419</v>
      </c>
      <c r="CA158" s="271"/>
      <c r="CB158" s="271"/>
      <c r="CC158" s="271"/>
      <c r="CD158" s="271"/>
      <c r="CE158" s="271"/>
      <c r="CF158" s="271"/>
      <c r="CG158" s="271"/>
      <c r="CH158" s="271"/>
      <c r="CI158" s="271"/>
      <c r="CJ158" s="271"/>
      <c r="CK158" s="271"/>
      <c r="CL158" s="271"/>
      <c r="CM158" s="271"/>
      <c r="CN158" s="235">
        <v>419580419</v>
      </c>
      <c r="CO158" s="271"/>
      <c r="CP158" s="271"/>
      <c r="CQ158" s="271"/>
      <c r="CR158" s="271"/>
      <c r="CS158" s="271">
        <v>509893082</v>
      </c>
      <c r="CT158" s="271"/>
      <c r="CU158" s="271"/>
      <c r="CV158" s="271"/>
      <c r="CW158" s="271"/>
      <c r="CX158" s="271"/>
      <c r="CY158" s="271"/>
      <c r="CZ158" s="271"/>
      <c r="DA158" s="271"/>
      <c r="DB158" s="271"/>
      <c r="DC158" s="271"/>
      <c r="DD158" s="235">
        <v>509893082</v>
      </c>
      <c r="DE158" s="244">
        <v>942636178</v>
      </c>
    </row>
    <row r="159" spans="1:109" s="99" customFormat="1" ht="92.1" customHeight="1">
      <c r="A159" s="103" t="s">
        <v>1234</v>
      </c>
      <c r="B159" s="279" t="s">
        <v>9</v>
      </c>
      <c r="C159" s="279" t="s">
        <v>1702</v>
      </c>
      <c r="D159" s="279">
        <v>8</v>
      </c>
      <c r="E159" s="279" t="s">
        <v>824</v>
      </c>
      <c r="F159" s="280" t="s">
        <v>825</v>
      </c>
      <c r="G159" s="279" t="s">
        <v>3348</v>
      </c>
      <c r="H159" s="279">
        <v>13</v>
      </c>
      <c r="I159" s="279" t="s">
        <v>286</v>
      </c>
      <c r="J159" s="279" t="s">
        <v>677</v>
      </c>
      <c r="K159" s="279">
        <v>29.6</v>
      </c>
      <c r="L159" s="279" t="s">
        <v>826</v>
      </c>
      <c r="M159" s="279" t="s">
        <v>828</v>
      </c>
      <c r="N159" s="279" t="s">
        <v>829</v>
      </c>
      <c r="O159" s="279" t="s">
        <v>830</v>
      </c>
      <c r="P159" s="266">
        <v>147</v>
      </c>
      <c r="Q159" s="279" t="s">
        <v>3350</v>
      </c>
      <c r="R159" s="279" t="s">
        <v>833</v>
      </c>
      <c r="S159" s="279" t="s">
        <v>683</v>
      </c>
      <c r="T159" s="104">
        <v>1308</v>
      </c>
      <c r="U159" s="267"/>
      <c r="V159" s="267"/>
      <c r="W159" s="224">
        <v>0</v>
      </c>
      <c r="X159" s="267"/>
      <c r="Y159" s="267"/>
      <c r="Z159" s="267">
        <v>50</v>
      </c>
      <c r="AA159" s="267">
        <v>100</v>
      </c>
      <c r="AB159" s="224">
        <v>150</v>
      </c>
      <c r="AC159" s="267"/>
      <c r="AD159" s="267"/>
      <c r="AE159" s="267">
        <v>100</v>
      </c>
      <c r="AF159" s="267">
        <v>100</v>
      </c>
      <c r="AG159" s="224">
        <v>200</v>
      </c>
      <c r="AH159" s="267"/>
      <c r="AI159" s="267"/>
      <c r="AJ159" s="267"/>
      <c r="AK159" s="267">
        <v>50</v>
      </c>
      <c r="AL159" s="224">
        <v>50</v>
      </c>
      <c r="AM159" s="104">
        <v>400</v>
      </c>
      <c r="AN159" s="103" t="s">
        <v>685</v>
      </c>
      <c r="AO159" s="103" t="s">
        <v>614</v>
      </c>
      <c r="AP159" s="103" t="s">
        <v>1219</v>
      </c>
      <c r="AQ159" s="103" t="s">
        <v>1196</v>
      </c>
      <c r="AR159" s="103" t="s">
        <v>946</v>
      </c>
      <c r="AS159" s="271"/>
      <c r="AT159" s="271"/>
      <c r="AU159" s="271"/>
      <c r="AV159" s="271"/>
      <c r="AW159" s="271"/>
      <c r="AX159" s="271"/>
      <c r="AY159" s="271"/>
      <c r="AZ159" s="271"/>
      <c r="BA159" s="271"/>
      <c r="BB159" s="271"/>
      <c r="BC159" s="271"/>
      <c r="BD159" s="271"/>
      <c r="BE159" s="271"/>
      <c r="BF159" s="271"/>
      <c r="BG159" s="271"/>
      <c r="BH159" s="235">
        <v>0</v>
      </c>
      <c r="BI159" s="271"/>
      <c r="BJ159" s="271"/>
      <c r="BK159" s="271"/>
      <c r="BL159" s="271"/>
      <c r="BM159" s="271">
        <v>150000000</v>
      </c>
      <c r="BN159" s="271"/>
      <c r="BO159" s="271"/>
      <c r="BP159" s="271"/>
      <c r="BQ159" s="271"/>
      <c r="BR159" s="271"/>
      <c r="BS159" s="271"/>
      <c r="BT159" s="271"/>
      <c r="BU159" s="271"/>
      <c r="BV159" s="271"/>
      <c r="BW159" s="271"/>
      <c r="BX159" s="235">
        <v>150000000</v>
      </c>
      <c r="BY159" s="271"/>
      <c r="BZ159" s="271"/>
      <c r="CA159" s="271"/>
      <c r="CB159" s="271"/>
      <c r="CC159" s="271">
        <v>521174808</v>
      </c>
      <c r="CD159" s="271"/>
      <c r="CE159" s="271"/>
      <c r="CF159" s="271"/>
      <c r="CG159" s="271"/>
      <c r="CH159" s="271"/>
      <c r="CI159" s="271"/>
      <c r="CJ159" s="271"/>
      <c r="CK159" s="271"/>
      <c r="CL159" s="271"/>
      <c r="CM159" s="271"/>
      <c r="CN159" s="235">
        <v>521174808</v>
      </c>
      <c r="CO159" s="271"/>
      <c r="CP159" s="271"/>
      <c r="CQ159" s="271"/>
      <c r="CR159" s="271"/>
      <c r="CS159" s="271">
        <v>250000000</v>
      </c>
      <c r="CT159" s="271"/>
      <c r="CU159" s="271"/>
      <c r="CV159" s="271"/>
      <c r="CW159" s="271"/>
      <c r="CX159" s="271"/>
      <c r="CY159" s="271"/>
      <c r="CZ159" s="271"/>
      <c r="DA159" s="271"/>
      <c r="DB159" s="271"/>
      <c r="DC159" s="271"/>
      <c r="DD159" s="235">
        <v>250000000</v>
      </c>
      <c r="DE159" s="244">
        <v>921174808</v>
      </c>
    </row>
    <row r="160" spans="1:109" s="99" customFormat="1" ht="92.1" customHeight="1">
      <c r="A160" s="103" t="s">
        <v>1234</v>
      </c>
      <c r="B160" s="279" t="s">
        <v>9</v>
      </c>
      <c r="C160" s="279" t="s">
        <v>1702</v>
      </c>
      <c r="D160" s="279">
        <v>8</v>
      </c>
      <c r="E160" s="279" t="s">
        <v>824</v>
      </c>
      <c r="F160" s="280" t="s">
        <v>825</v>
      </c>
      <c r="G160" s="279" t="s">
        <v>3348</v>
      </c>
      <c r="H160" s="279">
        <v>13</v>
      </c>
      <c r="I160" s="279" t="s">
        <v>286</v>
      </c>
      <c r="J160" s="279" t="s">
        <v>677</v>
      </c>
      <c r="K160" s="279">
        <v>29.6</v>
      </c>
      <c r="L160" s="279" t="s">
        <v>826</v>
      </c>
      <c r="M160" s="279" t="s">
        <v>828</v>
      </c>
      <c r="N160" s="279" t="s">
        <v>829</v>
      </c>
      <c r="O160" s="279" t="s">
        <v>830</v>
      </c>
      <c r="P160" s="266">
        <v>148</v>
      </c>
      <c r="Q160" s="279" t="s">
        <v>3351</v>
      </c>
      <c r="R160" s="279" t="s">
        <v>834</v>
      </c>
      <c r="S160" s="279" t="s">
        <v>683</v>
      </c>
      <c r="T160" s="279">
        <v>0</v>
      </c>
      <c r="U160" s="267"/>
      <c r="V160" s="267"/>
      <c r="W160" s="224">
        <v>0</v>
      </c>
      <c r="X160" s="267"/>
      <c r="Y160" s="267"/>
      <c r="Z160" s="267">
        <v>5</v>
      </c>
      <c r="AA160" s="267">
        <v>10</v>
      </c>
      <c r="AB160" s="224">
        <v>15</v>
      </c>
      <c r="AC160" s="267"/>
      <c r="AD160" s="267"/>
      <c r="AE160" s="267">
        <v>10</v>
      </c>
      <c r="AF160" s="267">
        <v>10</v>
      </c>
      <c r="AG160" s="224">
        <v>20</v>
      </c>
      <c r="AH160" s="267"/>
      <c r="AI160" s="267"/>
      <c r="AJ160" s="267"/>
      <c r="AK160" s="267">
        <v>5</v>
      </c>
      <c r="AL160" s="224">
        <v>5</v>
      </c>
      <c r="AM160" s="104">
        <v>40</v>
      </c>
      <c r="AN160" s="103" t="s">
        <v>685</v>
      </c>
      <c r="AO160" s="103" t="s">
        <v>614</v>
      </c>
      <c r="AP160" s="103" t="s">
        <v>1219</v>
      </c>
      <c r="AQ160" s="103" t="s">
        <v>1196</v>
      </c>
      <c r="AR160" s="103" t="s">
        <v>945</v>
      </c>
      <c r="AS160" s="271"/>
      <c r="AT160" s="271"/>
      <c r="AU160" s="271"/>
      <c r="AV160" s="271"/>
      <c r="AW160" s="271"/>
      <c r="AX160" s="271"/>
      <c r="AY160" s="271"/>
      <c r="AZ160" s="271"/>
      <c r="BA160" s="271"/>
      <c r="BB160" s="271"/>
      <c r="BC160" s="271"/>
      <c r="BD160" s="271"/>
      <c r="BE160" s="271"/>
      <c r="BF160" s="271"/>
      <c r="BG160" s="271"/>
      <c r="BH160" s="235">
        <v>0</v>
      </c>
      <c r="BI160" s="271"/>
      <c r="BJ160" s="271"/>
      <c r="BK160" s="271"/>
      <c r="BL160" s="271"/>
      <c r="BM160" s="271">
        <v>15000000</v>
      </c>
      <c r="BN160" s="271"/>
      <c r="BO160" s="271"/>
      <c r="BP160" s="271"/>
      <c r="BQ160" s="271"/>
      <c r="BR160" s="271"/>
      <c r="BS160" s="271"/>
      <c r="BT160" s="271"/>
      <c r="BU160" s="271"/>
      <c r="BV160" s="271"/>
      <c r="BW160" s="271"/>
      <c r="BX160" s="235">
        <v>15000000</v>
      </c>
      <c r="BY160" s="271"/>
      <c r="BZ160" s="271"/>
      <c r="CA160" s="271"/>
      <c r="CB160" s="271"/>
      <c r="CC160" s="271">
        <v>52117481</v>
      </c>
      <c r="CD160" s="271"/>
      <c r="CE160" s="271"/>
      <c r="CF160" s="271"/>
      <c r="CG160" s="271"/>
      <c r="CH160" s="271"/>
      <c r="CI160" s="271"/>
      <c r="CJ160" s="271"/>
      <c r="CK160" s="271"/>
      <c r="CL160" s="271"/>
      <c r="CM160" s="271"/>
      <c r="CN160" s="235">
        <v>52117481</v>
      </c>
      <c r="CO160" s="271"/>
      <c r="CP160" s="271"/>
      <c r="CQ160" s="271"/>
      <c r="CR160" s="271"/>
      <c r="CS160" s="271">
        <v>25000000</v>
      </c>
      <c r="CT160" s="271"/>
      <c r="CU160" s="271"/>
      <c r="CV160" s="271"/>
      <c r="CW160" s="271"/>
      <c r="CX160" s="271"/>
      <c r="CY160" s="271"/>
      <c r="CZ160" s="271"/>
      <c r="DA160" s="271"/>
      <c r="DB160" s="271"/>
      <c r="DC160" s="271"/>
      <c r="DD160" s="235">
        <v>25000000</v>
      </c>
      <c r="DE160" s="244">
        <v>92117481</v>
      </c>
    </row>
    <row r="161" spans="1:109" s="99" customFormat="1" ht="156" customHeight="1">
      <c r="A161" s="103" t="s">
        <v>1234</v>
      </c>
      <c r="B161" s="279" t="s">
        <v>9</v>
      </c>
      <c r="C161" s="279" t="s">
        <v>1702</v>
      </c>
      <c r="D161" s="279">
        <v>8</v>
      </c>
      <c r="E161" s="279" t="s">
        <v>824</v>
      </c>
      <c r="F161" s="280" t="s">
        <v>825</v>
      </c>
      <c r="G161" s="279" t="s">
        <v>3348</v>
      </c>
      <c r="H161" s="279">
        <v>13</v>
      </c>
      <c r="I161" s="279" t="s">
        <v>286</v>
      </c>
      <c r="J161" s="279" t="s">
        <v>677</v>
      </c>
      <c r="K161" s="279">
        <v>29.6</v>
      </c>
      <c r="L161" s="279" t="s">
        <v>826</v>
      </c>
      <c r="M161" s="279" t="s">
        <v>835</v>
      </c>
      <c r="N161" s="279" t="s">
        <v>836</v>
      </c>
      <c r="O161" s="279" t="s">
        <v>837</v>
      </c>
      <c r="P161" s="266">
        <v>149</v>
      </c>
      <c r="Q161" s="279" t="s">
        <v>3352</v>
      </c>
      <c r="R161" s="279" t="s">
        <v>838</v>
      </c>
      <c r="S161" s="279" t="s">
        <v>683</v>
      </c>
      <c r="T161" s="104">
        <v>1666</v>
      </c>
      <c r="U161" s="267"/>
      <c r="V161" s="267"/>
      <c r="W161" s="224">
        <v>0</v>
      </c>
      <c r="X161" s="267"/>
      <c r="Y161" s="267"/>
      <c r="Z161" s="267"/>
      <c r="AA161" s="267">
        <v>100</v>
      </c>
      <c r="AB161" s="224">
        <v>100</v>
      </c>
      <c r="AC161" s="267"/>
      <c r="AD161" s="267"/>
      <c r="AE161" s="267"/>
      <c r="AF161" s="267">
        <v>60</v>
      </c>
      <c r="AG161" s="224">
        <v>60</v>
      </c>
      <c r="AH161" s="267"/>
      <c r="AI161" s="267"/>
      <c r="AJ161" s="267"/>
      <c r="AK161" s="267"/>
      <c r="AL161" s="224">
        <v>0</v>
      </c>
      <c r="AM161" s="104">
        <v>160</v>
      </c>
      <c r="AN161" s="103" t="s">
        <v>685</v>
      </c>
      <c r="AO161" s="103" t="s">
        <v>614</v>
      </c>
      <c r="AP161" s="103" t="s">
        <v>1219</v>
      </c>
      <c r="AQ161" s="103" t="s">
        <v>1196</v>
      </c>
      <c r="AR161" s="103" t="s">
        <v>946</v>
      </c>
      <c r="AS161" s="271"/>
      <c r="AT161" s="271"/>
      <c r="AU161" s="271"/>
      <c r="AV161" s="271"/>
      <c r="AW161" s="271"/>
      <c r="AX161" s="271"/>
      <c r="AY161" s="271"/>
      <c r="AZ161" s="271"/>
      <c r="BA161" s="271"/>
      <c r="BB161" s="271"/>
      <c r="BC161" s="271"/>
      <c r="BD161" s="271"/>
      <c r="BE161" s="271"/>
      <c r="BF161" s="271"/>
      <c r="BG161" s="271"/>
      <c r="BH161" s="235">
        <v>0</v>
      </c>
      <c r="BI161" s="271"/>
      <c r="BJ161" s="271"/>
      <c r="BK161" s="271"/>
      <c r="BL161" s="271"/>
      <c r="BM161" s="271">
        <v>100000000</v>
      </c>
      <c r="BN161" s="271"/>
      <c r="BO161" s="271"/>
      <c r="BP161" s="271"/>
      <c r="BQ161" s="271"/>
      <c r="BR161" s="271"/>
      <c r="BS161" s="271"/>
      <c r="BT161" s="271"/>
      <c r="BU161" s="271"/>
      <c r="BV161" s="271"/>
      <c r="BW161" s="271"/>
      <c r="BX161" s="235">
        <v>100000000</v>
      </c>
      <c r="BY161" s="271"/>
      <c r="BZ161" s="271"/>
      <c r="CA161" s="271"/>
      <c r="CB161" s="271"/>
      <c r="CC161" s="271">
        <v>156352442</v>
      </c>
      <c r="CD161" s="271"/>
      <c r="CE161" s="271"/>
      <c r="CF161" s="271"/>
      <c r="CG161" s="271"/>
      <c r="CH161" s="271"/>
      <c r="CI161" s="271"/>
      <c r="CJ161" s="271"/>
      <c r="CK161" s="271"/>
      <c r="CL161" s="271"/>
      <c r="CM161" s="271"/>
      <c r="CN161" s="235">
        <v>156352442</v>
      </c>
      <c r="CO161" s="271"/>
      <c r="CP161" s="271"/>
      <c r="CQ161" s="271"/>
      <c r="CR161" s="271"/>
      <c r="CS161" s="271"/>
      <c r="CT161" s="271"/>
      <c r="CU161" s="271"/>
      <c r="CV161" s="271"/>
      <c r="CW161" s="271"/>
      <c r="CX161" s="271"/>
      <c r="CY161" s="271"/>
      <c r="CZ161" s="271"/>
      <c r="DA161" s="271"/>
      <c r="DB161" s="271"/>
      <c r="DC161" s="271"/>
      <c r="DD161" s="235">
        <v>0</v>
      </c>
      <c r="DE161" s="244">
        <v>256352442</v>
      </c>
    </row>
    <row r="162" spans="1:109" s="99" customFormat="1" ht="156" customHeight="1">
      <c r="A162" s="103" t="s">
        <v>1234</v>
      </c>
      <c r="B162" s="279" t="s">
        <v>9</v>
      </c>
      <c r="C162" s="279" t="s">
        <v>1702</v>
      </c>
      <c r="D162" s="279">
        <v>8</v>
      </c>
      <c r="E162" s="279" t="s">
        <v>824</v>
      </c>
      <c r="F162" s="280" t="s">
        <v>825</v>
      </c>
      <c r="G162" s="279" t="s">
        <v>3348</v>
      </c>
      <c r="H162" s="279">
        <v>13</v>
      </c>
      <c r="I162" s="279" t="s">
        <v>286</v>
      </c>
      <c r="J162" s="279" t="s">
        <v>677</v>
      </c>
      <c r="K162" s="279">
        <v>29.6</v>
      </c>
      <c r="L162" s="279" t="s">
        <v>826</v>
      </c>
      <c r="M162" s="279" t="s">
        <v>835</v>
      </c>
      <c r="N162" s="279" t="s">
        <v>836</v>
      </c>
      <c r="O162" s="279" t="s">
        <v>837</v>
      </c>
      <c r="P162" s="266">
        <v>150</v>
      </c>
      <c r="Q162" s="279" t="s">
        <v>3353</v>
      </c>
      <c r="R162" s="279" t="s">
        <v>839</v>
      </c>
      <c r="S162" s="279" t="s">
        <v>683</v>
      </c>
      <c r="T162" s="279">
        <v>70</v>
      </c>
      <c r="U162" s="267"/>
      <c r="V162" s="267"/>
      <c r="W162" s="224">
        <v>0</v>
      </c>
      <c r="X162" s="267"/>
      <c r="Y162" s="267"/>
      <c r="Z162" s="267"/>
      <c r="AA162" s="267">
        <v>10</v>
      </c>
      <c r="AB162" s="224">
        <v>10</v>
      </c>
      <c r="AC162" s="267"/>
      <c r="AD162" s="267"/>
      <c r="AE162" s="267"/>
      <c r="AF162" s="267">
        <v>6</v>
      </c>
      <c r="AG162" s="224">
        <v>6</v>
      </c>
      <c r="AH162" s="267"/>
      <c r="AI162" s="267"/>
      <c r="AJ162" s="267"/>
      <c r="AK162" s="267"/>
      <c r="AL162" s="224">
        <v>0</v>
      </c>
      <c r="AM162" s="104">
        <v>16</v>
      </c>
      <c r="AN162" s="103" t="s">
        <v>685</v>
      </c>
      <c r="AO162" s="103" t="s">
        <v>614</v>
      </c>
      <c r="AP162" s="103" t="s">
        <v>1219</v>
      </c>
      <c r="AQ162" s="103" t="s">
        <v>1196</v>
      </c>
      <c r="AR162" s="103" t="s">
        <v>945</v>
      </c>
      <c r="AS162" s="271"/>
      <c r="AT162" s="271"/>
      <c r="AU162" s="271"/>
      <c r="AV162" s="271"/>
      <c r="AW162" s="271"/>
      <c r="AX162" s="271"/>
      <c r="AY162" s="271"/>
      <c r="AZ162" s="271"/>
      <c r="BA162" s="271"/>
      <c r="BB162" s="271"/>
      <c r="BC162" s="271"/>
      <c r="BD162" s="271"/>
      <c r="BE162" s="271"/>
      <c r="BF162" s="271"/>
      <c r="BG162" s="271"/>
      <c r="BH162" s="235">
        <v>0</v>
      </c>
      <c r="BI162" s="271"/>
      <c r="BJ162" s="271"/>
      <c r="BK162" s="271"/>
      <c r="BL162" s="271"/>
      <c r="BM162" s="271">
        <v>10000000</v>
      </c>
      <c r="BN162" s="271"/>
      <c r="BO162" s="271"/>
      <c r="BP162" s="271"/>
      <c r="BQ162" s="271"/>
      <c r="BR162" s="271"/>
      <c r="BS162" s="271"/>
      <c r="BT162" s="271"/>
      <c r="BU162" s="271"/>
      <c r="BV162" s="271"/>
      <c r="BW162" s="271"/>
      <c r="BX162" s="235">
        <v>10000000</v>
      </c>
      <c r="BY162" s="271"/>
      <c r="BZ162" s="271"/>
      <c r="CA162" s="271"/>
      <c r="CB162" s="271"/>
      <c r="CC162" s="271">
        <v>15635244</v>
      </c>
      <c r="CD162" s="271"/>
      <c r="CE162" s="271"/>
      <c r="CF162" s="271"/>
      <c r="CG162" s="271"/>
      <c r="CH162" s="271"/>
      <c r="CI162" s="271"/>
      <c r="CJ162" s="271"/>
      <c r="CK162" s="271"/>
      <c r="CL162" s="271"/>
      <c r="CM162" s="271"/>
      <c r="CN162" s="235">
        <v>15635244</v>
      </c>
      <c r="CO162" s="271"/>
      <c r="CP162" s="271"/>
      <c r="CQ162" s="271"/>
      <c r="CR162" s="271"/>
      <c r="CS162" s="271"/>
      <c r="CT162" s="271"/>
      <c r="CU162" s="271"/>
      <c r="CV162" s="271"/>
      <c r="CW162" s="271"/>
      <c r="CX162" s="271"/>
      <c r="CY162" s="271"/>
      <c r="CZ162" s="271"/>
      <c r="DA162" s="271"/>
      <c r="DB162" s="271"/>
      <c r="DC162" s="271"/>
      <c r="DD162" s="235">
        <v>0</v>
      </c>
      <c r="DE162" s="244">
        <v>25635244</v>
      </c>
    </row>
    <row r="163" spans="1:109" s="99" customFormat="1" ht="156" customHeight="1">
      <c r="A163" s="103" t="s">
        <v>1234</v>
      </c>
      <c r="B163" s="279" t="s">
        <v>9</v>
      </c>
      <c r="C163" s="279" t="s">
        <v>1702</v>
      </c>
      <c r="D163" s="279">
        <v>8</v>
      </c>
      <c r="E163" s="279" t="s">
        <v>824</v>
      </c>
      <c r="F163" s="280" t="s">
        <v>825</v>
      </c>
      <c r="G163" s="279" t="s">
        <v>3347</v>
      </c>
      <c r="H163" s="279">
        <v>14</v>
      </c>
      <c r="I163" s="279" t="s">
        <v>290</v>
      </c>
      <c r="J163" s="279" t="s">
        <v>677</v>
      </c>
      <c r="K163" s="279">
        <v>5.6</v>
      </c>
      <c r="L163" s="279" t="s">
        <v>827</v>
      </c>
      <c r="M163" s="279" t="s">
        <v>835</v>
      </c>
      <c r="N163" s="279" t="s">
        <v>836</v>
      </c>
      <c r="O163" s="279" t="s">
        <v>837</v>
      </c>
      <c r="P163" s="266">
        <v>151</v>
      </c>
      <c r="Q163" s="279" t="s">
        <v>3354</v>
      </c>
      <c r="R163" s="279" t="s">
        <v>840</v>
      </c>
      <c r="S163" s="279" t="s">
        <v>683</v>
      </c>
      <c r="T163" s="279">
        <v>0</v>
      </c>
      <c r="U163" s="267"/>
      <c r="V163" s="267"/>
      <c r="W163" s="224">
        <v>0</v>
      </c>
      <c r="X163" s="267"/>
      <c r="Y163" s="267"/>
      <c r="Z163" s="267">
        <v>50</v>
      </c>
      <c r="AA163" s="267">
        <v>50</v>
      </c>
      <c r="AB163" s="224">
        <v>100</v>
      </c>
      <c r="AC163" s="267"/>
      <c r="AD163" s="267"/>
      <c r="AE163" s="267">
        <v>60</v>
      </c>
      <c r="AF163" s="267"/>
      <c r="AG163" s="224">
        <v>60</v>
      </c>
      <c r="AH163" s="267"/>
      <c r="AI163" s="267"/>
      <c r="AJ163" s="267"/>
      <c r="AK163" s="267"/>
      <c r="AL163" s="224">
        <v>0</v>
      </c>
      <c r="AM163" s="104">
        <v>160</v>
      </c>
      <c r="AN163" s="103" t="s">
        <v>685</v>
      </c>
      <c r="AO163" s="103" t="s">
        <v>614</v>
      </c>
      <c r="AP163" s="103" t="s">
        <v>1219</v>
      </c>
      <c r="AQ163" s="103" t="s">
        <v>1196</v>
      </c>
      <c r="AR163" s="103" t="s">
        <v>946</v>
      </c>
      <c r="AS163" s="271"/>
      <c r="AT163" s="271"/>
      <c r="AU163" s="271"/>
      <c r="AV163" s="271"/>
      <c r="AW163" s="271"/>
      <c r="AX163" s="271"/>
      <c r="AY163" s="271"/>
      <c r="AZ163" s="271"/>
      <c r="BA163" s="271"/>
      <c r="BB163" s="271"/>
      <c r="BC163" s="271"/>
      <c r="BD163" s="271"/>
      <c r="BE163" s="271"/>
      <c r="BF163" s="271"/>
      <c r="BG163" s="271"/>
      <c r="BH163" s="235">
        <v>0</v>
      </c>
      <c r="BI163" s="271"/>
      <c r="BJ163" s="271"/>
      <c r="BK163" s="271"/>
      <c r="BL163" s="271"/>
      <c r="BM163" s="271">
        <v>263253530</v>
      </c>
      <c r="BN163" s="271"/>
      <c r="BO163" s="271"/>
      <c r="BP163" s="271"/>
      <c r="BQ163" s="271"/>
      <c r="BR163" s="271"/>
      <c r="BS163" s="271"/>
      <c r="BT163" s="271"/>
      <c r="BU163" s="271"/>
      <c r="BV163" s="271"/>
      <c r="BW163" s="271"/>
      <c r="BX163" s="235">
        <v>263253530</v>
      </c>
      <c r="BY163" s="271"/>
      <c r="BZ163" s="271">
        <v>1258741258</v>
      </c>
      <c r="CA163" s="271"/>
      <c r="CB163" s="271"/>
      <c r="CC163" s="271"/>
      <c r="CD163" s="271"/>
      <c r="CE163" s="271"/>
      <c r="CF163" s="271"/>
      <c r="CG163" s="271"/>
      <c r="CH163" s="271"/>
      <c r="CI163" s="271"/>
      <c r="CJ163" s="271"/>
      <c r="CK163" s="271"/>
      <c r="CL163" s="271"/>
      <c r="CM163" s="271"/>
      <c r="CN163" s="235">
        <v>1258741258</v>
      </c>
      <c r="CO163" s="271"/>
      <c r="CP163" s="271"/>
      <c r="CQ163" s="271"/>
      <c r="CR163" s="271"/>
      <c r="CS163" s="271"/>
      <c r="CT163" s="271"/>
      <c r="CU163" s="271"/>
      <c r="CV163" s="271"/>
      <c r="CW163" s="271"/>
      <c r="CX163" s="271"/>
      <c r="CY163" s="271"/>
      <c r="CZ163" s="271"/>
      <c r="DA163" s="271"/>
      <c r="DB163" s="271"/>
      <c r="DC163" s="271"/>
      <c r="DD163" s="235">
        <v>0</v>
      </c>
      <c r="DE163" s="244">
        <v>1521994788</v>
      </c>
    </row>
    <row r="164" spans="1:109" s="99" customFormat="1" ht="156" customHeight="1">
      <c r="A164" s="103" t="s">
        <v>1234</v>
      </c>
      <c r="B164" s="279" t="s">
        <v>9</v>
      </c>
      <c r="C164" s="279" t="s">
        <v>1702</v>
      </c>
      <c r="D164" s="279">
        <v>8</v>
      </c>
      <c r="E164" s="279" t="s">
        <v>824</v>
      </c>
      <c r="F164" s="280" t="s">
        <v>825</v>
      </c>
      <c r="G164" s="279" t="s">
        <v>3347</v>
      </c>
      <c r="H164" s="279">
        <v>14</v>
      </c>
      <c r="I164" s="279" t="s">
        <v>290</v>
      </c>
      <c r="J164" s="279" t="s">
        <v>677</v>
      </c>
      <c r="K164" s="279">
        <v>5.6</v>
      </c>
      <c r="L164" s="279" t="s">
        <v>827</v>
      </c>
      <c r="M164" s="279" t="s">
        <v>835</v>
      </c>
      <c r="N164" s="279" t="s">
        <v>836</v>
      </c>
      <c r="O164" s="279" t="s">
        <v>837</v>
      </c>
      <c r="P164" s="266">
        <v>152</v>
      </c>
      <c r="Q164" s="279" t="s">
        <v>3355</v>
      </c>
      <c r="R164" s="279" t="s">
        <v>306</v>
      </c>
      <c r="S164" s="279" t="s">
        <v>683</v>
      </c>
      <c r="T164" s="279">
        <v>1</v>
      </c>
      <c r="U164" s="267"/>
      <c r="V164" s="267"/>
      <c r="W164" s="224">
        <v>0</v>
      </c>
      <c r="X164" s="267"/>
      <c r="Y164" s="267"/>
      <c r="Z164" s="267">
        <v>5</v>
      </c>
      <c r="AA164" s="267">
        <v>5</v>
      </c>
      <c r="AB164" s="224">
        <v>10</v>
      </c>
      <c r="AC164" s="267"/>
      <c r="AD164" s="267"/>
      <c r="AE164" s="267">
        <v>6</v>
      </c>
      <c r="AF164" s="267"/>
      <c r="AG164" s="224">
        <v>6</v>
      </c>
      <c r="AH164" s="267"/>
      <c r="AI164" s="267"/>
      <c r="AJ164" s="267"/>
      <c r="AK164" s="267"/>
      <c r="AL164" s="224">
        <v>0</v>
      </c>
      <c r="AM164" s="104">
        <v>16</v>
      </c>
      <c r="AN164" s="103" t="s">
        <v>685</v>
      </c>
      <c r="AO164" s="103" t="s">
        <v>614</v>
      </c>
      <c r="AP164" s="103" t="s">
        <v>1219</v>
      </c>
      <c r="AQ164" s="103" t="s">
        <v>1196</v>
      </c>
      <c r="AR164" s="103" t="s">
        <v>945</v>
      </c>
      <c r="AS164" s="271"/>
      <c r="AT164" s="271"/>
      <c r="AU164" s="271"/>
      <c r="AV164" s="271"/>
      <c r="AW164" s="271"/>
      <c r="AX164" s="271"/>
      <c r="AY164" s="271"/>
      <c r="AZ164" s="271"/>
      <c r="BA164" s="271"/>
      <c r="BB164" s="271"/>
      <c r="BC164" s="271"/>
      <c r="BD164" s="271"/>
      <c r="BE164" s="271"/>
      <c r="BF164" s="271"/>
      <c r="BG164" s="271"/>
      <c r="BH164" s="235">
        <v>0</v>
      </c>
      <c r="BI164" s="271"/>
      <c r="BJ164" s="271"/>
      <c r="BK164" s="271"/>
      <c r="BL164" s="271"/>
      <c r="BM164" s="271">
        <v>26325353</v>
      </c>
      <c r="BN164" s="271"/>
      <c r="BO164" s="271"/>
      <c r="BP164" s="271"/>
      <c r="BQ164" s="271"/>
      <c r="BR164" s="271"/>
      <c r="BS164" s="271"/>
      <c r="BT164" s="271"/>
      <c r="BU164" s="271"/>
      <c r="BV164" s="271"/>
      <c r="BW164" s="271"/>
      <c r="BX164" s="235">
        <v>26325353</v>
      </c>
      <c r="BY164" s="271"/>
      <c r="BZ164" s="271">
        <v>125874129</v>
      </c>
      <c r="CA164" s="271"/>
      <c r="CB164" s="271"/>
      <c r="CC164" s="271"/>
      <c r="CD164" s="271"/>
      <c r="CE164" s="271"/>
      <c r="CF164" s="271"/>
      <c r="CG164" s="271"/>
      <c r="CH164" s="271"/>
      <c r="CI164" s="271"/>
      <c r="CJ164" s="271"/>
      <c r="CK164" s="271"/>
      <c r="CL164" s="271"/>
      <c r="CM164" s="271"/>
      <c r="CN164" s="235">
        <v>125874129</v>
      </c>
      <c r="CO164" s="271"/>
      <c r="CP164" s="271"/>
      <c r="CQ164" s="271"/>
      <c r="CR164" s="271"/>
      <c r="CS164" s="271"/>
      <c r="CT164" s="271"/>
      <c r="CU164" s="271"/>
      <c r="CV164" s="271"/>
      <c r="CW164" s="271"/>
      <c r="CX164" s="271"/>
      <c r="CY164" s="271"/>
      <c r="CZ164" s="271"/>
      <c r="DA164" s="271"/>
      <c r="DB164" s="271"/>
      <c r="DC164" s="271"/>
      <c r="DD164" s="235">
        <v>0</v>
      </c>
      <c r="DE164" s="244">
        <v>152199482</v>
      </c>
    </row>
    <row r="165" spans="1:109" s="99" customFormat="1" ht="156" customHeight="1">
      <c r="A165" s="103" t="s">
        <v>1234</v>
      </c>
      <c r="B165" s="279" t="s">
        <v>9</v>
      </c>
      <c r="C165" s="279" t="s">
        <v>1702</v>
      </c>
      <c r="D165" s="279">
        <v>8</v>
      </c>
      <c r="E165" s="279" t="s">
        <v>824</v>
      </c>
      <c r="F165" s="280" t="s">
        <v>825</v>
      </c>
      <c r="G165" s="279" t="s">
        <v>3348</v>
      </c>
      <c r="H165" s="279">
        <v>13</v>
      </c>
      <c r="I165" s="279" t="s">
        <v>286</v>
      </c>
      <c r="J165" s="279" t="s">
        <v>677</v>
      </c>
      <c r="K165" s="279">
        <v>29.6</v>
      </c>
      <c r="L165" s="279" t="s">
        <v>826</v>
      </c>
      <c r="M165" s="279" t="s">
        <v>841</v>
      </c>
      <c r="N165" s="279" t="s">
        <v>842</v>
      </c>
      <c r="O165" s="279" t="s">
        <v>843</v>
      </c>
      <c r="P165" s="266">
        <v>153</v>
      </c>
      <c r="Q165" s="279" t="s">
        <v>3356</v>
      </c>
      <c r="R165" s="279" t="s">
        <v>310</v>
      </c>
      <c r="S165" s="279" t="s">
        <v>683</v>
      </c>
      <c r="T165" s="279">
        <v>124</v>
      </c>
      <c r="U165" s="267"/>
      <c r="V165" s="267">
        <v>5</v>
      </c>
      <c r="W165" s="224">
        <v>5</v>
      </c>
      <c r="X165" s="267"/>
      <c r="Y165" s="267"/>
      <c r="Z165" s="267"/>
      <c r="AA165" s="267">
        <v>18</v>
      </c>
      <c r="AB165" s="224">
        <v>18</v>
      </c>
      <c r="AC165" s="267"/>
      <c r="AD165" s="267"/>
      <c r="AE165" s="267"/>
      <c r="AF165" s="267">
        <v>18</v>
      </c>
      <c r="AG165" s="224">
        <v>18</v>
      </c>
      <c r="AH165" s="267"/>
      <c r="AI165" s="267"/>
      <c r="AJ165" s="267"/>
      <c r="AK165" s="267">
        <v>19</v>
      </c>
      <c r="AL165" s="224">
        <v>19</v>
      </c>
      <c r="AM165" s="104">
        <v>60</v>
      </c>
      <c r="AN165" s="103" t="s">
        <v>685</v>
      </c>
      <c r="AO165" s="103" t="s">
        <v>624</v>
      </c>
      <c r="AP165" s="103" t="s">
        <v>1224</v>
      </c>
      <c r="AQ165" s="103" t="s">
        <v>1196</v>
      </c>
      <c r="AR165" s="103" t="s">
        <v>948</v>
      </c>
      <c r="AS165" s="271"/>
      <c r="AT165" s="271"/>
      <c r="AU165" s="271"/>
      <c r="AV165" s="271"/>
      <c r="AW165" s="271">
        <v>48656789</v>
      </c>
      <c r="AX165" s="271"/>
      <c r="AY165" s="271"/>
      <c r="AZ165" s="271"/>
      <c r="BA165" s="271"/>
      <c r="BB165" s="271"/>
      <c r="BC165" s="271"/>
      <c r="BD165" s="271"/>
      <c r="BE165" s="271"/>
      <c r="BF165" s="271"/>
      <c r="BG165" s="271"/>
      <c r="BH165" s="235">
        <v>48656789</v>
      </c>
      <c r="BI165" s="271"/>
      <c r="BJ165" s="271"/>
      <c r="BK165" s="271"/>
      <c r="BL165" s="271"/>
      <c r="BM165" s="271">
        <v>4432330</v>
      </c>
      <c r="BN165" s="271"/>
      <c r="BO165" s="271"/>
      <c r="BP165" s="271"/>
      <c r="BQ165" s="271"/>
      <c r="BR165" s="271"/>
      <c r="BS165" s="271"/>
      <c r="BT165" s="271"/>
      <c r="BU165" s="271"/>
      <c r="BV165" s="271"/>
      <c r="BW165" s="271"/>
      <c r="BX165" s="235">
        <v>4432330</v>
      </c>
      <c r="BY165" s="271"/>
      <c r="BZ165" s="271"/>
      <c r="CA165" s="271"/>
      <c r="CB165" s="271"/>
      <c r="CC165" s="271">
        <v>4432330</v>
      </c>
      <c r="CD165" s="271"/>
      <c r="CE165" s="271"/>
      <c r="CF165" s="271"/>
      <c r="CG165" s="271"/>
      <c r="CH165" s="271"/>
      <c r="CI165" s="271"/>
      <c r="CJ165" s="271"/>
      <c r="CK165" s="271"/>
      <c r="CL165" s="271"/>
      <c r="CM165" s="271"/>
      <c r="CN165" s="235">
        <v>4432330</v>
      </c>
      <c r="CO165" s="271"/>
      <c r="CP165" s="271"/>
      <c r="CQ165" s="271"/>
      <c r="CR165" s="271"/>
      <c r="CS165" s="271">
        <v>3634510</v>
      </c>
      <c r="CT165" s="271"/>
      <c r="CU165" s="271"/>
      <c r="CV165" s="271"/>
      <c r="CW165" s="271"/>
      <c r="CX165" s="271"/>
      <c r="CY165" s="271"/>
      <c r="CZ165" s="271"/>
      <c r="DA165" s="271"/>
      <c r="DB165" s="271"/>
      <c r="DC165" s="271"/>
      <c r="DD165" s="235">
        <v>3634510</v>
      </c>
      <c r="DE165" s="244">
        <v>61155959</v>
      </c>
    </row>
    <row r="166" spans="1:109" s="99" customFormat="1" ht="120" customHeight="1">
      <c r="A166" s="120" t="s">
        <v>1234</v>
      </c>
      <c r="B166" s="281" t="s">
        <v>9</v>
      </c>
      <c r="C166" s="281" t="s">
        <v>1702</v>
      </c>
      <c r="D166" s="281">
        <v>8</v>
      </c>
      <c r="E166" s="281" t="s">
        <v>824</v>
      </c>
      <c r="F166" s="282" t="s">
        <v>825</v>
      </c>
      <c r="G166" s="281" t="s">
        <v>3347</v>
      </c>
      <c r="H166" s="281">
        <v>14</v>
      </c>
      <c r="I166" s="281" t="s">
        <v>290</v>
      </c>
      <c r="J166" s="281" t="s">
        <v>677</v>
      </c>
      <c r="K166" s="281">
        <v>5.6</v>
      </c>
      <c r="L166" s="281" t="s">
        <v>827</v>
      </c>
      <c r="M166" s="281" t="s">
        <v>844</v>
      </c>
      <c r="N166" s="281" t="s">
        <v>845</v>
      </c>
      <c r="O166" s="281" t="s">
        <v>846</v>
      </c>
      <c r="P166" s="266">
        <v>154</v>
      </c>
      <c r="Q166" s="281" t="s">
        <v>3022</v>
      </c>
      <c r="R166" s="281" t="s">
        <v>313</v>
      </c>
      <c r="S166" s="281" t="s">
        <v>677</v>
      </c>
      <c r="T166" s="281">
        <v>0</v>
      </c>
      <c r="U166" s="275"/>
      <c r="V166" s="275">
        <v>15</v>
      </c>
      <c r="W166" s="225">
        <v>15</v>
      </c>
      <c r="X166" s="275"/>
      <c r="Y166" s="275"/>
      <c r="Z166" s="275">
        <v>30</v>
      </c>
      <c r="AA166" s="275"/>
      <c r="AB166" s="225">
        <v>30</v>
      </c>
      <c r="AC166" s="275"/>
      <c r="AD166" s="275"/>
      <c r="AE166" s="275">
        <v>30</v>
      </c>
      <c r="AF166" s="275"/>
      <c r="AG166" s="225">
        <v>30</v>
      </c>
      <c r="AH166" s="275"/>
      <c r="AI166" s="275"/>
      <c r="AJ166" s="275">
        <v>25</v>
      </c>
      <c r="AK166" s="275"/>
      <c r="AL166" s="225">
        <v>25</v>
      </c>
      <c r="AM166" s="119">
        <v>100</v>
      </c>
      <c r="AN166" s="120" t="s">
        <v>685</v>
      </c>
      <c r="AO166" s="120" t="s">
        <v>614</v>
      </c>
      <c r="AP166" s="120" t="s">
        <v>1219</v>
      </c>
      <c r="AQ166" s="120" t="s">
        <v>1196</v>
      </c>
      <c r="AR166" s="120" t="s">
        <v>946</v>
      </c>
      <c r="AS166" s="276"/>
      <c r="AT166" s="276"/>
      <c r="AU166" s="276"/>
      <c r="AV166" s="276"/>
      <c r="AW166" s="276">
        <v>48656789</v>
      </c>
      <c r="AX166" s="276"/>
      <c r="AY166" s="276"/>
      <c r="AZ166" s="276"/>
      <c r="BA166" s="276"/>
      <c r="BB166" s="276"/>
      <c r="BC166" s="276"/>
      <c r="BD166" s="276"/>
      <c r="BE166" s="276"/>
      <c r="BF166" s="276"/>
      <c r="BG166" s="276"/>
      <c r="BH166" s="236">
        <v>48656789</v>
      </c>
      <c r="BI166" s="276"/>
      <c r="BJ166" s="276"/>
      <c r="BK166" s="276"/>
      <c r="BL166" s="276"/>
      <c r="BM166" s="276">
        <v>4432330</v>
      </c>
      <c r="BN166" s="276"/>
      <c r="BO166" s="276"/>
      <c r="BP166" s="276"/>
      <c r="BQ166" s="276"/>
      <c r="BR166" s="276"/>
      <c r="BS166" s="276"/>
      <c r="BT166" s="276"/>
      <c r="BU166" s="276"/>
      <c r="BV166" s="276"/>
      <c r="BW166" s="276"/>
      <c r="BX166" s="236">
        <v>4432330</v>
      </c>
      <c r="BY166" s="276"/>
      <c r="BZ166" s="276"/>
      <c r="CA166" s="276"/>
      <c r="CB166" s="276"/>
      <c r="CC166" s="276">
        <v>4432330</v>
      </c>
      <c r="CD166" s="276"/>
      <c r="CE166" s="276"/>
      <c r="CF166" s="276"/>
      <c r="CG166" s="276"/>
      <c r="CH166" s="276"/>
      <c r="CI166" s="276"/>
      <c r="CJ166" s="276"/>
      <c r="CK166" s="276"/>
      <c r="CL166" s="276"/>
      <c r="CM166" s="276"/>
      <c r="CN166" s="236">
        <v>4432330</v>
      </c>
      <c r="CO166" s="276"/>
      <c r="CP166" s="276"/>
      <c r="CQ166" s="276"/>
      <c r="CR166" s="276"/>
      <c r="CS166" s="276">
        <v>3324274</v>
      </c>
      <c r="CT166" s="276"/>
      <c r="CU166" s="276"/>
      <c r="CV166" s="276"/>
      <c r="CW166" s="276"/>
      <c r="CX166" s="276"/>
      <c r="CY166" s="276"/>
      <c r="CZ166" s="276"/>
      <c r="DA166" s="276"/>
      <c r="DB166" s="276"/>
      <c r="DC166" s="276"/>
      <c r="DD166" s="236">
        <v>3324274</v>
      </c>
      <c r="DE166" s="245">
        <v>60845723</v>
      </c>
    </row>
    <row r="167" spans="1:109" s="46" customFormat="1" ht="65.099999999999994" customHeight="1">
      <c r="A167" s="134" t="s">
        <v>1234</v>
      </c>
      <c r="B167" s="134" t="s">
        <v>9</v>
      </c>
      <c r="C167" s="134" t="s">
        <v>1702</v>
      </c>
      <c r="D167" s="134">
        <v>8</v>
      </c>
      <c r="E167" s="134" t="s">
        <v>824</v>
      </c>
      <c r="F167" s="135"/>
      <c r="G167" s="136"/>
      <c r="H167" s="137"/>
      <c r="I167" s="137"/>
      <c r="J167" s="137"/>
      <c r="K167" s="138"/>
      <c r="L167" s="137"/>
      <c r="M167" s="137"/>
      <c r="N167" s="137"/>
      <c r="O167" s="137"/>
      <c r="P167" s="137"/>
      <c r="Q167" s="136"/>
      <c r="R167" s="139"/>
      <c r="S167" s="137"/>
      <c r="T167" s="137"/>
      <c r="U167" s="140"/>
      <c r="V167" s="140"/>
      <c r="W167" s="138"/>
      <c r="X167" s="140"/>
      <c r="Y167" s="140"/>
      <c r="Z167" s="140"/>
      <c r="AA167" s="140"/>
      <c r="AB167" s="138"/>
      <c r="AC167" s="140"/>
      <c r="AD167" s="140"/>
      <c r="AE167" s="140"/>
      <c r="AF167" s="140"/>
      <c r="AG167" s="138"/>
      <c r="AH167" s="140"/>
      <c r="AI167" s="140"/>
      <c r="AJ167" s="140"/>
      <c r="AK167" s="140"/>
      <c r="AL167" s="138"/>
      <c r="AM167" s="141"/>
      <c r="AN167" s="142"/>
      <c r="AO167" s="142"/>
      <c r="AP167" s="143"/>
      <c r="AQ167" s="143"/>
      <c r="AR167" s="144"/>
      <c r="AS167" s="132">
        <v>0</v>
      </c>
      <c r="AT167" s="132">
        <v>0</v>
      </c>
      <c r="AU167" s="132">
        <v>0</v>
      </c>
      <c r="AV167" s="132">
        <v>0</v>
      </c>
      <c r="AW167" s="132">
        <v>97313578</v>
      </c>
      <c r="AX167" s="132">
        <v>0</v>
      </c>
      <c r="AY167" s="132">
        <v>0</v>
      </c>
      <c r="AZ167" s="132">
        <v>0</v>
      </c>
      <c r="BA167" s="132">
        <v>0</v>
      </c>
      <c r="BB167" s="132">
        <v>0</v>
      </c>
      <c r="BC167" s="132">
        <v>0</v>
      </c>
      <c r="BD167" s="132">
        <v>0</v>
      </c>
      <c r="BE167" s="132">
        <v>0</v>
      </c>
      <c r="BF167" s="132">
        <v>0</v>
      </c>
      <c r="BG167" s="132">
        <v>0</v>
      </c>
      <c r="BH167" s="132">
        <v>97313578</v>
      </c>
      <c r="BI167" s="132">
        <v>0</v>
      </c>
      <c r="BJ167" s="132">
        <v>0</v>
      </c>
      <c r="BK167" s="132">
        <v>0</v>
      </c>
      <c r="BL167" s="132">
        <v>0</v>
      </c>
      <c r="BM167" s="132">
        <v>718232985</v>
      </c>
      <c r="BN167" s="132">
        <v>0</v>
      </c>
      <c r="BO167" s="132">
        <v>0</v>
      </c>
      <c r="BP167" s="132">
        <v>0</v>
      </c>
      <c r="BQ167" s="132">
        <v>0</v>
      </c>
      <c r="BR167" s="132">
        <v>0</v>
      </c>
      <c r="BS167" s="132">
        <v>0</v>
      </c>
      <c r="BT167" s="132">
        <v>0</v>
      </c>
      <c r="BU167" s="132">
        <v>0</v>
      </c>
      <c r="BV167" s="132">
        <v>0</v>
      </c>
      <c r="BW167" s="132">
        <v>0</v>
      </c>
      <c r="BX167" s="132">
        <v>718232985</v>
      </c>
      <c r="BY167" s="132">
        <v>0</v>
      </c>
      <c r="BZ167" s="132">
        <v>6000000000</v>
      </c>
      <c r="CA167" s="132">
        <v>0</v>
      </c>
      <c r="CB167" s="132">
        <v>0</v>
      </c>
      <c r="CC167" s="132">
        <v>754144635</v>
      </c>
      <c r="CD167" s="132">
        <v>0</v>
      </c>
      <c r="CE167" s="132">
        <v>0</v>
      </c>
      <c r="CF167" s="132">
        <v>0</v>
      </c>
      <c r="CG167" s="132">
        <v>0</v>
      </c>
      <c r="CH167" s="132">
        <v>0</v>
      </c>
      <c r="CI167" s="132">
        <v>0</v>
      </c>
      <c r="CJ167" s="132">
        <v>0</v>
      </c>
      <c r="CK167" s="132">
        <v>0</v>
      </c>
      <c r="CL167" s="132">
        <v>0</v>
      </c>
      <c r="CM167" s="132">
        <v>0</v>
      </c>
      <c r="CN167" s="132">
        <v>6754144635</v>
      </c>
      <c r="CO167" s="132">
        <v>0</v>
      </c>
      <c r="CP167" s="132">
        <v>0</v>
      </c>
      <c r="CQ167" s="132">
        <v>0</v>
      </c>
      <c r="CR167" s="132">
        <v>0</v>
      </c>
      <c r="CS167" s="132">
        <v>791851866</v>
      </c>
      <c r="CT167" s="132">
        <v>0</v>
      </c>
      <c r="CU167" s="132">
        <v>0</v>
      </c>
      <c r="CV167" s="132">
        <v>0</v>
      </c>
      <c r="CW167" s="132">
        <v>0</v>
      </c>
      <c r="CX167" s="132">
        <v>0</v>
      </c>
      <c r="CY167" s="132">
        <v>0</v>
      </c>
      <c r="CZ167" s="132">
        <v>0</v>
      </c>
      <c r="DA167" s="132">
        <v>0</v>
      </c>
      <c r="DB167" s="132">
        <v>0</v>
      </c>
      <c r="DC167" s="132">
        <v>4000000000</v>
      </c>
      <c r="DD167" s="132">
        <v>4791851866</v>
      </c>
      <c r="DE167" s="133">
        <v>12361543064</v>
      </c>
    </row>
    <row r="168" spans="1:109" s="99" customFormat="1" ht="136.05000000000001" customHeight="1">
      <c r="A168" s="103" t="s">
        <v>1234</v>
      </c>
      <c r="B168" s="103" t="s">
        <v>9</v>
      </c>
      <c r="C168" s="103" t="s">
        <v>1702</v>
      </c>
      <c r="D168" s="103">
        <v>9</v>
      </c>
      <c r="E168" s="103" t="s">
        <v>847</v>
      </c>
      <c r="F168" s="278" t="s">
        <v>315</v>
      </c>
      <c r="G168" s="103" t="s">
        <v>3359</v>
      </c>
      <c r="H168" s="103">
        <v>15</v>
      </c>
      <c r="I168" s="103" t="s">
        <v>316</v>
      </c>
      <c r="J168" s="103" t="s">
        <v>683</v>
      </c>
      <c r="K168" s="103">
        <v>58</v>
      </c>
      <c r="L168" s="103" t="s">
        <v>848</v>
      </c>
      <c r="M168" s="103" t="s">
        <v>849</v>
      </c>
      <c r="N168" s="103" t="s">
        <v>850</v>
      </c>
      <c r="O168" s="103" t="s">
        <v>319</v>
      </c>
      <c r="P168" s="266">
        <v>155</v>
      </c>
      <c r="Q168" s="103" t="s">
        <v>3357</v>
      </c>
      <c r="R168" s="103" t="s">
        <v>320</v>
      </c>
      <c r="S168" s="103" t="s">
        <v>683</v>
      </c>
      <c r="T168" s="103">
        <v>14</v>
      </c>
      <c r="U168" s="267">
        <v>2</v>
      </c>
      <c r="V168" s="267"/>
      <c r="W168" s="224">
        <v>2</v>
      </c>
      <c r="X168" s="267"/>
      <c r="Y168" s="267"/>
      <c r="Z168" s="267"/>
      <c r="AA168" s="267">
        <v>1</v>
      </c>
      <c r="AB168" s="224">
        <v>1</v>
      </c>
      <c r="AC168" s="267"/>
      <c r="AD168" s="267"/>
      <c r="AE168" s="267"/>
      <c r="AF168" s="267">
        <v>7</v>
      </c>
      <c r="AG168" s="224">
        <v>7</v>
      </c>
      <c r="AH168" s="267"/>
      <c r="AI168" s="267">
        <v>5</v>
      </c>
      <c r="AJ168" s="267"/>
      <c r="AK168" s="267"/>
      <c r="AL168" s="224">
        <v>5</v>
      </c>
      <c r="AM168" s="102">
        <v>15</v>
      </c>
      <c r="AN168" s="103" t="s">
        <v>685</v>
      </c>
      <c r="AO168" s="103" t="s">
        <v>626</v>
      </c>
      <c r="AP168" s="103" t="s">
        <v>1228</v>
      </c>
      <c r="AQ168" s="103" t="s">
        <v>1193</v>
      </c>
      <c r="AR168" s="103" t="s">
        <v>938</v>
      </c>
      <c r="AS168" s="268"/>
      <c r="AT168" s="268"/>
      <c r="AU168" s="268"/>
      <c r="AV168" s="268"/>
      <c r="AW168" s="268">
        <v>500000000</v>
      </c>
      <c r="AX168" s="268"/>
      <c r="AY168" s="268"/>
      <c r="AZ168" s="268"/>
      <c r="BA168" s="268"/>
      <c r="BB168" s="268"/>
      <c r="BC168" s="268"/>
      <c r="BD168" s="268"/>
      <c r="BE168" s="268"/>
      <c r="BF168" s="268"/>
      <c r="BG168" s="268"/>
      <c r="BH168" s="234">
        <v>500000000</v>
      </c>
      <c r="BI168" s="268"/>
      <c r="BJ168" s="268"/>
      <c r="BK168" s="268"/>
      <c r="BL168" s="268"/>
      <c r="BM168" s="268">
        <v>100000000</v>
      </c>
      <c r="BN168" s="268"/>
      <c r="BO168" s="268"/>
      <c r="BP168" s="268"/>
      <c r="BQ168" s="268"/>
      <c r="BR168" s="268"/>
      <c r="BS168" s="268"/>
      <c r="BT168" s="268"/>
      <c r="BU168" s="268"/>
      <c r="BV168" s="268"/>
      <c r="BW168" s="268"/>
      <c r="BX168" s="234">
        <v>100000000</v>
      </c>
      <c r="BY168" s="268"/>
      <c r="BZ168" s="268">
        <v>1500000000</v>
      </c>
      <c r="CA168" s="268"/>
      <c r="CB168" s="268"/>
      <c r="CC168" s="268">
        <v>420240000</v>
      </c>
      <c r="CD168" s="268"/>
      <c r="CE168" s="268"/>
      <c r="CF168" s="268"/>
      <c r="CG168" s="268"/>
      <c r="CH168" s="268"/>
      <c r="CI168" s="268"/>
      <c r="CJ168" s="268"/>
      <c r="CK168" s="268"/>
      <c r="CL168" s="268"/>
      <c r="CM168" s="268"/>
      <c r="CN168" s="234">
        <v>1920240000</v>
      </c>
      <c r="CO168" s="268"/>
      <c r="CP168" s="268"/>
      <c r="CQ168" s="268"/>
      <c r="CR168" s="268"/>
      <c r="CS168" s="268"/>
      <c r="CT168" s="268"/>
      <c r="CU168" s="268"/>
      <c r="CV168" s="268"/>
      <c r="CW168" s="268"/>
      <c r="CX168" s="268"/>
      <c r="CY168" s="268"/>
      <c r="CZ168" s="268"/>
      <c r="DA168" s="268"/>
      <c r="DB168" s="268"/>
      <c r="DC168" s="268">
        <v>1400000000</v>
      </c>
      <c r="DD168" s="234">
        <v>1400000000</v>
      </c>
      <c r="DE168" s="243">
        <v>3920240000</v>
      </c>
    </row>
    <row r="169" spans="1:109" s="99" customFormat="1" ht="136.05000000000001" customHeight="1">
      <c r="A169" s="120" t="s">
        <v>1234</v>
      </c>
      <c r="B169" s="281" t="s">
        <v>9</v>
      </c>
      <c r="C169" s="281" t="s">
        <v>1702</v>
      </c>
      <c r="D169" s="281">
        <v>9</v>
      </c>
      <c r="E169" s="281" t="s">
        <v>847</v>
      </c>
      <c r="F169" s="282" t="s">
        <v>315</v>
      </c>
      <c r="G169" s="281" t="s">
        <v>3359</v>
      </c>
      <c r="H169" s="281">
        <v>15</v>
      </c>
      <c r="I169" s="281" t="s">
        <v>316</v>
      </c>
      <c r="J169" s="281" t="s">
        <v>683</v>
      </c>
      <c r="K169" s="281">
        <v>58</v>
      </c>
      <c r="L169" s="281" t="s">
        <v>848</v>
      </c>
      <c r="M169" s="281" t="s">
        <v>849</v>
      </c>
      <c r="N169" s="281" t="s">
        <v>850</v>
      </c>
      <c r="O169" s="281" t="s">
        <v>319</v>
      </c>
      <c r="P169" s="273">
        <v>156</v>
      </c>
      <c r="Q169" s="281" t="s">
        <v>3358</v>
      </c>
      <c r="R169" s="281" t="s">
        <v>321</v>
      </c>
      <c r="S169" s="281" t="s">
        <v>683</v>
      </c>
      <c r="T169" s="281">
        <v>44</v>
      </c>
      <c r="U169" s="275">
        <v>1</v>
      </c>
      <c r="V169" s="275"/>
      <c r="W169" s="225">
        <v>1</v>
      </c>
      <c r="X169" s="275"/>
      <c r="Y169" s="275">
        <v>1</v>
      </c>
      <c r="Z169" s="275"/>
      <c r="AA169" s="275">
        <v>1</v>
      </c>
      <c r="AB169" s="225">
        <v>2</v>
      </c>
      <c r="AC169" s="275"/>
      <c r="AD169" s="275"/>
      <c r="AE169" s="275"/>
      <c r="AF169" s="275">
        <v>6</v>
      </c>
      <c r="AG169" s="225">
        <v>6</v>
      </c>
      <c r="AH169" s="275"/>
      <c r="AI169" s="275">
        <v>6</v>
      </c>
      <c r="AJ169" s="275"/>
      <c r="AK169" s="275"/>
      <c r="AL169" s="225">
        <v>6</v>
      </c>
      <c r="AM169" s="119">
        <v>15</v>
      </c>
      <c r="AN169" s="120" t="s">
        <v>685</v>
      </c>
      <c r="AO169" s="120" t="s">
        <v>615</v>
      </c>
      <c r="AP169" s="120" t="s">
        <v>1227</v>
      </c>
      <c r="AQ169" s="120" t="s">
        <v>1193</v>
      </c>
      <c r="AR169" s="120" t="s">
        <v>944</v>
      </c>
      <c r="AS169" s="276"/>
      <c r="AT169" s="276"/>
      <c r="AU169" s="276"/>
      <c r="AV169" s="276"/>
      <c r="AW169" s="276">
        <v>500000000</v>
      </c>
      <c r="AX169" s="276"/>
      <c r="AY169" s="276"/>
      <c r="AZ169" s="276"/>
      <c r="BA169" s="276"/>
      <c r="BB169" s="276"/>
      <c r="BC169" s="276"/>
      <c r="BD169" s="276"/>
      <c r="BE169" s="276"/>
      <c r="BF169" s="276"/>
      <c r="BG169" s="276"/>
      <c r="BH169" s="236">
        <v>500000000</v>
      </c>
      <c r="BI169" s="276"/>
      <c r="BJ169" s="276"/>
      <c r="BK169" s="276"/>
      <c r="BL169" s="276"/>
      <c r="BM169" s="276">
        <v>308000000</v>
      </c>
      <c r="BN169" s="276"/>
      <c r="BO169" s="276"/>
      <c r="BP169" s="276"/>
      <c r="BQ169" s="276"/>
      <c r="BR169" s="276"/>
      <c r="BS169" s="276"/>
      <c r="BT169" s="276"/>
      <c r="BU169" s="276"/>
      <c r="BV169" s="276"/>
      <c r="BW169" s="276"/>
      <c r="BX169" s="236">
        <v>308000000</v>
      </c>
      <c r="BY169" s="276"/>
      <c r="BZ169" s="276">
        <v>2500000000</v>
      </c>
      <c r="CA169" s="276"/>
      <c r="CB169" s="276"/>
      <c r="CC169" s="276"/>
      <c r="CD169" s="276"/>
      <c r="CE169" s="276"/>
      <c r="CF169" s="276"/>
      <c r="CG169" s="276"/>
      <c r="CH169" s="276"/>
      <c r="CI169" s="276"/>
      <c r="CJ169" s="276"/>
      <c r="CK169" s="276"/>
      <c r="CL169" s="276"/>
      <c r="CM169" s="276"/>
      <c r="CN169" s="236">
        <v>2500000000</v>
      </c>
      <c r="CO169" s="276"/>
      <c r="CP169" s="276"/>
      <c r="CQ169" s="276"/>
      <c r="CR169" s="276"/>
      <c r="CS169" s="276">
        <v>437049600</v>
      </c>
      <c r="CT169" s="276"/>
      <c r="CU169" s="276"/>
      <c r="CV169" s="276"/>
      <c r="CW169" s="276"/>
      <c r="CX169" s="276"/>
      <c r="CY169" s="276"/>
      <c r="CZ169" s="276"/>
      <c r="DA169" s="276"/>
      <c r="DB169" s="276"/>
      <c r="DC169" s="276">
        <v>2461100314</v>
      </c>
      <c r="DD169" s="236">
        <v>2898149914</v>
      </c>
      <c r="DE169" s="245">
        <v>6206149914</v>
      </c>
    </row>
    <row r="170" spans="1:109" s="46" customFormat="1" ht="65.099999999999994" customHeight="1">
      <c r="A170" s="134" t="s">
        <v>1234</v>
      </c>
      <c r="B170" s="134" t="s">
        <v>9</v>
      </c>
      <c r="C170" s="134" t="s">
        <v>1702</v>
      </c>
      <c r="D170" s="134">
        <v>9</v>
      </c>
      <c r="E170" s="134" t="s">
        <v>847</v>
      </c>
      <c r="F170" s="135"/>
      <c r="G170" s="136"/>
      <c r="H170" s="137"/>
      <c r="I170" s="137"/>
      <c r="J170" s="137"/>
      <c r="K170" s="138"/>
      <c r="L170" s="137"/>
      <c r="M170" s="137"/>
      <c r="N170" s="137"/>
      <c r="O170" s="137"/>
      <c r="P170" s="137"/>
      <c r="Q170" s="136"/>
      <c r="R170" s="139"/>
      <c r="S170" s="137"/>
      <c r="T170" s="137"/>
      <c r="U170" s="140"/>
      <c r="V170" s="140"/>
      <c r="W170" s="138"/>
      <c r="X170" s="140"/>
      <c r="Y170" s="140"/>
      <c r="Z170" s="140"/>
      <c r="AA170" s="140"/>
      <c r="AB170" s="138"/>
      <c r="AC170" s="140"/>
      <c r="AD170" s="140"/>
      <c r="AE170" s="140"/>
      <c r="AF170" s="140"/>
      <c r="AG170" s="138"/>
      <c r="AH170" s="140"/>
      <c r="AI170" s="140"/>
      <c r="AJ170" s="140"/>
      <c r="AK170" s="140"/>
      <c r="AL170" s="138"/>
      <c r="AM170" s="141"/>
      <c r="AN170" s="142"/>
      <c r="AO170" s="142"/>
      <c r="AP170" s="143"/>
      <c r="AQ170" s="143"/>
      <c r="AR170" s="144"/>
      <c r="AS170" s="132">
        <v>0</v>
      </c>
      <c r="AT170" s="132">
        <v>0</v>
      </c>
      <c r="AU170" s="132">
        <v>0</v>
      </c>
      <c r="AV170" s="132">
        <v>0</v>
      </c>
      <c r="AW170" s="132">
        <v>1000000000</v>
      </c>
      <c r="AX170" s="132">
        <v>0</v>
      </c>
      <c r="AY170" s="132">
        <v>0</v>
      </c>
      <c r="AZ170" s="132">
        <v>0</v>
      </c>
      <c r="BA170" s="132">
        <v>0</v>
      </c>
      <c r="BB170" s="132">
        <v>0</v>
      </c>
      <c r="BC170" s="132">
        <v>0</v>
      </c>
      <c r="BD170" s="132">
        <v>0</v>
      </c>
      <c r="BE170" s="132">
        <v>0</v>
      </c>
      <c r="BF170" s="132">
        <v>0</v>
      </c>
      <c r="BG170" s="132">
        <v>0</v>
      </c>
      <c r="BH170" s="132">
        <v>1000000000</v>
      </c>
      <c r="BI170" s="132">
        <v>0</v>
      </c>
      <c r="BJ170" s="132">
        <v>0</v>
      </c>
      <c r="BK170" s="132">
        <v>0</v>
      </c>
      <c r="BL170" s="132">
        <v>0</v>
      </c>
      <c r="BM170" s="132">
        <v>408000000</v>
      </c>
      <c r="BN170" s="132">
        <v>0</v>
      </c>
      <c r="BO170" s="132">
        <v>0</v>
      </c>
      <c r="BP170" s="132">
        <v>0</v>
      </c>
      <c r="BQ170" s="132">
        <v>0</v>
      </c>
      <c r="BR170" s="132">
        <v>0</v>
      </c>
      <c r="BS170" s="132">
        <v>0</v>
      </c>
      <c r="BT170" s="132">
        <v>0</v>
      </c>
      <c r="BU170" s="132">
        <v>0</v>
      </c>
      <c r="BV170" s="132">
        <v>0</v>
      </c>
      <c r="BW170" s="132">
        <v>0</v>
      </c>
      <c r="BX170" s="132">
        <v>408000000</v>
      </c>
      <c r="BY170" s="132">
        <v>0</v>
      </c>
      <c r="BZ170" s="132">
        <v>4000000000</v>
      </c>
      <c r="CA170" s="132">
        <v>0</v>
      </c>
      <c r="CB170" s="132">
        <v>0</v>
      </c>
      <c r="CC170" s="132">
        <v>420240000</v>
      </c>
      <c r="CD170" s="132">
        <v>0</v>
      </c>
      <c r="CE170" s="132">
        <v>0</v>
      </c>
      <c r="CF170" s="132">
        <v>0</v>
      </c>
      <c r="CG170" s="132">
        <v>0</v>
      </c>
      <c r="CH170" s="132">
        <v>0</v>
      </c>
      <c r="CI170" s="132">
        <v>0</v>
      </c>
      <c r="CJ170" s="132">
        <v>0</v>
      </c>
      <c r="CK170" s="132">
        <v>0</v>
      </c>
      <c r="CL170" s="132">
        <v>0</v>
      </c>
      <c r="CM170" s="132">
        <v>0</v>
      </c>
      <c r="CN170" s="132">
        <v>4420240000</v>
      </c>
      <c r="CO170" s="132">
        <v>0</v>
      </c>
      <c r="CP170" s="132">
        <v>0</v>
      </c>
      <c r="CQ170" s="132">
        <v>0</v>
      </c>
      <c r="CR170" s="132">
        <v>0</v>
      </c>
      <c r="CS170" s="132">
        <v>437049600</v>
      </c>
      <c r="CT170" s="132">
        <v>0</v>
      </c>
      <c r="CU170" s="132">
        <v>0</v>
      </c>
      <c r="CV170" s="132">
        <v>0</v>
      </c>
      <c r="CW170" s="132">
        <v>0</v>
      </c>
      <c r="CX170" s="132">
        <v>0</v>
      </c>
      <c r="CY170" s="132">
        <v>0</v>
      </c>
      <c r="CZ170" s="132">
        <v>0</v>
      </c>
      <c r="DA170" s="132">
        <v>0</v>
      </c>
      <c r="DB170" s="132">
        <v>0</v>
      </c>
      <c r="DC170" s="132">
        <v>3861100314</v>
      </c>
      <c r="DD170" s="132">
        <v>4298149914</v>
      </c>
      <c r="DE170" s="133">
        <v>10126389914</v>
      </c>
    </row>
    <row r="171" spans="1:109" s="99" customFormat="1" ht="112.05" customHeight="1">
      <c r="A171" s="103" t="s">
        <v>1235</v>
      </c>
      <c r="B171" s="103" t="s">
        <v>9</v>
      </c>
      <c r="C171" s="103" t="s">
        <v>1702</v>
      </c>
      <c r="D171" s="103">
        <v>10</v>
      </c>
      <c r="E171" s="103" t="s">
        <v>851</v>
      </c>
      <c r="F171" s="278" t="s">
        <v>852</v>
      </c>
      <c r="G171" s="103" t="s">
        <v>2994</v>
      </c>
      <c r="H171" s="103">
        <v>16</v>
      </c>
      <c r="I171" s="103" t="s">
        <v>853</v>
      </c>
      <c r="J171" s="103" t="s">
        <v>683</v>
      </c>
      <c r="K171" s="102">
        <v>439835</v>
      </c>
      <c r="L171" s="103" t="s">
        <v>707</v>
      </c>
      <c r="M171" s="103" t="s">
        <v>854</v>
      </c>
      <c r="N171" s="103" t="s">
        <v>855</v>
      </c>
      <c r="O171" s="120" t="s">
        <v>856</v>
      </c>
      <c r="P171" s="283">
        <v>157</v>
      </c>
      <c r="Q171" s="103" t="s">
        <v>3360</v>
      </c>
      <c r="R171" s="103" t="s">
        <v>322</v>
      </c>
      <c r="S171" s="103" t="s">
        <v>683</v>
      </c>
      <c r="T171" s="103">
        <v>0</v>
      </c>
      <c r="U171" s="267"/>
      <c r="V171" s="267"/>
      <c r="W171" s="224">
        <v>0</v>
      </c>
      <c r="X171" s="267"/>
      <c r="Y171" s="267"/>
      <c r="Z171" s="267"/>
      <c r="AA171" s="267"/>
      <c r="AB171" s="224">
        <v>0</v>
      </c>
      <c r="AC171" s="267">
        <v>0.125</v>
      </c>
      <c r="AD171" s="267">
        <v>0.125</v>
      </c>
      <c r="AE171" s="267">
        <v>0.125</v>
      </c>
      <c r="AF171" s="267">
        <v>0.125</v>
      </c>
      <c r="AG171" s="224">
        <v>0.5</v>
      </c>
      <c r="AH171" s="267">
        <v>0.125</v>
      </c>
      <c r="AI171" s="267">
        <v>0.125</v>
      </c>
      <c r="AJ171" s="267">
        <v>0.125</v>
      </c>
      <c r="AK171" s="267">
        <v>0.125</v>
      </c>
      <c r="AL171" s="224">
        <v>0.5</v>
      </c>
      <c r="AM171" s="102">
        <v>1</v>
      </c>
      <c r="AN171" s="103" t="s">
        <v>685</v>
      </c>
      <c r="AO171" s="103" t="s">
        <v>1210</v>
      </c>
      <c r="AP171" s="103" t="s">
        <v>1218</v>
      </c>
      <c r="AQ171" s="103" t="s">
        <v>1193</v>
      </c>
      <c r="AR171" s="103" t="s">
        <v>942</v>
      </c>
      <c r="AS171" s="268"/>
      <c r="AT171" s="268"/>
      <c r="AU171" s="268"/>
      <c r="AV171" s="268"/>
      <c r="AW171" s="268"/>
      <c r="AX171" s="268"/>
      <c r="AY171" s="268"/>
      <c r="AZ171" s="268"/>
      <c r="BA171" s="268"/>
      <c r="BB171" s="268"/>
      <c r="BC171" s="268"/>
      <c r="BD171" s="268"/>
      <c r="BE171" s="268"/>
      <c r="BF171" s="268"/>
      <c r="BG171" s="268"/>
      <c r="BH171" s="234">
        <f>IF(W171=0,0,BG171+BF171+BE171+BD171+BC171+BB171+BA171+AZ171+AY171+AX171+AW171+AV171+AU171+AT171+AS171)</f>
        <v>0</v>
      </c>
      <c r="BI171" s="268"/>
      <c r="BJ171" s="268"/>
      <c r="BK171" s="268"/>
      <c r="BL171" s="268"/>
      <c r="BM171" s="268"/>
      <c r="BN171" s="268"/>
      <c r="BO171" s="268"/>
      <c r="BP171" s="268"/>
      <c r="BQ171" s="268"/>
      <c r="BR171" s="268"/>
      <c r="BS171" s="268"/>
      <c r="BT171" s="268"/>
      <c r="BU171" s="268"/>
      <c r="BV171" s="268"/>
      <c r="BW171" s="268"/>
      <c r="BX171" s="234">
        <f>IF(AB171=0,0,BI171+BJ171+BK171+BL171+BM171+BN171+BO171+BP171+BQ171+BR171+BS171+BT171+BU171+BV171+BW171)</f>
        <v>0</v>
      </c>
      <c r="BY171" s="268"/>
      <c r="BZ171" s="268"/>
      <c r="CA171" s="268"/>
      <c r="CB171" s="268"/>
      <c r="CC171" s="268">
        <v>10000000</v>
      </c>
      <c r="CD171" s="268"/>
      <c r="CE171" s="268"/>
      <c r="CF171" s="268"/>
      <c r="CG171" s="268"/>
      <c r="CH171" s="268"/>
      <c r="CI171" s="268"/>
      <c r="CJ171" s="268"/>
      <c r="CK171" s="268"/>
      <c r="CL171" s="268"/>
      <c r="CM171" s="268"/>
      <c r="CN171" s="234">
        <f>IF(AG171=0,0,(BY171+BZ171+CA171+CB171+CC171+CD171+CE171+CF171+CG171+CH171+CI171+CJ171+CK171+CL171+CM171))</f>
        <v>10000000</v>
      </c>
      <c r="CO171" s="268"/>
      <c r="CP171" s="268"/>
      <c r="CQ171" s="268"/>
      <c r="CR171" s="268"/>
      <c r="CS171" s="268">
        <v>10000000</v>
      </c>
      <c r="CT171" s="268"/>
      <c r="CU171" s="268"/>
      <c r="CV171" s="268"/>
      <c r="CW171" s="268"/>
      <c r="CX171" s="268"/>
      <c r="CY171" s="268"/>
      <c r="CZ171" s="268"/>
      <c r="DA171" s="268"/>
      <c r="DB171" s="268"/>
      <c r="DC171" s="268"/>
      <c r="DD171" s="234">
        <f>IF(AL171=0,0,(CO171+CP171+CQ171+CR171+CS171+CT171+CU171+CV171+CW171+CX171+CY171+CZ171+DA171+DB171+DC171))</f>
        <v>10000000</v>
      </c>
      <c r="DE171" s="243">
        <f t="shared" ref="DE171:DE173" si="42">SUM(DD171+CN171+BX171+BH171)</f>
        <v>20000000</v>
      </c>
    </row>
    <row r="172" spans="1:109" s="99" customFormat="1" ht="112.05" customHeight="1">
      <c r="A172" s="103" t="s">
        <v>1235</v>
      </c>
      <c r="B172" s="279" t="s">
        <v>9</v>
      </c>
      <c r="C172" s="279" t="s">
        <v>1702</v>
      </c>
      <c r="D172" s="279">
        <v>10</v>
      </c>
      <c r="E172" s="279" t="s">
        <v>851</v>
      </c>
      <c r="F172" s="280" t="s">
        <v>852</v>
      </c>
      <c r="G172" s="279" t="s">
        <v>2994</v>
      </c>
      <c r="H172" s="279">
        <v>16</v>
      </c>
      <c r="I172" s="279" t="s">
        <v>853</v>
      </c>
      <c r="J172" s="279" t="s">
        <v>683</v>
      </c>
      <c r="K172" s="104">
        <v>439835</v>
      </c>
      <c r="L172" s="279" t="s">
        <v>707</v>
      </c>
      <c r="M172" s="279" t="s">
        <v>857</v>
      </c>
      <c r="N172" s="279" t="s">
        <v>858</v>
      </c>
      <c r="O172" s="279" t="s">
        <v>859</v>
      </c>
      <c r="P172" s="283">
        <v>158</v>
      </c>
      <c r="Q172" s="279" t="s">
        <v>3500</v>
      </c>
      <c r="R172" s="279" t="s">
        <v>324</v>
      </c>
      <c r="S172" s="279" t="s">
        <v>683</v>
      </c>
      <c r="T172" s="279">
        <v>1</v>
      </c>
      <c r="U172" s="267"/>
      <c r="V172" s="267"/>
      <c r="W172" s="224">
        <v>0</v>
      </c>
      <c r="X172" s="267"/>
      <c r="Y172" s="267"/>
      <c r="Z172" s="267">
        <v>0.1</v>
      </c>
      <c r="AA172" s="267">
        <v>0.1</v>
      </c>
      <c r="AB172" s="224">
        <v>0.2</v>
      </c>
      <c r="AC172" s="267">
        <v>0.1</v>
      </c>
      <c r="AD172" s="267">
        <v>0.1</v>
      </c>
      <c r="AE172" s="267">
        <v>0.1</v>
      </c>
      <c r="AF172" s="267">
        <v>0.1</v>
      </c>
      <c r="AG172" s="224">
        <v>0.4</v>
      </c>
      <c r="AH172" s="267">
        <v>0.1</v>
      </c>
      <c r="AI172" s="267">
        <v>0.1</v>
      </c>
      <c r="AJ172" s="267">
        <v>0.1</v>
      </c>
      <c r="AK172" s="267">
        <v>0.1</v>
      </c>
      <c r="AL172" s="224">
        <v>0.4</v>
      </c>
      <c r="AM172" s="104">
        <v>1</v>
      </c>
      <c r="AN172" s="103" t="s">
        <v>685</v>
      </c>
      <c r="AO172" s="103" t="s">
        <v>1210</v>
      </c>
      <c r="AP172" s="103" t="s">
        <v>1218</v>
      </c>
      <c r="AQ172" s="103" t="s">
        <v>1193</v>
      </c>
      <c r="AR172" s="103" t="s">
        <v>942</v>
      </c>
      <c r="AS172" s="271"/>
      <c r="AT172" s="271"/>
      <c r="AU172" s="271"/>
      <c r="AV172" s="271"/>
      <c r="AW172" s="271"/>
      <c r="AX172" s="271"/>
      <c r="AY172" s="271"/>
      <c r="AZ172" s="271"/>
      <c r="BA172" s="271"/>
      <c r="BB172" s="271"/>
      <c r="BC172" s="271"/>
      <c r="BD172" s="271"/>
      <c r="BE172" s="271"/>
      <c r="BF172" s="271"/>
      <c r="BG172" s="271"/>
      <c r="BH172" s="235">
        <f>IF(W172=0,0,BG172+BF172+BE172+BD172+BC172+BB172+BA172+AZ172+AY172+AX172+AW172+AV172+AU172+AT172+AS172)</f>
        <v>0</v>
      </c>
      <c r="BI172" s="271"/>
      <c r="BJ172" s="271"/>
      <c r="BK172" s="271"/>
      <c r="BL172" s="271"/>
      <c r="BM172" s="271">
        <v>10000000</v>
      </c>
      <c r="BN172" s="271"/>
      <c r="BO172" s="271"/>
      <c r="BP172" s="271"/>
      <c r="BQ172" s="271"/>
      <c r="BR172" s="271"/>
      <c r="BS172" s="271"/>
      <c r="BT172" s="271"/>
      <c r="BU172" s="271"/>
      <c r="BV172" s="271"/>
      <c r="BW172" s="271"/>
      <c r="BX172" s="235">
        <f>IF(AB172=0,0,BI172+BJ172+BK172+BL172+BM172+BN172+BO172+BP172+BQ172+BR172+BS172+BT172+BU172+BV172+BW172)</f>
        <v>10000000</v>
      </c>
      <c r="BY172" s="271"/>
      <c r="BZ172" s="271"/>
      <c r="CA172" s="271"/>
      <c r="CB172" s="271"/>
      <c r="CC172" s="271">
        <v>10000000</v>
      </c>
      <c r="CD172" s="271"/>
      <c r="CE172" s="271"/>
      <c r="CF172" s="271"/>
      <c r="CG172" s="271"/>
      <c r="CH172" s="271"/>
      <c r="CI172" s="271"/>
      <c r="CJ172" s="271"/>
      <c r="CK172" s="271"/>
      <c r="CL172" s="271"/>
      <c r="CM172" s="271"/>
      <c r="CN172" s="235">
        <f>IF(AG172=0,0,(BY172+BZ172+CA172+CB172+CC172+CD172+CE172+CF172+CG172+CH172+CI172+CJ172+CK172+CL172+CM172))</f>
        <v>10000000</v>
      </c>
      <c r="CO172" s="271"/>
      <c r="CP172" s="271"/>
      <c r="CQ172" s="271"/>
      <c r="CR172" s="271"/>
      <c r="CS172" s="271">
        <v>10000000</v>
      </c>
      <c r="CT172" s="271"/>
      <c r="CU172" s="271"/>
      <c r="CV172" s="271"/>
      <c r="CW172" s="271"/>
      <c r="CX172" s="271"/>
      <c r="CY172" s="271"/>
      <c r="CZ172" s="271"/>
      <c r="DA172" s="271"/>
      <c r="DB172" s="271"/>
      <c r="DC172" s="271"/>
      <c r="DD172" s="234">
        <f>IF(AL172=0,0,(CO172+CP172+CQ172+CR172+CS172+CT172+CU172+CV172+CW172+CX172+CY172+CZ172+DA172+DB172+DC172))</f>
        <v>10000000</v>
      </c>
      <c r="DE172" s="244">
        <f t="shared" si="42"/>
        <v>30000000</v>
      </c>
    </row>
    <row r="173" spans="1:109" s="99" customFormat="1" ht="112.05" customHeight="1">
      <c r="A173" s="120" t="s">
        <v>1235</v>
      </c>
      <c r="B173" s="281" t="s">
        <v>9</v>
      </c>
      <c r="C173" s="281" t="s">
        <v>1702</v>
      </c>
      <c r="D173" s="281">
        <v>10</v>
      </c>
      <c r="E173" s="281" t="s">
        <v>851</v>
      </c>
      <c r="F173" s="282" t="s">
        <v>852</v>
      </c>
      <c r="G173" s="281" t="s">
        <v>2995</v>
      </c>
      <c r="H173" s="281">
        <v>17</v>
      </c>
      <c r="I173" s="281" t="s">
        <v>325</v>
      </c>
      <c r="J173" s="281" t="s">
        <v>683</v>
      </c>
      <c r="K173" s="119">
        <v>150924</v>
      </c>
      <c r="L173" s="281" t="s">
        <v>861</v>
      </c>
      <c r="M173" s="281" t="s">
        <v>862</v>
      </c>
      <c r="N173" s="281" t="s">
        <v>863</v>
      </c>
      <c r="O173" s="281" t="s">
        <v>864</v>
      </c>
      <c r="P173" s="284">
        <v>159</v>
      </c>
      <c r="Q173" s="281" t="s">
        <v>3361</v>
      </c>
      <c r="R173" s="281" t="s">
        <v>865</v>
      </c>
      <c r="S173" s="281" t="s">
        <v>683</v>
      </c>
      <c r="T173" s="281">
        <v>14</v>
      </c>
      <c r="U173" s="275">
        <v>0.1</v>
      </c>
      <c r="V173" s="275">
        <v>0.1</v>
      </c>
      <c r="W173" s="225">
        <v>0.2</v>
      </c>
      <c r="X173" s="275">
        <v>0.3</v>
      </c>
      <c r="Y173" s="275">
        <v>0.25</v>
      </c>
      <c r="Z173" s="275">
        <v>0.5</v>
      </c>
      <c r="AA173" s="275">
        <v>0.5</v>
      </c>
      <c r="AB173" s="225">
        <v>1.55</v>
      </c>
      <c r="AC173" s="275">
        <v>0.25</v>
      </c>
      <c r="AD173" s="275">
        <v>0.25</v>
      </c>
      <c r="AE173" s="275">
        <v>0.5</v>
      </c>
      <c r="AF173" s="275">
        <v>0.5</v>
      </c>
      <c r="AG173" s="225">
        <v>1.5</v>
      </c>
      <c r="AH173" s="275">
        <v>0.5</v>
      </c>
      <c r="AI173" s="275">
        <v>0.5</v>
      </c>
      <c r="AJ173" s="275">
        <v>0.75</v>
      </c>
      <c r="AK173" s="275"/>
      <c r="AL173" s="225">
        <v>1.75</v>
      </c>
      <c r="AM173" s="119">
        <v>5</v>
      </c>
      <c r="AN173" s="120" t="s">
        <v>685</v>
      </c>
      <c r="AO173" s="120" t="s">
        <v>1210</v>
      </c>
      <c r="AP173" s="120" t="s">
        <v>1218</v>
      </c>
      <c r="AQ173" s="120" t="s">
        <v>1193</v>
      </c>
      <c r="AR173" s="120" t="s">
        <v>944</v>
      </c>
      <c r="AS173" s="276"/>
      <c r="AT173" s="276"/>
      <c r="AU173" s="276"/>
      <c r="AV173" s="276"/>
      <c r="AW173" s="276">
        <v>15000000</v>
      </c>
      <c r="AX173" s="276"/>
      <c r="AY173" s="276"/>
      <c r="AZ173" s="276"/>
      <c r="BA173" s="276"/>
      <c r="BB173" s="276"/>
      <c r="BC173" s="276"/>
      <c r="BD173" s="276"/>
      <c r="BE173" s="276"/>
      <c r="BF173" s="276"/>
      <c r="BG173" s="276"/>
      <c r="BH173" s="236">
        <f>IF(W173=0,0,BG173+BF173+BE173+BD173+BC173+BB173+BA173+AZ173+AY173+AX173+AW173+AV173+AU173+AT173+AS173)</f>
        <v>15000000</v>
      </c>
      <c r="BI173" s="276"/>
      <c r="BJ173" s="276"/>
      <c r="BK173" s="276"/>
      <c r="BL173" s="276"/>
      <c r="BM173" s="276">
        <v>30000000</v>
      </c>
      <c r="BN173" s="276"/>
      <c r="BO173" s="276"/>
      <c r="BP173" s="276"/>
      <c r="BQ173" s="276"/>
      <c r="BR173" s="276"/>
      <c r="BS173" s="276"/>
      <c r="BT173" s="276"/>
      <c r="BU173" s="276"/>
      <c r="BV173" s="276"/>
      <c r="BW173" s="276"/>
      <c r="BX173" s="236">
        <f>IF(AB173=0,0,BI173+BJ173+BK173+BL173+BM173+BN173+BO173+BP173+BQ173+BR173+BS173+BT173+BU173+BV173+BW173)</f>
        <v>30000000</v>
      </c>
      <c r="BY173" s="276"/>
      <c r="BZ173" s="276"/>
      <c r="CA173" s="276"/>
      <c r="CB173" s="276"/>
      <c r="CC173" s="276">
        <v>20000000</v>
      </c>
      <c r="CD173" s="276"/>
      <c r="CE173" s="276"/>
      <c r="CF173" s="276"/>
      <c r="CG173" s="276"/>
      <c r="CH173" s="276"/>
      <c r="CI173" s="276"/>
      <c r="CJ173" s="276"/>
      <c r="CK173" s="276"/>
      <c r="CL173" s="276"/>
      <c r="CM173" s="276"/>
      <c r="CN173" s="236">
        <f>IF(AG173=0,0,(BY173+BZ173+CA173+CB173+CC173+CD173+CE173+CF173+CG173+CH173+CI173+CJ173+CK173+CL173+CM173))</f>
        <v>20000000</v>
      </c>
      <c r="CO173" s="276"/>
      <c r="CP173" s="276"/>
      <c r="CQ173" s="276"/>
      <c r="CR173" s="276"/>
      <c r="CS173" s="276">
        <v>20000000</v>
      </c>
      <c r="CT173" s="276"/>
      <c r="CU173" s="276"/>
      <c r="CV173" s="276"/>
      <c r="CW173" s="276"/>
      <c r="CX173" s="276"/>
      <c r="CY173" s="276"/>
      <c r="CZ173" s="276"/>
      <c r="DA173" s="276"/>
      <c r="DB173" s="276"/>
      <c r="DC173" s="276"/>
      <c r="DD173" s="240">
        <f>IF(AL173=0,0,(CO173+CP173+CQ173+CR173+CS173+CT173+CU173+CV173+CW173+CX173+CY173+CZ173+DA173+DB173+DC173))</f>
        <v>20000000</v>
      </c>
      <c r="DE173" s="245">
        <f t="shared" si="42"/>
        <v>85000000</v>
      </c>
    </row>
    <row r="174" spans="1:109" s="46" customFormat="1" ht="65.099999999999994" customHeight="1">
      <c r="A174" s="134" t="s">
        <v>1235</v>
      </c>
      <c r="B174" s="134" t="s">
        <v>9</v>
      </c>
      <c r="C174" s="134" t="s">
        <v>1702</v>
      </c>
      <c r="D174" s="148">
        <v>10</v>
      </c>
      <c r="E174" s="148" t="s">
        <v>851</v>
      </c>
      <c r="F174" s="149"/>
      <c r="G174" s="150"/>
      <c r="H174" s="151"/>
      <c r="I174" s="151"/>
      <c r="J174" s="151"/>
      <c r="K174" s="152"/>
      <c r="L174" s="151"/>
      <c r="M174" s="151"/>
      <c r="N174" s="151"/>
      <c r="O174" s="151"/>
      <c r="P174" s="151"/>
      <c r="Q174" s="150"/>
      <c r="R174" s="153"/>
      <c r="S174" s="151"/>
      <c r="T174" s="151"/>
      <c r="U174" s="154"/>
      <c r="V174" s="154"/>
      <c r="W174" s="152"/>
      <c r="X174" s="154"/>
      <c r="Y174" s="154"/>
      <c r="Z174" s="154"/>
      <c r="AA174" s="154"/>
      <c r="AB174" s="152"/>
      <c r="AC174" s="154"/>
      <c r="AD174" s="154"/>
      <c r="AE174" s="154"/>
      <c r="AF174" s="154"/>
      <c r="AG174" s="152"/>
      <c r="AH174" s="154"/>
      <c r="AI174" s="154"/>
      <c r="AJ174" s="154"/>
      <c r="AK174" s="154"/>
      <c r="AL174" s="152"/>
      <c r="AM174" s="155"/>
      <c r="AN174" s="156"/>
      <c r="AO174" s="156"/>
      <c r="AP174" s="157"/>
      <c r="AQ174" s="157"/>
      <c r="AR174" s="158"/>
      <c r="AS174" s="132">
        <f>SUM(AS171:AS173)</f>
        <v>0</v>
      </c>
      <c r="AT174" s="132">
        <f t="shared" ref="AT174:DE174" si="43">SUM(AT171:AT173)</f>
        <v>0</v>
      </c>
      <c r="AU174" s="132">
        <f t="shared" si="43"/>
        <v>0</v>
      </c>
      <c r="AV174" s="132">
        <f t="shared" si="43"/>
        <v>0</v>
      </c>
      <c r="AW174" s="132">
        <f t="shared" si="43"/>
        <v>15000000</v>
      </c>
      <c r="AX174" s="132">
        <f t="shared" si="43"/>
        <v>0</v>
      </c>
      <c r="AY174" s="132">
        <f t="shared" si="43"/>
        <v>0</v>
      </c>
      <c r="AZ174" s="132">
        <f t="shared" si="43"/>
        <v>0</v>
      </c>
      <c r="BA174" s="132">
        <f t="shared" si="43"/>
        <v>0</v>
      </c>
      <c r="BB174" s="132">
        <f t="shared" si="43"/>
        <v>0</v>
      </c>
      <c r="BC174" s="132">
        <f t="shared" si="43"/>
        <v>0</v>
      </c>
      <c r="BD174" s="132">
        <f t="shared" si="43"/>
        <v>0</v>
      </c>
      <c r="BE174" s="132">
        <f t="shared" si="43"/>
        <v>0</v>
      </c>
      <c r="BF174" s="132">
        <f t="shared" si="43"/>
        <v>0</v>
      </c>
      <c r="BG174" s="132">
        <f t="shared" si="43"/>
        <v>0</v>
      </c>
      <c r="BH174" s="133">
        <f>IF(OR(AND(BH171=0,W171&lt;&gt;0),AND(BH172=0,W172&lt;&gt;0),AND(BH173=0,W173&lt;&gt;0)),"NO DEBEN QUEDAR CELDAS EN ROJO",SUM(BH171:BH173))</f>
        <v>15000000</v>
      </c>
      <c r="BI174" s="132">
        <f t="shared" si="43"/>
        <v>0</v>
      </c>
      <c r="BJ174" s="132">
        <f t="shared" si="43"/>
        <v>0</v>
      </c>
      <c r="BK174" s="132">
        <f t="shared" si="43"/>
        <v>0</v>
      </c>
      <c r="BL174" s="132">
        <f t="shared" si="43"/>
        <v>0</v>
      </c>
      <c r="BM174" s="132">
        <f t="shared" si="43"/>
        <v>40000000</v>
      </c>
      <c r="BN174" s="132">
        <f t="shared" si="43"/>
        <v>0</v>
      </c>
      <c r="BO174" s="132">
        <f t="shared" si="43"/>
        <v>0</v>
      </c>
      <c r="BP174" s="132">
        <f t="shared" si="43"/>
        <v>0</v>
      </c>
      <c r="BQ174" s="132">
        <f t="shared" si="43"/>
        <v>0</v>
      </c>
      <c r="BR174" s="132">
        <f t="shared" si="43"/>
        <v>0</v>
      </c>
      <c r="BS174" s="132">
        <f t="shared" si="43"/>
        <v>0</v>
      </c>
      <c r="BT174" s="132">
        <f t="shared" si="43"/>
        <v>0</v>
      </c>
      <c r="BU174" s="132">
        <f t="shared" si="43"/>
        <v>0</v>
      </c>
      <c r="BV174" s="132">
        <f t="shared" si="43"/>
        <v>0</v>
      </c>
      <c r="BW174" s="132">
        <f t="shared" si="43"/>
        <v>0</v>
      </c>
      <c r="BX174" s="133">
        <f>IF(OR(AND(BX171=0,AB171&lt;&gt;0),AND(BX172=0,AB172&lt;&gt;0),AND(BX173=0,AB173&lt;&gt;0)),"NO DEBEN QUEDAR CELDAS EN ROJO",SUM(BX171:BX173))</f>
        <v>40000000</v>
      </c>
      <c r="BY174" s="132">
        <f t="shared" si="43"/>
        <v>0</v>
      </c>
      <c r="BZ174" s="132">
        <f t="shared" si="43"/>
        <v>0</v>
      </c>
      <c r="CA174" s="132">
        <f t="shared" si="43"/>
        <v>0</v>
      </c>
      <c r="CB174" s="132">
        <f t="shared" si="43"/>
        <v>0</v>
      </c>
      <c r="CC174" s="132">
        <f t="shared" si="43"/>
        <v>40000000</v>
      </c>
      <c r="CD174" s="132">
        <f t="shared" si="43"/>
        <v>0</v>
      </c>
      <c r="CE174" s="132">
        <f t="shared" si="43"/>
        <v>0</v>
      </c>
      <c r="CF174" s="132">
        <f t="shared" si="43"/>
        <v>0</v>
      </c>
      <c r="CG174" s="132">
        <f t="shared" si="43"/>
        <v>0</v>
      </c>
      <c r="CH174" s="132">
        <f t="shared" si="43"/>
        <v>0</v>
      </c>
      <c r="CI174" s="132">
        <f t="shared" si="43"/>
        <v>0</v>
      </c>
      <c r="CJ174" s="132">
        <f t="shared" si="43"/>
        <v>0</v>
      </c>
      <c r="CK174" s="132">
        <f t="shared" si="43"/>
        <v>0</v>
      </c>
      <c r="CL174" s="132">
        <f t="shared" si="43"/>
        <v>0</v>
      </c>
      <c r="CM174" s="132">
        <f t="shared" si="43"/>
        <v>0</v>
      </c>
      <c r="CN174" s="133">
        <f>IF(OR(AND(CN171=0,AG171&lt;&gt;0),AND(CN172=0,AG172&lt;&gt;0),AND(CN173=0,AG173&lt;&gt;0)),"NO DEBEN QUEDAR CELDAS EN ROJO",SUM(CN171:CN173))</f>
        <v>40000000</v>
      </c>
      <c r="CO174" s="132">
        <f t="shared" si="43"/>
        <v>0</v>
      </c>
      <c r="CP174" s="132">
        <f t="shared" si="43"/>
        <v>0</v>
      </c>
      <c r="CQ174" s="132">
        <f t="shared" si="43"/>
        <v>0</v>
      </c>
      <c r="CR174" s="132">
        <f t="shared" si="43"/>
        <v>0</v>
      </c>
      <c r="CS174" s="132">
        <f t="shared" si="43"/>
        <v>40000000</v>
      </c>
      <c r="CT174" s="132">
        <f t="shared" si="43"/>
        <v>0</v>
      </c>
      <c r="CU174" s="132">
        <f t="shared" si="43"/>
        <v>0</v>
      </c>
      <c r="CV174" s="132">
        <f t="shared" si="43"/>
        <v>0</v>
      </c>
      <c r="CW174" s="132">
        <f t="shared" si="43"/>
        <v>0</v>
      </c>
      <c r="CX174" s="132">
        <f t="shared" si="43"/>
        <v>0</v>
      </c>
      <c r="CY174" s="132">
        <f t="shared" si="43"/>
        <v>0</v>
      </c>
      <c r="CZ174" s="132">
        <f t="shared" si="43"/>
        <v>0</v>
      </c>
      <c r="DA174" s="132">
        <f t="shared" si="43"/>
        <v>0</v>
      </c>
      <c r="DB174" s="132">
        <f t="shared" si="43"/>
        <v>0</v>
      </c>
      <c r="DC174" s="132">
        <f t="shared" si="43"/>
        <v>0</v>
      </c>
      <c r="DD174" s="133">
        <f>IF(OR(AND(DD171=0,AL171&lt;&gt;0),AND(DD172=0,AL172&lt;&gt;0),AND(DD173=0,AL173&lt;&gt;0)),"NO DEBEN QUEDAR CELDAS EN ROJO",SUM(DD171:DD173))</f>
        <v>40000000</v>
      </c>
      <c r="DE174" s="133">
        <f t="shared" si="43"/>
        <v>135000000</v>
      </c>
    </row>
    <row r="175" spans="1:109" s="116" customFormat="1" ht="55.05" customHeight="1">
      <c r="A175" s="124"/>
      <c r="B175" s="125" t="s">
        <v>9</v>
      </c>
      <c r="C175" s="145" t="s">
        <v>1702</v>
      </c>
      <c r="D175" s="160"/>
      <c r="E175" s="161"/>
      <c r="F175" s="162"/>
      <c r="G175" s="163"/>
      <c r="H175" s="161"/>
      <c r="I175" s="161"/>
      <c r="J175" s="161"/>
      <c r="K175" s="161"/>
      <c r="L175" s="161"/>
      <c r="M175" s="161"/>
      <c r="N175" s="161"/>
      <c r="O175" s="161"/>
      <c r="P175" s="161"/>
      <c r="Q175" s="163"/>
      <c r="R175" s="164"/>
      <c r="S175" s="161"/>
      <c r="T175" s="161"/>
      <c r="U175" s="165"/>
      <c r="V175" s="165"/>
      <c r="W175" s="166"/>
      <c r="X175" s="165"/>
      <c r="Y175" s="165"/>
      <c r="Z175" s="165"/>
      <c r="AA175" s="165"/>
      <c r="AB175" s="166"/>
      <c r="AC175" s="165"/>
      <c r="AD175" s="165"/>
      <c r="AE175" s="165"/>
      <c r="AF175" s="165"/>
      <c r="AG175" s="166"/>
      <c r="AH175" s="165"/>
      <c r="AI175" s="165"/>
      <c r="AJ175" s="165"/>
      <c r="AK175" s="165"/>
      <c r="AL175" s="166"/>
      <c r="AM175" s="167"/>
      <c r="AN175" s="168"/>
      <c r="AO175" s="168"/>
      <c r="AP175" s="163"/>
      <c r="AQ175" s="163"/>
      <c r="AR175" s="169"/>
      <c r="AS175" s="147">
        <f>SUM(AS174+AS170+AS167)</f>
        <v>0</v>
      </c>
      <c r="AT175" s="130">
        <f t="shared" ref="AT175:DE175" si="44">SUM(AT174+AT170+AT167)</f>
        <v>0</v>
      </c>
      <c r="AU175" s="130">
        <f t="shared" si="44"/>
        <v>0</v>
      </c>
      <c r="AV175" s="130">
        <f t="shared" si="44"/>
        <v>0</v>
      </c>
      <c r="AW175" s="130">
        <f t="shared" si="44"/>
        <v>1112313578</v>
      </c>
      <c r="AX175" s="130">
        <f t="shared" si="44"/>
        <v>0</v>
      </c>
      <c r="AY175" s="130">
        <f t="shared" si="44"/>
        <v>0</v>
      </c>
      <c r="AZ175" s="130">
        <f t="shared" si="44"/>
        <v>0</v>
      </c>
      <c r="BA175" s="130">
        <f t="shared" si="44"/>
        <v>0</v>
      </c>
      <c r="BB175" s="130">
        <f t="shared" si="44"/>
        <v>0</v>
      </c>
      <c r="BC175" s="130">
        <f t="shared" si="44"/>
        <v>0</v>
      </c>
      <c r="BD175" s="130">
        <f t="shared" si="44"/>
        <v>0</v>
      </c>
      <c r="BE175" s="130">
        <f t="shared" si="44"/>
        <v>0</v>
      </c>
      <c r="BF175" s="130">
        <f t="shared" si="44"/>
        <v>0</v>
      </c>
      <c r="BG175" s="130">
        <f t="shared" si="44"/>
        <v>0</v>
      </c>
      <c r="BH175" s="130">
        <f t="shared" si="44"/>
        <v>1112313578</v>
      </c>
      <c r="BI175" s="130">
        <f t="shared" si="44"/>
        <v>0</v>
      </c>
      <c r="BJ175" s="130">
        <f t="shared" si="44"/>
        <v>0</v>
      </c>
      <c r="BK175" s="130">
        <f t="shared" si="44"/>
        <v>0</v>
      </c>
      <c r="BL175" s="130">
        <f t="shared" si="44"/>
        <v>0</v>
      </c>
      <c r="BM175" s="130">
        <f t="shared" si="44"/>
        <v>1166232985</v>
      </c>
      <c r="BN175" s="130">
        <f t="shared" si="44"/>
        <v>0</v>
      </c>
      <c r="BO175" s="130">
        <f t="shared" si="44"/>
        <v>0</v>
      </c>
      <c r="BP175" s="130">
        <f t="shared" si="44"/>
        <v>0</v>
      </c>
      <c r="BQ175" s="130">
        <f t="shared" si="44"/>
        <v>0</v>
      </c>
      <c r="BR175" s="130">
        <f t="shared" si="44"/>
        <v>0</v>
      </c>
      <c r="BS175" s="130">
        <f t="shared" si="44"/>
        <v>0</v>
      </c>
      <c r="BT175" s="130">
        <f t="shared" si="44"/>
        <v>0</v>
      </c>
      <c r="BU175" s="130">
        <f t="shared" si="44"/>
        <v>0</v>
      </c>
      <c r="BV175" s="130">
        <f t="shared" si="44"/>
        <v>0</v>
      </c>
      <c r="BW175" s="130">
        <f t="shared" si="44"/>
        <v>0</v>
      </c>
      <c r="BX175" s="130">
        <f t="shared" si="44"/>
        <v>1166232985</v>
      </c>
      <c r="BY175" s="130">
        <f t="shared" si="44"/>
        <v>0</v>
      </c>
      <c r="BZ175" s="130">
        <f t="shared" si="44"/>
        <v>10000000000</v>
      </c>
      <c r="CA175" s="130">
        <f t="shared" si="44"/>
        <v>0</v>
      </c>
      <c r="CB175" s="130">
        <f t="shared" si="44"/>
        <v>0</v>
      </c>
      <c r="CC175" s="130">
        <f t="shared" si="44"/>
        <v>1214384635</v>
      </c>
      <c r="CD175" s="130">
        <f t="shared" si="44"/>
        <v>0</v>
      </c>
      <c r="CE175" s="130">
        <f t="shared" si="44"/>
        <v>0</v>
      </c>
      <c r="CF175" s="130">
        <f t="shared" si="44"/>
        <v>0</v>
      </c>
      <c r="CG175" s="130">
        <f t="shared" si="44"/>
        <v>0</v>
      </c>
      <c r="CH175" s="130">
        <f t="shared" si="44"/>
        <v>0</v>
      </c>
      <c r="CI175" s="130">
        <f t="shared" si="44"/>
        <v>0</v>
      </c>
      <c r="CJ175" s="130">
        <f t="shared" si="44"/>
        <v>0</v>
      </c>
      <c r="CK175" s="130">
        <f t="shared" si="44"/>
        <v>0</v>
      </c>
      <c r="CL175" s="130">
        <f t="shared" si="44"/>
        <v>0</v>
      </c>
      <c r="CM175" s="130">
        <f t="shared" si="44"/>
        <v>0</v>
      </c>
      <c r="CN175" s="130">
        <f t="shared" si="44"/>
        <v>11214384635</v>
      </c>
      <c r="CO175" s="130">
        <f t="shared" si="44"/>
        <v>0</v>
      </c>
      <c r="CP175" s="130">
        <f t="shared" si="44"/>
        <v>0</v>
      </c>
      <c r="CQ175" s="130">
        <f t="shared" si="44"/>
        <v>0</v>
      </c>
      <c r="CR175" s="130">
        <f t="shared" si="44"/>
        <v>0</v>
      </c>
      <c r="CS175" s="130">
        <f t="shared" si="44"/>
        <v>1268901466</v>
      </c>
      <c r="CT175" s="130">
        <f t="shared" si="44"/>
        <v>0</v>
      </c>
      <c r="CU175" s="130">
        <f t="shared" si="44"/>
        <v>0</v>
      </c>
      <c r="CV175" s="130">
        <f t="shared" si="44"/>
        <v>0</v>
      </c>
      <c r="CW175" s="130">
        <f t="shared" si="44"/>
        <v>0</v>
      </c>
      <c r="CX175" s="130">
        <f t="shared" si="44"/>
        <v>0</v>
      </c>
      <c r="CY175" s="130">
        <f t="shared" si="44"/>
        <v>0</v>
      </c>
      <c r="CZ175" s="130">
        <f t="shared" si="44"/>
        <v>0</v>
      </c>
      <c r="DA175" s="130">
        <f t="shared" si="44"/>
        <v>0</v>
      </c>
      <c r="DB175" s="130">
        <f t="shared" si="44"/>
        <v>0</v>
      </c>
      <c r="DC175" s="130">
        <f t="shared" si="44"/>
        <v>7861100314</v>
      </c>
      <c r="DD175" s="130">
        <f t="shared" si="44"/>
        <v>9130001780</v>
      </c>
      <c r="DE175" s="130">
        <f t="shared" si="44"/>
        <v>22622932978</v>
      </c>
    </row>
    <row r="176" spans="1:109" s="98" customFormat="1" ht="155.1" customHeight="1">
      <c r="A176" s="103" t="s">
        <v>1236</v>
      </c>
      <c r="B176" s="108" t="s">
        <v>9</v>
      </c>
      <c r="C176" s="108" t="s">
        <v>1697</v>
      </c>
      <c r="D176" s="108">
        <v>11</v>
      </c>
      <c r="E176" s="108" t="s">
        <v>866</v>
      </c>
      <c r="F176" s="285" t="s">
        <v>326</v>
      </c>
      <c r="G176" s="108" t="s">
        <v>2703</v>
      </c>
      <c r="H176" s="108">
        <v>18</v>
      </c>
      <c r="I176" s="108" t="s">
        <v>867</v>
      </c>
      <c r="J176" s="108" t="s">
        <v>683</v>
      </c>
      <c r="K176" s="109">
        <v>4000</v>
      </c>
      <c r="L176" s="108" t="s">
        <v>868</v>
      </c>
      <c r="M176" s="108" t="s">
        <v>869</v>
      </c>
      <c r="N176" s="108" t="s">
        <v>870</v>
      </c>
      <c r="O176" s="108" t="s">
        <v>871</v>
      </c>
      <c r="P176" s="286">
        <v>160</v>
      </c>
      <c r="Q176" s="108" t="s">
        <v>3362</v>
      </c>
      <c r="R176" s="108" t="s">
        <v>872</v>
      </c>
      <c r="S176" s="108" t="s">
        <v>683</v>
      </c>
      <c r="T176" s="108">
        <v>20</v>
      </c>
      <c r="U176" s="287">
        <v>10</v>
      </c>
      <c r="V176" s="287">
        <v>10</v>
      </c>
      <c r="W176" s="224">
        <v>20</v>
      </c>
      <c r="X176" s="287">
        <v>4</v>
      </c>
      <c r="Y176" s="287">
        <v>6</v>
      </c>
      <c r="Z176" s="287">
        <v>5</v>
      </c>
      <c r="AA176" s="287">
        <v>5</v>
      </c>
      <c r="AB176" s="224">
        <v>20</v>
      </c>
      <c r="AC176" s="287">
        <v>4</v>
      </c>
      <c r="AD176" s="287">
        <v>6</v>
      </c>
      <c r="AE176" s="287">
        <v>5</v>
      </c>
      <c r="AF176" s="287">
        <v>5</v>
      </c>
      <c r="AG176" s="224">
        <v>20</v>
      </c>
      <c r="AH176" s="287">
        <v>4</v>
      </c>
      <c r="AI176" s="287">
        <v>6</v>
      </c>
      <c r="AJ176" s="287">
        <v>5</v>
      </c>
      <c r="AK176" s="287">
        <v>5</v>
      </c>
      <c r="AL176" s="224">
        <v>20</v>
      </c>
      <c r="AM176" s="109">
        <v>20</v>
      </c>
      <c r="AN176" s="108" t="s">
        <v>686</v>
      </c>
      <c r="AO176" s="108" t="s">
        <v>616</v>
      </c>
      <c r="AP176" s="108" t="s">
        <v>1226</v>
      </c>
      <c r="AQ176" s="108" t="s">
        <v>1207</v>
      </c>
      <c r="AR176" s="108" t="s">
        <v>945</v>
      </c>
      <c r="AS176" s="288"/>
      <c r="AT176" s="288"/>
      <c r="AU176" s="288"/>
      <c r="AV176" s="288"/>
      <c r="AW176" s="288">
        <v>3583333.333333334</v>
      </c>
      <c r="AX176" s="288"/>
      <c r="AY176" s="288"/>
      <c r="AZ176" s="288"/>
      <c r="BA176" s="288"/>
      <c r="BB176" s="288"/>
      <c r="BC176" s="288"/>
      <c r="BD176" s="288"/>
      <c r="BE176" s="288"/>
      <c r="BF176" s="288"/>
      <c r="BG176" s="288"/>
      <c r="BH176" s="234">
        <f t="shared" ref="BH176:BH194" si="45">IF(W176=0,0,BG176+BF176+BE176+BD176+BC176+BB176+BA176+AZ176+AY176+AX176+AW176+AV176+AU176+AT176+AS176)</f>
        <v>3583333.333333334</v>
      </c>
      <c r="BI176" s="288"/>
      <c r="BJ176" s="288"/>
      <c r="BK176" s="288"/>
      <c r="BL176" s="288"/>
      <c r="BM176" s="288">
        <v>25636816.071428571</v>
      </c>
      <c r="BN176" s="288"/>
      <c r="BO176" s="288"/>
      <c r="BP176" s="288"/>
      <c r="BQ176" s="288"/>
      <c r="BR176" s="288"/>
      <c r="BS176" s="288"/>
      <c r="BT176" s="288"/>
      <c r="BU176" s="288"/>
      <c r="BV176" s="288"/>
      <c r="BW176" s="288"/>
      <c r="BX176" s="234">
        <f t="shared" ref="BX176:BX194" si="46">IF(AB176=0,0,BI176+BJ176+BK176+BL176+BM176+BN176+BO176+BP176+BQ176+BR176+BS176+BT176+BU176+BV176+BW176)</f>
        <v>25636816.071428571</v>
      </c>
      <c r="BY176" s="288"/>
      <c r="BZ176" s="288"/>
      <c r="CA176" s="288"/>
      <c r="CB176" s="288"/>
      <c r="CC176" s="288">
        <v>27001367.857142858</v>
      </c>
      <c r="CD176" s="288"/>
      <c r="CE176" s="288"/>
      <c r="CF176" s="288"/>
      <c r="CG176" s="288"/>
      <c r="CH176" s="288"/>
      <c r="CI176" s="288"/>
      <c r="CJ176" s="288"/>
      <c r="CK176" s="288"/>
      <c r="CL176" s="288"/>
      <c r="CM176" s="288"/>
      <c r="CN176" s="234">
        <f t="shared" ref="CN176:CN194" si="47">IF(AG176=0,0,(BY176+BZ176+CA176+CB176+CC176+CD176+CE176+CF176+CG176+CH176+CI176+CJ176+CK176+CL176+CM176))</f>
        <v>27001367.857142858</v>
      </c>
      <c r="CO176" s="288"/>
      <c r="CP176" s="288"/>
      <c r="CQ176" s="288"/>
      <c r="CR176" s="288"/>
      <c r="CS176" s="288">
        <v>29290387.5</v>
      </c>
      <c r="CT176" s="288"/>
      <c r="CU176" s="288"/>
      <c r="CV176" s="288"/>
      <c r="CW176" s="288"/>
      <c r="CX176" s="288"/>
      <c r="CY176" s="288"/>
      <c r="CZ176" s="288"/>
      <c r="DA176" s="288"/>
      <c r="DB176" s="288"/>
      <c r="DC176" s="288"/>
      <c r="DD176" s="234">
        <f t="shared" ref="DD176:DD194" si="48">IF(AL176=0,0,(CO176+CP176+CQ176+CR176+CS176+CT176+CU176+CV176+CW176+CX176+CY176+CZ176+DA176+DB176+DC176))</f>
        <v>29290387.5</v>
      </c>
      <c r="DE176" s="246">
        <f t="shared" ref="DE176:DE194" si="49">SUM(DD176+CN176+BX176+BH176)</f>
        <v>85511904.761904761</v>
      </c>
    </row>
    <row r="177" spans="1:109" s="98" customFormat="1" ht="155.1" customHeight="1">
      <c r="A177" s="103" t="s">
        <v>1236</v>
      </c>
      <c r="B177" s="108" t="s">
        <v>9</v>
      </c>
      <c r="C177" s="108" t="s">
        <v>1697</v>
      </c>
      <c r="D177" s="108">
        <v>11</v>
      </c>
      <c r="E177" s="108" t="s">
        <v>866</v>
      </c>
      <c r="F177" s="285" t="s">
        <v>326</v>
      </c>
      <c r="G177" s="108" t="s">
        <v>2703</v>
      </c>
      <c r="H177" s="108">
        <v>18</v>
      </c>
      <c r="I177" s="108" t="s">
        <v>867</v>
      </c>
      <c r="J177" s="108" t="s">
        <v>683</v>
      </c>
      <c r="K177" s="109">
        <v>4000</v>
      </c>
      <c r="L177" s="108" t="s">
        <v>868</v>
      </c>
      <c r="M177" s="108" t="s">
        <v>869</v>
      </c>
      <c r="N177" s="108" t="s">
        <v>870</v>
      </c>
      <c r="O177" s="108" t="s">
        <v>871</v>
      </c>
      <c r="P177" s="286">
        <v>161</v>
      </c>
      <c r="Q177" s="108" t="s">
        <v>3501</v>
      </c>
      <c r="R177" s="108" t="s">
        <v>872</v>
      </c>
      <c r="S177" s="108" t="s">
        <v>683</v>
      </c>
      <c r="T177" s="108">
        <v>20</v>
      </c>
      <c r="U177" s="287">
        <v>30</v>
      </c>
      <c r="V177" s="287">
        <v>20</v>
      </c>
      <c r="W177" s="224">
        <v>50</v>
      </c>
      <c r="X177" s="287">
        <v>4</v>
      </c>
      <c r="Y177" s="287">
        <v>4</v>
      </c>
      <c r="Z177" s="287">
        <v>5</v>
      </c>
      <c r="AA177" s="287">
        <v>5</v>
      </c>
      <c r="AB177" s="224">
        <v>18</v>
      </c>
      <c r="AC177" s="287">
        <v>4</v>
      </c>
      <c r="AD177" s="287">
        <v>4</v>
      </c>
      <c r="AE177" s="287">
        <v>5</v>
      </c>
      <c r="AF177" s="287">
        <v>5</v>
      </c>
      <c r="AG177" s="224">
        <v>18</v>
      </c>
      <c r="AH177" s="287">
        <v>4</v>
      </c>
      <c r="AI177" s="287">
        <v>5</v>
      </c>
      <c r="AJ177" s="287">
        <v>4</v>
      </c>
      <c r="AK177" s="287">
        <v>4</v>
      </c>
      <c r="AL177" s="224">
        <v>17</v>
      </c>
      <c r="AM177" s="109">
        <v>103</v>
      </c>
      <c r="AN177" s="108" t="s">
        <v>685</v>
      </c>
      <c r="AO177" s="108" t="s">
        <v>616</v>
      </c>
      <c r="AP177" s="108" t="s">
        <v>1226</v>
      </c>
      <c r="AQ177" s="108" t="s">
        <v>1207</v>
      </c>
      <c r="AR177" s="108" t="s">
        <v>945</v>
      </c>
      <c r="AS177" s="288"/>
      <c r="AT177" s="288"/>
      <c r="AU177" s="288"/>
      <c r="AV177" s="288"/>
      <c r="AW177" s="288">
        <v>3583333.333333334</v>
      </c>
      <c r="AX177" s="288"/>
      <c r="AY177" s="288"/>
      <c r="AZ177" s="288"/>
      <c r="BA177" s="288"/>
      <c r="BB177" s="288"/>
      <c r="BC177" s="288"/>
      <c r="BD177" s="288"/>
      <c r="BE177" s="288"/>
      <c r="BF177" s="288"/>
      <c r="BG177" s="288"/>
      <c r="BH177" s="235">
        <f t="shared" si="45"/>
        <v>3583333.333333334</v>
      </c>
      <c r="BI177" s="288"/>
      <c r="BJ177" s="288"/>
      <c r="BK177" s="288"/>
      <c r="BL177" s="288"/>
      <c r="BM177" s="288">
        <v>25636816.071428571</v>
      </c>
      <c r="BN177" s="288"/>
      <c r="BO177" s="288"/>
      <c r="BP177" s="288"/>
      <c r="BQ177" s="288"/>
      <c r="BR177" s="288"/>
      <c r="BS177" s="288"/>
      <c r="BT177" s="288"/>
      <c r="BU177" s="288"/>
      <c r="BV177" s="288"/>
      <c r="BW177" s="288"/>
      <c r="BX177" s="235">
        <f t="shared" si="46"/>
        <v>25636816.071428571</v>
      </c>
      <c r="BY177" s="288"/>
      <c r="BZ177" s="288"/>
      <c r="CA177" s="288"/>
      <c r="CB177" s="288"/>
      <c r="CC177" s="288">
        <v>27001367.857142858</v>
      </c>
      <c r="CD177" s="288"/>
      <c r="CE177" s="288"/>
      <c r="CF177" s="288"/>
      <c r="CG177" s="288"/>
      <c r="CH177" s="288"/>
      <c r="CI177" s="288"/>
      <c r="CJ177" s="288"/>
      <c r="CK177" s="288"/>
      <c r="CL177" s="288"/>
      <c r="CM177" s="288"/>
      <c r="CN177" s="235">
        <f t="shared" si="47"/>
        <v>27001367.857142858</v>
      </c>
      <c r="CO177" s="288"/>
      <c r="CP177" s="288"/>
      <c r="CQ177" s="288"/>
      <c r="CR177" s="288"/>
      <c r="CS177" s="288">
        <v>29290387.5</v>
      </c>
      <c r="CT177" s="288"/>
      <c r="CU177" s="288"/>
      <c r="CV177" s="288"/>
      <c r="CW177" s="288"/>
      <c r="CX177" s="288"/>
      <c r="CY177" s="288"/>
      <c r="CZ177" s="288"/>
      <c r="DA177" s="288"/>
      <c r="DB177" s="288"/>
      <c r="DC177" s="288"/>
      <c r="DD177" s="234">
        <f t="shared" si="48"/>
        <v>29290387.5</v>
      </c>
      <c r="DE177" s="246">
        <f t="shared" si="49"/>
        <v>85511904.761904761</v>
      </c>
    </row>
    <row r="178" spans="1:109" s="98" customFormat="1" ht="155.1" customHeight="1">
      <c r="A178" s="103" t="s">
        <v>1236</v>
      </c>
      <c r="B178" s="108" t="s">
        <v>9</v>
      </c>
      <c r="C178" s="108" t="s">
        <v>1697</v>
      </c>
      <c r="D178" s="108">
        <v>11</v>
      </c>
      <c r="E178" s="108" t="s">
        <v>866</v>
      </c>
      <c r="F178" s="285" t="s">
        <v>326</v>
      </c>
      <c r="G178" s="108" t="s">
        <v>2703</v>
      </c>
      <c r="H178" s="108">
        <v>18</v>
      </c>
      <c r="I178" s="108" t="s">
        <v>867</v>
      </c>
      <c r="J178" s="108" t="s">
        <v>683</v>
      </c>
      <c r="K178" s="109">
        <v>4000</v>
      </c>
      <c r="L178" s="108" t="s">
        <v>868</v>
      </c>
      <c r="M178" s="108" t="s">
        <v>869</v>
      </c>
      <c r="N178" s="108" t="s">
        <v>870</v>
      </c>
      <c r="O178" s="108" t="s">
        <v>871</v>
      </c>
      <c r="P178" s="286">
        <v>162</v>
      </c>
      <c r="Q178" s="108" t="s">
        <v>3363</v>
      </c>
      <c r="R178" s="108" t="s">
        <v>873</v>
      </c>
      <c r="S178" s="108" t="s">
        <v>683</v>
      </c>
      <c r="T178" s="108">
        <v>12</v>
      </c>
      <c r="U178" s="287">
        <v>2</v>
      </c>
      <c r="V178" s="287">
        <v>1</v>
      </c>
      <c r="W178" s="224">
        <v>3</v>
      </c>
      <c r="X178" s="287"/>
      <c r="Y178" s="287">
        <v>1</v>
      </c>
      <c r="Z178" s="287">
        <v>1</v>
      </c>
      <c r="AA178" s="287">
        <v>1</v>
      </c>
      <c r="AB178" s="224">
        <v>3</v>
      </c>
      <c r="AC178" s="287"/>
      <c r="AD178" s="287">
        <v>1</v>
      </c>
      <c r="AE178" s="287">
        <v>1</v>
      </c>
      <c r="AF178" s="287">
        <v>1</v>
      </c>
      <c r="AG178" s="224">
        <v>3</v>
      </c>
      <c r="AH178" s="287"/>
      <c r="AI178" s="287">
        <v>1</v>
      </c>
      <c r="AJ178" s="287">
        <v>1</v>
      </c>
      <c r="AK178" s="287">
        <v>1</v>
      </c>
      <c r="AL178" s="224">
        <v>3</v>
      </c>
      <c r="AM178" s="109">
        <v>12</v>
      </c>
      <c r="AN178" s="108" t="s">
        <v>685</v>
      </c>
      <c r="AO178" s="108" t="s">
        <v>616</v>
      </c>
      <c r="AP178" s="108" t="s">
        <v>1226</v>
      </c>
      <c r="AQ178" s="108" t="s">
        <v>1207</v>
      </c>
      <c r="AR178" s="108" t="s">
        <v>945</v>
      </c>
      <c r="AS178" s="288"/>
      <c r="AT178" s="288"/>
      <c r="AU178" s="288"/>
      <c r="AV178" s="288"/>
      <c r="AW178" s="288">
        <v>3583333.333333334</v>
      </c>
      <c r="AX178" s="288"/>
      <c r="AY178" s="288"/>
      <c r="AZ178" s="288"/>
      <c r="BA178" s="288"/>
      <c r="BB178" s="288"/>
      <c r="BC178" s="288"/>
      <c r="BD178" s="288"/>
      <c r="BE178" s="288"/>
      <c r="BF178" s="288"/>
      <c r="BG178" s="288"/>
      <c r="BH178" s="235">
        <f t="shared" si="45"/>
        <v>3583333.333333334</v>
      </c>
      <c r="BI178" s="288"/>
      <c r="BJ178" s="288"/>
      <c r="BK178" s="288"/>
      <c r="BL178" s="288"/>
      <c r="BM178" s="288">
        <v>25636816.071428571</v>
      </c>
      <c r="BN178" s="288"/>
      <c r="BO178" s="288"/>
      <c r="BP178" s="288"/>
      <c r="BQ178" s="288"/>
      <c r="BR178" s="288"/>
      <c r="BS178" s="288"/>
      <c r="BT178" s="288"/>
      <c r="BU178" s="288"/>
      <c r="BV178" s="288"/>
      <c r="BW178" s="288"/>
      <c r="BX178" s="235">
        <f t="shared" si="46"/>
        <v>25636816.071428571</v>
      </c>
      <c r="BY178" s="288"/>
      <c r="BZ178" s="288"/>
      <c r="CA178" s="288"/>
      <c r="CB178" s="288"/>
      <c r="CC178" s="288">
        <v>27001367.857142858</v>
      </c>
      <c r="CD178" s="288"/>
      <c r="CE178" s="288"/>
      <c r="CF178" s="288"/>
      <c r="CG178" s="288"/>
      <c r="CH178" s="288"/>
      <c r="CI178" s="288"/>
      <c r="CJ178" s="288"/>
      <c r="CK178" s="288"/>
      <c r="CL178" s="288"/>
      <c r="CM178" s="288"/>
      <c r="CN178" s="235">
        <f t="shared" si="47"/>
        <v>27001367.857142858</v>
      </c>
      <c r="CO178" s="288"/>
      <c r="CP178" s="288"/>
      <c r="CQ178" s="288"/>
      <c r="CR178" s="288"/>
      <c r="CS178" s="288">
        <v>29290387.5</v>
      </c>
      <c r="CT178" s="288"/>
      <c r="CU178" s="288"/>
      <c r="CV178" s="288"/>
      <c r="CW178" s="288"/>
      <c r="CX178" s="288"/>
      <c r="CY178" s="288"/>
      <c r="CZ178" s="288"/>
      <c r="DA178" s="288"/>
      <c r="DB178" s="288"/>
      <c r="DC178" s="288"/>
      <c r="DD178" s="234">
        <f t="shared" si="48"/>
        <v>29290387.5</v>
      </c>
      <c r="DE178" s="246">
        <f t="shared" si="49"/>
        <v>85511904.761904761</v>
      </c>
    </row>
    <row r="179" spans="1:109" s="98" customFormat="1" ht="155.1" customHeight="1">
      <c r="A179" s="103" t="s">
        <v>1236</v>
      </c>
      <c r="B179" s="108" t="s">
        <v>9</v>
      </c>
      <c r="C179" s="108" t="s">
        <v>1697</v>
      </c>
      <c r="D179" s="108">
        <v>11</v>
      </c>
      <c r="E179" s="108" t="s">
        <v>866</v>
      </c>
      <c r="F179" s="285" t="s">
        <v>326</v>
      </c>
      <c r="G179" s="108" t="s">
        <v>2703</v>
      </c>
      <c r="H179" s="108">
        <v>18</v>
      </c>
      <c r="I179" s="108" t="s">
        <v>867</v>
      </c>
      <c r="J179" s="108" t="s">
        <v>683</v>
      </c>
      <c r="K179" s="109">
        <v>4000</v>
      </c>
      <c r="L179" s="108" t="s">
        <v>868</v>
      </c>
      <c r="M179" s="108" t="s">
        <v>869</v>
      </c>
      <c r="N179" s="108" t="s">
        <v>870</v>
      </c>
      <c r="O179" s="108" t="s">
        <v>871</v>
      </c>
      <c r="P179" s="286">
        <v>163</v>
      </c>
      <c r="Q179" s="108" t="s">
        <v>3364</v>
      </c>
      <c r="R179" s="108" t="s">
        <v>874</v>
      </c>
      <c r="S179" s="108" t="s">
        <v>683</v>
      </c>
      <c r="T179" s="108">
        <v>0</v>
      </c>
      <c r="U179" s="287">
        <v>0.5</v>
      </c>
      <c r="V179" s="287">
        <v>0.5</v>
      </c>
      <c r="W179" s="224">
        <v>1</v>
      </c>
      <c r="X179" s="287"/>
      <c r="Y179" s="287"/>
      <c r="Z179" s="287"/>
      <c r="AA179" s="287"/>
      <c r="AB179" s="224">
        <v>0</v>
      </c>
      <c r="AC179" s="287"/>
      <c r="AD179" s="287"/>
      <c r="AE179" s="287"/>
      <c r="AF179" s="287"/>
      <c r="AG179" s="224">
        <v>0</v>
      </c>
      <c r="AH179" s="287"/>
      <c r="AI179" s="287"/>
      <c r="AJ179" s="287"/>
      <c r="AK179" s="287"/>
      <c r="AL179" s="224">
        <v>0</v>
      </c>
      <c r="AM179" s="109">
        <v>1</v>
      </c>
      <c r="AN179" s="108" t="s">
        <v>685</v>
      </c>
      <c r="AO179" s="108" t="s">
        <v>616</v>
      </c>
      <c r="AP179" s="108" t="s">
        <v>1226</v>
      </c>
      <c r="AQ179" s="108" t="s">
        <v>1207</v>
      </c>
      <c r="AR179" s="108" t="s">
        <v>945</v>
      </c>
      <c r="AS179" s="288"/>
      <c r="AT179" s="288"/>
      <c r="AU179" s="288"/>
      <c r="AV179" s="288"/>
      <c r="AW179" s="288">
        <v>3583333.333333334</v>
      </c>
      <c r="AX179" s="288"/>
      <c r="AY179" s="288"/>
      <c r="AZ179" s="288"/>
      <c r="BA179" s="288"/>
      <c r="BB179" s="288"/>
      <c r="BC179" s="288"/>
      <c r="BD179" s="288"/>
      <c r="BE179" s="288"/>
      <c r="BF179" s="288"/>
      <c r="BG179" s="288"/>
      <c r="BH179" s="235">
        <f t="shared" si="45"/>
        <v>3583333.333333334</v>
      </c>
      <c r="BI179" s="288"/>
      <c r="BJ179" s="288"/>
      <c r="BK179" s="288"/>
      <c r="BL179" s="288"/>
      <c r="BM179" s="288"/>
      <c r="BN179" s="288"/>
      <c r="BO179" s="288"/>
      <c r="BP179" s="288"/>
      <c r="BQ179" s="288"/>
      <c r="BR179" s="288"/>
      <c r="BS179" s="288"/>
      <c r="BT179" s="288"/>
      <c r="BU179" s="288"/>
      <c r="BV179" s="288"/>
      <c r="BW179" s="288"/>
      <c r="BX179" s="237">
        <f t="shared" si="46"/>
        <v>0</v>
      </c>
      <c r="BY179" s="288"/>
      <c r="BZ179" s="288"/>
      <c r="CA179" s="288"/>
      <c r="CB179" s="288"/>
      <c r="CC179" s="288"/>
      <c r="CD179" s="288"/>
      <c r="CE179" s="288"/>
      <c r="CF179" s="288"/>
      <c r="CG179" s="288"/>
      <c r="CH179" s="288"/>
      <c r="CI179" s="288"/>
      <c r="CJ179" s="288"/>
      <c r="CK179" s="288"/>
      <c r="CL179" s="288"/>
      <c r="CM179" s="288"/>
      <c r="CN179" s="237">
        <f t="shared" si="47"/>
        <v>0</v>
      </c>
      <c r="CO179" s="288"/>
      <c r="CP179" s="288"/>
      <c r="CQ179" s="288"/>
      <c r="CR179" s="288"/>
      <c r="CS179" s="288"/>
      <c r="CT179" s="288"/>
      <c r="CU179" s="288"/>
      <c r="CV179" s="288"/>
      <c r="CW179" s="288"/>
      <c r="CX179" s="288"/>
      <c r="CY179" s="288"/>
      <c r="CZ179" s="288"/>
      <c r="DA179" s="288"/>
      <c r="DB179" s="288"/>
      <c r="DC179" s="288"/>
      <c r="DD179" s="237">
        <f t="shared" si="48"/>
        <v>0</v>
      </c>
      <c r="DE179" s="246">
        <f>SUM(DD179+CN179+BX179+BH179)</f>
        <v>3583333.333333334</v>
      </c>
    </row>
    <row r="180" spans="1:109" s="98" customFormat="1" ht="155.1" customHeight="1">
      <c r="A180" s="103" t="s">
        <v>1236</v>
      </c>
      <c r="B180" s="108" t="s">
        <v>9</v>
      </c>
      <c r="C180" s="108" t="s">
        <v>1697</v>
      </c>
      <c r="D180" s="108">
        <v>11</v>
      </c>
      <c r="E180" s="108" t="s">
        <v>866</v>
      </c>
      <c r="F180" s="285" t="s">
        <v>326</v>
      </c>
      <c r="G180" s="108" t="s">
        <v>2703</v>
      </c>
      <c r="H180" s="108">
        <v>18</v>
      </c>
      <c r="I180" s="108" t="s">
        <v>867</v>
      </c>
      <c r="J180" s="108" t="s">
        <v>683</v>
      </c>
      <c r="K180" s="109">
        <v>4000</v>
      </c>
      <c r="L180" s="108" t="s">
        <v>868</v>
      </c>
      <c r="M180" s="108" t="s">
        <v>869</v>
      </c>
      <c r="N180" s="108" t="s">
        <v>870</v>
      </c>
      <c r="O180" s="108" t="s">
        <v>871</v>
      </c>
      <c r="P180" s="286">
        <v>164</v>
      </c>
      <c r="Q180" s="108" t="s">
        <v>3365</v>
      </c>
      <c r="R180" s="108" t="s">
        <v>874</v>
      </c>
      <c r="S180" s="108" t="s">
        <v>683</v>
      </c>
      <c r="T180" s="108">
        <v>1</v>
      </c>
      <c r="U180" s="287"/>
      <c r="V180" s="287"/>
      <c r="W180" s="224">
        <v>0</v>
      </c>
      <c r="X180" s="287">
        <v>0.25</v>
      </c>
      <c r="Y180" s="287">
        <v>0.25</v>
      </c>
      <c r="Z180" s="287">
        <v>0.25</v>
      </c>
      <c r="AA180" s="287">
        <v>0.25</v>
      </c>
      <c r="AB180" s="224">
        <v>1</v>
      </c>
      <c r="AC180" s="287">
        <v>0.25</v>
      </c>
      <c r="AD180" s="287">
        <v>0.25</v>
      </c>
      <c r="AE180" s="287">
        <v>0.25</v>
      </c>
      <c r="AF180" s="287">
        <v>0.25</v>
      </c>
      <c r="AG180" s="224">
        <v>1</v>
      </c>
      <c r="AH180" s="287">
        <v>0.25</v>
      </c>
      <c r="AI180" s="287">
        <v>0.25</v>
      </c>
      <c r="AJ180" s="287">
        <v>0.25</v>
      </c>
      <c r="AK180" s="287">
        <v>0.25</v>
      </c>
      <c r="AL180" s="224">
        <v>1</v>
      </c>
      <c r="AM180" s="109">
        <v>1</v>
      </c>
      <c r="AN180" s="108" t="s">
        <v>686</v>
      </c>
      <c r="AO180" s="108" t="s">
        <v>616</v>
      </c>
      <c r="AP180" s="108" t="s">
        <v>1226</v>
      </c>
      <c r="AQ180" s="108" t="s">
        <v>1207</v>
      </c>
      <c r="AR180" s="108" t="s">
        <v>945</v>
      </c>
      <c r="AS180" s="288"/>
      <c r="AT180" s="288"/>
      <c r="AU180" s="288"/>
      <c r="AV180" s="288"/>
      <c r="AW180" s="288"/>
      <c r="AX180" s="288"/>
      <c r="AY180" s="288"/>
      <c r="AZ180" s="288"/>
      <c r="BA180" s="288"/>
      <c r="BB180" s="288"/>
      <c r="BC180" s="288"/>
      <c r="BD180" s="288"/>
      <c r="BE180" s="288"/>
      <c r="BF180" s="288"/>
      <c r="BG180" s="288"/>
      <c r="BH180" s="237">
        <f t="shared" si="45"/>
        <v>0</v>
      </c>
      <c r="BI180" s="288"/>
      <c r="BJ180" s="288"/>
      <c r="BK180" s="288"/>
      <c r="BL180" s="288"/>
      <c r="BM180" s="288">
        <v>25636816.071428571</v>
      </c>
      <c r="BN180" s="288"/>
      <c r="BO180" s="288"/>
      <c r="BP180" s="288"/>
      <c r="BQ180" s="288"/>
      <c r="BR180" s="288"/>
      <c r="BS180" s="288"/>
      <c r="BT180" s="288"/>
      <c r="BU180" s="288"/>
      <c r="BV180" s="288"/>
      <c r="BW180" s="288"/>
      <c r="BX180" s="235">
        <f t="shared" si="46"/>
        <v>25636816.071428571</v>
      </c>
      <c r="BY180" s="288"/>
      <c r="BZ180" s="288"/>
      <c r="CA180" s="288"/>
      <c r="CB180" s="288"/>
      <c r="CC180" s="288">
        <v>27001367.857142858</v>
      </c>
      <c r="CD180" s="288"/>
      <c r="CE180" s="288"/>
      <c r="CF180" s="288"/>
      <c r="CG180" s="288"/>
      <c r="CH180" s="288"/>
      <c r="CI180" s="288"/>
      <c r="CJ180" s="288"/>
      <c r="CK180" s="288"/>
      <c r="CL180" s="288"/>
      <c r="CM180" s="288"/>
      <c r="CN180" s="235">
        <f t="shared" si="47"/>
        <v>27001367.857142858</v>
      </c>
      <c r="CO180" s="288"/>
      <c r="CP180" s="288"/>
      <c r="CQ180" s="288"/>
      <c r="CR180" s="288"/>
      <c r="CS180" s="288">
        <v>29290387.5</v>
      </c>
      <c r="CT180" s="288"/>
      <c r="CU180" s="288"/>
      <c r="CV180" s="288"/>
      <c r="CW180" s="288"/>
      <c r="CX180" s="288"/>
      <c r="CY180" s="288"/>
      <c r="CZ180" s="288"/>
      <c r="DA180" s="288"/>
      <c r="DB180" s="288"/>
      <c r="DC180" s="288"/>
      <c r="DD180" s="234">
        <f t="shared" si="48"/>
        <v>29290387.5</v>
      </c>
      <c r="DE180" s="246">
        <f t="shared" si="49"/>
        <v>81928571.428571433</v>
      </c>
    </row>
    <row r="181" spans="1:109" s="98" customFormat="1" ht="155.1" customHeight="1">
      <c r="A181" s="103" t="s">
        <v>1236</v>
      </c>
      <c r="B181" s="108" t="s">
        <v>9</v>
      </c>
      <c r="C181" s="108" t="s">
        <v>1697</v>
      </c>
      <c r="D181" s="108">
        <v>11</v>
      </c>
      <c r="E181" s="108" t="s">
        <v>866</v>
      </c>
      <c r="F181" s="285" t="s">
        <v>326</v>
      </c>
      <c r="G181" s="108" t="s">
        <v>2703</v>
      </c>
      <c r="H181" s="108">
        <v>18</v>
      </c>
      <c r="I181" s="108" t="s">
        <v>867</v>
      </c>
      <c r="J181" s="108" t="s">
        <v>683</v>
      </c>
      <c r="K181" s="109">
        <v>4000</v>
      </c>
      <c r="L181" s="108" t="s">
        <v>868</v>
      </c>
      <c r="M181" s="108" t="s">
        <v>869</v>
      </c>
      <c r="N181" s="108" t="s">
        <v>870</v>
      </c>
      <c r="O181" s="108" t="s">
        <v>871</v>
      </c>
      <c r="P181" s="286">
        <v>165</v>
      </c>
      <c r="Q181" s="108" t="s">
        <v>2704</v>
      </c>
      <c r="R181" s="108" t="s">
        <v>327</v>
      </c>
      <c r="S181" s="108" t="s">
        <v>683</v>
      </c>
      <c r="T181" s="108">
        <v>0</v>
      </c>
      <c r="U181" s="287">
        <v>8</v>
      </c>
      <c r="V181" s="287">
        <v>8</v>
      </c>
      <c r="W181" s="224">
        <v>16</v>
      </c>
      <c r="X181" s="287">
        <v>4</v>
      </c>
      <c r="Y181" s="287">
        <v>4</v>
      </c>
      <c r="Z181" s="287">
        <v>4</v>
      </c>
      <c r="AA181" s="287">
        <v>4</v>
      </c>
      <c r="AB181" s="224">
        <v>16</v>
      </c>
      <c r="AC181" s="287">
        <v>4</v>
      </c>
      <c r="AD181" s="287">
        <v>4</v>
      </c>
      <c r="AE181" s="287">
        <v>4</v>
      </c>
      <c r="AF181" s="287">
        <v>4</v>
      </c>
      <c r="AG181" s="224">
        <v>16</v>
      </c>
      <c r="AH181" s="287">
        <v>4</v>
      </c>
      <c r="AI181" s="287">
        <v>4</v>
      </c>
      <c r="AJ181" s="287">
        <v>4</v>
      </c>
      <c r="AK181" s="287">
        <v>4</v>
      </c>
      <c r="AL181" s="224">
        <v>16</v>
      </c>
      <c r="AM181" s="109">
        <v>64</v>
      </c>
      <c r="AN181" s="108" t="s">
        <v>685</v>
      </c>
      <c r="AO181" s="108" t="s">
        <v>616</v>
      </c>
      <c r="AP181" s="108" t="s">
        <v>1226</v>
      </c>
      <c r="AQ181" s="108" t="s">
        <v>1207</v>
      </c>
      <c r="AR181" s="108" t="s">
        <v>945</v>
      </c>
      <c r="AS181" s="288"/>
      <c r="AT181" s="288"/>
      <c r="AU181" s="288"/>
      <c r="AV181" s="288"/>
      <c r="AW181" s="288">
        <v>3583333.333333334</v>
      </c>
      <c r="AX181" s="288"/>
      <c r="AY181" s="288"/>
      <c r="AZ181" s="288"/>
      <c r="BA181" s="288"/>
      <c r="BB181" s="288"/>
      <c r="BC181" s="288"/>
      <c r="BD181" s="288"/>
      <c r="BE181" s="288"/>
      <c r="BF181" s="288"/>
      <c r="BG181" s="288"/>
      <c r="BH181" s="235">
        <f t="shared" si="45"/>
        <v>3583333.333333334</v>
      </c>
      <c r="BI181" s="288"/>
      <c r="BJ181" s="288"/>
      <c r="BK181" s="288"/>
      <c r="BL181" s="288"/>
      <c r="BM181" s="288">
        <v>25636816.071428571</v>
      </c>
      <c r="BN181" s="288"/>
      <c r="BO181" s="288"/>
      <c r="BP181" s="288"/>
      <c r="BQ181" s="288"/>
      <c r="BR181" s="288"/>
      <c r="BS181" s="288"/>
      <c r="BT181" s="288"/>
      <c r="BU181" s="288"/>
      <c r="BV181" s="288"/>
      <c r="BW181" s="288"/>
      <c r="BX181" s="235">
        <f t="shared" si="46"/>
        <v>25636816.071428571</v>
      </c>
      <c r="BY181" s="288"/>
      <c r="BZ181" s="288"/>
      <c r="CA181" s="288"/>
      <c r="CB181" s="288"/>
      <c r="CC181" s="288">
        <v>27001367.857142858</v>
      </c>
      <c r="CD181" s="288"/>
      <c r="CE181" s="288"/>
      <c r="CF181" s="288"/>
      <c r="CG181" s="288"/>
      <c r="CH181" s="288"/>
      <c r="CI181" s="288"/>
      <c r="CJ181" s="288"/>
      <c r="CK181" s="288"/>
      <c r="CL181" s="288"/>
      <c r="CM181" s="288"/>
      <c r="CN181" s="235">
        <f t="shared" si="47"/>
        <v>27001367.857142858</v>
      </c>
      <c r="CO181" s="288"/>
      <c r="CP181" s="288"/>
      <c r="CQ181" s="288"/>
      <c r="CR181" s="288"/>
      <c r="CS181" s="288">
        <v>29290387.5</v>
      </c>
      <c r="CT181" s="288"/>
      <c r="CU181" s="288"/>
      <c r="CV181" s="288"/>
      <c r="CW181" s="288"/>
      <c r="CX181" s="288"/>
      <c r="CY181" s="288"/>
      <c r="CZ181" s="288"/>
      <c r="DA181" s="288"/>
      <c r="DB181" s="288"/>
      <c r="DC181" s="288"/>
      <c r="DD181" s="234">
        <f t="shared" si="48"/>
        <v>29290387.5</v>
      </c>
      <c r="DE181" s="246">
        <f t="shared" si="49"/>
        <v>85511904.761904761</v>
      </c>
    </row>
    <row r="182" spans="1:109" s="98" customFormat="1" ht="155.1" customHeight="1">
      <c r="A182" s="103" t="s">
        <v>1236</v>
      </c>
      <c r="B182" s="108" t="s">
        <v>9</v>
      </c>
      <c r="C182" s="108" t="s">
        <v>1697</v>
      </c>
      <c r="D182" s="108">
        <v>11</v>
      </c>
      <c r="E182" s="108" t="s">
        <v>866</v>
      </c>
      <c r="F182" s="285" t="s">
        <v>326</v>
      </c>
      <c r="G182" s="108" t="s">
        <v>2703</v>
      </c>
      <c r="H182" s="108">
        <v>18</v>
      </c>
      <c r="I182" s="108" t="s">
        <v>867</v>
      </c>
      <c r="J182" s="108" t="s">
        <v>683</v>
      </c>
      <c r="K182" s="109">
        <v>4000</v>
      </c>
      <c r="L182" s="108" t="s">
        <v>868</v>
      </c>
      <c r="M182" s="108" t="s">
        <v>869</v>
      </c>
      <c r="N182" s="108" t="s">
        <v>870</v>
      </c>
      <c r="O182" s="108" t="s">
        <v>871</v>
      </c>
      <c r="P182" s="286">
        <v>166</v>
      </c>
      <c r="Q182" s="108" t="s">
        <v>2705</v>
      </c>
      <c r="R182" s="108" t="s">
        <v>875</v>
      </c>
      <c r="S182" s="108" t="s">
        <v>683</v>
      </c>
      <c r="T182" s="108">
        <v>168</v>
      </c>
      <c r="U182" s="287">
        <v>30</v>
      </c>
      <c r="V182" s="287">
        <v>12</v>
      </c>
      <c r="W182" s="224">
        <v>42</v>
      </c>
      <c r="X182" s="287">
        <v>10</v>
      </c>
      <c r="Y182" s="287">
        <v>10</v>
      </c>
      <c r="Z182" s="287">
        <v>10</v>
      </c>
      <c r="AA182" s="287">
        <v>12</v>
      </c>
      <c r="AB182" s="224">
        <v>42</v>
      </c>
      <c r="AC182" s="287">
        <v>10</v>
      </c>
      <c r="AD182" s="287">
        <v>10</v>
      </c>
      <c r="AE182" s="287">
        <v>10</v>
      </c>
      <c r="AF182" s="287">
        <v>12</v>
      </c>
      <c r="AG182" s="224">
        <v>42</v>
      </c>
      <c r="AH182" s="287">
        <v>10</v>
      </c>
      <c r="AI182" s="287">
        <v>10</v>
      </c>
      <c r="AJ182" s="287">
        <v>10</v>
      </c>
      <c r="AK182" s="287">
        <v>12</v>
      </c>
      <c r="AL182" s="224">
        <v>42</v>
      </c>
      <c r="AM182" s="109">
        <v>168</v>
      </c>
      <c r="AN182" s="108" t="s">
        <v>685</v>
      </c>
      <c r="AO182" s="108" t="s">
        <v>616</v>
      </c>
      <c r="AP182" s="108" t="s">
        <v>1226</v>
      </c>
      <c r="AQ182" s="108" t="s">
        <v>1207</v>
      </c>
      <c r="AR182" s="108" t="s">
        <v>945</v>
      </c>
      <c r="AS182" s="288"/>
      <c r="AT182" s="288"/>
      <c r="AU182" s="288"/>
      <c r="AV182" s="288"/>
      <c r="AW182" s="288">
        <v>3583333.333333334</v>
      </c>
      <c r="AX182" s="288"/>
      <c r="AY182" s="288"/>
      <c r="AZ182" s="288"/>
      <c r="BA182" s="288"/>
      <c r="BB182" s="288"/>
      <c r="BC182" s="288"/>
      <c r="BD182" s="288"/>
      <c r="BE182" s="288"/>
      <c r="BF182" s="288"/>
      <c r="BG182" s="288"/>
      <c r="BH182" s="235">
        <f t="shared" si="45"/>
        <v>3583333.333333334</v>
      </c>
      <c r="BI182" s="288"/>
      <c r="BJ182" s="288"/>
      <c r="BK182" s="288"/>
      <c r="BL182" s="288"/>
      <c r="BM182" s="288">
        <v>25636816.071428571</v>
      </c>
      <c r="BN182" s="288"/>
      <c r="BO182" s="288"/>
      <c r="BP182" s="288"/>
      <c r="BQ182" s="288"/>
      <c r="BR182" s="288"/>
      <c r="BS182" s="288"/>
      <c r="BT182" s="288"/>
      <c r="BU182" s="288"/>
      <c r="BV182" s="288"/>
      <c r="BW182" s="288"/>
      <c r="BX182" s="235">
        <f t="shared" si="46"/>
        <v>25636816.071428571</v>
      </c>
      <c r="BY182" s="288"/>
      <c r="BZ182" s="288"/>
      <c r="CA182" s="288"/>
      <c r="CB182" s="288"/>
      <c r="CC182" s="288">
        <v>27001367.857142858</v>
      </c>
      <c r="CD182" s="288"/>
      <c r="CE182" s="288"/>
      <c r="CF182" s="288"/>
      <c r="CG182" s="288"/>
      <c r="CH182" s="288"/>
      <c r="CI182" s="288"/>
      <c r="CJ182" s="288"/>
      <c r="CK182" s="288"/>
      <c r="CL182" s="288"/>
      <c r="CM182" s="288"/>
      <c r="CN182" s="235">
        <f t="shared" si="47"/>
        <v>27001367.857142858</v>
      </c>
      <c r="CO182" s="288"/>
      <c r="CP182" s="288"/>
      <c r="CQ182" s="288"/>
      <c r="CR182" s="288"/>
      <c r="CS182" s="288">
        <v>29290387.5</v>
      </c>
      <c r="CT182" s="288"/>
      <c r="CU182" s="288"/>
      <c r="CV182" s="288"/>
      <c r="CW182" s="288"/>
      <c r="CX182" s="288"/>
      <c r="CY182" s="288"/>
      <c r="CZ182" s="288"/>
      <c r="DA182" s="288"/>
      <c r="DB182" s="288"/>
      <c r="DC182" s="288"/>
      <c r="DD182" s="234">
        <f t="shared" si="48"/>
        <v>29290387.5</v>
      </c>
      <c r="DE182" s="246">
        <f t="shared" si="49"/>
        <v>85511904.761904761</v>
      </c>
    </row>
    <row r="183" spans="1:109" s="98" customFormat="1" ht="155.1" customHeight="1">
      <c r="A183" s="103" t="s">
        <v>1236</v>
      </c>
      <c r="B183" s="108" t="s">
        <v>9</v>
      </c>
      <c r="C183" s="108" t="s">
        <v>1697</v>
      </c>
      <c r="D183" s="108">
        <v>11</v>
      </c>
      <c r="E183" s="108" t="s">
        <v>866</v>
      </c>
      <c r="F183" s="285" t="s">
        <v>326</v>
      </c>
      <c r="G183" s="108" t="s">
        <v>2703</v>
      </c>
      <c r="H183" s="108">
        <v>18</v>
      </c>
      <c r="I183" s="108" t="s">
        <v>867</v>
      </c>
      <c r="J183" s="108" t="s">
        <v>683</v>
      </c>
      <c r="K183" s="109">
        <v>4000</v>
      </c>
      <c r="L183" s="108" t="s">
        <v>868</v>
      </c>
      <c r="M183" s="108" t="s">
        <v>869</v>
      </c>
      <c r="N183" s="108" t="s">
        <v>870</v>
      </c>
      <c r="O183" s="108" t="s">
        <v>871</v>
      </c>
      <c r="P183" s="286">
        <v>167</v>
      </c>
      <c r="Q183" s="108" t="s">
        <v>3502</v>
      </c>
      <c r="R183" s="108" t="s">
        <v>329</v>
      </c>
      <c r="S183" s="108" t="s">
        <v>683</v>
      </c>
      <c r="T183" s="108">
        <v>4</v>
      </c>
      <c r="U183" s="287"/>
      <c r="V183" s="287"/>
      <c r="W183" s="224">
        <v>0</v>
      </c>
      <c r="X183" s="287">
        <v>0.5</v>
      </c>
      <c r="Y183" s="287">
        <v>0.5</v>
      </c>
      <c r="Z183" s="287">
        <v>0.5</v>
      </c>
      <c r="AA183" s="287">
        <v>0.5</v>
      </c>
      <c r="AB183" s="224">
        <v>2</v>
      </c>
      <c r="AC183" s="287">
        <v>0.5</v>
      </c>
      <c r="AD183" s="287">
        <v>0.5</v>
      </c>
      <c r="AE183" s="287">
        <v>0.5</v>
      </c>
      <c r="AF183" s="287">
        <v>0.5</v>
      </c>
      <c r="AG183" s="224">
        <v>2</v>
      </c>
      <c r="AH183" s="287">
        <v>0.5</v>
      </c>
      <c r="AI183" s="287">
        <v>0.5</v>
      </c>
      <c r="AJ183" s="287">
        <v>0.5</v>
      </c>
      <c r="AK183" s="287">
        <v>0.5</v>
      </c>
      <c r="AL183" s="224">
        <v>2</v>
      </c>
      <c r="AM183" s="109">
        <v>6</v>
      </c>
      <c r="AN183" s="108" t="s">
        <v>685</v>
      </c>
      <c r="AO183" s="108" t="s">
        <v>616</v>
      </c>
      <c r="AP183" s="108" t="s">
        <v>1226</v>
      </c>
      <c r="AQ183" s="108" t="s">
        <v>1207</v>
      </c>
      <c r="AR183" s="108" t="s">
        <v>945</v>
      </c>
      <c r="AS183" s="288"/>
      <c r="AT183" s="288"/>
      <c r="AU183" s="288"/>
      <c r="AV183" s="288"/>
      <c r="AW183" s="288"/>
      <c r="AX183" s="288"/>
      <c r="AY183" s="288"/>
      <c r="AZ183" s="288"/>
      <c r="BA183" s="288"/>
      <c r="BB183" s="288"/>
      <c r="BC183" s="288"/>
      <c r="BD183" s="288"/>
      <c r="BE183" s="288"/>
      <c r="BF183" s="288"/>
      <c r="BG183" s="288"/>
      <c r="BH183" s="237">
        <f t="shared" si="45"/>
        <v>0</v>
      </c>
      <c r="BI183" s="288"/>
      <c r="BJ183" s="288"/>
      <c r="BK183" s="288"/>
      <c r="BL183" s="288"/>
      <c r="BM183" s="288">
        <v>25636816.071428571</v>
      </c>
      <c r="BN183" s="288"/>
      <c r="BO183" s="288"/>
      <c r="BP183" s="288"/>
      <c r="BQ183" s="288"/>
      <c r="BR183" s="288"/>
      <c r="BS183" s="288"/>
      <c r="BT183" s="288"/>
      <c r="BU183" s="288"/>
      <c r="BV183" s="288"/>
      <c r="BW183" s="288"/>
      <c r="BX183" s="235">
        <f t="shared" si="46"/>
        <v>25636816.071428571</v>
      </c>
      <c r="BY183" s="288"/>
      <c r="BZ183" s="288"/>
      <c r="CA183" s="288"/>
      <c r="CB183" s="288"/>
      <c r="CC183" s="288">
        <v>27001367.857142858</v>
      </c>
      <c r="CD183" s="288"/>
      <c r="CE183" s="288"/>
      <c r="CF183" s="288"/>
      <c r="CG183" s="288"/>
      <c r="CH183" s="288"/>
      <c r="CI183" s="288"/>
      <c r="CJ183" s="288"/>
      <c r="CK183" s="288"/>
      <c r="CL183" s="288"/>
      <c r="CM183" s="288"/>
      <c r="CN183" s="235">
        <f t="shared" si="47"/>
        <v>27001367.857142858</v>
      </c>
      <c r="CO183" s="288"/>
      <c r="CP183" s="288"/>
      <c r="CQ183" s="288"/>
      <c r="CR183" s="288"/>
      <c r="CS183" s="288">
        <v>29290387.5</v>
      </c>
      <c r="CT183" s="288"/>
      <c r="CU183" s="288"/>
      <c r="CV183" s="288"/>
      <c r="CW183" s="288"/>
      <c r="CX183" s="288"/>
      <c r="CY183" s="288"/>
      <c r="CZ183" s="288"/>
      <c r="DA183" s="288"/>
      <c r="DB183" s="288"/>
      <c r="DC183" s="288"/>
      <c r="DD183" s="234">
        <f t="shared" si="48"/>
        <v>29290387.5</v>
      </c>
      <c r="DE183" s="246">
        <f t="shared" si="49"/>
        <v>81928571.428571433</v>
      </c>
    </row>
    <row r="184" spans="1:109" s="98" customFormat="1" ht="155.1" customHeight="1">
      <c r="A184" s="103" t="s">
        <v>1236</v>
      </c>
      <c r="B184" s="108" t="s">
        <v>9</v>
      </c>
      <c r="C184" s="108" t="s">
        <v>1697</v>
      </c>
      <c r="D184" s="108">
        <v>11</v>
      </c>
      <c r="E184" s="108" t="s">
        <v>866</v>
      </c>
      <c r="F184" s="285" t="s">
        <v>326</v>
      </c>
      <c r="G184" s="108" t="s">
        <v>2703</v>
      </c>
      <c r="H184" s="108">
        <v>18</v>
      </c>
      <c r="I184" s="108" t="s">
        <v>867</v>
      </c>
      <c r="J184" s="108" t="s">
        <v>683</v>
      </c>
      <c r="K184" s="109">
        <v>4000</v>
      </c>
      <c r="L184" s="108" t="s">
        <v>868</v>
      </c>
      <c r="M184" s="108" t="s">
        <v>869</v>
      </c>
      <c r="N184" s="108" t="s">
        <v>870</v>
      </c>
      <c r="O184" s="108" t="s">
        <v>871</v>
      </c>
      <c r="P184" s="286">
        <v>168</v>
      </c>
      <c r="Q184" s="108" t="s">
        <v>2706</v>
      </c>
      <c r="R184" s="108" t="s">
        <v>876</v>
      </c>
      <c r="S184" s="108" t="s">
        <v>683</v>
      </c>
      <c r="T184" s="108">
        <v>0</v>
      </c>
      <c r="U184" s="287">
        <v>0.1</v>
      </c>
      <c r="V184" s="287">
        <v>0.1</v>
      </c>
      <c r="W184" s="224">
        <v>0.2</v>
      </c>
      <c r="X184" s="287">
        <v>0.1</v>
      </c>
      <c r="Y184" s="287">
        <v>0.1</v>
      </c>
      <c r="Z184" s="287">
        <v>0.1</v>
      </c>
      <c r="AA184" s="287">
        <v>0.1</v>
      </c>
      <c r="AB184" s="224">
        <v>0.4</v>
      </c>
      <c r="AC184" s="287">
        <v>0.1</v>
      </c>
      <c r="AD184" s="287">
        <v>0.1</v>
      </c>
      <c r="AE184" s="287">
        <v>0.1</v>
      </c>
      <c r="AF184" s="287">
        <v>0.1</v>
      </c>
      <c r="AG184" s="224">
        <v>0.4</v>
      </c>
      <c r="AH184" s="287"/>
      <c r="AI184" s="287"/>
      <c r="AJ184" s="287"/>
      <c r="AK184" s="287"/>
      <c r="AL184" s="224">
        <v>0</v>
      </c>
      <c r="AM184" s="109">
        <v>1</v>
      </c>
      <c r="AN184" s="108" t="s">
        <v>685</v>
      </c>
      <c r="AO184" s="108" t="s">
        <v>616</v>
      </c>
      <c r="AP184" s="108" t="s">
        <v>1226</v>
      </c>
      <c r="AQ184" s="108" t="s">
        <v>1207</v>
      </c>
      <c r="AR184" s="108" t="s">
        <v>945</v>
      </c>
      <c r="AS184" s="288"/>
      <c r="AT184" s="288"/>
      <c r="AU184" s="288"/>
      <c r="AV184" s="288"/>
      <c r="AW184" s="288">
        <v>3583333.33333334</v>
      </c>
      <c r="AX184" s="288"/>
      <c r="AY184" s="288"/>
      <c r="AZ184" s="288"/>
      <c r="BA184" s="288"/>
      <c r="BB184" s="288"/>
      <c r="BC184" s="288"/>
      <c r="BD184" s="288"/>
      <c r="BE184" s="288"/>
      <c r="BF184" s="288"/>
      <c r="BG184" s="288"/>
      <c r="BH184" s="235">
        <f t="shared" si="45"/>
        <v>3583333.33333334</v>
      </c>
      <c r="BI184" s="288"/>
      <c r="BJ184" s="288"/>
      <c r="BK184" s="288"/>
      <c r="BL184" s="288"/>
      <c r="BM184" s="288">
        <v>25636816.071428571</v>
      </c>
      <c r="BN184" s="288"/>
      <c r="BO184" s="288"/>
      <c r="BP184" s="288"/>
      <c r="BQ184" s="288"/>
      <c r="BR184" s="288"/>
      <c r="BS184" s="288"/>
      <c r="BT184" s="288"/>
      <c r="BU184" s="288"/>
      <c r="BV184" s="288"/>
      <c r="BW184" s="288"/>
      <c r="BX184" s="235">
        <f t="shared" si="46"/>
        <v>25636816.071428571</v>
      </c>
      <c r="BY184" s="288"/>
      <c r="BZ184" s="288"/>
      <c r="CA184" s="288"/>
      <c r="CB184" s="288"/>
      <c r="CC184" s="288">
        <v>27001367.857142858</v>
      </c>
      <c r="CD184" s="288"/>
      <c r="CE184" s="288"/>
      <c r="CF184" s="288"/>
      <c r="CG184" s="288"/>
      <c r="CH184" s="288"/>
      <c r="CI184" s="288"/>
      <c r="CJ184" s="288"/>
      <c r="CK184" s="288"/>
      <c r="CL184" s="288"/>
      <c r="CM184" s="288"/>
      <c r="CN184" s="235">
        <f t="shared" si="47"/>
        <v>27001367.857142858</v>
      </c>
      <c r="CO184" s="288"/>
      <c r="CP184" s="288"/>
      <c r="CQ184" s="288"/>
      <c r="CR184" s="288"/>
      <c r="CS184" s="288"/>
      <c r="CT184" s="288"/>
      <c r="CU184" s="288"/>
      <c r="CV184" s="288"/>
      <c r="CW184" s="288"/>
      <c r="CX184" s="288"/>
      <c r="CY184" s="288"/>
      <c r="CZ184" s="288"/>
      <c r="DA184" s="288"/>
      <c r="DB184" s="288"/>
      <c r="DC184" s="288"/>
      <c r="DD184" s="237">
        <f t="shared" si="48"/>
        <v>0</v>
      </c>
      <c r="DE184" s="246">
        <f>SUM(DD184+CN184+BX184+BH184)</f>
        <v>56221517.261904776</v>
      </c>
    </row>
    <row r="185" spans="1:109" s="98" customFormat="1" ht="155.1" customHeight="1">
      <c r="A185" s="103" t="s">
        <v>1236</v>
      </c>
      <c r="B185" s="108" t="s">
        <v>9</v>
      </c>
      <c r="C185" s="108" t="s">
        <v>1697</v>
      </c>
      <c r="D185" s="108">
        <v>11</v>
      </c>
      <c r="E185" s="108" t="s">
        <v>866</v>
      </c>
      <c r="F185" s="285" t="s">
        <v>326</v>
      </c>
      <c r="G185" s="108" t="s">
        <v>2703</v>
      </c>
      <c r="H185" s="108">
        <v>18</v>
      </c>
      <c r="I185" s="108" t="s">
        <v>867</v>
      </c>
      <c r="J185" s="108" t="s">
        <v>683</v>
      </c>
      <c r="K185" s="109">
        <v>4000</v>
      </c>
      <c r="L185" s="108" t="s">
        <v>868</v>
      </c>
      <c r="M185" s="108" t="s">
        <v>869</v>
      </c>
      <c r="N185" s="108" t="s">
        <v>870</v>
      </c>
      <c r="O185" s="108" t="s">
        <v>871</v>
      </c>
      <c r="P185" s="286">
        <v>169</v>
      </c>
      <c r="Q185" s="108" t="s">
        <v>3366</v>
      </c>
      <c r="R185" s="108" t="s">
        <v>876</v>
      </c>
      <c r="S185" s="108" t="s">
        <v>683</v>
      </c>
      <c r="T185" s="108">
        <v>1</v>
      </c>
      <c r="U185" s="287"/>
      <c r="V185" s="287"/>
      <c r="W185" s="224">
        <v>0</v>
      </c>
      <c r="X185" s="287"/>
      <c r="Y185" s="287"/>
      <c r="Z185" s="287"/>
      <c r="AA185" s="287"/>
      <c r="AB185" s="224">
        <v>0</v>
      </c>
      <c r="AC185" s="287"/>
      <c r="AD185" s="287"/>
      <c r="AE185" s="287"/>
      <c r="AF185" s="287"/>
      <c r="AG185" s="224">
        <v>0</v>
      </c>
      <c r="AH185" s="287">
        <v>0.25</v>
      </c>
      <c r="AI185" s="287">
        <v>0.25</v>
      </c>
      <c r="AJ185" s="287">
        <v>0.25</v>
      </c>
      <c r="AK185" s="287">
        <v>0.25</v>
      </c>
      <c r="AL185" s="224">
        <v>1</v>
      </c>
      <c r="AM185" s="109">
        <v>1</v>
      </c>
      <c r="AN185" s="108" t="s">
        <v>686</v>
      </c>
      <c r="AO185" s="108" t="s">
        <v>616</v>
      </c>
      <c r="AP185" s="108" t="s">
        <v>1226</v>
      </c>
      <c r="AQ185" s="108" t="s">
        <v>1207</v>
      </c>
      <c r="AR185" s="108" t="s">
        <v>945</v>
      </c>
      <c r="AS185" s="288"/>
      <c r="AT185" s="288"/>
      <c r="AU185" s="288"/>
      <c r="AV185" s="288"/>
      <c r="AW185" s="288"/>
      <c r="AX185" s="288"/>
      <c r="AY185" s="288"/>
      <c r="AZ185" s="288"/>
      <c r="BA185" s="288"/>
      <c r="BB185" s="288"/>
      <c r="BC185" s="288"/>
      <c r="BD185" s="288"/>
      <c r="BE185" s="288"/>
      <c r="BF185" s="288"/>
      <c r="BG185" s="288"/>
      <c r="BH185" s="237">
        <f t="shared" si="45"/>
        <v>0</v>
      </c>
      <c r="BI185" s="288"/>
      <c r="BJ185" s="288"/>
      <c r="BK185" s="288"/>
      <c r="BL185" s="288"/>
      <c r="BM185" s="288"/>
      <c r="BN185" s="288"/>
      <c r="BO185" s="288"/>
      <c r="BP185" s="288"/>
      <c r="BQ185" s="288"/>
      <c r="BR185" s="288"/>
      <c r="BS185" s="288"/>
      <c r="BT185" s="288"/>
      <c r="BU185" s="288"/>
      <c r="BV185" s="288"/>
      <c r="BW185" s="288"/>
      <c r="BX185" s="237">
        <f t="shared" si="46"/>
        <v>0</v>
      </c>
      <c r="BY185" s="288"/>
      <c r="BZ185" s="288"/>
      <c r="CA185" s="288"/>
      <c r="CB185" s="288"/>
      <c r="CC185" s="288"/>
      <c r="CD185" s="288"/>
      <c r="CE185" s="288"/>
      <c r="CF185" s="288"/>
      <c r="CG185" s="288"/>
      <c r="CH185" s="288"/>
      <c r="CI185" s="288"/>
      <c r="CJ185" s="288"/>
      <c r="CK185" s="288"/>
      <c r="CL185" s="288"/>
      <c r="CM185" s="288"/>
      <c r="CN185" s="237">
        <f t="shared" si="47"/>
        <v>0</v>
      </c>
      <c r="CO185" s="288"/>
      <c r="CP185" s="288"/>
      <c r="CQ185" s="288"/>
      <c r="CR185" s="288"/>
      <c r="CS185" s="288">
        <v>29290387.5</v>
      </c>
      <c r="CT185" s="288"/>
      <c r="CU185" s="288"/>
      <c r="CV185" s="288"/>
      <c r="CW185" s="288"/>
      <c r="CX185" s="288"/>
      <c r="CY185" s="288"/>
      <c r="CZ185" s="288"/>
      <c r="DA185" s="288"/>
      <c r="DB185" s="288"/>
      <c r="DC185" s="288"/>
      <c r="DD185" s="234">
        <f t="shared" si="48"/>
        <v>29290387.5</v>
      </c>
      <c r="DE185" s="246">
        <f t="shared" si="49"/>
        <v>29290387.5</v>
      </c>
    </row>
    <row r="186" spans="1:109" s="98" customFormat="1" ht="155.1" customHeight="1">
      <c r="A186" s="103" t="s">
        <v>1236</v>
      </c>
      <c r="B186" s="108" t="s">
        <v>9</v>
      </c>
      <c r="C186" s="108" t="s">
        <v>1697</v>
      </c>
      <c r="D186" s="108">
        <v>11</v>
      </c>
      <c r="E186" s="108" t="s">
        <v>866</v>
      </c>
      <c r="F186" s="285" t="s">
        <v>326</v>
      </c>
      <c r="G186" s="108" t="s">
        <v>2703</v>
      </c>
      <c r="H186" s="108">
        <v>18</v>
      </c>
      <c r="I186" s="108" t="s">
        <v>867</v>
      </c>
      <c r="J186" s="108" t="s">
        <v>683</v>
      </c>
      <c r="K186" s="109">
        <v>4000</v>
      </c>
      <c r="L186" s="108" t="s">
        <v>868</v>
      </c>
      <c r="M186" s="108" t="s">
        <v>869</v>
      </c>
      <c r="N186" s="108" t="s">
        <v>870</v>
      </c>
      <c r="O186" s="108" t="s">
        <v>871</v>
      </c>
      <c r="P186" s="286">
        <v>170</v>
      </c>
      <c r="Q186" s="108" t="s">
        <v>3367</v>
      </c>
      <c r="R186" s="108" t="s">
        <v>331</v>
      </c>
      <c r="S186" s="108" t="s">
        <v>683</v>
      </c>
      <c r="T186" s="108">
        <v>25</v>
      </c>
      <c r="U186" s="287">
        <v>15</v>
      </c>
      <c r="V186" s="287">
        <v>10</v>
      </c>
      <c r="W186" s="224">
        <v>25</v>
      </c>
      <c r="X186" s="287">
        <v>6.25</v>
      </c>
      <c r="Y186" s="287">
        <v>6.25</v>
      </c>
      <c r="Z186" s="287">
        <v>6.25</v>
      </c>
      <c r="AA186" s="287">
        <v>6.25</v>
      </c>
      <c r="AB186" s="224">
        <v>25</v>
      </c>
      <c r="AC186" s="287">
        <v>6.25</v>
      </c>
      <c r="AD186" s="287">
        <v>6.25</v>
      </c>
      <c r="AE186" s="287">
        <v>6.25</v>
      </c>
      <c r="AF186" s="287">
        <v>6.25</v>
      </c>
      <c r="AG186" s="224">
        <v>25</v>
      </c>
      <c r="AH186" s="287">
        <v>6.25</v>
      </c>
      <c r="AI186" s="287">
        <v>6.25</v>
      </c>
      <c r="AJ186" s="287">
        <v>6.25</v>
      </c>
      <c r="AK186" s="287">
        <v>6.25</v>
      </c>
      <c r="AL186" s="224">
        <v>25</v>
      </c>
      <c r="AM186" s="109">
        <v>25</v>
      </c>
      <c r="AN186" s="108" t="s">
        <v>686</v>
      </c>
      <c r="AO186" s="108" t="s">
        <v>616</v>
      </c>
      <c r="AP186" s="108" t="s">
        <v>1226</v>
      </c>
      <c r="AQ186" s="108" t="s">
        <v>1207</v>
      </c>
      <c r="AR186" s="108" t="s">
        <v>945</v>
      </c>
      <c r="AS186" s="288"/>
      <c r="AT186" s="288"/>
      <c r="AU186" s="288"/>
      <c r="AV186" s="288"/>
      <c r="AW186" s="288">
        <v>3583333.333333334</v>
      </c>
      <c r="AX186" s="288"/>
      <c r="AY186" s="288"/>
      <c r="AZ186" s="288"/>
      <c r="BA186" s="288"/>
      <c r="BB186" s="288"/>
      <c r="BC186" s="288"/>
      <c r="BD186" s="288"/>
      <c r="BE186" s="288"/>
      <c r="BF186" s="288"/>
      <c r="BG186" s="288"/>
      <c r="BH186" s="235">
        <f t="shared" si="45"/>
        <v>3583333.333333334</v>
      </c>
      <c r="BI186" s="288"/>
      <c r="BJ186" s="288"/>
      <c r="BK186" s="288"/>
      <c r="BL186" s="288"/>
      <c r="BM186" s="288">
        <v>25636816.071428571</v>
      </c>
      <c r="BN186" s="288"/>
      <c r="BO186" s="288"/>
      <c r="BP186" s="288"/>
      <c r="BQ186" s="288"/>
      <c r="BR186" s="288"/>
      <c r="BS186" s="288"/>
      <c r="BT186" s="288"/>
      <c r="BU186" s="288"/>
      <c r="BV186" s="288"/>
      <c r="BW186" s="288"/>
      <c r="BX186" s="235">
        <f t="shared" si="46"/>
        <v>25636816.071428571</v>
      </c>
      <c r="BY186" s="288"/>
      <c r="BZ186" s="288"/>
      <c r="CA186" s="288"/>
      <c r="CB186" s="288"/>
      <c r="CC186" s="288">
        <v>27001367.857142858</v>
      </c>
      <c r="CD186" s="288"/>
      <c r="CE186" s="288"/>
      <c r="CF186" s="288"/>
      <c r="CG186" s="288"/>
      <c r="CH186" s="288"/>
      <c r="CI186" s="288"/>
      <c r="CJ186" s="288"/>
      <c r="CK186" s="288"/>
      <c r="CL186" s="288"/>
      <c r="CM186" s="288"/>
      <c r="CN186" s="235">
        <f t="shared" si="47"/>
        <v>27001367.857142858</v>
      </c>
      <c r="CO186" s="288"/>
      <c r="CP186" s="288"/>
      <c r="CQ186" s="288"/>
      <c r="CR186" s="288"/>
      <c r="CS186" s="288">
        <v>29290387.5</v>
      </c>
      <c r="CT186" s="288"/>
      <c r="CU186" s="288"/>
      <c r="CV186" s="288"/>
      <c r="CW186" s="288"/>
      <c r="CX186" s="288"/>
      <c r="CY186" s="288"/>
      <c r="CZ186" s="288"/>
      <c r="DA186" s="288"/>
      <c r="DB186" s="288"/>
      <c r="DC186" s="288"/>
      <c r="DD186" s="234">
        <f t="shared" si="48"/>
        <v>29290387.5</v>
      </c>
      <c r="DE186" s="246">
        <f t="shared" si="49"/>
        <v>85511904.761904761</v>
      </c>
    </row>
    <row r="187" spans="1:109" s="98" customFormat="1" ht="155.1" customHeight="1">
      <c r="A187" s="103" t="s">
        <v>1236</v>
      </c>
      <c r="B187" s="108" t="s">
        <v>9</v>
      </c>
      <c r="C187" s="108" t="s">
        <v>1697</v>
      </c>
      <c r="D187" s="108">
        <v>11</v>
      </c>
      <c r="E187" s="108" t="s">
        <v>866</v>
      </c>
      <c r="F187" s="285" t="s">
        <v>326</v>
      </c>
      <c r="G187" s="108" t="s">
        <v>2703</v>
      </c>
      <c r="H187" s="108">
        <v>18</v>
      </c>
      <c r="I187" s="108" t="s">
        <v>867</v>
      </c>
      <c r="J187" s="108" t="s">
        <v>683</v>
      </c>
      <c r="K187" s="109">
        <v>4000</v>
      </c>
      <c r="L187" s="108" t="s">
        <v>868</v>
      </c>
      <c r="M187" s="108" t="s">
        <v>869</v>
      </c>
      <c r="N187" s="108" t="s">
        <v>870</v>
      </c>
      <c r="O187" s="108" t="s">
        <v>871</v>
      </c>
      <c r="P187" s="286">
        <v>171</v>
      </c>
      <c r="Q187" s="108" t="s">
        <v>3368</v>
      </c>
      <c r="R187" s="108" t="s">
        <v>331</v>
      </c>
      <c r="S187" s="108" t="s">
        <v>683</v>
      </c>
      <c r="T187" s="108">
        <v>25</v>
      </c>
      <c r="U187" s="287">
        <v>5</v>
      </c>
      <c r="V187" s="287">
        <v>3</v>
      </c>
      <c r="W187" s="224">
        <v>8</v>
      </c>
      <c r="X187" s="287">
        <v>5</v>
      </c>
      <c r="Y187" s="287">
        <v>5</v>
      </c>
      <c r="Z187" s="287">
        <v>10</v>
      </c>
      <c r="AA187" s="287">
        <v>10</v>
      </c>
      <c r="AB187" s="224">
        <v>30</v>
      </c>
      <c r="AC187" s="287">
        <v>5</v>
      </c>
      <c r="AD187" s="287">
        <v>5</v>
      </c>
      <c r="AE187" s="287">
        <v>10</v>
      </c>
      <c r="AF187" s="287">
        <v>10</v>
      </c>
      <c r="AG187" s="224">
        <v>30</v>
      </c>
      <c r="AH187" s="287">
        <v>5</v>
      </c>
      <c r="AI187" s="287">
        <v>5</v>
      </c>
      <c r="AJ187" s="287">
        <v>10</v>
      </c>
      <c r="AK187" s="287">
        <v>10</v>
      </c>
      <c r="AL187" s="224">
        <v>30</v>
      </c>
      <c r="AM187" s="109">
        <v>98</v>
      </c>
      <c r="AN187" s="108" t="s">
        <v>685</v>
      </c>
      <c r="AO187" s="108" t="s">
        <v>616</v>
      </c>
      <c r="AP187" s="108" t="s">
        <v>1226</v>
      </c>
      <c r="AQ187" s="108" t="s">
        <v>1207</v>
      </c>
      <c r="AR187" s="108" t="s">
        <v>945</v>
      </c>
      <c r="AS187" s="288"/>
      <c r="AT187" s="288"/>
      <c r="AU187" s="288"/>
      <c r="AV187" s="288"/>
      <c r="AW187" s="288">
        <v>3583333.333333334</v>
      </c>
      <c r="AX187" s="288"/>
      <c r="AY187" s="288"/>
      <c r="AZ187" s="288"/>
      <c r="BA187" s="288"/>
      <c r="BB187" s="288"/>
      <c r="BC187" s="288"/>
      <c r="BD187" s="288"/>
      <c r="BE187" s="288"/>
      <c r="BF187" s="288"/>
      <c r="BG187" s="288"/>
      <c r="BH187" s="235">
        <f t="shared" si="45"/>
        <v>3583333.333333334</v>
      </c>
      <c r="BI187" s="288"/>
      <c r="BJ187" s="288"/>
      <c r="BK187" s="288"/>
      <c r="BL187" s="288"/>
      <c r="BM187" s="288">
        <v>25636816.071428571</v>
      </c>
      <c r="BN187" s="288"/>
      <c r="BO187" s="288"/>
      <c r="BP187" s="288"/>
      <c r="BQ187" s="288"/>
      <c r="BR187" s="288"/>
      <c r="BS187" s="288"/>
      <c r="BT187" s="288"/>
      <c r="BU187" s="288"/>
      <c r="BV187" s="288"/>
      <c r="BW187" s="288"/>
      <c r="BX187" s="235">
        <f t="shared" si="46"/>
        <v>25636816.071428571</v>
      </c>
      <c r="BY187" s="288"/>
      <c r="BZ187" s="288"/>
      <c r="CA187" s="288"/>
      <c r="CB187" s="288"/>
      <c r="CC187" s="288">
        <v>27001367.857142858</v>
      </c>
      <c r="CD187" s="288"/>
      <c r="CE187" s="288"/>
      <c r="CF187" s="288"/>
      <c r="CG187" s="288"/>
      <c r="CH187" s="288"/>
      <c r="CI187" s="288"/>
      <c r="CJ187" s="288"/>
      <c r="CK187" s="288"/>
      <c r="CL187" s="288"/>
      <c r="CM187" s="288"/>
      <c r="CN187" s="235">
        <f t="shared" si="47"/>
        <v>27001367.857142858</v>
      </c>
      <c r="CO187" s="288"/>
      <c r="CP187" s="288"/>
      <c r="CQ187" s="288"/>
      <c r="CR187" s="288"/>
      <c r="CS187" s="288">
        <v>29290387.5</v>
      </c>
      <c r="CT187" s="288"/>
      <c r="CU187" s="288"/>
      <c r="CV187" s="288"/>
      <c r="CW187" s="288"/>
      <c r="CX187" s="288"/>
      <c r="CY187" s="288"/>
      <c r="CZ187" s="288"/>
      <c r="DA187" s="288"/>
      <c r="DB187" s="288"/>
      <c r="DC187" s="288"/>
      <c r="DD187" s="234">
        <f t="shared" si="48"/>
        <v>29290387.5</v>
      </c>
      <c r="DE187" s="246">
        <f t="shared" si="49"/>
        <v>85511904.761904761</v>
      </c>
    </row>
    <row r="188" spans="1:109" s="98" customFormat="1" ht="155.1" customHeight="1">
      <c r="A188" s="103" t="s">
        <v>1236</v>
      </c>
      <c r="B188" s="108" t="s">
        <v>9</v>
      </c>
      <c r="C188" s="108" t="s">
        <v>1697</v>
      </c>
      <c r="D188" s="108">
        <v>11</v>
      </c>
      <c r="E188" s="108" t="s">
        <v>866</v>
      </c>
      <c r="F188" s="285" t="s">
        <v>326</v>
      </c>
      <c r="G188" s="108" t="s">
        <v>2703</v>
      </c>
      <c r="H188" s="108">
        <v>18</v>
      </c>
      <c r="I188" s="108" t="s">
        <v>867</v>
      </c>
      <c r="J188" s="108" t="s">
        <v>683</v>
      </c>
      <c r="K188" s="109">
        <v>4000</v>
      </c>
      <c r="L188" s="108" t="s">
        <v>868</v>
      </c>
      <c r="M188" s="108" t="s">
        <v>877</v>
      </c>
      <c r="N188" s="108" t="s">
        <v>878</v>
      </c>
      <c r="O188" s="108" t="s">
        <v>332</v>
      </c>
      <c r="P188" s="286">
        <v>172</v>
      </c>
      <c r="Q188" s="108" t="s">
        <v>2707</v>
      </c>
      <c r="R188" s="108" t="s">
        <v>333</v>
      </c>
      <c r="S188" s="108" t="s">
        <v>683</v>
      </c>
      <c r="T188" s="108">
        <v>3</v>
      </c>
      <c r="U188" s="287"/>
      <c r="V188" s="287"/>
      <c r="W188" s="224">
        <v>0</v>
      </c>
      <c r="X188" s="287">
        <v>0.25</v>
      </c>
      <c r="Y188" s="287">
        <v>0.25</v>
      </c>
      <c r="Z188" s="287">
        <v>0.25</v>
      </c>
      <c r="AA188" s="287">
        <v>0.25</v>
      </c>
      <c r="AB188" s="224">
        <v>1</v>
      </c>
      <c r="AC188" s="287">
        <v>0.25</v>
      </c>
      <c r="AD188" s="287">
        <v>0.25</v>
      </c>
      <c r="AE188" s="287">
        <v>0.25</v>
      </c>
      <c r="AF188" s="287">
        <v>0.25</v>
      </c>
      <c r="AG188" s="224">
        <v>1</v>
      </c>
      <c r="AH188" s="287">
        <v>0.25</v>
      </c>
      <c r="AI188" s="287">
        <v>0.25</v>
      </c>
      <c r="AJ188" s="287">
        <v>0.25</v>
      </c>
      <c r="AK188" s="287">
        <v>0.25</v>
      </c>
      <c r="AL188" s="224">
        <v>1</v>
      </c>
      <c r="AM188" s="109">
        <v>3</v>
      </c>
      <c r="AN188" s="108" t="s">
        <v>685</v>
      </c>
      <c r="AO188" s="108" t="s">
        <v>616</v>
      </c>
      <c r="AP188" s="108" t="s">
        <v>1226</v>
      </c>
      <c r="AQ188" s="108" t="s">
        <v>1207</v>
      </c>
      <c r="AR188" s="108" t="s">
        <v>945</v>
      </c>
      <c r="AS188" s="288"/>
      <c r="AT188" s="288"/>
      <c r="AU188" s="288"/>
      <c r="AV188" s="288"/>
      <c r="AW188" s="288"/>
      <c r="AX188" s="288"/>
      <c r="AY188" s="288"/>
      <c r="AZ188" s="288"/>
      <c r="BA188" s="288"/>
      <c r="BB188" s="288"/>
      <c r="BC188" s="288"/>
      <c r="BD188" s="288"/>
      <c r="BE188" s="288"/>
      <c r="BF188" s="288"/>
      <c r="BG188" s="288"/>
      <c r="BH188" s="237">
        <f t="shared" si="45"/>
        <v>0</v>
      </c>
      <c r="BI188" s="288"/>
      <c r="BJ188" s="288"/>
      <c r="BK188" s="288"/>
      <c r="BL188" s="288"/>
      <c r="BM188" s="288">
        <v>25636816.071428571</v>
      </c>
      <c r="BN188" s="288"/>
      <c r="BO188" s="288"/>
      <c r="BP188" s="288"/>
      <c r="BQ188" s="288"/>
      <c r="BR188" s="288"/>
      <c r="BS188" s="288"/>
      <c r="BT188" s="288"/>
      <c r="BU188" s="288"/>
      <c r="BV188" s="288"/>
      <c r="BW188" s="288"/>
      <c r="BX188" s="235">
        <f t="shared" si="46"/>
        <v>25636816.071428571</v>
      </c>
      <c r="BY188" s="288"/>
      <c r="BZ188" s="288"/>
      <c r="CA188" s="288"/>
      <c r="CB188" s="288"/>
      <c r="CC188" s="288">
        <v>27001367.857142858</v>
      </c>
      <c r="CD188" s="288"/>
      <c r="CE188" s="288"/>
      <c r="CF188" s="288"/>
      <c r="CG188" s="288"/>
      <c r="CH188" s="288"/>
      <c r="CI188" s="288"/>
      <c r="CJ188" s="288"/>
      <c r="CK188" s="288"/>
      <c r="CL188" s="288"/>
      <c r="CM188" s="288"/>
      <c r="CN188" s="235">
        <f t="shared" si="47"/>
        <v>27001367.857142858</v>
      </c>
      <c r="CO188" s="288"/>
      <c r="CP188" s="288"/>
      <c r="CQ188" s="288"/>
      <c r="CR188" s="288"/>
      <c r="CS188" s="288">
        <v>29290387.5</v>
      </c>
      <c r="CT188" s="288"/>
      <c r="CU188" s="288"/>
      <c r="CV188" s="288"/>
      <c r="CW188" s="288"/>
      <c r="CX188" s="288"/>
      <c r="CY188" s="288"/>
      <c r="CZ188" s="288"/>
      <c r="DA188" s="288"/>
      <c r="DB188" s="288"/>
      <c r="DC188" s="288"/>
      <c r="DD188" s="234">
        <f t="shared" si="48"/>
        <v>29290387.5</v>
      </c>
      <c r="DE188" s="246">
        <f t="shared" si="49"/>
        <v>81928571.428571433</v>
      </c>
    </row>
    <row r="189" spans="1:109" s="98" customFormat="1" ht="155.1" customHeight="1">
      <c r="A189" s="103" t="s">
        <v>1236</v>
      </c>
      <c r="B189" s="108" t="s">
        <v>9</v>
      </c>
      <c r="C189" s="108" t="s">
        <v>1697</v>
      </c>
      <c r="D189" s="108">
        <v>11</v>
      </c>
      <c r="E189" s="108" t="s">
        <v>866</v>
      </c>
      <c r="F189" s="285" t="s">
        <v>326</v>
      </c>
      <c r="G189" s="108" t="s">
        <v>2703</v>
      </c>
      <c r="H189" s="108">
        <v>18</v>
      </c>
      <c r="I189" s="108" t="s">
        <v>867</v>
      </c>
      <c r="J189" s="108" t="s">
        <v>683</v>
      </c>
      <c r="K189" s="109">
        <v>4000</v>
      </c>
      <c r="L189" s="108" t="s">
        <v>868</v>
      </c>
      <c r="M189" s="108" t="s">
        <v>877</v>
      </c>
      <c r="N189" s="108" t="s">
        <v>878</v>
      </c>
      <c r="O189" s="108" t="s">
        <v>332</v>
      </c>
      <c r="P189" s="286">
        <v>173</v>
      </c>
      <c r="Q189" s="108" t="s">
        <v>3369</v>
      </c>
      <c r="R189" s="108" t="s">
        <v>334</v>
      </c>
      <c r="S189" s="108" t="s">
        <v>683</v>
      </c>
      <c r="T189" s="108">
        <v>1</v>
      </c>
      <c r="U189" s="287"/>
      <c r="V189" s="287"/>
      <c r="W189" s="224">
        <v>0</v>
      </c>
      <c r="X189" s="287">
        <v>0.1</v>
      </c>
      <c r="Y189" s="287">
        <v>0.3</v>
      </c>
      <c r="Z189" s="287">
        <v>0.3</v>
      </c>
      <c r="AA189" s="287">
        <v>0.3</v>
      </c>
      <c r="AB189" s="224">
        <v>1</v>
      </c>
      <c r="AC189" s="287">
        <v>0.1</v>
      </c>
      <c r="AD189" s="287">
        <v>0.3</v>
      </c>
      <c r="AE189" s="287">
        <v>0.3</v>
      </c>
      <c r="AF189" s="287">
        <v>0.3</v>
      </c>
      <c r="AG189" s="224">
        <v>1</v>
      </c>
      <c r="AH189" s="287">
        <v>0.1</v>
      </c>
      <c r="AI189" s="287">
        <v>0.3</v>
      </c>
      <c r="AJ189" s="287">
        <v>0.3</v>
      </c>
      <c r="AK189" s="287">
        <v>0.3</v>
      </c>
      <c r="AL189" s="224">
        <v>1</v>
      </c>
      <c r="AM189" s="109">
        <v>1</v>
      </c>
      <c r="AN189" s="108" t="s">
        <v>686</v>
      </c>
      <c r="AO189" s="108" t="s">
        <v>616</v>
      </c>
      <c r="AP189" s="108" t="s">
        <v>1226</v>
      </c>
      <c r="AQ189" s="108" t="s">
        <v>1207</v>
      </c>
      <c r="AR189" s="108" t="s">
        <v>945</v>
      </c>
      <c r="AS189" s="288"/>
      <c r="AT189" s="288"/>
      <c r="AU189" s="288"/>
      <c r="AV189" s="288"/>
      <c r="AW189" s="288"/>
      <c r="AX189" s="288"/>
      <c r="AY189" s="288"/>
      <c r="AZ189" s="288"/>
      <c r="BA189" s="288"/>
      <c r="BB189" s="288"/>
      <c r="BC189" s="288"/>
      <c r="BD189" s="288"/>
      <c r="BE189" s="288"/>
      <c r="BF189" s="288"/>
      <c r="BG189" s="288"/>
      <c r="BH189" s="237">
        <f t="shared" si="45"/>
        <v>0</v>
      </c>
      <c r="BI189" s="288"/>
      <c r="BJ189" s="288"/>
      <c r="BK189" s="288"/>
      <c r="BL189" s="288"/>
      <c r="BM189" s="288">
        <v>25636816.071428571</v>
      </c>
      <c r="BN189" s="288"/>
      <c r="BO189" s="288"/>
      <c r="BP189" s="288"/>
      <c r="BQ189" s="288"/>
      <c r="BR189" s="288"/>
      <c r="BS189" s="288"/>
      <c r="BT189" s="288"/>
      <c r="BU189" s="288"/>
      <c r="BV189" s="288"/>
      <c r="BW189" s="288"/>
      <c r="BX189" s="235">
        <f t="shared" si="46"/>
        <v>25636816.071428571</v>
      </c>
      <c r="BY189" s="288"/>
      <c r="BZ189" s="288"/>
      <c r="CA189" s="288"/>
      <c r="CB189" s="288"/>
      <c r="CC189" s="288">
        <v>27001367.857142858</v>
      </c>
      <c r="CD189" s="288"/>
      <c r="CE189" s="288"/>
      <c r="CF189" s="288"/>
      <c r="CG189" s="288"/>
      <c r="CH189" s="288"/>
      <c r="CI189" s="288"/>
      <c r="CJ189" s="288"/>
      <c r="CK189" s="288"/>
      <c r="CL189" s="288"/>
      <c r="CM189" s="288"/>
      <c r="CN189" s="235">
        <f t="shared" si="47"/>
        <v>27001367.857142858</v>
      </c>
      <c r="CO189" s="288"/>
      <c r="CP189" s="288"/>
      <c r="CQ189" s="288"/>
      <c r="CR189" s="288"/>
      <c r="CS189" s="288">
        <v>29290387.5</v>
      </c>
      <c r="CT189" s="288"/>
      <c r="CU189" s="288"/>
      <c r="CV189" s="288"/>
      <c r="CW189" s="288"/>
      <c r="CX189" s="288"/>
      <c r="CY189" s="288"/>
      <c r="CZ189" s="288"/>
      <c r="DA189" s="288"/>
      <c r="DB189" s="288"/>
      <c r="DC189" s="288"/>
      <c r="DD189" s="234">
        <f t="shared" si="48"/>
        <v>29290387.5</v>
      </c>
      <c r="DE189" s="246">
        <f>SUM(DD189+CN189+BX189+BH189)</f>
        <v>81928571.428571433</v>
      </c>
    </row>
    <row r="190" spans="1:109" s="98" customFormat="1" ht="155.1" customHeight="1">
      <c r="A190" s="103" t="s">
        <v>1236</v>
      </c>
      <c r="B190" s="108" t="s">
        <v>9</v>
      </c>
      <c r="C190" s="108" t="s">
        <v>1697</v>
      </c>
      <c r="D190" s="108">
        <v>11</v>
      </c>
      <c r="E190" s="108" t="s">
        <v>866</v>
      </c>
      <c r="F190" s="285" t="s">
        <v>326</v>
      </c>
      <c r="G190" s="108" t="s">
        <v>2703</v>
      </c>
      <c r="H190" s="108">
        <v>18</v>
      </c>
      <c r="I190" s="108" t="s">
        <v>867</v>
      </c>
      <c r="J190" s="108" t="s">
        <v>683</v>
      </c>
      <c r="K190" s="109">
        <v>4000</v>
      </c>
      <c r="L190" s="108" t="s">
        <v>868</v>
      </c>
      <c r="M190" s="108" t="s">
        <v>877</v>
      </c>
      <c r="N190" s="108" t="s">
        <v>878</v>
      </c>
      <c r="O190" s="108" t="s">
        <v>332</v>
      </c>
      <c r="P190" s="286">
        <v>174</v>
      </c>
      <c r="Q190" s="108" t="s">
        <v>3370</v>
      </c>
      <c r="R190" s="108" t="s">
        <v>334</v>
      </c>
      <c r="S190" s="108" t="s">
        <v>683</v>
      </c>
      <c r="T190" s="108">
        <v>0</v>
      </c>
      <c r="U190" s="287">
        <v>0.25</v>
      </c>
      <c r="V190" s="287">
        <v>0.75</v>
      </c>
      <c r="W190" s="224">
        <v>1</v>
      </c>
      <c r="X190" s="287"/>
      <c r="Y190" s="287"/>
      <c r="Z190" s="287"/>
      <c r="AA190" s="287"/>
      <c r="AB190" s="224">
        <v>0</v>
      </c>
      <c r="AC190" s="287"/>
      <c r="AD190" s="287"/>
      <c r="AE190" s="287"/>
      <c r="AF190" s="287"/>
      <c r="AG190" s="224">
        <v>0</v>
      </c>
      <c r="AH190" s="287"/>
      <c r="AI190" s="287"/>
      <c r="AJ190" s="287"/>
      <c r="AK190" s="287"/>
      <c r="AL190" s="224">
        <v>0</v>
      </c>
      <c r="AM190" s="109">
        <v>1</v>
      </c>
      <c r="AN190" s="108" t="s">
        <v>685</v>
      </c>
      <c r="AO190" s="108" t="s">
        <v>616</v>
      </c>
      <c r="AP190" s="108" t="s">
        <v>1226</v>
      </c>
      <c r="AQ190" s="108" t="s">
        <v>1207</v>
      </c>
      <c r="AR190" s="108" t="s">
        <v>945</v>
      </c>
      <c r="AS190" s="288"/>
      <c r="AT190" s="288"/>
      <c r="AU190" s="288"/>
      <c r="AV190" s="288"/>
      <c r="AW190" s="288">
        <v>3583333.333333334</v>
      </c>
      <c r="AX190" s="288"/>
      <c r="AY190" s="288"/>
      <c r="AZ190" s="288"/>
      <c r="BA190" s="288"/>
      <c r="BB190" s="288"/>
      <c r="BC190" s="288"/>
      <c r="BD190" s="288"/>
      <c r="BE190" s="288"/>
      <c r="BF190" s="288"/>
      <c r="BG190" s="288"/>
      <c r="BH190" s="235">
        <f t="shared" si="45"/>
        <v>3583333.333333334</v>
      </c>
      <c r="BI190" s="288"/>
      <c r="BJ190" s="288"/>
      <c r="BK190" s="288"/>
      <c r="BL190" s="288"/>
      <c r="BM190" s="288"/>
      <c r="BN190" s="288"/>
      <c r="BO190" s="288"/>
      <c r="BP190" s="288"/>
      <c r="BQ190" s="288"/>
      <c r="BR190" s="288"/>
      <c r="BS190" s="288"/>
      <c r="BT190" s="288"/>
      <c r="BU190" s="288"/>
      <c r="BV190" s="288"/>
      <c r="BW190" s="288"/>
      <c r="BX190" s="237">
        <f t="shared" si="46"/>
        <v>0</v>
      </c>
      <c r="BY190" s="288"/>
      <c r="BZ190" s="288"/>
      <c r="CA190" s="288"/>
      <c r="CB190" s="288"/>
      <c r="CC190" s="288"/>
      <c r="CD190" s="288"/>
      <c r="CE190" s="288"/>
      <c r="CF190" s="288"/>
      <c r="CG190" s="288"/>
      <c r="CH190" s="288"/>
      <c r="CI190" s="288"/>
      <c r="CJ190" s="288"/>
      <c r="CK190" s="288"/>
      <c r="CL190" s="288"/>
      <c r="CM190" s="288"/>
      <c r="CN190" s="237">
        <f t="shared" si="47"/>
        <v>0</v>
      </c>
      <c r="CO190" s="288"/>
      <c r="CP190" s="288"/>
      <c r="CQ190" s="288"/>
      <c r="CR190" s="288"/>
      <c r="CS190" s="288"/>
      <c r="CT190" s="288"/>
      <c r="CU190" s="288"/>
      <c r="CV190" s="288"/>
      <c r="CW190" s="288"/>
      <c r="CX190" s="288"/>
      <c r="CY190" s="288"/>
      <c r="CZ190" s="288"/>
      <c r="DA190" s="288"/>
      <c r="DB190" s="288"/>
      <c r="DC190" s="288"/>
      <c r="DD190" s="237">
        <f t="shared" si="48"/>
        <v>0</v>
      </c>
      <c r="DE190" s="246">
        <f t="shared" si="49"/>
        <v>3583333.333333334</v>
      </c>
    </row>
    <row r="191" spans="1:109" s="98" customFormat="1" ht="155.1" customHeight="1">
      <c r="A191" s="103" t="s">
        <v>1236</v>
      </c>
      <c r="B191" s="108" t="s">
        <v>9</v>
      </c>
      <c r="C191" s="108" t="s">
        <v>1697</v>
      </c>
      <c r="D191" s="108">
        <v>11</v>
      </c>
      <c r="E191" s="108" t="s">
        <v>866</v>
      </c>
      <c r="F191" s="285" t="s">
        <v>326</v>
      </c>
      <c r="G191" s="108" t="s">
        <v>2703</v>
      </c>
      <c r="H191" s="108">
        <v>18</v>
      </c>
      <c r="I191" s="108" t="s">
        <v>867</v>
      </c>
      <c r="J191" s="108" t="s">
        <v>683</v>
      </c>
      <c r="K191" s="109">
        <v>4000</v>
      </c>
      <c r="L191" s="108" t="s">
        <v>868</v>
      </c>
      <c r="M191" s="108" t="s">
        <v>877</v>
      </c>
      <c r="N191" s="108" t="s">
        <v>878</v>
      </c>
      <c r="O191" s="108" t="s">
        <v>332</v>
      </c>
      <c r="P191" s="286">
        <v>175</v>
      </c>
      <c r="Q191" s="108" t="s">
        <v>3371</v>
      </c>
      <c r="R191" s="108" t="s">
        <v>335</v>
      </c>
      <c r="S191" s="108" t="s">
        <v>683</v>
      </c>
      <c r="T191" s="108">
        <v>0</v>
      </c>
      <c r="U191" s="287">
        <v>0.25</v>
      </c>
      <c r="V191" s="287">
        <v>0.75</v>
      </c>
      <c r="W191" s="224">
        <v>1</v>
      </c>
      <c r="X191" s="287"/>
      <c r="Y191" s="287"/>
      <c r="Z191" s="287"/>
      <c r="AA191" s="287"/>
      <c r="AB191" s="224">
        <v>0</v>
      </c>
      <c r="AC191" s="287"/>
      <c r="AD191" s="287"/>
      <c r="AE191" s="287"/>
      <c r="AF191" s="287"/>
      <c r="AG191" s="224">
        <v>0</v>
      </c>
      <c r="AH191" s="287"/>
      <c r="AI191" s="287"/>
      <c r="AJ191" s="287"/>
      <c r="AK191" s="287"/>
      <c r="AL191" s="224">
        <v>0</v>
      </c>
      <c r="AM191" s="109">
        <v>1</v>
      </c>
      <c r="AN191" s="108" t="s">
        <v>685</v>
      </c>
      <c r="AO191" s="108" t="s">
        <v>616</v>
      </c>
      <c r="AP191" s="108" t="s">
        <v>1226</v>
      </c>
      <c r="AQ191" s="108" t="s">
        <v>1207</v>
      </c>
      <c r="AR191" s="108" t="s">
        <v>945</v>
      </c>
      <c r="AS191" s="288"/>
      <c r="AT191" s="288"/>
      <c r="AU191" s="288"/>
      <c r="AV191" s="288"/>
      <c r="AW191" s="288">
        <v>3583333.333333334</v>
      </c>
      <c r="AX191" s="288"/>
      <c r="AY191" s="288"/>
      <c r="AZ191" s="288"/>
      <c r="BA191" s="288"/>
      <c r="BB191" s="288"/>
      <c r="BC191" s="288"/>
      <c r="BD191" s="288"/>
      <c r="BE191" s="288"/>
      <c r="BF191" s="288"/>
      <c r="BG191" s="288"/>
      <c r="BH191" s="235">
        <f t="shared" si="45"/>
        <v>3583333.333333334</v>
      </c>
      <c r="BI191" s="288"/>
      <c r="BJ191" s="288"/>
      <c r="BK191" s="288"/>
      <c r="BL191" s="288"/>
      <c r="BM191" s="288"/>
      <c r="BN191" s="288"/>
      <c r="BO191" s="288"/>
      <c r="BP191" s="288"/>
      <c r="BQ191" s="288"/>
      <c r="BR191" s="288"/>
      <c r="BS191" s="288"/>
      <c r="BT191" s="288"/>
      <c r="BU191" s="288"/>
      <c r="BV191" s="288"/>
      <c r="BW191" s="288"/>
      <c r="BX191" s="237">
        <f t="shared" si="46"/>
        <v>0</v>
      </c>
      <c r="BY191" s="288"/>
      <c r="BZ191" s="288"/>
      <c r="CA191" s="288"/>
      <c r="CB191" s="288"/>
      <c r="CC191" s="288"/>
      <c r="CD191" s="288"/>
      <c r="CE191" s="288"/>
      <c r="CF191" s="288"/>
      <c r="CG191" s="288"/>
      <c r="CH191" s="288"/>
      <c r="CI191" s="288"/>
      <c r="CJ191" s="288"/>
      <c r="CK191" s="288"/>
      <c r="CL191" s="288"/>
      <c r="CM191" s="288"/>
      <c r="CN191" s="237">
        <f t="shared" si="47"/>
        <v>0</v>
      </c>
      <c r="CO191" s="288"/>
      <c r="CP191" s="288"/>
      <c r="CQ191" s="288"/>
      <c r="CR191" s="288"/>
      <c r="CS191" s="288"/>
      <c r="CT191" s="288"/>
      <c r="CU191" s="288"/>
      <c r="CV191" s="288"/>
      <c r="CW191" s="288"/>
      <c r="CX191" s="288"/>
      <c r="CY191" s="288"/>
      <c r="CZ191" s="288"/>
      <c r="DA191" s="288"/>
      <c r="DB191" s="288"/>
      <c r="DC191" s="288"/>
      <c r="DD191" s="237">
        <f t="shared" si="48"/>
        <v>0</v>
      </c>
      <c r="DE191" s="246">
        <f>SUM(DD191+CN191+BX191+BH191)</f>
        <v>3583333.333333334</v>
      </c>
    </row>
    <row r="192" spans="1:109" s="98" customFormat="1" ht="155.1" customHeight="1">
      <c r="A192" s="103" t="s">
        <v>1236</v>
      </c>
      <c r="B192" s="108" t="s">
        <v>9</v>
      </c>
      <c r="C192" s="108" t="s">
        <v>1697</v>
      </c>
      <c r="D192" s="108">
        <v>11</v>
      </c>
      <c r="E192" s="108" t="s">
        <v>866</v>
      </c>
      <c r="F192" s="285" t="s">
        <v>326</v>
      </c>
      <c r="G192" s="108" t="s">
        <v>2703</v>
      </c>
      <c r="H192" s="108">
        <v>18</v>
      </c>
      <c r="I192" s="108" t="s">
        <v>867</v>
      </c>
      <c r="J192" s="108" t="s">
        <v>683</v>
      </c>
      <c r="K192" s="109">
        <v>4000</v>
      </c>
      <c r="L192" s="108" t="s">
        <v>868</v>
      </c>
      <c r="M192" s="108" t="s">
        <v>877</v>
      </c>
      <c r="N192" s="108" t="s">
        <v>878</v>
      </c>
      <c r="O192" s="108" t="s">
        <v>332</v>
      </c>
      <c r="P192" s="286">
        <v>176</v>
      </c>
      <c r="Q192" s="108" t="s">
        <v>3372</v>
      </c>
      <c r="R192" s="108" t="s">
        <v>335</v>
      </c>
      <c r="S192" s="108" t="s">
        <v>683</v>
      </c>
      <c r="T192" s="108">
        <v>1</v>
      </c>
      <c r="U192" s="287"/>
      <c r="V192" s="287"/>
      <c r="W192" s="224">
        <v>0</v>
      </c>
      <c r="X192" s="287">
        <v>0.1</v>
      </c>
      <c r="Y192" s="287">
        <v>0.3</v>
      </c>
      <c r="Z192" s="287">
        <v>0.3</v>
      </c>
      <c r="AA192" s="287">
        <v>0.3</v>
      </c>
      <c r="AB192" s="224">
        <v>1</v>
      </c>
      <c r="AC192" s="287">
        <v>0.1</v>
      </c>
      <c r="AD192" s="287">
        <v>0.3</v>
      </c>
      <c r="AE192" s="287">
        <v>0.3</v>
      </c>
      <c r="AF192" s="287">
        <v>0.3</v>
      </c>
      <c r="AG192" s="224">
        <v>1</v>
      </c>
      <c r="AH192" s="287">
        <v>0.1</v>
      </c>
      <c r="AI192" s="287">
        <v>0.3</v>
      </c>
      <c r="AJ192" s="287">
        <v>0.3</v>
      </c>
      <c r="AK192" s="287">
        <v>0.3</v>
      </c>
      <c r="AL192" s="224">
        <v>1</v>
      </c>
      <c r="AM192" s="109">
        <v>1</v>
      </c>
      <c r="AN192" s="108" t="s">
        <v>686</v>
      </c>
      <c r="AO192" s="108" t="s">
        <v>616</v>
      </c>
      <c r="AP192" s="108" t="s">
        <v>1226</v>
      </c>
      <c r="AQ192" s="108" t="s">
        <v>1207</v>
      </c>
      <c r="AR192" s="108" t="s">
        <v>945</v>
      </c>
      <c r="AS192" s="288"/>
      <c r="AT192" s="288"/>
      <c r="AU192" s="288"/>
      <c r="AV192" s="288"/>
      <c r="AW192" s="288"/>
      <c r="AX192" s="288"/>
      <c r="AY192" s="288"/>
      <c r="AZ192" s="288"/>
      <c r="BA192" s="288"/>
      <c r="BB192" s="288"/>
      <c r="BC192" s="288"/>
      <c r="BD192" s="288"/>
      <c r="BE192" s="288"/>
      <c r="BF192" s="288"/>
      <c r="BG192" s="288"/>
      <c r="BH192" s="237">
        <f t="shared" si="45"/>
        <v>0</v>
      </c>
      <c r="BI192" s="288"/>
      <c r="BJ192" s="288"/>
      <c r="BK192" s="288"/>
      <c r="BL192" s="288"/>
      <c r="BM192" s="288">
        <v>25636816.071428571</v>
      </c>
      <c r="BN192" s="288"/>
      <c r="BO192" s="288"/>
      <c r="BP192" s="288"/>
      <c r="BQ192" s="288"/>
      <c r="BR192" s="288"/>
      <c r="BS192" s="288"/>
      <c r="BT192" s="288"/>
      <c r="BU192" s="288"/>
      <c r="BV192" s="288"/>
      <c r="BW192" s="288"/>
      <c r="BX192" s="235">
        <f t="shared" si="46"/>
        <v>25636816.071428571</v>
      </c>
      <c r="BY192" s="288"/>
      <c r="BZ192" s="288"/>
      <c r="CA192" s="288"/>
      <c r="CB192" s="288"/>
      <c r="CC192" s="288">
        <v>27001367.857142858</v>
      </c>
      <c r="CD192" s="288"/>
      <c r="CE192" s="288"/>
      <c r="CF192" s="288"/>
      <c r="CG192" s="288"/>
      <c r="CH192" s="288"/>
      <c r="CI192" s="288"/>
      <c r="CJ192" s="288"/>
      <c r="CK192" s="288"/>
      <c r="CL192" s="288"/>
      <c r="CM192" s="288"/>
      <c r="CN192" s="235">
        <f t="shared" si="47"/>
        <v>27001367.857142858</v>
      </c>
      <c r="CO192" s="288"/>
      <c r="CP192" s="288"/>
      <c r="CQ192" s="288"/>
      <c r="CR192" s="288"/>
      <c r="CS192" s="288">
        <v>29290387.5</v>
      </c>
      <c r="CT192" s="288"/>
      <c r="CU192" s="288"/>
      <c r="CV192" s="288"/>
      <c r="CW192" s="288"/>
      <c r="CX192" s="288"/>
      <c r="CY192" s="288"/>
      <c r="CZ192" s="288"/>
      <c r="DA192" s="288"/>
      <c r="DB192" s="288"/>
      <c r="DC192" s="288"/>
      <c r="DD192" s="234">
        <f t="shared" si="48"/>
        <v>29290387.5</v>
      </c>
      <c r="DE192" s="246">
        <f t="shared" si="49"/>
        <v>81928571.428571433</v>
      </c>
    </row>
    <row r="193" spans="1:110" s="98" customFormat="1" ht="155.1" customHeight="1">
      <c r="A193" s="103" t="s">
        <v>1236</v>
      </c>
      <c r="B193" s="108" t="s">
        <v>9</v>
      </c>
      <c r="C193" s="108" t="s">
        <v>1697</v>
      </c>
      <c r="D193" s="108">
        <v>11</v>
      </c>
      <c r="E193" s="108" t="s">
        <v>866</v>
      </c>
      <c r="F193" s="285" t="s">
        <v>326</v>
      </c>
      <c r="G193" s="108" t="s">
        <v>2703</v>
      </c>
      <c r="H193" s="108">
        <v>18</v>
      </c>
      <c r="I193" s="108" t="s">
        <v>867</v>
      </c>
      <c r="J193" s="108" t="s">
        <v>683</v>
      </c>
      <c r="K193" s="109">
        <v>4000</v>
      </c>
      <c r="L193" s="108" t="s">
        <v>868</v>
      </c>
      <c r="M193" s="108" t="s">
        <v>877</v>
      </c>
      <c r="N193" s="108" t="s">
        <v>878</v>
      </c>
      <c r="O193" s="108" t="s">
        <v>332</v>
      </c>
      <c r="P193" s="286">
        <v>177</v>
      </c>
      <c r="Q193" s="108" t="s">
        <v>3373</v>
      </c>
      <c r="R193" s="108" t="s">
        <v>336</v>
      </c>
      <c r="S193" s="108" t="s">
        <v>683</v>
      </c>
      <c r="T193" s="108">
        <v>0</v>
      </c>
      <c r="U193" s="287">
        <v>0.25</v>
      </c>
      <c r="V193" s="287">
        <v>0.75</v>
      </c>
      <c r="W193" s="224">
        <v>1</v>
      </c>
      <c r="X193" s="287"/>
      <c r="Y193" s="287"/>
      <c r="Z193" s="287"/>
      <c r="AA193" s="287"/>
      <c r="AB193" s="224">
        <v>0</v>
      </c>
      <c r="AC193" s="287"/>
      <c r="AD193" s="287"/>
      <c r="AE193" s="287"/>
      <c r="AF193" s="287"/>
      <c r="AG193" s="224">
        <v>0</v>
      </c>
      <c r="AH193" s="287"/>
      <c r="AI193" s="287"/>
      <c r="AJ193" s="287"/>
      <c r="AK193" s="287"/>
      <c r="AL193" s="224">
        <v>0</v>
      </c>
      <c r="AM193" s="109">
        <v>1</v>
      </c>
      <c r="AN193" s="108" t="s">
        <v>685</v>
      </c>
      <c r="AO193" s="108" t="s">
        <v>616</v>
      </c>
      <c r="AP193" s="108" t="s">
        <v>1226</v>
      </c>
      <c r="AQ193" s="108" t="s">
        <v>1207</v>
      </c>
      <c r="AR193" s="108" t="s">
        <v>945</v>
      </c>
      <c r="AS193" s="288"/>
      <c r="AT193" s="288"/>
      <c r="AU193" s="288"/>
      <c r="AV193" s="288"/>
      <c r="AW193" s="288">
        <v>3583333.333333334</v>
      </c>
      <c r="AX193" s="288"/>
      <c r="AY193" s="288"/>
      <c r="AZ193" s="288"/>
      <c r="BA193" s="288"/>
      <c r="BB193" s="288"/>
      <c r="BC193" s="288"/>
      <c r="BD193" s="288"/>
      <c r="BE193" s="288"/>
      <c r="BF193" s="288"/>
      <c r="BG193" s="288"/>
      <c r="BH193" s="235">
        <f t="shared" si="45"/>
        <v>3583333.333333334</v>
      </c>
      <c r="BI193" s="288"/>
      <c r="BJ193" s="288"/>
      <c r="BK193" s="288"/>
      <c r="BL193" s="288"/>
      <c r="BM193" s="288"/>
      <c r="BN193" s="288"/>
      <c r="BO193" s="288"/>
      <c r="BP193" s="288"/>
      <c r="BQ193" s="288"/>
      <c r="BR193" s="288"/>
      <c r="BS193" s="288"/>
      <c r="BT193" s="288"/>
      <c r="BU193" s="288"/>
      <c r="BV193" s="288"/>
      <c r="BW193" s="288"/>
      <c r="BX193" s="237">
        <f t="shared" si="46"/>
        <v>0</v>
      </c>
      <c r="BY193" s="288"/>
      <c r="BZ193" s="288"/>
      <c r="CA193" s="288"/>
      <c r="CB193" s="288"/>
      <c r="CC193" s="288"/>
      <c r="CD193" s="288"/>
      <c r="CE193" s="288"/>
      <c r="CF193" s="288"/>
      <c r="CG193" s="288"/>
      <c r="CH193" s="288"/>
      <c r="CI193" s="288"/>
      <c r="CJ193" s="288"/>
      <c r="CK193" s="288"/>
      <c r="CL193" s="288"/>
      <c r="CM193" s="288"/>
      <c r="CN193" s="237">
        <f t="shared" si="47"/>
        <v>0</v>
      </c>
      <c r="CO193" s="288"/>
      <c r="CP193" s="288"/>
      <c r="CQ193" s="288"/>
      <c r="CR193" s="288"/>
      <c r="CS193" s="288"/>
      <c r="CT193" s="288"/>
      <c r="CU193" s="288"/>
      <c r="CV193" s="288"/>
      <c r="CW193" s="288"/>
      <c r="CX193" s="288"/>
      <c r="CY193" s="288"/>
      <c r="CZ193" s="288"/>
      <c r="DA193" s="288"/>
      <c r="DB193" s="288"/>
      <c r="DC193" s="288"/>
      <c r="DD193" s="237">
        <f t="shared" si="48"/>
        <v>0</v>
      </c>
      <c r="DE193" s="246">
        <f>SUM(DD193+CN193+BX193+BH193)</f>
        <v>3583333.333333334</v>
      </c>
    </row>
    <row r="194" spans="1:110" s="98" customFormat="1" ht="155.1" customHeight="1">
      <c r="A194" s="120" t="s">
        <v>1236</v>
      </c>
      <c r="B194" s="122" t="s">
        <v>9</v>
      </c>
      <c r="C194" s="122" t="s">
        <v>1697</v>
      </c>
      <c r="D194" s="122">
        <v>11</v>
      </c>
      <c r="E194" s="122" t="s">
        <v>866</v>
      </c>
      <c r="F194" s="289" t="s">
        <v>326</v>
      </c>
      <c r="G194" s="122" t="s">
        <v>2703</v>
      </c>
      <c r="H194" s="122">
        <v>18</v>
      </c>
      <c r="I194" s="122" t="s">
        <v>867</v>
      </c>
      <c r="J194" s="122" t="s">
        <v>683</v>
      </c>
      <c r="K194" s="121">
        <v>4000</v>
      </c>
      <c r="L194" s="122" t="s">
        <v>868</v>
      </c>
      <c r="M194" s="122" t="s">
        <v>877</v>
      </c>
      <c r="N194" s="122" t="s">
        <v>878</v>
      </c>
      <c r="O194" s="122" t="s">
        <v>332</v>
      </c>
      <c r="P194" s="286">
        <v>178</v>
      </c>
      <c r="Q194" s="122" t="s">
        <v>3374</v>
      </c>
      <c r="R194" s="122" t="s">
        <v>336</v>
      </c>
      <c r="S194" s="122" t="s">
        <v>683</v>
      </c>
      <c r="T194" s="122">
        <v>1</v>
      </c>
      <c r="U194" s="290"/>
      <c r="V194" s="290"/>
      <c r="W194" s="225">
        <v>0</v>
      </c>
      <c r="X194" s="290">
        <v>0.1</v>
      </c>
      <c r="Y194" s="290">
        <v>0.3</v>
      </c>
      <c r="Z194" s="290">
        <v>0.3</v>
      </c>
      <c r="AA194" s="290">
        <v>0.3</v>
      </c>
      <c r="AB194" s="225">
        <v>1</v>
      </c>
      <c r="AC194" s="290">
        <v>0.1</v>
      </c>
      <c r="AD194" s="290">
        <v>0.3</v>
      </c>
      <c r="AE194" s="290">
        <v>0.3</v>
      </c>
      <c r="AF194" s="290">
        <v>0.3</v>
      </c>
      <c r="AG194" s="225">
        <v>1</v>
      </c>
      <c r="AH194" s="290">
        <v>0.1</v>
      </c>
      <c r="AI194" s="290">
        <v>0.3</v>
      </c>
      <c r="AJ194" s="290">
        <v>0.3</v>
      </c>
      <c r="AK194" s="290">
        <v>0.3</v>
      </c>
      <c r="AL194" s="225">
        <v>1</v>
      </c>
      <c r="AM194" s="121">
        <v>1</v>
      </c>
      <c r="AN194" s="122" t="s">
        <v>686</v>
      </c>
      <c r="AO194" s="122" t="s">
        <v>616</v>
      </c>
      <c r="AP194" s="122" t="s">
        <v>1226</v>
      </c>
      <c r="AQ194" s="122" t="s">
        <v>1207</v>
      </c>
      <c r="AR194" s="122" t="s">
        <v>945</v>
      </c>
      <c r="AS194" s="291"/>
      <c r="AT194" s="291"/>
      <c r="AU194" s="291"/>
      <c r="AV194" s="291"/>
      <c r="AW194" s="291"/>
      <c r="AX194" s="291"/>
      <c r="AY194" s="291"/>
      <c r="AZ194" s="291"/>
      <c r="BA194" s="291"/>
      <c r="BB194" s="291"/>
      <c r="BC194" s="291"/>
      <c r="BD194" s="291"/>
      <c r="BE194" s="291"/>
      <c r="BF194" s="291"/>
      <c r="BG194" s="291"/>
      <c r="BH194" s="238">
        <f t="shared" si="45"/>
        <v>0</v>
      </c>
      <c r="BI194" s="291"/>
      <c r="BJ194" s="291"/>
      <c r="BK194" s="291"/>
      <c r="BL194" s="291"/>
      <c r="BM194" s="291">
        <v>25636816.071428571</v>
      </c>
      <c r="BN194" s="291"/>
      <c r="BO194" s="291"/>
      <c r="BP194" s="291"/>
      <c r="BQ194" s="291"/>
      <c r="BR194" s="291"/>
      <c r="BS194" s="291"/>
      <c r="BT194" s="291"/>
      <c r="BU194" s="291"/>
      <c r="BV194" s="291"/>
      <c r="BW194" s="291"/>
      <c r="BX194" s="236">
        <f t="shared" si="46"/>
        <v>25636816.071428571</v>
      </c>
      <c r="BY194" s="291"/>
      <c r="BZ194" s="291"/>
      <c r="CA194" s="291"/>
      <c r="CB194" s="291"/>
      <c r="CC194" s="291">
        <v>27001367.857142858</v>
      </c>
      <c r="CD194" s="291"/>
      <c r="CE194" s="291"/>
      <c r="CF194" s="291"/>
      <c r="CG194" s="291"/>
      <c r="CH194" s="291"/>
      <c r="CI194" s="291"/>
      <c r="CJ194" s="291"/>
      <c r="CK194" s="291"/>
      <c r="CL194" s="291"/>
      <c r="CM194" s="291"/>
      <c r="CN194" s="236">
        <f t="shared" si="47"/>
        <v>27001367.857142858</v>
      </c>
      <c r="CO194" s="291"/>
      <c r="CP194" s="291"/>
      <c r="CQ194" s="291"/>
      <c r="CR194" s="291"/>
      <c r="CS194" s="291">
        <v>29290387.5</v>
      </c>
      <c r="CT194" s="291"/>
      <c r="CU194" s="291"/>
      <c r="CV194" s="291"/>
      <c r="CW194" s="291"/>
      <c r="CX194" s="291"/>
      <c r="CY194" s="291"/>
      <c r="CZ194" s="291"/>
      <c r="DA194" s="291"/>
      <c r="DB194" s="291"/>
      <c r="DC194" s="291"/>
      <c r="DD194" s="240">
        <f t="shared" si="48"/>
        <v>29290387.5</v>
      </c>
      <c r="DE194" s="247">
        <f t="shared" si="49"/>
        <v>81928571.428571433</v>
      </c>
    </row>
    <row r="195" spans="1:110" ht="65.099999999999994" customHeight="1">
      <c r="A195" s="134" t="s">
        <v>1236</v>
      </c>
      <c r="B195" s="134" t="s">
        <v>9</v>
      </c>
      <c r="C195" s="134" t="s">
        <v>1697</v>
      </c>
      <c r="D195" s="134">
        <v>11</v>
      </c>
      <c r="E195" s="134" t="s">
        <v>866</v>
      </c>
      <c r="F195" s="135"/>
      <c r="G195" s="136"/>
      <c r="H195" s="137"/>
      <c r="I195" s="137"/>
      <c r="J195" s="137"/>
      <c r="K195" s="138"/>
      <c r="L195" s="137"/>
      <c r="M195" s="137"/>
      <c r="N195" s="137"/>
      <c r="O195" s="137"/>
      <c r="P195" s="137"/>
      <c r="Q195" s="136"/>
      <c r="R195" s="139"/>
      <c r="S195" s="137"/>
      <c r="T195" s="137"/>
      <c r="U195" s="140"/>
      <c r="V195" s="140"/>
      <c r="W195" s="138"/>
      <c r="X195" s="140"/>
      <c r="Y195" s="140"/>
      <c r="Z195" s="140"/>
      <c r="AA195" s="140"/>
      <c r="AB195" s="138"/>
      <c r="AC195" s="140"/>
      <c r="AD195" s="140"/>
      <c r="AE195" s="140"/>
      <c r="AF195" s="140"/>
      <c r="AG195" s="138"/>
      <c r="AH195" s="140"/>
      <c r="AI195" s="140"/>
      <c r="AJ195" s="140"/>
      <c r="AK195" s="140"/>
      <c r="AL195" s="138"/>
      <c r="AM195" s="141"/>
      <c r="AN195" s="142"/>
      <c r="AO195" s="142"/>
      <c r="AP195" s="143"/>
      <c r="AQ195" s="143"/>
      <c r="AR195" s="144"/>
      <c r="AS195" s="132">
        <f>SUM(AS176:AS194)</f>
        <v>0</v>
      </c>
      <c r="AT195" s="132">
        <f t="shared" ref="AT195:DE195" si="50">SUM(AT176:AT194)</f>
        <v>0</v>
      </c>
      <c r="AU195" s="132">
        <f t="shared" si="50"/>
        <v>0</v>
      </c>
      <c r="AV195" s="132">
        <f t="shared" si="50"/>
        <v>0</v>
      </c>
      <c r="AW195" s="132">
        <f t="shared" si="50"/>
        <v>43000000.000000022</v>
      </c>
      <c r="AX195" s="132">
        <f t="shared" si="50"/>
        <v>0</v>
      </c>
      <c r="AY195" s="132">
        <f t="shared" si="50"/>
        <v>0</v>
      </c>
      <c r="AZ195" s="132">
        <f t="shared" si="50"/>
        <v>0</v>
      </c>
      <c r="BA195" s="132">
        <f t="shared" si="50"/>
        <v>0</v>
      </c>
      <c r="BB195" s="132">
        <f t="shared" si="50"/>
        <v>0</v>
      </c>
      <c r="BC195" s="132">
        <f t="shared" si="50"/>
        <v>0</v>
      </c>
      <c r="BD195" s="132">
        <f t="shared" si="50"/>
        <v>0</v>
      </c>
      <c r="BE195" s="132">
        <f t="shared" si="50"/>
        <v>0</v>
      </c>
      <c r="BF195" s="132">
        <f t="shared" si="50"/>
        <v>0</v>
      </c>
      <c r="BG195" s="132">
        <f t="shared" si="50"/>
        <v>0</v>
      </c>
      <c r="BH195" s="133">
        <f>IF(OR(AND(BH176=0,W176&lt;&gt;0),AND(BH177=0,W177&lt;&gt;0),AND(BH178=0,W178&lt;&gt;0),AND(BH179=0,W179&lt;&gt;0),AND(BH180=0,W180&lt;&gt;0),AND(BH181=0,W181&lt;&gt;0),AND(BH182=0,W182&lt;&gt;0),AND(BH183=0,W183&lt;&gt;0),AND(BH185=0,W185&lt;&gt;0),AND(BH186=0,W186&lt;&gt;0),AND(BH187=0,W187&lt;&gt;0),AND(BH188=0,W188&lt;&gt;0),AND(BH189=0,W189&lt;&gt;0),AND(BH190=0,W190&lt;&gt;0),AND(BH191=0,W191&lt;&gt;0),AND(BH192=0,W192&lt;&gt;0),AND(BH193=0,W193&lt;&gt;0),AND(BH194=0,W194&lt;&gt;0)),"NO DEBEN QUEDAR CELDAS EN ROJO",SUM(BH176:BH194))</f>
        <v>43000000.000000022</v>
      </c>
      <c r="BI195" s="132">
        <f t="shared" si="50"/>
        <v>0</v>
      </c>
      <c r="BJ195" s="132">
        <f t="shared" si="50"/>
        <v>0</v>
      </c>
      <c r="BK195" s="132">
        <f t="shared" si="50"/>
        <v>0</v>
      </c>
      <c r="BL195" s="132">
        <f t="shared" si="50"/>
        <v>0</v>
      </c>
      <c r="BM195" s="132">
        <f t="shared" si="50"/>
        <v>358915425.00000006</v>
      </c>
      <c r="BN195" s="132">
        <f t="shared" si="50"/>
        <v>0</v>
      </c>
      <c r="BO195" s="132">
        <f t="shared" si="50"/>
        <v>0</v>
      </c>
      <c r="BP195" s="132">
        <f t="shared" si="50"/>
        <v>0</v>
      </c>
      <c r="BQ195" s="132">
        <f t="shared" si="50"/>
        <v>0</v>
      </c>
      <c r="BR195" s="132">
        <f t="shared" si="50"/>
        <v>0</v>
      </c>
      <c r="BS195" s="132">
        <f t="shared" si="50"/>
        <v>0</v>
      </c>
      <c r="BT195" s="132">
        <f t="shared" si="50"/>
        <v>0</v>
      </c>
      <c r="BU195" s="132">
        <f t="shared" si="50"/>
        <v>0</v>
      </c>
      <c r="BV195" s="132">
        <f t="shared" si="50"/>
        <v>0</v>
      </c>
      <c r="BW195" s="132">
        <f t="shared" si="50"/>
        <v>0</v>
      </c>
      <c r="BX195" s="133">
        <f>IF(OR(AND(BX176=0,AB176&lt;&gt;0),AND(BX177=0,AB177&lt;&gt;0),AND(BX178=0,AB178&lt;&gt;0),AND(BX1995=0,AB179&lt;&gt;0),AND(BX180=0,AB180&lt;&gt;0),AND(BX181=0,AB181&lt;&gt;0),AND(BX182=0,AB182&lt;&gt;0),AND(BX183=0,AB183&lt;&gt;0),AND(BX185=0,AB185&lt;&gt;0),AND(BX186=0,AB186&lt;&gt;0),AND(BX187=0,AB187&lt;&gt;0),AND(BX188=0,AB188&lt;&gt;0),AND(BX189=0,AB189&lt;&gt;0),AND(BX190=0,AB190&lt;&gt;0),AND(BX191=0,AB191&lt;&gt;0),AND(BX192=0,AB192&lt;&gt;0),AND(BX193=0,AB193&lt;&gt;0),AND(BX194=0,AB194&lt;&gt;0)),"NO DEBEN QUEDAR CELDAS EN ROJO",SUM(BX176:BX194))</f>
        <v>358915425.00000006</v>
      </c>
      <c r="BY195" s="132">
        <f t="shared" si="50"/>
        <v>0</v>
      </c>
      <c r="BZ195" s="132">
        <f t="shared" si="50"/>
        <v>0</v>
      </c>
      <c r="CA195" s="132">
        <f t="shared" si="50"/>
        <v>0</v>
      </c>
      <c r="CB195" s="132">
        <f t="shared" si="50"/>
        <v>0</v>
      </c>
      <c r="CC195" s="132">
        <f t="shared" si="50"/>
        <v>378019150.00000006</v>
      </c>
      <c r="CD195" s="132">
        <f t="shared" si="50"/>
        <v>0</v>
      </c>
      <c r="CE195" s="132">
        <f t="shared" si="50"/>
        <v>0</v>
      </c>
      <c r="CF195" s="132">
        <f t="shared" si="50"/>
        <v>0</v>
      </c>
      <c r="CG195" s="132">
        <f t="shared" si="50"/>
        <v>0</v>
      </c>
      <c r="CH195" s="132">
        <f t="shared" si="50"/>
        <v>0</v>
      </c>
      <c r="CI195" s="132">
        <f t="shared" si="50"/>
        <v>0</v>
      </c>
      <c r="CJ195" s="132">
        <f t="shared" si="50"/>
        <v>0</v>
      </c>
      <c r="CK195" s="132">
        <f t="shared" si="50"/>
        <v>0</v>
      </c>
      <c r="CL195" s="132">
        <f t="shared" si="50"/>
        <v>0</v>
      </c>
      <c r="CM195" s="132">
        <f t="shared" si="50"/>
        <v>0</v>
      </c>
      <c r="CN195" s="133">
        <f>IF(OR(AND(CN176=0,AG176&lt;&gt;0),AND(CN177=0,AG177&lt;&gt;0),AND(CN178=0,AG178&lt;&gt;0),AND(BX179=0,AB179&lt;&gt;0),AND(CN180=0,AG180&lt;&gt;0),AND(CN181=0,AG181&lt;&gt;0),AND(CN182=0,AG182&lt;&gt;0),AND(CN183=0,AG183&lt;&gt;0),AND(CN185=0,AG185&lt;&gt;0),AND(CN186=0,AG186&lt;&gt;0),AND(CN187=0,AG187&lt;&gt;0),AND(CN188=0,AG188&lt;&gt;0),AND(CN189=0,AG189&lt;&gt;0),AND(CN190=0,AG190&lt;&gt;0),AND(CN191=0,AG191&lt;&gt;0),AND(CN192=0,AG192&lt;&gt;0),AND(CN193=0,AG193&lt;&gt;0),AND(CN194=0,AG194&lt;&gt;0)),"NO DEBEN QUEDAR CELDAS EN ROJO",SUM(CN176:CN194))</f>
        <v>378019150.00000006</v>
      </c>
      <c r="CO195" s="132">
        <f t="shared" si="50"/>
        <v>0</v>
      </c>
      <c r="CP195" s="132">
        <f t="shared" si="50"/>
        <v>0</v>
      </c>
      <c r="CQ195" s="132">
        <f t="shared" si="50"/>
        <v>0</v>
      </c>
      <c r="CR195" s="132">
        <f t="shared" si="50"/>
        <v>0</v>
      </c>
      <c r="CS195" s="132">
        <f t="shared" si="50"/>
        <v>410065425</v>
      </c>
      <c r="CT195" s="132">
        <f t="shared" si="50"/>
        <v>0</v>
      </c>
      <c r="CU195" s="132">
        <f t="shared" si="50"/>
        <v>0</v>
      </c>
      <c r="CV195" s="132">
        <f t="shared" si="50"/>
        <v>0</v>
      </c>
      <c r="CW195" s="132">
        <f t="shared" si="50"/>
        <v>0</v>
      </c>
      <c r="CX195" s="132">
        <f t="shared" si="50"/>
        <v>0</v>
      </c>
      <c r="CY195" s="132">
        <f t="shared" si="50"/>
        <v>0</v>
      </c>
      <c r="CZ195" s="132">
        <f t="shared" si="50"/>
        <v>0</v>
      </c>
      <c r="DA195" s="132">
        <f t="shared" si="50"/>
        <v>0</v>
      </c>
      <c r="DB195" s="132">
        <f t="shared" si="50"/>
        <v>0</v>
      </c>
      <c r="DC195" s="132">
        <f t="shared" si="50"/>
        <v>0</v>
      </c>
      <c r="DD195" s="133">
        <f>IF(OR(AND(DD176=0,AL176&lt;&gt;0),AND(DD177=0,AL177&lt;&gt;0),AND(DD178=0,AL178&lt;&gt;0),AND(BX179=0,AB179&lt;&gt;0),AND(DD180=0,AL180&lt;&gt;0),AND(DD181=0,AL181&lt;&gt;0),AND(DD182=0,AL182&lt;&gt;0),AND(DD183=0,AL183&lt;&gt;0),AND(DD185=0,AL185&lt;&gt;0),AND(DD186=0,AL186&lt;&gt;0),AND(DD187=0,AL187&lt;&gt;0),AND(DD188=0,AL188&lt;&gt;0),AND(DD189=0,AL189&lt;&gt;0),AND(DD190=0,AL190&lt;&gt;0),AND(DD191=0,AL191&lt;&gt;0),AND(DD192=0,AL192&lt;&gt;0),AND(DD193=0,AL193&lt;&gt;0),AND(DD194=0,AL194&lt;&gt;0)),"NO DEBEN QUEDAR CELDAS EN ROJO",SUM(DD176:DD194))</f>
        <v>410065425</v>
      </c>
      <c r="DE195" s="133">
        <f t="shared" si="50"/>
        <v>1190000000</v>
      </c>
      <c r="DF195" s="101"/>
    </row>
    <row r="196" spans="1:110" s="98" customFormat="1" ht="96" customHeight="1">
      <c r="A196" s="103" t="s">
        <v>1237</v>
      </c>
      <c r="B196" s="103" t="s">
        <v>9</v>
      </c>
      <c r="C196" s="103" t="s">
        <v>1697</v>
      </c>
      <c r="D196" s="103">
        <v>12</v>
      </c>
      <c r="E196" s="103" t="s">
        <v>879</v>
      </c>
      <c r="F196" s="278" t="s">
        <v>880</v>
      </c>
      <c r="G196" s="103" t="s">
        <v>2779</v>
      </c>
      <c r="H196" s="103">
        <v>19</v>
      </c>
      <c r="I196" s="103" t="s">
        <v>881</v>
      </c>
      <c r="J196" s="103" t="s">
        <v>677</v>
      </c>
      <c r="K196" s="103">
        <v>0</v>
      </c>
      <c r="L196" s="103">
        <v>100</v>
      </c>
      <c r="M196" s="103" t="s">
        <v>882</v>
      </c>
      <c r="N196" s="103" t="s">
        <v>883</v>
      </c>
      <c r="O196" s="103" t="s">
        <v>884</v>
      </c>
      <c r="P196" s="283">
        <v>179</v>
      </c>
      <c r="Q196" s="103" t="s">
        <v>3375</v>
      </c>
      <c r="R196" s="103" t="s">
        <v>885</v>
      </c>
      <c r="S196" s="103" t="s">
        <v>683</v>
      </c>
      <c r="T196" s="103">
        <v>0</v>
      </c>
      <c r="U196" s="267"/>
      <c r="V196" s="267"/>
      <c r="W196" s="224">
        <v>0</v>
      </c>
      <c r="X196" s="267">
        <v>0.25</v>
      </c>
      <c r="Y196" s="267">
        <v>0.25</v>
      </c>
      <c r="Z196" s="267">
        <v>0.25</v>
      </c>
      <c r="AA196" s="267">
        <v>0.25</v>
      </c>
      <c r="AB196" s="224">
        <v>1</v>
      </c>
      <c r="AC196" s="267"/>
      <c r="AD196" s="267"/>
      <c r="AE196" s="267"/>
      <c r="AF196" s="267"/>
      <c r="AG196" s="224">
        <v>0</v>
      </c>
      <c r="AH196" s="267"/>
      <c r="AI196" s="267"/>
      <c r="AJ196" s="267"/>
      <c r="AK196" s="267"/>
      <c r="AL196" s="224">
        <v>0</v>
      </c>
      <c r="AM196" s="102">
        <v>1</v>
      </c>
      <c r="AN196" s="103" t="s">
        <v>685</v>
      </c>
      <c r="AO196" s="103" t="s">
        <v>617</v>
      </c>
      <c r="AP196" s="103" t="s">
        <v>1230</v>
      </c>
      <c r="AQ196" s="103" t="s">
        <v>1207</v>
      </c>
      <c r="AR196" s="103" t="s">
        <v>951</v>
      </c>
      <c r="AS196" s="268"/>
      <c r="AT196" s="268"/>
      <c r="AU196" s="268"/>
      <c r="AV196" s="268"/>
      <c r="AW196" s="268"/>
      <c r="AX196" s="268"/>
      <c r="AY196" s="268"/>
      <c r="AZ196" s="268"/>
      <c r="BA196" s="268"/>
      <c r="BB196" s="268"/>
      <c r="BC196" s="268"/>
      <c r="BD196" s="268"/>
      <c r="BE196" s="268"/>
      <c r="BF196" s="268"/>
      <c r="BG196" s="268"/>
      <c r="BH196" s="234">
        <f>IF(W196=0,0,BG196+BF196+BE196+BD196+BC196+BB196+BA196+AZ196+AY196+AX196+AW196+AV196+AU196+AT196+AS196)</f>
        <v>0</v>
      </c>
      <c r="BI196" s="268"/>
      <c r="BJ196" s="268"/>
      <c r="BK196" s="268"/>
      <c r="BL196" s="268"/>
      <c r="BM196" s="268">
        <v>250000</v>
      </c>
      <c r="BN196" s="268"/>
      <c r="BO196" s="268"/>
      <c r="BP196" s="268"/>
      <c r="BQ196" s="268"/>
      <c r="BR196" s="268"/>
      <c r="BS196" s="268"/>
      <c r="BT196" s="268"/>
      <c r="BU196" s="268"/>
      <c r="BV196" s="268"/>
      <c r="BW196" s="268"/>
      <c r="BX196" s="234">
        <f>IF(AB196=0,0,BI196+BJ196+BK196+BL196+BM196+BN196+BO196+BP196+BQ196+BR196+BS196+BT196+BU196+BV196+BW196)</f>
        <v>250000</v>
      </c>
      <c r="BY196" s="268"/>
      <c r="BZ196" s="268"/>
      <c r="CA196" s="268"/>
      <c r="CB196" s="268"/>
      <c r="CC196" s="268"/>
      <c r="CD196" s="268"/>
      <c r="CE196" s="268"/>
      <c r="CF196" s="268"/>
      <c r="CG196" s="268"/>
      <c r="CH196" s="268"/>
      <c r="CI196" s="268"/>
      <c r="CJ196" s="268"/>
      <c r="CK196" s="268"/>
      <c r="CL196" s="268"/>
      <c r="CM196" s="268"/>
      <c r="CN196" s="234">
        <f>IF(AG196=0,0,(BY196+BZ196+CA196+CB196+CC196+CD196+CE196+CF196+CG196+CH196+CI196+CJ196+CK196+CL196+CM196))</f>
        <v>0</v>
      </c>
      <c r="CO196" s="268"/>
      <c r="CP196" s="268"/>
      <c r="CQ196" s="268"/>
      <c r="CR196" s="268"/>
      <c r="CS196" s="268"/>
      <c r="CT196" s="268"/>
      <c r="CU196" s="268"/>
      <c r="CV196" s="268"/>
      <c r="CW196" s="268"/>
      <c r="CX196" s="268"/>
      <c r="CY196" s="268"/>
      <c r="CZ196" s="268"/>
      <c r="DA196" s="268"/>
      <c r="DB196" s="268"/>
      <c r="DC196" s="268"/>
      <c r="DD196" s="234">
        <f>IF(AL196=0,0,(CO196+CP196+CQ196+CR196+CS196+CT196+CU196+CV196+CW196+CX196+CY196+CZ196+DA196+DB196+DC196))</f>
        <v>0</v>
      </c>
      <c r="DE196" s="243">
        <f t="shared" ref="DE196:DE198" si="51">SUM(DD196+CN196+BX196+BH196)</f>
        <v>250000</v>
      </c>
    </row>
    <row r="197" spans="1:110" s="98" customFormat="1" ht="96" customHeight="1">
      <c r="A197" s="103" t="s">
        <v>1237</v>
      </c>
      <c r="B197" s="279" t="s">
        <v>9</v>
      </c>
      <c r="C197" s="279" t="s">
        <v>1697</v>
      </c>
      <c r="D197" s="279">
        <v>12</v>
      </c>
      <c r="E197" s="279" t="s">
        <v>879</v>
      </c>
      <c r="F197" s="280" t="s">
        <v>880</v>
      </c>
      <c r="G197" s="279" t="s">
        <v>2779</v>
      </c>
      <c r="H197" s="279">
        <v>19</v>
      </c>
      <c r="I197" s="279" t="s">
        <v>881</v>
      </c>
      <c r="J197" s="279" t="s">
        <v>677</v>
      </c>
      <c r="K197" s="279">
        <v>0</v>
      </c>
      <c r="L197" s="279">
        <v>100</v>
      </c>
      <c r="M197" s="279" t="s">
        <v>882</v>
      </c>
      <c r="N197" s="279" t="s">
        <v>883</v>
      </c>
      <c r="O197" s="279" t="s">
        <v>884</v>
      </c>
      <c r="P197" s="283">
        <v>180</v>
      </c>
      <c r="Q197" s="279" t="s">
        <v>2780</v>
      </c>
      <c r="R197" s="279" t="s">
        <v>886</v>
      </c>
      <c r="S197" s="279" t="s">
        <v>683</v>
      </c>
      <c r="T197" s="279">
        <v>0</v>
      </c>
      <c r="U197" s="267"/>
      <c r="V197" s="267">
        <v>0.1</v>
      </c>
      <c r="W197" s="224">
        <v>0.1</v>
      </c>
      <c r="X197" s="267">
        <v>0.1</v>
      </c>
      <c r="Y197" s="267">
        <v>0.1</v>
      </c>
      <c r="Z197" s="267">
        <v>0.1</v>
      </c>
      <c r="AA197" s="267">
        <v>0.1</v>
      </c>
      <c r="AB197" s="224">
        <v>0.4</v>
      </c>
      <c r="AC197" s="267">
        <v>0.1</v>
      </c>
      <c r="AD197" s="267">
        <v>0.1</v>
      </c>
      <c r="AE197" s="267">
        <v>0.1</v>
      </c>
      <c r="AF197" s="267">
        <v>0.1</v>
      </c>
      <c r="AG197" s="224">
        <v>0.4</v>
      </c>
      <c r="AH197" s="267">
        <v>0.1</v>
      </c>
      <c r="AI197" s="267"/>
      <c r="AJ197" s="267"/>
      <c r="AK197" s="267"/>
      <c r="AL197" s="224">
        <v>0.1</v>
      </c>
      <c r="AM197" s="104">
        <v>1</v>
      </c>
      <c r="AN197" s="103" t="s">
        <v>685</v>
      </c>
      <c r="AO197" s="103" t="s">
        <v>617</v>
      </c>
      <c r="AP197" s="103" t="s">
        <v>1230</v>
      </c>
      <c r="AQ197" s="103" t="s">
        <v>1207</v>
      </c>
      <c r="AR197" s="103" t="s">
        <v>951</v>
      </c>
      <c r="AS197" s="271"/>
      <c r="AT197" s="271"/>
      <c r="AU197" s="271"/>
      <c r="AV197" s="271"/>
      <c r="AW197" s="271">
        <v>2000000</v>
      </c>
      <c r="AX197" s="271"/>
      <c r="AY197" s="271"/>
      <c r="AZ197" s="271"/>
      <c r="BA197" s="271"/>
      <c r="BB197" s="271"/>
      <c r="BC197" s="271"/>
      <c r="BD197" s="271"/>
      <c r="BE197" s="271"/>
      <c r="BF197" s="271"/>
      <c r="BG197" s="271"/>
      <c r="BH197" s="235">
        <f>IF(W197=0,0,BG197+BF197+BE197+BD197+BC197+BB197+BA197+AZ197+AY197+AX197+AW197+AV197+AU197+AT197+AS197)</f>
        <v>2000000</v>
      </c>
      <c r="BI197" s="271"/>
      <c r="BJ197" s="271"/>
      <c r="BK197" s="271"/>
      <c r="BL197" s="271"/>
      <c r="BM197" s="271">
        <v>1000000</v>
      </c>
      <c r="BN197" s="271"/>
      <c r="BO197" s="271"/>
      <c r="BP197" s="271"/>
      <c r="BQ197" s="271"/>
      <c r="BR197" s="271"/>
      <c r="BS197" s="271"/>
      <c r="BT197" s="271"/>
      <c r="BU197" s="271"/>
      <c r="BV197" s="271"/>
      <c r="BW197" s="271"/>
      <c r="BX197" s="235">
        <f>IF(AB197=0,0,BI197+BJ197+BK197+BL197+BM197+BN197+BO197+BP197+BQ197+BR197+BS197+BT197+BU197+BV197+BW197)</f>
        <v>1000000</v>
      </c>
      <c r="BY197" s="271"/>
      <c r="BZ197" s="271"/>
      <c r="CA197" s="271"/>
      <c r="CB197" s="271"/>
      <c r="CC197" s="271">
        <v>2000000</v>
      </c>
      <c r="CD197" s="271"/>
      <c r="CE197" s="271"/>
      <c r="CF197" s="271"/>
      <c r="CG197" s="271"/>
      <c r="CH197" s="271"/>
      <c r="CI197" s="271"/>
      <c r="CJ197" s="271"/>
      <c r="CK197" s="271"/>
      <c r="CL197" s="271"/>
      <c r="CM197" s="271"/>
      <c r="CN197" s="235">
        <f>IF(AG197=0,0,(BY197+BZ197+CA197+CB197+CC197+CD197+CE197+CF197+CG197+CH197+CI197+CJ197+CK197+CL197+CM197))</f>
        <v>2000000</v>
      </c>
      <c r="CO197" s="271"/>
      <c r="CP197" s="271"/>
      <c r="CQ197" s="271"/>
      <c r="CR197" s="271"/>
      <c r="CS197" s="271">
        <v>1000000</v>
      </c>
      <c r="CT197" s="271"/>
      <c r="CU197" s="271"/>
      <c r="CV197" s="271"/>
      <c r="CW197" s="271"/>
      <c r="CX197" s="271"/>
      <c r="CY197" s="271"/>
      <c r="CZ197" s="271"/>
      <c r="DA197" s="271"/>
      <c r="DB197" s="271"/>
      <c r="DC197" s="271"/>
      <c r="DD197" s="234">
        <f>IF(AL197=0,0,(CO197+CP197+CQ197+CR197+CS197+CT197+CU197+CV197+CW197+CX197+CY197+CZ197+DA197+DB197+DC197))</f>
        <v>1000000</v>
      </c>
      <c r="DE197" s="244">
        <f t="shared" si="51"/>
        <v>6000000</v>
      </c>
    </row>
    <row r="198" spans="1:110" s="98" customFormat="1" ht="96" customHeight="1">
      <c r="A198" s="120" t="s">
        <v>1237</v>
      </c>
      <c r="B198" s="281" t="s">
        <v>9</v>
      </c>
      <c r="C198" s="281" t="s">
        <v>1697</v>
      </c>
      <c r="D198" s="281">
        <v>12</v>
      </c>
      <c r="E198" s="281" t="s">
        <v>879</v>
      </c>
      <c r="F198" s="282" t="s">
        <v>880</v>
      </c>
      <c r="G198" s="281" t="s">
        <v>2779</v>
      </c>
      <c r="H198" s="281">
        <v>19</v>
      </c>
      <c r="I198" s="281" t="s">
        <v>881</v>
      </c>
      <c r="J198" s="281" t="s">
        <v>677</v>
      </c>
      <c r="K198" s="281">
        <v>0</v>
      </c>
      <c r="L198" s="281">
        <v>100</v>
      </c>
      <c r="M198" s="281" t="s">
        <v>882</v>
      </c>
      <c r="N198" s="281" t="s">
        <v>883</v>
      </c>
      <c r="O198" s="281" t="s">
        <v>884</v>
      </c>
      <c r="P198" s="284">
        <v>181</v>
      </c>
      <c r="Q198" s="281" t="s">
        <v>2781</v>
      </c>
      <c r="R198" s="281" t="s">
        <v>887</v>
      </c>
      <c r="S198" s="281" t="s">
        <v>683</v>
      </c>
      <c r="T198" s="281">
        <v>0</v>
      </c>
      <c r="U198" s="275"/>
      <c r="V198" s="275"/>
      <c r="W198" s="225">
        <v>0</v>
      </c>
      <c r="X198" s="275">
        <v>1</v>
      </c>
      <c r="Y198" s="275">
        <v>1</v>
      </c>
      <c r="Z198" s="275">
        <v>1</v>
      </c>
      <c r="AA198" s="275">
        <v>1</v>
      </c>
      <c r="AB198" s="225">
        <v>4</v>
      </c>
      <c r="AC198" s="275">
        <v>1</v>
      </c>
      <c r="AD198" s="275">
        <v>1</v>
      </c>
      <c r="AE198" s="275">
        <v>1</v>
      </c>
      <c r="AF198" s="275">
        <v>1</v>
      </c>
      <c r="AG198" s="225">
        <v>4</v>
      </c>
      <c r="AH198" s="275">
        <v>1</v>
      </c>
      <c r="AI198" s="275">
        <v>1</v>
      </c>
      <c r="AJ198" s="275"/>
      <c r="AK198" s="275"/>
      <c r="AL198" s="225">
        <v>2</v>
      </c>
      <c r="AM198" s="119">
        <v>10</v>
      </c>
      <c r="AN198" s="120" t="s">
        <v>685</v>
      </c>
      <c r="AO198" s="120" t="s">
        <v>617</v>
      </c>
      <c r="AP198" s="120" t="s">
        <v>1230</v>
      </c>
      <c r="AQ198" s="120" t="s">
        <v>1207</v>
      </c>
      <c r="AR198" s="120" t="s">
        <v>951</v>
      </c>
      <c r="AS198" s="276"/>
      <c r="AT198" s="276"/>
      <c r="AU198" s="276"/>
      <c r="AV198" s="276"/>
      <c r="AW198" s="276"/>
      <c r="AX198" s="276"/>
      <c r="AY198" s="276"/>
      <c r="AZ198" s="276"/>
      <c r="BA198" s="276"/>
      <c r="BB198" s="276"/>
      <c r="BC198" s="276"/>
      <c r="BD198" s="276"/>
      <c r="BE198" s="276"/>
      <c r="BF198" s="276"/>
      <c r="BG198" s="276"/>
      <c r="BH198" s="236">
        <f>IF(W198=0,0,BG198+BF198+BE198+BD198+BC198+BB198+BA198+AZ198+AY198+AX198+AW198+AV198+AU198+AT198+AS198)</f>
        <v>0</v>
      </c>
      <c r="BI198" s="276"/>
      <c r="BJ198" s="276"/>
      <c r="BK198" s="276"/>
      <c r="BL198" s="276"/>
      <c r="BM198" s="276">
        <v>250000</v>
      </c>
      <c r="BN198" s="276"/>
      <c r="BO198" s="276"/>
      <c r="BP198" s="276"/>
      <c r="BQ198" s="276"/>
      <c r="BR198" s="276"/>
      <c r="BS198" s="276"/>
      <c r="BT198" s="276"/>
      <c r="BU198" s="276"/>
      <c r="BV198" s="276"/>
      <c r="BW198" s="276"/>
      <c r="BX198" s="236">
        <f>IF(AB198=0,0,BI198+BJ198+BK198+BL198+BM198+BN198+BO198+BP198+BQ198+BR198+BS198+BT198+BU198+BV198+BW198)</f>
        <v>250000</v>
      </c>
      <c r="BY198" s="276"/>
      <c r="BZ198" s="276"/>
      <c r="CA198" s="276"/>
      <c r="CB198" s="276"/>
      <c r="CC198" s="276">
        <v>13000000</v>
      </c>
      <c r="CD198" s="276"/>
      <c r="CE198" s="276"/>
      <c r="CF198" s="276"/>
      <c r="CG198" s="276"/>
      <c r="CH198" s="276"/>
      <c r="CI198" s="276"/>
      <c r="CJ198" s="276"/>
      <c r="CK198" s="276"/>
      <c r="CL198" s="276"/>
      <c r="CM198" s="276"/>
      <c r="CN198" s="236">
        <f>IF(AG198=0,0,(BY198+BZ198+CA198+CB198+CC198+CD198+CE198+CF198+CG198+CH198+CI198+CJ198+CK198+CL198+CM198))</f>
        <v>13000000</v>
      </c>
      <c r="CO198" s="276"/>
      <c r="CP198" s="276"/>
      <c r="CQ198" s="276"/>
      <c r="CR198" s="276"/>
      <c r="CS198" s="276">
        <v>14000000</v>
      </c>
      <c r="CT198" s="276"/>
      <c r="CU198" s="276"/>
      <c r="CV198" s="276"/>
      <c r="CW198" s="276"/>
      <c r="CX198" s="276"/>
      <c r="CY198" s="276"/>
      <c r="CZ198" s="276"/>
      <c r="DA198" s="276"/>
      <c r="DB198" s="276"/>
      <c r="DC198" s="276"/>
      <c r="DD198" s="240">
        <f>IF(AL198=0,0,(CO198+CP198+CQ198+CR198+CS198+CT198+CU198+CV198+CW198+CX198+CY198+CZ198+DA198+DB198+DC198))</f>
        <v>14000000</v>
      </c>
      <c r="DE198" s="245">
        <f t="shared" si="51"/>
        <v>27250000</v>
      </c>
    </row>
    <row r="199" spans="1:110" ht="65.099999999999994" customHeight="1">
      <c r="A199" s="118" t="s">
        <v>1237</v>
      </c>
      <c r="B199" s="118" t="s">
        <v>9</v>
      </c>
      <c r="C199" s="118" t="s">
        <v>1697</v>
      </c>
      <c r="D199" s="118">
        <v>12</v>
      </c>
      <c r="E199" s="118" t="s">
        <v>879</v>
      </c>
      <c r="F199" s="135"/>
      <c r="G199" s="136"/>
      <c r="H199" s="137"/>
      <c r="I199" s="137"/>
      <c r="J199" s="137"/>
      <c r="K199" s="138"/>
      <c r="L199" s="137"/>
      <c r="M199" s="137"/>
      <c r="N199" s="137"/>
      <c r="O199" s="137"/>
      <c r="P199" s="137"/>
      <c r="Q199" s="136"/>
      <c r="R199" s="139"/>
      <c r="S199" s="137"/>
      <c r="T199" s="137"/>
      <c r="U199" s="140"/>
      <c r="V199" s="140"/>
      <c r="W199" s="138"/>
      <c r="X199" s="140"/>
      <c r="Y199" s="140"/>
      <c r="Z199" s="140"/>
      <c r="AA199" s="140"/>
      <c r="AB199" s="138"/>
      <c r="AC199" s="140"/>
      <c r="AD199" s="140"/>
      <c r="AE199" s="140"/>
      <c r="AF199" s="140"/>
      <c r="AG199" s="138"/>
      <c r="AH199" s="140"/>
      <c r="AI199" s="140"/>
      <c r="AJ199" s="140"/>
      <c r="AK199" s="140"/>
      <c r="AL199" s="138"/>
      <c r="AM199" s="141"/>
      <c r="AN199" s="142"/>
      <c r="AO199" s="142"/>
      <c r="AP199" s="143"/>
      <c r="AQ199" s="143"/>
      <c r="AR199" s="144"/>
      <c r="AS199" s="132">
        <f>SUM(AS196:AS198)</f>
        <v>0</v>
      </c>
      <c r="AT199" s="132">
        <f t="shared" ref="AT199:DE199" si="52">SUM(AT196:AT198)</f>
        <v>0</v>
      </c>
      <c r="AU199" s="132">
        <f t="shared" si="52"/>
        <v>0</v>
      </c>
      <c r="AV199" s="132">
        <f t="shared" si="52"/>
        <v>0</v>
      </c>
      <c r="AW199" s="132">
        <f t="shared" si="52"/>
        <v>2000000</v>
      </c>
      <c r="AX199" s="132">
        <f t="shared" si="52"/>
        <v>0</v>
      </c>
      <c r="AY199" s="132">
        <f t="shared" si="52"/>
        <v>0</v>
      </c>
      <c r="AZ199" s="132">
        <f t="shared" si="52"/>
        <v>0</v>
      </c>
      <c r="BA199" s="132">
        <f t="shared" si="52"/>
        <v>0</v>
      </c>
      <c r="BB199" s="132">
        <f t="shared" si="52"/>
        <v>0</v>
      </c>
      <c r="BC199" s="132">
        <f t="shared" si="52"/>
        <v>0</v>
      </c>
      <c r="BD199" s="132">
        <f t="shared" si="52"/>
        <v>0</v>
      </c>
      <c r="BE199" s="132">
        <f t="shared" si="52"/>
        <v>0</v>
      </c>
      <c r="BF199" s="132">
        <f t="shared" si="52"/>
        <v>0</v>
      </c>
      <c r="BG199" s="132">
        <f t="shared" si="52"/>
        <v>0</v>
      </c>
      <c r="BH199" s="132">
        <f>IF(OR(AND(BH196=0,W196&lt;&gt;0),AND(BH197=0,W197&lt;&gt;0),AND(BH198=0,W198&lt;&gt;0)),"NO DEBEN QUEDAR CELDAS EN ROJO",SUM(BH196:BH198))</f>
        <v>2000000</v>
      </c>
      <c r="BI199" s="132">
        <f t="shared" si="52"/>
        <v>0</v>
      </c>
      <c r="BJ199" s="132">
        <f t="shared" si="52"/>
        <v>0</v>
      </c>
      <c r="BK199" s="132">
        <f t="shared" si="52"/>
        <v>0</v>
      </c>
      <c r="BL199" s="132">
        <f t="shared" si="52"/>
        <v>0</v>
      </c>
      <c r="BM199" s="132">
        <f t="shared" si="52"/>
        <v>1500000</v>
      </c>
      <c r="BN199" s="132">
        <f t="shared" si="52"/>
        <v>0</v>
      </c>
      <c r="BO199" s="132">
        <f t="shared" si="52"/>
        <v>0</v>
      </c>
      <c r="BP199" s="132">
        <f t="shared" si="52"/>
        <v>0</v>
      </c>
      <c r="BQ199" s="132">
        <f t="shared" si="52"/>
        <v>0</v>
      </c>
      <c r="BR199" s="132">
        <f t="shared" si="52"/>
        <v>0</v>
      </c>
      <c r="BS199" s="132">
        <f t="shared" si="52"/>
        <v>0</v>
      </c>
      <c r="BT199" s="132">
        <f t="shared" si="52"/>
        <v>0</v>
      </c>
      <c r="BU199" s="132">
        <f t="shared" si="52"/>
        <v>0</v>
      </c>
      <c r="BV199" s="132">
        <f t="shared" si="52"/>
        <v>0</v>
      </c>
      <c r="BW199" s="132">
        <f t="shared" si="52"/>
        <v>0</v>
      </c>
      <c r="BX199" s="132">
        <f>IF(OR(AND(BX196=0,AB196&lt;&gt;0),AND(BX197=0,AB197&lt;&gt;0),AND(BX198=0,AB198&lt;&gt;0)),"NO DEBEN QUEDAR CELDAS EN ROJO",SUM(BX196:BX198))</f>
        <v>1500000</v>
      </c>
      <c r="BY199" s="132">
        <f t="shared" si="52"/>
        <v>0</v>
      </c>
      <c r="BZ199" s="132">
        <f t="shared" si="52"/>
        <v>0</v>
      </c>
      <c r="CA199" s="132">
        <f t="shared" si="52"/>
        <v>0</v>
      </c>
      <c r="CB199" s="132">
        <f t="shared" si="52"/>
        <v>0</v>
      </c>
      <c r="CC199" s="132">
        <f t="shared" si="52"/>
        <v>15000000</v>
      </c>
      <c r="CD199" s="132">
        <f t="shared" si="52"/>
        <v>0</v>
      </c>
      <c r="CE199" s="132">
        <f t="shared" si="52"/>
        <v>0</v>
      </c>
      <c r="CF199" s="132">
        <f t="shared" si="52"/>
        <v>0</v>
      </c>
      <c r="CG199" s="132">
        <f t="shared" si="52"/>
        <v>0</v>
      </c>
      <c r="CH199" s="132">
        <f t="shared" si="52"/>
        <v>0</v>
      </c>
      <c r="CI199" s="132">
        <f t="shared" si="52"/>
        <v>0</v>
      </c>
      <c r="CJ199" s="132">
        <f t="shared" si="52"/>
        <v>0</v>
      </c>
      <c r="CK199" s="132">
        <f t="shared" si="52"/>
        <v>0</v>
      </c>
      <c r="CL199" s="132">
        <f t="shared" si="52"/>
        <v>0</v>
      </c>
      <c r="CM199" s="132">
        <f t="shared" si="52"/>
        <v>0</v>
      </c>
      <c r="CN199" s="132">
        <f>IF(OR(AND(CN196=0,AG196&lt;&gt;0),AND(CN197=0,AG197&lt;&gt;0),AND(CN198=0,AG198&lt;&gt;0)),"NO DEBEN QUEDAR CELDAS EN ROJO",SUM(CN196:CN198))</f>
        <v>15000000</v>
      </c>
      <c r="CO199" s="132">
        <f t="shared" si="52"/>
        <v>0</v>
      </c>
      <c r="CP199" s="132">
        <f t="shared" si="52"/>
        <v>0</v>
      </c>
      <c r="CQ199" s="132">
        <f t="shared" si="52"/>
        <v>0</v>
      </c>
      <c r="CR199" s="132">
        <f t="shared" si="52"/>
        <v>0</v>
      </c>
      <c r="CS199" s="132">
        <f t="shared" si="52"/>
        <v>15000000</v>
      </c>
      <c r="CT199" s="132">
        <f t="shared" si="52"/>
        <v>0</v>
      </c>
      <c r="CU199" s="132">
        <f t="shared" si="52"/>
        <v>0</v>
      </c>
      <c r="CV199" s="132">
        <f t="shared" si="52"/>
        <v>0</v>
      </c>
      <c r="CW199" s="132">
        <f t="shared" si="52"/>
        <v>0</v>
      </c>
      <c r="CX199" s="132">
        <f t="shared" si="52"/>
        <v>0</v>
      </c>
      <c r="CY199" s="132">
        <f t="shared" si="52"/>
        <v>0</v>
      </c>
      <c r="CZ199" s="132">
        <f t="shared" si="52"/>
        <v>0</v>
      </c>
      <c r="DA199" s="132">
        <f t="shared" si="52"/>
        <v>0</v>
      </c>
      <c r="DB199" s="132">
        <f t="shared" si="52"/>
        <v>0</v>
      </c>
      <c r="DC199" s="132">
        <f t="shared" si="52"/>
        <v>0</v>
      </c>
      <c r="DD199" s="132">
        <f>IF(OR(AND(DD196=0,AL196&lt;&gt;0),AND(DD197=0,AL197&lt;&gt;0),AND(DD198=0,AL198&lt;&gt;0)),"NO DEBEN QUEDAR CELDAS EN ROJO",SUM(DD196:DD198))</f>
        <v>15000000</v>
      </c>
      <c r="DE199" s="132">
        <f t="shared" si="52"/>
        <v>33500000</v>
      </c>
      <c r="DF199" s="101"/>
    </row>
    <row r="200" spans="1:110" s="98" customFormat="1" ht="103.05" customHeight="1">
      <c r="A200" s="103" t="s">
        <v>1236</v>
      </c>
      <c r="B200" s="103" t="s">
        <v>9</v>
      </c>
      <c r="C200" s="103" t="s">
        <v>1697</v>
      </c>
      <c r="D200" s="103">
        <v>13</v>
      </c>
      <c r="E200" s="103" t="s">
        <v>888</v>
      </c>
      <c r="F200" s="278" t="s">
        <v>337</v>
      </c>
      <c r="G200" s="103" t="s">
        <v>3376</v>
      </c>
      <c r="H200" s="103">
        <v>20</v>
      </c>
      <c r="I200" s="103" t="s">
        <v>889</v>
      </c>
      <c r="J200" s="103" t="s">
        <v>683</v>
      </c>
      <c r="K200" s="102">
        <v>10000</v>
      </c>
      <c r="L200" s="103" t="s">
        <v>890</v>
      </c>
      <c r="M200" s="103" t="s">
        <v>891</v>
      </c>
      <c r="N200" s="103" t="s">
        <v>892</v>
      </c>
      <c r="O200" s="103" t="s">
        <v>893</v>
      </c>
      <c r="P200" s="283">
        <v>182</v>
      </c>
      <c r="Q200" s="103" t="s">
        <v>2708</v>
      </c>
      <c r="R200" s="103" t="s">
        <v>894</v>
      </c>
      <c r="S200" s="103" t="s">
        <v>677</v>
      </c>
      <c r="T200" s="103">
        <v>45</v>
      </c>
      <c r="U200" s="267">
        <v>30</v>
      </c>
      <c r="V200" s="267">
        <v>15</v>
      </c>
      <c r="W200" s="224">
        <v>45</v>
      </c>
      <c r="X200" s="267">
        <v>5</v>
      </c>
      <c r="Y200" s="267">
        <v>15</v>
      </c>
      <c r="Z200" s="267">
        <v>15</v>
      </c>
      <c r="AA200" s="267">
        <v>10</v>
      </c>
      <c r="AB200" s="224">
        <v>45</v>
      </c>
      <c r="AC200" s="267">
        <v>5</v>
      </c>
      <c r="AD200" s="267">
        <v>15</v>
      </c>
      <c r="AE200" s="267">
        <v>15</v>
      </c>
      <c r="AF200" s="267">
        <v>10</v>
      </c>
      <c r="AG200" s="224">
        <v>45</v>
      </c>
      <c r="AH200" s="267">
        <v>5</v>
      </c>
      <c r="AI200" s="267">
        <v>15</v>
      </c>
      <c r="AJ200" s="267">
        <v>20</v>
      </c>
      <c r="AK200" s="267">
        <v>5</v>
      </c>
      <c r="AL200" s="224">
        <v>45</v>
      </c>
      <c r="AM200" s="102">
        <v>45</v>
      </c>
      <c r="AN200" s="103" t="s">
        <v>686</v>
      </c>
      <c r="AO200" s="103" t="s">
        <v>616</v>
      </c>
      <c r="AP200" s="103" t="s">
        <v>1226</v>
      </c>
      <c r="AQ200" s="103" t="s">
        <v>1207</v>
      </c>
      <c r="AR200" s="103" t="s">
        <v>940</v>
      </c>
      <c r="AS200" s="268"/>
      <c r="AT200" s="268"/>
      <c r="AU200" s="268"/>
      <c r="AV200" s="268"/>
      <c r="AW200" s="268">
        <v>3500000</v>
      </c>
      <c r="AX200" s="268"/>
      <c r="AY200" s="268"/>
      <c r="AZ200" s="268"/>
      <c r="BA200" s="268"/>
      <c r="BB200" s="268"/>
      <c r="BC200" s="268"/>
      <c r="BD200" s="268"/>
      <c r="BE200" s="268"/>
      <c r="BF200" s="268"/>
      <c r="BG200" s="268"/>
      <c r="BH200" s="234">
        <f t="shared" ref="BH200:BH218" si="53">IF(W200=0,0,BG200+BF200+BE200+BD200+BC200+BB200+BA200+AZ200+AY200+AX200+AW200+AV200+AU200+AT200+AS200)</f>
        <v>3500000</v>
      </c>
      <c r="BI200" s="268"/>
      <c r="BJ200" s="268"/>
      <c r="BK200" s="268"/>
      <c r="BL200" s="268"/>
      <c r="BM200" s="268">
        <v>5500000</v>
      </c>
      <c r="BN200" s="268"/>
      <c r="BO200" s="268"/>
      <c r="BP200" s="268"/>
      <c r="BQ200" s="268"/>
      <c r="BR200" s="268"/>
      <c r="BS200" s="268"/>
      <c r="BT200" s="268"/>
      <c r="BU200" s="268"/>
      <c r="BV200" s="268"/>
      <c r="BW200" s="268"/>
      <c r="BX200" s="234">
        <f t="shared" ref="BX200:BX218" si="54">IF(AB200=0,0,BI200+BJ200+BK200+BL200+BM200+BN200+BO200+BP200+BQ200+BR200+BS200+BT200+BU200+BV200+BW200)</f>
        <v>5500000</v>
      </c>
      <c r="BY200" s="268"/>
      <c r="BZ200" s="268"/>
      <c r="CA200" s="268"/>
      <c r="CB200" s="268"/>
      <c r="CC200" s="268">
        <v>4000000</v>
      </c>
      <c r="CD200" s="268"/>
      <c r="CE200" s="268"/>
      <c r="CF200" s="268"/>
      <c r="CG200" s="268"/>
      <c r="CH200" s="268"/>
      <c r="CI200" s="268"/>
      <c r="CJ200" s="268"/>
      <c r="CK200" s="268"/>
      <c r="CL200" s="268"/>
      <c r="CM200" s="268"/>
      <c r="CN200" s="234">
        <f t="shared" ref="CN200:CN218" si="55">IF(AG200=0,0,(BY200+BZ200+CA200+CB200+CC200+CD200+CE200+CF200+CG200+CH200+CI200+CJ200+CK200+CL200+CM200))</f>
        <v>4000000</v>
      </c>
      <c r="CO200" s="268"/>
      <c r="CP200" s="268"/>
      <c r="CQ200" s="268"/>
      <c r="CR200" s="268"/>
      <c r="CS200" s="268">
        <v>4600000</v>
      </c>
      <c r="CT200" s="268"/>
      <c r="CU200" s="268"/>
      <c r="CV200" s="268"/>
      <c r="CW200" s="268"/>
      <c r="CX200" s="268"/>
      <c r="CY200" s="268"/>
      <c r="CZ200" s="268"/>
      <c r="DA200" s="268"/>
      <c r="DB200" s="268"/>
      <c r="DC200" s="268"/>
      <c r="DD200" s="234">
        <f t="shared" ref="DD200:DD218" si="56">IF(AL200=0,0,(CO200+CP200+CQ200+CR200+CS200+CT200+CU200+CV200+CW200+CX200+CY200+CZ200+DA200+DB200+DC200))</f>
        <v>4600000</v>
      </c>
      <c r="DE200" s="243">
        <f t="shared" ref="DE200:DE218" si="57">SUM(DD200+CN200+BX200+BH200)</f>
        <v>17600000</v>
      </c>
    </row>
    <row r="201" spans="1:110" s="98" customFormat="1" ht="103.05" customHeight="1">
      <c r="A201" s="103" t="s">
        <v>1236</v>
      </c>
      <c r="B201" s="279" t="s">
        <v>9</v>
      </c>
      <c r="C201" s="279" t="s">
        <v>1697</v>
      </c>
      <c r="D201" s="279">
        <v>13</v>
      </c>
      <c r="E201" s="279" t="s">
        <v>888</v>
      </c>
      <c r="F201" s="280" t="s">
        <v>337</v>
      </c>
      <c r="G201" s="279" t="s">
        <v>3376</v>
      </c>
      <c r="H201" s="279">
        <v>20</v>
      </c>
      <c r="I201" s="279" t="s">
        <v>889</v>
      </c>
      <c r="J201" s="279" t="s">
        <v>683</v>
      </c>
      <c r="K201" s="104">
        <v>10000</v>
      </c>
      <c r="L201" s="279" t="s">
        <v>890</v>
      </c>
      <c r="M201" s="279" t="s">
        <v>891</v>
      </c>
      <c r="N201" s="279" t="s">
        <v>892</v>
      </c>
      <c r="O201" s="279" t="s">
        <v>893</v>
      </c>
      <c r="P201" s="283">
        <v>183</v>
      </c>
      <c r="Q201" s="279" t="s">
        <v>2709</v>
      </c>
      <c r="R201" s="279" t="s">
        <v>894</v>
      </c>
      <c r="S201" s="279" t="s">
        <v>677</v>
      </c>
      <c r="T201" s="279">
        <v>45</v>
      </c>
      <c r="U201" s="267">
        <v>3</v>
      </c>
      <c r="V201" s="267">
        <v>2</v>
      </c>
      <c r="W201" s="224">
        <v>5</v>
      </c>
      <c r="X201" s="267">
        <v>3</v>
      </c>
      <c r="Y201" s="267">
        <v>3</v>
      </c>
      <c r="Z201" s="267">
        <v>3</v>
      </c>
      <c r="AA201" s="267">
        <v>3</v>
      </c>
      <c r="AB201" s="224">
        <v>12</v>
      </c>
      <c r="AC201" s="267">
        <v>3</v>
      </c>
      <c r="AD201" s="267">
        <v>3</v>
      </c>
      <c r="AE201" s="267">
        <v>3</v>
      </c>
      <c r="AF201" s="267">
        <v>3</v>
      </c>
      <c r="AG201" s="224">
        <v>12</v>
      </c>
      <c r="AH201" s="267">
        <v>1</v>
      </c>
      <c r="AI201" s="267">
        <v>2</v>
      </c>
      <c r="AJ201" s="267">
        <v>2</v>
      </c>
      <c r="AK201" s="267">
        <v>1</v>
      </c>
      <c r="AL201" s="224">
        <v>6</v>
      </c>
      <c r="AM201" s="104">
        <v>35</v>
      </c>
      <c r="AN201" s="103" t="s">
        <v>685</v>
      </c>
      <c r="AO201" s="103" t="s">
        <v>616</v>
      </c>
      <c r="AP201" s="103" t="s">
        <v>1226</v>
      </c>
      <c r="AQ201" s="103" t="s">
        <v>1207</v>
      </c>
      <c r="AR201" s="103" t="s">
        <v>940</v>
      </c>
      <c r="AS201" s="271"/>
      <c r="AT201" s="271"/>
      <c r="AU201" s="271"/>
      <c r="AV201" s="271"/>
      <c r="AW201" s="271">
        <v>4000000</v>
      </c>
      <c r="AX201" s="271"/>
      <c r="AY201" s="271"/>
      <c r="AZ201" s="271"/>
      <c r="BA201" s="271"/>
      <c r="BB201" s="271"/>
      <c r="BC201" s="271"/>
      <c r="BD201" s="271"/>
      <c r="BE201" s="271"/>
      <c r="BF201" s="271"/>
      <c r="BG201" s="271"/>
      <c r="BH201" s="235">
        <f t="shared" si="53"/>
        <v>4000000</v>
      </c>
      <c r="BI201" s="271"/>
      <c r="BJ201" s="271"/>
      <c r="BK201" s="271"/>
      <c r="BL201" s="271"/>
      <c r="BM201" s="271">
        <v>6800000</v>
      </c>
      <c r="BN201" s="271"/>
      <c r="BO201" s="271"/>
      <c r="BP201" s="271"/>
      <c r="BQ201" s="271"/>
      <c r="BR201" s="271"/>
      <c r="BS201" s="271"/>
      <c r="BT201" s="271"/>
      <c r="BU201" s="271"/>
      <c r="BV201" s="271"/>
      <c r="BW201" s="271"/>
      <c r="BX201" s="235">
        <f t="shared" si="54"/>
        <v>6800000</v>
      </c>
      <c r="BY201" s="271"/>
      <c r="BZ201" s="271"/>
      <c r="CA201" s="271"/>
      <c r="CB201" s="271"/>
      <c r="CC201" s="271">
        <v>4093750</v>
      </c>
      <c r="CD201" s="271"/>
      <c r="CE201" s="271"/>
      <c r="CF201" s="271"/>
      <c r="CG201" s="271"/>
      <c r="CH201" s="271"/>
      <c r="CI201" s="271"/>
      <c r="CJ201" s="271"/>
      <c r="CK201" s="271"/>
      <c r="CL201" s="271"/>
      <c r="CM201" s="271"/>
      <c r="CN201" s="235">
        <f t="shared" si="55"/>
        <v>4093750</v>
      </c>
      <c r="CO201" s="271"/>
      <c r="CP201" s="271"/>
      <c r="CQ201" s="271"/>
      <c r="CR201" s="271"/>
      <c r="CS201" s="271">
        <v>6400000</v>
      </c>
      <c r="CT201" s="271"/>
      <c r="CU201" s="271"/>
      <c r="CV201" s="271"/>
      <c r="CW201" s="271"/>
      <c r="CX201" s="271"/>
      <c r="CY201" s="271"/>
      <c r="CZ201" s="271"/>
      <c r="DA201" s="271"/>
      <c r="DB201" s="271"/>
      <c r="DC201" s="271"/>
      <c r="DD201" s="234">
        <f t="shared" si="56"/>
        <v>6400000</v>
      </c>
      <c r="DE201" s="244">
        <f t="shared" si="57"/>
        <v>21293750</v>
      </c>
    </row>
    <row r="202" spans="1:110" s="98" customFormat="1" ht="103.05" customHeight="1">
      <c r="A202" s="103" t="s">
        <v>1236</v>
      </c>
      <c r="B202" s="279" t="s">
        <v>9</v>
      </c>
      <c r="C202" s="279" t="s">
        <v>1697</v>
      </c>
      <c r="D202" s="279">
        <v>13</v>
      </c>
      <c r="E202" s="279" t="s">
        <v>888</v>
      </c>
      <c r="F202" s="280" t="s">
        <v>337</v>
      </c>
      <c r="G202" s="279" t="s">
        <v>3376</v>
      </c>
      <c r="H202" s="279">
        <v>20</v>
      </c>
      <c r="I202" s="279" t="s">
        <v>889</v>
      </c>
      <c r="J202" s="279" t="s">
        <v>683</v>
      </c>
      <c r="K202" s="104">
        <v>10000</v>
      </c>
      <c r="L202" s="279" t="s">
        <v>890</v>
      </c>
      <c r="M202" s="279" t="s">
        <v>891</v>
      </c>
      <c r="N202" s="279" t="s">
        <v>892</v>
      </c>
      <c r="O202" s="279" t="s">
        <v>893</v>
      </c>
      <c r="P202" s="283">
        <v>184</v>
      </c>
      <c r="Q202" s="279" t="s">
        <v>3377</v>
      </c>
      <c r="R202" s="279" t="s">
        <v>895</v>
      </c>
      <c r="S202" s="279" t="s">
        <v>683</v>
      </c>
      <c r="T202" s="279">
        <v>1</v>
      </c>
      <c r="U202" s="267">
        <v>1</v>
      </c>
      <c r="V202" s="267">
        <v>1</v>
      </c>
      <c r="W202" s="224">
        <v>1</v>
      </c>
      <c r="X202" s="267">
        <v>1</v>
      </c>
      <c r="Y202" s="267">
        <v>1</v>
      </c>
      <c r="Z202" s="267">
        <v>1</v>
      </c>
      <c r="AA202" s="267">
        <v>1</v>
      </c>
      <c r="AB202" s="224">
        <v>1</v>
      </c>
      <c r="AC202" s="267">
        <v>1</v>
      </c>
      <c r="AD202" s="267">
        <v>1</v>
      </c>
      <c r="AE202" s="267">
        <v>1</v>
      </c>
      <c r="AF202" s="267">
        <v>1</v>
      </c>
      <c r="AG202" s="224">
        <v>1</v>
      </c>
      <c r="AH202" s="267">
        <v>1</v>
      </c>
      <c r="AI202" s="267">
        <v>1</v>
      </c>
      <c r="AJ202" s="267">
        <v>1</v>
      </c>
      <c r="AK202" s="267">
        <v>1</v>
      </c>
      <c r="AL202" s="224">
        <v>1</v>
      </c>
      <c r="AM202" s="104">
        <v>1</v>
      </c>
      <c r="AN202" s="103" t="s">
        <v>686</v>
      </c>
      <c r="AO202" s="103" t="s">
        <v>616</v>
      </c>
      <c r="AP202" s="103" t="s">
        <v>1226</v>
      </c>
      <c r="AQ202" s="103" t="s">
        <v>1207</v>
      </c>
      <c r="AR202" s="103" t="s">
        <v>940</v>
      </c>
      <c r="AS202" s="271"/>
      <c r="AT202" s="271"/>
      <c r="AU202" s="271"/>
      <c r="AV202" s="271"/>
      <c r="AW202" s="271">
        <v>2000000</v>
      </c>
      <c r="AX202" s="271"/>
      <c r="AY202" s="271"/>
      <c r="AZ202" s="271"/>
      <c r="BA202" s="271"/>
      <c r="BB202" s="271"/>
      <c r="BC202" s="271"/>
      <c r="BD202" s="271"/>
      <c r="BE202" s="271"/>
      <c r="BF202" s="271"/>
      <c r="BG202" s="271"/>
      <c r="BH202" s="235">
        <f t="shared" si="53"/>
        <v>2000000</v>
      </c>
      <c r="BI202" s="271"/>
      <c r="BJ202" s="271"/>
      <c r="BK202" s="271"/>
      <c r="BL202" s="271"/>
      <c r="BM202" s="271">
        <v>4000000</v>
      </c>
      <c r="BN202" s="271"/>
      <c r="BO202" s="271"/>
      <c r="BP202" s="271"/>
      <c r="BQ202" s="271"/>
      <c r="BR202" s="271"/>
      <c r="BS202" s="271"/>
      <c r="BT202" s="271"/>
      <c r="BU202" s="271"/>
      <c r="BV202" s="271"/>
      <c r="BW202" s="271"/>
      <c r="BX202" s="235">
        <f t="shared" si="54"/>
        <v>4000000</v>
      </c>
      <c r="BY202" s="271"/>
      <c r="BZ202" s="271"/>
      <c r="CA202" s="271"/>
      <c r="CB202" s="271"/>
      <c r="CC202" s="271">
        <v>4000000</v>
      </c>
      <c r="CD202" s="271"/>
      <c r="CE202" s="271"/>
      <c r="CF202" s="271"/>
      <c r="CG202" s="271"/>
      <c r="CH202" s="271"/>
      <c r="CI202" s="271"/>
      <c r="CJ202" s="271"/>
      <c r="CK202" s="271"/>
      <c r="CL202" s="271"/>
      <c r="CM202" s="271"/>
      <c r="CN202" s="235">
        <f t="shared" si="55"/>
        <v>4000000</v>
      </c>
      <c r="CO202" s="271"/>
      <c r="CP202" s="271"/>
      <c r="CQ202" s="271"/>
      <c r="CR202" s="271"/>
      <c r="CS202" s="271">
        <v>4350000</v>
      </c>
      <c r="CT202" s="271"/>
      <c r="CU202" s="271"/>
      <c r="CV202" s="271"/>
      <c r="CW202" s="271"/>
      <c r="CX202" s="271"/>
      <c r="CY202" s="271"/>
      <c r="CZ202" s="271"/>
      <c r="DA202" s="271"/>
      <c r="DB202" s="271"/>
      <c r="DC202" s="271"/>
      <c r="DD202" s="234">
        <f t="shared" si="56"/>
        <v>4350000</v>
      </c>
      <c r="DE202" s="244">
        <f t="shared" si="57"/>
        <v>14350000</v>
      </c>
    </row>
    <row r="203" spans="1:110" s="98" customFormat="1" ht="103.05" customHeight="1">
      <c r="A203" s="103" t="s">
        <v>1236</v>
      </c>
      <c r="B203" s="279" t="s">
        <v>9</v>
      </c>
      <c r="C203" s="279" t="s">
        <v>1697</v>
      </c>
      <c r="D203" s="279">
        <v>13</v>
      </c>
      <c r="E203" s="279" t="s">
        <v>888</v>
      </c>
      <c r="F203" s="280" t="s">
        <v>337</v>
      </c>
      <c r="G203" s="279" t="s">
        <v>3376</v>
      </c>
      <c r="H203" s="279">
        <v>20</v>
      </c>
      <c r="I203" s="279" t="s">
        <v>889</v>
      </c>
      <c r="J203" s="279" t="s">
        <v>683</v>
      </c>
      <c r="K203" s="104">
        <v>10000</v>
      </c>
      <c r="L203" s="279" t="s">
        <v>890</v>
      </c>
      <c r="M203" s="279" t="s">
        <v>891</v>
      </c>
      <c r="N203" s="279" t="s">
        <v>892</v>
      </c>
      <c r="O203" s="279" t="s">
        <v>893</v>
      </c>
      <c r="P203" s="283">
        <v>185</v>
      </c>
      <c r="Q203" s="279" t="s">
        <v>3378</v>
      </c>
      <c r="R203" s="279" t="s">
        <v>338</v>
      </c>
      <c r="S203" s="279" t="s">
        <v>683</v>
      </c>
      <c r="T203" s="279">
        <v>35</v>
      </c>
      <c r="U203" s="267">
        <v>15</v>
      </c>
      <c r="V203" s="267">
        <v>20</v>
      </c>
      <c r="W203" s="224">
        <v>35</v>
      </c>
      <c r="X203" s="267">
        <v>5</v>
      </c>
      <c r="Y203" s="267">
        <v>10</v>
      </c>
      <c r="Z203" s="267">
        <v>10</v>
      </c>
      <c r="AA203" s="267">
        <v>10</v>
      </c>
      <c r="AB203" s="224">
        <v>35</v>
      </c>
      <c r="AC203" s="267">
        <v>5</v>
      </c>
      <c r="AD203" s="267">
        <v>10</v>
      </c>
      <c r="AE203" s="267">
        <v>10</v>
      </c>
      <c r="AF203" s="267">
        <v>10</v>
      </c>
      <c r="AG203" s="224">
        <v>35</v>
      </c>
      <c r="AH203" s="267">
        <v>10</v>
      </c>
      <c r="AI203" s="267">
        <v>15</v>
      </c>
      <c r="AJ203" s="267">
        <v>10</v>
      </c>
      <c r="AK203" s="267"/>
      <c r="AL203" s="224">
        <v>35</v>
      </c>
      <c r="AM203" s="104">
        <v>35</v>
      </c>
      <c r="AN203" s="103" t="s">
        <v>686</v>
      </c>
      <c r="AO203" s="103" t="s">
        <v>616</v>
      </c>
      <c r="AP203" s="103" t="s">
        <v>1226</v>
      </c>
      <c r="AQ203" s="103" t="s">
        <v>1207</v>
      </c>
      <c r="AR203" s="103" t="s">
        <v>940</v>
      </c>
      <c r="AS203" s="271"/>
      <c r="AT203" s="271"/>
      <c r="AU203" s="271"/>
      <c r="AV203" s="271"/>
      <c r="AW203" s="271">
        <v>2000000</v>
      </c>
      <c r="AX203" s="271"/>
      <c r="AY203" s="271"/>
      <c r="AZ203" s="271"/>
      <c r="BA203" s="271"/>
      <c r="BB203" s="271"/>
      <c r="BC203" s="271"/>
      <c r="BD203" s="271"/>
      <c r="BE203" s="271"/>
      <c r="BF203" s="271"/>
      <c r="BG203" s="271"/>
      <c r="BH203" s="235">
        <f t="shared" si="53"/>
        <v>2000000</v>
      </c>
      <c r="BI203" s="271"/>
      <c r="BJ203" s="271"/>
      <c r="BK203" s="271"/>
      <c r="BL203" s="271"/>
      <c r="BM203" s="271">
        <v>4000000</v>
      </c>
      <c r="BN203" s="271"/>
      <c r="BO203" s="271"/>
      <c r="BP203" s="271"/>
      <c r="BQ203" s="271"/>
      <c r="BR203" s="271"/>
      <c r="BS203" s="271"/>
      <c r="BT203" s="271"/>
      <c r="BU203" s="271"/>
      <c r="BV203" s="271"/>
      <c r="BW203" s="271"/>
      <c r="BX203" s="235">
        <f t="shared" si="54"/>
        <v>4000000</v>
      </c>
      <c r="BY203" s="271"/>
      <c r="BZ203" s="271"/>
      <c r="CA203" s="271"/>
      <c r="CB203" s="271"/>
      <c r="CC203" s="271">
        <v>4756250</v>
      </c>
      <c r="CD203" s="271"/>
      <c r="CE203" s="271"/>
      <c r="CF203" s="271"/>
      <c r="CG203" s="271"/>
      <c r="CH203" s="271"/>
      <c r="CI203" s="271"/>
      <c r="CJ203" s="271"/>
      <c r="CK203" s="271"/>
      <c r="CL203" s="271"/>
      <c r="CM203" s="271"/>
      <c r="CN203" s="235">
        <f t="shared" si="55"/>
        <v>4756250</v>
      </c>
      <c r="CO203" s="271"/>
      <c r="CP203" s="271"/>
      <c r="CQ203" s="271"/>
      <c r="CR203" s="271"/>
      <c r="CS203" s="271">
        <v>4350000</v>
      </c>
      <c r="CT203" s="271"/>
      <c r="CU203" s="271"/>
      <c r="CV203" s="271"/>
      <c r="CW203" s="271"/>
      <c r="CX203" s="271"/>
      <c r="CY203" s="271"/>
      <c r="CZ203" s="271"/>
      <c r="DA203" s="271"/>
      <c r="DB203" s="271"/>
      <c r="DC203" s="271"/>
      <c r="DD203" s="234">
        <f t="shared" si="56"/>
        <v>4350000</v>
      </c>
      <c r="DE203" s="244">
        <f t="shared" si="57"/>
        <v>15106250</v>
      </c>
    </row>
    <row r="204" spans="1:110" s="98" customFormat="1" ht="103.05" customHeight="1">
      <c r="A204" s="103" t="s">
        <v>1236</v>
      </c>
      <c r="B204" s="279" t="s">
        <v>9</v>
      </c>
      <c r="C204" s="279" t="s">
        <v>1697</v>
      </c>
      <c r="D204" s="279">
        <v>13</v>
      </c>
      <c r="E204" s="279" t="s">
        <v>888</v>
      </c>
      <c r="F204" s="280" t="s">
        <v>337</v>
      </c>
      <c r="G204" s="279" t="s">
        <v>3376</v>
      </c>
      <c r="H204" s="279">
        <v>20</v>
      </c>
      <c r="I204" s="279" t="s">
        <v>889</v>
      </c>
      <c r="J204" s="279" t="s">
        <v>683</v>
      </c>
      <c r="K204" s="104">
        <v>10000</v>
      </c>
      <c r="L204" s="279" t="s">
        <v>890</v>
      </c>
      <c r="M204" s="279" t="s">
        <v>891</v>
      </c>
      <c r="N204" s="279" t="s">
        <v>892</v>
      </c>
      <c r="O204" s="279" t="s">
        <v>893</v>
      </c>
      <c r="P204" s="283">
        <v>186</v>
      </c>
      <c r="Q204" s="279" t="s">
        <v>3503</v>
      </c>
      <c r="R204" s="279" t="s">
        <v>338</v>
      </c>
      <c r="S204" s="279" t="s">
        <v>683</v>
      </c>
      <c r="T204" s="279">
        <v>35</v>
      </c>
      <c r="U204" s="267"/>
      <c r="V204" s="267"/>
      <c r="W204" s="224">
        <v>0</v>
      </c>
      <c r="X204" s="267">
        <v>3</v>
      </c>
      <c r="Y204" s="267">
        <v>3</v>
      </c>
      <c r="Z204" s="267">
        <v>3</v>
      </c>
      <c r="AA204" s="267">
        <v>3</v>
      </c>
      <c r="AB204" s="224">
        <v>12</v>
      </c>
      <c r="AC204" s="267">
        <v>3</v>
      </c>
      <c r="AD204" s="267">
        <v>3</v>
      </c>
      <c r="AE204" s="267">
        <v>3</v>
      </c>
      <c r="AF204" s="267">
        <v>3</v>
      </c>
      <c r="AG204" s="224">
        <v>12</v>
      </c>
      <c r="AH204" s="267">
        <v>2</v>
      </c>
      <c r="AI204" s="267">
        <v>3</v>
      </c>
      <c r="AJ204" s="267">
        <v>1</v>
      </c>
      <c r="AK204" s="267"/>
      <c r="AL204" s="224">
        <v>6</v>
      </c>
      <c r="AM204" s="104">
        <v>30</v>
      </c>
      <c r="AN204" s="103" t="s">
        <v>685</v>
      </c>
      <c r="AO204" s="103" t="s">
        <v>616</v>
      </c>
      <c r="AP204" s="103" t="s">
        <v>1226</v>
      </c>
      <c r="AQ204" s="103" t="s">
        <v>1207</v>
      </c>
      <c r="AR204" s="103" t="s">
        <v>940</v>
      </c>
      <c r="AS204" s="271"/>
      <c r="AT204" s="271"/>
      <c r="AU204" s="271"/>
      <c r="AV204" s="271"/>
      <c r="AW204" s="271"/>
      <c r="AX204" s="271"/>
      <c r="AY204" s="271"/>
      <c r="AZ204" s="271"/>
      <c r="BA204" s="271"/>
      <c r="BB204" s="271"/>
      <c r="BC204" s="271"/>
      <c r="BD204" s="271"/>
      <c r="BE204" s="271"/>
      <c r="BF204" s="271"/>
      <c r="BG204" s="271"/>
      <c r="BH204" s="235">
        <f t="shared" si="53"/>
        <v>0</v>
      </c>
      <c r="BI204" s="271"/>
      <c r="BJ204" s="271"/>
      <c r="BK204" s="271"/>
      <c r="BL204" s="271"/>
      <c r="BM204" s="271">
        <v>5000000</v>
      </c>
      <c r="BN204" s="271"/>
      <c r="BO204" s="271"/>
      <c r="BP204" s="271"/>
      <c r="BQ204" s="271"/>
      <c r="BR204" s="271"/>
      <c r="BS204" s="271"/>
      <c r="BT204" s="271"/>
      <c r="BU204" s="271"/>
      <c r="BV204" s="271"/>
      <c r="BW204" s="271"/>
      <c r="BX204" s="235">
        <f t="shared" si="54"/>
        <v>5000000</v>
      </c>
      <c r="BY204" s="271"/>
      <c r="BZ204" s="271"/>
      <c r="CA204" s="271"/>
      <c r="CB204" s="271"/>
      <c r="CC204" s="271">
        <v>4756250</v>
      </c>
      <c r="CD204" s="271"/>
      <c r="CE204" s="271"/>
      <c r="CF204" s="271"/>
      <c r="CG204" s="271"/>
      <c r="CH204" s="271"/>
      <c r="CI204" s="271"/>
      <c r="CJ204" s="271"/>
      <c r="CK204" s="271"/>
      <c r="CL204" s="271"/>
      <c r="CM204" s="271"/>
      <c r="CN204" s="235">
        <f t="shared" si="55"/>
        <v>4756250</v>
      </c>
      <c r="CO204" s="271"/>
      <c r="CP204" s="271"/>
      <c r="CQ204" s="271"/>
      <c r="CR204" s="271"/>
      <c r="CS204" s="271">
        <v>4700000</v>
      </c>
      <c r="CT204" s="271"/>
      <c r="CU204" s="271"/>
      <c r="CV204" s="271"/>
      <c r="CW204" s="271"/>
      <c r="CX204" s="271"/>
      <c r="CY204" s="271"/>
      <c r="CZ204" s="271"/>
      <c r="DA204" s="271"/>
      <c r="DB204" s="271"/>
      <c r="DC204" s="271"/>
      <c r="DD204" s="234">
        <f t="shared" si="56"/>
        <v>4700000</v>
      </c>
      <c r="DE204" s="244">
        <f t="shared" si="57"/>
        <v>14456250</v>
      </c>
    </row>
    <row r="205" spans="1:110" s="98" customFormat="1" ht="103.05" customHeight="1">
      <c r="A205" s="103" t="s">
        <v>1236</v>
      </c>
      <c r="B205" s="279" t="s">
        <v>9</v>
      </c>
      <c r="C205" s="279" t="s">
        <v>1697</v>
      </c>
      <c r="D205" s="279">
        <v>13</v>
      </c>
      <c r="E205" s="279" t="s">
        <v>888</v>
      </c>
      <c r="F205" s="280" t="s">
        <v>337</v>
      </c>
      <c r="G205" s="279" t="s">
        <v>3376</v>
      </c>
      <c r="H205" s="279">
        <v>20</v>
      </c>
      <c r="I205" s="279" t="s">
        <v>889</v>
      </c>
      <c r="J205" s="279" t="s">
        <v>683</v>
      </c>
      <c r="K205" s="104">
        <v>10000</v>
      </c>
      <c r="L205" s="279" t="s">
        <v>890</v>
      </c>
      <c r="M205" s="279" t="s">
        <v>891</v>
      </c>
      <c r="N205" s="279" t="s">
        <v>892</v>
      </c>
      <c r="O205" s="279" t="s">
        <v>893</v>
      </c>
      <c r="P205" s="283">
        <v>187</v>
      </c>
      <c r="Q205" s="279" t="s">
        <v>3379</v>
      </c>
      <c r="R205" s="279" t="s">
        <v>896</v>
      </c>
      <c r="S205" s="279" t="s">
        <v>683</v>
      </c>
      <c r="T205" s="279">
        <v>30</v>
      </c>
      <c r="U205" s="267">
        <v>15</v>
      </c>
      <c r="V205" s="267">
        <v>15</v>
      </c>
      <c r="W205" s="224">
        <v>30</v>
      </c>
      <c r="X205" s="267">
        <v>5</v>
      </c>
      <c r="Y205" s="267">
        <v>10</v>
      </c>
      <c r="Z205" s="267">
        <v>10</v>
      </c>
      <c r="AA205" s="267">
        <v>5</v>
      </c>
      <c r="AB205" s="224">
        <v>30</v>
      </c>
      <c r="AC205" s="267">
        <v>5</v>
      </c>
      <c r="AD205" s="267">
        <v>10</v>
      </c>
      <c r="AE205" s="267">
        <v>10</v>
      </c>
      <c r="AF205" s="267">
        <v>5</v>
      </c>
      <c r="AG205" s="224">
        <v>30</v>
      </c>
      <c r="AH205" s="267">
        <v>5</v>
      </c>
      <c r="AI205" s="267">
        <v>15</v>
      </c>
      <c r="AJ205" s="267">
        <v>10</v>
      </c>
      <c r="AK205" s="267"/>
      <c r="AL205" s="224">
        <v>30</v>
      </c>
      <c r="AM205" s="104">
        <v>30</v>
      </c>
      <c r="AN205" s="103" t="s">
        <v>686</v>
      </c>
      <c r="AO205" s="103" t="s">
        <v>616</v>
      </c>
      <c r="AP205" s="103" t="s">
        <v>1226</v>
      </c>
      <c r="AQ205" s="103" t="s">
        <v>1207</v>
      </c>
      <c r="AR205" s="103" t="s">
        <v>940</v>
      </c>
      <c r="AS205" s="271"/>
      <c r="AT205" s="271"/>
      <c r="AU205" s="271"/>
      <c r="AV205" s="271"/>
      <c r="AW205" s="271">
        <v>1500000</v>
      </c>
      <c r="AX205" s="271"/>
      <c r="AY205" s="271"/>
      <c r="AZ205" s="271"/>
      <c r="BA205" s="271"/>
      <c r="BB205" s="271"/>
      <c r="BC205" s="271"/>
      <c r="BD205" s="271"/>
      <c r="BE205" s="271"/>
      <c r="BF205" s="271"/>
      <c r="BG205" s="271"/>
      <c r="BH205" s="235">
        <f t="shared" si="53"/>
        <v>1500000</v>
      </c>
      <c r="BI205" s="271"/>
      <c r="BJ205" s="271"/>
      <c r="BK205" s="271"/>
      <c r="BL205" s="271"/>
      <c r="BM205" s="271">
        <v>4000000</v>
      </c>
      <c r="BN205" s="271"/>
      <c r="BO205" s="271"/>
      <c r="BP205" s="271"/>
      <c r="BQ205" s="271"/>
      <c r="BR205" s="271"/>
      <c r="BS205" s="271"/>
      <c r="BT205" s="271"/>
      <c r="BU205" s="271"/>
      <c r="BV205" s="271"/>
      <c r="BW205" s="271"/>
      <c r="BX205" s="235">
        <f t="shared" si="54"/>
        <v>4000000</v>
      </c>
      <c r="BY205" s="271"/>
      <c r="BZ205" s="271"/>
      <c r="CA205" s="271"/>
      <c r="CB205" s="271"/>
      <c r="CC205" s="271">
        <v>4756250</v>
      </c>
      <c r="CD205" s="271"/>
      <c r="CE205" s="271"/>
      <c r="CF205" s="271"/>
      <c r="CG205" s="271"/>
      <c r="CH205" s="271"/>
      <c r="CI205" s="271"/>
      <c r="CJ205" s="271"/>
      <c r="CK205" s="271"/>
      <c r="CL205" s="271"/>
      <c r="CM205" s="271"/>
      <c r="CN205" s="235">
        <f t="shared" si="55"/>
        <v>4756250</v>
      </c>
      <c r="CO205" s="271"/>
      <c r="CP205" s="271"/>
      <c r="CQ205" s="271"/>
      <c r="CR205" s="271"/>
      <c r="CS205" s="271">
        <v>4150000</v>
      </c>
      <c r="CT205" s="271"/>
      <c r="CU205" s="271"/>
      <c r="CV205" s="271"/>
      <c r="CW205" s="271"/>
      <c r="CX205" s="271"/>
      <c r="CY205" s="271"/>
      <c r="CZ205" s="271"/>
      <c r="DA205" s="271"/>
      <c r="DB205" s="271"/>
      <c r="DC205" s="271"/>
      <c r="DD205" s="234">
        <f t="shared" si="56"/>
        <v>4150000</v>
      </c>
      <c r="DE205" s="244">
        <f t="shared" si="57"/>
        <v>14406250</v>
      </c>
    </row>
    <row r="206" spans="1:110" s="98" customFormat="1" ht="103.05" customHeight="1">
      <c r="A206" s="103" t="s">
        <v>1236</v>
      </c>
      <c r="B206" s="279" t="s">
        <v>9</v>
      </c>
      <c r="C206" s="279" t="s">
        <v>1697</v>
      </c>
      <c r="D206" s="279">
        <v>13</v>
      </c>
      <c r="E206" s="279" t="s">
        <v>888</v>
      </c>
      <c r="F206" s="280" t="s">
        <v>337</v>
      </c>
      <c r="G206" s="279" t="s">
        <v>3376</v>
      </c>
      <c r="H206" s="279">
        <v>20</v>
      </c>
      <c r="I206" s="279" t="s">
        <v>889</v>
      </c>
      <c r="J206" s="279" t="s">
        <v>683</v>
      </c>
      <c r="K206" s="104">
        <v>10000</v>
      </c>
      <c r="L206" s="279" t="s">
        <v>890</v>
      </c>
      <c r="M206" s="279" t="s">
        <v>891</v>
      </c>
      <c r="N206" s="279" t="s">
        <v>892</v>
      </c>
      <c r="O206" s="279" t="s">
        <v>893</v>
      </c>
      <c r="P206" s="283">
        <v>188</v>
      </c>
      <c r="Q206" s="279" t="s">
        <v>3380</v>
      </c>
      <c r="R206" s="279" t="s">
        <v>896</v>
      </c>
      <c r="S206" s="279" t="s">
        <v>683</v>
      </c>
      <c r="T206" s="279">
        <v>30</v>
      </c>
      <c r="U206" s="267"/>
      <c r="V206" s="267">
        <v>1</v>
      </c>
      <c r="W206" s="224">
        <v>1</v>
      </c>
      <c r="X206" s="267">
        <v>2</v>
      </c>
      <c r="Y206" s="267">
        <v>2</v>
      </c>
      <c r="Z206" s="267">
        <v>1</v>
      </c>
      <c r="AA206" s="267">
        <v>1</v>
      </c>
      <c r="AB206" s="224">
        <v>6</v>
      </c>
      <c r="AC206" s="267">
        <v>1</v>
      </c>
      <c r="AD206" s="267">
        <v>1</v>
      </c>
      <c r="AE206" s="267">
        <v>1</v>
      </c>
      <c r="AF206" s="267">
        <v>1</v>
      </c>
      <c r="AG206" s="224">
        <v>4</v>
      </c>
      <c r="AH206" s="267">
        <v>2</v>
      </c>
      <c r="AI206" s="267">
        <v>1</v>
      </c>
      <c r="AJ206" s="267">
        <v>1</v>
      </c>
      <c r="AK206" s="267"/>
      <c r="AL206" s="224">
        <v>4</v>
      </c>
      <c r="AM206" s="104">
        <v>15</v>
      </c>
      <c r="AN206" s="103" t="s">
        <v>685</v>
      </c>
      <c r="AO206" s="103" t="s">
        <v>616</v>
      </c>
      <c r="AP206" s="103" t="s">
        <v>1226</v>
      </c>
      <c r="AQ206" s="103" t="s">
        <v>1207</v>
      </c>
      <c r="AR206" s="103" t="s">
        <v>940</v>
      </c>
      <c r="AS206" s="271"/>
      <c r="AT206" s="271"/>
      <c r="AU206" s="271"/>
      <c r="AV206" s="271"/>
      <c r="AW206" s="271">
        <v>1500000</v>
      </c>
      <c r="AX206" s="271"/>
      <c r="AY206" s="271"/>
      <c r="AZ206" s="271"/>
      <c r="BA206" s="271"/>
      <c r="BB206" s="271"/>
      <c r="BC206" s="271"/>
      <c r="BD206" s="271"/>
      <c r="BE206" s="271"/>
      <c r="BF206" s="271"/>
      <c r="BG206" s="271"/>
      <c r="BH206" s="235">
        <f t="shared" si="53"/>
        <v>1500000</v>
      </c>
      <c r="BI206" s="271"/>
      <c r="BJ206" s="271"/>
      <c r="BK206" s="271"/>
      <c r="BL206" s="271"/>
      <c r="BM206" s="271">
        <v>4000000</v>
      </c>
      <c r="BN206" s="271"/>
      <c r="BO206" s="271"/>
      <c r="BP206" s="271"/>
      <c r="BQ206" s="271"/>
      <c r="BR206" s="271"/>
      <c r="BS206" s="271"/>
      <c r="BT206" s="271"/>
      <c r="BU206" s="271"/>
      <c r="BV206" s="271"/>
      <c r="BW206" s="271"/>
      <c r="BX206" s="235">
        <f t="shared" si="54"/>
        <v>4000000</v>
      </c>
      <c r="BY206" s="271"/>
      <c r="BZ206" s="271"/>
      <c r="CA206" s="271"/>
      <c r="CB206" s="271"/>
      <c r="CC206" s="271">
        <v>4756250</v>
      </c>
      <c r="CD206" s="271"/>
      <c r="CE206" s="271"/>
      <c r="CF206" s="271"/>
      <c r="CG206" s="271"/>
      <c r="CH206" s="271"/>
      <c r="CI206" s="271"/>
      <c r="CJ206" s="271"/>
      <c r="CK206" s="271"/>
      <c r="CL206" s="271"/>
      <c r="CM206" s="271"/>
      <c r="CN206" s="235">
        <f t="shared" si="55"/>
        <v>4756250</v>
      </c>
      <c r="CO206" s="271"/>
      <c r="CP206" s="271"/>
      <c r="CQ206" s="271"/>
      <c r="CR206" s="271"/>
      <c r="CS206" s="271">
        <v>4943750</v>
      </c>
      <c r="CT206" s="271"/>
      <c r="CU206" s="271"/>
      <c r="CV206" s="271"/>
      <c r="CW206" s="271"/>
      <c r="CX206" s="271"/>
      <c r="CY206" s="271"/>
      <c r="CZ206" s="271"/>
      <c r="DA206" s="271"/>
      <c r="DB206" s="271"/>
      <c r="DC206" s="271"/>
      <c r="DD206" s="234">
        <f t="shared" si="56"/>
        <v>4943750</v>
      </c>
      <c r="DE206" s="244">
        <f t="shared" si="57"/>
        <v>15200000</v>
      </c>
    </row>
    <row r="207" spans="1:110" s="98" customFormat="1" ht="103.05" customHeight="1">
      <c r="A207" s="103" t="s">
        <v>1236</v>
      </c>
      <c r="B207" s="279" t="s">
        <v>9</v>
      </c>
      <c r="C207" s="279" t="s">
        <v>1697</v>
      </c>
      <c r="D207" s="279">
        <v>13</v>
      </c>
      <c r="E207" s="279" t="s">
        <v>888</v>
      </c>
      <c r="F207" s="280" t="s">
        <v>337</v>
      </c>
      <c r="G207" s="279" t="s">
        <v>3376</v>
      </c>
      <c r="H207" s="279">
        <v>20</v>
      </c>
      <c r="I207" s="279" t="s">
        <v>889</v>
      </c>
      <c r="J207" s="279" t="s">
        <v>683</v>
      </c>
      <c r="K207" s="104">
        <v>10000</v>
      </c>
      <c r="L207" s="279" t="s">
        <v>890</v>
      </c>
      <c r="M207" s="279" t="s">
        <v>891</v>
      </c>
      <c r="N207" s="279" t="s">
        <v>892</v>
      </c>
      <c r="O207" s="279" t="s">
        <v>893</v>
      </c>
      <c r="P207" s="283">
        <v>189</v>
      </c>
      <c r="Q207" s="279" t="s">
        <v>3381</v>
      </c>
      <c r="R207" s="279" t="s">
        <v>897</v>
      </c>
      <c r="S207" s="279" t="s">
        <v>683</v>
      </c>
      <c r="T207" s="279">
        <v>1</v>
      </c>
      <c r="U207" s="267">
        <v>0.5</v>
      </c>
      <c r="V207" s="267">
        <v>0.5</v>
      </c>
      <c r="W207" s="224">
        <v>1</v>
      </c>
      <c r="X207" s="267">
        <v>0.25</v>
      </c>
      <c r="Y207" s="267">
        <v>0.25</v>
      </c>
      <c r="Z207" s="267">
        <v>0.25</v>
      </c>
      <c r="AA207" s="267">
        <v>0.25</v>
      </c>
      <c r="AB207" s="224">
        <v>1</v>
      </c>
      <c r="AC207" s="267">
        <v>0.25</v>
      </c>
      <c r="AD207" s="267">
        <v>0.25</v>
      </c>
      <c r="AE207" s="267">
        <v>0.25</v>
      </c>
      <c r="AF207" s="267">
        <v>0.25</v>
      </c>
      <c r="AG207" s="224">
        <v>1</v>
      </c>
      <c r="AH207" s="267">
        <v>0.25</v>
      </c>
      <c r="AI207" s="267">
        <v>0.25</v>
      </c>
      <c r="AJ207" s="267">
        <v>0.25</v>
      </c>
      <c r="AK207" s="267">
        <v>0.25</v>
      </c>
      <c r="AL207" s="224">
        <v>1</v>
      </c>
      <c r="AM207" s="104">
        <v>1</v>
      </c>
      <c r="AN207" s="103" t="s">
        <v>686</v>
      </c>
      <c r="AO207" s="103" t="s">
        <v>616</v>
      </c>
      <c r="AP207" s="103" t="s">
        <v>1226</v>
      </c>
      <c r="AQ207" s="103" t="s">
        <v>1200</v>
      </c>
      <c r="AR207" s="103" t="s">
        <v>940</v>
      </c>
      <c r="AS207" s="271"/>
      <c r="AT207" s="271"/>
      <c r="AU207" s="271"/>
      <c r="AV207" s="271"/>
      <c r="AW207" s="271">
        <v>3000000</v>
      </c>
      <c r="AX207" s="271"/>
      <c r="AY207" s="271"/>
      <c r="AZ207" s="271"/>
      <c r="BA207" s="271"/>
      <c r="BB207" s="271"/>
      <c r="BC207" s="271"/>
      <c r="BD207" s="271"/>
      <c r="BE207" s="271"/>
      <c r="BF207" s="271"/>
      <c r="BG207" s="271"/>
      <c r="BH207" s="235">
        <f t="shared" si="53"/>
        <v>3000000</v>
      </c>
      <c r="BI207" s="271"/>
      <c r="BJ207" s="271"/>
      <c r="BK207" s="271"/>
      <c r="BL207" s="271"/>
      <c r="BM207" s="271">
        <v>4000000</v>
      </c>
      <c r="BN207" s="271"/>
      <c r="BO207" s="271"/>
      <c r="BP207" s="271"/>
      <c r="BQ207" s="271"/>
      <c r="BR207" s="271"/>
      <c r="BS207" s="271"/>
      <c r="BT207" s="271"/>
      <c r="BU207" s="271"/>
      <c r="BV207" s="271"/>
      <c r="BW207" s="271"/>
      <c r="BX207" s="235">
        <f t="shared" si="54"/>
        <v>4000000</v>
      </c>
      <c r="BY207" s="271"/>
      <c r="BZ207" s="271"/>
      <c r="CA207" s="271"/>
      <c r="CB207" s="271"/>
      <c r="CC207" s="271">
        <f>4951250+2300000</f>
        <v>7251250</v>
      </c>
      <c r="CD207" s="271"/>
      <c r="CE207" s="271"/>
      <c r="CF207" s="271"/>
      <c r="CG207" s="271"/>
      <c r="CH207" s="271"/>
      <c r="CI207" s="271"/>
      <c r="CJ207" s="271"/>
      <c r="CK207" s="271"/>
      <c r="CL207" s="271"/>
      <c r="CM207" s="271"/>
      <c r="CN207" s="235">
        <f t="shared" si="55"/>
        <v>7251250</v>
      </c>
      <c r="CO207" s="271"/>
      <c r="CP207" s="271"/>
      <c r="CQ207" s="271"/>
      <c r="CR207" s="271"/>
      <c r="CS207" s="271">
        <v>4500000</v>
      </c>
      <c r="CT207" s="271"/>
      <c r="CU207" s="271"/>
      <c r="CV207" s="271"/>
      <c r="CW207" s="271"/>
      <c r="CX207" s="271"/>
      <c r="CY207" s="271"/>
      <c r="CZ207" s="271"/>
      <c r="DA207" s="271"/>
      <c r="DB207" s="271"/>
      <c r="DC207" s="271"/>
      <c r="DD207" s="234">
        <f t="shared" si="56"/>
        <v>4500000</v>
      </c>
      <c r="DE207" s="244">
        <f t="shared" si="57"/>
        <v>18751250</v>
      </c>
    </row>
    <row r="208" spans="1:110" s="98" customFormat="1" ht="103.05" customHeight="1">
      <c r="A208" s="103" t="s">
        <v>1236</v>
      </c>
      <c r="B208" s="279" t="s">
        <v>9</v>
      </c>
      <c r="C208" s="279" t="s">
        <v>1697</v>
      </c>
      <c r="D208" s="279">
        <v>13</v>
      </c>
      <c r="E208" s="279" t="s">
        <v>888</v>
      </c>
      <c r="F208" s="280" t="s">
        <v>337</v>
      </c>
      <c r="G208" s="279" t="s">
        <v>3376</v>
      </c>
      <c r="H208" s="279">
        <v>20</v>
      </c>
      <c r="I208" s="279" t="s">
        <v>889</v>
      </c>
      <c r="J208" s="279" t="s">
        <v>683</v>
      </c>
      <c r="K208" s="104">
        <v>10000</v>
      </c>
      <c r="L208" s="279" t="s">
        <v>890</v>
      </c>
      <c r="M208" s="279" t="s">
        <v>891</v>
      </c>
      <c r="N208" s="279" t="s">
        <v>892</v>
      </c>
      <c r="O208" s="279" t="s">
        <v>893</v>
      </c>
      <c r="P208" s="283">
        <v>190</v>
      </c>
      <c r="Q208" s="279" t="s">
        <v>3504</v>
      </c>
      <c r="R208" s="279" t="s">
        <v>898</v>
      </c>
      <c r="S208" s="279" t="s">
        <v>683</v>
      </c>
      <c r="T208" s="279">
        <v>0</v>
      </c>
      <c r="U208" s="267">
        <v>0.1</v>
      </c>
      <c r="V208" s="267">
        <v>0.1</v>
      </c>
      <c r="W208" s="224">
        <v>0.2</v>
      </c>
      <c r="X208" s="267">
        <v>0.3</v>
      </c>
      <c r="Y208" s="267">
        <v>0.5</v>
      </c>
      <c r="Z208" s="267"/>
      <c r="AA208" s="267"/>
      <c r="AB208" s="224">
        <v>0.8</v>
      </c>
      <c r="AC208" s="267"/>
      <c r="AD208" s="267"/>
      <c r="AE208" s="267"/>
      <c r="AF208" s="267"/>
      <c r="AG208" s="224">
        <v>0</v>
      </c>
      <c r="AH208" s="267"/>
      <c r="AI208" s="267"/>
      <c r="AJ208" s="267"/>
      <c r="AK208" s="267"/>
      <c r="AL208" s="224">
        <v>0</v>
      </c>
      <c r="AM208" s="104">
        <v>1</v>
      </c>
      <c r="AN208" s="103" t="s">
        <v>685</v>
      </c>
      <c r="AO208" s="103" t="s">
        <v>616</v>
      </c>
      <c r="AP208" s="103" t="s">
        <v>1226</v>
      </c>
      <c r="AQ208" s="103" t="s">
        <v>1207</v>
      </c>
      <c r="AR208" s="103" t="s">
        <v>940</v>
      </c>
      <c r="AS208" s="271"/>
      <c r="AT208" s="271"/>
      <c r="AU208" s="271"/>
      <c r="AV208" s="271"/>
      <c r="AW208" s="271">
        <v>1000000</v>
      </c>
      <c r="AX208" s="271"/>
      <c r="AY208" s="271"/>
      <c r="AZ208" s="271"/>
      <c r="BA208" s="271"/>
      <c r="BB208" s="271"/>
      <c r="BC208" s="271"/>
      <c r="BD208" s="271"/>
      <c r="BE208" s="271"/>
      <c r="BF208" s="271"/>
      <c r="BG208" s="271"/>
      <c r="BH208" s="235">
        <f t="shared" si="53"/>
        <v>1000000</v>
      </c>
      <c r="BI208" s="271"/>
      <c r="BJ208" s="271"/>
      <c r="BK208" s="271"/>
      <c r="BL208" s="271"/>
      <c r="BM208" s="271">
        <v>3000000</v>
      </c>
      <c r="BN208" s="271"/>
      <c r="BO208" s="271"/>
      <c r="BP208" s="271"/>
      <c r="BQ208" s="271"/>
      <c r="BR208" s="271"/>
      <c r="BS208" s="271"/>
      <c r="BT208" s="271"/>
      <c r="BU208" s="271"/>
      <c r="BV208" s="271"/>
      <c r="BW208" s="271"/>
      <c r="BX208" s="235">
        <f t="shared" si="54"/>
        <v>3000000</v>
      </c>
      <c r="BY208" s="271"/>
      <c r="BZ208" s="271"/>
      <c r="CA208" s="271"/>
      <c r="CB208" s="271"/>
      <c r="CC208" s="271"/>
      <c r="CD208" s="271"/>
      <c r="CE208" s="271"/>
      <c r="CF208" s="271"/>
      <c r="CG208" s="271"/>
      <c r="CH208" s="271"/>
      <c r="CI208" s="271"/>
      <c r="CJ208" s="271"/>
      <c r="CK208" s="271"/>
      <c r="CL208" s="271"/>
      <c r="CM208" s="271"/>
      <c r="CN208" s="235">
        <f t="shared" si="55"/>
        <v>0</v>
      </c>
      <c r="CO208" s="271"/>
      <c r="CP208" s="271"/>
      <c r="CQ208" s="271"/>
      <c r="CR208" s="271"/>
      <c r="CS208" s="271"/>
      <c r="CT208" s="271"/>
      <c r="CU208" s="271"/>
      <c r="CV208" s="271"/>
      <c r="CW208" s="271"/>
      <c r="CX208" s="271"/>
      <c r="CY208" s="271"/>
      <c r="CZ208" s="271"/>
      <c r="DA208" s="271"/>
      <c r="DB208" s="271"/>
      <c r="DC208" s="271"/>
      <c r="DD208" s="234">
        <f t="shared" si="56"/>
        <v>0</v>
      </c>
      <c r="DE208" s="244">
        <f>SUM(DD208+CN208+BX208+BH208)</f>
        <v>4000000</v>
      </c>
    </row>
    <row r="209" spans="1:110" s="98" customFormat="1" ht="103.05" customHeight="1">
      <c r="A209" s="103" t="s">
        <v>1236</v>
      </c>
      <c r="B209" s="279" t="s">
        <v>9</v>
      </c>
      <c r="C209" s="279" t="s">
        <v>1697</v>
      </c>
      <c r="D209" s="279">
        <v>13</v>
      </c>
      <c r="E209" s="279" t="s">
        <v>888</v>
      </c>
      <c r="F209" s="280" t="s">
        <v>337</v>
      </c>
      <c r="G209" s="279" t="s">
        <v>3376</v>
      </c>
      <c r="H209" s="279">
        <v>20</v>
      </c>
      <c r="I209" s="279" t="s">
        <v>889</v>
      </c>
      <c r="J209" s="279" t="s">
        <v>683</v>
      </c>
      <c r="K209" s="104">
        <v>10000</v>
      </c>
      <c r="L209" s="279" t="s">
        <v>890</v>
      </c>
      <c r="M209" s="279" t="s">
        <v>891</v>
      </c>
      <c r="N209" s="279" t="s">
        <v>892</v>
      </c>
      <c r="O209" s="279" t="s">
        <v>893</v>
      </c>
      <c r="P209" s="283">
        <v>191</v>
      </c>
      <c r="Q209" s="279" t="s">
        <v>3505</v>
      </c>
      <c r="R209" s="279" t="s">
        <v>898</v>
      </c>
      <c r="S209" s="279" t="s">
        <v>683</v>
      </c>
      <c r="T209" s="279">
        <v>1</v>
      </c>
      <c r="U209" s="267"/>
      <c r="V209" s="287"/>
      <c r="W209" s="224">
        <v>0</v>
      </c>
      <c r="X209" s="287"/>
      <c r="Y209" s="287"/>
      <c r="Z209" s="287">
        <v>0.5</v>
      </c>
      <c r="AA209" s="287">
        <v>0.5</v>
      </c>
      <c r="AB209" s="224">
        <v>1</v>
      </c>
      <c r="AC209" s="287">
        <v>0.25</v>
      </c>
      <c r="AD209" s="287">
        <v>0.25</v>
      </c>
      <c r="AE209" s="287">
        <v>0.25</v>
      </c>
      <c r="AF209" s="287">
        <v>0.25</v>
      </c>
      <c r="AG209" s="224">
        <v>1</v>
      </c>
      <c r="AH209" s="287">
        <v>0.25</v>
      </c>
      <c r="AI209" s="287">
        <v>0.25</v>
      </c>
      <c r="AJ209" s="287">
        <v>0.25</v>
      </c>
      <c r="AK209" s="287">
        <v>0.25</v>
      </c>
      <c r="AL209" s="224">
        <v>1</v>
      </c>
      <c r="AM209" s="104">
        <v>1</v>
      </c>
      <c r="AN209" s="103" t="s">
        <v>686</v>
      </c>
      <c r="AO209" s="103" t="s">
        <v>616</v>
      </c>
      <c r="AP209" s="103" t="s">
        <v>1226</v>
      </c>
      <c r="AQ209" s="103" t="s">
        <v>1207</v>
      </c>
      <c r="AR209" s="103" t="s">
        <v>940</v>
      </c>
      <c r="AS209" s="271"/>
      <c r="AT209" s="271"/>
      <c r="AU209" s="271"/>
      <c r="AV209" s="271"/>
      <c r="AW209" s="271"/>
      <c r="AX209" s="271"/>
      <c r="AY209" s="271"/>
      <c r="AZ209" s="271"/>
      <c r="BA209" s="271"/>
      <c r="BB209" s="271"/>
      <c r="BC209" s="271"/>
      <c r="BD209" s="271"/>
      <c r="BE209" s="271"/>
      <c r="BF209" s="271"/>
      <c r="BG209" s="271"/>
      <c r="BH209" s="235">
        <f t="shared" si="53"/>
        <v>0</v>
      </c>
      <c r="BI209" s="271"/>
      <c r="BJ209" s="271"/>
      <c r="BK209" s="271"/>
      <c r="BL209" s="271"/>
      <c r="BM209" s="271">
        <v>3000000</v>
      </c>
      <c r="BN209" s="271"/>
      <c r="BO209" s="271"/>
      <c r="BP209" s="271"/>
      <c r="BQ209" s="271"/>
      <c r="BR209" s="271"/>
      <c r="BS209" s="271"/>
      <c r="BT209" s="271"/>
      <c r="BU209" s="271"/>
      <c r="BV209" s="271"/>
      <c r="BW209" s="271"/>
      <c r="BX209" s="235">
        <f t="shared" si="54"/>
        <v>3000000</v>
      </c>
      <c r="BY209" s="271"/>
      <c r="BZ209" s="271"/>
      <c r="CA209" s="271"/>
      <c r="CB209" s="271"/>
      <c r="CC209" s="271">
        <v>4764250</v>
      </c>
      <c r="CD209" s="271"/>
      <c r="CE209" s="271"/>
      <c r="CF209" s="271"/>
      <c r="CG209" s="271"/>
      <c r="CH209" s="271"/>
      <c r="CI209" s="271"/>
      <c r="CJ209" s="271"/>
      <c r="CK209" s="271"/>
      <c r="CL209" s="271"/>
      <c r="CM209" s="271"/>
      <c r="CN209" s="235">
        <f t="shared" si="55"/>
        <v>4764250</v>
      </c>
      <c r="CO209" s="271"/>
      <c r="CP209" s="271"/>
      <c r="CQ209" s="271"/>
      <c r="CR209" s="271"/>
      <c r="CS209" s="271">
        <v>4300000</v>
      </c>
      <c r="CT209" s="271"/>
      <c r="CU209" s="271"/>
      <c r="CV209" s="271"/>
      <c r="CW209" s="271"/>
      <c r="CX209" s="271"/>
      <c r="CY209" s="271"/>
      <c r="CZ209" s="271"/>
      <c r="DA209" s="271"/>
      <c r="DB209" s="271"/>
      <c r="DC209" s="271"/>
      <c r="DD209" s="234">
        <f t="shared" si="56"/>
        <v>4300000</v>
      </c>
      <c r="DE209" s="244">
        <f t="shared" si="57"/>
        <v>12064250</v>
      </c>
    </row>
    <row r="210" spans="1:110" s="98" customFormat="1" ht="103.05" customHeight="1">
      <c r="A210" s="103" t="s">
        <v>1236</v>
      </c>
      <c r="B210" s="279" t="s">
        <v>9</v>
      </c>
      <c r="C210" s="279" t="s">
        <v>1697</v>
      </c>
      <c r="D210" s="279">
        <v>13</v>
      </c>
      <c r="E210" s="279" t="s">
        <v>888</v>
      </c>
      <c r="F210" s="280" t="s">
        <v>337</v>
      </c>
      <c r="G210" s="279" t="s">
        <v>3376</v>
      </c>
      <c r="H210" s="279">
        <v>20</v>
      </c>
      <c r="I210" s="279" t="s">
        <v>889</v>
      </c>
      <c r="J210" s="279" t="s">
        <v>683</v>
      </c>
      <c r="K210" s="104">
        <v>10000</v>
      </c>
      <c r="L210" s="279" t="s">
        <v>890</v>
      </c>
      <c r="M210" s="279">
        <v>13.2</v>
      </c>
      <c r="N210" s="279" t="s">
        <v>899</v>
      </c>
      <c r="O210" s="279" t="s">
        <v>339</v>
      </c>
      <c r="P210" s="283">
        <v>192</v>
      </c>
      <c r="Q210" s="279" t="s">
        <v>3506</v>
      </c>
      <c r="R210" s="279" t="s">
        <v>900</v>
      </c>
      <c r="S210" s="279" t="s">
        <v>683</v>
      </c>
      <c r="T210" s="279">
        <v>0</v>
      </c>
      <c r="U210" s="267">
        <v>0.2</v>
      </c>
      <c r="V210" s="267">
        <v>0.3</v>
      </c>
      <c r="W210" s="224">
        <v>0.5</v>
      </c>
      <c r="X210" s="267">
        <v>0.1</v>
      </c>
      <c r="Y210" s="267">
        <v>0.2</v>
      </c>
      <c r="Z210" s="267">
        <v>0.2</v>
      </c>
      <c r="AA210" s="267"/>
      <c r="AB210" s="224">
        <v>0.5</v>
      </c>
      <c r="AC210" s="267"/>
      <c r="AD210" s="267"/>
      <c r="AE210" s="267"/>
      <c r="AF210" s="267"/>
      <c r="AG210" s="224">
        <v>0</v>
      </c>
      <c r="AH210" s="267"/>
      <c r="AI210" s="267"/>
      <c r="AJ210" s="267"/>
      <c r="AK210" s="267"/>
      <c r="AL210" s="224">
        <v>0</v>
      </c>
      <c r="AM210" s="104">
        <v>1</v>
      </c>
      <c r="AN210" s="103" t="s">
        <v>685</v>
      </c>
      <c r="AO210" s="103" t="s">
        <v>616</v>
      </c>
      <c r="AP210" s="103" t="s">
        <v>1226</v>
      </c>
      <c r="AQ210" s="103" t="s">
        <v>1207</v>
      </c>
      <c r="AR210" s="103" t="s">
        <v>940</v>
      </c>
      <c r="AS210" s="271"/>
      <c r="AT210" s="271"/>
      <c r="AU210" s="271"/>
      <c r="AV210" s="271"/>
      <c r="AW210" s="271">
        <v>2000000</v>
      </c>
      <c r="AX210" s="271"/>
      <c r="AY210" s="271"/>
      <c r="AZ210" s="271"/>
      <c r="BA210" s="271"/>
      <c r="BB210" s="271"/>
      <c r="BC210" s="271"/>
      <c r="BD210" s="271"/>
      <c r="BE210" s="271"/>
      <c r="BF210" s="271"/>
      <c r="BG210" s="271"/>
      <c r="BH210" s="235">
        <f t="shared" si="53"/>
        <v>2000000</v>
      </c>
      <c r="BI210" s="271"/>
      <c r="BJ210" s="271"/>
      <c r="BK210" s="271"/>
      <c r="BL210" s="271"/>
      <c r="BM210" s="271">
        <v>3000000</v>
      </c>
      <c r="BN210" s="271"/>
      <c r="BO210" s="271"/>
      <c r="BP210" s="271"/>
      <c r="BQ210" s="271"/>
      <c r="BR210" s="271"/>
      <c r="BS210" s="271"/>
      <c r="BT210" s="271"/>
      <c r="BU210" s="271"/>
      <c r="BV210" s="271"/>
      <c r="BW210" s="271"/>
      <c r="BX210" s="235">
        <f t="shared" si="54"/>
        <v>3000000</v>
      </c>
      <c r="BY210" s="271"/>
      <c r="BZ210" s="271"/>
      <c r="CA210" s="271"/>
      <c r="CB210" s="271"/>
      <c r="CC210" s="271"/>
      <c r="CD210" s="271"/>
      <c r="CE210" s="271"/>
      <c r="CF210" s="271"/>
      <c r="CG210" s="271"/>
      <c r="CH210" s="271"/>
      <c r="CI210" s="271"/>
      <c r="CJ210" s="271"/>
      <c r="CK210" s="271"/>
      <c r="CL210" s="271"/>
      <c r="CM210" s="271"/>
      <c r="CN210" s="235">
        <f t="shared" si="55"/>
        <v>0</v>
      </c>
      <c r="CO210" s="271"/>
      <c r="CP210" s="271"/>
      <c r="CQ210" s="271"/>
      <c r="CR210" s="271"/>
      <c r="CS210" s="271"/>
      <c r="CT210" s="271"/>
      <c r="CU210" s="271"/>
      <c r="CV210" s="271"/>
      <c r="CW210" s="271"/>
      <c r="CX210" s="271"/>
      <c r="CY210" s="271"/>
      <c r="CZ210" s="271"/>
      <c r="DA210" s="271"/>
      <c r="DB210" s="271"/>
      <c r="DC210" s="271"/>
      <c r="DD210" s="234">
        <f t="shared" si="56"/>
        <v>0</v>
      </c>
      <c r="DE210" s="244">
        <f>SUM(DD210+CN210+BX210+BH210)</f>
        <v>5000000</v>
      </c>
    </row>
    <row r="211" spans="1:110" s="98" customFormat="1" ht="103.05" customHeight="1">
      <c r="A211" s="103" t="s">
        <v>1236</v>
      </c>
      <c r="B211" s="279" t="s">
        <v>9</v>
      </c>
      <c r="C211" s="279" t="s">
        <v>1697</v>
      </c>
      <c r="D211" s="279">
        <v>13</v>
      </c>
      <c r="E211" s="279" t="s">
        <v>888</v>
      </c>
      <c r="F211" s="280" t="s">
        <v>337</v>
      </c>
      <c r="G211" s="279" t="s">
        <v>3376</v>
      </c>
      <c r="H211" s="279">
        <v>20</v>
      </c>
      <c r="I211" s="279" t="s">
        <v>889</v>
      </c>
      <c r="J211" s="279" t="s">
        <v>683</v>
      </c>
      <c r="K211" s="104">
        <v>10000</v>
      </c>
      <c r="L211" s="279" t="s">
        <v>890</v>
      </c>
      <c r="M211" s="279">
        <v>13.2</v>
      </c>
      <c r="N211" s="279" t="s">
        <v>899</v>
      </c>
      <c r="O211" s="279" t="s">
        <v>339</v>
      </c>
      <c r="P211" s="283">
        <v>193</v>
      </c>
      <c r="Q211" s="279" t="s">
        <v>2710</v>
      </c>
      <c r="R211" s="279" t="s">
        <v>900</v>
      </c>
      <c r="S211" s="279" t="s">
        <v>683</v>
      </c>
      <c r="T211" s="279">
        <v>1</v>
      </c>
      <c r="U211" s="267"/>
      <c r="V211" s="287"/>
      <c r="W211" s="224">
        <v>0</v>
      </c>
      <c r="X211" s="287"/>
      <c r="Y211" s="287"/>
      <c r="Z211" s="287"/>
      <c r="AA211" s="287">
        <v>1</v>
      </c>
      <c r="AB211" s="224">
        <v>1</v>
      </c>
      <c r="AC211" s="287">
        <v>1</v>
      </c>
      <c r="AD211" s="287">
        <v>1</v>
      </c>
      <c r="AE211" s="287">
        <v>1</v>
      </c>
      <c r="AF211" s="287">
        <v>1</v>
      </c>
      <c r="AG211" s="224">
        <v>1</v>
      </c>
      <c r="AH211" s="287">
        <v>1</v>
      </c>
      <c r="AI211" s="287">
        <v>1</v>
      </c>
      <c r="AJ211" s="287">
        <v>1</v>
      </c>
      <c r="AK211" s="287">
        <v>1</v>
      </c>
      <c r="AL211" s="224">
        <v>1</v>
      </c>
      <c r="AM211" s="104">
        <v>1</v>
      </c>
      <c r="AN211" s="103" t="s">
        <v>686</v>
      </c>
      <c r="AO211" s="103" t="s">
        <v>616</v>
      </c>
      <c r="AP211" s="103" t="s">
        <v>1226</v>
      </c>
      <c r="AQ211" s="103" t="s">
        <v>1207</v>
      </c>
      <c r="AR211" s="103" t="s">
        <v>940</v>
      </c>
      <c r="AS211" s="271"/>
      <c r="AT211" s="271"/>
      <c r="AU211" s="271"/>
      <c r="AV211" s="271"/>
      <c r="AW211" s="271"/>
      <c r="AX211" s="271"/>
      <c r="AY211" s="271"/>
      <c r="AZ211" s="271"/>
      <c r="BA211" s="271"/>
      <c r="BB211" s="271"/>
      <c r="BC211" s="271"/>
      <c r="BD211" s="271"/>
      <c r="BE211" s="271"/>
      <c r="BF211" s="271"/>
      <c r="BG211" s="271"/>
      <c r="BH211" s="235">
        <f t="shared" si="53"/>
        <v>0</v>
      </c>
      <c r="BI211" s="271"/>
      <c r="BJ211" s="271"/>
      <c r="BK211" s="271"/>
      <c r="BL211" s="271"/>
      <c r="BM211" s="271">
        <v>4000000</v>
      </c>
      <c r="BN211" s="271"/>
      <c r="BO211" s="271"/>
      <c r="BP211" s="271"/>
      <c r="BQ211" s="271"/>
      <c r="BR211" s="271"/>
      <c r="BS211" s="271"/>
      <c r="BT211" s="271"/>
      <c r="BU211" s="271"/>
      <c r="BV211" s="271"/>
      <c r="BW211" s="271"/>
      <c r="BX211" s="235">
        <f t="shared" si="54"/>
        <v>4000000</v>
      </c>
      <c r="BY211" s="271"/>
      <c r="BZ211" s="271"/>
      <c r="CA211" s="271"/>
      <c r="CB211" s="271"/>
      <c r="CC211" s="271">
        <v>5000000</v>
      </c>
      <c r="CD211" s="271"/>
      <c r="CE211" s="271"/>
      <c r="CF211" s="271"/>
      <c r="CG211" s="271"/>
      <c r="CH211" s="271"/>
      <c r="CI211" s="271"/>
      <c r="CJ211" s="271"/>
      <c r="CK211" s="271"/>
      <c r="CL211" s="271"/>
      <c r="CM211" s="271"/>
      <c r="CN211" s="235">
        <f t="shared" si="55"/>
        <v>5000000</v>
      </c>
      <c r="CO211" s="271"/>
      <c r="CP211" s="271"/>
      <c r="CQ211" s="271"/>
      <c r="CR211" s="271"/>
      <c r="CS211" s="271">
        <v>4400000</v>
      </c>
      <c r="CT211" s="271"/>
      <c r="CU211" s="271"/>
      <c r="CV211" s="271"/>
      <c r="CW211" s="271"/>
      <c r="CX211" s="271"/>
      <c r="CY211" s="271"/>
      <c r="CZ211" s="271"/>
      <c r="DA211" s="271"/>
      <c r="DB211" s="271"/>
      <c r="DC211" s="271"/>
      <c r="DD211" s="234">
        <f t="shared" si="56"/>
        <v>4400000</v>
      </c>
      <c r="DE211" s="244">
        <f t="shared" si="57"/>
        <v>13400000</v>
      </c>
    </row>
    <row r="212" spans="1:110" s="98" customFormat="1" ht="103.05" customHeight="1">
      <c r="A212" s="103" t="s">
        <v>1236</v>
      </c>
      <c r="B212" s="279" t="s">
        <v>9</v>
      </c>
      <c r="C212" s="279" t="s">
        <v>1697</v>
      </c>
      <c r="D212" s="279">
        <v>13</v>
      </c>
      <c r="E212" s="279" t="s">
        <v>888</v>
      </c>
      <c r="F212" s="280" t="s">
        <v>337</v>
      </c>
      <c r="G212" s="279" t="s">
        <v>3376</v>
      </c>
      <c r="H212" s="279">
        <v>20</v>
      </c>
      <c r="I212" s="279" t="s">
        <v>889</v>
      </c>
      <c r="J212" s="279" t="s">
        <v>683</v>
      </c>
      <c r="K212" s="104">
        <v>10000</v>
      </c>
      <c r="L212" s="279" t="s">
        <v>890</v>
      </c>
      <c r="M212" s="279">
        <v>13.2</v>
      </c>
      <c r="N212" s="279" t="s">
        <v>899</v>
      </c>
      <c r="O212" s="279" t="s">
        <v>339</v>
      </c>
      <c r="P212" s="283">
        <v>194</v>
      </c>
      <c r="Q212" s="279" t="s">
        <v>2711</v>
      </c>
      <c r="R212" s="279" t="s">
        <v>901</v>
      </c>
      <c r="S212" s="279" t="s">
        <v>683</v>
      </c>
      <c r="T212" s="279">
        <v>0</v>
      </c>
      <c r="U212" s="267"/>
      <c r="V212" s="267"/>
      <c r="W212" s="224">
        <v>0</v>
      </c>
      <c r="X212" s="267">
        <v>0.05</v>
      </c>
      <c r="Y212" s="267">
        <v>0.05</v>
      </c>
      <c r="Z212" s="267">
        <v>0.1</v>
      </c>
      <c r="AA212" s="267">
        <v>0.1</v>
      </c>
      <c r="AB212" s="224">
        <v>0.30000000000000004</v>
      </c>
      <c r="AC212" s="267">
        <v>0.05</v>
      </c>
      <c r="AD212" s="267">
        <v>0.1</v>
      </c>
      <c r="AE212" s="267">
        <v>0.1</v>
      </c>
      <c r="AF212" s="267">
        <v>0.15</v>
      </c>
      <c r="AG212" s="224">
        <v>0.4</v>
      </c>
      <c r="AH212" s="267">
        <v>0.05</v>
      </c>
      <c r="AI212" s="267">
        <v>0.1</v>
      </c>
      <c r="AJ212" s="267">
        <v>0.1</v>
      </c>
      <c r="AK212" s="267">
        <v>0.05</v>
      </c>
      <c r="AL212" s="224">
        <v>0.3</v>
      </c>
      <c r="AM212" s="104">
        <v>1</v>
      </c>
      <c r="AN212" s="103" t="s">
        <v>685</v>
      </c>
      <c r="AO212" s="103" t="s">
        <v>616</v>
      </c>
      <c r="AP212" s="103" t="s">
        <v>1226</v>
      </c>
      <c r="AQ212" s="103" t="s">
        <v>1207</v>
      </c>
      <c r="AR212" s="103" t="s">
        <v>940</v>
      </c>
      <c r="AS212" s="271"/>
      <c r="AT212" s="271"/>
      <c r="AU212" s="271"/>
      <c r="AV212" s="271"/>
      <c r="AW212" s="271"/>
      <c r="AX212" s="271"/>
      <c r="AY212" s="271"/>
      <c r="AZ212" s="271"/>
      <c r="BA212" s="271"/>
      <c r="BB212" s="271"/>
      <c r="BC212" s="271"/>
      <c r="BD212" s="271"/>
      <c r="BE212" s="271"/>
      <c r="BF212" s="271"/>
      <c r="BG212" s="271"/>
      <c r="BH212" s="235">
        <f t="shared" si="53"/>
        <v>0</v>
      </c>
      <c r="BI212" s="271"/>
      <c r="BJ212" s="271"/>
      <c r="BK212" s="271"/>
      <c r="BL212" s="271"/>
      <c r="BM212" s="271">
        <v>4000000</v>
      </c>
      <c r="BN212" s="271"/>
      <c r="BO212" s="271"/>
      <c r="BP212" s="271"/>
      <c r="BQ212" s="271"/>
      <c r="BR212" s="271"/>
      <c r="BS212" s="271"/>
      <c r="BT212" s="271"/>
      <c r="BU212" s="271"/>
      <c r="BV212" s="271"/>
      <c r="BW212" s="271"/>
      <c r="BX212" s="235">
        <f t="shared" si="54"/>
        <v>4000000</v>
      </c>
      <c r="BY212" s="271"/>
      <c r="BZ212" s="271"/>
      <c r="CA212" s="271"/>
      <c r="CB212" s="271"/>
      <c r="CC212" s="271">
        <v>4753250</v>
      </c>
      <c r="CD212" s="271"/>
      <c r="CE212" s="271"/>
      <c r="CF212" s="271"/>
      <c r="CG212" s="271"/>
      <c r="CH212" s="271"/>
      <c r="CI212" s="271"/>
      <c r="CJ212" s="271"/>
      <c r="CK212" s="271"/>
      <c r="CL212" s="271"/>
      <c r="CM212" s="271"/>
      <c r="CN212" s="235">
        <f t="shared" si="55"/>
        <v>4753250</v>
      </c>
      <c r="CO212" s="271"/>
      <c r="CP212" s="271"/>
      <c r="CQ212" s="271"/>
      <c r="CR212" s="271"/>
      <c r="CS212" s="271">
        <v>9962500</v>
      </c>
      <c r="CT212" s="271"/>
      <c r="CU212" s="271"/>
      <c r="CV212" s="271"/>
      <c r="CW212" s="271"/>
      <c r="CX212" s="271"/>
      <c r="CY212" s="271"/>
      <c r="CZ212" s="271"/>
      <c r="DA212" s="271"/>
      <c r="DB212" s="271"/>
      <c r="DC212" s="271"/>
      <c r="DD212" s="234">
        <f t="shared" si="56"/>
        <v>9962500</v>
      </c>
      <c r="DE212" s="244">
        <f t="shared" si="57"/>
        <v>18715750</v>
      </c>
    </row>
    <row r="213" spans="1:110" s="98" customFormat="1" ht="103.05" customHeight="1">
      <c r="A213" s="103" t="s">
        <v>1236</v>
      </c>
      <c r="B213" s="279" t="s">
        <v>9</v>
      </c>
      <c r="C213" s="279" t="s">
        <v>1697</v>
      </c>
      <c r="D213" s="279">
        <v>13</v>
      </c>
      <c r="E213" s="279" t="s">
        <v>888</v>
      </c>
      <c r="F213" s="280" t="s">
        <v>337</v>
      </c>
      <c r="G213" s="279" t="s">
        <v>3376</v>
      </c>
      <c r="H213" s="279">
        <v>20</v>
      </c>
      <c r="I213" s="279" t="s">
        <v>889</v>
      </c>
      <c r="J213" s="279" t="s">
        <v>683</v>
      </c>
      <c r="K213" s="104">
        <v>10000</v>
      </c>
      <c r="L213" s="279" t="s">
        <v>890</v>
      </c>
      <c r="M213" s="279" t="s">
        <v>902</v>
      </c>
      <c r="N213" s="279" t="s">
        <v>903</v>
      </c>
      <c r="O213" s="279" t="s">
        <v>340</v>
      </c>
      <c r="P213" s="283">
        <v>195</v>
      </c>
      <c r="Q213" s="279" t="s">
        <v>2712</v>
      </c>
      <c r="R213" s="279" t="s">
        <v>904</v>
      </c>
      <c r="S213" s="279" t="s">
        <v>683</v>
      </c>
      <c r="T213" s="279">
        <v>2</v>
      </c>
      <c r="U213" s="267"/>
      <c r="V213" s="267"/>
      <c r="W213" s="224">
        <v>0</v>
      </c>
      <c r="X213" s="267">
        <v>0.25</v>
      </c>
      <c r="Y213" s="267">
        <v>0.25</v>
      </c>
      <c r="Z213" s="267">
        <v>0.25</v>
      </c>
      <c r="AA213" s="267">
        <v>0.25</v>
      </c>
      <c r="AB213" s="224">
        <v>1</v>
      </c>
      <c r="AC213" s="267">
        <v>0.5</v>
      </c>
      <c r="AD213" s="267">
        <v>0.5</v>
      </c>
      <c r="AE213" s="267">
        <v>0.5</v>
      </c>
      <c r="AF213" s="267">
        <v>0.5</v>
      </c>
      <c r="AG213" s="224">
        <v>2</v>
      </c>
      <c r="AH213" s="267">
        <v>0.2</v>
      </c>
      <c r="AI213" s="267">
        <v>0.3</v>
      </c>
      <c r="AJ213" s="267">
        <v>0.5</v>
      </c>
      <c r="AK213" s="267"/>
      <c r="AL213" s="224">
        <v>1</v>
      </c>
      <c r="AM213" s="104">
        <v>4</v>
      </c>
      <c r="AN213" s="103" t="s">
        <v>685</v>
      </c>
      <c r="AO213" s="103" t="s">
        <v>616</v>
      </c>
      <c r="AP213" s="103" t="s">
        <v>1226</v>
      </c>
      <c r="AQ213" s="103" t="s">
        <v>1207</v>
      </c>
      <c r="AR213" s="103" t="s">
        <v>940</v>
      </c>
      <c r="AS213" s="271"/>
      <c r="AT213" s="271"/>
      <c r="AU213" s="271"/>
      <c r="AV213" s="271"/>
      <c r="AW213" s="271"/>
      <c r="AX213" s="271"/>
      <c r="AY213" s="271"/>
      <c r="AZ213" s="271"/>
      <c r="BA213" s="271"/>
      <c r="BB213" s="271"/>
      <c r="BC213" s="271"/>
      <c r="BD213" s="271"/>
      <c r="BE213" s="271"/>
      <c r="BF213" s="271"/>
      <c r="BG213" s="271"/>
      <c r="BH213" s="235">
        <f t="shared" si="53"/>
        <v>0</v>
      </c>
      <c r="BI213" s="271"/>
      <c r="BJ213" s="271"/>
      <c r="BK213" s="271"/>
      <c r="BL213" s="271"/>
      <c r="BM213" s="271">
        <v>7500000</v>
      </c>
      <c r="BN213" s="271"/>
      <c r="BO213" s="271"/>
      <c r="BP213" s="271"/>
      <c r="BQ213" s="271"/>
      <c r="BR213" s="271"/>
      <c r="BS213" s="271"/>
      <c r="BT213" s="271"/>
      <c r="BU213" s="271"/>
      <c r="BV213" s="271"/>
      <c r="BW213" s="271"/>
      <c r="BX213" s="235">
        <f t="shared" si="54"/>
        <v>7500000</v>
      </c>
      <c r="BY213" s="271"/>
      <c r="BZ213" s="271"/>
      <c r="CA213" s="271"/>
      <c r="CB213" s="271"/>
      <c r="CC213" s="271">
        <f>4956250+2456250</f>
        <v>7412500</v>
      </c>
      <c r="CD213" s="271"/>
      <c r="CE213" s="271"/>
      <c r="CF213" s="271"/>
      <c r="CG213" s="271"/>
      <c r="CH213" s="271"/>
      <c r="CI213" s="271"/>
      <c r="CJ213" s="271"/>
      <c r="CK213" s="271"/>
      <c r="CL213" s="271"/>
      <c r="CM213" s="271"/>
      <c r="CN213" s="235">
        <f t="shared" si="55"/>
        <v>7412500</v>
      </c>
      <c r="CO213" s="271"/>
      <c r="CP213" s="271"/>
      <c r="CQ213" s="271"/>
      <c r="CR213" s="271"/>
      <c r="CS213" s="271">
        <v>6743750</v>
      </c>
      <c r="CT213" s="271"/>
      <c r="CU213" s="271"/>
      <c r="CV213" s="271"/>
      <c r="CW213" s="271"/>
      <c r="CX213" s="271"/>
      <c r="CY213" s="271"/>
      <c r="CZ213" s="271"/>
      <c r="DA213" s="271"/>
      <c r="DB213" s="271"/>
      <c r="DC213" s="271"/>
      <c r="DD213" s="234">
        <f t="shared" si="56"/>
        <v>6743750</v>
      </c>
      <c r="DE213" s="244">
        <f t="shared" si="57"/>
        <v>21656250</v>
      </c>
    </row>
    <row r="214" spans="1:110" s="98" customFormat="1" ht="103.05" customHeight="1">
      <c r="A214" s="103" t="s">
        <v>1236</v>
      </c>
      <c r="B214" s="279" t="s">
        <v>9</v>
      </c>
      <c r="C214" s="279" t="s">
        <v>1697</v>
      </c>
      <c r="D214" s="279">
        <v>13</v>
      </c>
      <c r="E214" s="279" t="s">
        <v>888</v>
      </c>
      <c r="F214" s="280" t="s">
        <v>337</v>
      </c>
      <c r="G214" s="279" t="s">
        <v>3376</v>
      </c>
      <c r="H214" s="279">
        <v>20</v>
      </c>
      <c r="I214" s="279" t="s">
        <v>889</v>
      </c>
      <c r="J214" s="279" t="s">
        <v>683</v>
      </c>
      <c r="K214" s="104">
        <v>10000</v>
      </c>
      <c r="L214" s="279" t="s">
        <v>890</v>
      </c>
      <c r="M214" s="279" t="s">
        <v>902</v>
      </c>
      <c r="N214" s="279" t="s">
        <v>903</v>
      </c>
      <c r="O214" s="279" t="s">
        <v>340</v>
      </c>
      <c r="P214" s="283">
        <v>196</v>
      </c>
      <c r="Q214" s="279" t="s">
        <v>3382</v>
      </c>
      <c r="R214" s="279" t="s">
        <v>905</v>
      </c>
      <c r="S214" s="279" t="s">
        <v>683</v>
      </c>
      <c r="T214" s="279">
        <v>0</v>
      </c>
      <c r="U214" s="267"/>
      <c r="V214" s="267"/>
      <c r="W214" s="224">
        <v>0</v>
      </c>
      <c r="X214" s="267">
        <v>0.25</v>
      </c>
      <c r="Y214" s="267">
        <v>0.25</v>
      </c>
      <c r="Z214" s="267">
        <v>0.25</v>
      </c>
      <c r="AA214" s="267">
        <v>0.25</v>
      </c>
      <c r="AB214" s="224">
        <v>1</v>
      </c>
      <c r="AC214" s="267">
        <v>0.5</v>
      </c>
      <c r="AD214" s="267">
        <v>0.5</v>
      </c>
      <c r="AE214" s="267">
        <v>0.5</v>
      </c>
      <c r="AF214" s="267">
        <v>0.5</v>
      </c>
      <c r="AG214" s="224">
        <v>2</v>
      </c>
      <c r="AH214" s="267">
        <v>0.2</v>
      </c>
      <c r="AI214" s="267">
        <v>0.3</v>
      </c>
      <c r="AJ214" s="267">
        <v>0.5</v>
      </c>
      <c r="AK214" s="267"/>
      <c r="AL214" s="224">
        <v>1</v>
      </c>
      <c r="AM214" s="104">
        <v>4</v>
      </c>
      <c r="AN214" s="103" t="s">
        <v>685</v>
      </c>
      <c r="AO214" s="103" t="s">
        <v>616</v>
      </c>
      <c r="AP214" s="103" t="s">
        <v>1226</v>
      </c>
      <c r="AQ214" s="103" t="s">
        <v>1207</v>
      </c>
      <c r="AR214" s="103" t="s">
        <v>940</v>
      </c>
      <c r="AS214" s="271"/>
      <c r="AT214" s="271"/>
      <c r="AU214" s="271"/>
      <c r="AV214" s="271"/>
      <c r="AW214" s="271"/>
      <c r="AX214" s="271"/>
      <c r="AY214" s="271"/>
      <c r="AZ214" s="271"/>
      <c r="BA214" s="271"/>
      <c r="BB214" s="271"/>
      <c r="BC214" s="271"/>
      <c r="BD214" s="271"/>
      <c r="BE214" s="271"/>
      <c r="BF214" s="271"/>
      <c r="BG214" s="271"/>
      <c r="BH214" s="235">
        <f t="shared" si="53"/>
        <v>0</v>
      </c>
      <c r="BI214" s="271"/>
      <c r="BJ214" s="271"/>
      <c r="BK214" s="271"/>
      <c r="BL214" s="271"/>
      <c r="BM214" s="271">
        <v>4000000</v>
      </c>
      <c r="BN214" s="271"/>
      <c r="BO214" s="271"/>
      <c r="BP214" s="271"/>
      <c r="BQ214" s="271"/>
      <c r="BR214" s="271"/>
      <c r="BS214" s="271"/>
      <c r="BT214" s="271"/>
      <c r="BU214" s="271"/>
      <c r="BV214" s="271"/>
      <c r="BW214" s="271"/>
      <c r="BX214" s="235">
        <f t="shared" si="54"/>
        <v>4000000</v>
      </c>
      <c r="BY214" s="271"/>
      <c r="BZ214" s="271"/>
      <c r="CA214" s="271"/>
      <c r="CB214" s="271"/>
      <c r="CC214" s="271">
        <v>5500000</v>
      </c>
      <c r="CD214" s="271"/>
      <c r="CE214" s="271"/>
      <c r="CF214" s="271"/>
      <c r="CG214" s="271"/>
      <c r="CH214" s="271"/>
      <c r="CI214" s="271"/>
      <c r="CJ214" s="271"/>
      <c r="CK214" s="271"/>
      <c r="CL214" s="271"/>
      <c r="CM214" s="271"/>
      <c r="CN214" s="235">
        <f t="shared" si="55"/>
        <v>5500000</v>
      </c>
      <c r="CO214" s="271"/>
      <c r="CP214" s="271"/>
      <c r="CQ214" s="271"/>
      <c r="CR214" s="271"/>
      <c r="CS214" s="271">
        <v>4400000</v>
      </c>
      <c r="CT214" s="271"/>
      <c r="CU214" s="271"/>
      <c r="CV214" s="271"/>
      <c r="CW214" s="271"/>
      <c r="CX214" s="271"/>
      <c r="CY214" s="271"/>
      <c r="CZ214" s="271"/>
      <c r="DA214" s="271"/>
      <c r="DB214" s="271"/>
      <c r="DC214" s="271"/>
      <c r="DD214" s="234">
        <f t="shared" si="56"/>
        <v>4400000</v>
      </c>
      <c r="DE214" s="244">
        <f t="shared" si="57"/>
        <v>13900000</v>
      </c>
    </row>
    <row r="215" spans="1:110" s="98" customFormat="1" ht="103.05" customHeight="1">
      <c r="A215" s="103" t="s">
        <v>1236</v>
      </c>
      <c r="B215" s="279" t="s">
        <v>9</v>
      </c>
      <c r="C215" s="279" t="s">
        <v>1697</v>
      </c>
      <c r="D215" s="279">
        <v>13</v>
      </c>
      <c r="E215" s="279" t="s">
        <v>888</v>
      </c>
      <c r="F215" s="280" t="s">
        <v>337</v>
      </c>
      <c r="G215" s="279" t="s">
        <v>3376</v>
      </c>
      <c r="H215" s="279">
        <v>20</v>
      </c>
      <c r="I215" s="279" t="s">
        <v>889</v>
      </c>
      <c r="J215" s="279" t="s">
        <v>683</v>
      </c>
      <c r="K215" s="104">
        <v>10000</v>
      </c>
      <c r="L215" s="279" t="s">
        <v>890</v>
      </c>
      <c r="M215" s="279" t="s">
        <v>907</v>
      </c>
      <c r="N215" s="279" t="s">
        <v>908</v>
      </c>
      <c r="O215" s="279" t="s">
        <v>909</v>
      </c>
      <c r="P215" s="283">
        <v>197</v>
      </c>
      <c r="Q215" s="279" t="s">
        <v>3383</v>
      </c>
      <c r="R215" s="279" t="s">
        <v>910</v>
      </c>
      <c r="S215" s="279" t="s">
        <v>683</v>
      </c>
      <c r="T215" s="279">
        <v>4</v>
      </c>
      <c r="U215" s="267">
        <v>2</v>
      </c>
      <c r="V215" s="267">
        <v>2</v>
      </c>
      <c r="W215" s="224">
        <v>4</v>
      </c>
      <c r="X215" s="267">
        <v>1</v>
      </c>
      <c r="Y215" s="267">
        <v>1</v>
      </c>
      <c r="Z215" s="267">
        <v>1</v>
      </c>
      <c r="AA215" s="267">
        <v>1</v>
      </c>
      <c r="AB215" s="224">
        <v>4</v>
      </c>
      <c r="AC215" s="267">
        <v>1</v>
      </c>
      <c r="AD215" s="267">
        <v>1</v>
      </c>
      <c r="AE215" s="267">
        <v>1</v>
      </c>
      <c r="AF215" s="267">
        <v>1</v>
      </c>
      <c r="AG215" s="224">
        <v>4</v>
      </c>
      <c r="AH215" s="267">
        <v>1</v>
      </c>
      <c r="AI215" s="267">
        <v>1</v>
      </c>
      <c r="AJ215" s="267">
        <v>1</v>
      </c>
      <c r="AK215" s="267">
        <v>1</v>
      </c>
      <c r="AL215" s="224">
        <v>4</v>
      </c>
      <c r="AM215" s="104">
        <v>4</v>
      </c>
      <c r="AN215" s="103" t="s">
        <v>686</v>
      </c>
      <c r="AO215" s="103" t="s">
        <v>616</v>
      </c>
      <c r="AP215" s="103" t="s">
        <v>1226</v>
      </c>
      <c r="AQ215" s="103" t="s">
        <v>1207</v>
      </c>
      <c r="AR215" s="103" t="s">
        <v>940</v>
      </c>
      <c r="AS215" s="271"/>
      <c r="AT215" s="271"/>
      <c r="AU215" s="271"/>
      <c r="AV215" s="271"/>
      <c r="AW215" s="271">
        <v>2500000</v>
      </c>
      <c r="AX215" s="271"/>
      <c r="AY215" s="271"/>
      <c r="AZ215" s="271"/>
      <c r="BA215" s="271"/>
      <c r="BB215" s="271"/>
      <c r="BC215" s="271"/>
      <c r="BD215" s="271"/>
      <c r="BE215" s="271"/>
      <c r="BF215" s="271"/>
      <c r="BG215" s="271"/>
      <c r="BH215" s="235">
        <f t="shared" si="53"/>
        <v>2500000</v>
      </c>
      <c r="BI215" s="271"/>
      <c r="BJ215" s="271"/>
      <c r="BK215" s="271"/>
      <c r="BL215" s="271"/>
      <c r="BM215" s="271">
        <v>4000000</v>
      </c>
      <c r="BN215" s="271"/>
      <c r="BO215" s="271"/>
      <c r="BP215" s="271"/>
      <c r="BQ215" s="271"/>
      <c r="BR215" s="271"/>
      <c r="BS215" s="271"/>
      <c r="BT215" s="271"/>
      <c r="BU215" s="271"/>
      <c r="BV215" s="271"/>
      <c r="BW215" s="271"/>
      <c r="BX215" s="235">
        <f t="shared" si="54"/>
        <v>4000000</v>
      </c>
      <c r="BY215" s="271"/>
      <c r="BZ215" s="271"/>
      <c r="CA215" s="271"/>
      <c r="CB215" s="271"/>
      <c r="CC215" s="271">
        <v>5000000</v>
      </c>
      <c r="CD215" s="271"/>
      <c r="CE215" s="271"/>
      <c r="CF215" s="271"/>
      <c r="CG215" s="271"/>
      <c r="CH215" s="271"/>
      <c r="CI215" s="271"/>
      <c r="CJ215" s="271"/>
      <c r="CK215" s="271"/>
      <c r="CL215" s="271"/>
      <c r="CM215" s="271"/>
      <c r="CN215" s="235">
        <f t="shared" si="55"/>
        <v>5000000</v>
      </c>
      <c r="CO215" s="271"/>
      <c r="CP215" s="271"/>
      <c r="CQ215" s="271"/>
      <c r="CR215" s="271"/>
      <c r="CS215" s="271">
        <v>4700000</v>
      </c>
      <c r="CT215" s="271"/>
      <c r="CU215" s="271"/>
      <c r="CV215" s="271"/>
      <c r="CW215" s="271"/>
      <c r="CX215" s="271"/>
      <c r="CY215" s="271"/>
      <c r="CZ215" s="271"/>
      <c r="DA215" s="271"/>
      <c r="DB215" s="271"/>
      <c r="DC215" s="271"/>
      <c r="DD215" s="234">
        <f t="shared" si="56"/>
        <v>4700000</v>
      </c>
      <c r="DE215" s="244">
        <f t="shared" si="57"/>
        <v>16200000</v>
      </c>
    </row>
    <row r="216" spans="1:110" s="98" customFormat="1" ht="103.05" customHeight="1">
      <c r="A216" s="103" t="s">
        <v>1236</v>
      </c>
      <c r="B216" s="279" t="s">
        <v>9</v>
      </c>
      <c r="C216" s="279" t="s">
        <v>1697</v>
      </c>
      <c r="D216" s="279">
        <v>13</v>
      </c>
      <c r="E216" s="279" t="s">
        <v>888</v>
      </c>
      <c r="F216" s="280" t="s">
        <v>337</v>
      </c>
      <c r="G216" s="279" t="s">
        <v>3376</v>
      </c>
      <c r="H216" s="279">
        <v>20</v>
      </c>
      <c r="I216" s="279" t="s">
        <v>889</v>
      </c>
      <c r="J216" s="279" t="s">
        <v>683</v>
      </c>
      <c r="K216" s="104">
        <v>10000</v>
      </c>
      <c r="L216" s="279" t="s">
        <v>890</v>
      </c>
      <c r="M216" s="279" t="s">
        <v>907</v>
      </c>
      <c r="N216" s="279" t="s">
        <v>908</v>
      </c>
      <c r="O216" s="279" t="s">
        <v>909</v>
      </c>
      <c r="P216" s="283">
        <v>198</v>
      </c>
      <c r="Q216" s="279" t="s">
        <v>3384</v>
      </c>
      <c r="R216" s="279" t="s">
        <v>910</v>
      </c>
      <c r="S216" s="279" t="s">
        <v>683</v>
      </c>
      <c r="T216" s="279">
        <v>4</v>
      </c>
      <c r="U216" s="267"/>
      <c r="V216" s="267"/>
      <c r="W216" s="224">
        <v>0</v>
      </c>
      <c r="X216" s="267">
        <v>0.25</v>
      </c>
      <c r="Y216" s="267">
        <v>0.25</v>
      </c>
      <c r="Z216" s="267">
        <v>0.25</v>
      </c>
      <c r="AA216" s="267">
        <v>0.25</v>
      </c>
      <c r="AB216" s="224">
        <v>1</v>
      </c>
      <c r="AC216" s="267">
        <v>0.25</v>
      </c>
      <c r="AD216" s="267">
        <v>0.25</v>
      </c>
      <c r="AE216" s="267">
        <v>0.25</v>
      </c>
      <c r="AF216" s="267">
        <v>0.25</v>
      </c>
      <c r="AG216" s="224">
        <v>1</v>
      </c>
      <c r="AH216" s="267">
        <v>0.25</v>
      </c>
      <c r="AI216" s="267">
        <v>0.5</v>
      </c>
      <c r="AJ216" s="267">
        <v>0.25</v>
      </c>
      <c r="AK216" s="267"/>
      <c r="AL216" s="224">
        <v>1</v>
      </c>
      <c r="AM216" s="104">
        <v>3</v>
      </c>
      <c r="AN216" s="103" t="s">
        <v>685</v>
      </c>
      <c r="AO216" s="103" t="s">
        <v>616</v>
      </c>
      <c r="AP216" s="103" t="s">
        <v>1226</v>
      </c>
      <c r="AQ216" s="103" t="s">
        <v>1207</v>
      </c>
      <c r="AR216" s="103" t="s">
        <v>940</v>
      </c>
      <c r="AS216" s="271"/>
      <c r="AT216" s="271"/>
      <c r="AU216" s="271"/>
      <c r="AV216" s="271"/>
      <c r="AW216" s="271"/>
      <c r="AX216" s="271"/>
      <c r="AY216" s="271"/>
      <c r="AZ216" s="271"/>
      <c r="BA216" s="271"/>
      <c r="BB216" s="271"/>
      <c r="BC216" s="271"/>
      <c r="BD216" s="271"/>
      <c r="BE216" s="271"/>
      <c r="BF216" s="271"/>
      <c r="BG216" s="271"/>
      <c r="BH216" s="235">
        <f t="shared" si="53"/>
        <v>0</v>
      </c>
      <c r="BI216" s="271"/>
      <c r="BJ216" s="271"/>
      <c r="BK216" s="271"/>
      <c r="BL216" s="271"/>
      <c r="BM216" s="271">
        <v>4500000</v>
      </c>
      <c r="BN216" s="271"/>
      <c r="BO216" s="271"/>
      <c r="BP216" s="271"/>
      <c r="BQ216" s="271"/>
      <c r="BR216" s="271"/>
      <c r="BS216" s="271"/>
      <c r="BT216" s="271"/>
      <c r="BU216" s="271"/>
      <c r="BV216" s="271"/>
      <c r="BW216" s="271"/>
      <c r="BX216" s="235">
        <f t="shared" si="54"/>
        <v>4500000</v>
      </c>
      <c r="BY216" s="271"/>
      <c r="BZ216" s="271"/>
      <c r="CA216" s="271"/>
      <c r="CB216" s="271"/>
      <c r="CC216" s="271">
        <v>5200000</v>
      </c>
      <c r="CD216" s="271"/>
      <c r="CE216" s="271"/>
      <c r="CF216" s="271"/>
      <c r="CG216" s="271"/>
      <c r="CH216" s="271"/>
      <c r="CI216" s="271"/>
      <c r="CJ216" s="271"/>
      <c r="CK216" s="271"/>
      <c r="CL216" s="271"/>
      <c r="CM216" s="271"/>
      <c r="CN216" s="235">
        <f t="shared" si="55"/>
        <v>5200000</v>
      </c>
      <c r="CO216" s="271"/>
      <c r="CP216" s="271"/>
      <c r="CQ216" s="271"/>
      <c r="CR216" s="271"/>
      <c r="CS216" s="271">
        <v>4700000</v>
      </c>
      <c r="CT216" s="271"/>
      <c r="CU216" s="271"/>
      <c r="CV216" s="271"/>
      <c r="CW216" s="271"/>
      <c r="CX216" s="271"/>
      <c r="CY216" s="271"/>
      <c r="CZ216" s="271"/>
      <c r="DA216" s="271"/>
      <c r="DB216" s="271"/>
      <c r="DC216" s="271"/>
      <c r="DD216" s="234">
        <f t="shared" si="56"/>
        <v>4700000</v>
      </c>
      <c r="DE216" s="244">
        <f t="shared" si="57"/>
        <v>14400000</v>
      </c>
    </row>
    <row r="217" spans="1:110" s="98" customFormat="1" ht="103.05" customHeight="1">
      <c r="A217" s="103" t="s">
        <v>1236</v>
      </c>
      <c r="B217" s="279" t="s">
        <v>9</v>
      </c>
      <c r="C217" s="279" t="s">
        <v>1697</v>
      </c>
      <c r="D217" s="279">
        <v>13</v>
      </c>
      <c r="E217" s="279" t="s">
        <v>888</v>
      </c>
      <c r="F217" s="280" t="s">
        <v>337</v>
      </c>
      <c r="G217" s="279" t="s">
        <v>3376</v>
      </c>
      <c r="H217" s="279">
        <v>20</v>
      </c>
      <c r="I217" s="279" t="s">
        <v>889</v>
      </c>
      <c r="J217" s="279" t="s">
        <v>683</v>
      </c>
      <c r="K217" s="104">
        <v>10000</v>
      </c>
      <c r="L217" s="279" t="s">
        <v>890</v>
      </c>
      <c r="M217" s="279" t="s">
        <v>907</v>
      </c>
      <c r="N217" s="279" t="s">
        <v>908</v>
      </c>
      <c r="O217" s="279" t="s">
        <v>909</v>
      </c>
      <c r="P217" s="283">
        <v>199</v>
      </c>
      <c r="Q217" s="279" t="s">
        <v>3385</v>
      </c>
      <c r="R217" s="279" t="s">
        <v>911</v>
      </c>
      <c r="S217" s="279" t="s">
        <v>683</v>
      </c>
      <c r="T217" s="279">
        <v>1</v>
      </c>
      <c r="U217" s="267">
        <v>0.5</v>
      </c>
      <c r="V217" s="267">
        <v>0.5</v>
      </c>
      <c r="W217" s="224">
        <v>1</v>
      </c>
      <c r="X217" s="267">
        <v>0.25</v>
      </c>
      <c r="Y217" s="267">
        <v>0.25</v>
      </c>
      <c r="Z217" s="267">
        <v>0.25</v>
      </c>
      <c r="AA217" s="267">
        <v>0.25</v>
      </c>
      <c r="AB217" s="224">
        <v>1</v>
      </c>
      <c r="AC217" s="267">
        <v>0.25</v>
      </c>
      <c r="AD217" s="267">
        <v>0.25</v>
      </c>
      <c r="AE217" s="267">
        <v>0.25</v>
      </c>
      <c r="AF217" s="267">
        <v>0.25</v>
      </c>
      <c r="AG217" s="224">
        <v>1</v>
      </c>
      <c r="AH217" s="267">
        <v>0.25</v>
      </c>
      <c r="AI217" s="267">
        <v>0.25</v>
      </c>
      <c r="AJ217" s="267">
        <v>0.25</v>
      </c>
      <c r="AK217" s="267">
        <v>0.25</v>
      </c>
      <c r="AL217" s="224">
        <v>1</v>
      </c>
      <c r="AM217" s="104">
        <v>1</v>
      </c>
      <c r="AN217" s="103" t="s">
        <v>686</v>
      </c>
      <c r="AO217" s="103" t="s">
        <v>616</v>
      </c>
      <c r="AP217" s="103" t="s">
        <v>1226</v>
      </c>
      <c r="AQ217" s="103" t="s">
        <v>1207</v>
      </c>
      <c r="AR217" s="103" t="s">
        <v>940</v>
      </c>
      <c r="AS217" s="271"/>
      <c r="AT217" s="271"/>
      <c r="AU217" s="271"/>
      <c r="AV217" s="271"/>
      <c r="AW217" s="271">
        <v>1500000</v>
      </c>
      <c r="AX217" s="271"/>
      <c r="AY217" s="271"/>
      <c r="AZ217" s="271"/>
      <c r="BA217" s="271"/>
      <c r="BB217" s="271"/>
      <c r="BC217" s="271"/>
      <c r="BD217" s="271"/>
      <c r="BE217" s="271"/>
      <c r="BF217" s="271"/>
      <c r="BG217" s="271"/>
      <c r="BH217" s="235">
        <f t="shared" si="53"/>
        <v>1500000</v>
      </c>
      <c r="BI217" s="271"/>
      <c r="BJ217" s="271"/>
      <c r="BK217" s="271"/>
      <c r="BL217" s="271"/>
      <c r="BM217" s="271">
        <v>3000000</v>
      </c>
      <c r="BN217" s="271"/>
      <c r="BO217" s="271"/>
      <c r="BP217" s="271"/>
      <c r="BQ217" s="271"/>
      <c r="BR217" s="271"/>
      <c r="BS217" s="271"/>
      <c r="BT217" s="271"/>
      <c r="BU217" s="271"/>
      <c r="BV217" s="271"/>
      <c r="BW217" s="271"/>
      <c r="BX217" s="235">
        <f t="shared" si="54"/>
        <v>3000000</v>
      </c>
      <c r="BY217" s="271"/>
      <c r="BZ217" s="271"/>
      <c r="CA217" s="271"/>
      <c r="CB217" s="271"/>
      <c r="CC217" s="271">
        <v>3500000</v>
      </c>
      <c r="CD217" s="271"/>
      <c r="CE217" s="271"/>
      <c r="CF217" s="271"/>
      <c r="CG217" s="271"/>
      <c r="CH217" s="271"/>
      <c r="CI217" s="271"/>
      <c r="CJ217" s="271"/>
      <c r="CK217" s="271"/>
      <c r="CL217" s="271"/>
      <c r="CM217" s="271"/>
      <c r="CN217" s="235">
        <f t="shared" si="55"/>
        <v>3500000</v>
      </c>
      <c r="CO217" s="271"/>
      <c r="CP217" s="271"/>
      <c r="CQ217" s="271"/>
      <c r="CR217" s="271"/>
      <c r="CS217" s="271">
        <v>4400000</v>
      </c>
      <c r="CT217" s="271"/>
      <c r="CU217" s="271"/>
      <c r="CV217" s="271"/>
      <c r="CW217" s="271"/>
      <c r="CX217" s="271"/>
      <c r="CY217" s="271"/>
      <c r="CZ217" s="271"/>
      <c r="DA217" s="271"/>
      <c r="DB217" s="271"/>
      <c r="DC217" s="271"/>
      <c r="DD217" s="234">
        <f t="shared" si="56"/>
        <v>4400000</v>
      </c>
      <c r="DE217" s="244">
        <f t="shared" si="57"/>
        <v>12400000</v>
      </c>
    </row>
    <row r="218" spans="1:110" s="98" customFormat="1" ht="103.05" customHeight="1">
      <c r="A218" s="120" t="s">
        <v>1236</v>
      </c>
      <c r="B218" s="281" t="s">
        <v>9</v>
      </c>
      <c r="C218" s="281" t="s">
        <v>1697</v>
      </c>
      <c r="D218" s="281">
        <v>13</v>
      </c>
      <c r="E218" s="281" t="s">
        <v>888</v>
      </c>
      <c r="F218" s="282" t="s">
        <v>337</v>
      </c>
      <c r="G218" s="281" t="s">
        <v>3376</v>
      </c>
      <c r="H218" s="281">
        <v>20</v>
      </c>
      <c r="I218" s="281" t="s">
        <v>889</v>
      </c>
      <c r="J218" s="281" t="s">
        <v>683</v>
      </c>
      <c r="K218" s="119">
        <v>10000</v>
      </c>
      <c r="L218" s="281" t="s">
        <v>890</v>
      </c>
      <c r="M218" s="281" t="s">
        <v>907</v>
      </c>
      <c r="N218" s="281" t="s">
        <v>908</v>
      </c>
      <c r="O218" s="281" t="s">
        <v>909</v>
      </c>
      <c r="P218" s="283">
        <v>200</v>
      </c>
      <c r="Q218" s="281" t="s">
        <v>3386</v>
      </c>
      <c r="R218" s="281" t="s">
        <v>912</v>
      </c>
      <c r="S218" s="281" t="s">
        <v>683</v>
      </c>
      <c r="T218" s="281">
        <v>0</v>
      </c>
      <c r="U218" s="275"/>
      <c r="V218" s="275">
        <v>0.2</v>
      </c>
      <c r="W218" s="225">
        <v>0.2</v>
      </c>
      <c r="X218" s="275">
        <v>0.1</v>
      </c>
      <c r="Y218" s="275">
        <v>0.2</v>
      </c>
      <c r="Z218" s="275">
        <v>0.2</v>
      </c>
      <c r="AA218" s="275">
        <v>0.3</v>
      </c>
      <c r="AB218" s="225">
        <v>0.8</v>
      </c>
      <c r="AC218" s="275">
        <v>0.1</v>
      </c>
      <c r="AD218" s="275">
        <v>0.2</v>
      </c>
      <c r="AE218" s="275">
        <v>0.3</v>
      </c>
      <c r="AF218" s="275">
        <v>0.4</v>
      </c>
      <c r="AG218" s="225">
        <v>1</v>
      </c>
      <c r="AH218" s="275">
        <v>0.1</v>
      </c>
      <c r="AI218" s="275">
        <v>0.3</v>
      </c>
      <c r="AJ218" s="275">
        <v>0.4</v>
      </c>
      <c r="AK218" s="275">
        <v>0.2</v>
      </c>
      <c r="AL218" s="225">
        <v>1</v>
      </c>
      <c r="AM218" s="119">
        <v>3</v>
      </c>
      <c r="AN218" s="120" t="s">
        <v>685</v>
      </c>
      <c r="AO218" s="120" t="s">
        <v>616</v>
      </c>
      <c r="AP218" s="120" t="s">
        <v>1226</v>
      </c>
      <c r="AQ218" s="120" t="s">
        <v>1207</v>
      </c>
      <c r="AR218" s="120" t="s">
        <v>940</v>
      </c>
      <c r="AS218" s="276"/>
      <c r="AT218" s="276"/>
      <c r="AU218" s="276"/>
      <c r="AV218" s="276"/>
      <c r="AW218" s="276">
        <v>1500000</v>
      </c>
      <c r="AX218" s="276"/>
      <c r="AY218" s="276"/>
      <c r="AZ218" s="276"/>
      <c r="BA218" s="276"/>
      <c r="BB218" s="276"/>
      <c r="BC218" s="276"/>
      <c r="BD218" s="276"/>
      <c r="BE218" s="276"/>
      <c r="BF218" s="276"/>
      <c r="BG218" s="276"/>
      <c r="BH218" s="236">
        <f t="shared" si="53"/>
        <v>1500000</v>
      </c>
      <c r="BI218" s="276"/>
      <c r="BJ218" s="276"/>
      <c r="BK218" s="276"/>
      <c r="BL218" s="276"/>
      <c r="BM218" s="276">
        <v>2700000</v>
      </c>
      <c r="BN218" s="276"/>
      <c r="BO218" s="276"/>
      <c r="BP218" s="276"/>
      <c r="BQ218" s="276"/>
      <c r="BR218" s="276"/>
      <c r="BS218" s="276"/>
      <c r="BT218" s="276"/>
      <c r="BU218" s="276"/>
      <c r="BV218" s="276"/>
      <c r="BW218" s="276"/>
      <c r="BX218" s="236">
        <f t="shared" si="54"/>
        <v>2700000</v>
      </c>
      <c r="BY218" s="276"/>
      <c r="BZ218" s="276"/>
      <c r="CA218" s="276"/>
      <c r="CB218" s="276"/>
      <c r="CC218" s="276">
        <v>3000000</v>
      </c>
      <c r="CD218" s="276"/>
      <c r="CE218" s="276"/>
      <c r="CF218" s="276"/>
      <c r="CG218" s="276"/>
      <c r="CH218" s="276"/>
      <c r="CI218" s="276"/>
      <c r="CJ218" s="276"/>
      <c r="CK218" s="276"/>
      <c r="CL218" s="276"/>
      <c r="CM218" s="276"/>
      <c r="CN218" s="236">
        <f t="shared" si="55"/>
        <v>3000000</v>
      </c>
      <c r="CO218" s="276"/>
      <c r="CP218" s="276"/>
      <c r="CQ218" s="276"/>
      <c r="CR218" s="276"/>
      <c r="CS218" s="276">
        <v>3900000</v>
      </c>
      <c r="CT218" s="276"/>
      <c r="CU218" s="276"/>
      <c r="CV218" s="276"/>
      <c r="CW218" s="276"/>
      <c r="CX218" s="276"/>
      <c r="CY218" s="276"/>
      <c r="CZ218" s="276"/>
      <c r="DA218" s="276"/>
      <c r="DB218" s="276"/>
      <c r="DC218" s="276"/>
      <c r="DD218" s="240">
        <f t="shared" si="56"/>
        <v>3900000</v>
      </c>
      <c r="DE218" s="245">
        <f t="shared" si="57"/>
        <v>11100000</v>
      </c>
    </row>
    <row r="219" spans="1:110" ht="65.099999999999994" customHeight="1">
      <c r="A219" s="118" t="s">
        <v>1236</v>
      </c>
      <c r="B219" s="118" t="s">
        <v>9</v>
      </c>
      <c r="C219" s="118" t="s">
        <v>1697</v>
      </c>
      <c r="D219" s="118">
        <v>13</v>
      </c>
      <c r="E219" s="118" t="s">
        <v>888</v>
      </c>
      <c r="F219" s="135"/>
      <c r="G219" s="136"/>
      <c r="H219" s="137"/>
      <c r="I219" s="137"/>
      <c r="J219" s="137"/>
      <c r="K219" s="138"/>
      <c r="L219" s="137"/>
      <c r="M219" s="137"/>
      <c r="N219" s="137"/>
      <c r="O219" s="137"/>
      <c r="P219" s="137"/>
      <c r="Q219" s="136"/>
      <c r="R219" s="139"/>
      <c r="S219" s="137"/>
      <c r="T219" s="137"/>
      <c r="U219" s="140"/>
      <c r="V219" s="140"/>
      <c r="W219" s="138"/>
      <c r="X219" s="140"/>
      <c r="Y219" s="140"/>
      <c r="Z219" s="140"/>
      <c r="AA219" s="140"/>
      <c r="AB219" s="138"/>
      <c r="AC219" s="140"/>
      <c r="AD219" s="140"/>
      <c r="AE219" s="140"/>
      <c r="AF219" s="140"/>
      <c r="AG219" s="138"/>
      <c r="AH219" s="140"/>
      <c r="AI219" s="140"/>
      <c r="AJ219" s="140"/>
      <c r="AK219" s="140"/>
      <c r="AL219" s="138"/>
      <c r="AM219" s="141"/>
      <c r="AN219" s="142"/>
      <c r="AO219" s="142"/>
      <c r="AP219" s="143"/>
      <c r="AQ219" s="143"/>
      <c r="AR219" s="144"/>
      <c r="AS219" s="132">
        <f>SUM(AS200:AS218)</f>
        <v>0</v>
      </c>
      <c r="AT219" s="132">
        <f t="shared" ref="AT219:DE219" si="58">SUM(AT200:AT218)</f>
        <v>0</v>
      </c>
      <c r="AU219" s="132">
        <f t="shared" si="58"/>
        <v>0</v>
      </c>
      <c r="AV219" s="132">
        <f t="shared" si="58"/>
        <v>0</v>
      </c>
      <c r="AW219" s="132">
        <f t="shared" si="58"/>
        <v>26000000</v>
      </c>
      <c r="AX219" s="132">
        <f t="shared" si="58"/>
        <v>0</v>
      </c>
      <c r="AY219" s="132">
        <f t="shared" si="58"/>
        <v>0</v>
      </c>
      <c r="AZ219" s="132">
        <f t="shared" si="58"/>
        <v>0</v>
      </c>
      <c r="BA219" s="132">
        <f t="shared" si="58"/>
        <v>0</v>
      </c>
      <c r="BB219" s="132">
        <f t="shared" si="58"/>
        <v>0</v>
      </c>
      <c r="BC219" s="132">
        <f t="shared" si="58"/>
        <v>0</v>
      </c>
      <c r="BD219" s="132">
        <f t="shared" si="58"/>
        <v>0</v>
      </c>
      <c r="BE219" s="132">
        <f t="shared" si="58"/>
        <v>0</v>
      </c>
      <c r="BF219" s="132">
        <f t="shared" si="58"/>
        <v>0</v>
      </c>
      <c r="BG219" s="132">
        <f t="shared" si="58"/>
        <v>0</v>
      </c>
      <c r="BH219" s="132">
        <f>IF(OR(AND(BH200=0,W200&lt;&gt;0),AND(BH201=0,W201&lt;&gt;0),AND(BH202=0,W202&lt;&gt;0),AND(BH203=0,W203&lt;&gt;0),AND(BH204=0,W204&lt;&gt;0),AND(BH205=0,W205&lt;&gt;0),AND(BH206=0,W206&lt;&gt;0),AND(BH207=0,W207&lt;&gt;0),AND(BH208=0,W208&lt;&gt;0),AND(BH209=0,W209&lt;&gt;0),AND(BH210=0,W210&lt;&gt;0),AND(BH211=0,W211&lt;&gt;0),AND(BH212=0,W212&lt;&gt;0),AND(BH213=0,W213&lt;&gt;0),AND(BH214=0,W214&lt;&gt;0),AND(BH215=0,W215&lt;&gt;0),AND(BH216=0,W216&lt;&gt;0),AND(BH217=0,W217&lt;&gt;0),AND(BH218=0,W218&lt;&gt;0)),"NO DEBEN QUEDAR CELDAS EN ROJO",SUM(BH200:BH218))</f>
        <v>26000000</v>
      </c>
      <c r="BI219" s="132">
        <f t="shared" si="58"/>
        <v>0</v>
      </c>
      <c r="BJ219" s="132">
        <f t="shared" si="58"/>
        <v>0</v>
      </c>
      <c r="BK219" s="132">
        <f t="shared" si="58"/>
        <v>0</v>
      </c>
      <c r="BL219" s="132">
        <f t="shared" si="58"/>
        <v>0</v>
      </c>
      <c r="BM219" s="132">
        <f t="shared" si="58"/>
        <v>80000000</v>
      </c>
      <c r="BN219" s="132">
        <f t="shared" si="58"/>
        <v>0</v>
      </c>
      <c r="BO219" s="132">
        <f t="shared" si="58"/>
        <v>0</v>
      </c>
      <c r="BP219" s="132">
        <f t="shared" si="58"/>
        <v>0</v>
      </c>
      <c r="BQ219" s="132">
        <f t="shared" si="58"/>
        <v>0</v>
      </c>
      <c r="BR219" s="132">
        <f t="shared" si="58"/>
        <v>0</v>
      </c>
      <c r="BS219" s="132">
        <f t="shared" si="58"/>
        <v>0</v>
      </c>
      <c r="BT219" s="132">
        <f t="shared" si="58"/>
        <v>0</v>
      </c>
      <c r="BU219" s="132">
        <f t="shared" si="58"/>
        <v>0</v>
      </c>
      <c r="BV219" s="132">
        <f t="shared" si="58"/>
        <v>0</v>
      </c>
      <c r="BW219" s="132">
        <f t="shared" si="58"/>
        <v>0</v>
      </c>
      <c r="BX219" s="132">
        <f>IF(OR(AND(BX200=0,AB200&lt;&gt;0),AND(BX201=0,AB201&lt;&gt;0),AND(BX202=0,AB202&lt;&gt;0),AND(BX203=0,AB203&lt;&gt;0),AND(BX204=0,AB204&lt;&gt;0),AND(BX205=0,AB205&lt;&gt;0),AND(BX206=0,AB206&lt;&gt;0),AND(BX207=0,AB207&lt;&gt;0),AND(BX208=0,AB208&lt;&gt;0),AND(BX209=0,AB209&lt;&gt;0),AND(BX210=0,AB210&lt;&gt;0),AND(BX211=0,AB211&lt;&gt;0),AND(BX212=0,AB212&lt;&gt;0),AND(BX213=0,AB213&lt;&gt;0),AND(BX214=0,AB214&lt;&gt;0),AND(BX215=0,AB215&lt;&gt;0),AND(BX216=0,AB216&lt;&gt;0),AND(BX217=0,AB217&lt;&gt;0),AND(BX218=0,AB218&lt;&gt;0)),"NO DEBEN QUEDAR CELDAS EN ROJO",SUM(BX200:BX218))</f>
        <v>80000000</v>
      </c>
      <c r="BY219" s="132">
        <f t="shared" si="58"/>
        <v>0</v>
      </c>
      <c r="BZ219" s="132">
        <f t="shared" si="58"/>
        <v>0</v>
      </c>
      <c r="CA219" s="132">
        <f t="shared" si="58"/>
        <v>0</v>
      </c>
      <c r="CB219" s="132">
        <f t="shared" si="58"/>
        <v>0</v>
      </c>
      <c r="CC219" s="132">
        <f t="shared" si="58"/>
        <v>82500000</v>
      </c>
      <c r="CD219" s="132">
        <f t="shared" si="58"/>
        <v>0</v>
      </c>
      <c r="CE219" s="132">
        <f t="shared" si="58"/>
        <v>0</v>
      </c>
      <c r="CF219" s="132">
        <f t="shared" si="58"/>
        <v>0</v>
      </c>
      <c r="CG219" s="132">
        <f t="shared" si="58"/>
        <v>0</v>
      </c>
      <c r="CH219" s="132">
        <f t="shared" si="58"/>
        <v>0</v>
      </c>
      <c r="CI219" s="132">
        <f t="shared" si="58"/>
        <v>0</v>
      </c>
      <c r="CJ219" s="132">
        <f t="shared" si="58"/>
        <v>0</v>
      </c>
      <c r="CK219" s="132">
        <f t="shared" si="58"/>
        <v>0</v>
      </c>
      <c r="CL219" s="132">
        <f t="shared" si="58"/>
        <v>0</v>
      </c>
      <c r="CM219" s="132">
        <f t="shared" si="58"/>
        <v>0</v>
      </c>
      <c r="CN219" s="132">
        <f>IF(OR(AND(CN200=0,AG200&lt;&gt;0),AND(CN201=0,AG201&lt;&gt;0),AND(CN202=0,AG202&lt;&gt;0),AND(CN203=0,AG203&lt;&gt;0),AND(CN204=0,AG204&lt;&gt;0),AND(CN205=0,AG205&lt;&gt;0),AND(CN206=0,AG206&lt;&gt;0),AND(CN207=0,AG207&lt;&gt;0),AND(CN208=0,AG208&lt;&gt;0),AND(CN209=0,AG209&lt;&gt;0),AND(CN210=0,AG210&lt;&gt;0),AND(CN211=0,AG211&lt;&gt;0),AND(CN212=0,AG212&lt;&gt;0),AND(CN213=0,AG213&lt;&gt;0),AND(CN214=0,AG214&lt;&gt;0),AND(CN215=0,AG215&lt;&gt;0),AND(CN216=0,AG216&lt;&gt;0),AND(CN217=0,AG217&lt;&gt;0),AND(CN218=0,AG218&lt;&gt;0)),"NO DEBEN QUEDAR CELDAS EN ROJO",SUM(CN200:CN218))</f>
        <v>82500000</v>
      </c>
      <c r="CO219" s="132">
        <f t="shared" si="58"/>
        <v>0</v>
      </c>
      <c r="CP219" s="132">
        <f t="shared" si="58"/>
        <v>0</v>
      </c>
      <c r="CQ219" s="132">
        <f t="shared" si="58"/>
        <v>0</v>
      </c>
      <c r="CR219" s="132">
        <f t="shared" si="58"/>
        <v>0</v>
      </c>
      <c r="CS219" s="132">
        <f t="shared" si="58"/>
        <v>85500000</v>
      </c>
      <c r="CT219" s="132">
        <f t="shared" si="58"/>
        <v>0</v>
      </c>
      <c r="CU219" s="132">
        <f t="shared" si="58"/>
        <v>0</v>
      </c>
      <c r="CV219" s="132">
        <f t="shared" si="58"/>
        <v>0</v>
      </c>
      <c r="CW219" s="132">
        <f t="shared" si="58"/>
        <v>0</v>
      </c>
      <c r="CX219" s="132">
        <f t="shared" si="58"/>
        <v>0</v>
      </c>
      <c r="CY219" s="132">
        <f t="shared" si="58"/>
        <v>0</v>
      </c>
      <c r="CZ219" s="132">
        <f t="shared" si="58"/>
        <v>0</v>
      </c>
      <c r="DA219" s="132">
        <f t="shared" si="58"/>
        <v>0</v>
      </c>
      <c r="DB219" s="132">
        <f t="shared" si="58"/>
        <v>0</v>
      </c>
      <c r="DC219" s="132">
        <f t="shared" si="58"/>
        <v>0</v>
      </c>
      <c r="DD219" s="132">
        <f>IF(OR(AND(DD200=0,AL200&lt;&gt;0),AND(DD201=0,AL201&lt;&gt;0),AND(DD202=0,AL202&lt;&gt;0),AND(DD203=0,AL203&lt;&gt;0),AND(DD204=0,AL204&lt;&gt;0),AND(DD205=0,AL205&lt;&gt;0),AND(DD206=0,AL206&lt;&gt;0),AND(DD207=0,AL207&lt;&gt;0),AND(DD208=0,AL208&lt;&gt;0),AND(DD209=0,AL209&lt;&gt;0),AND(DD210=0,AL210&lt;&gt;0),AND(DD211=0,AL211&lt;&gt;0),AND(DD212=0,AL212&lt;&gt;0),AND(DD213=0,AL213&lt;&gt;0),AND(DD214=0,AL214&lt;&gt;0),AND(DD215=0,AL215&lt;&gt;0),AND(DD216=0,AL216&lt;&gt;0),AND(DD217=0,AL217&lt;&gt;0),AND(DD218=0,AL218&lt;&gt;0)),"NO DEBEN QUEDAR CELDAS EN ROJO",SUM(DD200:DD218))</f>
        <v>85500000</v>
      </c>
      <c r="DE219" s="132">
        <f t="shared" si="58"/>
        <v>274000000</v>
      </c>
      <c r="DF219" s="101"/>
    </row>
    <row r="220" spans="1:110" s="98" customFormat="1" ht="114" customHeight="1">
      <c r="A220" s="103" t="s">
        <v>1236</v>
      </c>
      <c r="B220" s="103" t="s">
        <v>9</v>
      </c>
      <c r="C220" s="103" t="s">
        <v>1697</v>
      </c>
      <c r="D220" s="103">
        <v>14</v>
      </c>
      <c r="E220" s="103" t="s">
        <v>913</v>
      </c>
      <c r="F220" s="278" t="s">
        <v>914</v>
      </c>
      <c r="G220" s="103" t="s">
        <v>3387</v>
      </c>
      <c r="H220" s="103">
        <v>21</v>
      </c>
      <c r="I220" s="103" t="s">
        <v>915</v>
      </c>
      <c r="J220" s="103" t="s">
        <v>683</v>
      </c>
      <c r="K220" s="103">
        <v>0</v>
      </c>
      <c r="L220" s="102">
        <v>1200</v>
      </c>
      <c r="M220" s="103" t="s">
        <v>916</v>
      </c>
      <c r="N220" s="103" t="s">
        <v>917</v>
      </c>
      <c r="O220" s="103" t="s">
        <v>918</v>
      </c>
      <c r="P220" s="283">
        <v>201</v>
      </c>
      <c r="Q220" s="103" t="s">
        <v>3388</v>
      </c>
      <c r="R220" s="103" t="s">
        <v>919</v>
      </c>
      <c r="S220" s="103" t="s">
        <v>683</v>
      </c>
      <c r="T220" s="103">
        <v>1</v>
      </c>
      <c r="U220" s="267"/>
      <c r="V220" s="267">
        <v>1</v>
      </c>
      <c r="W220" s="224">
        <v>1</v>
      </c>
      <c r="X220" s="267"/>
      <c r="Y220" s="267"/>
      <c r="Z220" s="267">
        <v>1</v>
      </c>
      <c r="AA220" s="267"/>
      <c r="AB220" s="224">
        <v>1</v>
      </c>
      <c r="AC220" s="267"/>
      <c r="AD220" s="267"/>
      <c r="AE220" s="267">
        <v>1</v>
      </c>
      <c r="AF220" s="267"/>
      <c r="AG220" s="224">
        <v>1</v>
      </c>
      <c r="AH220" s="267"/>
      <c r="AI220" s="267"/>
      <c r="AJ220" s="267">
        <v>1</v>
      </c>
      <c r="AK220" s="267"/>
      <c r="AL220" s="224">
        <v>1</v>
      </c>
      <c r="AM220" s="102">
        <v>1</v>
      </c>
      <c r="AN220" s="103" t="s">
        <v>686</v>
      </c>
      <c r="AO220" s="103" t="s">
        <v>616</v>
      </c>
      <c r="AP220" s="103" t="s">
        <v>1226</v>
      </c>
      <c r="AQ220" s="103" t="s">
        <v>1207</v>
      </c>
      <c r="AR220" s="103" t="s">
        <v>951</v>
      </c>
      <c r="AS220" s="268"/>
      <c r="AT220" s="268"/>
      <c r="AU220" s="268"/>
      <c r="AV220" s="268"/>
      <c r="AW220" s="268">
        <v>1583758755</v>
      </c>
      <c r="AX220" s="268"/>
      <c r="AY220" s="268"/>
      <c r="AZ220" s="268"/>
      <c r="BA220" s="268"/>
      <c r="BB220" s="268"/>
      <c r="BC220" s="268"/>
      <c r="BD220" s="268"/>
      <c r="BE220" s="268"/>
      <c r="BF220" s="268"/>
      <c r="BG220" s="268"/>
      <c r="BH220" s="234">
        <f t="shared" ref="BH220:BH231" si="59">IF(W220=0,0,BG220+BF220+BE220+BD220+BC220+BB220+BA220+AZ220+AY220+AX220+AW220+AV220+AU220+AT220+AS220)</f>
        <v>1583758755</v>
      </c>
      <c r="BI220" s="268"/>
      <c r="BJ220" s="268"/>
      <c r="BK220" s="268"/>
      <c r="BL220" s="268"/>
      <c r="BM220" s="268">
        <v>1647109105</v>
      </c>
      <c r="BN220" s="268"/>
      <c r="BO220" s="268"/>
      <c r="BP220" s="268"/>
      <c r="BQ220" s="268"/>
      <c r="BR220" s="268"/>
      <c r="BS220" s="268"/>
      <c r="BT220" s="268"/>
      <c r="BU220" s="268"/>
      <c r="BV220" s="268"/>
      <c r="BW220" s="268"/>
      <c r="BX220" s="234">
        <f t="shared" ref="BX220:BX231" si="60">IF(AB220=0,0,BI220+BJ220+BK220+BL220+BM220+BN220+BO220+BP220+BQ220+BR220+BS220+BT220+BU220+BV220+BW220)</f>
        <v>1647109105</v>
      </c>
      <c r="BY220" s="268"/>
      <c r="BZ220" s="268"/>
      <c r="CA220" s="268"/>
      <c r="CB220" s="268"/>
      <c r="CC220" s="268">
        <v>1712993469</v>
      </c>
      <c r="CD220" s="268"/>
      <c r="CE220" s="268"/>
      <c r="CF220" s="268"/>
      <c r="CG220" s="268"/>
      <c r="CH220" s="268"/>
      <c r="CI220" s="268"/>
      <c r="CJ220" s="268"/>
      <c r="CK220" s="268"/>
      <c r="CL220" s="268"/>
      <c r="CM220" s="268"/>
      <c r="CN220" s="234">
        <f t="shared" ref="CN220:CN231" si="61">IF(AG220=0,0,(BY220+BZ220+CA220+CB220+CC220+CD220+CE220+CF220+CG220+CH220+CI220+CJ220+CK220+CL220+CM220))</f>
        <v>1712993469</v>
      </c>
      <c r="CO220" s="268"/>
      <c r="CP220" s="268"/>
      <c r="CQ220" s="268"/>
      <c r="CR220" s="268"/>
      <c r="CS220" s="268">
        <v>1798643143</v>
      </c>
      <c r="CT220" s="268"/>
      <c r="CU220" s="268"/>
      <c r="CV220" s="268"/>
      <c r="CW220" s="268"/>
      <c r="CX220" s="268"/>
      <c r="CY220" s="268"/>
      <c r="CZ220" s="268"/>
      <c r="DA220" s="268"/>
      <c r="DB220" s="268"/>
      <c r="DC220" s="268"/>
      <c r="DD220" s="234">
        <f t="shared" ref="DD220:DD231" si="62">IF(AL220=0,0,(CO220+CP220+CQ220+CR220+CS220+CT220+CU220+CV220+CW220+CX220+CY220+CZ220+DA220+DB220+DC220))</f>
        <v>1798643143</v>
      </c>
      <c r="DE220" s="243">
        <f t="shared" ref="DE220:DE231" si="63">SUM(DD220+CN220+BX220+BH220)</f>
        <v>6742504472</v>
      </c>
    </row>
    <row r="221" spans="1:110" s="98" customFormat="1" ht="114" customHeight="1">
      <c r="A221" s="103" t="s">
        <v>1236</v>
      </c>
      <c r="B221" s="279" t="s">
        <v>9</v>
      </c>
      <c r="C221" s="279" t="s">
        <v>1697</v>
      </c>
      <c r="D221" s="279">
        <v>14</v>
      </c>
      <c r="E221" s="279" t="s">
        <v>913</v>
      </c>
      <c r="F221" s="280" t="s">
        <v>914</v>
      </c>
      <c r="G221" s="279" t="s">
        <v>3387</v>
      </c>
      <c r="H221" s="279">
        <v>21</v>
      </c>
      <c r="I221" s="279" t="s">
        <v>915</v>
      </c>
      <c r="J221" s="279" t="s">
        <v>683</v>
      </c>
      <c r="K221" s="279">
        <v>0</v>
      </c>
      <c r="L221" s="104">
        <v>1200</v>
      </c>
      <c r="M221" s="279" t="s">
        <v>916</v>
      </c>
      <c r="N221" s="279" t="s">
        <v>917</v>
      </c>
      <c r="O221" s="279" t="s">
        <v>918</v>
      </c>
      <c r="P221" s="283">
        <v>202</v>
      </c>
      <c r="Q221" s="279" t="s">
        <v>2713</v>
      </c>
      <c r="R221" s="279" t="s">
        <v>341</v>
      </c>
      <c r="S221" s="279" t="s">
        <v>683</v>
      </c>
      <c r="T221" s="279">
        <v>0</v>
      </c>
      <c r="U221" s="267">
        <v>0.05</v>
      </c>
      <c r="V221" s="267">
        <v>0.05</v>
      </c>
      <c r="W221" s="224">
        <v>0.1</v>
      </c>
      <c r="X221" s="267"/>
      <c r="Y221" s="267">
        <v>0.1</v>
      </c>
      <c r="Z221" s="267">
        <v>0.1</v>
      </c>
      <c r="AA221" s="267">
        <v>0.1</v>
      </c>
      <c r="AB221" s="224">
        <v>0.30000000000000004</v>
      </c>
      <c r="AC221" s="267">
        <v>0.1</v>
      </c>
      <c r="AD221" s="267">
        <v>0.1</v>
      </c>
      <c r="AE221" s="267">
        <v>0.1</v>
      </c>
      <c r="AF221" s="267">
        <v>0.1</v>
      </c>
      <c r="AG221" s="224">
        <v>0.4</v>
      </c>
      <c r="AH221" s="267">
        <v>0.1</v>
      </c>
      <c r="AI221" s="267">
        <v>0.1</v>
      </c>
      <c r="AJ221" s="267"/>
      <c r="AK221" s="267"/>
      <c r="AL221" s="224">
        <v>0.2</v>
      </c>
      <c r="AM221" s="104">
        <v>1</v>
      </c>
      <c r="AN221" s="103" t="s">
        <v>685</v>
      </c>
      <c r="AO221" s="103" t="s">
        <v>616</v>
      </c>
      <c r="AP221" s="103" t="s">
        <v>1226</v>
      </c>
      <c r="AQ221" s="103" t="s">
        <v>1207</v>
      </c>
      <c r="AR221" s="103" t="s">
        <v>951</v>
      </c>
      <c r="AS221" s="271"/>
      <c r="AT221" s="271"/>
      <c r="AU221" s="271"/>
      <c r="AV221" s="271"/>
      <c r="AW221" s="271">
        <v>8000000</v>
      </c>
      <c r="AX221" s="271"/>
      <c r="AY221" s="271"/>
      <c r="AZ221" s="271"/>
      <c r="BA221" s="271"/>
      <c r="BB221" s="271"/>
      <c r="BC221" s="271"/>
      <c r="BD221" s="271"/>
      <c r="BE221" s="271"/>
      <c r="BF221" s="271"/>
      <c r="BG221" s="271"/>
      <c r="BH221" s="235">
        <f t="shared" si="59"/>
        <v>8000000</v>
      </c>
      <c r="BI221" s="271"/>
      <c r="BJ221" s="271"/>
      <c r="BK221" s="271"/>
      <c r="BL221" s="271"/>
      <c r="BM221" s="271">
        <v>100000</v>
      </c>
      <c r="BN221" s="271"/>
      <c r="BO221" s="271"/>
      <c r="BP221" s="271"/>
      <c r="BQ221" s="271"/>
      <c r="BR221" s="271"/>
      <c r="BS221" s="271"/>
      <c r="BT221" s="271"/>
      <c r="BU221" s="271"/>
      <c r="BV221" s="271"/>
      <c r="BW221" s="271"/>
      <c r="BX221" s="235">
        <f t="shared" si="60"/>
        <v>100000</v>
      </c>
      <c r="BY221" s="271"/>
      <c r="BZ221" s="271"/>
      <c r="CA221" s="271"/>
      <c r="CB221" s="271"/>
      <c r="CC221" s="271">
        <v>100000</v>
      </c>
      <c r="CD221" s="271"/>
      <c r="CE221" s="271"/>
      <c r="CF221" s="271"/>
      <c r="CG221" s="271"/>
      <c r="CH221" s="271"/>
      <c r="CI221" s="271"/>
      <c r="CJ221" s="271"/>
      <c r="CK221" s="271"/>
      <c r="CL221" s="271"/>
      <c r="CM221" s="271"/>
      <c r="CN221" s="235">
        <f t="shared" si="61"/>
        <v>100000</v>
      </c>
      <c r="CO221" s="271"/>
      <c r="CP221" s="271"/>
      <c r="CQ221" s="271"/>
      <c r="CR221" s="271"/>
      <c r="CS221" s="271">
        <v>100000</v>
      </c>
      <c r="CT221" s="271"/>
      <c r="CU221" s="271"/>
      <c r="CV221" s="271"/>
      <c r="CW221" s="271"/>
      <c r="CX221" s="271"/>
      <c r="CY221" s="271"/>
      <c r="CZ221" s="271"/>
      <c r="DA221" s="271"/>
      <c r="DB221" s="271"/>
      <c r="DC221" s="271"/>
      <c r="DD221" s="234">
        <f t="shared" si="62"/>
        <v>100000</v>
      </c>
      <c r="DE221" s="244">
        <f t="shared" si="63"/>
        <v>8300000</v>
      </c>
    </row>
    <row r="222" spans="1:110" s="98" customFormat="1" ht="114" customHeight="1">
      <c r="A222" s="103" t="s">
        <v>1236</v>
      </c>
      <c r="B222" s="279" t="s">
        <v>9</v>
      </c>
      <c r="C222" s="279" t="s">
        <v>1697</v>
      </c>
      <c r="D222" s="279">
        <v>14</v>
      </c>
      <c r="E222" s="279" t="s">
        <v>913</v>
      </c>
      <c r="F222" s="280" t="s">
        <v>914</v>
      </c>
      <c r="G222" s="279" t="s">
        <v>3387</v>
      </c>
      <c r="H222" s="279">
        <v>21</v>
      </c>
      <c r="I222" s="279" t="s">
        <v>915</v>
      </c>
      <c r="J222" s="279" t="s">
        <v>683</v>
      </c>
      <c r="K222" s="279">
        <v>0</v>
      </c>
      <c r="L222" s="104">
        <v>1200</v>
      </c>
      <c r="M222" s="279" t="s">
        <v>916</v>
      </c>
      <c r="N222" s="279" t="s">
        <v>917</v>
      </c>
      <c r="O222" s="279" t="s">
        <v>918</v>
      </c>
      <c r="P222" s="283">
        <v>203</v>
      </c>
      <c r="Q222" s="279" t="s">
        <v>3507</v>
      </c>
      <c r="R222" s="279" t="s">
        <v>342</v>
      </c>
      <c r="S222" s="279" t="s">
        <v>683</v>
      </c>
      <c r="T222" s="279">
        <v>0</v>
      </c>
      <c r="U222" s="267"/>
      <c r="V222" s="267"/>
      <c r="W222" s="224">
        <v>0</v>
      </c>
      <c r="X222" s="267"/>
      <c r="Y222" s="267">
        <v>1</v>
      </c>
      <c r="Z222" s="267">
        <v>1</v>
      </c>
      <c r="AA222" s="267">
        <v>1</v>
      </c>
      <c r="AB222" s="224">
        <v>3</v>
      </c>
      <c r="AC222" s="267"/>
      <c r="AD222" s="267">
        <v>1</v>
      </c>
      <c r="AE222" s="267">
        <v>1</v>
      </c>
      <c r="AF222" s="267">
        <v>1</v>
      </c>
      <c r="AG222" s="224">
        <v>3</v>
      </c>
      <c r="AH222" s="267">
        <v>1</v>
      </c>
      <c r="AI222" s="267">
        <v>1</v>
      </c>
      <c r="AJ222" s="267">
        <v>1</v>
      </c>
      <c r="AK222" s="267"/>
      <c r="AL222" s="224">
        <v>3</v>
      </c>
      <c r="AM222" s="104">
        <v>9</v>
      </c>
      <c r="AN222" s="103" t="s">
        <v>685</v>
      </c>
      <c r="AO222" s="103" t="s">
        <v>616</v>
      </c>
      <c r="AP222" s="103" t="s">
        <v>1226</v>
      </c>
      <c r="AQ222" s="103" t="s">
        <v>1207</v>
      </c>
      <c r="AR222" s="103" t="s">
        <v>951</v>
      </c>
      <c r="AS222" s="271"/>
      <c r="AT222" s="271"/>
      <c r="AU222" s="271"/>
      <c r="AV222" s="271"/>
      <c r="AW222" s="271"/>
      <c r="AX222" s="271"/>
      <c r="AY222" s="271"/>
      <c r="AZ222" s="271"/>
      <c r="BA222" s="271"/>
      <c r="BB222" s="271"/>
      <c r="BC222" s="271"/>
      <c r="BD222" s="271"/>
      <c r="BE222" s="271"/>
      <c r="BF222" s="271"/>
      <c r="BG222" s="271"/>
      <c r="BH222" s="235">
        <f t="shared" si="59"/>
        <v>0</v>
      </c>
      <c r="BI222" s="271"/>
      <c r="BJ222" s="271"/>
      <c r="BK222" s="271"/>
      <c r="BL222" s="271"/>
      <c r="BM222" s="271">
        <v>100000</v>
      </c>
      <c r="BN222" s="271"/>
      <c r="BO222" s="271"/>
      <c r="BP222" s="271"/>
      <c r="BQ222" s="271"/>
      <c r="BR222" s="271"/>
      <c r="BS222" s="271"/>
      <c r="BT222" s="271"/>
      <c r="BU222" s="271"/>
      <c r="BV222" s="271"/>
      <c r="BW222" s="271"/>
      <c r="BX222" s="235">
        <f t="shared" si="60"/>
        <v>100000</v>
      </c>
      <c r="BY222" s="271"/>
      <c r="BZ222" s="271"/>
      <c r="CA222" s="271"/>
      <c r="CB222" s="271"/>
      <c r="CC222" s="271">
        <v>100000</v>
      </c>
      <c r="CD222" s="271"/>
      <c r="CE222" s="271"/>
      <c r="CF222" s="271"/>
      <c r="CG222" s="271"/>
      <c r="CH222" s="271"/>
      <c r="CI222" s="271"/>
      <c r="CJ222" s="271"/>
      <c r="CK222" s="271"/>
      <c r="CL222" s="271"/>
      <c r="CM222" s="271"/>
      <c r="CN222" s="235">
        <f t="shared" si="61"/>
        <v>100000</v>
      </c>
      <c r="CO222" s="271"/>
      <c r="CP222" s="271"/>
      <c r="CQ222" s="271"/>
      <c r="CR222" s="271"/>
      <c r="CS222" s="271">
        <v>100000</v>
      </c>
      <c r="CT222" s="271"/>
      <c r="CU222" s="271"/>
      <c r="CV222" s="271"/>
      <c r="CW222" s="271"/>
      <c r="CX222" s="271"/>
      <c r="CY222" s="271"/>
      <c r="CZ222" s="271"/>
      <c r="DA222" s="271"/>
      <c r="DB222" s="271"/>
      <c r="DC222" s="271"/>
      <c r="DD222" s="234">
        <f t="shared" si="62"/>
        <v>100000</v>
      </c>
      <c r="DE222" s="244">
        <f t="shared" si="63"/>
        <v>300000</v>
      </c>
    </row>
    <row r="223" spans="1:110" s="98" customFormat="1" ht="114" customHeight="1">
      <c r="A223" s="103" t="s">
        <v>1236</v>
      </c>
      <c r="B223" s="279" t="s">
        <v>9</v>
      </c>
      <c r="C223" s="279" t="s">
        <v>1697</v>
      </c>
      <c r="D223" s="279">
        <v>14</v>
      </c>
      <c r="E223" s="279" t="s">
        <v>913</v>
      </c>
      <c r="F223" s="280" t="s">
        <v>914</v>
      </c>
      <c r="G223" s="279" t="s">
        <v>3387</v>
      </c>
      <c r="H223" s="279">
        <v>21</v>
      </c>
      <c r="I223" s="279" t="s">
        <v>915</v>
      </c>
      <c r="J223" s="279" t="s">
        <v>683</v>
      </c>
      <c r="K223" s="279">
        <v>0</v>
      </c>
      <c r="L223" s="104">
        <v>1200</v>
      </c>
      <c r="M223" s="279" t="s">
        <v>916</v>
      </c>
      <c r="N223" s="279" t="s">
        <v>917</v>
      </c>
      <c r="O223" s="279" t="s">
        <v>918</v>
      </c>
      <c r="P223" s="283">
        <v>204</v>
      </c>
      <c r="Q223" s="279" t="s">
        <v>3389</v>
      </c>
      <c r="R223" s="279" t="s">
        <v>343</v>
      </c>
      <c r="S223" s="279" t="s">
        <v>683</v>
      </c>
      <c r="T223" s="279">
        <v>0</v>
      </c>
      <c r="U223" s="267"/>
      <c r="V223" s="267">
        <v>0.5</v>
      </c>
      <c r="W223" s="224">
        <v>0.5</v>
      </c>
      <c r="X223" s="267"/>
      <c r="Y223" s="267">
        <v>0.5</v>
      </c>
      <c r="Z223" s="267"/>
      <c r="AA223" s="267"/>
      <c r="AB223" s="224">
        <v>0.5</v>
      </c>
      <c r="AC223" s="267"/>
      <c r="AD223" s="267">
        <v>1</v>
      </c>
      <c r="AE223" s="267"/>
      <c r="AF223" s="267"/>
      <c r="AG223" s="224">
        <v>1</v>
      </c>
      <c r="AH223" s="267"/>
      <c r="AI223" s="267"/>
      <c r="AJ223" s="267"/>
      <c r="AK223" s="267"/>
      <c r="AL223" s="224">
        <v>0</v>
      </c>
      <c r="AM223" s="104">
        <v>2</v>
      </c>
      <c r="AN223" s="103" t="s">
        <v>685</v>
      </c>
      <c r="AO223" s="103" t="s">
        <v>616</v>
      </c>
      <c r="AP223" s="103" t="s">
        <v>1226</v>
      </c>
      <c r="AQ223" s="103" t="s">
        <v>1207</v>
      </c>
      <c r="AR223" s="103" t="s">
        <v>951</v>
      </c>
      <c r="AS223" s="271"/>
      <c r="AT223" s="271"/>
      <c r="AU223" s="271"/>
      <c r="AV223" s="271"/>
      <c r="AW223" s="271">
        <v>8000000</v>
      </c>
      <c r="AX223" s="271"/>
      <c r="AY223" s="271"/>
      <c r="AZ223" s="271"/>
      <c r="BA223" s="271"/>
      <c r="BB223" s="271"/>
      <c r="BC223" s="271"/>
      <c r="BD223" s="271"/>
      <c r="BE223" s="271"/>
      <c r="BF223" s="271"/>
      <c r="BG223" s="271"/>
      <c r="BH223" s="235">
        <f t="shared" si="59"/>
        <v>8000000</v>
      </c>
      <c r="BI223" s="271"/>
      <c r="BJ223" s="271"/>
      <c r="BK223" s="271"/>
      <c r="BL223" s="271"/>
      <c r="BM223" s="271">
        <v>200000</v>
      </c>
      <c r="BN223" s="271"/>
      <c r="BO223" s="271"/>
      <c r="BP223" s="271"/>
      <c r="BQ223" s="271"/>
      <c r="BR223" s="271"/>
      <c r="BS223" s="271"/>
      <c r="BT223" s="271"/>
      <c r="BU223" s="271"/>
      <c r="BV223" s="271"/>
      <c r="BW223" s="271"/>
      <c r="BX223" s="235">
        <f t="shared" si="60"/>
        <v>200000</v>
      </c>
      <c r="BY223" s="271"/>
      <c r="BZ223" s="271"/>
      <c r="CA223" s="271"/>
      <c r="CB223" s="271"/>
      <c r="CC223" s="271">
        <v>200000</v>
      </c>
      <c r="CD223" s="271"/>
      <c r="CE223" s="271"/>
      <c r="CF223" s="271"/>
      <c r="CG223" s="271"/>
      <c r="CH223" s="271"/>
      <c r="CI223" s="271"/>
      <c r="CJ223" s="271"/>
      <c r="CK223" s="271"/>
      <c r="CL223" s="271"/>
      <c r="CM223" s="271"/>
      <c r="CN223" s="235">
        <f t="shared" si="61"/>
        <v>200000</v>
      </c>
      <c r="CO223" s="271"/>
      <c r="CP223" s="271"/>
      <c r="CQ223" s="271"/>
      <c r="CR223" s="271"/>
      <c r="CS223" s="271"/>
      <c r="CT223" s="271"/>
      <c r="CU223" s="271"/>
      <c r="CV223" s="271"/>
      <c r="CW223" s="271"/>
      <c r="CX223" s="271"/>
      <c r="CY223" s="271"/>
      <c r="CZ223" s="271"/>
      <c r="DA223" s="271"/>
      <c r="DB223" s="271"/>
      <c r="DC223" s="271"/>
      <c r="DD223" s="234">
        <f t="shared" si="62"/>
        <v>0</v>
      </c>
      <c r="DE223" s="244">
        <f t="shared" si="63"/>
        <v>8400000</v>
      </c>
    </row>
    <row r="224" spans="1:110" s="98" customFormat="1" ht="114" customHeight="1">
      <c r="A224" s="103" t="s">
        <v>1236</v>
      </c>
      <c r="B224" s="279" t="s">
        <v>9</v>
      </c>
      <c r="C224" s="279" t="s">
        <v>1697</v>
      </c>
      <c r="D224" s="279">
        <v>14</v>
      </c>
      <c r="E224" s="279" t="s">
        <v>913</v>
      </c>
      <c r="F224" s="280" t="s">
        <v>914</v>
      </c>
      <c r="G224" s="279" t="s">
        <v>3387</v>
      </c>
      <c r="H224" s="279">
        <v>21</v>
      </c>
      <c r="I224" s="279" t="s">
        <v>915</v>
      </c>
      <c r="J224" s="279" t="s">
        <v>683</v>
      </c>
      <c r="K224" s="279">
        <v>0</v>
      </c>
      <c r="L224" s="104">
        <v>1200</v>
      </c>
      <c r="M224" s="279" t="s">
        <v>916</v>
      </c>
      <c r="N224" s="279" t="s">
        <v>917</v>
      </c>
      <c r="O224" s="279" t="s">
        <v>918</v>
      </c>
      <c r="P224" s="283">
        <v>205</v>
      </c>
      <c r="Q224" s="279" t="s">
        <v>2714</v>
      </c>
      <c r="R224" s="279" t="s">
        <v>344</v>
      </c>
      <c r="S224" s="279" t="s">
        <v>683</v>
      </c>
      <c r="T224" s="279">
        <v>0</v>
      </c>
      <c r="U224" s="267">
        <v>0.05</v>
      </c>
      <c r="V224" s="267">
        <v>0.05</v>
      </c>
      <c r="W224" s="224">
        <v>0.1</v>
      </c>
      <c r="X224" s="267"/>
      <c r="Y224" s="267">
        <v>0.1</v>
      </c>
      <c r="Z224" s="267">
        <v>0.1</v>
      </c>
      <c r="AA224" s="267">
        <v>0.1</v>
      </c>
      <c r="AB224" s="224">
        <v>0.30000000000000004</v>
      </c>
      <c r="AC224" s="267"/>
      <c r="AD224" s="267">
        <v>0.1</v>
      </c>
      <c r="AE224" s="267">
        <v>0.1</v>
      </c>
      <c r="AF224" s="267">
        <v>0.1</v>
      </c>
      <c r="AG224" s="224">
        <v>0.30000000000000004</v>
      </c>
      <c r="AH224" s="267">
        <v>0.1</v>
      </c>
      <c r="AI224" s="267">
        <v>0.1</v>
      </c>
      <c r="AJ224" s="267">
        <v>0.1</v>
      </c>
      <c r="AK224" s="267"/>
      <c r="AL224" s="224">
        <v>0.30000000000000004</v>
      </c>
      <c r="AM224" s="104">
        <v>1</v>
      </c>
      <c r="AN224" s="103" t="s">
        <v>685</v>
      </c>
      <c r="AO224" s="103" t="s">
        <v>616</v>
      </c>
      <c r="AP224" s="103" t="s">
        <v>1226</v>
      </c>
      <c r="AQ224" s="103" t="s">
        <v>1207</v>
      </c>
      <c r="AR224" s="103" t="s">
        <v>951</v>
      </c>
      <c r="AS224" s="271"/>
      <c r="AT224" s="271"/>
      <c r="AU224" s="271"/>
      <c r="AV224" s="271"/>
      <c r="AW224" s="271">
        <v>8000000</v>
      </c>
      <c r="AX224" s="271"/>
      <c r="AY224" s="271"/>
      <c r="AZ224" s="271"/>
      <c r="BA224" s="271"/>
      <c r="BB224" s="271"/>
      <c r="BC224" s="271"/>
      <c r="BD224" s="271"/>
      <c r="BE224" s="271"/>
      <c r="BF224" s="271"/>
      <c r="BG224" s="271"/>
      <c r="BH224" s="235">
        <f t="shared" si="59"/>
        <v>8000000</v>
      </c>
      <c r="BI224" s="271"/>
      <c r="BJ224" s="271"/>
      <c r="BK224" s="271"/>
      <c r="BL224" s="271"/>
      <c r="BM224" s="271">
        <v>100000</v>
      </c>
      <c r="BN224" s="271"/>
      <c r="BO224" s="271"/>
      <c r="BP224" s="271"/>
      <c r="BQ224" s="271"/>
      <c r="BR224" s="271"/>
      <c r="BS224" s="271"/>
      <c r="BT224" s="271"/>
      <c r="BU224" s="271"/>
      <c r="BV224" s="271"/>
      <c r="BW224" s="271"/>
      <c r="BX224" s="235">
        <f t="shared" si="60"/>
        <v>100000</v>
      </c>
      <c r="BY224" s="271"/>
      <c r="BZ224" s="271"/>
      <c r="CA224" s="271"/>
      <c r="CB224" s="271"/>
      <c r="CC224" s="271">
        <v>100000</v>
      </c>
      <c r="CD224" s="271"/>
      <c r="CE224" s="271"/>
      <c r="CF224" s="271"/>
      <c r="CG224" s="271"/>
      <c r="CH224" s="271"/>
      <c r="CI224" s="271"/>
      <c r="CJ224" s="271"/>
      <c r="CK224" s="271"/>
      <c r="CL224" s="271"/>
      <c r="CM224" s="271"/>
      <c r="CN224" s="235">
        <f t="shared" si="61"/>
        <v>100000</v>
      </c>
      <c r="CO224" s="271"/>
      <c r="CP224" s="271"/>
      <c r="CQ224" s="271"/>
      <c r="CR224" s="271"/>
      <c r="CS224" s="271">
        <v>100000</v>
      </c>
      <c r="CT224" s="271"/>
      <c r="CU224" s="271"/>
      <c r="CV224" s="271"/>
      <c r="CW224" s="271"/>
      <c r="CX224" s="271"/>
      <c r="CY224" s="271"/>
      <c r="CZ224" s="271"/>
      <c r="DA224" s="271"/>
      <c r="DB224" s="271"/>
      <c r="DC224" s="271"/>
      <c r="DD224" s="234">
        <f t="shared" si="62"/>
        <v>100000</v>
      </c>
      <c r="DE224" s="244">
        <f t="shared" si="63"/>
        <v>8300000</v>
      </c>
    </row>
    <row r="225" spans="1:110" s="98" customFormat="1" ht="114" customHeight="1">
      <c r="A225" s="103" t="s">
        <v>1236</v>
      </c>
      <c r="B225" s="279" t="s">
        <v>9</v>
      </c>
      <c r="C225" s="279" t="s">
        <v>1697</v>
      </c>
      <c r="D225" s="279">
        <v>14</v>
      </c>
      <c r="E225" s="279" t="s">
        <v>913</v>
      </c>
      <c r="F225" s="280" t="s">
        <v>914</v>
      </c>
      <c r="G225" s="279" t="s">
        <v>3387</v>
      </c>
      <c r="H225" s="279">
        <v>21</v>
      </c>
      <c r="I225" s="279" t="s">
        <v>915</v>
      </c>
      <c r="J225" s="279" t="s">
        <v>683</v>
      </c>
      <c r="K225" s="279">
        <v>0</v>
      </c>
      <c r="L225" s="104">
        <v>1200</v>
      </c>
      <c r="M225" s="279" t="s">
        <v>920</v>
      </c>
      <c r="N225" s="279" t="s">
        <v>921</v>
      </c>
      <c r="O225" s="279" t="s">
        <v>922</v>
      </c>
      <c r="P225" s="283">
        <v>206</v>
      </c>
      <c r="Q225" s="279" t="s">
        <v>2715</v>
      </c>
      <c r="R225" s="279" t="s">
        <v>345</v>
      </c>
      <c r="S225" s="279" t="s">
        <v>683</v>
      </c>
      <c r="T225" s="279">
        <v>0</v>
      </c>
      <c r="U225" s="267"/>
      <c r="V225" s="267"/>
      <c r="W225" s="224">
        <v>0</v>
      </c>
      <c r="X225" s="267"/>
      <c r="Y225" s="267"/>
      <c r="Z225" s="267">
        <v>0.2</v>
      </c>
      <c r="AA225" s="267">
        <v>0.2</v>
      </c>
      <c r="AB225" s="224">
        <v>0.4</v>
      </c>
      <c r="AC225" s="267">
        <v>0.2</v>
      </c>
      <c r="AD225" s="267">
        <v>0.2</v>
      </c>
      <c r="AE225" s="267">
        <v>0.2</v>
      </c>
      <c r="AF225" s="267"/>
      <c r="AG225" s="224">
        <v>0.60000000000000009</v>
      </c>
      <c r="AH225" s="267"/>
      <c r="AI225" s="267"/>
      <c r="AJ225" s="267"/>
      <c r="AK225" s="267"/>
      <c r="AL225" s="224">
        <v>0</v>
      </c>
      <c r="AM225" s="104">
        <v>1</v>
      </c>
      <c r="AN225" s="103" t="s">
        <v>685</v>
      </c>
      <c r="AO225" s="103" t="s">
        <v>616</v>
      </c>
      <c r="AP225" s="103" t="s">
        <v>1226</v>
      </c>
      <c r="AQ225" s="103" t="s">
        <v>1207</v>
      </c>
      <c r="AR225" s="103" t="s">
        <v>951</v>
      </c>
      <c r="AS225" s="271"/>
      <c r="AT225" s="271"/>
      <c r="AU225" s="271"/>
      <c r="AV225" s="271"/>
      <c r="AW225" s="271"/>
      <c r="AX225" s="271"/>
      <c r="AY225" s="271"/>
      <c r="AZ225" s="271"/>
      <c r="BA225" s="271"/>
      <c r="BB225" s="271"/>
      <c r="BC225" s="271"/>
      <c r="BD225" s="271"/>
      <c r="BE225" s="271"/>
      <c r="BF225" s="271"/>
      <c r="BG225" s="271"/>
      <c r="BH225" s="235">
        <f t="shared" si="59"/>
        <v>0</v>
      </c>
      <c r="BI225" s="271"/>
      <c r="BJ225" s="271"/>
      <c r="BK225" s="271"/>
      <c r="BL225" s="271"/>
      <c r="BM225" s="271">
        <v>100000</v>
      </c>
      <c r="BN225" s="271"/>
      <c r="BO225" s="271"/>
      <c r="BP225" s="271"/>
      <c r="BQ225" s="271"/>
      <c r="BR225" s="271"/>
      <c r="BS225" s="271"/>
      <c r="BT225" s="271"/>
      <c r="BU225" s="271"/>
      <c r="BV225" s="271"/>
      <c r="BW225" s="271"/>
      <c r="BX225" s="235">
        <f t="shared" si="60"/>
        <v>100000</v>
      </c>
      <c r="BY225" s="271"/>
      <c r="BZ225" s="271"/>
      <c r="CA225" s="271"/>
      <c r="CB225" s="271"/>
      <c r="CC225" s="271">
        <v>1100000</v>
      </c>
      <c r="CD225" s="271"/>
      <c r="CE225" s="271"/>
      <c r="CF225" s="271"/>
      <c r="CG225" s="271"/>
      <c r="CH225" s="271"/>
      <c r="CI225" s="271"/>
      <c r="CJ225" s="271"/>
      <c r="CK225" s="271"/>
      <c r="CL225" s="271"/>
      <c r="CM225" s="271"/>
      <c r="CN225" s="235">
        <f t="shared" si="61"/>
        <v>1100000</v>
      </c>
      <c r="CO225" s="271"/>
      <c r="CP225" s="271"/>
      <c r="CQ225" s="271"/>
      <c r="CR225" s="271"/>
      <c r="CS225" s="271"/>
      <c r="CT225" s="271"/>
      <c r="CU225" s="271"/>
      <c r="CV225" s="271"/>
      <c r="CW225" s="271"/>
      <c r="CX225" s="271"/>
      <c r="CY225" s="271"/>
      <c r="CZ225" s="271"/>
      <c r="DA225" s="271"/>
      <c r="DB225" s="271"/>
      <c r="DC225" s="271"/>
      <c r="DD225" s="234">
        <f t="shared" si="62"/>
        <v>0</v>
      </c>
      <c r="DE225" s="244">
        <f t="shared" si="63"/>
        <v>1200000</v>
      </c>
    </row>
    <row r="226" spans="1:110" s="98" customFormat="1" ht="114" customHeight="1">
      <c r="A226" s="103" t="s">
        <v>1236</v>
      </c>
      <c r="B226" s="279" t="s">
        <v>9</v>
      </c>
      <c r="C226" s="279" t="s">
        <v>1697</v>
      </c>
      <c r="D226" s="279">
        <v>14</v>
      </c>
      <c r="E226" s="279" t="s">
        <v>913</v>
      </c>
      <c r="F226" s="280" t="s">
        <v>914</v>
      </c>
      <c r="G226" s="279" t="s">
        <v>3387</v>
      </c>
      <c r="H226" s="279">
        <v>21</v>
      </c>
      <c r="I226" s="279" t="s">
        <v>915</v>
      </c>
      <c r="J226" s="279" t="s">
        <v>683</v>
      </c>
      <c r="K226" s="279">
        <v>0</v>
      </c>
      <c r="L226" s="104">
        <v>1200</v>
      </c>
      <c r="M226" s="279" t="s">
        <v>920</v>
      </c>
      <c r="N226" s="279" t="s">
        <v>921</v>
      </c>
      <c r="O226" s="279" t="s">
        <v>922</v>
      </c>
      <c r="P226" s="283">
        <v>207</v>
      </c>
      <c r="Q226" s="279" t="s">
        <v>3390</v>
      </c>
      <c r="R226" s="279" t="s">
        <v>923</v>
      </c>
      <c r="S226" s="279" t="s">
        <v>683</v>
      </c>
      <c r="T226" s="279">
        <v>0</v>
      </c>
      <c r="U226" s="267"/>
      <c r="V226" s="267"/>
      <c r="W226" s="224">
        <v>0</v>
      </c>
      <c r="X226" s="267">
        <v>3</v>
      </c>
      <c r="Y226" s="267">
        <v>6</v>
      </c>
      <c r="Z226" s="267">
        <v>5</v>
      </c>
      <c r="AA226" s="267">
        <v>5</v>
      </c>
      <c r="AB226" s="224">
        <v>19</v>
      </c>
      <c r="AC226" s="267">
        <v>3</v>
      </c>
      <c r="AD226" s="267">
        <v>6</v>
      </c>
      <c r="AE226" s="267">
        <v>6</v>
      </c>
      <c r="AF226" s="267">
        <v>4</v>
      </c>
      <c r="AG226" s="224">
        <v>19</v>
      </c>
      <c r="AH226" s="267">
        <v>3</v>
      </c>
      <c r="AI226" s="267">
        <v>3</v>
      </c>
      <c r="AJ226" s="267"/>
      <c r="AK226" s="267"/>
      <c r="AL226" s="224">
        <v>6</v>
      </c>
      <c r="AM226" s="104">
        <v>44</v>
      </c>
      <c r="AN226" s="103" t="s">
        <v>685</v>
      </c>
      <c r="AO226" s="103" t="s">
        <v>616</v>
      </c>
      <c r="AP226" s="103" t="s">
        <v>1226</v>
      </c>
      <c r="AQ226" s="103" t="s">
        <v>1207</v>
      </c>
      <c r="AR226" s="103" t="s">
        <v>951</v>
      </c>
      <c r="AS226" s="271"/>
      <c r="AT226" s="271"/>
      <c r="AU226" s="271"/>
      <c r="AV226" s="271"/>
      <c r="AW226" s="271"/>
      <c r="AX226" s="271"/>
      <c r="AY226" s="271"/>
      <c r="AZ226" s="271"/>
      <c r="BA226" s="271"/>
      <c r="BB226" s="271"/>
      <c r="BC226" s="271"/>
      <c r="BD226" s="271"/>
      <c r="BE226" s="271"/>
      <c r="BF226" s="271"/>
      <c r="BG226" s="271"/>
      <c r="BH226" s="235">
        <f t="shared" si="59"/>
        <v>0</v>
      </c>
      <c r="BI226" s="271"/>
      <c r="BJ226" s="271"/>
      <c r="BK226" s="271"/>
      <c r="BL226" s="271"/>
      <c r="BM226" s="271">
        <v>200000</v>
      </c>
      <c r="BN226" s="271"/>
      <c r="BO226" s="271"/>
      <c r="BP226" s="271"/>
      <c r="BQ226" s="271"/>
      <c r="BR226" s="271"/>
      <c r="BS226" s="271"/>
      <c r="BT226" s="271"/>
      <c r="BU226" s="271"/>
      <c r="BV226" s="271"/>
      <c r="BW226" s="271"/>
      <c r="BX226" s="235">
        <f t="shared" si="60"/>
        <v>200000</v>
      </c>
      <c r="BY226" s="271"/>
      <c r="BZ226" s="271"/>
      <c r="CA226" s="271"/>
      <c r="CB226" s="271"/>
      <c r="CC226" s="271">
        <v>1200000</v>
      </c>
      <c r="CD226" s="271"/>
      <c r="CE226" s="271"/>
      <c r="CF226" s="271"/>
      <c r="CG226" s="271"/>
      <c r="CH226" s="271"/>
      <c r="CI226" s="271"/>
      <c r="CJ226" s="271"/>
      <c r="CK226" s="271"/>
      <c r="CL226" s="271"/>
      <c r="CM226" s="271"/>
      <c r="CN226" s="235">
        <f t="shared" si="61"/>
        <v>1200000</v>
      </c>
      <c r="CO226" s="271"/>
      <c r="CP226" s="271"/>
      <c r="CQ226" s="271"/>
      <c r="CR226" s="271"/>
      <c r="CS226" s="271">
        <v>1200000</v>
      </c>
      <c r="CT226" s="271"/>
      <c r="CU226" s="271"/>
      <c r="CV226" s="271"/>
      <c r="CW226" s="271"/>
      <c r="CX226" s="271"/>
      <c r="CY226" s="271"/>
      <c r="CZ226" s="271"/>
      <c r="DA226" s="271"/>
      <c r="DB226" s="271"/>
      <c r="DC226" s="271"/>
      <c r="DD226" s="234">
        <f t="shared" si="62"/>
        <v>1200000</v>
      </c>
      <c r="DE226" s="244">
        <f t="shared" si="63"/>
        <v>2600000</v>
      </c>
    </row>
    <row r="227" spans="1:110" s="98" customFormat="1" ht="114" customHeight="1">
      <c r="A227" s="103" t="s">
        <v>1236</v>
      </c>
      <c r="B227" s="279" t="s">
        <v>9</v>
      </c>
      <c r="C227" s="279" t="s">
        <v>1697</v>
      </c>
      <c r="D227" s="279">
        <v>14</v>
      </c>
      <c r="E227" s="279" t="s">
        <v>913</v>
      </c>
      <c r="F227" s="280" t="s">
        <v>914</v>
      </c>
      <c r="G227" s="279" t="s">
        <v>3387</v>
      </c>
      <c r="H227" s="279">
        <v>21</v>
      </c>
      <c r="I227" s="279" t="s">
        <v>915</v>
      </c>
      <c r="J227" s="279" t="s">
        <v>683</v>
      </c>
      <c r="K227" s="279">
        <v>0</v>
      </c>
      <c r="L227" s="104">
        <v>1200</v>
      </c>
      <c r="M227" s="279" t="s">
        <v>920</v>
      </c>
      <c r="N227" s="279" t="s">
        <v>921</v>
      </c>
      <c r="O227" s="279" t="s">
        <v>922</v>
      </c>
      <c r="P227" s="283">
        <v>208</v>
      </c>
      <c r="Q227" s="279" t="s">
        <v>3391</v>
      </c>
      <c r="R227" s="279" t="s">
        <v>346</v>
      </c>
      <c r="S227" s="279" t="s">
        <v>683</v>
      </c>
      <c r="T227" s="279">
        <v>0</v>
      </c>
      <c r="U227" s="267"/>
      <c r="V227" s="267"/>
      <c r="W227" s="224">
        <v>0</v>
      </c>
      <c r="X227" s="267"/>
      <c r="Y227" s="267">
        <v>1</v>
      </c>
      <c r="Z227" s="267"/>
      <c r="AA227" s="267"/>
      <c r="AB227" s="224">
        <v>1</v>
      </c>
      <c r="AC227" s="267"/>
      <c r="AD227" s="267">
        <v>1</v>
      </c>
      <c r="AE227" s="267"/>
      <c r="AF227" s="267"/>
      <c r="AG227" s="224">
        <v>1</v>
      </c>
      <c r="AH227" s="267"/>
      <c r="AI227" s="267">
        <v>1</v>
      </c>
      <c r="AJ227" s="267"/>
      <c r="AK227" s="267"/>
      <c r="AL227" s="224">
        <v>1</v>
      </c>
      <c r="AM227" s="104">
        <v>3</v>
      </c>
      <c r="AN227" s="103" t="s">
        <v>685</v>
      </c>
      <c r="AO227" s="103" t="s">
        <v>616</v>
      </c>
      <c r="AP227" s="103" t="s">
        <v>1226</v>
      </c>
      <c r="AQ227" s="103" t="s">
        <v>1207</v>
      </c>
      <c r="AR227" s="103" t="s">
        <v>951</v>
      </c>
      <c r="AS227" s="271"/>
      <c r="AT227" s="271"/>
      <c r="AU227" s="271"/>
      <c r="AV227" s="271"/>
      <c r="AW227" s="271"/>
      <c r="AX227" s="271"/>
      <c r="AY227" s="271"/>
      <c r="AZ227" s="271"/>
      <c r="BA227" s="271"/>
      <c r="BB227" s="271"/>
      <c r="BC227" s="271"/>
      <c r="BD227" s="271"/>
      <c r="BE227" s="271"/>
      <c r="BF227" s="271"/>
      <c r="BG227" s="271"/>
      <c r="BH227" s="235">
        <f t="shared" si="59"/>
        <v>0</v>
      </c>
      <c r="BI227" s="271"/>
      <c r="BJ227" s="271"/>
      <c r="BK227" s="271"/>
      <c r="BL227" s="271"/>
      <c r="BM227" s="271">
        <v>4000000</v>
      </c>
      <c r="BN227" s="271"/>
      <c r="BO227" s="271"/>
      <c r="BP227" s="271"/>
      <c r="BQ227" s="271"/>
      <c r="BR227" s="271"/>
      <c r="BS227" s="271"/>
      <c r="BT227" s="271"/>
      <c r="BU227" s="271"/>
      <c r="BV227" s="271"/>
      <c r="BW227" s="271"/>
      <c r="BX227" s="235">
        <f t="shared" si="60"/>
        <v>4000000</v>
      </c>
      <c r="BY227" s="271"/>
      <c r="BZ227" s="271"/>
      <c r="CA227" s="271"/>
      <c r="CB227" s="271"/>
      <c r="CC227" s="271">
        <v>4500000</v>
      </c>
      <c r="CD227" s="271"/>
      <c r="CE227" s="271"/>
      <c r="CF227" s="271"/>
      <c r="CG227" s="271"/>
      <c r="CH227" s="271"/>
      <c r="CI227" s="271"/>
      <c r="CJ227" s="271"/>
      <c r="CK227" s="271"/>
      <c r="CL227" s="271"/>
      <c r="CM227" s="271"/>
      <c r="CN227" s="235">
        <f t="shared" si="61"/>
        <v>4500000</v>
      </c>
      <c r="CO227" s="271"/>
      <c r="CP227" s="271"/>
      <c r="CQ227" s="271"/>
      <c r="CR227" s="271"/>
      <c r="CS227" s="271">
        <v>6500000</v>
      </c>
      <c r="CT227" s="271"/>
      <c r="CU227" s="271"/>
      <c r="CV227" s="271"/>
      <c r="CW227" s="271"/>
      <c r="CX227" s="271"/>
      <c r="CY227" s="271"/>
      <c r="CZ227" s="271"/>
      <c r="DA227" s="271"/>
      <c r="DB227" s="271"/>
      <c r="DC227" s="271"/>
      <c r="DD227" s="234">
        <f t="shared" si="62"/>
        <v>6500000</v>
      </c>
      <c r="DE227" s="244">
        <f t="shared" si="63"/>
        <v>15000000</v>
      </c>
    </row>
    <row r="228" spans="1:110" s="98" customFormat="1" ht="114" customHeight="1">
      <c r="A228" s="103" t="s">
        <v>1236</v>
      </c>
      <c r="B228" s="279" t="s">
        <v>9</v>
      </c>
      <c r="C228" s="279" t="s">
        <v>1697</v>
      </c>
      <c r="D228" s="279">
        <v>14</v>
      </c>
      <c r="E228" s="279" t="s">
        <v>913</v>
      </c>
      <c r="F228" s="280" t="s">
        <v>914</v>
      </c>
      <c r="G228" s="279" t="s">
        <v>3387</v>
      </c>
      <c r="H228" s="279">
        <v>21</v>
      </c>
      <c r="I228" s="279" t="s">
        <v>915</v>
      </c>
      <c r="J228" s="279" t="s">
        <v>683</v>
      </c>
      <c r="K228" s="279">
        <v>0</v>
      </c>
      <c r="L228" s="104">
        <v>1200</v>
      </c>
      <c r="M228" s="279" t="s">
        <v>924</v>
      </c>
      <c r="N228" s="279" t="s">
        <v>925</v>
      </c>
      <c r="O228" s="279" t="s">
        <v>926</v>
      </c>
      <c r="P228" s="283">
        <v>209</v>
      </c>
      <c r="Q228" s="279" t="s">
        <v>2716</v>
      </c>
      <c r="R228" s="279" t="s">
        <v>347</v>
      </c>
      <c r="S228" s="279" t="s">
        <v>683</v>
      </c>
      <c r="T228" s="279">
        <v>20</v>
      </c>
      <c r="U228" s="267"/>
      <c r="V228" s="267"/>
      <c r="W228" s="224">
        <v>0</v>
      </c>
      <c r="X228" s="267"/>
      <c r="Y228" s="267"/>
      <c r="Z228" s="267">
        <v>1</v>
      </c>
      <c r="AA228" s="267"/>
      <c r="AB228" s="224">
        <v>1</v>
      </c>
      <c r="AC228" s="267"/>
      <c r="AD228" s="267"/>
      <c r="AE228" s="267">
        <v>1</v>
      </c>
      <c r="AF228" s="267"/>
      <c r="AG228" s="224">
        <v>1</v>
      </c>
      <c r="AH228" s="267"/>
      <c r="AI228" s="267"/>
      <c r="AJ228" s="267">
        <v>1</v>
      </c>
      <c r="AK228" s="267"/>
      <c r="AL228" s="224">
        <v>1</v>
      </c>
      <c r="AM228" s="104">
        <v>3</v>
      </c>
      <c r="AN228" s="103" t="s">
        <v>685</v>
      </c>
      <c r="AO228" s="103" t="s">
        <v>616</v>
      </c>
      <c r="AP228" s="103" t="s">
        <v>1226</v>
      </c>
      <c r="AQ228" s="103" t="s">
        <v>1207</v>
      </c>
      <c r="AR228" s="103" t="s">
        <v>951</v>
      </c>
      <c r="AS228" s="271"/>
      <c r="AT228" s="271"/>
      <c r="AU228" s="271"/>
      <c r="AV228" s="271"/>
      <c r="AW228" s="271"/>
      <c r="AX228" s="271"/>
      <c r="AY228" s="271"/>
      <c r="AZ228" s="271"/>
      <c r="BA228" s="271"/>
      <c r="BB228" s="271"/>
      <c r="BC228" s="271"/>
      <c r="BD228" s="271"/>
      <c r="BE228" s="271"/>
      <c r="BF228" s="271"/>
      <c r="BG228" s="271"/>
      <c r="BH228" s="235">
        <f t="shared" si="59"/>
        <v>0</v>
      </c>
      <c r="BI228" s="271"/>
      <c r="BJ228" s="271"/>
      <c r="BK228" s="271"/>
      <c r="BL228" s="271"/>
      <c r="BM228" s="271">
        <v>70000000</v>
      </c>
      <c r="BN228" s="271"/>
      <c r="BO228" s="271"/>
      <c r="BP228" s="271"/>
      <c r="BQ228" s="271"/>
      <c r="BR228" s="271"/>
      <c r="BS228" s="271"/>
      <c r="BT228" s="271"/>
      <c r="BU228" s="271"/>
      <c r="BV228" s="271"/>
      <c r="BW228" s="271"/>
      <c r="BX228" s="235">
        <f t="shared" si="60"/>
        <v>70000000</v>
      </c>
      <c r="BY228" s="271"/>
      <c r="BZ228" s="271"/>
      <c r="CA228" s="271"/>
      <c r="CB228" s="271"/>
      <c r="CC228" s="271">
        <v>70000000</v>
      </c>
      <c r="CD228" s="271"/>
      <c r="CE228" s="271"/>
      <c r="CF228" s="271"/>
      <c r="CG228" s="271"/>
      <c r="CH228" s="271"/>
      <c r="CI228" s="271"/>
      <c r="CJ228" s="271"/>
      <c r="CK228" s="271"/>
      <c r="CL228" s="271"/>
      <c r="CM228" s="271"/>
      <c r="CN228" s="235">
        <f t="shared" si="61"/>
        <v>70000000</v>
      </c>
      <c r="CO228" s="271"/>
      <c r="CP228" s="271"/>
      <c r="CQ228" s="271"/>
      <c r="CR228" s="271"/>
      <c r="CS228" s="271">
        <v>72000000</v>
      </c>
      <c r="CT228" s="271"/>
      <c r="CU228" s="271"/>
      <c r="CV228" s="271"/>
      <c r="CW228" s="271"/>
      <c r="CX228" s="271"/>
      <c r="CY228" s="271"/>
      <c r="CZ228" s="271"/>
      <c r="DA228" s="271"/>
      <c r="DB228" s="271"/>
      <c r="DC228" s="271"/>
      <c r="DD228" s="234">
        <f t="shared" si="62"/>
        <v>72000000</v>
      </c>
      <c r="DE228" s="244">
        <f t="shared" si="63"/>
        <v>212000000</v>
      </c>
    </row>
    <row r="229" spans="1:110" s="98" customFormat="1" ht="114" customHeight="1">
      <c r="A229" s="103" t="s">
        <v>1236</v>
      </c>
      <c r="B229" s="279" t="s">
        <v>9</v>
      </c>
      <c r="C229" s="279" t="s">
        <v>1697</v>
      </c>
      <c r="D229" s="279">
        <v>14</v>
      </c>
      <c r="E229" s="279" t="s">
        <v>913</v>
      </c>
      <c r="F229" s="280" t="s">
        <v>914</v>
      </c>
      <c r="G229" s="279" t="s">
        <v>3387</v>
      </c>
      <c r="H229" s="279">
        <v>21</v>
      </c>
      <c r="I229" s="279" t="s">
        <v>915</v>
      </c>
      <c r="J229" s="279" t="s">
        <v>683</v>
      </c>
      <c r="K229" s="279">
        <v>0</v>
      </c>
      <c r="L229" s="104">
        <v>1200</v>
      </c>
      <c r="M229" s="279" t="s">
        <v>924</v>
      </c>
      <c r="N229" s="279" t="s">
        <v>925</v>
      </c>
      <c r="O229" s="279" t="s">
        <v>926</v>
      </c>
      <c r="P229" s="283">
        <v>210</v>
      </c>
      <c r="Q229" s="279" t="s">
        <v>2717</v>
      </c>
      <c r="R229" s="279" t="s">
        <v>927</v>
      </c>
      <c r="S229" s="279" t="s">
        <v>683</v>
      </c>
      <c r="T229" s="279">
        <v>0</v>
      </c>
      <c r="U229" s="267"/>
      <c r="V229" s="267">
        <v>0.05</v>
      </c>
      <c r="W229" s="224">
        <v>0.05</v>
      </c>
      <c r="X229" s="267">
        <v>0.05</v>
      </c>
      <c r="Y229" s="267">
        <v>0.2</v>
      </c>
      <c r="Z229" s="267">
        <v>0.2</v>
      </c>
      <c r="AA229" s="267"/>
      <c r="AB229" s="224">
        <v>0.45</v>
      </c>
      <c r="AC229" s="267"/>
      <c r="AD229" s="267">
        <v>0.25</v>
      </c>
      <c r="AE229" s="267">
        <v>0.25</v>
      </c>
      <c r="AF229" s="267"/>
      <c r="AG229" s="224">
        <v>0.5</v>
      </c>
      <c r="AH229" s="267"/>
      <c r="AI229" s="267"/>
      <c r="AJ229" s="267"/>
      <c r="AK229" s="267"/>
      <c r="AL229" s="224">
        <v>0</v>
      </c>
      <c r="AM229" s="104">
        <v>1</v>
      </c>
      <c r="AN229" s="103" t="s">
        <v>685</v>
      </c>
      <c r="AO229" s="103" t="s">
        <v>616</v>
      </c>
      <c r="AP229" s="103" t="s">
        <v>1226</v>
      </c>
      <c r="AQ229" s="103" t="s">
        <v>1207</v>
      </c>
      <c r="AR229" s="103" t="s">
        <v>951</v>
      </c>
      <c r="AS229" s="271"/>
      <c r="AT229" s="271"/>
      <c r="AU229" s="271"/>
      <c r="AV229" s="271"/>
      <c r="AW229" s="271">
        <v>2000000</v>
      </c>
      <c r="AX229" s="271"/>
      <c r="AY229" s="271"/>
      <c r="AZ229" s="271"/>
      <c r="BA229" s="271"/>
      <c r="BB229" s="271"/>
      <c r="BC229" s="271"/>
      <c r="BD229" s="271"/>
      <c r="BE229" s="271"/>
      <c r="BF229" s="271"/>
      <c r="BG229" s="271"/>
      <c r="BH229" s="235">
        <f t="shared" si="59"/>
        <v>2000000</v>
      </c>
      <c r="BI229" s="271"/>
      <c r="BJ229" s="271"/>
      <c r="BK229" s="271"/>
      <c r="BL229" s="271"/>
      <c r="BM229" s="271">
        <v>100000</v>
      </c>
      <c r="BN229" s="271"/>
      <c r="BO229" s="271"/>
      <c r="BP229" s="271"/>
      <c r="BQ229" s="271"/>
      <c r="BR229" s="271"/>
      <c r="BS229" s="271"/>
      <c r="BT229" s="271"/>
      <c r="BU229" s="271"/>
      <c r="BV229" s="271"/>
      <c r="BW229" s="271"/>
      <c r="BX229" s="235">
        <f t="shared" si="60"/>
        <v>100000</v>
      </c>
      <c r="BY229" s="271"/>
      <c r="BZ229" s="271"/>
      <c r="CA229" s="271"/>
      <c r="CB229" s="271"/>
      <c r="CC229" s="271">
        <v>100000</v>
      </c>
      <c r="CD229" s="271"/>
      <c r="CE229" s="271"/>
      <c r="CF229" s="271"/>
      <c r="CG229" s="271"/>
      <c r="CH229" s="271"/>
      <c r="CI229" s="271"/>
      <c r="CJ229" s="271"/>
      <c r="CK229" s="271"/>
      <c r="CL229" s="271"/>
      <c r="CM229" s="271"/>
      <c r="CN229" s="235">
        <f t="shared" si="61"/>
        <v>100000</v>
      </c>
      <c r="CO229" s="271"/>
      <c r="CP229" s="271"/>
      <c r="CQ229" s="271"/>
      <c r="CR229" s="271"/>
      <c r="CS229" s="271"/>
      <c r="CT229" s="271"/>
      <c r="CU229" s="271"/>
      <c r="CV229" s="271"/>
      <c r="CW229" s="271"/>
      <c r="CX229" s="271"/>
      <c r="CY229" s="271"/>
      <c r="CZ229" s="271"/>
      <c r="DA229" s="271"/>
      <c r="DB229" s="271"/>
      <c r="DC229" s="271"/>
      <c r="DD229" s="234">
        <f t="shared" si="62"/>
        <v>0</v>
      </c>
      <c r="DE229" s="244">
        <f t="shared" si="63"/>
        <v>2200000</v>
      </c>
    </row>
    <row r="230" spans="1:110" s="98" customFormat="1" ht="114" customHeight="1">
      <c r="A230" s="103" t="s">
        <v>1236</v>
      </c>
      <c r="B230" s="279" t="s">
        <v>9</v>
      </c>
      <c r="C230" s="279" t="s">
        <v>1697</v>
      </c>
      <c r="D230" s="279">
        <v>14</v>
      </c>
      <c r="E230" s="279" t="s">
        <v>913</v>
      </c>
      <c r="F230" s="280" t="s">
        <v>914</v>
      </c>
      <c r="G230" s="279" t="s">
        <v>3387</v>
      </c>
      <c r="H230" s="279">
        <v>21</v>
      </c>
      <c r="I230" s="279" t="s">
        <v>915</v>
      </c>
      <c r="J230" s="279" t="s">
        <v>683</v>
      </c>
      <c r="K230" s="279">
        <v>0</v>
      </c>
      <c r="L230" s="104">
        <v>1200</v>
      </c>
      <c r="M230" s="279" t="s">
        <v>924</v>
      </c>
      <c r="N230" s="279" t="s">
        <v>925</v>
      </c>
      <c r="O230" s="279" t="s">
        <v>926</v>
      </c>
      <c r="P230" s="283">
        <v>211</v>
      </c>
      <c r="Q230" s="279" t="s">
        <v>2718</v>
      </c>
      <c r="R230" s="279" t="s">
        <v>348</v>
      </c>
      <c r="S230" s="279" t="s">
        <v>683</v>
      </c>
      <c r="T230" s="279">
        <v>0</v>
      </c>
      <c r="U230" s="267"/>
      <c r="V230" s="267"/>
      <c r="W230" s="224">
        <v>0</v>
      </c>
      <c r="X230" s="267"/>
      <c r="Y230" s="267">
        <v>1</v>
      </c>
      <c r="Z230" s="267"/>
      <c r="AA230" s="267"/>
      <c r="AB230" s="224">
        <v>1</v>
      </c>
      <c r="AC230" s="267"/>
      <c r="AD230" s="267">
        <v>1</v>
      </c>
      <c r="AE230" s="267"/>
      <c r="AF230" s="267"/>
      <c r="AG230" s="224">
        <v>1</v>
      </c>
      <c r="AH230" s="267"/>
      <c r="AI230" s="267">
        <v>1</v>
      </c>
      <c r="AJ230" s="267"/>
      <c r="AK230" s="267"/>
      <c r="AL230" s="224">
        <v>1</v>
      </c>
      <c r="AM230" s="104">
        <v>3</v>
      </c>
      <c r="AN230" s="103" t="s">
        <v>685</v>
      </c>
      <c r="AO230" s="103" t="s">
        <v>616</v>
      </c>
      <c r="AP230" s="103" t="s">
        <v>1226</v>
      </c>
      <c r="AQ230" s="103" t="s">
        <v>1207</v>
      </c>
      <c r="AR230" s="103" t="s">
        <v>951</v>
      </c>
      <c r="AS230" s="271"/>
      <c r="AT230" s="271"/>
      <c r="AU230" s="271"/>
      <c r="AV230" s="271"/>
      <c r="AW230" s="271"/>
      <c r="AX230" s="271"/>
      <c r="AY230" s="271"/>
      <c r="AZ230" s="271"/>
      <c r="BA230" s="271"/>
      <c r="BB230" s="271"/>
      <c r="BC230" s="271"/>
      <c r="BD230" s="271"/>
      <c r="BE230" s="271"/>
      <c r="BF230" s="271"/>
      <c r="BG230" s="271"/>
      <c r="BH230" s="235">
        <f t="shared" si="59"/>
        <v>0</v>
      </c>
      <c r="BI230" s="271"/>
      <c r="BJ230" s="271"/>
      <c r="BK230" s="271"/>
      <c r="BL230" s="271"/>
      <c r="BM230" s="271">
        <v>5000000</v>
      </c>
      <c r="BN230" s="271"/>
      <c r="BO230" s="271"/>
      <c r="BP230" s="271"/>
      <c r="BQ230" s="271"/>
      <c r="BR230" s="271"/>
      <c r="BS230" s="271"/>
      <c r="BT230" s="271"/>
      <c r="BU230" s="271"/>
      <c r="BV230" s="271"/>
      <c r="BW230" s="271"/>
      <c r="BX230" s="235">
        <f t="shared" si="60"/>
        <v>5000000</v>
      </c>
      <c r="BY230" s="271"/>
      <c r="BZ230" s="271"/>
      <c r="CA230" s="271"/>
      <c r="CB230" s="271"/>
      <c r="CC230" s="271">
        <v>5000000</v>
      </c>
      <c r="CD230" s="271"/>
      <c r="CE230" s="271"/>
      <c r="CF230" s="271"/>
      <c r="CG230" s="271"/>
      <c r="CH230" s="271"/>
      <c r="CI230" s="271"/>
      <c r="CJ230" s="271"/>
      <c r="CK230" s="271"/>
      <c r="CL230" s="271"/>
      <c r="CM230" s="271"/>
      <c r="CN230" s="235">
        <f t="shared" si="61"/>
        <v>5000000</v>
      </c>
      <c r="CO230" s="271"/>
      <c r="CP230" s="271"/>
      <c r="CQ230" s="271"/>
      <c r="CR230" s="271"/>
      <c r="CS230" s="271">
        <v>5400000</v>
      </c>
      <c r="CT230" s="271"/>
      <c r="CU230" s="271"/>
      <c r="CV230" s="271"/>
      <c r="CW230" s="271"/>
      <c r="CX230" s="271"/>
      <c r="CY230" s="271"/>
      <c r="CZ230" s="271"/>
      <c r="DA230" s="271"/>
      <c r="DB230" s="271"/>
      <c r="DC230" s="271"/>
      <c r="DD230" s="234">
        <f t="shared" si="62"/>
        <v>5400000</v>
      </c>
      <c r="DE230" s="244">
        <f t="shared" si="63"/>
        <v>15400000</v>
      </c>
    </row>
    <row r="231" spans="1:110" s="98" customFormat="1" ht="114" customHeight="1">
      <c r="A231" s="120" t="s">
        <v>1236</v>
      </c>
      <c r="B231" s="281" t="s">
        <v>9</v>
      </c>
      <c r="C231" s="281" t="s">
        <v>1697</v>
      </c>
      <c r="D231" s="281">
        <v>14</v>
      </c>
      <c r="E231" s="281" t="s">
        <v>913</v>
      </c>
      <c r="F231" s="282" t="s">
        <v>914</v>
      </c>
      <c r="G231" s="281" t="s">
        <v>3387</v>
      </c>
      <c r="H231" s="281">
        <v>21</v>
      </c>
      <c r="I231" s="281" t="s">
        <v>915</v>
      </c>
      <c r="J231" s="281" t="s">
        <v>683</v>
      </c>
      <c r="K231" s="281">
        <v>0</v>
      </c>
      <c r="L231" s="119">
        <v>1200</v>
      </c>
      <c r="M231" s="281" t="s">
        <v>924</v>
      </c>
      <c r="N231" s="281" t="s">
        <v>925</v>
      </c>
      <c r="O231" s="281" t="s">
        <v>926</v>
      </c>
      <c r="P231" s="283">
        <v>212</v>
      </c>
      <c r="Q231" s="281" t="s">
        <v>3508</v>
      </c>
      <c r="R231" s="281" t="s">
        <v>928</v>
      </c>
      <c r="S231" s="281" t="s">
        <v>683</v>
      </c>
      <c r="T231" s="281">
        <v>10</v>
      </c>
      <c r="U231" s="275"/>
      <c r="V231" s="275"/>
      <c r="W231" s="225">
        <v>0</v>
      </c>
      <c r="X231" s="275">
        <v>1</v>
      </c>
      <c r="Y231" s="275">
        <v>1</v>
      </c>
      <c r="Z231" s="275">
        <v>1</v>
      </c>
      <c r="AA231" s="275">
        <v>1</v>
      </c>
      <c r="AB231" s="225">
        <v>4</v>
      </c>
      <c r="AC231" s="275">
        <v>1</v>
      </c>
      <c r="AD231" s="275">
        <v>1</v>
      </c>
      <c r="AE231" s="275">
        <v>1</v>
      </c>
      <c r="AF231" s="275">
        <v>1</v>
      </c>
      <c r="AG231" s="225">
        <v>4</v>
      </c>
      <c r="AH231" s="275">
        <v>1</v>
      </c>
      <c r="AI231" s="275">
        <v>1</v>
      </c>
      <c r="AJ231" s="275"/>
      <c r="AK231" s="275"/>
      <c r="AL231" s="225">
        <v>2</v>
      </c>
      <c r="AM231" s="119">
        <v>10</v>
      </c>
      <c r="AN231" s="120" t="s">
        <v>685</v>
      </c>
      <c r="AO231" s="120" t="s">
        <v>616</v>
      </c>
      <c r="AP231" s="120" t="s">
        <v>1226</v>
      </c>
      <c r="AQ231" s="120" t="s">
        <v>1207</v>
      </c>
      <c r="AR231" s="120" t="s">
        <v>951</v>
      </c>
      <c r="AS231" s="276"/>
      <c r="AT231" s="276"/>
      <c r="AU231" s="276"/>
      <c r="AV231" s="276"/>
      <c r="AW231" s="276"/>
      <c r="AX231" s="276"/>
      <c r="AY231" s="276"/>
      <c r="AZ231" s="276"/>
      <c r="BA231" s="276"/>
      <c r="BB231" s="276"/>
      <c r="BC231" s="276"/>
      <c r="BD231" s="276"/>
      <c r="BE231" s="276"/>
      <c r="BF231" s="276"/>
      <c r="BG231" s="276"/>
      <c r="BH231" s="236">
        <f t="shared" si="59"/>
        <v>0</v>
      </c>
      <c r="BI231" s="276"/>
      <c r="BJ231" s="276"/>
      <c r="BK231" s="276"/>
      <c r="BL231" s="276"/>
      <c r="BM231" s="276">
        <v>100000</v>
      </c>
      <c r="BN231" s="276"/>
      <c r="BO231" s="276"/>
      <c r="BP231" s="276"/>
      <c r="BQ231" s="276"/>
      <c r="BR231" s="276"/>
      <c r="BS231" s="276"/>
      <c r="BT231" s="276"/>
      <c r="BU231" s="276"/>
      <c r="BV231" s="276"/>
      <c r="BW231" s="276"/>
      <c r="BX231" s="236">
        <f t="shared" si="60"/>
        <v>100000</v>
      </c>
      <c r="BY231" s="276"/>
      <c r="BZ231" s="276"/>
      <c r="CA231" s="276"/>
      <c r="CB231" s="276"/>
      <c r="CC231" s="276">
        <v>100000</v>
      </c>
      <c r="CD231" s="276"/>
      <c r="CE231" s="276"/>
      <c r="CF231" s="276"/>
      <c r="CG231" s="276"/>
      <c r="CH231" s="276"/>
      <c r="CI231" s="276"/>
      <c r="CJ231" s="276"/>
      <c r="CK231" s="276"/>
      <c r="CL231" s="276"/>
      <c r="CM231" s="276"/>
      <c r="CN231" s="236">
        <f t="shared" si="61"/>
        <v>100000</v>
      </c>
      <c r="CO231" s="276"/>
      <c r="CP231" s="276"/>
      <c r="CQ231" s="276"/>
      <c r="CR231" s="276"/>
      <c r="CS231" s="276">
        <v>100000</v>
      </c>
      <c r="CT231" s="276"/>
      <c r="CU231" s="276"/>
      <c r="CV231" s="276"/>
      <c r="CW231" s="276"/>
      <c r="CX231" s="276"/>
      <c r="CY231" s="276"/>
      <c r="CZ231" s="276"/>
      <c r="DA231" s="276"/>
      <c r="DB231" s="276"/>
      <c r="DC231" s="276"/>
      <c r="DD231" s="240">
        <f t="shared" si="62"/>
        <v>100000</v>
      </c>
      <c r="DE231" s="245">
        <f t="shared" si="63"/>
        <v>300000</v>
      </c>
    </row>
    <row r="232" spans="1:110" ht="65.099999999999994" customHeight="1">
      <c r="A232" s="118" t="s">
        <v>1236</v>
      </c>
      <c r="B232" s="118" t="s">
        <v>9</v>
      </c>
      <c r="C232" s="118" t="s">
        <v>1697</v>
      </c>
      <c r="D232" s="118">
        <v>14</v>
      </c>
      <c r="E232" s="118" t="s">
        <v>913</v>
      </c>
      <c r="F232" s="135"/>
      <c r="G232" s="136"/>
      <c r="H232" s="137"/>
      <c r="I232" s="137"/>
      <c r="J232" s="137"/>
      <c r="K232" s="138"/>
      <c r="L232" s="137"/>
      <c r="M232" s="137"/>
      <c r="N232" s="137"/>
      <c r="O232" s="137"/>
      <c r="P232" s="137"/>
      <c r="Q232" s="136"/>
      <c r="R232" s="139"/>
      <c r="S232" s="137"/>
      <c r="T232" s="137"/>
      <c r="U232" s="140"/>
      <c r="V232" s="140"/>
      <c r="W232" s="138"/>
      <c r="X232" s="140"/>
      <c r="Y232" s="140"/>
      <c r="Z232" s="140"/>
      <c r="AA232" s="140"/>
      <c r="AB232" s="138"/>
      <c r="AC232" s="140"/>
      <c r="AD232" s="140"/>
      <c r="AE232" s="140"/>
      <c r="AF232" s="140"/>
      <c r="AG232" s="138"/>
      <c r="AH232" s="140"/>
      <c r="AI232" s="140"/>
      <c r="AJ232" s="140"/>
      <c r="AK232" s="140"/>
      <c r="AL232" s="138"/>
      <c r="AM232" s="141"/>
      <c r="AN232" s="142"/>
      <c r="AO232" s="142"/>
      <c r="AP232" s="143"/>
      <c r="AQ232" s="143"/>
      <c r="AR232" s="144"/>
      <c r="AS232" s="132">
        <f>SUM(AS220:AS231)</f>
        <v>0</v>
      </c>
      <c r="AT232" s="132">
        <f t="shared" ref="AT232:DE232" si="64">SUM(AT220:AT231)</f>
        <v>0</v>
      </c>
      <c r="AU232" s="132">
        <f t="shared" si="64"/>
        <v>0</v>
      </c>
      <c r="AV232" s="132">
        <f t="shared" si="64"/>
        <v>0</v>
      </c>
      <c r="AW232" s="132">
        <f t="shared" si="64"/>
        <v>1609758755</v>
      </c>
      <c r="AX232" s="132">
        <f t="shared" si="64"/>
        <v>0</v>
      </c>
      <c r="AY232" s="132">
        <f t="shared" si="64"/>
        <v>0</v>
      </c>
      <c r="AZ232" s="132">
        <f t="shared" si="64"/>
        <v>0</v>
      </c>
      <c r="BA232" s="132">
        <f t="shared" si="64"/>
        <v>0</v>
      </c>
      <c r="BB232" s="132">
        <f t="shared" si="64"/>
        <v>0</v>
      </c>
      <c r="BC232" s="132">
        <f t="shared" si="64"/>
        <v>0</v>
      </c>
      <c r="BD232" s="132">
        <f t="shared" si="64"/>
        <v>0</v>
      </c>
      <c r="BE232" s="132">
        <f t="shared" si="64"/>
        <v>0</v>
      </c>
      <c r="BF232" s="132">
        <f t="shared" si="64"/>
        <v>0</v>
      </c>
      <c r="BG232" s="132">
        <f t="shared" si="64"/>
        <v>0</v>
      </c>
      <c r="BH232" s="132">
        <f>IF(OR(AND(BH220=0,W220&lt;&gt;0),AND(BH221=0,W221&lt;&gt;0),AND(BH222=0,W222&lt;&gt;0),AND(BH223=0,W223&lt;&gt;0),AND(BH224=0,W224&lt;&gt;0),AND(BH225=0,W225&lt;&gt;0),AND(BH226=0,W226&lt;&gt;0),AND(BH227=0,W227&lt;&gt;0),AND(BH228=0,W228&lt;&gt;0),AND(BH229=0,W229&lt;&gt;0),AND(BH230=0,W230&lt;&gt;0),AND(BH231=0,W231&lt;&gt;0)),"NO DEBEN QUEDAR CELDAS EN ROJO",SUM(BH220:BH231))</f>
        <v>1609758755</v>
      </c>
      <c r="BI232" s="132">
        <f t="shared" si="64"/>
        <v>0</v>
      </c>
      <c r="BJ232" s="132">
        <f t="shared" si="64"/>
        <v>0</v>
      </c>
      <c r="BK232" s="132">
        <f t="shared" si="64"/>
        <v>0</v>
      </c>
      <c r="BL232" s="132">
        <f t="shared" si="64"/>
        <v>0</v>
      </c>
      <c r="BM232" s="132">
        <f t="shared" si="64"/>
        <v>1727109105</v>
      </c>
      <c r="BN232" s="132">
        <f t="shared" si="64"/>
        <v>0</v>
      </c>
      <c r="BO232" s="132">
        <f t="shared" si="64"/>
        <v>0</v>
      </c>
      <c r="BP232" s="132">
        <f t="shared" si="64"/>
        <v>0</v>
      </c>
      <c r="BQ232" s="132">
        <f t="shared" si="64"/>
        <v>0</v>
      </c>
      <c r="BR232" s="132">
        <f t="shared" si="64"/>
        <v>0</v>
      </c>
      <c r="BS232" s="132">
        <f t="shared" si="64"/>
        <v>0</v>
      </c>
      <c r="BT232" s="132">
        <f t="shared" si="64"/>
        <v>0</v>
      </c>
      <c r="BU232" s="132">
        <f t="shared" si="64"/>
        <v>0</v>
      </c>
      <c r="BV232" s="132">
        <f t="shared" si="64"/>
        <v>0</v>
      </c>
      <c r="BW232" s="132">
        <f t="shared" si="64"/>
        <v>0</v>
      </c>
      <c r="BX232" s="132">
        <f>IF(OR(AND(BX220=0,AB220&lt;&gt;0),AND(BX221=0,AB221&lt;&gt;0),AND(BX222=0,AB222&lt;&gt;0),AND(BX223=0,AB223&lt;&gt;0),AND(BX224=0,AB224&lt;&gt;0),AND(BX225=0,AB225&lt;&gt;0),AND(BX226=0,AB226&lt;&gt;0),AND(BX227=0,AB227&lt;&gt;0),AND(BX228=0,AB228&lt;&gt;0),AND(BX229=0,AB229&lt;&gt;0),AND(BX230=0,AB230&lt;&gt;0),AND(BX231=0,AB231&lt;&gt;0)),"NO DEBEN QUEDAR CELDAS EN ROJO",SUM(BX220:BX231))</f>
        <v>1727109105</v>
      </c>
      <c r="BY232" s="132">
        <f t="shared" si="64"/>
        <v>0</v>
      </c>
      <c r="BZ232" s="132">
        <f t="shared" si="64"/>
        <v>0</v>
      </c>
      <c r="CA232" s="132">
        <f t="shared" si="64"/>
        <v>0</v>
      </c>
      <c r="CB232" s="132">
        <f t="shared" si="64"/>
        <v>0</v>
      </c>
      <c r="CC232" s="132">
        <f t="shared" si="64"/>
        <v>1795493469</v>
      </c>
      <c r="CD232" s="132">
        <f t="shared" si="64"/>
        <v>0</v>
      </c>
      <c r="CE232" s="132">
        <f t="shared" si="64"/>
        <v>0</v>
      </c>
      <c r="CF232" s="132">
        <f t="shared" si="64"/>
        <v>0</v>
      </c>
      <c r="CG232" s="132">
        <f t="shared" si="64"/>
        <v>0</v>
      </c>
      <c r="CH232" s="132">
        <f t="shared" si="64"/>
        <v>0</v>
      </c>
      <c r="CI232" s="132">
        <f t="shared" si="64"/>
        <v>0</v>
      </c>
      <c r="CJ232" s="132">
        <f t="shared" si="64"/>
        <v>0</v>
      </c>
      <c r="CK232" s="132">
        <f t="shared" si="64"/>
        <v>0</v>
      </c>
      <c r="CL232" s="132">
        <f t="shared" si="64"/>
        <v>0</v>
      </c>
      <c r="CM232" s="132">
        <f t="shared" si="64"/>
        <v>0</v>
      </c>
      <c r="CN232" s="132">
        <f>IF(OR(AND(CN220=0,AG220&lt;&gt;0),AND(CN221=0,AG221&lt;&gt;0),AND(CN222=0,AG222&lt;&gt;0),AND(CN223=0,AG223&lt;&gt;0),AND(CN224=0,AG224&lt;&gt;0),AND(CN225=0,AG225&lt;&gt;0),AND(CN226=0,AG226&lt;&gt;0),AND(CN227=0,AG227&lt;&gt;0),AND(CN228=0,AG228&lt;&gt;0),AND(CN229=0,AG229&lt;&gt;0),AND(CN230=0,AG230&lt;&gt;0),AND(CN231=0,AG231&lt;&gt;0)),"NO DEBEN QUEDAR CELDAS EN ROJO",SUM(CN220:CN231))</f>
        <v>1795493469</v>
      </c>
      <c r="CO232" s="132">
        <f t="shared" si="64"/>
        <v>0</v>
      </c>
      <c r="CP232" s="132">
        <f t="shared" si="64"/>
        <v>0</v>
      </c>
      <c r="CQ232" s="132">
        <f t="shared" si="64"/>
        <v>0</v>
      </c>
      <c r="CR232" s="132">
        <f t="shared" si="64"/>
        <v>0</v>
      </c>
      <c r="CS232" s="132">
        <f t="shared" si="64"/>
        <v>1884143143</v>
      </c>
      <c r="CT232" s="132">
        <f t="shared" si="64"/>
        <v>0</v>
      </c>
      <c r="CU232" s="132">
        <f t="shared" si="64"/>
        <v>0</v>
      </c>
      <c r="CV232" s="132">
        <f t="shared" si="64"/>
        <v>0</v>
      </c>
      <c r="CW232" s="132">
        <f t="shared" si="64"/>
        <v>0</v>
      </c>
      <c r="CX232" s="132">
        <f t="shared" si="64"/>
        <v>0</v>
      </c>
      <c r="CY232" s="132">
        <f t="shared" si="64"/>
        <v>0</v>
      </c>
      <c r="CZ232" s="132">
        <f t="shared" si="64"/>
        <v>0</v>
      </c>
      <c r="DA232" s="132">
        <f t="shared" si="64"/>
        <v>0</v>
      </c>
      <c r="DB232" s="132">
        <f t="shared" si="64"/>
        <v>0</v>
      </c>
      <c r="DC232" s="132">
        <f t="shared" si="64"/>
        <v>0</v>
      </c>
      <c r="DD232" s="132">
        <f>IF(OR(AND(DD220=0,AL220&lt;&gt;0),AND(DD221=0,AL221&lt;&gt;0),AND(DD222=0,AL222&lt;&gt;0),AND(DD223=0,AL223&lt;&gt;0),AND(DD224=0,AL224&lt;&gt;0),AND(DD225=0,AL225&lt;&gt;0),AND(DD226=0,AL226&lt;&gt;0),AND(DD227=0,AL227&lt;&gt;0),AND(DD228=0,AL228&lt;&gt;0),AND(DD229=0,AL229&lt;&gt;0),AND(DD230=0,AL230&lt;&gt;0),AND(DD231=0,AL231&lt;&gt;0)),"NO DEBEN QUEDAR CELDAS EN ROJO",SUM(DD220:DD231))</f>
        <v>1884143143</v>
      </c>
      <c r="DE232" s="132">
        <f t="shared" si="64"/>
        <v>7016504472</v>
      </c>
      <c r="DF232" s="101"/>
    </row>
    <row r="233" spans="1:110" s="98" customFormat="1" ht="120" customHeight="1">
      <c r="A233" s="103" t="s">
        <v>1236</v>
      </c>
      <c r="B233" s="103" t="s">
        <v>9</v>
      </c>
      <c r="C233" s="103" t="s">
        <v>1697</v>
      </c>
      <c r="D233" s="103">
        <v>15</v>
      </c>
      <c r="E233" s="103" t="s">
        <v>929</v>
      </c>
      <c r="F233" s="278" t="s">
        <v>931</v>
      </c>
      <c r="G233" s="103" t="s">
        <v>2719</v>
      </c>
      <c r="H233" s="103">
        <v>22</v>
      </c>
      <c r="I233" s="103" t="s">
        <v>930</v>
      </c>
      <c r="J233" s="103" t="s">
        <v>683</v>
      </c>
      <c r="K233" s="103">
        <v>0</v>
      </c>
      <c r="L233" s="103">
        <v>1</v>
      </c>
      <c r="M233" s="103" t="s">
        <v>932</v>
      </c>
      <c r="N233" s="103" t="s">
        <v>933</v>
      </c>
      <c r="O233" s="103" t="s">
        <v>349</v>
      </c>
      <c r="P233" s="283">
        <v>213</v>
      </c>
      <c r="Q233" s="267" t="s">
        <v>2720</v>
      </c>
      <c r="R233" s="103" t="s">
        <v>934</v>
      </c>
      <c r="S233" s="103" t="s">
        <v>683</v>
      </c>
      <c r="T233" s="103">
        <v>0</v>
      </c>
      <c r="U233" s="267"/>
      <c r="V233" s="267"/>
      <c r="W233" s="224">
        <v>0</v>
      </c>
      <c r="X233" s="267">
        <v>0.1</v>
      </c>
      <c r="Y233" s="267">
        <v>0.1</v>
      </c>
      <c r="Z233" s="267">
        <v>0.1</v>
      </c>
      <c r="AA233" s="267">
        <v>0.1</v>
      </c>
      <c r="AB233" s="224">
        <v>0.4</v>
      </c>
      <c r="AC233" s="267">
        <v>0.1</v>
      </c>
      <c r="AD233" s="267">
        <v>0.1</v>
      </c>
      <c r="AE233" s="267">
        <v>0.1</v>
      </c>
      <c r="AF233" s="267">
        <v>0.1</v>
      </c>
      <c r="AG233" s="224">
        <v>0.4</v>
      </c>
      <c r="AH233" s="267">
        <v>0.05</v>
      </c>
      <c r="AI233" s="267">
        <v>0.05</v>
      </c>
      <c r="AJ233" s="267">
        <v>0.05</v>
      </c>
      <c r="AK233" s="267">
        <v>0.05</v>
      </c>
      <c r="AL233" s="224">
        <v>0.2</v>
      </c>
      <c r="AM233" s="102">
        <v>1</v>
      </c>
      <c r="AN233" s="103" t="s">
        <v>685</v>
      </c>
      <c r="AO233" s="103" t="s">
        <v>616</v>
      </c>
      <c r="AP233" s="103" t="s">
        <v>1226</v>
      </c>
      <c r="AQ233" s="103" t="s">
        <v>1207</v>
      </c>
      <c r="AR233" s="103" t="s">
        <v>945</v>
      </c>
      <c r="AS233" s="268"/>
      <c r="AT233" s="268"/>
      <c r="AU233" s="268"/>
      <c r="AV233" s="268"/>
      <c r="AW233" s="268"/>
      <c r="AX233" s="268"/>
      <c r="AY233" s="268"/>
      <c r="AZ233" s="268"/>
      <c r="BA233" s="268"/>
      <c r="BB233" s="268"/>
      <c r="BC233" s="268"/>
      <c r="BD233" s="268"/>
      <c r="BE233" s="268"/>
      <c r="BF233" s="268"/>
      <c r="BG233" s="268"/>
      <c r="BH233" s="234">
        <f>IF(W233=0,0,BG233+BF233+BE233+BD233+BC233+BB233+BA233+AZ233+AY233+AX233+AW233+AV233+AU233+AT233+AS233)</f>
        <v>0</v>
      </c>
      <c r="BI233" s="268"/>
      <c r="BJ233" s="268"/>
      <c r="BK233" s="268"/>
      <c r="BL233" s="268"/>
      <c r="BM233" s="268">
        <v>3225000</v>
      </c>
      <c r="BN233" s="268"/>
      <c r="BO233" s="268"/>
      <c r="BP233" s="268"/>
      <c r="BQ233" s="268"/>
      <c r="BR233" s="268"/>
      <c r="BS233" s="268"/>
      <c r="BT233" s="268"/>
      <c r="BU233" s="268"/>
      <c r="BV233" s="268"/>
      <c r="BW233" s="268"/>
      <c r="BX233" s="234">
        <f>IF(AB233=0,0,BI233+BJ233+BK233+BL233+BM233+BN233+BO233+BP233+BQ233+BR233+BS233+BT233+BU233+BV233+BW233)</f>
        <v>3225000</v>
      </c>
      <c r="BY233" s="268"/>
      <c r="BZ233" s="268"/>
      <c r="CA233" s="268"/>
      <c r="CB233" s="268"/>
      <c r="CC233" s="268">
        <v>5450000</v>
      </c>
      <c r="CD233" s="268"/>
      <c r="CE233" s="268"/>
      <c r="CF233" s="268"/>
      <c r="CG233" s="268"/>
      <c r="CH233" s="268"/>
      <c r="CI233" s="268"/>
      <c r="CJ233" s="268"/>
      <c r="CK233" s="268"/>
      <c r="CL233" s="268"/>
      <c r="CM233" s="268"/>
      <c r="CN233" s="234">
        <f>IF(AG233=0,0,(BY233+BZ233+CA233+CB233+CC233+CD233+CE233+CF233+CG233+CH233+CI233+CJ233+CK233+CL233+CM233))</f>
        <v>5450000</v>
      </c>
      <c r="CO233" s="268"/>
      <c r="CP233" s="268"/>
      <c r="CQ233" s="268"/>
      <c r="CR233" s="268"/>
      <c r="CS233" s="268">
        <v>8561386</v>
      </c>
      <c r="CT233" s="268"/>
      <c r="CU233" s="268"/>
      <c r="CV233" s="268"/>
      <c r="CW233" s="268"/>
      <c r="CX233" s="268"/>
      <c r="CY233" s="268"/>
      <c r="CZ233" s="268"/>
      <c r="DA233" s="268"/>
      <c r="DB233" s="268"/>
      <c r="DC233" s="268"/>
      <c r="DD233" s="234">
        <f>IF(AL233=0,0,(CO233+CP233+CQ233+CR233+CS233+CT233+CU233+CV233+CW233+CX233+CY233+CZ233+DA233+DB233+DC233))</f>
        <v>8561386</v>
      </c>
      <c r="DE233" s="243">
        <f t="shared" ref="DE233:DE235" si="65">SUM(DD233+CN233+BX233+BH233)</f>
        <v>17236386</v>
      </c>
    </row>
    <row r="234" spans="1:110" s="98" customFormat="1" ht="120" customHeight="1">
      <c r="A234" s="103" t="s">
        <v>1236</v>
      </c>
      <c r="B234" s="279" t="s">
        <v>9</v>
      </c>
      <c r="C234" s="279" t="s">
        <v>1697</v>
      </c>
      <c r="D234" s="279">
        <v>15</v>
      </c>
      <c r="E234" s="279" t="s">
        <v>929</v>
      </c>
      <c r="F234" s="280" t="s">
        <v>931</v>
      </c>
      <c r="G234" s="279" t="s">
        <v>2719</v>
      </c>
      <c r="H234" s="279">
        <v>22</v>
      </c>
      <c r="I234" s="279" t="s">
        <v>930</v>
      </c>
      <c r="J234" s="279" t="s">
        <v>683</v>
      </c>
      <c r="K234" s="279">
        <v>0</v>
      </c>
      <c r="L234" s="279">
        <v>1</v>
      </c>
      <c r="M234" s="279" t="s">
        <v>932</v>
      </c>
      <c r="N234" s="279" t="s">
        <v>933</v>
      </c>
      <c r="O234" s="279" t="s">
        <v>349</v>
      </c>
      <c r="P234" s="283">
        <v>214</v>
      </c>
      <c r="Q234" s="267" t="s">
        <v>3392</v>
      </c>
      <c r="R234" s="279" t="s">
        <v>935</v>
      </c>
      <c r="S234" s="279" t="s">
        <v>683</v>
      </c>
      <c r="T234" s="279">
        <v>1</v>
      </c>
      <c r="U234" s="267"/>
      <c r="V234" s="267">
        <v>1</v>
      </c>
      <c r="W234" s="224">
        <v>1</v>
      </c>
      <c r="X234" s="267">
        <v>0.25</v>
      </c>
      <c r="Y234" s="267">
        <v>0.25</v>
      </c>
      <c r="Z234" s="267">
        <v>0.25</v>
      </c>
      <c r="AA234" s="267">
        <v>0.25</v>
      </c>
      <c r="AB234" s="224">
        <v>1</v>
      </c>
      <c r="AC234" s="267">
        <v>0.25</v>
      </c>
      <c r="AD234" s="267">
        <v>0.25</v>
      </c>
      <c r="AE234" s="267">
        <v>0.25</v>
      </c>
      <c r="AF234" s="267">
        <v>0.25</v>
      </c>
      <c r="AG234" s="224">
        <v>1</v>
      </c>
      <c r="AH234" s="267">
        <v>0.25</v>
      </c>
      <c r="AI234" s="267">
        <v>0.25</v>
      </c>
      <c r="AJ234" s="267">
        <v>0.25</v>
      </c>
      <c r="AK234" s="267">
        <v>0.25</v>
      </c>
      <c r="AL234" s="224">
        <v>1</v>
      </c>
      <c r="AM234" s="104">
        <v>1</v>
      </c>
      <c r="AN234" s="103" t="s">
        <v>686</v>
      </c>
      <c r="AO234" s="103" t="s">
        <v>616</v>
      </c>
      <c r="AP234" s="103" t="s">
        <v>1226</v>
      </c>
      <c r="AQ234" s="103" t="s">
        <v>1207</v>
      </c>
      <c r="AR234" s="103" t="s">
        <v>945</v>
      </c>
      <c r="AS234" s="271"/>
      <c r="AT234" s="271"/>
      <c r="AU234" s="271"/>
      <c r="AV234" s="271"/>
      <c r="AW234" s="271">
        <v>3000000</v>
      </c>
      <c r="AX234" s="271"/>
      <c r="AY234" s="271"/>
      <c r="AZ234" s="271"/>
      <c r="BA234" s="271"/>
      <c r="BB234" s="271"/>
      <c r="BC234" s="271"/>
      <c r="BD234" s="271"/>
      <c r="BE234" s="271"/>
      <c r="BF234" s="271"/>
      <c r="BG234" s="271"/>
      <c r="BH234" s="235">
        <f>IF(W234=0,0,BG234+BF234+BE234+BD234+BC234+BB234+BA234+AZ234+AY234+AX234+AW234+AV234+AU234+AT234+AS234)</f>
        <v>3000000</v>
      </c>
      <c r="BI234" s="271"/>
      <c r="BJ234" s="271"/>
      <c r="BK234" s="271"/>
      <c r="BL234" s="271"/>
      <c r="BM234" s="271">
        <v>750000</v>
      </c>
      <c r="BN234" s="271"/>
      <c r="BO234" s="271"/>
      <c r="BP234" s="271"/>
      <c r="BQ234" s="271"/>
      <c r="BR234" s="271"/>
      <c r="BS234" s="271"/>
      <c r="BT234" s="271"/>
      <c r="BU234" s="271"/>
      <c r="BV234" s="271"/>
      <c r="BW234" s="271"/>
      <c r="BX234" s="235">
        <f>IF(AB234=0,0,BI234+BJ234+BK234+BL234+BM234+BN234+BO234+BP234+BQ234+BR234+BS234+BT234+BU234+BV234+BW234)</f>
        <v>750000</v>
      </c>
      <c r="BY234" s="271"/>
      <c r="BZ234" s="271"/>
      <c r="CA234" s="271"/>
      <c r="CB234" s="271"/>
      <c r="CC234" s="271">
        <v>1350000</v>
      </c>
      <c r="CD234" s="271"/>
      <c r="CE234" s="271"/>
      <c r="CF234" s="271"/>
      <c r="CG234" s="271"/>
      <c r="CH234" s="271"/>
      <c r="CI234" s="271"/>
      <c r="CJ234" s="271"/>
      <c r="CK234" s="271"/>
      <c r="CL234" s="271"/>
      <c r="CM234" s="271"/>
      <c r="CN234" s="235">
        <f>IF(AG234=0,0,(BY234+BZ234+CA234+CB234+CC234+CD234+CE234+CF234+CG234+CH234+CI234+CJ234+CK234+CL234+CM234))</f>
        <v>1350000</v>
      </c>
      <c r="CO234" s="271"/>
      <c r="CP234" s="271"/>
      <c r="CQ234" s="271"/>
      <c r="CR234" s="271"/>
      <c r="CS234" s="271">
        <v>1950000</v>
      </c>
      <c r="CT234" s="271"/>
      <c r="CU234" s="271"/>
      <c r="CV234" s="271"/>
      <c r="CW234" s="271"/>
      <c r="CX234" s="271"/>
      <c r="CY234" s="271"/>
      <c r="CZ234" s="271"/>
      <c r="DA234" s="271"/>
      <c r="DB234" s="271"/>
      <c r="DC234" s="271"/>
      <c r="DD234" s="234">
        <f>IF(AL234=0,0,(CO234+CP234+CQ234+CR234+CS234+CT234+CU234+CV234+CW234+CX234+CY234+CZ234+DA234+DB234+DC234))</f>
        <v>1950000</v>
      </c>
      <c r="DE234" s="244">
        <f t="shared" si="65"/>
        <v>7050000</v>
      </c>
    </row>
    <row r="235" spans="1:110" s="98" customFormat="1" ht="120" customHeight="1">
      <c r="A235" s="120" t="s">
        <v>1236</v>
      </c>
      <c r="B235" s="281" t="s">
        <v>9</v>
      </c>
      <c r="C235" s="281" t="s">
        <v>1697</v>
      </c>
      <c r="D235" s="281">
        <v>15</v>
      </c>
      <c r="E235" s="281" t="s">
        <v>929</v>
      </c>
      <c r="F235" s="282" t="s">
        <v>931</v>
      </c>
      <c r="G235" s="281" t="s">
        <v>2719</v>
      </c>
      <c r="H235" s="281">
        <v>22</v>
      </c>
      <c r="I235" s="281" t="s">
        <v>930</v>
      </c>
      <c r="J235" s="281" t="s">
        <v>683</v>
      </c>
      <c r="K235" s="281">
        <v>0</v>
      </c>
      <c r="L235" s="281">
        <v>1</v>
      </c>
      <c r="M235" s="281" t="s">
        <v>932</v>
      </c>
      <c r="N235" s="281" t="s">
        <v>933</v>
      </c>
      <c r="O235" s="281" t="s">
        <v>349</v>
      </c>
      <c r="P235" s="284">
        <v>215</v>
      </c>
      <c r="Q235" s="275" t="s">
        <v>3393</v>
      </c>
      <c r="R235" s="281" t="s">
        <v>350</v>
      </c>
      <c r="S235" s="281" t="s">
        <v>683</v>
      </c>
      <c r="T235" s="281">
        <v>0</v>
      </c>
      <c r="U235" s="275"/>
      <c r="V235" s="275"/>
      <c r="W235" s="225">
        <v>0</v>
      </c>
      <c r="X235" s="275">
        <v>0.25</v>
      </c>
      <c r="Y235" s="275">
        <v>0.25</v>
      </c>
      <c r="Z235" s="275">
        <v>0.25</v>
      </c>
      <c r="AA235" s="275">
        <v>0.25</v>
      </c>
      <c r="AB235" s="225">
        <v>1</v>
      </c>
      <c r="AC235" s="275">
        <v>0.25</v>
      </c>
      <c r="AD235" s="275">
        <v>0.25</v>
      </c>
      <c r="AE235" s="275">
        <v>0.25</v>
      </c>
      <c r="AF235" s="275">
        <v>0.25</v>
      </c>
      <c r="AG235" s="225">
        <v>1</v>
      </c>
      <c r="AH235" s="275">
        <v>0.25</v>
      </c>
      <c r="AI235" s="275">
        <v>0.25</v>
      </c>
      <c r="AJ235" s="275">
        <v>0.25</v>
      </c>
      <c r="AK235" s="275">
        <v>0.25</v>
      </c>
      <c r="AL235" s="225">
        <v>1</v>
      </c>
      <c r="AM235" s="119">
        <v>3</v>
      </c>
      <c r="AN235" s="120" t="s">
        <v>685</v>
      </c>
      <c r="AO235" s="120" t="s">
        <v>616</v>
      </c>
      <c r="AP235" s="120" t="s">
        <v>1226</v>
      </c>
      <c r="AQ235" s="120" t="s">
        <v>1207</v>
      </c>
      <c r="AR235" s="120" t="s">
        <v>945</v>
      </c>
      <c r="AS235" s="276"/>
      <c r="AT235" s="276"/>
      <c r="AU235" s="276"/>
      <c r="AV235" s="276"/>
      <c r="AW235" s="276"/>
      <c r="AX235" s="276"/>
      <c r="AY235" s="276"/>
      <c r="AZ235" s="276"/>
      <c r="BA235" s="276"/>
      <c r="BB235" s="276"/>
      <c r="BC235" s="276"/>
      <c r="BD235" s="276"/>
      <c r="BE235" s="276"/>
      <c r="BF235" s="276"/>
      <c r="BG235" s="276"/>
      <c r="BH235" s="236">
        <f>IF(W235=0,0,BG235+BF235+BE235+BD235+BC235+BB235+BA235+AZ235+AY235+AX235+AW235+AV235+AU235+AT235+AS235)</f>
        <v>0</v>
      </c>
      <c r="BI235" s="276"/>
      <c r="BJ235" s="276"/>
      <c r="BK235" s="276"/>
      <c r="BL235" s="276"/>
      <c r="BM235" s="276">
        <v>1050000</v>
      </c>
      <c r="BN235" s="276"/>
      <c r="BO235" s="276"/>
      <c r="BP235" s="276"/>
      <c r="BQ235" s="276"/>
      <c r="BR235" s="276"/>
      <c r="BS235" s="276"/>
      <c r="BT235" s="276"/>
      <c r="BU235" s="276"/>
      <c r="BV235" s="276"/>
      <c r="BW235" s="276"/>
      <c r="BX235" s="236">
        <f>IF(AB235=0,0,BI235+BJ235+BK235+BL235+BM235+BN235+BO235+BP235+BQ235+BR235+BS235+BT235+BU235+BV235+BW235)</f>
        <v>1050000</v>
      </c>
      <c r="BY235" s="276"/>
      <c r="BZ235" s="276"/>
      <c r="CA235" s="276"/>
      <c r="CB235" s="276"/>
      <c r="CC235" s="276">
        <v>1200000</v>
      </c>
      <c r="CD235" s="276"/>
      <c r="CE235" s="276"/>
      <c r="CF235" s="276"/>
      <c r="CG235" s="276"/>
      <c r="CH235" s="276"/>
      <c r="CI235" s="276"/>
      <c r="CJ235" s="276"/>
      <c r="CK235" s="276"/>
      <c r="CL235" s="276"/>
      <c r="CM235" s="276"/>
      <c r="CN235" s="236">
        <f>IF(AG235=0,0,(BY235+BZ235+CA235+CB235+CC235+CD235+CE235+CF235+CG235+CH235+CI235+CJ235+CK235+CL235+CM235))</f>
        <v>1200000</v>
      </c>
      <c r="CO235" s="276"/>
      <c r="CP235" s="276"/>
      <c r="CQ235" s="276"/>
      <c r="CR235" s="276"/>
      <c r="CS235" s="276">
        <v>2050000</v>
      </c>
      <c r="CT235" s="276"/>
      <c r="CU235" s="276"/>
      <c r="CV235" s="276"/>
      <c r="CW235" s="276"/>
      <c r="CX235" s="276"/>
      <c r="CY235" s="276"/>
      <c r="CZ235" s="276"/>
      <c r="DA235" s="276"/>
      <c r="DB235" s="276"/>
      <c r="DC235" s="276"/>
      <c r="DD235" s="240">
        <f>IF(AL235=0,0,(CO235+CP235+CQ235+CR235+CS235+CT235+CU235+CV235+CW235+CX235+CY235+CZ235+DA235+DB235+DC235))</f>
        <v>2050000</v>
      </c>
      <c r="DE235" s="245">
        <f t="shared" si="65"/>
        <v>4300000</v>
      </c>
    </row>
    <row r="236" spans="1:110" ht="65.099999999999994" customHeight="1">
      <c r="A236" s="118" t="s">
        <v>1236</v>
      </c>
      <c r="B236" s="118" t="s">
        <v>9</v>
      </c>
      <c r="C236" s="118" t="s">
        <v>1697</v>
      </c>
      <c r="D236" s="159">
        <v>15</v>
      </c>
      <c r="E236" s="159" t="s">
        <v>929</v>
      </c>
      <c r="F236" s="149"/>
      <c r="G236" s="150"/>
      <c r="H236" s="151"/>
      <c r="I236" s="151"/>
      <c r="J236" s="151"/>
      <c r="K236" s="152"/>
      <c r="L236" s="151"/>
      <c r="M236" s="151"/>
      <c r="N236" s="151"/>
      <c r="O236" s="151"/>
      <c r="P236" s="151"/>
      <c r="Q236" s="150"/>
      <c r="R236" s="153"/>
      <c r="S236" s="151"/>
      <c r="T236" s="151"/>
      <c r="U236" s="154"/>
      <c r="V236" s="154"/>
      <c r="W236" s="152"/>
      <c r="X236" s="154"/>
      <c r="Y236" s="154"/>
      <c r="Z236" s="154"/>
      <c r="AA236" s="154"/>
      <c r="AB236" s="152"/>
      <c r="AC236" s="154"/>
      <c r="AD236" s="154"/>
      <c r="AE236" s="154"/>
      <c r="AF236" s="154"/>
      <c r="AG236" s="152"/>
      <c r="AH236" s="154"/>
      <c r="AI236" s="154"/>
      <c r="AJ236" s="154"/>
      <c r="AK236" s="154"/>
      <c r="AL236" s="152"/>
      <c r="AM236" s="155"/>
      <c r="AN236" s="156"/>
      <c r="AO236" s="156"/>
      <c r="AP236" s="157"/>
      <c r="AQ236" s="157"/>
      <c r="AR236" s="158"/>
      <c r="AS236" s="132">
        <f>SUM(AS233:AS235)</f>
        <v>0</v>
      </c>
      <c r="AT236" s="132">
        <f t="shared" ref="AT236:DE236" si="66">SUM(AT233:AT235)</f>
        <v>0</v>
      </c>
      <c r="AU236" s="132">
        <f t="shared" si="66"/>
        <v>0</v>
      </c>
      <c r="AV236" s="132">
        <f t="shared" si="66"/>
        <v>0</v>
      </c>
      <c r="AW236" s="132">
        <f t="shared" si="66"/>
        <v>3000000</v>
      </c>
      <c r="AX236" s="132">
        <f t="shared" si="66"/>
        <v>0</v>
      </c>
      <c r="AY236" s="132">
        <f t="shared" si="66"/>
        <v>0</v>
      </c>
      <c r="AZ236" s="132">
        <f t="shared" si="66"/>
        <v>0</v>
      </c>
      <c r="BA236" s="132">
        <f t="shared" si="66"/>
        <v>0</v>
      </c>
      <c r="BB236" s="132">
        <f t="shared" si="66"/>
        <v>0</v>
      </c>
      <c r="BC236" s="132">
        <f t="shared" si="66"/>
        <v>0</v>
      </c>
      <c r="BD236" s="132">
        <f t="shared" si="66"/>
        <v>0</v>
      </c>
      <c r="BE236" s="132">
        <f t="shared" si="66"/>
        <v>0</v>
      </c>
      <c r="BF236" s="132">
        <f t="shared" si="66"/>
        <v>0</v>
      </c>
      <c r="BG236" s="132">
        <f t="shared" si="66"/>
        <v>0</v>
      </c>
      <c r="BH236" s="132">
        <f>IF(OR(AND(BH233=0,W233&lt;&gt;0),AND(BH234=0,W234&lt;&gt;0),AND(BH235=0,W235&lt;&gt;0)),"NO DEBEN QUEDAR CELDAS EN ROJO",SUM(BH233:BH235))</f>
        <v>3000000</v>
      </c>
      <c r="BI236" s="132">
        <f t="shared" si="66"/>
        <v>0</v>
      </c>
      <c r="BJ236" s="132">
        <f t="shared" si="66"/>
        <v>0</v>
      </c>
      <c r="BK236" s="132">
        <f t="shared" si="66"/>
        <v>0</v>
      </c>
      <c r="BL236" s="132">
        <f t="shared" si="66"/>
        <v>0</v>
      </c>
      <c r="BM236" s="132">
        <f t="shared" si="66"/>
        <v>5025000</v>
      </c>
      <c r="BN236" s="132">
        <f t="shared" si="66"/>
        <v>0</v>
      </c>
      <c r="BO236" s="132">
        <f t="shared" si="66"/>
        <v>0</v>
      </c>
      <c r="BP236" s="132">
        <f t="shared" si="66"/>
        <v>0</v>
      </c>
      <c r="BQ236" s="132">
        <f t="shared" si="66"/>
        <v>0</v>
      </c>
      <c r="BR236" s="132">
        <f t="shared" si="66"/>
        <v>0</v>
      </c>
      <c r="BS236" s="132">
        <f t="shared" si="66"/>
        <v>0</v>
      </c>
      <c r="BT236" s="132">
        <f t="shared" si="66"/>
        <v>0</v>
      </c>
      <c r="BU236" s="132">
        <f t="shared" si="66"/>
        <v>0</v>
      </c>
      <c r="BV236" s="132">
        <f t="shared" si="66"/>
        <v>0</v>
      </c>
      <c r="BW236" s="132">
        <f t="shared" si="66"/>
        <v>0</v>
      </c>
      <c r="BX236" s="132">
        <f>IF(OR(AND(BX233=0,AB233&lt;&gt;0),AND(BX234=0,AB234&lt;&gt;0),AND(BX235=0,AB235&lt;&gt;0)),"NO DEBEN QUEDAR CELDAS EN ROJO",SUM(BX233:BX235))</f>
        <v>5025000</v>
      </c>
      <c r="BY236" s="132">
        <f t="shared" si="66"/>
        <v>0</v>
      </c>
      <c r="BZ236" s="132">
        <f t="shared" si="66"/>
        <v>0</v>
      </c>
      <c r="CA236" s="132">
        <f t="shared" si="66"/>
        <v>0</v>
      </c>
      <c r="CB236" s="132">
        <f t="shared" si="66"/>
        <v>0</v>
      </c>
      <c r="CC236" s="132">
        <f t="shared" si="66"/>
        <v>8000000</v>
      </c>
      <c r="CD236" s="132">
        <f t="shared" si="66"/>
        <v>0</v>
      </c>
      <c r="CE236" s="132">
        <f t="shared" si="66"/>
        <v>0</v>
      </c>
      <c r="CF236" s="132">
        <f t="shared" si="66"/>
        <v>0</v>
      </c>
      <c r="CG236" s="132">
        <f t="shared" si="66"/>
        <v>0</v>
      </c>
      <c r="CH236" s="132">
        <f t="shared" si="66"/>
        <v>0</v>
      </c>
      <c r="CI236" s="132">
        <f t="shared" si="66"/>
        <v>0</v>
      </c>
      <c r="CJ236" s="132">
        <f t="shared" si="66"/>
        <v>0</v>
      </c>
      <c r="CK236" s="132">
        <f t="shared" si="66"/>
        <v>0</v>
      </c>
      <c r="CL236" s="132">
        <f t="shared" si="66"/>
        <v>0</v>
      </c>
      <c r="CM236" s="132">
        <f t="shared" si="66"/>
        <v>0</v>
      </c>
      <c r="CN236" s="132">
        <f>IF(OR(AND(CN233=0,AG233&lt;&gt;0),AND(CN234=0,AG234&lt;&gt;0),AND(CN235=0,AG235&lt;&gt;0)),"NO DEBEN QUEDAR CELDAS EN ROJO",SUM(CN233:CN235))</f>
        <v>8000000</v>
      </c>
      <c r="CO236" s="132">
        <f t="shared" si="66"/>
        <v>0</v>
      </c>
      <c r="CP236" s="132">
        <f t="shared" si="66"/>
        <v>0</v>
      </c>
      <c r="CQ236" s="132">
        <f t="shared" si="66"/>
        <v>0</v>
      </c>
      <c r="CR236" s="132">
        <f t="shared" si="66"/>
        <v>0</v>
      </c>
      <c r="CS236" s="132">
        <f t="shared" si="66"/>
        <v>12561386</v>
      </c>
      <c r="CT236" s="132">
        <f t="shared" si="66"/>
        <v>0</v>
      </c>
      <c r="CU236" s="132">
        <f t="shared" si="66"/>
        <v>0</v>
      </c>
      <c r="CV236" s="132">
        <f t="shared" si="66"/>
        <v>0</v>
      </c>
      <c r="CW236" s="132">
        <f t="shared" si="66"/>
        <v>0</v>
      </c>
      <c r="CX236" s="132">
        <f t="shared" si="66"/>
        <v>0</v>
      </c>
      <c r="CY236" s="132">
        <f t="shared" si="66"/>
        <v>0</v>
      </c>
      <c r="CZ236" s="132">
        <f t="shared" si="66"/>
        <v>0</v>
      </c>
      <c r="DA236" s="132">
        <f t="shared" si="66"/>
        <v>0</v>
      </c>
      <c r="DB236" s="132">
        <f t="shared" si="66"/>
        <v>0</v>
      </c>
      <c r="DC236" s="132">
        <f t="shared" si="66"/>
        <v>0</v>
      </c>
      <c r="DD236" s="132">
        <f>IF(OR(AND(DD233=0,AL233&lt;&gt;0),AND(DD234=0,AL234&lt;&gt;0),AND(DD235=0,AL235&lt;&gt;0)),"NO DEBEN QUEDAR CELDAS EN ROJO",SUM(DD233:DD235))</f>
        <v>12561386</v>
      </c>
      <c r="DE236" s="132">
        <f t="shared" si="66"/>
        <v>28586386</v>
      </c>
      <c r="DF236" s="101"/>
    </row>
    <row r="237" spans="1:110" s="117" customFormat="1" ht="55.05" customHeight="1">
      <c r="A237" s="127"/>
      <c r="B237" s="126" t="s">
        <v>9</v>
      </c>
      <c r="C237" s="146" t="s">
        <v>1697</v>
      </c>
      <c r="D237" s="160"/>
      <c r="E237" s="161"/>
      <c r="F237" s="162"/>
      <c r="G237" s="163"/>
      <c r="H237" s="161"/>
      <c r="I237" s="161"/>
      <c r="J237" s="161"/>
      <c r="K237" s="161"/>
      <c r="L237" s="161"/>
      <c r="M237" s="161"/>
      <c r="N237" s="161"/>
      <c r="O237" s="161"/>
      <c r="P237" s="161"/>
      <c r="Q237" s="163"/>
      <c r="R237" s="164"/>
      <c r="S237" s="161"/>
      <c r="T237" s="161"/>
      <c r="U237" s="165"/>
      <c r="V237" s="165"/>
      <c r="W237" s="166"/>
      <c r="X237" s="165"/>
      <c r="Y237" s="165"/>
      <c r="Z237" s="165"/>
      <c r="AA237" s="165"/>
      <c r="AB237" s="166"/>
      <c r="AC237" s="165"/>
      <c r="AD237" s="165"/>
      <c r="AE237" s="165"/>
      <c r="AF237" s="165"/>
      <c r="AG237" s="166"/>
      <c r="AH237" s="165"/>
      <c r="AI237" s="165"/>
      <c r="AJ237" s="165"/>
      <c r="AK237" s="165"/>
      <c r="AL237" s="166"/>
      <c r="AM237" s="167"/>
      <c r="AN237" s="168"/>
      <c r="AO237" s="168"/>
      <c r="AP237" s="163"/>
      <c r="AQ237" s="163"/>
      <c r="AR237" s="169"/>
      <c r="AS237" s="147">
        <f>SUM(AS236+AS232+AS219+AS199+AS195)</f>
        <v>0</v>
      </c>
      <c r="AT237" s="130">
        <f t="shared" ref="AT237:DE237" si="67">SUM(AT236+AT232+AT219+AT199+AT195)</f>
        <v>0</v>
      </c>
      <c r="AU237" s="130">
        <f t="shared" si="67"/>
        <v>0</v>
      </c>
      <c r="AV237" s="130">
        <f t="shared" si="67"/>
        <v>0</v>
      </c>
      <c r="AW237" s="130">
        <f t="shared" si="67"/>
        <v>1683758755</v>
      </c>
      <c r="AX237" s="130">
        <f t="shared" si="67"/>
        <v>0</v>
      </c>
      <c r="AY237" s="130">
        <f t="shared" si="67"/>
        <v>0</v>
      </c>
      <c r="AZ237" s="130">
        <f t="shared" si="67"/>
        <v>0</v>
      </c>
      <c r="BA237" s="130">
        <f t="shared" si="67"/>
        <v>0</v>
      </c>
      <c r="BB237" s="130">
        <f t="shared" si="67"/>
        <v>0</v>
      </c>
      <c r="BC237" s="130">
        <f t="shared" si="67"/>
        <v>0</v>
      </c>
      <c r="BD237" s="130">
        <f t="shared" si="67"/>
        <v>0</v>
      </c>
      <c r="BE237" s="130">
        <f t="shared" si="67"/>
        <v>0</v>
      </c>
      <c r="BF237" s="130">
        <f t="shared" si="67"/>
        <v>0</v>
      </c>
      <c r="BG237" s="130">
        <f t="shared" si="67"/>
        <v>0</v>
      </c>
      <c r="BH237" s="130">
        <f t="shared" si="67"/>
        <v>1683758755</v>
      </c>
      <c r="BI237" s="130">
        <f t="shared" si="67"/>
        <v>0</v>
      </c>
      <c r="BJ237" s="130">
        <f t="shared" si="67"/>
        <v>0</v>
      </c>
      <c r="BK237" s="130">
        <f t="shared" si="67"/>
        <v>0</v>
      </c>
      <c r="BL237" s="130">
        <f t="shared" si="67"/>
        <v>0</v>
      </c>
      <c r="BM237" s="130">
        <f t="shared" si="67"/>
        <v>2172549530</v>
      </c>
      <c r="BN237" s="130">
        <f t="shared" si="67"/>
        <v>0</v>
      </c>
      <c r="BO237" s="130">
        <f t="shared" si="67"/>
        <v>0</v>
      </c>
      <c r="BP237" s="130">
        <f t="shared" si="67"/>
        <v>0</v>
      </c>
      <c r="BQ237" s="130">
        <f t="shared" si="67"/>
        <v>0</v>
      </c>
      <c r="BR237" s="130">
        <f t="shared" si="67"/>
        <v>0</v>
      </c>
      <c r="BS237" s="130">
        <f t="shared" si="67"/>
        <v>0</v>
      </c>
      <c r="BT237" s="130">
        <f t="shared" si="67"/>
        <v>0</v>
      </c>
      <c r="BU237" s="130">
        <f t="shared" si="67"/>
        <v>0</v>
      </c>
      <c r="BV237" s="130">
        <f t="shared" si="67"/>
        <v>0</v>
      </c>
      <c r="BW237" s="130">
        <f t="shared" si="67"/>
        <v>0</v>
      </c>
      <c r="BX237" s="130">
        <f t="shared" si="67"/>
        <v>2172549530</v>
      </c>
      <c r="BY237" s="130">
        <f t="shared" si="67"/>
        <v>0</v>
      </c>
      <c r="BZ237" s="130">
        <f t="shared" si="67"/>
        <v>0</v>
      </c>
      <c r="CA237" s="130">
        <f t="shared" si="67"/>
        <v>0</v>
      </c>
      <c r="CB237" s="130">
        <f t="shared" si="67"/>
        <v>0</v>
      </c>
      <c r="CC237" s="130">
        <f t="shared" si="67"/>
        <v>2279012619</v>
      </c>
      <c r="CD237" s="130">
        <f t="shared" si="67"/>
        <v>0</v>
      </c>
      <c r="CE237" s="130">
        <f t="shared" si="67"/>
        <v>0</v>
      </c>
      <c r="CF237" s="130">
        <f t="shared" si="67"/>
        <v>0</v>
      </c>
      <c r="CG237" s="130">
        <f t="shared" si="67"/>
        <v>0</v>
      </c>
      <c r="CH237" s="130">
        <f t="shared" si="67"/>
        <v>0</v>
      </c>
      <c r="CI237" s="130">
        <f t="shared" si="67"/>
        <v>0</v>
      </c>
      <c r="CJ237" s="130">
        <f t="shared" si="67"/>
        <v>0</v>
      </c>
      <c r="CK237" s="130">
        <f t="shared" si="67"/>
        <v>0</v>
      </c>
      <c r="CL237" s="130">
        <f t="shared" si="67"/>
        <v>0</v>
      </c>
      <c r="CM237" s="130">
        <f t="shared" si="67"/>
        <v>0</v>
      </c>
      <c r="CN237" s="130">
        <f t="shared" si="67"/>
        <v>2279012619</v>
      </c>
      <c r="CO237" s="130">
        <f t="shared" si="67"/>
        <v>0</v>
      </c>
      <c r="CP237" s="130">
        <f t="shared" si="67"/>
        <v>0</v>
      </c>
      <c r="CQ237" s="130">
        <f t="shared" si="67"/>
        <v>0</v>
      </c>
      <c r="CR237" s="130">
        <f t="shared" si="67"/>
        <v>0</v>
      </c>
      <c r="CS237" s="130">
        <f t="shared" si="67"/>
        <v>2407269954</v>
      </c>
      <c r="CT237" s="130">
        <f t="shared" si="67"/>
        <v>0</v>
      </c>
      <c r="CU237" s="130">
        <f t="shared" si="67"/>
        <v>0</v>
      </c>
      <c r="CV237" s="130">
        <f t="shared" si="67"/>
        <v>0</v>
      </c>
      <c r="CW237" s="130">
        <f t="shared" si="67"/>
        <v>0</v>
      </c>
      <c r="CX237" s="130">
        <f t="shared" si="67"/>
        <v>0</v>
      </c>
      <c r="CY237" s="130">
        <f t="shared" si="67"/>
        <v>0</v>
      </c>
      <c r="CZ237" s="130">
        <f t="shared" si="67"/>
        <v>0</v>
      </c>
      <c r="DA237" s="130">
        <f t="shared" si="67"/>
        <v>0</v>
      </c>
      <c r="DB237" s="130">
        <f t="shared" si="67"/>
        <v>0</v>
      </c>
      <c r="DC237" s="130">
        <f t="shared" si="67"/>
        <v>0</v>
      </c>
      <c r="DD237" s="130">
        <f t="shared" si="67"/>
        <v>2407269954</v>
      </c>
      <c r="DE237" s="130">
        <f t="shared" si="67"/>
        <v>8542590858</v>
      </c>
    </row>
    <row r="238" spans="1:110" s="98" customFormat="1" ht="98.1" customHeight="1">
      <c r="A238" s="103" t="s">
        <v>1236</v>
      </c>
      <c r="B238" s="103" t="s">
        <v>9</v>
      </c>
      <c r="C238" s="103" t="s">
        <v>1698</v>
      </c>
      <c r="D238" s="103">
        <v>16</v>
      </c>
      <c r="E238" s="103" t="s">
        <v>953</v>
      </c>
      <c r="F238" s="278" t="s">
        <v>351</v>
      </c>
      <c r="G238" s="103" t="s">
        <v>3394</v>
      </c>
      <c r="H238" s="103">
        <v>23</v>
      </c>
      <c r="I238" s="103" t="s">
        <v>352</v>
      </c>
      <c r="J238" s="103" t="s">
        <v>683</v>
      </c>
      <c r="K238" s="103">
        <v>124</v>
      </c>
      <c r="L238" s="103">
        <v>124</v>
      </c>
      <c r="M238" s="103" t="s">
        <v>954</v>
      </c>
      <c r="N238" s="103" t="s">
        <v>955</v>
      </c>
      <c r="O238" s="103" t="s">
        <v>353</v>
      </c>
      <c r="P238" s="283">
        <v>216</v>
      </c>
      <c r="Q238" s="267" t="s">
        <v>2721</v>
      </c>
      <c r="R238" s="103" t="s">
        <v>956</v>
      </c>
      <c r="S238" s="103" t="s">
        <v>683</v>
      </c>
      <c r="T238" s="103">
        <v>1</v>
      </c>
      <c r="U238" s="267">
        <v>1</v>
      </c>
      <c r="V238" s="267">
        <v>1</v>
      </c>
      <c r="W238" s="224">
        <v>1</v>
      </c>
      <c r="X238" s="267">
        <v>1</v>
      </c>
      <c r="Y238" s="267">
        <v>1</v>
      </c>
      <c r="Z238" s="267">
        <v>1</v>
      </c>
      <c r="AA238" s="267">
        <v>1</v>
      </c>
      <c r="AB238" s="224">
        <v>1</v>
      </c>
      <c r="AC238" s="267">
        <v>1</v>
      </c>
      <c r="AD238" s="267">
        <v>1</v>
      </c>
      <c r="AE238" s="267">
        <v>1</v>
      </c>
      <c r="AF238" s="267">
        <v>1</v>
      </c>
      <c r="AG238" s="224">
        <v>1</v>
      </c>
      <c r="AH238" s="267">
        <v>1</v>
      </c>
      <c r="AI238" s="267">
        <v>1</v>
      </c>
      <c r="AJ238" s="267">
        <v>1</v>
      </c>
      <c r="AK238" s="267">
        <v>1</v>
      </c>
      <c r="AL238" s="224">
        <v>1</v>
      </c>
      <c r="AM238" s="102">
        <v>1</v>
      </c>
      <c r="AN238" s="103" t="s">
        <v>686</v>
      </c>
      <c r="AO238" s="103" t="s">
        <v>616</v>
      </c>
      <c r="AP238" s="103" t="s">
        <v>1226</v>
      </c>
      <c r="AQ238" s="103" t="s">
        <v>1207</v>
      </c>
      <c r="AR238" s="103" t="s">
        <v>945</v>
      </c>
      <c r="AS238" s="268">
        <v>20000000</v>
      </c>
      <c r="AT238" s="268"/>
      <c r="AU238" s="268"/>
      <c r="AV238" s="268"/>
      <c r="AW238" s="268">
        <v>20000000</v>
      </c>
      <c r="AX238" s="268"/>
      <c r="AY238" s="268"/>
      <c r="AZ238" s="268"/>
      <c r="BA238" s="268"/>
      <c r="BB238" s="268"/>
      <c r="BC238" s="268"/>
      <c r="BD238" s="268"/>
      <c r="BE238" s="268"/>
      <c r="BF238" s="268"/>
      <c r="BG238" s="268"/>
      <c r="BH238" s="234">
        <f>IF(W238=0,0,BG238+BF238+BE238+BD238+BC238+BB238+BA238+AZ238+AY238+AX238+AW238+AV238+AU238+AT238+AS238)</f>
        <v>40000000</v>
      </c>
      <c r="BI238" s="268">
        <v>10000000</v>
      </c>
      <c r="BJ238" s="268"/>
      <c r="BK238" s="268"/>
      <c r="BL238" s="268"/>
      <c r="BM238" s="268">
        <v>30000000</v>
      </c>
      <c r="BN238" s="268"/>
      <c r="BO238" s="268"/>
      <c r="BP238" s="268"/>
      <c r="BQ238" s="268"/>
      <c r="BR238" s="268"/>
      <c r="BS238" s="268"/>
      <c r="BT238" s="268"/>
      <c r="BU238" s="268"/>
      <c r="BV238" s="268"/>
      <c r="BW238" s="268"/>
      <c r="BX238" s="234">
        <f>IF(AB238=0,0,BI238+BJ238+BK238+BL238+BM238+BN238+BO238+BP238+BQ238+BR238+BS238+BT238+BU238+BV238+BW238)</f>
        <v>40000000</v>
      </c>
      <c r="BY238" s="268">
        <v>20000000</v>
      </c>
      <c r="BZ238" s="268"/>
      <c r="CA238" s="268"/>
      <c r="CB238" s="268"/>
      <c r="CC238" s="268">
        <v>21000000</v>
      </c>
      <c r="CD238" s="268"/>
      <c r="CE238" s="268"/>
      <c r="CF238" s="268"/>
      <c r="CG238" s="268"/>
      <c r="CH238" s="268"/>
      <c r="CI238" s="268"/>
      <c r="CJ238" s="268"/>
      <c r="CK238" s="268"/>
      <c r="CL238" s="268"/>
      <c r="CM238" s="268"/>
      <c r="CN238" s="234">
        <f>IF(AG238=0,0,(BY238+BZ238+CA238+CB238+CC238+CD238+CE238+CF238+CG238+CH238+CI238+CJ238+CK238+CL238+CM238))</f>
        <v>41000000</v>
      </c>
      <c r="CO238" s="268">
        <v>22000000</v>
      </c>
      <c r="CP238" s="268"/>
      <c r="CQ238" s="268"/>
      <c r="CR238" s="268"/>
      <c r="CS238" s="268">
        <v>21500000</v>
      </c>
      <c r="CT238" s="268"/>
      <c r="CU238" s="268"/>
      <c r="CV238" s="268"/>
      <c r="CW238" s="268"/>
      <c r="CX238" s="268"/>
      <c r="CY238" s="268"/>
      <c r="CZ238" s="268"/>
      <c r="DA238" s="268"/>
      <c r="DB238" s="268"/>
      <c r="DC238" s="268"/>
      <c r="DD238" s="234">
        <f>IF(AL238=0,0,(CO238+CP238+CQ238+CR238+CS238+CT238+CU238+CV238+CW238+CX238+CY238+CZ238+DA238+DB238+DC238))</f>
        <v>43500000</v>
      </c>
      <c r="DE238" s="243">
        <f t="shared" ref="DE238:DE242" si="68">SUM(DD238+CN238+BX238+BH238)</f>
        <v>164500000</v>
      </c>
    </row>
    <row r="239" spans="1:110" s="98" customFormat="1" ht="98.1" customHeight="1">
      <c r="A239" s="103" t="s">
        <v>1236</v>
      </c>
      <c r="B239" s="279" t="s">
        <v>9</v>
      </c>
      <c r="C239" s="279" t="s">
        <v>1698</v>
      </c>
      <c r="D239" s="279">
        <v>16</v>
      </c>
      <c r="E239" s="279" t="s">
        <v>953</v>
      </c>
      <c r="F239" s="280" t="s">
        <v>351</v>
      </c>
      <c r="G239" s="279" t="s">
        <v>3394</v>
      </c>
      <c r="H239" s="279">
        <v>23</v>
      </c>
      <c r="I239" s="279" t="s">
        <v>352</v>
      </c>
      <c r="J239" s="279" t="s">
        <v>683</v>
      </c>
      <c r="K239" s="279">
        <v>124</v>
      </c>
      <c r="L239" s="279">
        <v>124</v>
      </c>
      <c r="M239" s="279" t="s">
        <v>954</v>
      </c>
      <c r="N239" s="279" t="s">
        <v>955</v>
      </c>
      <c r="O239" s="279" t="s">
        <v>353</v>
      </c>
      <c r="P239" s="283">
        <v>217</v>
      </c>
      <c r="Q239" s="267" t="s">
        <v>2722</v>
      </c>
      <c r="R239" s="279" t="s">
        <v>354</v>
      </c>
      <c r="S239" s="279" t="s">
        <v>683</v>
      </c>
      <c r="T239" s="279">
        <v>16</v>
      </c>
      <c r="U239" s="267">
        <v>3</v>
      </c>
      <c r="V239" s="267">
        <v>1</v>
      </c>
      <c r="W239" s="224">
        <v>4</v>
      </c>
      <c r="X239" s="267">
        <v>1</v>
      </c>
      <c r="Y239" s="267">
        <v>1</v>
      </c>
      <c r="Z239" s="267">
        <v>1</v>
      </c>
      <c r="AA239" s="267">
        <v>1</v>
      </c>
      <c r="AB239" s="224">
        <v>4</v>
      </c>
      <c r="AC239" s="267">
        <v>1</v>
      </c>
      <c r="AD239" s="267">
        <v>1</v>
      </c>
      <c r="AE239" s="267">
        <v>1</v>
      </c>
      <c r="AF239" s="267">
        <v>1</v>
      </c>
      <c r="AG239" s="224">
        <v>4</v>
      </c>
      <c r="AH239" s="267">
        <v>1</v>
      </c>
      <c r="AI239" s="267">
        <v>1</v>
      </c>
      <c r="AJ239" s="267">
        <v>1</v>
      </c>
      <c r="AK239" s="267">
        <v>1</v>
      </c>
      <c r="AL239" s="224">
        <v>4</v>
      </c>
      <c r="AM239" s="104">
        <v>16</v>
      </c>
      <c r="AN239" s="103" t="s">
        <v>685</v>
      </c>
      <c r="AO239" s="103" t="s">
        <v>616</v>
      </c>
      <c r="AP239" s="103" t="s">
        <v>1226</v>
      </c>
      <c r="AQ239" s="103" t="s">
        <v>1207</v>
      </c>
      <c r="AR239" s="103" t="s">
        <v>945</v>
      </c>
      <c r="AS239" s="271">
        <v>10000000</v>
      </c>
      <c r="AT239" s="271"/>
      <c r="AU239" s="271"/>
      <c r="AV239" s="271"/>
      <c r="AW239" s="271">
        <v>10000000</v>
      </c>
      <c r="AX239" s="271"/>
      <c r="AY239" s="271"/>
      <c r="AZ239" s="271"/>
      <c r="BA239" s="271"/>
      <c r="BB239" s="271"/>
      <c r="BC239" s="271"/>
      <c r="BD239" s="271"/>
      <c r="BE239" s="271"/>
      <c r="BF239" s="271"/>
      <c r="BG239" s="271"/>
      <c r="BH239" s="235">
        <f>IF(W239=0,0,BG239+BF239+BE239+BD239+BC239+BB239+BA239+AZ239+AY239+AX239+AW239+AV239+AU239+AT239+AS239)</f>
        <v>20000000</v>
      </c>
      <c r="BI239" s="271">
        <v>10000000</v>
      </c>
      <c r="BJ239" s="271"/>
      <c r="BK239" s="271"/>
      <c r="BL239" s="271"/>
      <c r="BM239" s="271">
        <v>10000000</v>
      </c>
      <c r="BN239" s="271"/>
      <c r="BO239" s="271"/>
      <c r="BP239" s="271"/>
      <c r="BQ239" s="271"/>
      <c r="BR239" s="271"/>
      <c r="BS239" s="271"/>
      <c r="BT239" s="271"/>
      <c r="BU239" s="271"/>
      <c r="BV239" s="271"/>
      <c r="BW239" s="271"/>
      <c r="BX239" s="235">
        <f>IF(AB239=0,0,BI239+BJ239+BK239+BL239+BM239+BN239+BO239+BP239+BQ239+BR239+BS239+BT239+BU239+BV239+BW239)</f>
        <v>20000000</v>
      </c>
      <c r="BY239" s="271">
        <v>10000000</v>
      </c>
      <c r="BZ239" s="271"/>
      <c r="CA239" s="271"/>
      <c r="CB239" s="271"/>
      <c r="CC239" s="271">
        <v>10200000</v>
      </c>
      <c r="CD239" s="271"/>
      <c r="CE239" s="271"/>
      <c r="CF239" s="271"/>
      <c r="CG239" s="271"/>
      <c r="CH239" s="271"/>
      <c r="CI239" s="271"/>
      <c r="CJ239" s="271"/>
      <c r="CK239" s="271"/>
      <c r="CL239" s="271"/>
      <c r="CM239" s="271"/>
      <c r="CN239" s="235">
        <f>IF(AG239=0,0,(BY239+BZ239+CA239+CB239+CC239+CD239+CE239+CF239+CG239+CH239+CI239+CJ239+CK239+CL239+CM239))</f>
        <v>20200000</v>
      </c>
      <c r="CO239" s="271">
        <v>11000000</v>
      </c>
      <c r="CP239" s="271"/>
      <c r="CQ239" s="271"/>
      <c r="CR239" s="271"/>
      <c r="CS239" s="271">
        <v>12000000</v>
      </c>
      <c r="CT239" s="271"/>
      <c r="CU239" s="271"/>
      <c r="CV239" s="271"/>
      <c r="CW239" s="271"/>
      <c r="CX239" s="271"/>
      <c r="CY239" s="271"/>
      <c r="CZ239" s="271"/>
      <c r="DA239" s="271"/>
      <c r="DB239" s="271"/>
      <c r="DC239" s="271"/>
      <c r="DD239" s="234">
        <f>IF(AL239=0,0,(CO239+CP239+CQ239+CR239+CS239+CT239+CU239+CV239+CW239+CX239+CY239+CZ239+DA239+DB239+DC239))</f>
        <v>23000000</v>
      </c>
      <c r="DE239" s="244">
        <f t="shared" si="68"/>
        <v>83200000</v>
      </c>
    </row>
    <row r="240" spans="1:110" s="98" customFormat="1" ht="98.1" customHeight="1">
      <c r="A240" s="103" t="s">
        <v>1236</v>
      </c>
      <c r="B240" s="279" t="s">
        <v>9</v>
      </c>
      <c r="C240" s="279" t="s">
        <v>1698</v>
      </c>
      <c r="D240" s="279">
        <v>16</v>
      </c>
      <c r="E240" s="279" t="s">
        <v>953</v>
      </c>
      <c r="F240" s="280" t="s">
        <v>351</v>
      </c>
      <c r="G240" s="279" t="s">
        <v>3394</v>
      </c>
      <c r="H240" s="279">
        <v>23</v>
      </c>
      <c r="I240" s="279" t="s">
        <v>352</v>
      </c>
      <c r="J240" s="279" t="s">
        <v>683</v>
      </c>
      <c r="K240" s="279">
        <v>124</v>
      </c>
      <c r="L240" s="279">
        <v>124</v>
      </c>
      <c r="M240" s="279" t="s">
        <v>954</v>
      </c>
      <c r="N240" s="279" t="s">
        <v>955</v>
      </c>
      <c r="O240" s="279" t="s">
        <v>353</v>
      </c>
      <c r="P240" s="283">
        <v>218</v>
      </c>
      <c r="Q240" s="267" t="s">
        <v>3509</v>
      </c>
      <c r="R240" s="279" t="s">
        <v>957</v>
      </c>
      <c r="S240" s="279" t="s">
        <v>683</v>
      </c>
      <c r="T240" s="279">
        <v>123</v>
      </c>
      <c r="U240" s="267">
        <v>80</v>
      </c>
      <c r="V240" s="267">
        <v>43</v>
      </c>
      <c r="W240" s="224">
        <v>123</v>
      </c>
      <c r="X240" s="267">
        <v>35</v>
      </c>
      <c r="Y240" s="267">
        <v>35</v>
      </c>
      <c r="Z240" s="267">
        <v>35</v>
      </c>
      <c r="AA240" s="267">
        <v>18</v>
      </c>
      <c r="AB240" s="224">
        <v>123</v>
      </c>
      <c r="AC240" s="267">
        <v>35</v>
      </c>
      <c r="AD240" s="267">
        <v>35</v>
      </c>
      <c r="AE240" s="267">
        <v>35</v>
      </c>
      <c r="AF240" s="267">
        <v>18</v>
      </c>
      <c r="AG240" s="224">
        <v>123</v>
      </c>
      <c r="AH240" s="267">
        <v>35</v>
      </c>
      <c r="AI240" s="267">
        <v>35</v>
      </c>
      <c r="AJ240" s="267">
        <v>35</v>
      </c>
      <c r="AK240" s="267">
        <v>18</v>
      </c>
      <c r="AL240" s="224">
        <v>123</v>
      </c>
      <c r="AM240" s="104">
        <v>123</v>
      </c>
      <c r="AN240" s="103" t="s">
        <v>686</v>
      </c>
      <c r="AO240" s="103" t="s">
        <v>616</v>
      </c>
      <c r="AP240" s="103" t="s">
        <v>1226</v>
      </c>
      <c r="AQ240" s="103" t="s">
        <v>1207</v>
      </c>
      <c r="AR240" s="103" t="s">
        <v>945</v>
      </c>
      <c r="AS240" s="271">
        <v>20000000</v>
      </c>
      <c r="AT240" s="271"/>
      <c r="AU240" s="271"/>
      <c r="AV240" s="271"/>
      <c r="AW240" s="271">
        <v>20000000</v>
      </c>
      <c r="AX240" s="271"/>
      <c r="AY240" s="271"/>
      <c r="AZ240" s="271"/>
      <c r="BA240" s="271"/>
      <c r="BB240" s="271"/>
      <c r="BC240" s="271"/>
      <c r="BD240" s="271"/>
      <c r="BE240" s="271"/>
      <c r="BF240" s="271"/>
      <c r="BG240" s="271"/>
      <c r="BH240" s="235">
        <f>IF(W240=0,0,BG240+BF240+BE240+BD240+BC240+BB240+BA240+AZ240+AY240+AX240+AW240+AV240+AU240+AT240+AS240)</f>
        <v>40000000</v>
      </c>
      <c r="BI240" s="271">
        <v>20000000</v>
      </c>
      <c r="BJ240" s="271"/>
      <c r="BK240" s="271"/>
      <c r="BL240" s="271"/>
      <c r="BM240" s="271">
        <v>20000000</v>
      </c>
      <c r="BN240" s="271"/>
      <c r="BO240" s="271"/>
      <c r="BP240" s="271"/>
      <c r="BQ240" s="271"/>
      <c r="BR240" s="271"/>
      <c r="BS240" s="271"/>
      <c r="BT240" s="271"/>
      <c r="BU240" s="271"/>
      <c r="BV240" s="271"/>
      <c r="BW240" s="271"/>
      <c r="BX240" s="235">
        <f>IF(AB240=0,0,BI240+BJ240+BK240+BL240+BM240+BN240+BO240+BP240+BQ240+BR240+BS240+BT240+BU240+BV240+BW240)</f>
        <v>40000000</v>
      </c>
      <c r="BY240" s="271">
        <v>20000000</v>
      </c>
      <c r="BZ240" s="271"/>
      <c r="CA240" s="271"/>
      <c r="CB240" s="271"/>
      <c r="CC240" s="271">
        <v>22000000</v>
      </c>
      <c r="CD240" s="271"/>
      <c r="CE240" s="271"/>
      <c r="CF240" s="271"/>
      <c r="CG240" s="271"/>
      <c r="CH240" s="271"/>
      <c r="CI240" s="271"/>
      <c r="CJ240" s="271"/>
      <c r="CK240" s="271"/>
      <c r="CL240" s="271"/>
      <c r="CM240" s="271"/>
      <c r="CN240" s="235">
        <f>IF(AG240=0,0,(BY240+BZ240+CA240+CB240+CC240+CD240+CE240+CF240+CG240+CH240+CI240+CJ240+CK240+CL240+CM240))</f>
        <v>42000000</v>
      </c>
      <c r="CO240" s="271">
        <v>21000000</v>
      </c>
      <c r="CP240" s="271"/>
      <c r="CQ240" s="271"/>
      <c r="CR240" s="271"/>
      <c r="CS240" s="271">
        <v>21500000</v>
      </c>
      <c r="CT240" s="271"/>
      <c r="CU240" s="271"/>
      <c r="CV240" s="271"/>
      <c r="CW240" s="271"/>
      <c r="CX240" s="271"/>
      <c r="CY240" s="271"/>
      <c r="CZ240" s="271"/>
      <c r="DA240" s="271"/>
      <c r="DB240" s="271"/>
      <c r="DC240" s="271"/>
      <c r="DD240" s="234">
        <f>IF(AL240=0,0,(CO240+CP240+CQ240+CR240+CS240+CT240+CU240+CV240+CW240+CX240+CY240+CZ240+DA240+DB240+DC240))</f>
        <v>42500000</v>
      </c>
      <c r="DE240" s="244">
        <f t="shared" si="68"/>
        <v>164500000</v>
      </c>
    </row>
    <row r="241" spans="1:110" s="98" customFormat="1" ht="98.1" customHeight="1">
      <c r="A241" s="103" t="s">
        <v>1236</v>
      </c>
      <c r="B241" s="279" t="s">
        <v>9</v>
      </c>
      <c r="C241" s="279" t="s">
        <v>1698</v>
      </c>
      <c r="D241" s="279">
        <v>16</v>
      </c>
      <c r="E241" s="279" t="s">
        <v>953</v>
      </c>
      <c r="F241" s="280" t="s">
        <v>351</v>
      </c>
      <c r="G241" s="279" t="s">
        <v>3394</v>
      </c>
      <c r="H241" s="279">
        <v>23</v>
      </c>
      <c r="I241" s="279" t="s">
        <v>352</v>
      </c>
      <c r="J241" s="279" t="s">
        <v>683</v>
      </c>
      <c r="K241" s="279">
        <v>124</v>
      </c>
      <c r="L241" s="279">
        <v>124</v>
      </c>
      <c r="M241" s="279" t="s">
        <v>954</v>
      </c>
      <c r="N241" s="279" t="s">
        <v>955</v>
      </c>
      <c r="O241" s="279" t="s">
        <v>353</v>
      </c>
      <c r="P241" s="283">
        <v>219</v>
      </c>
      <c r="Q241" s="267" t="s">
        <v>3395</v>
      </c>
      <c r="R241" s="279" t="s">
        <v>958</v>
      </c>
      <c r="S241" s="279" t="s">
        <v>683</v>
      </c>
      <c r="T241" s="279">
        <v>350</v>
      </c>
      <c r="U241" s="267">
        <v>4</v>
      </c>
      <c r="V241" s="267">
        <v>6</v>
      </c>
      <c r="W241" s="224">
        <v>10</v>
      </c>
      <c r="X241" s="267">
        <v>10</v>
      </c>
      <c r="Y241" s="267">
        <v>10</v>
      </c>
      <c r="Z241" s="267">
        <v>10</v>
      </c>
      <c r="AA241" s="267">
        <v>10</v>
      </c>
      <c r="AB241" s="224">
        <v>40</v>
      </c>
      <c r="AC241" s="267">
        <v>10</v>
      </c>
      <c r="AD241" s="267">
        <v>10</v>
      </c>
      <c r="AE241" s="267">
        <v>10</v>
      </c>
      <c r="AF241" s="267">
        <v>10</v>
      </c>
      <c r="AG241" s="224">
        <v>40</v>
      </c>
      <c r="AH241" s="267">
        <v>5</v>
      </c>
      <c r="AI241" s="267">
        <v>5</v>
      </c>
      <c r="AJ241" s="267">
        <v>5</v>
      </c>
      <c r="AK241" s="267">
        <v>5</v>
      </c>
      <c r="AL241" s="224">
        <v>20</v>
      </c>
      <c r="AM241" s="104">
        <v>110</v>
      </c>
      <c r="AN241" s="103" t="s">
        <v>685</v>
      </c>
      <c r="AO241" s="103" t="s">
        <v>616</v>
      </c>
      <c r="AP241" s="103" t="s">
        <v>1226</v>
      </c>
      <c r="AQ241" s="103" t="s">
        <v>1207</v>
      </c>
      <c r="AR241" s="103" t="s">
        <v>945</v>
      </c>
      <c r="AS241" s="271">
        <v>40000000</v>
      </c>
      <c r="AT241" s="271"/>
      <c r="AU241" s="271"/>
      <c r="AV241" s="271"/>
      <c r="AW241" s="271">
        <v>40000000</v>
      </c>
      <c r="AX241" s="271"/>
      <c r="AY241" s="271"/>
      <c r="AZ241" s="271"/>
      <c r="BA241" s="271"/>
      <c r="BB241" s="271"/>
      <c r="BC241" s="271"/>
      <c r="BD241" s="271"/>
      <c r="BE241" s="271"/>
      <c r="BF241" s="271"/>
      <c r="BG241" s="271"/>
      <c r="BH241" s="235">
        <f>IF(W241=0,0,BG241+BF241+BE241+BD241+BC241+BB241+BA241+AZ241+AY241+AX241+AW241+AV241+AU241+AT241+AS241)</f>
        <v>80000000</v>
      </c>
      <c r="BI241" s="271">
        <v>50000000</v>
      </c>
      <c r="BJ241" s="271"/>
      <c r="BK241" s="271"/>
      <c r="BL241" s="271"/>
      <c r="BM241" s="271">
        <v>80000000</v>
      </c>
      <c r="BN241" s="271"/>
      <c r="BO241" s="271"/>
      <c r="BP241" s="271"/>
      <c r="BQ241" s="271"/>
      <c r="BR241" s="271"/>
      <c r="BS241" s="271"/>
      <c r="BT241" s="271"/>
      <c r="BU241" s="271"/>
      <c r="BV241" s="271"/>
      <c r="BW241" s="271"/>
      <c r="BX241" s="235">
        <f>IF(AB241=0,0,BI241+BJ241+BK241+BL241+BM241+BN241+BO241+BP241+BQ241+BR241+BS241+BT241+BU241+BV241+BW241)</f>
        <v>130000000</v>
      </c>
      <c r="BY241" s="271">
        <v>55000000</v>
      </c>
      <c r="BZ241" s="271"/>
      <c r="CA241" s="271"/>
      <c r="CB241" s="271"/>
      <c r="CC241" s="271">
        <v>94300000</v>
      </c>
      <c r="CD241" s="271"/>
      <c r="CE241" s="271"/>
      <c r="CF241" s="271"/>
      <c r="CG241" s="271"/>
      <c r="CH241" s="271"/>
      <c r="CI241" s="271"/>
      <c r="CJ241" s="271"/>
      <c r="CK241" s="271"/>
      <c r="CL241" s="271"/>
      <c r="CM241" s="271"/>
      <c r="CN241" s="235">
        <f>IF(AG241=0,0,(BY241+BZ241+CA241+CB241+CC241+CD241+CE241+CF241+CG241+CH241+CI241+CJ241+CK241+CL241+CM241))</f>
        <v>149300000</v>
      </c>
      <c r="CO241" s="271">
        <v>71000000</v>
      </c>
      <c r="CP241" s="271"/>
      <c r="CQ241" s="271"/>
      <c r="CR241" s="271"/>
      <c r="CS241" s="271">
        <v>100000000</v>
      </c>
      <c r="CT241" s="271"/>
      <c r="CU241" s="271"/>
      <c r="CV241" s="271"/>
      <c r="CW241" s="271"/>
      <c r="CX241" s="271"/>
      <c r="CY241" s="271"/>
      <c r="CZ241" s="271"/>
      <c r="DA241" s="271"/>
      <c r="DB241" s="271"/>
      <c r="DC241" s="271"/>
      <c r="DD241" s="234">
        <f>IF(AL241=0,0,(CO241+CP241+CQ241+CR241+CS241+CT241+CU241+CV241+CW241+CX241+CY241+CZ241+DA241+DB241+DC241))</f>
        <v>171000000</v>
      </c>
      <c r="DE241" s="244">
        <f t="shared" si="68"/>
        <v>530300000</v>
      </c>
    </row>
    <row r="242" spans="1:110" s="98" customFormat="1" ht="98.1" customHeight="1">
      <c r="A242" s="120" t="s">
        <v>1236</v>
      </c>
      <c r="B242" s="281" t="s">
        <v>9</v>
      </c>
      <c r="C242" s="281" t="s">
        <v>1698</v>
      </c>
      <c r="D242" s="281">
        <v>16</v>
      </c>
      <c r="E242" s="281" t="s">
        <v>953</v>
      </c>
      <c r="F242" s="282" t="s">
        <v>351</v>
      </c>
      <c r="G242" s="281" t="s">
        <v>3394</v>
      </c>
      <c r="H242" s="281">
        <v>23</v>
      </c>
      <c r="I242" s="281" t="s">
        <v>352</v>
      </c>
      <c r="J242" s="281" t="s">
        <v>683</v>
      </c>
      <c r="K242" s="281">
        <v>124</v>
      </c>
      <c r="L242" s="281">
        <v>124</v>
      </c>
      <c r="M242" s="281" t="s">
        <v>954</v>
      </c>
      <c r="N242" s="281" t="s">
        <v>955</v>
      </c>
      <c r="O242" s="281" t="s">
        <v>353</v>
      </c>
      <c r="P242" s="283">
        <v>220</v>
      </c>
      <c r="Q242" s="275" t="s">
        <v>2723</v>
      </c>
      <c r="R242" s="281" t="s">
        <v>959</v>
      </c>
      <c r="S242" s="281" t="s">
        <v>677</v>
      </c>
      <c r="T242" s="281">
        <v>100</v>
      </c>
      <c r="U242" s="275">
        <v>50</v>
      </c>
      <c r="V242" s="275">
        <v>50</v>
      </c>
      <c r="W242" s="225">
        <v>100</v>
      </c>
      <c r="X242" s="275">
        <v>25</v>
      </c>
      <c r="Y242" s="275">
        <v>25</v>
      </c>
      <c r="Z242" s="275">
        <v>25</v>
      </c>
      <c r="AA242" s="275">
        <v>25</v>
      </c>
      <c r="AB242" s="225">
        <v>100</v>
      </c>
      <c r="AC242" s="275">
        <v>25</v>
      </c>
      <c r="AD242" s="275">
        <v>25</v>
      </c>
      <c r="AE242" s="275">
        <v>25</v>
      </c>
      <c r="AF242" s="275">
        <v>25</v>
      </c>
      <c r="AG242" s="225">
        <v>100</v>
      </c>
      <c r="AH242" s="275">
        <v>25</v>
      </c>
      <c r="AI242" s="275">
        <v>25</v>
      </c>
      <c r="AJ242" s="275">
        <v>25</v>
      </c>
      <c r="AK242" s="275">
        <v>25</v>
      </c>
      <c r="AL242" s="225">
        <v>100</v>
      </c>
      <c r="AM242" s="119">
        <v>100</v>
      </c>
      <c r="AN242" s="120" t="s">
        <v>686</v>
      </c>
      <c r="AO242" s="120" t="s">
        <v>616</v>
      </c>
      <c r="AP242" s="120" t="s">
        <v>1226</v>
      </c>
      <c r="AQ242" s="120" t="s">
        <v>1207</v>
      </c>
      <c r="AR242" s="120" t="s">
        <v>945</v>
      </c>
      <c r="AS242" s="276">
        <v>10000000</v>
      </c>
      <c r="AT242" s="276"/>
      <c r="AU242" s="276"/>
      <c r="AV242" s="276"/>
      <c r="AW242" s="276">
        <v>10000000</v>
      </c>
      <c r="AX242" s="276"/>
      <c r="AY242" s="276"/>
      <c r="AZ242" s="276"/>
      <c r="BA242" s="276"/>
      <c r="BB242" s="276"/>
      <c r="BC242" s="276"/>
      <c r="BD242" s="276"/>
      <c r="BE242" s="276"/>
      <c r="BF242" s="276"/>
      <c r="BG242" s="276"/>
      <c r="BH242" s="236">
        <f>IF(W242=0,0,BG242+BF242+BE242+BD242+BC242+BB242+BA242+AZ242+AY242+AX242+AW242+AV242+AU242+AT242+AS242)</f>
        <v>20000000</v>
      </c>
      <c r="BI242" s="276">
        <v>20000000</v>
      </c>
      <c r="BJ242" s="276"/>
      <c r="BK242" s="276"/>
      <c r="BL242" s="276"/>
      <c r="BM242" s="276">
        <v>10000000</v>
      </c>
      <c r="BN242" s="276"/>
      <c r="BO242" s="276"/>
      <c r="BP242" s="276"/>
      <c r="BQ242" s="276"/>
      <c r="BR242" s="276"/>
      <c r="BS242" s="276"/>
      <c r="BT242" s="276"/>
      <c r="BU242" s="276"/>
      <c r="BV242" s="276"/>
      <c r="BW242" s="276"/>
      <c r="BX242" s="236">
        <f>IF(AB242=0,0,BI242+BJ242+BK242+BL242+BM242+BN242+BO242+BP242+BQ242+BR242+BS242+BT242+BU242+BV242+BW242)</f>
        <v>30000000</v>
      </c>
      <c r="BY242" s="276">
        <v>10000000</v>
      </c>
      <c r="BZ242" s="276"/>
      <c r="CA242" s="276"/>
      <c r="CB242" s="276"/>
      <c r="CC242" s="276">
        <v>10000000</v>
      </c>
      <c r="CD242" s="276"/>
      <c r="CE242" s="276"/>
      <c r="CF242" s="276"/>
      <c r="CG242" s="276"/>
      <c r="CH242" s="276"/>
      <c r="CI242" s="276"/>
      <c r="CJ242" s="276"/>
      <c r="CK242" s="276"/>
      <c r="CL242" s="276"/>
      <c r="CM242" s="276"/>
      <c r="CN242" s="236">
        <f>IF(AG242=0,0,(BY242+BZ242+CA242+CB242+CC242+CD242+CE242+CF242+CG242+CH242+CI242+CJ242+CK242+CL242+CM242))</f>
        <v>20000000</v>
      </c>
      <c r="CO242" s="276">
        <v>10000000</v>
      </c>
      <c r="CP242" s="276"/>
      <c r="CQ242" s="276"/>
      <c r="CR242" s="276"/>
      <c r="CS242" s="276">
        <v>10375000</v>
      </c>
      <c r="CT242" s="276"/>
      <c r="CU242" s="276"/>
      <c r="CV242" s="276"/>
      <c r="CW242" s="276"/>
      <c r="CX242" s="276"/>
      <c r="CY242" s="276"/>
      <c r="CZ242" s="276"/>
      <c r="DA242" s="276"/>
      <c r="DB242" s="276"/>
      <c r="DC242" s="276"/>
      <c r="DD242" s="240">
        <f>IF(AL242=0,0,(CO242+CP242+CQ242+CR242+CS242+CT242+CU242+CV242+CW242+CX242+CY242+CZ242+DA242+DB242+DC242))</f>
        <v>20375000</v>
      </c>
      <c r="DE242" s="245">
        <f t="shared" si="68"/>
        <v>90375000</v>
      </c>
    </row>
    <row r="243" spans="1:110" ht="65.099999999999994" customHeight="1">
      <c r="A243" s="118" t="s">
        <v>1236</v>
      </c>
      <c r="B243" s="118" t="s">
        <v>9</v>
      </c>
      <c r="C243" s="118" t="s">
        <v>1698</v>
      </c>
      <c r="D243" s="118">
        <v>16</v>
      </c>
      <c r="E243" s="118" t="s">
        <v>953</v>
      </c>
      <c r="F243" s="135"/>
      <c r="G243" s="136"/>
      <c r="H243" s="137"/>
      <c r="I243" s="137"/>
      <c r="J243" s="137"/>
      <c r="K243" s="138"/>
      <c r="L243" s="137"/>
      <c r="M243" s="137"/>
      <c r="N243" s="137"/>
      <c r="O243" s="137"/>
      <c r="P243" s="137"/>
      <c r="Q243" s="136"/>
      <c r="R243" s="139"/>
      <c r="S243" s="137"/>
      <c r="T243" s="137"/>
      <c r="U243" s="140"/>
      <c r="V243" s="140"/>
      <c r="W243" s="138"/>
      <c r="X243" s="140"/>
      <c r="Y243" s="140"/>
      <c r="Z243" s="140"/>
      <c r="AA243" s="140"/>
      <c r="AB243" s="138"/>
      <c r="AC243" s="140"/>
      <c r="AD243" s="140"/>
      <c r="AE243" s="140"/>
      <c r="AF243" s="140"/>
      <c r="AG243" s="138"/>
      <c r="AH243" s="140"/>
      <c r="AI243" s="140"/>
      <c r="AJ243" s="140"/>
      <c r="AK243" s="140"/>
      <c r="AL243" s="138"/>
      <c r="AM243" s="141"/>
      <c r="AN243" s="142"/>
      <c r="AO243" s="142"/>
      <c r="AP243" s="143"/>
      <c r="AQ243" s="143"/>
      <c r="AR243" s="144"/>
      <c r="AS243" s="132">
        <f>SUM(AS238:AS242)</f>
        <v>100000000</v>
      </c>
      <c r="AT243" s="132">
        <f t="shared" ref="AT243:DE243" si="69">SUM(AT238:AT242)</f>
        <v>0</v>
      </c>
      <c r="AU243" s="132">
        <f t="shared" si="69"/>
        <v>0</v>
      </c>
      <c r="AV243" s="132">
        <f t="shared" si="69"/>
        <v>0</v>
      </c>
      <c r="AW243" s="132">
        <f t="shared" si="69"/>
        <v>100000000</v>
      </c>
      <c r="AX243" s="132">
        <f t="shared" si="69"/>
        <v>0</v>
      </c>
      <c r="AY243" s="132">
        <f t="shared" si="69"/>
        <v>0</v>
      </c>
      <c r="AZ243" s="132">
        <f t="shared" si="69"/>
        <v>0</v>
      </c>
      <c r="BA243" s="132">
        <f t="shared" si="69"/>
        <v>0</v>
      </c>
      <c r="BB243" s="132">
        <f t="shared" si="69"/>
        <v>0</v>
      </c>
      <c r="BC243" s="132">
        <f t="shared" si="69"/>
        <v>0</v>
      </c>
      <c r="BD243" s="132">
        <f t="shared" si="69"/>
        <v>0</v>
      </c>
      <c r="BE243" s="132">
        <f t="shared" si="69"/>
        <v>0</v>
      </c>
      <c r="BF243" s="132">
        <f t="shared" si="69"/>
        <v>0</v>
      </c>
      <c r="BG243" s="132">
        <f t="shared" si="69"/>
        <v>0</v>
      </c>
      <c r="BH243" s="132">
        <f>IF(OR(AND(BH238=0,W238&lt;&gt;0),AND(BH239=0,W239&lt;&gt;0),AND(BH240=0,W240&lt;&gt;0),AND(BH241=0,W241&lt;&gt;0),AND(BH242=0,W242&lt;&gt;0)),"NO DEBEN QUEDAR CELDAS EN ROJO",SUM(BH238:BH242))</f>
        <v>200000000</v>
      </c>
      <c r="BI243" s="132">
        <f t="shared" si="69"/>
        <v>110000000</v>
      </c>
      <c r="BJ243" s="132">
        <f t="shared" si="69"/>
        <v>0</v>
      </c>
      <c r="BK243" s="132">
        <f t="shared" si="69"/>
        <v>0</v>
      </c>
      <c r="BL243" s="132">
        <f t="shared" si="69"/>
        <v>0</v>
      </c>
      <c r="BM243" s="132">
        <f t="shared" si="69"/>
        <v>150000000</v>
      </c>
      <c r="BN243" s="132">
        <f t="shared" si="69"/>
        <v>0</v>
      </c>
      <c r="BO243" s="132">
        <f t="shared" si="69"/>
        <v>0</v>
      </c>
      <c r="BP243" s="132">
        <f t="shared" si="69"/>
        <v>0</v>
      </c>
      <c r="BQ243" s="132">
        <f t="shared" si="69"/>
        <v>0</v>
      </c>
      <c r="BR243" s="132">
        <f t="shared" si="69"/>
        <v>0</v>
      </c>
      <c r="BS243" s="132">
        <f t="shared" si="69"/>
        <v>0</v>
      </c>
      <c r="BT243" s="132">
        <f t="shared" si="69"/>
        <v>0</v>
      </c>
      <c r="BU243" s="132">
        <f t="shared" si="69"/>
        <v>0</v>
      </c>
      <c r="BV243" s="132">
        <f t="shared" si="69"/>
        <v>0</v>
      </c>
      <c r="BW243" s="132">
        <f t="shared" si="69"/>
        <v>0</v>
      </c>
      <c r="BX243" s="132">
        <f>IF(OR(AND(BX238=0,AB238&lt;&gt;0),AND(BX239=0,AB239&lt;&gt;0),AND(BX240=0,AB240&lt;&gt;0),AND(BX241=0,AB241&lt;&gt;0),AND(BX242=0,AB242&lt;&gt;0)),"NO DEBEN QUEDAR CELDAS EN ROJO",SUM(BX238:BX242))</f>
        <v>260000000</v>
      </c>
      <c r="BY243" s="132">
        <f t="shared" si="69"/>
        <v>115000000</v>
      </c>
      <c r="BZ243" s="132">
        <f t="shared" si="69"/>
        <v>0</v>
      </c>
      <c r="CA243" s="132">
        <f t="shared" si="69"/>
        <v>0</v>
      </c>
      <c r="CB243" s="132">
        <f t="shared" si="69"/>
        <v>0</v>
      </c>
      <c r="CC243" s="132">
        <f t="shared" si="69"/>
        <v>157500000</v>
      </c>
      <c r="CD243" s="132">
        <f t="shared" si="69"/>
        <v>0</v>
      </c>
      <c r="CE243" s="132">
        <f t="shared" si="69"/>
        <v>0</v>
      </c>
      <c r="CF243" s="132">
        <f t="shared" si="69"/>
        <v>0</v>
      </c>
      <c r="CG243" s="132">
        <f t="shared" si="69"/>
        <v>0</v>
      </c>
      <c r="CH243" s="132">
        <f t="shared" si="69"/>
        <v>0</v>
      </c>
      <c r="CI243" s="132">
        <f t="shared" si="69"/>
        <v>0</v>
      </c>
      <c r="CJ243" s="132">
        <f t="shared" si="69"/>
        <v>0</v>
      </c>
      <c r="CK243" s="132">
        <f t="shared" si="69"/>
        <v>0</v>
      </c>
      <c r="CL243" s="132">
        <f t="shared" si="69"/>
        <v>0</v>
      </c>
      <c r="CM243" s="132">
        <f t="shared" si="69"/>
        <v>0</v>
      </c>
      <c r="CN243" s="132">
        <f>IF(OR(AND(CN238=0,AG238&lt;&gt;0),AND(CN239=0,AG239&lt;&gt;0),AND(CN240=0,AG240&lt;&gt;0),AND(CN241=0,AG241&lt;&gt;0),AND(CN242=0,AG242&lt;&gt;0)),"NO DEBEN QUEDAR CELDAS EN ROJO",SUM(CN238:CN242))</f>
        <v>272500000</v>
      </c>
      <c r="CO243" s="132">
        <f t="shared" si="69"/>
        <v>135000000</v>
      </c>
      <c r="CP243" s="132">
        <f t="shared" si="69"/>
        <v>0</v>
      </c>
      <c r="CQ243" s="132">
        <f t="shared" si="69"/>
        <v>0</v>
      </c>
      <c r="CR243" s="132">
        <f t="shared" si="69"/>
        <v>0</v>
      </c>
      <c r="CS243" s="132">
        <f t="shared" si="69"/>
        <v>165375000</v>
      </c>
      <c r="CT243" s="132">
        <f t="shared" si="69"/>
        <v>0</v>
      </c>
      <c r="CU243" s="132">
        <f t="shared" si="69"/>
        <v>0</v>
      </c>
      <c r="CV243" s="132">
        <f t="shared" si="69"/>
        <v>0</v>
      </c>
      <c r="CW243" s="132">
        <f t="shared" si="69"/>
        <v>0</v>
      </c>
      <c r="CX243" s="132">
        <f t="shared" si="69"/>
        <v>0</v>
      </c>
      <c r="CY243" s="132">
        <f t="shared" si="69"/>
        <v>0</v>
      </c>
      <c r="CZ243" s="132">
        <f t="shared" si="69"/>
        <v>0</v>
      </c>
      <c r="DA243" s="132">
        <f t="shared" si="69"/>
        <v>0</v>
      </c>
      <c r="DB243" s="132">
        <f t="shared" si="69"/>
        <v>0</v>
      </c>
      <c r="DC243" s="132">
        <f t="shared" si="69"/>
        <v>0</v>
      </c>
      <c r="DD243" s="132">
        <f>IF(OR(AND(DD238=0,AL238&lt;&gt;0),AND(DD239=0,AL239&lt;&gt;0),AND(DD240=0,AL240&lt;&gt;0),AND(DD241=0,AL241&lt;&gt;0),AND(DD242=0,AL242&lt;&gt;0)),"NO DEBEN QUEDAR CELDAS EN ROJO",SUM(DD238:DD242))</f>
        <v>300375000</v>
      </c>
      <c r="DE243" s="132">
        <f t="shared" si="69"/>
        <v>1032875000</v>
      </c>
      <c r="DF243" s="101"/>
    </row>
    <row r="244" spans="1:110" s="98" customFormat="1" ht="108" customHeight="1">
      <c r="A244" s="103" t="s">
        <v>1236</v>
      </c>
      <c r="B244" s="103" t="s">
        <v>9</v>
      </c>
      <c r="C244" s="103" t="s">
        <v>1698</v>
      </c>
      <c r="D244" s="103">
        <v>17</v>
      </c>
      <c r="E244" s="103" t="s">
        <v>960</v>
      </c>
      <c r="F244" s="278" t="s">
        <v>961</v>
      </c>
      <c r="G244" s="103" t="s">
        <v>2724</v>
      </c>
      <c r="H244" s="103">
        <v>24</v>
      </c>
      <c r="I244" s="103" t="s">
        <v>962</v>
      </c>
      <c r="J244" s="103" t="s">
        <v>677</v>
      </c>
      <c r="K244" s="103">
        <v>0</v>
      </c>
      <c r="L244" s="103">
        <v>75</v>
      </c>
      <c r="M244" s="103" t="s">
        <v>963</v>
      </c>
      <c r="N244" s="103" t="s">
        <v>964</v>
      </c>
      <c r="O244" s="103" t="s">
        <v>965</v>
      </c>
      <c r="P244" s="283">
        <v>221</v>
      </c>
      <c r="Q244" s="103" t="s">
        <v>2725</v>
      </c>
      <c r="R244" s="103" t="s">
        <v>966</v>
      </c>
      <c r="S244" s="103" t="s">
        <v>683</v>
      </c>
      <c r="T244" s="103">
        <v>14</v>
      </c>
      <c r="U244" s="267"/>
      <c r="V244" s="267"/>
      <c r="W244" s="224">
        <v>0</v>
      </c>
      <c r="X244" s="267"/>
      <c r="Y244" s="267">
        <v>0.5</v>
      </c>
      <c r="Z244" s="267">
        <v>0.5</v>
      </c>
      <c r="AA244" s="267">
        <v>4</v>
      </c>
      <c r="AB244" s="224">
        <v>5</v>
      </c>
      <c r="AC244" s="267"/>
      <c r="AD244" s="267">
        <v>0.5</v>
      </c>
      <c r="AE244" s="267">
        <v>0.5</v>
      </c>
      <c r="AF244" s="267">
        <v>4</v>
      </c>
      <c r="AG244" s="224">
        <v>5</v>
      </c>
      <c r="AH244" s="267"/>
      <c r="AI244" s="267"/>
      <c r="AJ244" s="267"/>
      <c r="AK244" s="267"/>
      <c r="AL244" s="224">
        <v>0</v>
      </c>
      <c r="AM244" s="102">
        <v>10</v>
      </c>
      <c r="AN244" s="103" t="s">
        <v>685</v>
      </c>
      <c r="AO244" s="103" t="s">
        <v>616</v>
      </c>
      <c r="AP244" s="103" t="s">
        <v>1226</v>
      </c>
      <c r="AQ244" s="103" t="s">
        <v>1195</v>
      </c>
      <c r="AR244" s="103" t="s">
        <v>939</v>
      </c>
      <c r="AS244" s="268"/>
      <c r="AT244" s="268"/>
      <c r="AU244" s="268"/>
      <c r="AV244" s="268"/>
      <c r="AW244" s="268"/>
      <c r="AX244" s="268"/>
      <c r="AY244" s="268"/>
      <c r="AZ244" s="268"/>
      <c r="BA244" s="268"/>
      <c r="BB244" s="268"/>
      <c r="BC244" s="268"/>
      <c r="BD244" s="268"/>
      <c r="BE244" s="268"/>
      <c r="BF244" s="268"/>
      <c r="BG244" s="268"/>
      <c r="BH244" s="234">
        <f t="shared" ref="BH244:BH254" si="70">IF(W244=0,0,BG244+BF244+BE244+BD244+BC244+BB244+BA244+AZ244+AY244+AX244+AW244+AV244+AU244+AT244+AS244)</f>
        <v>0</v>
      </c>
      <c r="BI244" s="268"/>
      <c r="BJ244" s="268"/>
      <c r="BK244" s="268"/>
      <c r="BL244" s="268"/>
      <c r="BM244" s="268">
        <v>6000000</v>
      </c>
      <c r="BN244" s="268"/>
      <c r="BO244" s="268"/>
      <c r="BP244" s="268"/>
      <c r="BQ244" s="268"/>
      <c r="BR244" s="268"/>
      <c r="BS244" s="268"/>
      <c r="BT244" s="268"/>
      <c r="BU244" s="268"/>
      <c r="BV244" s="268"/>
      <c r="BW244" s="268"/>
      <c r="BX244" s="234">
        <f t="shared" ref="BX244:BX254" si="71">IF(AB244=0,0,BI244+BJ244+BK244+BL244+BM244+BN244+BO244+BP244+BQ244+BR244+BS244+BT244+BU244+BV244+BW244)</f>
        <v>6000000</v>
      </c>
      <c r="BY244" s="268"/>
      <c r="BZ244" s="268"/>
      <c r="CA244" s="268"/>
      <c r="CB244" s="268"/>
      <c r="CC244" s="268">
        <v>6000000</v>
      </c>
      <c r="CD244" s="268"/>
      <c r="CE244" s="268"/>
      <c r="CF244" s="268"/>
      <c r="CG244" s="268"/>
      <c r="CH244" s="268"/>
      <c r="CI244" s="268"/>
      <c r="CJ244" s="268"/>
      <c r="CK244" s="268"/>
      <c r="CL244" s="268"/>
      <c r="CM244" s="268"/>
      <c r="CN244" s="234">
        <f t="shared" ref="CN244:CN254" si="72">IF(AG244=0,0,(BY244+BZ244+CA244+CB244+CC244+CD244+CE244+CF244+CG244+CH244+CI244+CJ244+CK244+CL244+CM244))</f>
        <v>6000000</v>
      </c>
      <c r="CO244" s="268"/>
      <c r="CP244" s="268"/>
      <c r="CQ244" s="268"/>
      <c r="CR244" s="268"/>
      <c r="CS244" s="268"/>
      <c r="CT244" s="268"/>
      <c r="CU244" s="268"/>
      <c r="CV244" s="268"/>
      <c r="CW244" s="268"/>
      <c r="CX244" s="268"/>
      <c r="CY244" s="268"/>
      <c r="CZ244" s="268"/>
      <c r="DA244" s="268"/>
      <c r="DB244" s="268"/>
      <c r="DC244" s="268"/>
      <c r="DD244" s="234">
        <f t="shared" ref="DD244:DD254" si="73">IF(AL244=0,0,(CO244+CP244+CQ244+CR244+CS244+CT244+CU244+CV244+CW244+CX244+CY244+CZ244+DA244+DB244+DC244))</f>
        <v>0</v>
      </c>
      <c r="DE244" s="243">
        <f t="shared" ref="DE244:DE254" si="74">SUM(DD244+CN244+BX244+BH244)</f>
        <v>12000000</v>
      </c>
    </row>
    <row r="245" spans="1:110" s="98" customFormat="1" ht="108" customHeight="1">
      <c r="A245" s="103" t="s">
        <v>1236</v>
      </c>
      <c r="B245" s="279" t="s">
        <v>9</v>
      </c>
      <c r="C245" s="279" t="s">
        <v>1698</v>
      </c>
      <c r="D245" s="279">
        <v>17</v>
      </c>
      <c r="E245" s="279" t="s">
        <v>960</v>
      </c>
      <c r="F245" s="280" t="s">
        <v>961</v>
      </c>
      <c r="G245" s="279" t="s">
        <v>2724</v>
      </c>
      <c r="H245" s="279">
        <v>24</v>
      </c>
      <c r="I245" s="279" t="s">
        <v>962</v>
      </c>
      <c r="J245" s="279" t="s">
        <v>677</v>
      </c>
      <c r="K245" s="279">
        <v>0</v>
      </c>
      <c r="L245" s="279">
        <v>75</v>
      </c>
      <c r="M245" s="279" t="s">
        <v>963</v>
      </c>
      <c r="N245" s="279" t="s">
        <v>964</v>
      </c>
      <c r="O245" s="279" t="s">
        <v>965</v>
      </c>
      <c r="P245" s="283">
        <v>222</v>
      </c>
      <c r="Q245" s="279" t="s">
        <v>2726</v>
      </c>
      <c r="R245" s="279" t="s">
        <v>967</v>
      </c>
      <c r="S245" s="279" t="s">
        <v>683</v>
      </c>
      <c r="T245" s="279">
        <v>39</v>
      </c>
      <c r="U245" s="267"/>
      <c r="V245" s="267"/>
      <c r="W245" s="224">
        <v>0</v>
      </c>
      <c r="X245" s="267"/>
      <c r="Y245" s="267">
        <v>0.5</v>
      </c>
      <c r="Z245" s="267">
        <v>0.5</v>
      </c>
      <c r="AA245" s="267">
        <v>4</v>
      </c>
      <c r="AB245" s="224">
        <v>5</v>
      </c>
      <c r="AC245" s="267"/>
      <c r="AD245" s="267">
        <v>0.5</v>
      </c>
      <c r="AE245" s="267">
        <v>0.5</v>
      </c>
      <c r="AF245" s="267">
        <v>4</v>
      </c>
      <c r="AG245" s="224">
        <v>5</v>
      </c>
      <c r="AH245" s="267"/>
      <c r="AI245" s="267"/>
      <c r="AJ245" s="267"/>
      <c r="AK245" s="267"/>
      <c r="AL245" s="224">
        <v>0</v>
      </c>
      <c r="AM245" s="104">
        <v>10</v>
      </c>
      <c r="AN245" s="103" t="s">
        <v>685</v>
      </c>
      <c r="AO245" s="103" t="s">
        <v>616</v>
      </c>
      <c r="AP245" s="103" t="s">
        <v>1226</v>
      </c>
      <c r="AQ245" s="103" t="s">
        <v>1207</v>
      </c>
      <c r="AR245" s="103" t="s">
        <v>938</v>
      </c>
      <c r="AS245" s="271"/>
      <c r="AT245" s="271"/>
      <c r="AU245" s="271"/>
      <c r="AV245" s="271"/>
      <c r="AW245" s="271"/>
      <c r="AX245" s="271"/>
      <c r="AY245" s="271"/>
      <c r="AZ245" s="271"/>
      <c r="BA245" s="271"/>
      <c r="BB245" s="271"/>
      <c r="BC245" s="271"/>
      <c r="BD245" s="271"/>
      <c r="BE245" s="271"/>
      <c r="BF245" s="271"/>
      <c r="BG245" s="271"/>
      <c r="BH245" s="235">
        <f t="shared" si="70"/>
        <v>0</v>
      </c>
      <c r="BI245" s="271"/>
      <c r="BJ245" s="271"/>
      <c r="BK245" s="271"/>
      <c r="BL245" s="271"/>
      <c r="BM245" s="271">
        <v>6000000</v>
      </c>
      <c r="BN245" s="271"/>
      <c r="BO245" s="271"/>
      <c r="BP245" s="271"/>
      <c r="BQ245" s="271"/>
      <c r="BR245" s="271"/>
      <c r="BS245" s="271"/>
      <c r="BT245" s="271"/>
      <c r="BU245" s="271"/>
      <c r="BV245" s="271"/>
      <c r="BW245" s="271"/>
      <c r="BX245" s="235">
        <f t="shared" si="71"/>
        <v>6000000</v>
      </c>
      <c r="BY245" s="271"/>
      <c r="BZ245" s="271"/>
      <c r="CA245" s="271"/>
      <c r="CB245" s="271"/>
      <c r="CC245" s="271">
        <v>6000000</v>
      </c>
      <c r="CD245" s="271"/>
      <c r="CE245" s="271"/>
      <c r="CF245" s="271"/>
      <c r="CG245" s="271"/>
      <c r="CH245" s="271"/>
      <c r="CI245" s="271"/>
      <c r="CJ245" s="271"/>
      <c r="CK245" s="271"/>
      <c r="CL245" s="271"/>
      <c r="CM245" s="271"/>
      <c r="CN245" s="235">
        <f t="shared" si="72"/>
        <v>6000000</v>
      </c>
      <c r="CO245" s="271"/>
      <c r="CP245" s="271"/>
      <c r="CQ245" s="271"/>
      <c r="CR245" s="271"/>
      <c r="CS245" s="271"/>
      <c r="CT245" s="271"/>
      <c r="CU245" s="271"/>
      <c r="CV245" s="271"/>
      <c r="CW245" s="271"/>
      <c r="CX245" s="271"/>
      <c r="CY245" s="271"/>
      <c r="CZ245" s="271"/>
      <c r="DA245" s="271"/>
      <c r="DB245" s="271"/>
      <c r="DC245" s="271"/>
      <c r="DD245" s="234">
        <f t="shared" si="73"/>
        <v>0</v>
      </c>
      <c r="DE245" s="244">
        <f t="shared" si="74"/>
        <v>12000000</v>
      </c>
    </row>
    <row r="246" spans="1:110" s="98" customFormat="1" ht="108" customHeight="1">
      <c r="A246" s="103" t="s">
        <v>1236</v>
      </c>
      <c r="B246" s="279" t="s">
        <v>9</v>
      </c>
      <c r="C246" s="279" t="s">
        <v>1698</v>
      </c>
      <c r="D246" s="279">
        <v>17</v>
      </c>
      <c r="E246" s="279" t="s">
        <v>960</v>
      </c>
      <c r="F246" s="280" t="s">
        <v>961</v>
      </c>
      <c r="G246" s="279" t="s">
        <v>2724</v>
      </c>
      <c r="H246" s="279">
        <v>24</v>
      </c>
      <c r="I246" s="279" t="s">
        <v>962</v>
      </c>
      <c r="J246" s="279" t="s">
        <v>677</v>
      </c>
      <c r="K246" s="279">
        <v>0</v>
      </c>
      <c r="L246" s="279">
        <v>75</v>
      </c>
      <c r="M246" s="279" t="s">
        <v>963</v>
      </c>
      <c r="N246" s="279" t="s">
        <v>964</v>
      </c>
      <c r="O246" s="279" t="s">
        <v>965</v>
      </c>
      <c r="P246" s="283">
        <v>223</v>
      </c>
      <c r="Q246" s="279" t="s">
        <v>2727</v>
      </c>
      <c r="R246" s="279" t="s">
        <v>968</v>
      </c>
      <c r="S246" s="279" t="s">
        <v>683</v>
      </c>
      <c r="T246" s="279">
        <v>54</v>
      </c>
      <c r="U246" s="267"/>
      <c r="V246" s="267"/>
      <c r="W246" s="224">
        <v>0</v>
      </c>
      <c r="X246" s="267"/>
      <c r="Y246" s="267">
        <v>15</v>
      </c>
      <c r="Z246" s="267">
        <v>15</v>
      </c>
      <c r="AA246" s="267">
        <v>10</v>
      </c>
      <c r="AB246" s="224">
        <v>40</v>
      </c>
      <c r="AC246" s="267"/>
      <c r="AD246" s="267">
        <v>15</v>
      </c>
      <c r="AE246" s="267">
        <v>15</v>
      </c>
      <c r="AF246" s="267">
        <v>10</v>
      </c>
      <c r="AG246" s="224">
        <v>40</v>
      </c>
      <c r="AH246" s="267"/>
      <c r="AI246" s="267">
        <v>10</v>
      </c>
      <c r="AJ246" s="267">
        <v>10</v>
      </c>
      <c r="AK246" s="267"/>
      <c r="AL246" s="224">
        <v>20</v>
      </c>
      <c r="AM246" s="104">
        <v>100</v>
      </c>
      <c r="AN246" s="103" t="s">
        <v>685</v>
      </c>
      <c r="AO246" s="103" t="s">
        <v>616</v>
      </c>
      <c r="AP246" s="103" t="s">
        <v>1226</v>
      </c>
      <c r="AQ246" s="103" t="s">
        <v>1195</v>
      </c>
      <c r="AR246" s="103" t="s">
        <v>939</v>
      </c>
      <c r="AS246" s="271"/>
      <c r="AT246" s="271"/>
      <c r="AU246" s="271"/>
      <c r="AV246" s="271"/>
      <c r="AW246" s="271"/>
      <c r="AX246" s="271"/>
      <c r="AY246" s="271"/>
      <c r="AZ246" s="271"/>
      <c r="BA246" s="271"/>
      <c r="BB246" s="271"/>
      <c r="BC246" s="271"/>
      <c r="BD246" s="271"/>
      <c r="BE246" s="271"/>
      <c r="BF246" s="271"/>
      <c r="BG246" s="271"/>
      <c r="BH246" s="235">
        <f t="shared" si="70"/>
        <v>0</v>
      </c>
      <c r="BI246" s="271"/>
      <c r="BJ246" s="271"/>
      <c r="BK246" s="271"/>
      <c r="BL246" s="271"/>
      <c r="BM246" s="271">
        <v>6000000</v>
      </c>
      <c r="BN246" s="271"/>
      <c r="BO246" s="271"/>
      <c r="BP246" s="271"/>
      <c r="BQ246" s="271"/>
      <c r="BR246" s="271"/>
      <c r="BS246" s="271"/>
      <c r="BT246" s="271"/>
      <c r="BU246" s="271"/>
      <c r="BV246" s="271"/>
      <c r="BW246" s="271"/>
      <c r="BX246" s="235">
        <f t="shared" si="71"/>
        <v>6000000</v>
      </c>
      <c r="BY246" s="271"/>
      <c r="BZ246" s="271"/>
      <c r="CA246" s="271"/>
      <c r="CB246" s="271"/>
      <c r="CC246" s="271">
        <v>6000000</v>
      </c>
      <c r="CD246" s="271"/>
      <c r="CE246" s="271"/>
      <c r="CF246" s="271"/>
      <c r="CG246" s="271"/>
      <c r="CH246" s="271"/>
      <c r="CI246" s="271"/>
      <c r="CJ246" s="271"/>
      <c r="CK246" s="271"/>
      <c r="CL246" s="271"/>
      <c r="CM246" s="271"/>
      <c r="CN246" s="235">
        <f t="shared" si="72"/>
        <v>6000000</v>
      </c>
      <c r="CO246" s="271"/>
      <c r="CP246" s="271"/>
      <c r="CQ246" s="271"/>
      <c r="CR246" s="271"/>
      <c r="CS246" s="271">
        <v>8266000</v>
      </c>
      <c r="CT246" s="271"/>
      <c r="CU246" s="271"/>
      <c r="CV246" s="271"/>
      <c r="CW246" s="271"/>
      <c r="CX246" s="271"/>
      <c r="CY246" s="271"/>
      <c r="CZ246" s="271"/>
      <c r="DA246" s="271"/>
      <c r="DB246" s="271"/>
      <c r="DC246" s="271"/>
      <c r="DD246" s="234">
        <f t="shared" si="73"/>
        <v>8266000</v>
      </c>
      <c r="DE246" s="244">
        <f t="shared" si="74"/>
        <v>20266000</v>
      </c>
    </row>
    <row r="247" spans="1:110" s="98" customFormat="1" ht="108" customHeight="1">
      <c r="A247" s="103" t="s">
        <v>1236</v>
      </c>
      <c r="B247" s="279" t="s">
        <v>9</v>
      </c>
      <c r="C247" s="279" t="s">
        <v>1698</v>
      </c>
      <c r="D247" s="279">
        <v>17</v>
      </c>
      <c r="E247" s="279" t="s">
        <v>960</v>
      </c>
      <c r="F247" s="280" t="s">
        <v>961</v>
      </c>
      <c r="G247" s="279" t="s">
        <v>2724</v>
      </c>
      <c r="H247" s="279">
        <v>24</v>
      </c>
      <c r="I247" s="279" t="s">
        <v>962</v>
      </c>
      <c r="J247" s="279" t="s">
        <v>677</v>
      </c>
      <c r="K247" s="279">
        <v>0</v>
      </c>
      <c r="L247" s="279">
        <v>75</v>
      </c>
      <c r="M247" s="279" t="s">
        <v>963</v>
      </c>
      <c r="N247" s="279" t="s">
        <v>964</v>
      </c>
      <c r="O247" s="279" t="s">
        <v>965</v>
      </c>
      <c r="P247" s="283">
        <v>224</v>
      </c>
      <c r="Q247" s="279" t="s">
        <v>3396</v>
      </c>
      <c r="R247" s="279" t="s">
        <v>969</v>
      </c>
      <c r="S247" s="279" t="s">
        <v>683</v>
      </c>
      <c r="T247" s="279">
        <v>33</v>
      </c>
      <c r="U247" s="267"/>
      <c r="V247" s="267"/>
      <c r="W247" s="224">
        <v>0</v>
      </c>
      <c r="X247" s="267"/>
      <c r="Y247" s="267">
        <v>0.5</v>
      </c>
      <c r="Z247" s="267">
        <v>0.5</v>
      </c>
      <c r="AA247" s="267">
        <v>4</v>
      </c>
      <c r="AB247" s="224">
        <v>5</v>
      </c>
      <c r="AC247" s="267"/>
      <c r="AD247" s="267">
        <v>0.5</v>
      </c>
      <c r="AE247" s="267">
        <v>0.5</v>
      </c>
      <c r="AF247" s="267">
        <v>4</v>
      </c>
      <c r="AG247" s="224">
        <v>5</v>
      </c>
      <c r="AH247" s="292"/>
      <c r="AI247" s="292"/>
      <c r="AJ247" s="267"/>
      <c r="AK247" s="267"/>
      <c r="AL247" s="224">
        <v>0</v>
      </c>
      <c r="AM247" s="104">
        <v>10</v>
      </c>
      <c r="AN247" s="103" t="s">
        <v>685</v>
      </c>
      <c r="AO247" s="103" t="s">
        <v>616</v>
      </c>
      <c r="AP247" s="103" t="s">
        <v>1226</v>
      </c>
      <c r="AQ247" s="103" t="s">
        <v>1195</v>
      </c>
      <c r="AR247" s="103" t="s">
        <v>939</v>
      </c>
      <c r="AS247" s="271"/>
      <c r="AT247" s="271"/>
      <c r="AU247" s="271"/>
      <c r="AV247" s="271"/>
      <c r="AW247" s="271"/>
      <c r="AX247" s="271"/>
      <c r="AY247" s="271"/>
      <c r="AZ247" s="271"/>
      <c r="BA247" s="271"/>
      <c r="BB247" s="271"/>
      <c r="BC247" s="271"/>
      <c r="BD247" s="271"/>
      <c r="BE247" s="271"/>
      <c r="BF247" s="271"/>
      <c r="BG247" s="271"/>
      <c r="BH247" s="235">
        <f t="shared" si="70"/>
        <v>0</v>
      </c>
      <c r="BI247" s="271"/>
      <c r="BJ247" s="271"/>
      <c r="BK247" s="271"/>
      <c r="BL247" s="271"/>
      <c r="BM247" s="271">
        <v>6000000</v>
      </c>
      <c r="BN247" s="271"/>
      <c r="BO247" s="271"/>
      <c r="BP247" s="271"/>
      <c r="BQ247" s="271"/>
      <c r="BR247" s="271"/>
      <c r="BS247" s="271"/>
      <c r="BT247" s="271"/>
      <c r="BU247" s="271"/>
      <c r="BV247" s="271"/>
      <c r="BW247" s="271"/>
      <c r="BX247" s="235">
        <f t="shared" si="71"/>
        <v>6000000</v>
      </c>
      <c r="BY247" s="271"/>
      <c r="BZ247" s="271"/>
      <c r="CA247" s="271"/>
      <c r="CB247" s="271"/>
      <c r="CC247" s="271">
        <v>6000000</v>
      </c>
      <c r="CD247" s="271"/>
      <c r="CE247" s="271"/>
      <c r="CF247" s="271"/>
      <c r="CG247" s="271"/>
      <c r="CH247" s="271"/>
      <c r="CI247" s="271"/>
      <c r="CJ247" s="271"/>
      <c r="CK247" s="271"/>
      <c r="CL247" s="271"/>
      <c r="CM247" s="271"/>
      <c r="CN247" s="235">
        <f t="shared" si="72"/>
        <v>6000000</v>
      </c>
      <c r="CO247" s="271"/>
      <c r="CP247" s="271"/>
      <c r="CQ247" s="271"/>
      <c r="CR247" s="271"/>
      <c r="CS247" s="271"/>
      <c r="CT247" s="271"/>
      <c r="CU247" s="271"/>
      <c r="CV247" s="271"/>
      <c r="CW247" s="271"/>
      <c r="CX247" s="271"/>
      <c r="CY247" s="271"/>
      <c r="CZ247" s="271"/>
      <c r="DA247" s="271"/>
      <c r="DB247" s="271"/>
      <c r="DC247" s="271"/>
      <c r="DD247" s="234">
        <f t="shared" si="73"/>
        <v>0</v>
      </c>
      <c r="DE247" s="244">
        <f t="shared" si="74"/>
        <v>12000000</v>
      </c>
    </row>
    <row r="248" spans="1:110" s="98" customFormat="1" ht="108" customHeight="1">
      <c r="A248" s="103" t="s">
        <v>1236</v>
      </c>
      <c r="B248" s="279" t="s">
        <v>9</v>
      </c>
      <c r="C248" s="279" t="s">
        <v>1698</v>
      </c>
      <c r="D248" s="279">
        <v>17</v>
      </c>
      <c r="E248" s="279" t="s">
        <v>960</v>
      </c>
      <c r="F248" s="280" t="s">
        <v>961</v>
      </c>
      <c r="G248" s="279" t="s">
        <v>2724</v>
      </c>
      <c r="H248" s="279">
        <v>24</v>
      </c>
      <c r="I248" s="279" t="s">
        <v>962</v>
      </c>
      <c r="J248" s="279" t="s">
        <v>677</v>
      </c>
      <c r="K248" s="279">
        <v>0</v>
      </c>
      <c r="L248" s="279">
        <v>75</v>
      </c>
      <c r="M248" s="279" t="s">
        <v>970</v>
      </c>
      <c r="N248" s="279" t="s">
        <v>971</v>
      </c>
      <c r="O248" s="279" t="s">
        <v>972</v>
      </c>
      <c r="P248" s="283">
        <v>225</v>
      </c>
      <c r="Q248" s="279" t="s">
        <v>3510</v>
      </c>
      <c r="R248" s="279" t="s">
        <v>973</v>
      </c>
      <c r="S248" s="279" t="s">
        <v>683</v>
      </c>
      <c r="T248" s="279">
        <v>72</v>
      </c>
      <c r="U248" s="267">
        <v>200</v>
      </c>
      <c r="V248" s="267"/>
      <c r="W248" s="224">
        <v>200</v>
      </c>
      <c r="X248" s="267">
        <v>20</v>
      </c>
      <c r="Y248" s="267">
        <v>60</v>
      </c>
      <c r="Z248" s="267">
        <v>230</v>
      </c>
      <c r="AA248" s="267">
        <v>40</v>
      </c>
      <c r="AB248" s="224">
        <v>350</v>
      </c>
      <c r="AC248" s="267">
        <v>20</v>
      </c>
      <c r="AD248" s="267">
        <v>60</v>
      </c>
      <c r="AE248" s="267">
        <v>230</v>
      </c>
      <c r="AF248" s="267">
        <v>40</v>
      </c>
      <c r="AG248" s="224">
        <v>350</v>
      </c>
      <c r="AH248" s="267"/>
      <c r="AI248" s="267"/>
      <c r="AJ248" s="267">
        <v>100</v>
      </c>
      <c r="AK248" s="267"/>
      <c r="AL248" s="224">
        <v>100</v>
      </c>
      <c r="AM248" s="104">
        <v>1000</v>
      </c>
      <c r="AN248" s="103" t="s">
        <v>685</v>
      </c>
      <c r="AO248" s="103" t="s">
        <v>616</v>
      </c>
      <c r="AP248" s="103" t="s">
        <v>1226</v>
      </c>
      <c r="AQ248" s="103" t="s">
        <v>1194</v>
      </c>
      <c r="AR248" s="103" t="s">
        <v>938</v>
      </c>
      <c r="AS248" s="271"/>
      <c r="AT248" s="271"/>
      <c r="AU248" s="271"/>
      <c r="AV248" s="271"/>
      <c r="AW248" s="271">
        <v>4000000</v>
      </c>
      <c r="AX248" s="271"/>
      <c r="AY248" s="271"/>
      <c r="AZ248" s="271"/>
      <c r="BA248" s="271"/>
      <c r="BB248" s="271"/>
      <c r="BC248" s="271"/>
      <c r="BD248" s="271"/>
      <c r="BE248" s="271"/>
      <c r="BF248" s="271"/>
      <c r="BG248" s="271"/>
      <c r="BH248" s="235">
        <f t="shared" si="70"/>
        <v>4000000</v>
      </c>
      <c r="BI248" s="271"/>
      <c r="BJ248" s="271"/>
      <c r="BK248" s="271"/>
      <c r="BL248" s="271"/>
      <c r="BM248" s="271">
        <v>6000000</v>
      </c>
      <c r="BN248" s="271"/>
      <c r="BO248" s="271"/>
      <c r="BP248" s="271"/>
      <c r="BQ248" s="271"/>
      <c r="BR248" s="271"/>
      <c r="BS248" s="271"/>
      <c r="BT248" s="271"/>
      <c r="BU248" s="271"/>
      <c r="BV248" s="271"/>
      <c r="BW248" s="271"/>
      <c r="BX248" s="235">
        <f t="shared" si="71"/>
        <v>6000000</v>
      </c>
      <c r="BY248" s="271"/>
      <c r="BZ248" s="271"/>
      <c r="CA248" s="271"/>
      <c r="CB248" s="271"/>
      <c r="CC248" s="271">
        <v>6000000</v>
      </c>
      <c r="CD248" s="271"/>
      <c r="CE248" s="271"/>
      <c r="CF248" s="271"/>
      <c r="CG248" s="271"/>
      <c r="CH248" s="271"/>
      <c r="CI248" s="271"/>
      <c r="CJ248" s="271"/>
      <c r="CK248" s="271"/>
      <c r="CL248" s="271"/>
      <c r="CM248" s="271"/>
      <c r="CN248" s="235">
        <f t="shared" si="72"/>
        <v>6000000</v>
      </c>
      <c r="CO248" s="271"/>
      <c r="CP248" s="271"/>
      <c r="CQ248" s="271"/>
      <c r="CR248" s="271"/>
      <c r="CS248" s="271">
        <v>8266000</v>
      </c>
      <c r="CT248" s="271"/>
      <c r="CU248" s="271"/>
      <c r="CV248" s="271"/>
      <c r="CW248" s="271"/>
      <c r="CX248" s="271"/>
      <c r="CY248" s="271"/>
      <c r="CZ248" s="271"/>
      <c r="DA248" s="271"/>
      <c r="DB248" s="271"/>
      <c r="DC248" s="271"/>
      <c r="DD248" s="234">
        <f t="shared" si="73"/>
        <v>8266000</v>
      </c>
      <c r="DE248" s="244">
        <f t="shared" si="74"/>
        <v>24266000</v>
      </c>
    </row>
    <row r="249" spans="1:110" s="98" customFormat="1" ht="108" customHeight="1">
      <c r="A249" s="103" t="s">
        <v>1236</v>
      </c>
      <c r="B249" s="279" t="s">
        <v>9</v>
      </c>
      <c r="C249" s="279" t="s">
        <v>1698</v>
      </c>
      <c r="D249" s="279">
        <v>17</v>
      </c>
      <c r="E249" s="279" t="s">
        <v>960</v>
      </c>
      <c r="F249" s="280" t="s">
        <v>961</v>
      </c>
      <c r="G249" s="279" t="s">
        <v>2724</v>
      </c>
      <c r="H249" s="279">
        <v>24</v>
      </c>
      <c r="I249" s="279" t="s">
        <v>962</v>
      </c>
      <c r="J249" s="279" t="s">
        <v>677</v>
      </c>
      <c r="K249" s="279">
        <v>0</v>
      </c>
      <c r="L249" s="279">
        <v>75</v>
      </c>
      <c r="M249" s="279" t="s">
        <v>970</v>
      </c>
      <c r="N249" s="279" t="s">
        <v>971</v>
      </c>
      <c r="O249" s="279" t="s">
        <v>972</v>
      </c>
      <c r="P249" s="283">
        <v>226</v>
      </c>
      <c r="Q249" s="279" t="s">
        <v>2728</v>
      </c>
      <c r="R249" s="279" t="s">
        <v>974</v>
      </c>
      <c r="S249" s="279" t="s">
        <v>683</v>
      </c>
      <c r="T249" s="279">
        <v>0</v>
      </c>
      <c r="U249" s="267"/>
      <c r="V249" s="267"/>
      <c r="W249" s="224">
        <v>0</v>
      </c>
      <c r="X249" s="267"/>
      <c r="Y249" s="267"/>
      <c r="Z249" s="267">
        <v>10</v>
      </c>
      <c r="AA249" s="267">
        <v>10</v>
      </c>
      <c r="AB249" s="224">
        <v>20</v>
      </c>
      <c r="AC249" s="267">
        <v>20</v>
      </c>
      <c r="AD249" s="267">
        <v>20</v>
      </c>
      <c r="AE249" s="267">
        <v>20</v>
      </c>
      <c r="AF249" s="267">
        <v>20</v>
      </c>
      <c r="AG249" s="224">
        <v>80</v>
      </c>
      <c r="AH249" s="267"/>
      <c r="AI249" s="267">
        <v>23</v>
      </c>
      <c r="AJ249" s="267"/>
      <c r="AK249" s="267"/>
      <c r="AL249" s="224">
        <v>23</v>
      </c>
      <c r="AM249" s="104">
        <v>123</v>
      </c>
      <c r="AN249" s="103" t="s">
        <v>685</v>
      </c>
      <c r="AO249" s="103" t="s">
        <v>616</v>
      </c>
      <c r="AP249" s="103" t="s">
        <v>1226</v>
      </c>
      <c r="AQ249" s="103" t="s">
        <v>1194</v>
      </c>
      <c r="AR249" s="103" t="s">
        <v>938</v>
      </c>
      <c r="AS249" s="271"/>
      <c r="AT249" s="271"/>
      <c r="AU249" s="271"/>
      <c r="AV249" s="271"/>
      <c r="AW249" s="271"/>
      <c r="AX249" s="271"/>
      <c r="AY249" s="271"/>
      <c r="AZ249" s="271"/>
      <c r="BA249" s="271"/>
      <c r="BB249" s="271"/>
      <c r="BC249" s="271"/>
      <c r="BD249" s="271"/>
      <c r="BE249" s="271"/>
      <c r="BF249" s="271"/>
      <c r="BG249" s="271"/>
      <c r="BH249" s="235">
        <f t="shared" si="70"/>
        <v>0</v>
      </c>
      <c r="BI249" s="271"/>
      <c r="BJ249" s="271"/>
      <c r="BK249" s="271"/>
      <c r="BL249" s="271"/>
      <c r="BM249" s="271">
        <v>6000000</v>
      </c>
      <c r="BN249" s="271"/>
      <c r="BO249" s="271"/>
      <c r="BP249" s="271"/>
      <c r="BQ249" s="271"/>
      <c r="BR249" s="271"/>
      <c r="BS249" s="271"/>
      <c r="BT249" s="271"/>
      <c r="BU249" s="271"/>
      <c r="BV249" s="271"/>
      <c r="BW249" s="271"/>
      <c r="BX249" s="235">
        <f t="shared" si="71"/>
        <v>6000000</v>
      </c>
      <c r="BY249" s="271"/>
      <c r="BZ249" s="271"/>
      <c r="CA249" s="271"/>
      <c r="CB249" s="271"/>
      <c r="CC249" s="271">
        <v>6000000</v>
      </c>
      <c r="CD249" s="271"/>
      <c r="CE249" s="271"/>
      <c r="CF249" s="271"/>
      <c r="CG249" s="271"/>
      <c r="CH249" s="271"/>
      <c r="CI249" s="271"/>
      <c r="CJ249" s="271"/>
      <c r="CK249" s="271"/>
      <c r="CL249" s="271"/>
      <c r="CM249" s="271"/>
      <c r="CN249" s="235">
        <f t="shared" si="72"/>
        <v>6000000</v>
      </c>
      <c r="CO249" s="271"/>
      <c r="CP249" s="271"/>
      <c r="CQ249" s="271"/>
      <c r="CR249" s="271"/>
      <c r="CS249" s="271">
        <v>8266000</v>
      </c>
      <c r="CT249" s="271"/>
      <c r="CU249" s="271"/>
      <c r="CV249" s="271"/>
      <c r="CW249" s="271"/>
      <c r="CX249" s="271"/>
      <c r="CY249" s="271"/>
      <c r="CZ249" s="271"/>
      <c r="DA249" s="271"/>
      <c r="DB249" s="271"/>
      <c r="DC249" s="271"/>
      <c r="DD249" s="234">
        <f t="shared" si="73"/>
        <v>8266000</v>
      </c>
      <c r="DE249" s="244">
        <f t="shared" si="74"/>
        <v>20266000</v>
      </c>
    </row>
    <row r="250" spans="1:110" s="98" customFormat="1" ht="108" customHeight="1">
      <c r="A250" s="103" t="s">
        <v>1236</v>
      </c>
      <c r="B250" s="279" t="s">
        <v>9</v>
      </c>
      <c r="C250" s="279" t="s">
        <v>1698</v>
      </c>
      <c r="D250" s="279">
        <v>17</v>
      </c>
      <c r="E250" s="279" t="s">
        <v>960</v>
      </c>
      <c r="F250" s="280" t="s">
        <v>961</v>
      </c>
      <c r="G250" s="279" t="s">
        <v>2724</v>
      </c>
      <c r="H250" s="279">
        <v>24</v>
      </c>
      <c r="I250" s="279" t="s">
        <v>962</v>
      </c>
      <c r="J250" s="279" t="s">
        <v>677</v>
      </c>
      <c r="K250" s="279">
        <v>0</v>
      </c>
      <c r="L250" s="279">
        <v>75</v>
      </c>
      <c r="M250" s="279" t="s">
        <v>976</v>
      </c>
      <c r="N250" s="279" t="s">
        <v>977</v>
      </c>
      <c r="O250" s="279" t="s">
        <v>355</v>
      </c>
      <c r="P250" s="283">
        <v>227</v>
      </c>
      <c r="Q250" s="279" t="s">
        <v>2729</v>
      </c>
      <c r="R250" s="279" t="s">
        <v>978</v>
      </c>
      <c r="S250" s="279" t="s">
        <v>683</v>
      </c>
      <c r="T250" s="279">
        <v>0</v>
      </c>
      <c r="U250" s="267"/>
      <c r="V250" s="267">
        <v>0.1</v>
      </c>
      <c r="W250" s="224">
        <v>0.1</v>
      </c>
      <c r="X250" s="267">
        <v>0.1</v>
      </c>
      <c r="Y250" s="267">
        <v>0.1</v>
      </c>
      <c r="Z250" s="267">
        <v>0.1</v>
      </c>
      <c r="AA250" s="267">
        <v>0.1</v>
      </c>
      <c r="AB250" s="224">
        <v>0.4</v>
      </c>
      <c r="AC250" s="267">
        <v>0.1</v>
      </c>
      <c r="AD250" s="267">
        <v>0.1</v>
      </c>
      <c r="AE250" s="267">
        <v>0.1</v>
      </c>
      <c r="AF250" s="267">
        <v>0.1</v>
      </c>
      <c r="AG250" s="224">
        <v>0.4</v>
      </c>
      <c r="AH250" s="267">
        <v>0.05</v>
      </c>
      <c r="AI250" s="267">
        <v>0.05</v>
      </c>
      <c r="AJ250" s="267"/>
      <c r="AK250" s="267"/>
      <c r="AL250" s="224">
        <v>0.1</v>
      </c>
      <c r="AM250" s="104">
        <v>1</v>
      </c>
      <c r="AN250" s="103" t="s">
        <v>685</v>
      </c>
      <c r="AO250" s="103" t="s">
        <v>616</v>
      </c>
      <c r="AP250" s="103" t="s">
        <v>1226</v>
      </c>
      <c r="AQ250" s="103" t="s">
        <v>1207</v>
      </c>
      <c r="AR250" s="103" t="s">
        <v>952</v>
      </c>
      <c r="AS250" s="271"/>
      <c r="AT250" s="271"/>
      <c r="AU250" s="271"/>
      <c r="AV250" s="271"/>
      <c r="AW250" s="271">
        <v>4000000</v>
      </c>
      <c r="AX250" s="271"/>
      <c r="AY250" s="271"/>
      <c r="AZ250" s="271"/>
      <c r="BA250" s="271"/>
      <c r="BB250" s="271"/>
      <c r="BC250" s="271"/>
      <c r="BD250" s="271"/>
      <c r="BE250" s="271"/>
      <c r="BF250" s="271"/>
      <c r="BG250" s="271"/>
      <c r="BH250" s="235">
        <f t="shared" si="70"/>
        <v>4000000</v>
      </c>
      <c r="BI250" s="271"/>
      <c r="BJ250" s="271"/>
      <c r="BK250" s="271"/>
      <c r="BL250" s="271"/>
      <c r="BM250" s="271">
        <v>6000000</v>
      </c>
      <c r="BN250" s="271"/>
      <c r="BO250" s="271"/>
      <c r="BP250" s="271"/>
      <c r="BQ250" s="271"/>
      <c r="BR250" s="271"/>
      <c r="BS250" s="271"/>
      <c r="BT250" s="271"/>
      <c r="BU250" s="271"/>
      <c r="BV250" s="271"/>
      <c r="BW250" s="271"/>
      <c r="BX250" s="235">
        <f t="shared" si="71"/>
        <v>6000000</v>
      </c>
      <c r="BY250" s="271"/>
      <c r="BZ250" s="271"/>
      <c r="CA250" s="271"/>
      <c r="CB250" s="271"/>
      <c r="CC250" s="271">
        <v>6000000</v>
      </c>
      <c r="CD250" s="271"/>
      <c r="CE250" s="271"/>
      <c r="CF250" s="271"/>
      <c r="CG250" s="271"/>
      <c r="CH250" s="271"/>
      <c r="CI250" s="271"/>
      <c r="CJ250" s="271"/>
      <c r="CK250" s="271"/>
      <c r="CL250" s="271"/>
      <c r="CM250" s="271"/>
      <c r="CN250" s="235">
        <f t="shared" si="72"/>
        <v>6000000</v>
      </c>
      <c r="CO250" s="271"/>
      <c r="CP250" s="271"/>
      <c r="CQ250" s="271"/>
      <c r="CR250" s="271"/>
      <c r="CS250" s="271">
        <v>8266000</v>
      </c>
      <c r="CT250" s="271"/>
      <c r="CU250" s="271"/>
      <c r="CV250" s="271"/>
      <c r="CW250" s="271"/>
      <c r="CX250" s="271"/>
      <c r="CY250" s="271"/>
      <c r="CZ250" s="271"/>
      <c r="DA250" s="271"/>
      <c r="DB250" s="271"/>
      <c r="DC250" s="271"/>
      <c r="DD250" s="234">
        <f t="shared" si="73"/>
        <v>8266000</v>
      </c>
      <c r="DE250" s="244">
        <f t="shared" si="74"/>
        <v>24266000</v>
      </c>
    </row>
    <row r="251" spans="1:110" s="98" customFormat="1" ht="108" customHeight="1">
      <c r="A251" s="103" t="s">
        <v>1236</v>
      </c>
      <c r="B251" s="279" t="s">
        <v>9</v>
      </c>
      <c r="C251" s="279" t="s">
        <v>1698</v>
      </c>
      <c r="D251" s="279">
        <v>17</v>
      </c>
      <c r="E251" s="279" t="s">
        <v>960</v>
      </c>
      <c r="F251" s="280" t="s">
        <v>961</v>
      </c>
      <c r="G251" s="279" t="s">
        <v>2724</v>
      </c>
      <c r="H251" s="279">
        <v>24</v>
      </c>
      <c r="I251" s="279" t="s">
        <v>962</v>
      </c>
      <c r="J251" s="279" t="s">
        <v>677</v>
      </c>
      <c r="K251" s="279">
        <v>0</v>
      </c>
      <c r="L251" s="279">
        <v>75</v>
      </c>
      <c r="M251" s="279" t="s">
        <v>976</v>
      </c>
      <c r="N251" s="279" t="s">
        <v>977</v>
      </c>
      <c r="O251" s="279" t="s">
        <v>355</v>
      </c>
      <c r="P251" s="283">
        <v>228</v>
      </c>
      <c r="Q251" s="279" t="s">
        <v>2730</v>
      </c>
      <c r="R251" s="279" t="s">
        <v>979</v>
      </c>
      <c r="S251" s="279" t="s">
        <v>683</v>
      </c>
      <c r="T251" s="279">
        <v>21</v>
      </c>
      <c r="U251" s="267"/>
      <c r="V251" s="267"/>
      <c r="W251" s="224">
        <v>0</v>
      </c>
      <c r="X251" s="267"/>
      <c r="Y251" s="267">
        <v>1</v>
      </c>
      <c r="Z251" s="267">
        <v>1</v>
      </c>
      <c r="AA251" s="267"/>
      <c r="AB251" s="224">
        <v>2</v>
      </c>
      <c r="AC251" s="267"/>
      <c r="AD251" s="267">
        <v>1</v>
      </c>
      <c r="AE251" s="267">
        <v>1</v>
      </c>
      <c r="AF251" s="267"/>
      <c r="AG251" s="224">
        <v>2</v>
      </c>
      <c r="AH251" s="267"/>
      <c r="AI251" s="267">
        <v>1</v>
      </c>
      <c r="AJ251" s="267">
        <v>1</v>
      </c>
      <c r="AK251" s="267"/>
      <c r="AL251" s="224">
        <v>2</v>
      </c>
      <c r="AM251" s="104">
        <v>6</v>
      </c>
      <c r="AN251" s="103" t="s">
        <v>685</v>
      </c>
      <c r="AO251" s="103" t="s">
        <v>616</v>
      </c>
      <c r="AP251" s="103" t="s">
        <v>1226</v>
      </c>
      <c r="AQ251" s="103" t="s">
        <v>1207</v>
      </c>
      <c r="AR251" s="103" t="s">
        <v>939</v>
      </c>
      <c r="AS251" s="271"/>
      <c r="AT251" s="271"/>
      <c r="AU251" s="271"/>
      <c r="AV251" s="271"/>
      <c r="AW251" s="271"/>
      <c r="AX251" s="271"/>
      <c r="AY251" s="271"/>
      <c r="AZ251" s="271"/>
      <c r="BA251" s="271"/>
      <c r="BB251" s="271"/>
      <c r="BC251" s="271"/>
      <c r="BD251" s="271"/>
      <c r="BE251" s="271"/>
      <c r="BF251" s="271"/>
      <c r="BG251" s="271"/>
      <c r="BH251" s="235">
        <f t="shared" si="70"/>
        <v>0</v>
      </c>
      <c r="BI251" s="271"/>
      <c r="BJ251" s="271"/>
      <c r="BK251" s="271"/>
      <c r="BL251" s="271"/>
      <c r="BM251" s="271">
        <v>6000000</v>
      </c>
      <c r="BN251" s="271"/>
      <c r="BO251" s="271"/>
      <c r="BP251" s="271"/>
      <c r="BQ251" s="271"/>
      <c r="BR251" s="271"/>
      <c r="BS251" s="271"/>
      <c r="BT251" s="271"/>
      <c r="BU251" s="271"/>
      <c r="BV251" s="271"/>
      <c r="BW251" s="271"/>
      <c r="BX251" s="235">
        <f t="shared" si="71"/>
        <v>6000000</v>
      </c>
      <c r="BY251" s="271"/>
      <c r="BZ251" s="271"/>
      <c r="CA251" s="271"/>
      <c r="CB251" s="271"/>
      <c r="CC251" s="271">
        <v>6000000</v>
      </c>
      <c r="CD251" s="271"/>
      <c r="CE251" s="271"/>
      <c r="CF251" s="271"/>
      <c r="CG251" s="271"/>
      <c r="CH251" s="271"/>
      <c r="CI251" s="271"/>
      <c r="CJ251" s="271"/>
      <c r="CK251" s="271"/>
      <c r="CL251" s="271"/>
      <c r="CM251" s="271"/>
      <c r="CN251" s="235">
        <f t="shared" si="72"/>
        <v>6000000</v>
      </c>
      <c r="CO251" s="271"/>
      <c r="CP251" s="271"/>
      <c r="CQ251" s="271"/>
      <c r="CR251" s="271"/>
      <c r="CS251" s="271">
        <v>8266000</v>
      </c>
      <c r="CT251" s="271"/>
      <c r="CU251" s="271"/>
      <c r="CV251" s="271"/>
      <c r="CW251" s="271"/>
      <c r="CX251" s="271"/>
      <c r="CY251" s="271"/>
      <c r="CZ251" s="271"/>
      <c r="DA251" s="271"/>
      <c r="DB251" s="271"/>
      <c r="DC251" s="271"/>
      <c r="DD251" s="234">
        <f t="shared" si="73"/>
        <v>8266000</v>
      </c>
      <c r="DE251" s="244">
        <f t="shared" si="74"/>
        <v>20266000</v>
      </c>
    </row>
    <row r="252" spans="1:110" s="98" customFormat="1" ht="108" customHeight="1">
      <c r="A252" s="103" t="s">
        <v>1236</v>
      </c>
      <c r="B252" s="279" t="s">
        <v>9</v>
      </c>
      <c r="C252" s="279" t="s">
        <v>1698</v>
      </c>
      <c r="D252" s="279">
        <v>17</v>
      </c>
      <c r="E252" s="279" t="s">
        <v>960</v>
      </c>
      <c r="F252" s="280" t="s">
        <v>961</v>
      </c>
      <c r="G252" s="279" t="s">
        <v>2724</v>
      </c>
      <c r="H252" s="279">
        <v>24</v>
      </c>
      <c r="I252" s="279" t="s">
        <v>962</v>
      </c>
      <c r="J252" s="279" t="s">
        <v>677</v>
      </c>
      <c r="K252" s="279">
        <v>0</v>
      </c>
      <c r="L252" s="279">
        <v>75</v>
      </c>
      <c r="M252" s="279" t="s">
        <v>976</v>
      </c>
      <c r="N252" s="279" t="s">
        <v>977</v>
      </c>
      <c r="O252" s="279" t="s">
        <v>355</v>
      </c>
      <c r="P252" s="283">
        <v>229</v>
      </c>
      <c r="Q252" s="279" t="s">
        <v>3397</v>
      </c>
      <c r="R252" s="279" t="s">
        <v>356</v>
      </c>
      <c r="S252" s="279" t="s">
        <v>683</v>
      </c>
      <c r="T252" s="279">
        <v>0</v>
      </c>
      <c r="U252" s="267"/>
      <c r="V252" s="267">
        <v>2</v>
      </c>
      <c r="W252" s="224">
        <v>2</v>
      </c>
      <c r="X252" s="267"/>
      <c r="Y252" s="267">
        <v>25</v>
      </c>
      <c r="Z252" s="267">
        <v>25</v>
      </c>
      <c r="AA252" s="267">
        <v>7</v>
      </c>
      <c r="AB252" s="224">
        <v>57</v>
      </c>
      <c r="AC252" s="267"/>
      <c r="AD252" s="267">
        <v>25</v>
      </c>
      <c r="AE252" s="267">
        <v>25</v>
      </c>
      <c r="AF252" s="267">
        <v>7</v>
      </c>
      <c r="AG252" s="224">
        <v>57</v>
      </c>
      <c r="AH252" s="267"/>
      <c r="AI252" s="267">
        <v>7</v>
      </c>
      <c r="AJ252" s="267"/>
      <c r="AK252" s="267"/>
      <c r="AL252" s="224">
        <v>7</v>
      </c>
      <c r="AM252" s="104">
        <v>123</v>
      </c>
      <c r="AN252" s="103" t="s">
        <v>685</v>
      </c>
      <c r="AO252" s="103" t="s">
        <v>616</v>
      </c>
      <c r="AP252" s="103" t="s">
        <v>1226</v>
      </c>
      <c r="AQ252" s="103" t="s">
        <v>1207</v>
      </c>
      <c r="AR252" s="103" t="s">
        <v>938</v>
      </c>
      <c r="AS252" s="271"/>
      <c r="AT252" s="271"/>
      <c r="AU252" s="271"/>
      <c r="AV252" s="271"/>
      <c r="AW252" s="271">
        <v>4000000</v>
      </c>
      <c r="AX252" s="271"/>
      <c r="AY252" s="271"/>
      <c r="AZ252" s="271"/>
      <c r="BA252" s="271"/>
      <c r="BB252" s="271"/>
      <c r="BC252" s="271"/>
      <c r="BD252" s="271"/>
      <c r="BE252" s="271"/>
      <c r="BF252" s="271"/>
      <c r="BG252" s="271"/>
      <c r="BH252" s="235">
        <f t="shared" si="70"/>
        <v>4000000</v>
      </c>
      <c r="BI252" s="271"/>
      <c r="BJ252" s="271"/>
      <c r="BK252" s="271"/>
      <c r="BL252" s="271"/>
      <c r="BM252" s="271">
        <v>6134075</v>
      </c>
      <c r="BN252" s="271"/>
      <c r="BO252" s="271"/>
      <c r="BP252" s="271"/>
      <c r="BQ252" s="271"/>
      <c r="BR252" s="271"/>
      <c r="BS252" s="271"/>
      <c r="BT252" s="271"/>
      <c r="BU252" s="271"/>
      <c r="BV252" s="271"/>
      <c r="BW252" s="271"/>
      <c r="BX252" s="235">
        <f t="shared" si="71"/>
        <v>6134075</v>
      </c>
      <c r="BY252" s="271"/>
      <c r="BZ252" s="271"/>
      <c r="CA252" s="271"/>
      <c r="CB252" s="271"/>
      <c r="CC252" s="271">
        <v>6000000</v>
      </c>
      <c r="CD252" s="271"/>
      <c r="CE252" s="271"/>
      <c r="CF252" s="271"/>
      <c r="CG252" s="271"/>
      <c r="CH252" s="271"/>
      <c r="CI252" s="271"/>
      <c r="CJ252" s="271"/>
      <c r="CK252" s="271"/>
      <c r="CL252" s="271"/>
      <c r="CM252" s="271"/>
      <c r="CN252" s="235">
        <f t="shared" si="72"/>
        <v>6000000</v>
      </c>
      <c r="CO252" s="271"/>
      <c r="CP252" s="271"/>
      <c r="CQ252" s="271"/>
      <c r="CR252" s="271"/>
      <c r="CS252" s="271">
        <v>8266000</v>
      </c>
      <c r="CT252" s="271"/>
      <c r="CU252" s="271"/>
      <c r="CV252" s="271"/>
      <c r="CW252" s="271"/>
      <c r="CX252" s="271"/>
      <c r="CY252" s="271"/>
      <c r="CZ252" s="271"/>
      <c r="DA252" s="271"/>
      <c r="DB252" s="271"/>
      <c r="DC252" s="271"/>
      <c r="DD252" s="234">
        <f t="shared" si="73"/>
        <v>8266000</v>
      </c>
      <c r="DE252" s="244">
        <f t="shared" si="74"/>
        <v>24400075</v>
      </c>
    </row>
    <row r="253" spans="1:110" s="98" customFormat="1" ht="108" customHeight="1">
      <c r="A253" s="103" t="s">
        <v>1236</v>
      </c>
      <c r="B253" s="279" t="s">
        <v>9</v>
      </c>
      <c r="C253" s="279" t="s">
        <v>1698</v>
      </c>
      <c r="D253" s="279">
        <v>17</v>
      </c>
      <c r="E253" s="279" t="s">
        <v>960</v>
      </c>
      <c r="F253" s="280" t="s">
        <v>961</v>
      </c>
      <c r="G253" s="279" t="s">
        <v>2724</v>
      </c>
      <c r="H253" s="279">
        <v>24</v>
      </c>
      <c r="I253" s="279" t="s">
        <v>962</v>
      </c>
      <c r="J253" s="279" t="s">
        <v>677</v>
      </c>
      <c r="K253" s="279">
        <v>0</v>
      </c>
      <c r="L253" s="279">
        <v>75</v>
      </c>
      <c r="M253" s="279" t="s">
        <v>976</v>
      </c>
      <c r="N253" s="279" t="s">
        <v>977</v>
      </c>
      <c r="O253" s="279" t="s">
        <v>355</v>
      </c>
      <c r="P253" s="283">
        <v>230</v>
      </c>
      <c r="Q253" s="279" t="s">
        <v>2731</v>
      </c>
      <c r="R253" s="279" t="s">
        <v>980</v>
      </c>
      <c r="S253" s="279" t="s">
        <v>683</v>
      </c>
      <c r="T253" s="279">
        <v>123</v>
      </c>
      <c r="U253" s="267">
        <v>10</v>
      </c>
      <c r="V253" s="267">
        <v>10</v>
      </c>
      <c r="W253" s="224">
        <v>20</v>
      </c>
      <c r="X253" s="267"/>
      <c r="Y253" s="267">
        <v>10</v>
      </c>
      <c r="Z253" s="267">
        <v>10</v>
      </c>
      <c r="AA253" s="267">
        <v>10</v>
      </c>
      <c r="AB253" s="224">
        <v>30</v>
      </c>
      <c r="AC253" s="267"/>
      <c r="AD253" s="267">
        <v>15</v>
      </c>
      <c r="AE253" s="267">
        <v>15</v>
      </c>
      <c r="AF253" s="267">
        <v>15</v>
      </c>
      <c r="AG253" s="224">
        <v>45</v>
      </c>
      <c r="AH253" s="267">
        <v>14</v>
      </c>
      <c r="AI253" s="267">
        <v>14</v>
      </c>
      <c r="AJ253" s="267"/>
      <c r="AK253" s="267"/>
      <c r="AL253" s="224">
        <v>28</v>
      </c>
      <c r="AM253" s="104">
        <v>123</v>
      </c>
      <c r="AN253" s="103" t="s">
        <v>685</v>
      </c>
      <c r="AO253" s="103" t="s">
        <v>616</v>
      </c>
      <c r="AP253" s="103" t="s">
        <v>1226</v>
      </c>
      <c r="AQ253" s="103" t="s">
        <v>1207</v>
      </c>
      <c r="AR253" s="103" t="s">
        <v>952</v>
      </c>
      <c r="AS253" s="271"/>
      <c r="AT253" s="271"/>
      <c r="AU253" s="271"/>
      <c r="AV253" s="271"/>
      <c r="AW253" s="271">
        <v>4000000</v>
      </c>
      <c r="AX253" s="271"/>
      <c r="AY253" s="271"/>
      <c r="AZ253" s="271"/>
      <c r="BA253" s="271"/>
      <c r="BB253" s="271"/>
      <c r="BC253" s="271"/>
      <c r="BD253" s="271"/>
      <c r="BE253" s="271"/>
      <c r="BF253" s="271"/>
      <c r="BG253" s="271"/>
      <c r="BH253" s="235">
        <f t="shared" si="70"/>
        <v>4000000</v>
      </c>
      <c r="BI253" s="271"/>
      <c r="BJ253" s="271"/>
      <c r="BK253" s="271"/>
      <c r="BL253" s="271"/>
      <c r="BM253" s="271">
        <v>6000000</v>
      </c>
      <c r="BN253" s="271"/>
      <c r="BO253" s="271"/>
      <c r="BP253" s="271"/>
      <c r="BQ253" s="271"/>
      <c r="BR253" s="271"/>
      <c r="BS253" s="271"/>
      <c r="BT253" s="271"/>
      <c r="BU253" s="271"/>
      <c r="BV253" s="271"/>
      <c r="BW253" s="271"/>
      <c r="BX253" s="235">
        <f t="shared" si="71"/>
        <v>6000000</v>
      </c>
      <c r="BY253" s="271"/>
      <c r="BZ253" s="271"/>
      <c r="CA253" s="271"/>
      <c r="CB253" s="271"/>
      <c r="CC253" s="271">
        <v>6000000</v>
      </c>
      <c r="CD253" s="271"/>
      <c r="CE253" s="271"/>
      <c r="CF253" s="271"/>
      <c r="CG253" s="271"/>
      <c r="CH253" s="271"/>
      <c r="CI253" s="271"/>
      <c r="CJ253" s="271"/>
      <c r="CK253" s="271"/>
      <c r="CL253" s="271"/>
      <c r="CM253" s="271"/>
      <c r="CN253" s="235">
        <f t="shared" si="72"/>
        <v>6000000</v>
      </c>
      <c r="CO253" s="271"/>
      <c r="CP253" s="271"/>
      <c r="CQ253" s="271"/>
      <c r="CR253" s="271"/>
      <c r="CS253" s="271">
        <v>8266000</v>
      </c>
      <c r="CT253" s="271"/>
      <c r="CU253" s="271"/>
      <c r="CV253" s="271"/>
      <c r="CW253" s="271"/>
      <c r="CX253" s="271"/>
      <c r="CY253" s="271"/>
      <c r="CZ253" s="271"/>
      <c r="DA253" s="271"/>
      <c r="DB253" s="271"/>
      <c r="DC253" s="271"/>
      <c r="DD253" s="234">
        <f t="shared" si="73"/>
        <v>8266000</v>
      </c>
      <c r="DE253" s="244">
        <f t="shared" si="74"/>
        <v>24266000</v>
      </c>
    </row>
    <row r="254" spans="1:110" s="98" customFormat="1" ht="108" customHeight="1">
      <c r="A254" s="120" t="s">
        <v>1236</v>
      </c>
      <c r="B254" s="281" t="s">
        <v>9</v>
      </c>
      <c r="C254" s="281" t="s">
        <v>1698</v>
      </c>
      <c r="D254" s="281">
        <v>17</v>
      </c>
      <c r="E254" s="281" t="s">
        <v>960</v>
      </c>
      <c r="F254" s="282" t="s">
        <v>961</v>
      </c>
      <c r="G254" s="281" t="s">
        <v>2724</v>
      </c>
      <c r="H254" s="281">
        <v>24</v>
      </c>
      <c r="I254" s="281" t="s">
        <v>962</v>
      </c>
      <c r="J254" s="281" t="s">
        <v>677</v>
      </c>
      <c r="K254" s="281">
        <v>0</v>
      </c>
      <c r="L254" s="281">
        <v>75</v>
      </c>
      <c r="M254" s="281" t="s">
        <v>976</v>
      </c>
      <c r="N254" s="281" t="s">
        <v>977</v>
      </c>
      <c r="O254" s="281" t="s">
        <v>355</v>
      </c>
      <c r="P254" s="283">
        <v>231</v>
      </c>
      <c r="Q254" s="281" t="s">
        <v>3511</v>
      </c>
      <c r="R254" s="281" t="s">
        <v>981</v>
      </c>
      <c r="S254" s="281" t="s">
        <v>683</v>
      </c>
      <c r="T254" s="281">
        <v>123</v>
      </c>
      <c r="U254" s="275"/>
      <c r="V254" s="275">
        <v>12</v>
      </c>
      <c r="W254" s="225">
        <v>12</v>
      </c>
      <c r="X254" s="275"/>
      <c r="Y254" s="275">
        <v>16</v>
      </c>
      <c r="Z254" s="275">
        <v>16</v>
      </c>
      <c r="AA254" s="275">
        <v>16</v>
      </c>
      <c r="AB254" s="225">
        <v>48</v>
      </c>
      <c r="AC254" s="275"/>
      <c r="AD254" s="275">
        <v>16</v>
      </c>
      <c r="AE254" s="275">
        <v>16</v>
      </c>
      <c r="AF254" s="275">
        <v>16</v>
      </c>
      <c r="AG254" s="225">
        <v>48</v>
      </c>
      <c r="AH254" s="275">
        <v>5</v>
      </c>
      <c r="AI254" s="275">
        <v>10</v>
      </c>
      <c r="AJ254" s="275"/>
      <c r="AK254" s="275"/>
      <c r="AL254" s="225">
        <v>15</v>
      </c>
      <c r="AM254" s="119">
        <v>123</v>
      </c>
      <c r="AN254" s="120" t="s">
        <v>685</v>
      </c>
      <c r="AO254" s="120" t="s">
        <v>616</v>
      </c>
      <c r="AP254" s="120" t="s">
        <v>1226</v>
      </c>
      <c r="AQ254" s="120" t="s">
        <v>1207</v>
      </c>
      <c r="AR254" s="120" t="s">
        <v>952</v>
      </c>
      <c r="AS254" s="276"/>
      <c r="AT254" s="276"/>
      <c r="AU254" s="276"/>
      <c r="AV254" s="276"/>
      <c r="AW254" s="276">
        <v>4000000</v>
      </c>
      <c r="AX254" s="276"/>
      <c r="AY254" s="276"/>
      <c r="AZ254" s="276"/>
      <c r="BA254" s="276"/>
      <c r="BB254" s="276"/>
      <c r="BC254" s="276"/>
      <c r="BD254" s="276"/>
      <c r="BE254" s="276"/>
      <c r="BF254" s="276"/>
      <c r="BG254" s="276"/>
      <c r="BH254" s="236">
        <f t="shared" si="70"/>
        <v>4000000</v>
      </c>
      <c r="BI254" s="276"/>
      <c r="BJ254" s="276"/>
      <c r="BK254" s="276"/>
      <c r="BL254" s="276"/>
      <c r="BM254" s="276">
        <v>6000000</v>
      </c>
      <c r="BN254" s="276"/>
      <c r="BO254" s="276"/>
      <c r="BP254" s="276"/>
      <c r="BQ254" s="276"/>
      <c r="BR254" s="276"/>
      <c r="BS254" s="276"/>
      <c r="BT254" s="276"/>
      <c r="BU254" s="276"/>
      <c r="BV254" s="276"/>
      <c r="BW254" s="276"/>
      <c r="BX254" s="236">
        <f t="shared" si="71"/>
        <v>6000000</v>
      </c>
      <c r="BY254" s="276"/>
      <c r="BZ254" s="276"/>
      <c r="CA254" s="276"/>
      <c r="CB254" s="276"/>
      <c r="CC254" s="276">
        <v>6134075</v>
      </c>
      <c r="CD254" s="276"/>
      <c r="CE254" s="276"/>
      <c r="CF254" s="276"/>
      <c r="CG254" s="276"/>
      <c r="CH254" s="276"/>
      <c r="CI254" s="276"/>
      <c r="CJ254" s="276"/>
      <c r="CK254" s="276"/>
      <c r="CL254" s="276"/>
      <c r="CM254" s="276"/>
      <c r="CN254" s="236">
        <f t="shared" si="72"/>
        <v>6134075</v>
      </c>
      <c r="CO254" s="276"/>
      <c r="CP254" s="276"/>
      <c r="CQ254" s="276"/>
      <c r="CR254" s="276"/>
      <c r="CS254" s="276">
        <v>8272075</v>
      </c>
      <c r="CT254" s="276"/>
      <c r="CU254" s="276"/>
      <c r="CV254" s="276"/>
      <c r="CW254" s="276"/>
      <c r="CX254" s="276"/>
      <c r="CY254" s="276"/>
      <c r="CZ254" s="276"/>
      <c r="DA254" s="276"/>
      <c r="DB254" s="276"/>
      <c r="DC254" s="276"/>
      <c r="DD254" s="240">
        <f t="shared" si="73"/>
        <v>8272075</v>
      </c>
      <c r="DE254" s="245">
        <f t="shared" si="74"/>
        <v>24406150</v>
      </c>
    </row>
    <row r="255" spans="1:110" ht="65.099999999999994" customHeight="1">
      <c r="A255" s="118" t="s">
        <v>1236</v>
      </c>
      <c r="B255" s="118" t="s">
        <v>9</v>
      </c>
      <c r="C255" s="118" t="s">
        <v>1698</v>
      </c>
      <c r="D255" s="118">
        <v>17</v>
      </c>
      <c r="E255" s="118" t="s">
        <v>960</v>
      </c>
      <c r="F255" s="135"/>
      <c r="G255" s="136"/>
      <c r="H255" s="137"/>
      <c r="I255" s="137"/>
      <c r="J255" s="137"/>
      <c r="K255" s="138"/>
      <c r="L255" s="137"/>
      <c r="M255" s="137"/>
      <c r="N255" s="137"/>
      <c r="O255" s="137"/>
      <c r="P255" s="137"/>
      <c r="Q255" s="136"/>
      <c r="R255" s="139"/>
      <c r="S255" s="137"/>
      <c r="T255" s="137"/>
      <c r="U255" s="140"/>
      <c r="V255" s="140"/>
      <c r="W255" s="138"/>
      <c r="X255" s="140"/>
      <c r="Y255" s="140"/>
      <c r="Z255" s="140"/>
      <c r="AA255" s="140"/>
      <c r="AB255" s="138"/>
      <c r="AC255" s="140"/>
      <c r="AD255" s="140"/>
      <c r="AE255" s="140"/>
      <c r="AF255" s="140"/>
      <c r="AG255" s="138"/>
      <c r="AH255" s="140"/>
      <c r="AI255" s="140"/>
      <c r="AJ255" s="140"/>
      <c r="AK255" s="140"/>
      <c r="AL255" s="138"/>
      <c r="AM255" s="141"/>
      <c r="AN255" s="142"/>
      <c r="AO255" s="142"/>
      <c r="AP255" s="143"/>
      <c r="AQ255" s="143"/>
      <c r="AR255" s="144"/>
      <c r="AS255" s="132">
        <f>SUM(AS244:AS254)</f>
        <v>0</v>
      </c>
      <c r="AT255" s="132">
        <f t="shared" ref="AT255:DE255" si="75">SUM(AT244:AT254)</f>
        <v>0</v>
      </c>
      <c r="AU255" s="132">
        <f t="shared" si="75"/>
        <v>0</v>
      </c>
      <c r="AV255" s="132">
        <f t="shared" si="75"/>
        <v>0</v>
      </c>
      <c r="AW255" s="132">
        <f t="shared" si="75"/>
        <v>20000000</v>
      </c>
      <c r="AX255" s="132">
        <f t="shared" si="75"/>
        <v>0</v>
      </c>
      <c r="AY255" s="132">
        <f t="shared" si="75"/>
        <v>0</v>
      </c>
      <c r="AZ255" s="132">
        <f t="shared" si="75"/>
        <v>0</v>
      </c>
      <c r="BA255" s="132">
        <f t="shared" si="75"/>
        <v>0</v>
      </c>
      <c r="BB255" s="132">
        <f t="shared" si="75"/>
        <v>0</v>
      </c>
      <c r="BC255" s="132">
        <f t="shared" si="75"/>
        <v>0</v>
      </c>
      <c r="BD255" s="132">
        <f t="shared" si="75"/>
        <v>0</v>
      </c>
      <c r="BE255" s="132">
        <f t="shared" si="75"/>
        <v>0</v>
      </c>
      <c r="BF255" s="132">
        <f t="shared" si="75"/>
        <v>0</v>
      </c>
      <c r="BG255" s="132">
        <f t="shared" si="75"/>
        <v>0</v>
      </c>
      <c r="BH255" s="132">
        <f>IF(OR(AND(BH244=0,W244&lt;&gt;0),AND(BH245=0,W245&lt;&gt;0),AND(BH246=0,W246&lt;&gt;0),AND(BH247=0,W247&lt;&gt;0),AND(BH248=0,W248&lt;&gt;0),AND(BH249=0,W249&lt;&gt;0),AND(BH250=0,W250&lt;&gt;0),AND(BH251=0,W251&lt;&gt;0),AND(BH252=0,W252&lt;&gt;0),AND(BH253=0,W253&lt;&gt;0),AND(BH254=0,W254&lt;&gt;0)),"NO DEBEN QUEDAR CELDAS EN ROJO",SUM(BH244:BH254))</f>
        <v>20000000</v>
      </c>
      <c r="BI255" s="132">
        <f t="shared" si="75"/>
        <v>0</v>
      </c>
      <c r="BJ255" s="132">
        <f t="shared" si="75"/>
        <v>0</v>
      </c>
      <c r="BK255" s="132">
        <f t="shared" si="75"/>
        <v>0</v>
      </c>
      <c r="BL255" s="132">
        <f t="shared" si="75"/>
        <v>0</v>
      </c>
      <c r="BM255" s="132">
        <f t="shared" si="75"/>
        <v>66134075</v>
      </c>
      <c r="BN255" s="132">
        <f t="shared" si="75"/>
        <v>0</v>
      </c>
      <c r="BO255" s="132">
        <f t="shared" si="75"/>
        <v>0</v>
      </c>
      <c r="BP255" s="132">
        <f t="shared" si="75"/>
        <v>0</v>
      </c>
      <c r="BQ255" s="132">
        <f t="shared" si="75"/>
        <v>0</v>
      </c>
      <c r="BR255" s="132">
        <f t="shared" si="75"/>
        <v>0</v>
      </c>
      <c r="BS255" s="132">
        <f t="shared" si="75"/>
        <v>0</v>
      </c>
      <c r="BT255" s="132">
        <f t="shared" si="75"/>
        <v>0</v>
      </c>
      <c r="BU255" s="132">
        <f t="shared" si="75"/>
        <v>0</v>
      </c>
      <c r="BV255" s="132">
        <f t="shared" si="75"/>
        <v>0</v>
      </c>
      <c r="BW255" s="132">
        <f t="shared" si="75"/>
        <v>0</v>
      </c>
      <c r="BX255" s="132">
        <f>IF(OR(AND(BX244=0,AB244&lt;&gt;0),AND(BX245=0,AB245&lt;&gt;0),AND(BX246=0,AB246&lt;&gt;0),AND(BX247=0,AB247&lt;&gt;0),AND(BX248=0,AB248&lt;&gt;0),AND(BX249=0,AB249&lt;&gt;0),AND(BX250=0,AB250&lt;&gt;0),AND(BX251=0,AB251&lt;&gt;0),AND(BX252=0,AB252&lt;&gt;0),AND(BX253=0,AB253&lt;&gt;0),AND(BX254=0,AB254&lt;&gt;0)),"NO DEBEN QUEDAR CELDAS EN ROJO",SUM(BX244:BX254))</f>
        <v>66134075</v>
      </c>
      <c r="BY255" s="132">
        <f t="shared" si="75"/>
        <v>0</v>
      </c>
      <c r="BZ255" s="132">
        <f t="shared" si="75"/>
        <v>0</v>
      </c>
      <c r="CA255" s="132">
        <f t="shared" si="75"/>
        <v>0</v>
      </c>
      <c r="CB255" s="132">
        <f t="shared" si="75"/>
        <v>0</v>
      </c>
      <c r="CC255" s="132">
        <f t="shared" si="75"/>
        <v>66134075</v>
      </c>
      <c r="CD255" s="132">
        <f t="shared" si="75"/>
        <v>0</v>
      </c>
      <c r="CE255" s="132">
        <f t="shared" si="75"/>
        <v>0</v>
      </c>
      <c r="CF255" s="132">
        <f t="shared" si="75"/>
        <v>0</v>
      </c>
      <c r="CG255" s="132">
        <f t="shared" si="75"/>
        <v>0</v>
      </c>
      <c r="CH255" s="132">
        <f t="shared" si="75"/>
        <v>0</v>
      </c>
      <c r="CI255" s="132">
        <f t="shared" si="75"/>
        <v>0</v>
      </c>
      <c r="CJ255" s="132">
        <f t="shared" si="75"/>
        <v>0</v>
      </c>
      <c r="CK255" s="132">
        <f t="shared" si="75"/>
        <v>0</v>
      </c>
      <c r="CL255" s="132">
        <f t="shared" si="75"/>
        <v>0</v>
      </c>
      <c r="CM255" s="132">
        <f t="shared" si="75"/>
        <v>0</v>
      </c>
      <c r="CN255" s="132">
        <f>IF(OR(AND(CN244=0,AG244&lt;&gt;0),AND(CN245=0,AG245&lt;&gt;0),AND(CN246=0,AG246&lt;&gt;0),AND(CN247=0,AG247&lt;&gt;0),AND(CN248=0,AG248&lt;&gt;0),AND(CN249=0,AG249&lt;&gt;0),AND(CN250=0,AG250&lt;&gt;0),AND(CN251=0,AG251&lt;&gt;0),AND(CN252=0,AG252&lt;&gt;0),AND(CN253=0,AG253&lt;&gt;0),AND(CN254=0,AG254&lt;&gt;0)),"NO DEBEN QUEDAR CELDAS EN ROJO",SUM(CN244:CN254))</f>
        <v>66134075</v>
      </c>
      <c r="CO255" s="132">
        <f t="shared" si="75"/>
        <v>0</v>
      </c>
      <c r="CP255" s="132">
        <f t="shared" si="75"/>
        <v>0</v>
      </c>
      <c r="CQ255" s="132">
        <f t="shared" si="75"/>
        <v>0</v>
      </c>
      <c r="CR255" s="132">
        <f t="shared" si="75"/>
        <v>0</v>
      </c>
      <c r="CS255" s="132">
        <f t="shared" si="75"/>
        <v>66134075</v>
      </c>
      <c r="CT255" s="132">
        <f t="shared" si="75"/>
        <v>0</v>
      </c>
      <c r="CU255" s="132">
        <f t="shared" si="75"/>
        <v>0</v>
      </c>
      <c r="CV255" s="132">
        <f t="shared" si="75"/>
        <v>0</v>
      </c>
      <c r="CW255" s="132">
        <f t="shared" si="75"/>
        <v>0</v>
      </c>
      <c r="CX255" s="132">
        <f t="shared" si="75"/>
        <v>0</v>
      </c>
      <c r="CY255" s="132">
        <f t="shared" si="75"/>
        <v>0</v>
      </c>
      <c r="CZ255" s="132">
        <f t="shared" si="75"/>
        <v>0</v>
      </c>
      <c r="DA255" s="132">
        <f t="shared" si="75"/>
        <v>0</v>
      </c>
      <c r="DB255" s="132">
        <f t="shared" si="75"/>
        <v>0</v>
      </c>
      <c r="DC255" s="132">
        <f t="shared" si="75"/>
        <v>0</v>
      </c>
      <c r="DD255" s="132">
        <f>IF(OR(AND(DD244=0,AL244&lt;&gt;0),AND(DD245=0,AL245&lt;&gt;0),AND(DD246=0,AL246&lt;&gt;0),AND(DD247=0,AL247&lt;&gt;0),AND(DD248=0,AL248&lt;&gt;0),AND(DD249=0,AL249&lt;&gt;0),AND(DD250=0,AL250&lt;&gt;0),AND(DD251=0,AL251&lt;&gt;0),AND(DD252=0,AL252&lt;&gt;0),AND(DD253=0,AL253&lt;&gt;0),AND(DD254=0,AL254&lt;&gt;0)),"NO DEBEN QUEDAR CELDAS EN ROJO",SUM(DD244:DD254))</f>
        <v>66134075</v>
      </c>
      <c r="DE255" s="132">
        <f t="shared" si="75"/>
        <v>218402225</v>
      </c>
      <c r="DF255" s="101"/>
    </row>
    <row r="256" spans="1:110" s="98" customFormat="1" ht="88.05" customHeight="1">
      <c r="A256" s="103" t="s">
        <v>1236</v>
      </c>
      <c r="B256" s="103" t="s">
        <v>9</v>
      </c>
      <c r="C256" s="103" t="s">
        <v>1698</v>
      </c>
      <c r="D256" s="103">
        <v>18</v>
      </c>
      <c r="E256" s="103" t="s">
        <v>982</v>
      </c>
      <c r="F256" s="278" t="s">
        <v>984</v>
      </c>
      <c r="G256" s="103" t="s">
        <v>3398</v>
      </c>
      <c r="H256" s="103">
        <v>25</v>
      </c>
      <c r="I256" s="103" t="s">
        <v>983</v>
      </c>
      <c r="J256" s="103" t="s">
        <v>357</v>
      </c>
      <c r="K256" s="103">
        <v>76.8</v>
      </c>
      <c r="L256" s="103" t="s">
        <v>985</v>
      </c>
      <c r="M256" s="103" t="s">
        <v>986</v>
      </c>
      <c r="N256" s="103" t="s">
        <v>987</v>
      </c>
      <c r="O256" s="103" t="s">
        <v>988</v>
      </c>
      <c r="P256" s="283">
        <v>232</v>
      </c>
      <c r="Q256" s="103" t="s">
        <v>2732</v>
      </c>
      <c r="R256" s="103" t="s">
        <v>989</v>
      </c>
      <c r="S256" s="103" t="s">
        <v>683</v>
      </c>
      <c r="T256" s="102">
        <v>1000</v>
      </c>
      <c r="U256" s="267">
        <v>60</v>
      </c>
      <c r="V256" s="267">
        <v>40</v>
      </c>
      <c r="W256" s="224">
        <v>100</v>
      </c>
      <c r="X256" s="267">
        <v>50</v>
      </c>
      <c r="Y256" s="267">
        <v>250</v>
      </c>
      <c r="Z256" s="267">
        <v>300</v>
      </c>
      <c r="AA256" s="267">
        <v>200</v>
      </c>
      <c r="AB256" s="224">
        <v>800</v>
      </c>
      <c r="AC256" s="267">
        <v>100</v>
      </c>
      <c r="AD256" s="267">
        <v>400</v>
      </c>
      <c r="AE256" s="267">
        <v>400</v>
      </c>
      <c r="AF256" s="267">
        <v>200</v>
      </c>
      <c r="AG256" s="224">
        <v>1100</v>
      </c>
      <c r="AH256" s="267">
        <v>100</v>
      </c>
      <c r="AI256" s="267">
        <v>400</v>
      </c>
      <c r="AJ256" s="267">
        <v>300</v>
      </c>
      <c r="AK256" s="267">
        <v>200</v>
      </c>
      <c r="AL256" s="224">
        <v>1000</v>
      </c>
      <c r="AM256" s="102">
        <v>3000</v>
      </c>
      <c r="AN256" s="103" t="s">
        <v>685</v>
      </c>
      <c r="AO256" s="103" t="s">
        <v>616</v>
      </c>
      <c r="AP256" s="103" t="s">
        <v>1226</v>
      </c>
      <c r="AQ256" s="103" t="s">
        <v>1207</v>
      </c>
      <c r="AR256" s="103" t="s">
        <v>951</v>
      </c>
      <c r="AS256" s="268"/>
      <c r="AT256" s="268"/>
      <c r="AU256" s="268"/>
      <c r="AV256" s="268"/>
      <c r="AW256" s="268">
        <v>7500000</v>
      </c>
      <c r="AX256" s="268"/>
      <c r="AY256" s="268"/>
      <c r="AZ256" s="268"/>
      <c r="BA256" s="268"/>
      <c r="BB256" s="268"/>
      <c r="BC256" s="268"/>
      <c r="BD256" s="268"/>
      <c r="BE256" s="268"/>
      <c r="BF256" s="268"/>
      <c r="BG256" s="268"/>
      <c r="BH256" s="234">
        <f>IF(W256=0,0,BG256+BF256+BE256+BD256+BC256+BB256+BA256+AZ256+AY256+AX256+AW256+AV256+AU256+AT256+AS256)</f>
        <v>7500000</v>
      </c>
      <c r="BI256" s="268"/>
      <c r="BJ256" s="268"/>
      <c r="BK256" s="268"/>
      <c r="BL256" s="268"/>
      <c r="BM256" s="268">
        <v>15000000</v>
      </c>
      <c r="BN256" s="268"/>
      <c r="BO256" s="268"/>
      <c r="BP256" s="268"/>
      <c r="BQ256" s="268"/>
      <c r="BR256" s="268"/>
      <c r="BS256" s="268"/>
      <c r="BT256" s="268"/>
      <c r="BU256" s="268"/>
      <c r="BV256" s="268"/>
      <c r="BW256" s="268"/>
      <c r="BX256" s="234">
        <f>IF(AB256=0,0,BI256+BJ256+BK256+BL256+BM256+BN256+BO256+BP256+BQ256+BR256+BS256+BT256+BU256+BV256+BW256)</f>
        <v>15000000</v>
      </c>
      <c r="BY256" s="268"/>
      <c r="BZ256" s="268"/>
      <c r="CA256" s="268"/>
      <c r="CB256" s="268"/>
      <c r="CC256" s="268">
        <v>15000000</v>
      </c>
      <c r="CD256" s="268"/>
      <c r="CE256" s="268"/>
      <c r="CF256" s="268"/>
      <c r="CG256" s="268"/>
      <c r="CH256" s="268"/>
      <c r="CI256" s="268"/>
      <c r="CJ256" s="268"/>
      <c r="CK256" s="268"/>
      <c r="CL256" s="268"/>
      <c r="CM256" s="268"/>
      <c r="CN256" s="234">
        <f>IF(AG256=0,0,(BY256+BZ256+CA256+CB256+CC256+CD256+CE256+CF256+CG256+CH256+CI256+CJ256+CK256+CL256+CM256))</f>
        <v>15000000</v>
      </c>
      <c r="CO256" s="268"/>
      <c r="CP256" s="268"/>
      <c r="CQ256" s="268"/>
      <c r="CR256" s="268"/>
      <c r="CS256" s="268">
        <v>15000000</v>
      </c>
      <c r="CT256" s="268"/>
      <c r="CU256" s="268"/>
      <c r="CV256" s="268"/>
      <c r="CW256" s="268"/>
      <c r="CX256" s="268"/>
      <c r="CY256" s="268"/>
      <c r="CZ256" s="268"/>
      <c r="DA256" s="268"/>
      <c r="DB256" s="268"/>
      <c r="DC256" s="268"/>
      <c r="DD256" s="234">
        <f>IF(AL256=0,0,(CO256+CP256+CQ256+CR256+CS256+CT256+CU256+CV256+CW256+CX256+CY256+CZ256+DA256+DB256+DC256))</f>
        <v>15000000</v>
      </c>
      <c r="DE256" s="243">
        <f t="shared" ref="DE256:DE258" si="76">SUM(DD256+CN256+BX256+BH256)</f>
        <v>52500000</v>
      </c>
    </row>
    <row r="257" spans="1:110" s="98" customFormat="1" ht="88.05" customHeight="1">
      <c r="A257" s="103" t="s">
        <v>1236</v>
      </c>
      <c r="B257" s="279" t="s">
        <v>9</v>
      </c>
      <c r="C257" s="279" t="s">
        <v>1698</v>
      </c>
      <c r="D257" s="279">
        <v>18</v>
      </c>
      <c r="E257" s="279" t="s">
        <v>982</v>
      </c>
      <c r="F257" s="280" t="s">
        <v>984</v>
      </c>
      <c r="G257" s="279" t="s">
        <v>3398</v>
      </c>
      <c r="H257" s="279">
        <v>25</v>
      </c>
      <c r="I257" s="279" t="s">
        <v>983</v>
      </c>
      <c r="J257" s="279" t="s">
        <v>357</v>
      </c>
      <c r="K257" s="279">
        <v>76.8</v>
      </c>
      <c r="L257" s="279" t="s">
        <v>985</v>
      </c>
      <c r="M257" s="279" t="s">
        <v>986</v>
      </c>
      <c r="N257" s="279" t="s">
        <v>987</v>
      </c>
      <c r="O257" s="279" t="s">
        <v>988</v>
      </c>
      <c r="P257" s="283">
        <v>233</v>
      </c>
      <c r="Q257" s="279" t="s">
        <v>2733</v>
      </c>
      <c r="R257" s="279" t="s">
        <v>990</v>
      </c>
      <c r="S257" s="279" t="s">
        <v>683</v>
      </c>
      <c r="T257" s="279">
        <v>210</v>
      </c>
      <c r="U257" s="267">
        <v>100</v>
      </c>
      <c r="V257" s="267">
        <v>100</v>
      </c>
      <c r="W257" s="224">
        <v>200</v>
      </c>
      <c r="X257" s="267">
        <v>200</v>
      </c>
      <c r="Y257" s="267">
        <v>400</v>
      </c>
      <c r="Z257" s="267">
        <v>400</v>
      </c>
      <c r="AA257" s="267">
        <v>205</v>
      </c>
      <c r="AB257" s="224">
        <v>1205</v>
      </c>
      <c r="AC257" s="267">
        <v>200</v>
      </c>
      <c r="AD257" s="267">
        <v>480</v>
      </c>
      <c r="AE257" s="267">
        <v>480</v>
      </c>
      <c r="AF257" s="267">
        <v>205</v>
      </c>
      <c r="AG257" s="224">
        <v>1365</v>
      </c>
      <c r="AH257" s="267">
        <v>200</v>
      </c>
      <c r="AI257" s="267">
        <v>440</v>
      </c>
      <c r="AJ257" s="267">
        <v>440</v>
      </c>
      <c r="AK257" s="267">
        <v>150</v>
      </c>
      <c r="AL257" s="224">
        <v>1230</v>
      </c>
      <c r="AM257" s="104">
        <v>4000</v>
      </c>
      <c r="AN257" s="103" t="s">
        <v>685</v>
      </c>
      <c r="AO257" s="103" t="s">
        <v>616</v>
      </c>
      <c r="AP257" s="103" t="s">
        <v>1226</v>
      </c>
      <c r="AQ257" s="103" t="s">
        <v>1207</v>
      </c>
      <c r="AR257" s="103" t="s">
        <v>951</v>
      </c>
      <c r="AS257" s="271"/>
      <c r="AT257" s="271"/>
      <c r="AU257" s="271"/>
      <c r="AV257" s="271"/>
      <c r="AW257" s="271">
        <v>5000000</v>
      </c>
      <c r="AX257" s="271"/>
      <c r="AY257" s="271"/>
      <c r="AZ257" s="271"/>
      <c r="BA257" s="271"/>
      <c r="BB257" s="271"/>
      <c r="BC257" s="271"/>
      <c r="BD257" s="271"/>
      <c r="BE257" s="271"/>
      <c r="BF257" s="271"/>
      <c r="BG257" s="271"/>
      <c r="BH257" s="235">
        <f>IF(W257=0,0,BG257+BF257+BE257+BD257+BC257+BB257+BA257+AZ257+AY257+AX257+AW257+AV257+AU257+AT257+AS257)</f>
        <v>5000000</v>
      </c>
      <c r="BI257" s="271"/>
      <c r="BJ257" s="271"/>
      <c r="BK257" s="271"/>
      <c r="BL257" s="271"/>
      <c r="BM257" s="271">
        <v>15000000</v>
      </c>
      <c r="BN257" s="271"/>
      <c r="BO257" s="271"/>
      <c r="BP257" s="271"/>
      <c r="BQ257" s="271"/>
      <c r="BR257" s="271"/>
      <c r="BS257" s="271"/>
      <c r="BT257" s="271"/>
      <c r="BU257" s="271"/>
      <c r="BV257" s="271"/>
      <c r="BW257" s="271"/>
      <c r="BX257" s="235">
        <f>IF(AB257=0,0,BI257+BJ257+BK257+BL257+BM257+BN257+BO257+BP257+BQ257+BR257+BS257+BT257+BU257+BV257+BW257)</f>
        <v>15000000</v>
      </c>
      <c r="BY257" s="271"/>
      <c r="BZ257" s="271"/>
      <c r="CA257" s="271"/>
      <c r="CB257" s="271"/>
      <c r="CC257" s="271">
        <v>15000000</v>
      </c>
      <c r="CD257" s="271"/>
      <c r="CE257" s="271"/>
      <c r="CF257" s="271"/>
      <c r="CG257" s="271"/>
      <c r="CH257" s="271"/>
      <c r="CI257" s="271"/>
      <c r="CJ257" s="271"/>
      <c r="CK257" s="271"/>
      <c r="CL257" s="271"/>
      <c r="CM257" s="271"/>
      <c r="CN257" s="235">
        <f>IF(AG257=0,0,(BY257+BZ257+CA257+CB257+CC257+CD257+CE257+CF257+CG257+CH257+CI257+CJ257+CK257+CL257+CM257))</f>
        <v>15000000</v>
      </c>
      <c r="CO257" s="271"/>
      <c r="CP257" s="271"/>
      <c r="CQ257" s="271"/>
      <c r="CR257" s="271"/>
      <c r="CS257" s="271">
        <v>15000000</v>
      </c>
      <c r="CT257" s="271"/>
      <c r="CU257" s="271"/>
      <c r="CV257" s="271"/>
      <c r="CW257" s="271"/>
      <c r="CX257" s="271"/>
      <c r="CY257" s="271"/>
      <c r="CZ257" s="271"/>
      <c r="DA257" s="271"/>
      <c r="DB257" s="271"/>
      <c r="DC257" s="271"/>
      <c r="DD257" s="234">
        <f>IF(AL257=0,0,(CO257+CP257+CQ257+CR257+CS257+CT257+CU257+CV257+CW257+CX257+CY257+CZ257+DA257+DB257+DC257))</f>
        <v>15000000</v>
      </c>
      <c r="DE257" s="244">
        <f t="shared" si="76"/>
        <v>50000000</v>
      </c>
    </row>
    <row r="258" spans="1:110" s="98" customFormat="1" ht="88.05" customHeight="1">
      <c r="A258" s="120" t="s">
        <v>1236</v>
      </c>
      <c r="B258" s="281" t="s">
        <v>9</v>
      </c>
      <c r="C258" s="281" t="s">
        <v>1698</v>
      </c>
      <c r="D258" s="281">
        <v>18</v>
      </c>
      <c r="E258" s="281" t="s">
        <v>982</v>
      </c>
      <c r="F258" s="282" t="s">
        <v>984</v>
      </c>
      <c r="G258" s="281" t="s">
        <v>3398</v>
      </c>
      <c r="H258" s="281">
        <v>25</v>
      </c>
      <c r="I258" s="281" t="s">
        <v>983</v>
      </c>
      <c r="J258" s="281" t="s">
        <v>357</v>
      </c>
      <c r="K258" s="281">
        <v>76.8</v>
      </c>
      <c r="L258" s="281" t="s">
        <v>985</v>
      </c>
      <c r="M258" s="281" t="s">
        <v>986</v>
      </c>
      <c r="N258" s="281" t="s">
        <v>987</v>
      </c>
      <c r="O258" s="281" t="s">
        <v>988</v>
      </c>
      <c r="P258" s="284">
        <v>234</v>
      </c>
      <c r="Q258" s="281" t="s">
        <v>3399</v>
      </c>
      <c r="R258" s="281" t="s">
        <v>991</v>
      </c>
      <c r="S258" s="281" t="s">
        <v>683</v>
      </c>
      <c r="T258" s="281">
        <v>3000</v>
      </c>
      <c r="U258" s="275">
        <v>200</v>
      </c>
      <c r="V258" s="275">
        <v>200</v>
      </c>
      <c r="W258" s="225">
        <v>400</v>
      </c>
      <c r="X258" s="275">
        <v>300</v>
      </c>
      <c r="Y258" s="275">
        <v>466</v>
      </c>
      <c r="Z258" s="275">
        <v>467</v>
      </c>
      <c r="AA258" s="275">
        <v>300</v>
      </c>
      <c r="AB258" s="225">
        <v>1533</v>
      </c>
      <c r="AC258" s="275">
        <v>300</v>
      </c>
      <c r="AD258" s="275">
        <v>517</v>
      </c>
      <c r="AE258" s="275">
        <v>517</v>
      </c>
      <c r="AF258" s="275">
        <v>300</v>
      </c>
      <c r="AG258" s="225">
        <v>1634</v>
      </c>
      <c r="AH258" s="275">
        <v>300</v>
      </c>
      <c r="AI258" s="275">
        <v>466</v>
      </c>
      <c r="AJ258" s="275">
        <v>467</v>
      </c>
      <c r="AK258" s="275">
        <v>200</v>
      </c>
      <c r="AL258" s="225">
        <v>1433</v>
      </c>
      <c r="AM258" s="119">
        <v>5000</v>
      </c>
      <c r="AN258" s="120" t="s">
        <v>685</v>
      </c>
      <c r="AO258" s="120" t="s">
        <v>616</v>
      </c>
      <c r="AP258" s="120" t="s">
        <v>1226</v>
      </c>
      <c r="AQ258" s="120" t="s">
        <v>1207</v>
      </c>
      <c r="AR258" s="120" t="s">
        <v>951</v>
      </c>
      <c r="AS258" s="276"/>
      <c r="AT258" s="276"/>
      <c r="AU258" s="276"/>
      <c r="AV258" s="276"/>
      <c r="AW258" s="276">
        <v>7500000</v>
      </c>
      <c r="AX258" s="276"/>
      <c r="AY258" s="276"/>
      <c r="AZ258" s="276"/>
      <c r="BA258" s="276"/>
      <c r="BB258" s="276"/>
      <c r="BC258" s="276"/>
      <c r="BD258" s="276"/>
      <c r="BE258" s="276"/>
      <c r="BF258" s="276"/>
      <c r="BG258" s="276"/>
      <c r="BH258" s="236">
        <f>IF(W258=0,0,BG258+BF258+BE258+BD258+BC258+BB258+BA258+AZ258+AY258+AX258+AW258+AV258+AU258+AT258+AS258)</f>
        <v>7500000</v>
      </c>
      <c r="BI258" s="276"/>
      <c r="BJ258" s="276"/>
      <c r="BK258" s="276"/>
      <c r="BL258" s="276"/>
      <c r="BM258" s="276">
        <v>15000000</v>
      </c>
      <c r="BN258" s="276"/>
      <c r="BO258" s="276"/>
      <c r="BP258" s="276"/>
      <c r="BQ258" s="276"/>
      <c r="BR258" s="276"/>
      <c r="BS258" s="276"/>
      <c r="BT258" s="276"/>
      <c r="BU258" s="276"/>
      <c r="BV258" s="276"/>
      <c r="BW258" s="276"/>
      <c r="BX258" s="236">
        <f>IF(AB258=0,0,BI258+BJ258+BK258+BL258+BM258+BN258+BO258+BP258+BQ258+BR258+BS258+BT258+BU258+BV258+BW258)</f>
        <v>15000000</v>
      </c>
      <c r="BY258" s="276"/>
      <c r="BZ258" s="276"/>
      <c r="CA258" s="276"/>
      <c r="CB258" s="276"/>
      <c r="CC258" s="276">
        <v>15000000</v>
      </c>
      <c r="CD258" s="276"/>
      <c r="CE258" s="276"/>
      <c r="CF258" s="276"/>
      <c r="CG258" s="276"/>
      <c r="CH258" s="276"/>
      <c r="CI258" s="276"/>
      <c r="CJ258" s="276"/>
      <c r="CK258" s="276"/>
      <c r="CL258" s="276"/>
      <c r="CM258" s="276"/>
      <c r="CN258" s="236">
        <f>IF(AG258=0,0,(BY258+BZ258+CA258+CB258+CC258+CD258+CE258+CF258+CG258+CH258+CI258+CJ258+CK258+CL258+CM258))</f>
        <v>15000000</v>
      </c>
      <c r="CO258" s="276"/>
      <c r="CP258" s="276"/>
      <c r="CQ258" s="276"/>
      <c r="CR258" s="276"/>
      <c r="CS258" s="276">
        <v>15000000</v>
      </c>
      <c r="CT258" s="276"/>
      <c r="CU258" s="276"/>
      <c r="CV258" s="276"/>
      <c r="CW258" s="276"/>
      <c r="CX258" s="276"/>
      <c r="CY258" s="276"/>
      <c r="CZ258" s="276"/>
      <c r="DA258" s="276"/>
      <c r="DB258" s="276"/>
      <c r="DC258" s="276"/>
      <c r="DD258" s="240">
        <f>IF(AL258=0,0,(CO258+CP258+CQ258+CR258+CS258+CT258+CU258+CV258+CW258+CX258+CY258+CZ258+DA258+DB258+DC258))</f>
        <v>15000000</v>
      </c>
      <c r="DE258" s="245">
        <f t="shared" si="76"/>
        <v>52500000</v>
      </c>
    </row>
    <row r="259" spans="1:110" ht="65.099999999999994" customHeight="1">
      <c r="A259" s="118" t="s">
        <v>1236</v>
      </c>
      <c r="B259" s="118" t="s">
        <v>9</v>
      </c>
      <c r="C259" s="118" t="s">
        <v>1698</v>
      </c>
      <c r="D259" s="118">
        <v>18</v>
      </c>
      <c r="E259" s="118" t="s">
        <v>982</v>
      </c>
      <c r="F259" s="135"/>
      <c r="G259" s="136"/>
      <c r="H259" s="137"/>
      <c r="I259" s="137"/>
      <c r="J259" s="137"/>
      <c r="K259" s="138"/>
      <c r="L259" s="137"/>
      <c r="M259" s="137"/>
      <c r="N259" s="137"/>
      <c r="O259" s="137"/>
      <c r="P259" s="137"/>
      <c r="Q259" s="136"/>
      <c r="R259" s="139"/>
      <c r="S259" s="137"/>
      <c r="T259" s="137"/>
      <c r="U259" s="140"/>
      <c r="V259" s="140"/>
      <c r="W259" s="138"/>
      <c r="X259" s="140"/>
      <c r="Y259" s="140"/>
      <c r="Z259" s="140"/>
      <c r="AA259" s="140"/>
      <c r="AB259" s="138"/>
      <c r="AC259" s="140"/>
      <c r="AD259" s="140"/>
      <c r="AE259" s="140"/>
      <c r="AF259" s="140"/>
      <c r="AG259" s="138"/>
      <c r="AH259" s="140"/>
      <c r="AI259" s="140"/>
      <c r="AJ259" s="140"/>
      <c r="AK259" s="140"/>
      <c r="AL259" s="138"/>
      <c r="AM259" s="141"/>
      <c r="AN259" s="142"/>
      <c r="AO259" s="142"/>
      <c r="AP259" s="143"/>
      <c r="AQ259" s="143"/>
      <c r="AR259" s="144"/>
      <c r="AS259" s="132">
        <f>SUM(AS256:AS258)</f>
        <v>0</v>
      </c>
      <c r="AT259" s="132">
        <f t="shared" ref="AT259:DE259" si="77">SUM(AT256:AT258)</f>
        <v>0</v>
      </c>
      <c r="AU259" s="132">
        <f t="shared" si="77"/>
        <v>0</v>
      </c>
      <c r="AV259" s="132">
        <f t="shared" si="77"/>
        <v>0</v>
      </c>
      <c r="AW259" s="132">
        <f t="shared" si="77"/>
        <v>20000000</v>
      </c>
      <c r="AX259" s="132">
        <f t="shared" si="77"/>
        <v>0</v>
      </c>
      <c r="AY259" s="132">
        <f t="shared" si="77"/>
        <v>0</v>
      </c>
      <c r="AZ259" s="132">
        <f t="shared" si="77"/>
        <v>0</v>
      </c>
      <c r="BA259" s="132">
        <f t="shared" si="77"/>
        <v>0</v>
      </c>
      <c r="BB259" s="132">
        <f t="shared" si="77"/>
        <v>0</v>
      </c>
      <c r="BC259" s="132">
        <f t="shared" si="77"/>
        <v>0</v>
      </c>
      <c r="BD259" s="132">
        <f t="shared" si="77"/>
        <v>0</v>
      </c>
      <c r="BE259" s="132">
        <f t="shared" si="77"/>
        <v>0</v>
      </c>
      <c r="BF259" s="132">
        <f t="shared" si="77"/>
        <v>0</v>
      </c>
      <c r="BG259" s="132">
        <f t="shared" si="77"/>
        <v>0</v>
      </c>
      <c r="BH259" s="132">
        <f>IF(OR(AND(BH256=0,W256&lt;&gt;0),AND(BH257=0,W257&lt;&gt;0),AND(BH258=0,W258&lt;&gt;0)),"NO DEBEN QUEDAR CELDAS EN ROJO",SUM(BH256:BH258))</f>
        <v>20000000</v>
      </c>
      <c r="BI259" s="132">
        <f t="shared" si="77"/>
        <v>0</v>
      </c>
      <c r="BJ259" s="132">
        <f t="shared" si="77"/>
        <v>0</v>
      </c>
      <c r="BK259" s="132">
        <f t="shared" si="77"/>
        <v>0</v>
      </c>
      <c r="BL259" s="132">
        <f t="shared" si="77"/>
        <v>0</v>
      </c>
      <c r="BM259" s="132">
        <f t="shared" si="77"/>
        <v>45000000</v>
      </c>
      <c r="BN259" s="132">
        <f t="shared" si="77"/>
        <v>0</v>
      </c>
      <c r="BO259" s="132">
        <f t="shared" si="77"/>
        <v>0</v>
      </c>
      <c r="BP259" s="132">
        <f t="shared" si="77"/>
        <v>0</v>
      </c>
      <c r="BQ259" s="132">
        <f t="shared" si="77"/>
        <v>0</v>
      </c>
      <c r="BR259" s="132">
        <f t="shared" si="77"/>
        <v>0</v>
      </c>
      <c r="BS259" s="132">
        <f t="shared" si="77"/>
        <v>0</v>
      </c>
      <c r="BT259" s="132">
        <f t="shared" si="77"/>
        <v>0</v>
      </c>
      <c r="BU259" s="132">
        <f t="shared" si="77"/>
        <v>0</v>
      </c>
      <c r="BV259" s="132">
        <f t="shared" si="77"/>
        <v>0</v>
      </c>
      <c r="BW259" s="132">
        <f t="shared" si="77"/>
        <v>0</v>
      </c>
      <c r="BX259" s="132">
        <f>IF(OR(AND(BX256=0,AB256&lt;&gt;0),AND(BX257=0,AB257&lt;&gt;0),AND(BX258=0,AB258&lt;&gt;0)),"NO DEBEN QUEDAR CELDAS EN ROJO",SUM(BX256:BX258))</f>
        <v>45000000</v>
      </c>
      <c r="BY259" s="132">
        <f t="shared" si="77"/>
        <v>0</v>
      </c>
      <c r="BZ259" s="132">
        <f t="shared" si="77"/>
        <v>0</v>
      </c>
      <c r="CA259" s="132">
        <f t="shared" si="77"/>
        <v>0</v>
      </c>
      <c r="CB259" s="132">
        <f t="shared" si="77"/>
        <v>0</v>
      </c>
      <c r="CC259" s="132">
        <f t="shared" si="77"/>
        <v>45000000</v>
      </c>
      <c r="CD259" s="132">
        <f t="shared" si="77"/>
        <v>0</v>
      </c>
      <c r="CE259" s="132">
        <f t="shared" si="77"/>
        <v>0</v>
      </c>
      <c r="CF259" s="132">
        <f t="shared" si="77"/>
        <v>0</v>
      </c>
      <c r="CG259" s="132">
        <f t="shared" si="77"/>
        <v>0</v>
      </c>
      <c r="CH259" s="132">
        <f t="shared" si="77"/>
        <v>0</v>
      </c>
      <c r="CI259" s="132">
        <f t="shared" si="77"/>
        <v>0</v>
      </c>
      <c r="CJ259" s="132">
        <f t="shared" si="77"/>
        <v>0</v>
      </c>
      <c r="CK259" s="132">
        <f t="shared" si="77"/>
        <v>0</v>
      </c>
      <c r="CL259" s="132">
        <f t="shared" si="77"/>
        <v>0</v>
      </c>
      <c r="CM259" s="132">
        <f t="shared" si="77"/>
        <v>0</v>
      </c>
      <c r="CN259" s="132">
        <f>IF(OR(AND(CN256=0,AG256&lt;&gt;0),AND(CN257=0,AG257&lt;&gt;0),AND(CN258=0,AG258&lt;&gt;0)),"NO DEBEN QUEDAR CELDAS EN ROJO",SUM(CN256:CN258))</f>
        <v>45000000</v>
      </c>
      <c r="CO259" s="132">
        <f t="shared" si="77"/>
        <v>0</v>
      </c>
      <c r="CP259" s="132">
        <f t="shared" si="77"/>
        <v>0</v>
      </c>
      <c r="CQ259" s="132">
        <f t="shared" si="77"/>
        <v>0</v>
      </c>
      <c r="CR259" s="132">
        <f t="shared" si="77"/>
        <v>0</v>
      </c>
      <c r="CS259" s="132">
        <f t="shared" si="77"/>
        <v>45000000</v>
      </c>
      <c r="CT259" s="132">
        <f t="shared" si="77"/>
        <v>0</v>
      </c>
      <c r="CU259" s="132">
        <f t="shared" si="77"/>
        <v>0</v>
      </c>
      <c r="CV259" s="132">
        <f t="shared" si="77"/>
        <v>0</v>
      </c>
      <c r="CW259" s="132">
        <f t="shared" si="77"/>
        <v>0</v>
      </c>
      <c r="CX259" s="132">
        <f t="shared" si="77"/>
        <v>0</v>
      </c>
      <c r="CY259" s="132">
        <f t="shared" si="77"/>
        <v>0</v>
      </c>
      <c r="CZ259" s="132">
        <f t="shared" si="77"/>
        <v>0</v>
      </c>
      <c r="DA259" s="132">
        <f t="shared" si="77"/>
        <v>0</v>
      </c>
      <c r="DB259" s="132">
        <f t="shared" si="77"/>
        <v>0</v>
      </c>
      <c r="DC259" s="132">
        <f t="shared" si="77"/>
        <v>0</v>
      </c>
      <c r="DD259" s="132">
        <f>IF(OR(AND(DD256=0,AL256&lt;&gt;0),AND(DD257=0,AL257&lt;&gt;0),AND(DD258=0,AL258&lt;&gt;0)),"NO DEBEN QUEDAR CELDAS EN ROJO",SUM(DD256:DD258))</f>
        <v>45000000</v>
      </c>
      <c r="DE259" s="132">
        <f t="shared" si="77"/>
        <v>155000000</v>
      </c>
      <c r="DF259" s="101"/>
    </row>
    <row r="260" spans="1:110" s="98" customFormat="1" ht="105" customHeight="1">
      <c r="A260" s="103" t="s">
        <v>1236</v>
      </c>
      <c r="B260" s="103" t="s">
        <v>9</v>
      </c>
      <c r="C260" s="103" t="s">
        <v>1698</v>
      </c>
      <c r="D260" s="103">
        <v>19</v>
      </c>
      <c r="E260" s="103" t="s">
        <v>992</v>
      </c>
      <c r="F260" s="278" t="s">
        <v>358</v>
      </c>
      <c r="G260" s="103" t="s">
        <v>3402</v>
      </c>
      <c r="H260" s="103">
        <v>26</v>
      </c>
      <c r="I260" s="103" t="s">
        <v>993</v>
      </c>
      <c r="J260" s="103" t="s">
        <v>683</v>
      </c>
      <c r="K260" s="103">
        <v>500</v>
      </c>
      <c r="L260" s="103" t="s">
        <v>994</v>
      </c>
      <c r="M260" s="103" t="s">
        <v>997</v>
      </c>
      <c r="N260" s="103" t="s">
        <v>998</v>
      </c>
      <c r="O260" s="103" t="s">
        <v>999</v>
      </c>
      <c r="P260" s="283">
        <v>235</v>
      </c>
      <c r="Q260" s="103" t="s">
        <v>2734</v>
      </c>
      <c r="R260" s="103" t="s">
        <v>1000</v>
      </c>
      <c r="S260" s="103" t="s">
        <v>683</v>
      </c>
      <c r="T260" s="103">
        <v>1</v>
      </c>
      <c r="U260" s="267">
        <v>0.25</v>
      </c>
      <c r="V260" s="267">
        <v>0.25</v>
      </c>
      <c r="W260" s="224">
        <v>0.5</v>
      </c>
      <c r="X260" s="267">
        <v>0.1</v>
      </c>
      <c r="Y260" s="267">
        <v>0.1</v>
      </c>
      <c r="Z260" s="267">
        <v>0.2</v>
      </c>
      <c r="AA260" s="267">
        <v>0.1</v>
      </c>
      <c r="AB260" s="224">
        <v>0.5</v>
      </c>
      <c r="AC260" s="267">
        <v>0.1</v>
      </c>
      <c r="AD260" s="267">
        <v>0.4</v>
      </c>
      <c r="AE260" s="267">
        <v>0.4</v>
      </c>
      <c r="AF260" s="267">
        <v>0.1</v>
      </c>
      <c r="AG260" s="224">
        <v>1</v>
      </c>
      <c r="AH260" s="267">
        <v>0.1</v>
      </c>
      <c r="AI260" s="267">
        <v>0.4</v>
      </c>
      <c r="AJ260" s="267">
        <v>0.4</v>
      </c>
      <c r="AK260" s="267">
        <v>0.1</v>
      </c>
      <c r="AL260" s="224">
        <v>1</v>
      </c>
      <c r="AM260" s="102">
        <v>3</v>
      </c>
      <c r="AN260" s="103" t="s">
        <v>685</v>
      </c>
      <c r="AO260" s="103" t="s">
        <v>616</v>
      </c>
      <c r="AP260" s="103" t="s">
        <v>1226</v>
      </c>
      <c r="AQ260" s="103" t="s">
        <v>1207</v>
      </c>
      <c r="AR260" s="103" t="s">
        <v>938</v>
      </c>
      <c r="AS260" s="268"/>
      <c r="AT260" s="268"/>
      <c r="AU260" s="268"/>
      <c r="AV260" s="268"/>
      <c r="AW260" s="268">
        <v>2000000</v>
      </c>
      <c r="AX260" s="268"/>
      <c r="AY260" s="268"/>
      <c r="AZ260" s="268"/>
      <c r="BA260" s="268"/>
      <c r="BB260" s="268"/>
      <c r="BC260" s="268"/>
      <c r="BD260" s="268"/>
      <c r="BE260" s="268"/>
      <c r="BF260" s="268"/>
      <c r="BG260" s="268"/>
      <c r="BH260" s="234">
        <f t="shared" ref="BH260:BH265" si="78">IF(W260=0,0,BG260+BF260+BE260+BD260+BC260+BB260+BA260+AZ260+AY260+AX260+AW260+AV260+AU260+AT260+AS260)</f>
        <v>2000000</v>
      </c>
      <c r="BI260" s="268"/>
      <c r="BJ260" s="268"/>
      <c r="BK260" s="268"/>
      <c r="BL260" s="268"/>
      <c r="BM260" s="268">
        <v>500000</v>
      </c>
      <c r="BN260" s="268"/>
      <c r="BO260" s="268"/>
      <c r="BP260" s="268"/>
      <c r="BQ260" s="268"/>
      <c r="BR260" s="268"/>
      <c r="BS260" s="268"/>
      <c r="BT260" s="268"/>
      <c r="BU260" s="268"/>
      <c r="BV260" s="268"/>
      <c r="BW260" s="268"/>
      <c r="BX260" s="234">
        <f t="shared" ref="BX260:BX265" si="79">IF(AB260=0,0,BI260+BJ260+BK260+BL260+BM260+BN260+BO260+BP260+BQ260+BR260+BS260+BT260+BU260+BV260+BW260)</f>
        <v>500000</v>
      </c>
      <c r="BY260" s="268"/>
      <c r="BZ260" s="268"/>
      <c r="CA260" s="268"/>
      <c r="CB260" s="268"/>
      <c r="CC260" s="268">
        <v>500000</v>
      </c>
      <c r="CD260" s="268"/>
      <c r="CE260" s="268"/>
      <c r="CF260" s="268"/>
      <c r="CG260" s="268"/>
      <c r="CH260" s="268"/>
      <c r="CI260" s="268"/>
      <c r="CJ260" s="268"/>
      <c r="CK260" s="268"/>
      <c r="CL260" s="268"/>
      <c r="CM260" s="268"/>
      <c r="CN260" s="234">
        <f t="shared" ref="CN260:CN265" si="80">IF(AG260=0,0,(BY260+BZ260+CA260+CB260+CC260+CD260+CE260+CF260+CG260+CH260+CI260+CJ260+CK260+CL260+CM260))</f>
        <v>500000</v>
      </c>
      <c r="CO260" s="268"/>
      <c r="CP260" s="268"/>
      <c r="CQ260" s="268"/>
      <c r="CR260" s="268"/>
      <c r="CS260" s="268">
        <v>500000</v>
      </c>
      <c r="CT260" s="268"/>
      <c r="CU260" s="268"/>
      <c r="CV260" s="268"/>
      <c r="CW260" s="268"/>
      <c r="CX260" s="268"/>
      <c r="CY260" s="268"/>
      <c r="CZ260" s="268"/>
      <c r="DA260" s="268"/>
      <c r="DB260" s="268"/>
      <c r="DC260" s="268"/>
      <c r="DD260" s="234">
        <f t="shared" ref="DD260:DD265" si="81">IF(AL260=0,0,(CO260+CP260+CQ260+CR260+CS260+CT260+CU260+CV260+CW260+CX260+CY260+CZ260+DA260+DB260+DC260))</f>
        <v>500000</v>
      </c>
      <c r="DE260" s="243">
        <f t="shared" ref="DE260:DE265" si="82">SUM(DD260+CN260+BX260+BH260)</f>
        <v>3500000</v>
      </c>
    </row>
    <row r="261" spans="1:110" s="98" customFormat="1" ht="105" customHeight="1">
      <c r="A261" s="103" t="s">
        <v>1236</v>
      </c>
      <c r="B261" s="279" t="s">
        <v>9</v>
      </c>
      <c r="C261" s="279" t="s">
        <v>1698</v>
      </c>
      <c r="D261" s="279">
        <v>19</v>
      </c>
      <c r="E261" s="279" t="s">
        <v>992</v>
      </c>
      <c r="F261" s="280" t="s">
        <v>358</v>
      </c>
      <c r="G261" s="279" t="s">
        <v>3403</v>
      </c>
      <c r="H261" s="279">
        <v>27</v>
      </c>
      <c r="I261" s="279" t="s">
        <v>995</v>
      </c>
      <c r="J261" s="279" t="s">
        <v>683</v>
      </c>
      <c r="K261" s="104">
        <v>5100</v>
      </c>
      <c r="L261" s="279" t="s">
        <v>996</v>
      </c>
      <c r="M261" s="279" t="s">
        <v>997</v>
      </c>
      <c r="N261" s="279" t="s">
        <v>998</v>
      </c>
      <c r="O261" s="279" t="s">
        <v>999</v>
      </c>
      <c r="P261" s="283">
        <v>236</v>
      </c>
      <c r="Q261" s="279" t="s">
        <v>3400</v>
      </c>
      <c r="R261" s="279" t="s">
        <v>359</v>
      </c>
      <c r="S261" s="279" t="s">
        <v>683</v>
      </c>
      <c r="T261" s="279">
        <v>1</v>
      </c>
      <c r="U261" s="267">
        <v>0.5</v>
      </c>
      <c r="V261" s="267">
        <v>0.5</v>
      </c>
      <c r="W261" s="224">
        <v>1</v>
      </c>
      <c r="X261" s="267">
        <v>0.25</v>
      </c>
      <c r="Y261" s="267">
        <v>0.25</v>
      </c>
      <c r="Z261" s="267">
        <v>0.25</v>
      </c>
      <c r="AA261" s="267">
        <v>0.25</v>
      </c>
      <c r="AB261" s="224">
        <v>1</v>
      </c>
      <c r="AC261" s="267">
        <v>0.25</v>
      </c>
      <c r="AD261" s="267">
        <v>0.25</v>
      </c>
      <c r="AE261" s="267">
        <v>0.25</v>
      </c>
      <c r="AF261" s="267">
        <v>0.25</v>
      </c>
      <c r="AG261" s="224">
        <v>1</v>
      </c>
      <c r="AH261" s="267">
        <v>0.25</v>
      </c>
      <c r="AI261" s="267">
        <v>0.25</v>
      </c>
      <c r="AJ261" s="267">
        <v>0.25</v>
      </c>
      <c r="AK261" s="267">
        <v>0.25</v>
      </c>
      <c r="AL261" s="224">
        <v>1</v>
      </c>
      <c r="AM261" s="104">
        <v>1</v>
      </c>
      <c r="AN261" s="103" t="s">
        <v>686</v>
      </c>
      <c r="AO261" s="103" t="s">
        <v>616</v>
      </c>
      <c r="AP261" s="103" t="s">
        <v>1226</v>
      </c>
      <c r="AQ261" s="103" t="s">
        <v>1207</v>
      </c>
      <c r="AR261" s="103" t="s">
        <v>938</v>
      </c>
      <c r="AS261" s="271"/>
      <c r="AT261" s="271"/>
      <c r="AU261" s="271"/>
      <c r="AV261" s="271"/>
      <c r="AW261" s="271">
        <v>2500000</v>
      </c>
      <c r="AX261" s="271"/>
      <c r="AY261" s="271"/>
      <c r="AZ261" s="271"/>
      <c r="BA261" s="271"/>
      <c r="BB261" s="271"/>
      <c r="BC261" s="271"/>
      <c r="BD261" s="271"/>
      <c r="BE261" s="271"/>
      <c r="BF261" s="271"/>
      <c r="BG261" s="271"/>
      <c r="BH261" s="235">
        <f t="shared" si="78"/>
        <v>2500000</v>
      </c>
      <c r="BI261" s="271"/>
      <c r="BJ261" s="271"/>
      <c r="BK261" s="271"/>
      <c r="BL261" s="271"/>
      <c r="BM261" s="271">
        <v>35000000</v>
      </c>
      <c r="BN261" s="271"/>
      <c r="BO261" s="271"/>
      <c r="BP261" s="271"/>
      <c r="BQ261" s="271"/>
      <c r="BR261" s="271"/>
      <c r="BS261" s="271"/>
      <c r="BT261" s="271"/>
      <c r="BU261" s="271"/>
      <c r="BV261" s="271"/>
      <c r="BW261" s="271"/>
      <c r="BX261" s="235">
        <f t="shared" si="79"/>
        <v>35000000</v>
      </c>
      <c r="BY261" s="271"/>
      <c r="BZ261" s="271"/>
      <c r="CA261" s="271"/>
      <c r="CB261" s="271"/>
      <c r="CC261" s="271">
        <v>35000000</v>
      </c>
      <c r="CD261" s="271"/>
      <c r="CE261" s="271"/>
      <c r="CF261" s="271"/>
      <c r="CG261" s="271"/>
      <c r="CH261" s="271"/>
      <c r="CI261" s="271"/>
      <c r="CJ261" s="271"/>
      <c r="CK261" s="271"/>
      <c r="CL261" s="271"/>
      <c r="CM261" s="271"/>
      <c r="CN261" s="235">
        <f t="shared" si="80"/>
        <v>35000000</v>
      </c>
      <c r="CO261" s="271"/>
      <c r="CP261" s="271"/>
      <c r="CQ261" s="271"/>
      <c r="CR261" s="271"/>
      <c r="CS261" s="271">
        <v>35000000</v>
      </c>
      <c r="CT261" s="271"/>
      <c r="CU261" s="271"/>
      <c r="CV261" s="271"/>
      <c r="CW261" s="271"/>
      <c r="CX261" s="271"/>
      <c r="CY261" s="271"/>
      <c r="CZ261" s="271"/>
      <c r="DA261" s="271"/>
      <c r="DB261" s="271"/>
      <c r="DC261" s="271"/>
      <c r="DD261" s="234">
        <f t="shared" si="81"/>
        <v>35000000</v>
      </c>
      <c r="DE261" s="244">
        <f t="shared" si="82"/>
        <v>107500000</v>
      </c>
    </row>
    <row r="262" spans="1:110" s="98" customFormat="1" ht="105" customHeight="1">
      <c r="A262" s="103" t="s">
        <v>1236</v>
      </c>
      <c r="B262" s="279" t="s">
        <v>9</v>
      </c>
      <c r="C262" s="279" t="s">
        <v>1698</v>
      </c>
      <c r="D262" s="279">
        <v>19</v>
      </c>
      <c r="E262" s="279" t="s">
        <v>992</v>
      </c>
      <c r="F262" s="280" t="s">
        <v>358</v>
      </c>
      <c r="G262" s="279" t="s">
        <v>3402</v>
      </c>
      <c r="H262" s="279">
        <v>26</v>
      </c>
      <c r="I262" s="279" t="s">
        <v>993</v>
      </c>
      <c r="J262" s="279" t="s">
        <v>683</v>
      </c>
      <c r="K262" s="279">
        <v>500</v>
      </c>
      <c r="L262" s="279" t="s">
        <v>994</v>
      </c>
      <c r="M262" s="279" t="s">
        <v>997</v>
      </c>
      <c r="N262" s="279" t="s">
        <v>998</v>
      </c>
      <c r="O262" s="279" t="s">
        <v>999</v>
      </c>
      <c r="P262" s="283">
        <v>237</v>
      </c>
      <c r="Q262" s="279" t="s">
        <v>3401</v>
      </c>
      <c r="R262" s="279" t="s">
        <v>359</v>
      </c>
      <c r="S262" s="279" t="s">
        <v>683</v>
      </c>
      <c r="T262" s="279">
        <v>1</v>
      </c>
      <c r="U262" s="267"/>
      <c r="V262" s="267">
        <v>1</v>
      </c>
      <c r="W262" s="224">
        <v>1</v>
      </c>
      <c r="X262" s="267">
        <v>1</v>
      </c>
      <c r="Y262" s="267">
        <v>1</v>
      </c>
      <c r="Z262" s="267">
        <v>1</v>
      </c>
      <c r="AA262" s="267">
        <v>1</v>
      </c>
      <c r="AB262" s="224">
        <v>4</v>
      </c>
      <c r="AC262" s="267">
        <v>1</v>
      </c>
      <c r="AD262" s="267">
        <v>1</v>
      </c>
      <c r="AE262" s="267">
        <v>1</v>
      </c>
      <c r="AF262" s="267">
        <v>1</v>
      </c>
      <c r="AG262" s="224">
        <v>4</v>
      </c>
      <c r="AH262" s="267">
        <v>1</v>
      </c>
      <c r="AI262" s="267">
        <v>1</v>
      </c>
      <c r="AJ262" s="267">
        <v>1</v>
      </c>
      <c r="AK262" s="267"/>
      <c r="AL262" s="224">
        <v>3</v>
      </c>
      <c r="AM262" s="104">
        <v>12</v>
      </c>
      <c r="AN262" s="103" t="s">
        <v>685</v>
      </c>
      <c r="AO262" s="103" t="s">
        <v>616</v>
      </c>
      <c r="AP262" s="103" t="s">
        <v>1226</v>
      </c>
      <c r="AQ262" s="103" t="s">
        <v>1207</v>
      </c>
      <c r="AR262" s="103" t="s">
        <v>938</v>
      </c>
      <c r="AS262" s="271"/>
      <c r="AT262" s="271"/>
      <c r="AU262" s="271"/>
      <c r="AV262" s="271"/>
      <c r="AW262" s="271">
        <v>2000000</v>
      </c>
      <c r="AX262" s="271"/>
      <c r="AY262" s="271"/>
      <c r="AZ262" s="271"/>
      <c r="BA262" s="271"/>
      <c r="BB262" s="271"/>
      <c r="BC262" s="271"/>
      <c r="BD262" s="271"/>
      <c r="BE262" s="271"/>
      <c r="BF262" s="271"/>
      <c r="BG262" s="271"/>
      <c r="BH262" s="235">
        <f t="shared" si="78"/>
        <v>2000000</v>
      </c>
      <c r="BI262" s="271"/>
      <c r="BJ262" s="271"/>
      <c r="BK262" s="271"/>
      <c r="BL262" s="271"/>
      <c r="BM262" s="271">
        <v>1000000</v>
      </c>
      <c r="BN262" s="271"/>
      <c r="BO262" s="271"/>
      <c r="BP262" s="271"/>
      <c r="BQ262" s="271"/>
      <c r="BR262" s="271"/>
      <c r="BS262" s="271"/>
      <c r="BT262" s="271"/>
      <c r="BU262" s="271"/>
      <c r="BV262" s="271"/>
      <c r="BW262" s="271"/>
      <c r="BX262" s="235">
        <f t="shared" si="79"/>
        <v>1000000</v>
      </c>
      <c r="BY262" s="271"/>
      <c r="BZ262" s="271"/>
      <c r="CA262" s="271"/>
      <c r="CB262" s="271"/>
      <c r="CC262" s="271">
        <v>1000000</v>
      </c>
      <c r="CD262" s="271"/>
      <c r="CE262" s="271"/>
      <c r="CF262" s="271"/>
      <c r="CG262" s="271"/>
      <c r="CH262" s="271"/>
      <c r="CI262" s="271"/>
      <c r="CJ262" s="271"/>
      <c r="CK262" s="271"/>
      <c r="CL262" s="271"/>
      <c r="CM262" s="271"/>
      <c r="CN262" s="235">
        <f t="shared" si="80"/>
        <v>1000000</v>
      </c>
      <c r="CO262" s="271"/>
      <c r="CP262" s="271"/>
      <c r="CQ262" s="271"/>
      <c r="CR262" s="271"/>
      <c r="CS262" s="271">
        <v>1000000</v>
      </c>
      <c r="CT262" s="271"/>
      <c r="CU262" s="271"/>
      <c r="CV262" s="271"/>
      <c r="CW262" s="271"/>
      <c r="CX262" s="271"/>
      <c r="CY262" s="271"/>
      <c r="CZ262" s="271"/>
      <c r="DA262" s="271"/>
      <c r="DB262" s="271"/>
      <c r="DC262" s="271"/>
      <c r="DD262" s="234">
        <f t="shared" si="81"/>
        <v>1000000</v>
      </c>
      <c r="DE262" s="244">
        <f t="shared" si="82"/>
        <v>5000000</v>
      </c>
    </row>
    <row r="263" spans="1:110" s="98" customFormat="1" ht="105" customHeight="1">
      <c r="A263" s="103" t="s">
        <v>1236</v>
      </c>
      <c r="B263" s="279" t="s">
        <v>9</v>
      </c>
      <c r="C263" s="279" t="s">
        <v>1698</v>
      </c>
      <c r="D263" s="279">
        <v>19</v>
      </c>
      <c r="E263" s="279" t="s">
        <v>992</v>
      </c>
      <c r="F263" s="280" t="s">
        <v>358</v>
      </c>
      <c r="G263" s="279" t="s">
        <v>3403</v>
      </c>
      <c r="H263" s="279">
        <v>27</v>
      </c>
      <c r="I263" s="279" t="s">
        <v>995</v>
      </c>
      <c r="J263" s="279" t="s">
        <v>683</v>
      </c>
      <c r="K263" s="104">
        <v>5100</v>
      </c>
      <c r="L263" s="279" t="s">
        <v>996</v>
      </c>
      <c r="M263" s="279" t="s">
        <v>997</v>
      </c>
      <c r="N263" s="279" t="s">
        <v>998</v>
      </c>
      <c r="O263" s="279" t="s">
        <v>999</v>
      </c>
      <c r="P263" s="283">
        <v>238</v>
      </c>
      <c r="Q263" s="279" t="s">
        <v>3512</v>
      </c>
      <c r="R263" s="279" t="s">
        <v>1001</v>
      </c>
      <c r="S263" s="279" t="s">
        <v>683</v>
      </c>
      <c r="T263" s="279">
        <v>0</v>
      </c>
      <c r="U263" s="267">
        <v>0.25</v>
      </c>
      <c r="V263" s="267">
        <v>0.25</v>
      </c>
      <c r="W263" s="224">
        <v>0.5</v>
      </c>
      <c r="X263" s="267">
        <v>0.1</v>
      </c>
      <c r="Y263" s="267">
        <v>0.1</v>
      </c>
      <c r="Z263" s="267">
        <v>0.2</v>
      </c>
      <c r="AA263" s="267">
        <v>0.1</v>
      </c>
      <c r="AB263" s="224">
        <v>0.5</v>
      </c>
      <c r="AC263" s="267">
        <v>0.1</v>
      </c>
      <c r="AD263" s="267">
        <v>0.4</v>
      </c>
      <c r="AE263" s="267">
        <v>0.4</v>
      </c>
      <c r="AF263" s="267">
        <v>0.1</v>
      </c>
      <c r="AG263" s="224">
        <v>1</v>
      </c>
      <c r="AH263" s="267">
        <v>0.1</v>
      </c>
      <c r="AI263" s="267">
        <v>0.4</v>
      </c>
      <c r="AJ263" s="267">
        <v>0.4</v>
      </c>
      <c r="AK263" s="267">
        <v>0.1</v>
      </c>
      <c r="AL263" s="224">
        <v>1</v>
      </c>
      <c r="AM263" s="104">
        <v>3</v>
      </c>
      <c r="AN263" s="103" t="s">
        <v>685</v>
      </c>
      <c r="AO263" s="103" t="s">
        <v>616</v>
      </c>
      <c r="AP263" s="103" t="s">
        <v>1226</v>
      </c>
      <c r="AQ263" s="103" t="s">
        <v>1204</v>
      </c>
      <c r="AR263" s="103" t="s">
        <v>938</v>
      </c>
      <c r="AS263" s="271"/>
      <c r="AT263" s="271"/>
      <c r="AU263" s="271"/>
      <c r="AV263" s="271"/>
      <c r="AW263" s="271">
        <v>5500000</v>
      </c>
      <c r="AX263" s="271"/>
      <c r="AY263" s="271"/>
      <c r="AZ263" s="271"/>
      <c r="BA263" s="271"/>
      <c r="BB263" s="271"/>
      <c r="BC263" s="271"/>
      <c r="BD263" s="271"/>
      <c r="BE263" s="271"/>
      <c r="BF263" s="271"/>
      <c r="BG263" s="271"/>
      <c r="BH263" s="235">
        <f t="shared" si="78"/>
        <v>5500000</v>
      </c>
      <c r="BI263" s="271"/>
      <c r="BJ263" s="271"/>
      <c r="BK263" s="271"/>
      <c r="BL263" s="271"/>
      <c r="BM263" s="271">
        <v>3000000</v>
      </c>
      <c r="BN263" s="271"/>
      <c r="BO263" s="271"/>
      <c r="BP263" s="271"/>
      <c r="BQ263" s="271"/>
      <c r="BR263" s="271"/>
      <c r="BS263" s="271"/>
      <c r="BT263" s="271"/>
      <c r="BU263" s="271"/>
      <c r="BV263" s="271"/>
      <c r="BW263" s="271"/>
      <c r="BX263" s="235">
        <f t="shared" si="79"/>
        <v>3000000</v>
      </c>
      <c r="BY263" s="271"/>
      <c r="BZ263" s="271"/>
      <c r="CA263" s="271"/>
      <c r="CB263" s="271"/>
      <c r="CC263" s="271">
        <v>3000000</v>
      </c>
      <c r="CD263" s="271"/>
      <c r="CE263" s="271"/>
      <c r="CF263" s="271"/>
      <c r="CG263" s="271"/>
      <c r="CH263" s="271"/>
      <c r="CI263" s="271"/>
      <c r="CJ263" s="271"/>
      <c r="CK263" s="271"/>
      <c r="CL263" s="271"/>
      <c r="CM263" s="271"/>
      <c r="CN263" s="235">
        <f t="shared" si="80"/>
        <v>3000000</v>
      </c>
      <c r="CO263" s="271"/>
      <c r="CP263" s="271"/>
      <c r="CQ263" s="271"/>
      <c r="CR263" s="271"/>
      <c r="CS263" s="271">
        <v>3000000</v>
      </c>
      <c r="CT263" s="271"/>
      <c r="CU263" s="271"/>
      <c r="CV263" s="271"/>
      <c r="CW263" s="271"/>
      <c r="CX263" s="271"/>
      <c r="CY263" s="271"/>
      <c r="CZ263" s="271"/>
      <c r="DA263" s="271"/>
      <c r="DB263" s="271"/>
      <c r="DC263" s="271"/>
      <c r="DD263" s="234">
        <f t="shared" si="81"/>
        <v>3000000</v>
      </c>
      <c r="DE263" s="244">
        <f t="shared" si="82"/>
        <v>14500000</v>
      </c>
    </row>
    <row r="264" spans="1:110" s="98" customFormat="1" ht="105" customHeight="1">
      <c r="A264" s="103" t="s">
        <v>1236</v>
      </c>
      <c r="B264" s="279" t="s">
        <v>9</v>
      </c>
      <c r="C264" s="279" t="s">
        <v>1698</v>
      </c>
      <c r="D264" s="279">
        <v>19</v>
      </c>
      <c r="E264" s="279" t="s">
        <v>992</v>
      </c>
      <c r="F264" s="280" t="s">
        <v>358</v>
      </c>
      <c r="G264" s="279" t="s">
        <v>3403</v>
      </c>
      <c r="H264" s="279">
        <v>27</v>
      </c>
      <c r="I264" s="279" t="s">
        <v>995</v>
      </c>
      <c r="J264" s="279" t="s">
        <v>683</v>
      </c>
      <c r="K264" s="104">
        <v>5100</v>
      </c>
      <c r="L264" s="279" t="s">
        <v>996</v>
      </c>
      <c r="M264" s="279" t="s">
        <v>997</v>
      </c>
      <c r="N264" s="279" t="s">
        <v>998</v>
      </c>
      <c r="O264" s="279" t="s">
        <v>999</v>
      </c>
      <c r="P264" s="283">
        <v>239</v>
      </c>
      <c r="Q264" s="279" t="s">
        <v>3513</v>
      </c>
      <c r="R264" s="279" t="s">
        <v>3514</v>
      </c>
      <c r="S264" s="279" t="s">
        <v>683</v>
      </c>
      <c r="T264" s="279">
        <v>0</v>
      </c>
      <c r="U264" s="267"/>
      <c r="V264" s="267"/>
      <c r="W264" s="224">
        <v>0</v>
      </c>
      <c r="X264" s="267"/>
      <c r="Y264" s="267">
        <v>0.05</v>
      </c>
      <c r="Z264" s="267">
        <v>0.1</v>
      </c>
      <c r="AA264" s="267">
        <v>0.05</v>
      </c>
      <c r="AB264" s="224">
        <v>0.2</v>
      </c>
      <c r="AC264" s="267">
        <v>0.05</v>
      </c>
      <c r="AD264" s="267">
        <v>0.1</v>
      </c>
      <c r="AE264" s="267">
        <v>0.15</v>
      </c>
      <c r="AF264" s="267">
        <v>0.05</v>
      </c>
      <c r="AG264" s="224">
        <v>0.35000000000000003</v>
      </c>
      <c r="AH264" s="267">
        <v>0.15</v>
      </c>
      <c r="AI264" s="267">
        <v>0.15</v>
      </c>
      <c r="AJ264" s="267">
        <v>0.1</v>
      </c>
      <c r="AK264" s="267">
        <v>0.05</v>
      </c>
      <c r="AL264" s="224">
        <v>0.45</v>
      </c>
      <c r="AM264" s="104">
        <v>1</v>
      </c>
      <c r="AN264" s="103" t="s">
        <v>685</v>
      </c>
      <c r="AO264" s="103" t="s">
        <v>616</v>
      </c>
      <c r="AP264" s="103" t="s">
        <v>1226</v>
      </c>
      <c r="AQ264" s="103" t="s">
        <v>1207</v>
      </c>
      <c r="AR264" s="103" t="s">
        <v>938</v>
      </c>
      <c r="AS264" s="271"/>
      <c r="AT264" s="271"/>
      <c r="AU264" s="271"/>
      <c r="AV264" s="271"/>
      <c r="AW264" s="271"/>
      <c r="AX264" s="271"/>
      <c r="AY264" s="271"/>
      <c r="AZ264" s="271"/>
      <c r="BA264" s="271"/>
      <c r="BB264" s="271"/>
      <c r="BC264" s="271"/>
      <c r="BD264" s="271"/>
      <c r="BE264" s="271"/>
      <c r="BF264" s="271"/>
      <c r="BG264" s="271"/>
      <c r="BH264" s="235">
        <f t="shared" si="78"/>
        <v>0</v>
      </c>
      <c r="BI264" s="271"/>
      <c r="BJ264" s="271"/>
      <c r="BK264" s="271"/>
      <c r="BL264" s="271"/>
      <c r="BM264" s="271">
        <v>3500000</v>
      </c>
      <c r="BN264" s="271"/>
      <c r="BO264" s="271"/>
      <c r="BP264" s="271"/>
      <c r="BQ264" s="271"/>
      <c r="BR264" s="271"/>
      <c r="BS264" s="271"/>
      <c r="BT264" s="271"/>
      <c r="BU264" s="271"/>
      <c r="BV264" s="271"/>
      <c r="BW264" s="271"/>
      <c r="BX264" s="235">
        <f t="shared" si="79"/>
        <v>3500000</v>
      </c>
      <c r="BY264" s="271"/>
      <c r="BZ264" s="271"/>
      <c r="CA264" s="271"/>
      <c r="CB264" s="271"/>
      <c r="CC264" s="271">
        <v>3500000</v>
      </c>
      <c r="CD264" s="271"/>
      <c r="CE264" s="271"/>
      <c r="CF264" s="271"/>
      <c r="CG264" s="271"/>
      <c r="CH264" s="271"/>
      <c r="CI264" s="271"/>
      <c r="CJ264" s="271"/>
      <c r="CK264" s="271"/>
      <c r="CL264" s="271"/>
      <c r="CM264" s="271"/>
      <c r="CN264" s="235">
        <f t="shared" si="80"/>
        <v>3500000</v>
      </c>
      <c r="CO264" s="271"/>
      <c r="CP264" s="271"/>
      <c r="CQ264" s="271"/>
      <c r="CR264" s="271"/>
      <c r="CS264" s="271">
        <v>3500000</v>
      </c>
      <c r="CT264" s="271"/>
      <c r="CU264" s="271"/>
      <c r="CV264" s="271"/>
      <c r="CW264" s="271"/>
      <c r="CX264" s="271"/>
      <c r="CY264" s="271"/>
      <c r="CZ264" s="271"/>
      <c r="DA264" s="271"/>
      <c r="DB264" s="271"/>
      <c r="DC264" s="271"/>
      <c r="DD264" s="234">
        <f t="shared" si="81"/>
        <v>3500000</v>
      </c>
      <c r="DE264" s="244">
        <f t="shared" si="82"/>
        <v>10500000</v>
      </c>
    </row>
    <row r="265" spans="1:110" s="98" customFormat="1" ht="105" customHeight="1">
      <c r="A265" s="120" t="s">
        <v>1236</v>
      </c>
      <c r="B265" s="281" t="s">
        <v>9</v>
      </c>
      <c r="C265" s="281" t="s">
        <v>1698</v>
      </c>
      <c r="D265" s="281">
        <v>19</v>
      </c>
      <c r="E265" s="281" t="s">
        <v>992</v>
      </c>
      <c r="F265" s="282" t="s">
        <v>358</v>
      </c>
      <c r="G265" s="281" t="s">
        <v>3402</v>
      </c>
      <c r="H265" s="281">
        <v>26</v>
      </c>
      <c r="I265" s="281" t="s">
        <v>993</v>
      </c>
      <c r="J265" s="281" t="s">
        <v>683</v>
      </c>
      <c r="K265" s="281">
        <v>500</v>
      </c>
      <c r="L265" s="281" t="s">
        <v>994</v>
      </c>
      <c r="M265" s="281" t="s">
        <v>997</v>
      </c>
      <c r="N265" s="281" t="s">
        <v>998</v>
      </c>
      <c r="O265" s="281" t="s">
        <v>999</v>
      </c>
      <c r="P265" s="283">
        <v>240</v>
      </c>
      <c r="Q265" s="281" t="s">
        <v>2735</v>
      </c>
      <c r="R265" s="281" t="s">
        <v>1002</v>
      </c>
      <c r="S265" s="281" t="s">
        <v>683</v>
      </c>
      <c r="T265" s="281">
        <v>0</v>
      </c>
      <c r="U265" s="275">
        <v>0.5</v>
      </c>
      <c r="V265" s="275">
        <v>0.5</v>
      </c>
      <c r="W265" s="225">
        <v>1</v>
      </c>
      <c r="X265" s="275"/>
      <c r="Y265" s="275">
        <v>0.5</v>
      </c>
      <c r="Z265" s="275">
        <v>0.5</v>
      </c>
      <c r="AA265" s="275"/>
      <c r="AB265" s="225">
        <v>1</v>
      </c>
      <c r="AC265" s="275"/>
      <c r="AD265" s="275">
        <v>0.5</v>
      </c>
      <c r="AE265" s="275">
        <v>0.5</v>
      </c>
      <c r="AF265" s="275"/>
      <c r="AG265" s="225">
        <v>1</v>
      </c>
      <c r="AH265" s="275"/>
      <c r="AI265" s="275">
        <v>0.5</v>
      </c>
      <c r="AJ265" s="275">
        <v>0.5</v>
      </c>
      <c r="AK265" s="275"/>
      <c r="AL265" s="225">
        <v>1</v>
      </c>
      <c r="AM265" s="119">
        <v>4</v>
      </c>
      <c r="AN265" s="120" t="s">
        <v>685</v>
      </c>
      <c r="AO265" s="120" t="s">
        <v>616</v>
      </c>
      <c r="AP265" s="120" t="s">
        <v>1226</v>
      </c>
      <c r="AQ265" s="120" t="s">
        <v>1207</v>
      </c>
      <c r="AR265" s="120" t="s">
        <v>951</v>
      </c>
      <c r="AS265" s="276"/>
      <c r="AT265" s="276"/>
      <c r="AU265" s="276"/>
      <c r="AV265" s="276"/>
      <c r="AW265" s="276">
        <v>3000000</v>
      </c>
      <c r="AX265" s="276"/>
      <c r="AY265" s="276"/>
      <c r="AZ265" s="276"/>
      <c r="BA265" s="276"/>
      <c r="BB265" s="276"/>
      <c r="BC265" s="276"/>
      <c r="BD265" s="276"/>
      <c r="BE265" s="276"/>
      <c r="BF265" s="276"/>
      <c r="BG265" s="276"/>
      <c r="BH265" s="236">
        <f t="shared" si="78"/>
        <v>3000000</v>
      </c>
      <c r="BI265" s="276"/>
      <c r="BJ265" s="276"/>
      <c r="BK265" s="276"/>
      <c r="BL265" s="276"/>
      <c r="BM265" s="276">
        <v>2000000</v>
      </c>
      <c r="BN265" s="276"/>
      <c r="BO265" s="276"/>
      <c r="BP265" s="276"/>
      <c r="BQ265" s="276"/>
      <c r="BR265" s="276"/>
      <c r="BS265" s="276"/>
      <c r="BT265" s="276"/>
      <c r="BU265" s="276"/>
      <c r="BV265" s="276"/>
      <c r="BW265" s="276"/>
      <c r="BX265" s="236">
        <f t="shared" si="79"/>
        <v>2000000</v>
      </c>
      <c r="BY265" s="276"/>
      <c r="BZ265" s="276"/>
      <c r="CA265" s="276"/>
      <c r="CB265" s="276"/>
      <c r="CC265" s="276">
        <v>2000000</v>
      </c>
      <c r="CD265" s="276"/>
      <c r="CE265" s="276"/>
      <c r="CF265" s="276"/>
      <c r="CG265" s="276"/>
      <c r="CH265" s="276"/>
      <c r="CI265" s="276"/>
      <c r="CJ265" s="276"/>
      <c r="CK265" s="276"/>
      <c r="CL265" s="276"/>
      <c r="CM265" s="276"/>
      <c r="CN265" s="236">
        <f t="shared" si="80"/>
        <v>2000000</v>
      </c>
      <c r="CO265" s="276"/>
      <c r="CP265" s="276"/>
      <c r="CQ265" s="276"/>
      <c r="CR265" s="276"/>
      <c r="CS265" s="276">
        <v>2000000</v>
      </c>
      <c r="CT265" s="276"/>
      <c r="CU265" s="276"/>
      <c r="CV265" s="276"/>
      <c r="CW265" s="276"/>
      <c r="CX265" s="276"/>
      <c r="CY265" s="276"/>
      <c r="CZ265" s="276"/>
      <c r="DA265" s="276"/>
      <c r="DB265" s="276"/>
      <c r="DC265" s="276"/>
      <c r="DD265" s="240">
        <f t="shared" si="81"/>
        <v>2000000</v>
      </c>
      <c r="DE265" s="245">
        <f t="shared" si="82"/>
        <v>9000000</v>
      </c>
    </row>
    <row r="266" spans="1:110" ht="65.099999999999994" customHeight="1">
      <c r="A266" s="118" t="s">
        <v>1236</v>
      </c>
      <c r="B266" s="118" t="s">
        <v>9</v>
      </c>
      <c r="C266" s="118" t="s">
        <v>1698</v>
      </c>
      <c r="D266" s="118">
        <v>19</v>
      </c>
      <c r="E266" s="118" t="s">
        <v>992</v>
      </c>
      <c r="F266" s="135"/>
      <c r="G266" s="136"/>
      <c r="H266" s="137"/>
      <c r="I266" s="137"/>
      <c r="J266" s="137"/>
      <c r="K266" s="138"/>
      <c r="L266" s="137"/>
      <c r="M266" s="137"/>
      <c r="N266" s="137"/>
      <c r="O266" s="137"/>
      <c r="P266" s="137"/>
      <c r="Q266" s="136"/>
      <c r="R266" s="139"/>
      <c r="S266" s="137"/>
      <c r="T266" s="137"/>
      <c r="U266" s="140"/>
      <c r="V266" s="140"/>
      <c r="W266" s="138"/>
      <c r="X266" s="140"/>
      <c r="Y266" s="140"/>
      <c r="Z266" s="140"/>
      <c r="AA266" s="140"/>
      <c r="AB266" s="138"/>
      <c r="AC266" s="140"/>
      <c r="AD266" s="140"/>
      <c r="AE266" s="140"/>
      <c r="AF266" s="140"/>
      <c r="AG266" s="138"/>
      <c r="AH266" s="140"/>
      <c r="AI266" s="140"/>
      <c r="AJ266" s="140"/>
      <c r="AK266" s="140"/>
      <c r="AL266" s="138"/>
      <c r="AM266" s="141"/>
      <c r="AN266" s="142"/>
      <c r="AO266" s="142"/>
      <c r="AP266" s="143"/>
      <c r="AQ266" s="143"/>
      <c r="AR266" s="144"/>
      <c r="AS266" s="132">
        <f>SUM(AS260:AS265)</f>
        <v>0</v>
      </c>
      <c r="AT266" s="132">
        <f t="shared" ref="AT266:DE266" si="83">SUM(AT260:AT265)</f>
        <v>0</v>
      </c>
      <c r="AU266" s="132">
        <f t="shared" si="83"/>
        <v>0</v>
      </c>
      <c r="AV266" s="132">
        <f t="shared" si="83"/>
        <v>0</v>
      </c>
      <c r="AW266" s="132">
        <f t="shared" si="83"/>
        <v>15000000</v>
      </c>
      <c r="AX266" s="132">
        <f t="shared" si="83"/>
        <v>0</v>
      </c>
      <c r="AY266" s="132">
        <f t="shared" si="83"/>
        <v>0</v>
      </c>
      <c r="AZ266" s="132">
        <f t="shared" si="83"/>
        <v>0</v>
      </c>
      <c r="BA266" s="132">
        <f t="shared" si="83"/>
        <v>0</v>
      </c>
      <c r="BB266" s="132">
        <f t="shared" si="83"/>
        <v>0</v>
      </c>
      <c r="BC266" s="132">
        <f t="shared" si="83"/>
        <v>0</v>
      </c>
      <c r="BD266" s="132">
        <f t="shared" si="83"/>
        <v>0</v>
      </c>
      <c r="BE266" s="132">
        <f t="shared" si="83"/>
        <v>0</v>
      </c>
      <c r="BF266" s="132">
        <f t="shared" si="83"/>
        <v>0</v>
      </c>
      <c r="BG266" s="132">
        <f t="shared" si="83"/>
        <v>0</v>
      </c>
      <c r="BH266" s="132">
        <f>IF(OR(AND(BH260=0,W260&lt;&gt;0),AND(BH261=0,W261&lt;&gt;0),AND(BH262=0,W262&lt;&gt;0),AND(BH263=0,W263&lt;&gt;0),AND(BH264=0,W264&lt;&gt;0),AND(BH265=0,W265&lt;&gt;0)),"NO DEBEN QUEDAR CELDAS EN ROJO",SUM(BH260:BH265))</f>
        <v>15000000</v>
      </c>
      <c r="BI266" s="132">
        <f t="shared" si="83"/>
        <v>0</v>
      </c>
      <c r="BJ266" s="132">
        <f t="shared" si="83"/>
        <v>0</v>
      </c>
      <c r="BK266" s="132">
        <f t="shared" si="83"/>
        <v>0</v>
      </c>
      <c r="BL266" s="132">
        <f t="shared" si="83"/>
        <v>0</v>
      </c>
      <c r="BM266" s="132">
        <f t="shared" si="83"/>
        <v>45000000</v>
      </c>
      <c r="BN266" s="132">
        <f t="shared" si="83"/>
        <v>0</v>
      </c>
      <c r="BO266" s="132">
        <f t="shared" si="83"/>
        <v>0</v>
      </c>
      <c r="BP266" s="132">
        <f t="shared" si="83"/>
        <v>0</v>
      </c>
      <c r="BQ266" s="132">
        <f t="shared" si="83"/>
        <v>0</v>
      </c>
      <c r="BR266" s="132">
        <f t="shared" si="83"/>
        <v>0</v>
      </c>
      <c r="BS266" s="132">
        <f t="shared" si="83"/>
        <v>0</v>
      </c>
      <c r="BT266" s="132">
        <f t="shared" si="83"/>
        <v>0</v>
      </c>
      <c r="BU266" s="132">
        <f t="shared" si="83"/>
        <v>0</v>
      </c>
      <c r="BV266" s="132">
        <f t="shared" si="83"/>
        <v>0</v>
      </c>
      <c r="BW266" s="132">
        <f t="shared" si="83"/>
        <v>0</v>
      </c>
      <c r="BX266" s="132">
        <f>IF(OR(AND(BX260=0,AB260&lt;&gt;0),AND(BX261=0,AB261&lt;&gt;0),AND(BX262=0,AB262&lt;&gt;0),AND(BX263=0,AB263&lt;&gt;0),AND(BX264=0,AB264&lt;&gt;0),AND(BX265=0,AB265&lt;&gt;0)),"NO DEBEN QUEDAR CELDAS EN ROJO",SUM(BX260:BX265))</f>
        <v>45000000</v>
      </c>
      <c r="BY266" s="132">
        <f t="shared" si="83"/>
        <v>0</v>
      </c>
      <c r="BZ266" s="132">
        <f t="shared" si="83"/>
        <v>0</v>
      </c>
      <c r="CA266" s="132">
        <f t="shared" si="83"/>
        <v>0</v>
      </c>
      <c r="CB266" s="132">
        <f t="shared" si="83"/>
        <v>0</v>
      </c>
      <c r="CC266" s="132">
        <f t="shared" si="83"/>
        <v>45000000</v>
      </c>
      <c r="CD266" s="132">
        <f t="shared" si="83"/>
        <v>0</v>
      </c>
      <c r="CE266" s="132">
        <f t="shared" si="83"/>
        <v>0</v>
      </c>
      <c r="CF266" s="132">
        <f t="shared" si="83"/>
        <v>0</v>
      </c>
      <c r="CG266" s="132">
        <f t="shared" si="83"/>
        <v>0</v>
      </c>
      <c r="CH266" s="132">
        <f t="shared" si="83"/>
        <v>0</v>
      </c>
      <c r="CI266" s="132">
        <f t="shared" si="83"/>
        <v>0</v>
      </c>
      <c r="CJ266" s="132">
        <f t="shared" si="83"/>
        <v>0</v>
      </c>
      <c r="CK266" s="132">
        <f t="shared" si="83"/>
        <v>0</v>
      </c>
      <c r="CL266" s="132">
        <f t="shared" si="83"/>
        <v>0</v>
      </c>
      <c r="CM266" s="132">
        <f t="shared" si="83"/>
        <v>0</v>
      </c>
      <c r="CN266" s="132">
        <f>IF(OR(AND(CN260=0,AG260&lt;&gt;0),AND(CN261=0,AG261&lt;&gt;0),AND(CN262=0,AG262&lt;&gt;0),AND(CN263=0,AG263&lt;&gt;0),AND(CN264=0,AG264&lt;&gt;0),AND(CN265=0,AG265&lt;&gt;0)),"NO DEBEN QUEDAR CELDAS EN ROJO",SUM(CN260:CN265))</f>
        <v>45000000</v>
      </c>
      <c r="CO266" s="132">
        <f t="shared" si="83"/>
        <v>0</v>
      </c>
      <c r="CP266" s="132">
        <f t="shared" si="83"/>
        <v>0</v>
      </c>
      <c r="CQ266" s="132">
        <f t="shared" si="83"/>
        <v>0</v>
      </c>
      <c r="CR266" s="132">
        <f t="shared" si="83"/>
        <v>0</v>
      </c>
      <c r="CS266" s="132">
        <f t="shared" si="83"/>
        <v>45000000</v>
      </c>
      <c r="CT266" s="132">
        <f t="shared" si="83"/>
        <v>0</v>
      </c>
      <c r="CU266" s="132">
        <f t="shared" si="83"/>
        <v>0</v>
      </c>
      <c r="CV266" s="132">
        <f t="shared" si="83"/>
        <v>0</v>
      </c>
      <c r="CW266" s="132">
        <f t="shared" si="83"/>
        <v>0</v>
      </c>
      <c r="CX266" s="132">
        <f t="shared" si="83"/>
        <v>0</v>
      </c>
      <c r="CY266" s="132">
        <f t="shared" si="83"/>
        <v>0</v>
      </c>
      <c r="CZ266" s="132">
        <f t="shared" si="83"/>
        <v>0</v>
      </c>
      <c r="DA266" s="132">
        <f t="shared" si="83"/>
        <v>0</v>
      </c>
      <c r="DB266" s="132">
        <f t="shared" si="83"/>
        <v>0</v>
      </c>
      <c r="DC266" s="132">
        <f t="shared" si="83"/>
        <v>0</v>
      </c>
      <c r="DD266" s="132">
        <f>IF(OR(AND(DD260=0,AL260&lt;&gt;0),AND(DD261=0,AL261&lt;&gt;0),AND(DD262=0,AL262&lt;&gt;0),AND(DD263=0,AL263&lt;&gt;0),AND(DD264=0,AL264&lt;&gt;0),AND(DD265=0,AL265&lt;&gt;0)),"NO DEBEN QUEDAR CELDAS EN ROJO",SUM(DD260:DD265))</f>
        <v>45000000</v>
      </c>
      <c r="DE266" s="132">
        <f t="shared" si="83"/>
        <v>150000000</v>
      </c>
      <c r="DF266" s="101"/>
    </row>
    <row r="267" spans="1:110" s="98" customFormat="1" ht="112.05" customHeight="1">
      <c r="A267" s="103" t="s">
        <v>1236</v>
      </c>
      <c r="B267" s="103" t="s">
        <v>9</v>
      </c>
      <c r="C267" s="103" t="s">
        <v>1698</v>
      </c>
      <c r="D267" s="103">
        <v>20</v>
      </c>
      <c r="E267" s="103" t="s">
        <v>1003</v>
      </c>
      <c r="F267" s="278" t="s">
        <v>1004</v>
      </c>
      <c r="G267" s="103" t="s">
        <v>2736</v>
      </c>
      <c r="H267" s="103">
        <v>28</v>
      </c>
      <c r="I267" s="103" t="s">
        <v>1005</v>
      </c>
      <c r="J267" s="103" t="s">
        <v>683</v>
      </c>
      <c r="K267" s="103">
        <v>1000</v>
      </c>
      <c r="L267" s="103" t="s">
        <v>975</v>
      </c>
      <c r="M267" s="103" t="s">
        <v>1006</v>
      </c>
      <c r="N267" s="103" t="s">
        <v>1007</v>
      </c>
      <c r="O267" s="103" t="s">
        <v>360</v>
      </c>
      <c r="P267" s="283">
        <v>241</v>
      </c>
      <c r="Q267" s="103" t="s">
        <v>3404</v>
      </c>
      <c r="R267" s="103" t="s">
        <v>1008</v>
      </c>
      <c r="S267" s="103" t="s">
        <v>683</v>
      </c>
      <c r="T267" s="103">
        <v>40</v>
      </c>
      <c r="U267" s="267"/>
      <c r="V267" s="267"/>
      <c r="W267" s="224">
        <v>0</v>
      </c>
      <c r="X267" s="267"/>
      <c r="Y267" s="267"/>
      <c r="Z267" s="267">
        <v>3</v>
      </c>
      <c r="AA267" s="267"/>
      <c r="AB267" s="224">
        <v>3</v>
      </c>
      <c r="AC267" s="267"/>
      <c r="AD267" s="267"/>
      <c r="AE267" s="267">
        <v>3</v>
      </c>
      <c r="AF267" s="267"/>
      <c r="AG267" s="224">
        <v>3</v>
      </c>
      <c r="AH267" s="267"/>
      <c r="AI267" s="267"/>
      <c r="AJ267" s="267">
        <v>3</v>
      </c>
      <c r="AK267" s="267"/>
      <c r="AL267" s="224">
        <v>3</v>
      </c>
      <c r="AM267" s="102">
        <v>9</v>
      </c>
      <c r="AN267" s="103" t="s">
        <v>685</v>
      </c>
      <c r="AO267" s="103" t="s">
        <v>616</v>
      </c>
      <c r="AP267" s="103" t="s">
        <v>1226</v>
      </c>
      <c r="AQ267" s="103" t="s">
        <v>1207</v>
      </c>
      <c r="AR267" s="103" t="s">
        <v>938</v>
      </c>
      <c r="AS267" s="268"/>
      <c r="AT267" s="268"/>
      <c r="AU267" s="268"/>
      <c r="AV267" s="268"/>
      <c r="AW267" s="268"/>
      <c r="AX267" s="268"/>
      <c r="AY267" s="268"/>
      <c r="AZ267" s="268"/>
      <c r="BA267" s="268"/>
      <c r="BB267" s="268"/>
      <c r="BC267" s="268"/>
      <c r="BD267" s="268"/>
      <c r="BE267" s="268"/>
      <c r="BF267" s="268"/>
      <c r="BG267" s="268"/>
      <c r="BH267" s="234">
        <f>IF(W267=0,0,BG267+BF267+BE267+BD267+BC267+BB267+BA267+AZ267+AY267+AX267+AW267+AV267+AU267+AT267+AS267)</f>
        <v>0</v>
      </c>
      <c r="BI267" s="268"/>
      <c r="BJ267" s="268"/>
      <c r="BK267" s="268"/>
      <c r="BL267" s="268"/>
      <c r="BM267" s="268">
        <v>6000000</v>
      </c>
      <c r="BN267" s="268"/>
      <c r="BO267" s="268"/>
      <c r="BP267" s="268"/>
      <c r="BQ267" s="268"/>
      <c r="BR267" s="268"/>
      <c r="BS267" s="268"/>
      <c r="BT267" s="268"/>
      <c r="BU267" s="268"/>
      <c r="BV267" s="268"/>
      <c r="BW267" s="268"/>
      <c r="BX267" s="234">
        <f>IF(AB267=0,0,BI267+BJ267+BK267+BL267+BM267+BN267+BO267+BP267+BQ267+BR267+BS267+BT267+BU267+BV267+BW267)</f>
        <v>6000000</v>
      </c>
      <c r="BY267" s="268"/>
      <c r="BZ267" s="268"/>
      <c r="CA267" s="268"/>
      <c r="CB267" s="268"/>
      <c r="CC267" s="268">
        <v>7000000</v>
      </c>
      <c r="CD267" s="268"/>
      <c r="CE267" s="268"/>
      <c r="CF267" s="268"/>
      <c r="CG267" s="268"/>
      <c r="CH267" s="268"/>
      <c r="CI267" s="268"/>
      <c r="CJ267" s="268"/>
      <c r="CK267" s="268"/>
      <c r="CL267" s="268"/>
      <c r="CM267" s="268"/>
      <c r="CN267" s="234">
        <f>IF(AG267=0,0,(BY267+BZ267+CA267+CB267+CC267+CD267+CE267+CF267+CG267+CH267+CI267+CJ267+CK267+CL267+CM267))</f>
        <v>7000000</v>
      </c>
      <c r="CO267" s="268"/>
      <c r="CP267" s="268"/>
      <c r="CQ267" s="268"/>
      <c r="CR267" s="268"/>
      <c r="CS267" s="268">
        <v>8500000</v>
      </c>
      <c r="CT267" s="268"/>
      <c r="CU267" s="268"/>
      <c r="CV267" s="268"/>
      <c r="CW267" s="268"/>
      <c r="CX267" s="268"/>
      <c r="CY267" s="268"/>
      <c r="CZ267" s="268"/>
      <c r="DA267" s="268"/>
      <c r="DB267" s="268"/>
      <c r="DC267" s="268"/>
      <c r="DD267" s="234">
        <f>IF(AL267=0,0,(CO267+CP267+CQ267+CR267+CS267+CT267+CU267+CV267+CW267+CX267+CY267+CZ267+DA267+DB267+DC267))</f>
        <v>8500000</v>
      </c>
      <c r="DE267" s="243">
        <f t="shared" ref="DE267:DE271" si="84">SUM(DD267+CN267+BX267+BH267)</f>
        <v>21500000</v>
      </c>
    </row>
    <row r="268" spans="1:110" s="98" customFormat="1" ht="112.05" customHeight="1">
      <c r="A268" s="103" t="s">
        <v>1236</v>
      </c>
      <c r="B268" s="279" t="s">
        <v>9</v>
      </c>
      <c r="C268" s="279" t="s">
        <v>1698</v>
      </c>
      <c r="D268" s="279">
        <v>20</v>
      </c>
      <c r="E268" s="279" t="s">
        <v>1003</v>
      </c>
      <c r="F268" s="280" t="s">
        <v>1004</v>
      </c>
      <c r="G268" s="279" t="s">
        <v>2736</v>
      </c>
      <c r="H268" s="279">
        <v>28</v>
      </c>
      <c r="I268" s="279" t="s">
        <v>1005</v>
      </c>
      <c r="J268" s="279" t="s">
        <v>683</v>
      </c>
      <c r="K268" s="279">
        <v>1000</v>
      </c>
      <c r="L268" s="279" t="s">
        <v>975</v>
      </c>
      <c r="M268" s="279" t="s">
        <v>1006</v>
      </c>
      <c r="N268" s="279" t="s">
        <v>1007</v>
      </c>
      <c r="O268" s="279" t="s">
        <v>360</v>
      </c>
      <c r="P268" s="283">
        <v>242</v>
      </c>
      <c r="Q268" s="279" t="s">
        <v>2737</v>
      </c>
      <c r="R268" s="279" t="s">
        <v>1009</v>
      </c>
      <c r="S268" s="279" t="s">
        <v>683</v>
      </c>
      <c r="T268" s="279">
        <v>1</v>
      </c>
      <c r="U268" s="267">
        <v>0.05</v>
      </c>
      <c r="V268" s="267">
        <v>0.1</v>
      </c>
      <c r="W268" s="224">
        <v>0.15000000000000002</v>
      </c>
      <c r="X268" s="267">
        <v>0.03</v>
      </c>
      <c r="Y268" s="267">
        <v>0.12</v>
      </c>
      <c r="Z268" s="267">
        <v>0.11</v>
      </c>
      <c r="AA268" s="267">
        <v>0.03</v>
      </c>
      <c r="AB268" s="224">
        <v>0.29000000000000004</v>
      </c>
      <c r="AC268" s="267">
        <v>0.03</v>
      </c>
      <c r="AD268" s="267">
        <v>0.11</v>
      </c>
      <c r="AE268" s="267">
        <v>0.11</v>
      </c>
      <c r="AF268" s="267">
        <v>0.03</v>
      </c>
      <c r="AG268" s="224">
        <v>0.28000000000000003</v>
      </c>
      <c r="AH268" s="267">
        <v>0.03</v>
      </c>
      <c r="AI268" s="267">
        <v>0.11</v>
      </c>
      <c r="AJ268" s="267">
        <v>0.11</v>
      </c>
      <c r="AK268" s="267">
        <v>0.03</v>
      </c>
      <c r="AL268" s="224">
        <v>0.28000000000000003</v>
      </c>
      <c r="AM268" s="104">
        <v>1</v>
      </c>
      <c r="AN268" s="103" t="s">
        <v>685</v>
      </c>
      <c r="AO268" s="103" t="s">
        <v>616</v>
      </c>
      <c r="AP268" s="103" t="s">
        <v>1226</v>
      </c>
      <c r="AQ268" s="103" t="s">
        <v>1207</v>
      </c>
      <c r="AR268" s="103" t="s">
        <v>938</v>
      </c>
      <c r="AS268" s="271"/>
      <c r="AT268" s="271"/>
      <c r="AU268" s="271"/>
      <c r="AV268" s="271"/>
      <c r="AW268" s="271">
        <v>7000000</v>
      </c>
      <c r="AX268" s="271"/>
      <c r="AY268" s="271"/>
      <c r="AZ268" s="271"/>
      <c r="BA268" s="271"/>
      <c r="BB268" s="271"/>
      <c r="BC268" s="271"/>
      <c r="BD268" s="271"/>
      <c r="BE268" s="271"/>
      <c r="BF268" s="271"/>
      <c r="BG268" s="271"/>
      <c r="BH268" s="235">
        <f>IF(W268=0,0,BG268+BF268+BE268+BD268+BC268+BB268+BA268+AZ268+AY268+AX268+AW268+AV268+AU268+AT268+AS268)</f>
        <v>7000000</v>
      </c>
      <c r="BI268" s="271"/>
      <c r="BJ268" s="271"/>
      <c r="BK268" s="271"/>
      <c r="BL268" s="271"/>
      <c r="BM268" s="271">
        <v>11700000</v>
      </c>
      <c r="BN268" s="271"/>
      <c r="BO268" s="271"/>
      <c r="BP268" s="271"/>
      <c r="BQ268" s="271"/>
      <c r="BR268" s="271"/>
      <c r="BS268" s="271"/>
      <c r="BT268" s="271"/>
      <c r="BU268" s="271"/>
      <c r="BV268" s="271"/>
      <c r="BW268" s="271"/>
      <c r="BX268" s="235">
        <f>IF(AB268=0,0,BI268+BJ268+BK268+BL268+BM268+BN268+BO268+BP268+BQ268+BR268+BS268+BT268+BU268+BV268+BW268)</f>
        <v>11700000</v>
      </c>
      <c r="BY268" s="271"/>
      <c r="BZ268" s="271"/>
      <c r="CA268" s="271"/>
      <c r="CB268" s="271"/>
      <c r="CC268" s="271">
        <v>12700000</v>
      </c>
      <c r="CD268" s="271"/>
      <c r="CE268" s="271"/>
      <c r="CF268" s="271"/>
      <c r="CG268" s="271"/>
      <c r="CH268" s="271"/>
      <c r="CI268" s="271"/>
      <c r="CJ268" s="271"/>
      <c r="CK268" s="271"/>
      <c r="CL268" s="271"/>
      <c r="CM268" s="271"/>
      <c r="CN268" s="235">
        <f>IF(AG268=0,0,(BY268+BZ268+CA268+CB268+CC268+CD268+CE268+CF268+CG268+CH268+CI268+CJ268+CK268+CL268+CM268))</f>
        <v>12700000</v>
      </c>
      <c r="CO268" s="271"/>
      <c r="CP268" s="271"/>
      <c r="CQ268" s="271"/>
      <c r="CR268" s="271"/>
      <c r="CS268" s="271">
        <v>14200000</v>
      </c>
      <c r="CT268" s="271"/>
      <c r="CU268" s="271"/>
      <c r="CV268" s="271"/>
      <c r="CW268" s="271"/>
      <c r="CX268" s="271"/>
      <c r="CY268" s="271"/>
      <c r="CZ268" s="271"/>
      <c r="DA268" s="271"/>
      <c r="DB268" s="271"/>
      <c r="DC268" s="271"/>
      <c r="DD268" s="234">
        <f>IF(AL268=0,0,(CO268+CP268+CQ268+CR268+CS268+CT268+CU268+CV268+CW268+CX268+CY268+CZ268+DA268+DB268+DC268))</f>
        <v>14200000</v>
      </c>
      <c r="DE268" s="244">
        <f t="shared" si="84"/>
        <v>45600000</v>
      </c>
    </row>
    <row r="269" spans="1:110" s="98" customFormat="1" ht="112.05" customHeight="1">
      <c r="A269" s="103" t="s">
        <v>1236</v>
      </c>
      <c r="B269" s="279" t="s">
        <v>9</v>
      </c>
      <c r="C269" s="279" t="s">
        <v>1698</v>
      </c>
      <c r="D269" s="279">
        <v>20</v>
      </c>
      <c r="E269" s="279" t="s">
        <v>1003</v>
      </c>
      <c r="F269" s="280" t="s">
        <v>1004</v>
      </c>
      <c r="G269" s="279" t="s">
        <v>2736</v>
      </c>
      <c r="H269" s="279">
        <v>28</v>
      </c>
      <c r="I269" s="279" t="s">
        <v>1005</v>
      </c>
      <c r="J269" s="279" t="s">
        <v>683</v>
      </c>
      <c r="K269" s="279">
        <v>1000</v>
      </c>
      <c r="L269" s="279" t="s">
        <v>975</v>
      </c>
      <c r="M269" s="279" t="s">
        <v>1006</v>
      </c>
      <c r="N269" s="279" t="s">
        <v>1007</v>
      </c>
      <c r="O269" s="279" t="s">
        <v>360</v>
      </c>
      <c r="P269" s="283">
        <v>243</v>
      </c>
      <c r="Q269" s="279" t="s">
        <v>2738</v>
      </c>
      <c r="R269" s="279" t="s">
        <v>1010</v>
      </c>
      <c r="S269" s="279" t="s">
        <v>683</v>
      </c>
      <c r="T269" s="279">
        <v>600</v>
      </c>
      <c r="U269" s="267"/>
      <c r="V269" s="267">
        <v>30</v>
      </c>
      <c r="W269" s="224">
        <v>30</v>
      </c>
      <c r="X269" s="267">
        <v>40</v>
      </c>
      <c r="Y269" s="267">
        <v>121</v>
      </c>
      <c r="Z269" s="267">
        <v>122</v>
      </c>
      <c r="AA269" s="267">
        <v>50</v>
      </c>
      <c r="AB269" s="224">
        <v>333</v>
      </c>
      <c r="AC269" s="267">
        <v>40</v>
      </c>
      <c r="AD269" s="267">
        <v>122</v>
      </c>
      <c r="AE269" s="267">
        <v>122</v>
      </c>
      <c r="AF269" s="267">
        <v>50</v>
      </c>
      <c r="AG269" s="224">
        <v>334</v>
      </c>
      <c r="AH269" s="267">
        <v>40</v>
      </c>
      <c r="AI269" s="267">
        <v>122</v>
      </c>
      <c r="AJ269" s="267">
        <v>121</v>
      </c>
      <c r="AK269" s="267">
        <v>20</v>
      </c>
      <c r="AL269" s="224">
        <v>303</v>
      </c>
      <c r="AM269" s="104">
        <v>1000</v>
      </c>
      <c r="AN269" s="103" t="s">
        <v>685</v>
      </c>
      <c r="AO269" s="103" t="s">
        <v>616</v>
      </c>
      <c r="AP269" s="103" t="s">
        <v>1226</v>
      </c>
      <c r="AQ269" s="103" t="s">
        <v>1207</v>
      </c>
      <c r="AR269" s="103" t="s">
        <v>938</v>
      </c>
      <c r="AS269" s="271"/>
      <c r="AT269" s="271"/>
      <c r="AU269" s="271"/>
      <c r="AV269" s="271"/>
      <c r="AW269" s="271">
        <v>7000000</v>
      </c>
      <c r="AX269" s="271"/>
      <c r="AY269" s="271"/>
      <c r="AZ269" s="271"/>
      <c r="BA269" s="271"/>
      <c r="BB269" s="271"/>
      <c r="BC269" s="271"/>
      <c r="BD269" s="271"/>
      <c r="BE269" s="271"/>
      <c r="BF269" s="271"/>
      <c r="BG269" s="271"/>
      <c r="BH269" s="235">
        <f>IF(W269=0,0,BG269+BF269+BE269+BD269+BC269+BB269+BA269+AZ269+AY269+AX269+AW269+AV269+AU269+AT269+AS269)</f>
        <v>7000000</v>
      </c>
      <c r="BI269" s="271"/>
      <c r="BJ269" s="271"/>
      <c r="BK269" s="271"/>
      <c r="BL269" s="271"/>
      <c r="BM269" s="271">
        <v>13300000</v>
      </c>
      <c r="BN269" s="271"/>
      <c r="BO269" s="271"/>
      <c r="BP269" s="271"/>
      <c r="BQ269" s="271"/>
      <c r="BR269" s="271"/>
      <c r="BS269" s="271"/>
      <c r="BT269" s="271"/>
      <c r="BU269" s="271"/>
      <c r="BV269" s="271"/>
      <c r="BW269" s="271"/>
      <c r="BX269" s="235">
        <f>IF(AB269=0,0,BI269+BJ269+BK269+BL269+BM269+BN269+BO269+BP269+BQ269+BR269+BS269+BT269+BU269+BV269+BW269)</f>
        <v>13300000</v>
      </c>
      <c r="BY269" s="271"/>
      <c r="BZ269" s="271"/>
      <c r="CA269" s="271"/>
      <c r="CB269" s="271"/>
      <c r="CC269" s="271">
        <v>14300000</v>
      </c>
      <c r="CD269" s="271"/>
      <c r="CE269" s="271"/>
      <c r="CF269" s="271"/>
      <c r="CG269" s="271"/>
      <c r="CH269" s="271"/>
      <c r="CI269" s="271"/>
      <c r="CJ269" s="271"/>
      <c r="CK269" s="271"/>
      <c r="CL269" s="271"/>
      <c r="CM269" s="271"/>
      <c r="CN269" s="235">
        <f>IF(AG269=0,0,(BY269+BZ269+CA269+CB269+CC269+CD269+CE269+CF269+CG269+CH269+CI269+CJ269+CK269+CL269+CM269))</f>
        <v>14300000</v>
      </c>
      <c r="CO269" s="271"/>
      <c r="CP269" s="271"/>
      <c r="CQ269" s="271"/>
      <c r="CR269" s="271"/>
      <c r="CS269" s="271">
        <v>15800000</v>
      </c>
      <c r="CT269" s="271"/>
      <c r="CU269" s="271"/>
      <c r="CV269" s="271"/>
      <c r="CW269" s="271"/>
      <c r="CX269" s="271"/>
      <c r="CY269" s="271"/>
      <c r="CZ269" s="271"/>
      <c r="DA269" s="271"/>
      <c r="DB269" s="271"/>
      <c r="DC269" s="271"/>
      <c r="DD269" s="234">
        <f>IF(AL269=0,0,(CO269+CP269+CQ269+CR269+CS269+CT269+CU269+CV269+CW269+CX269+CY269+CZ269+DA269+DB269+DC269))</f>
        <v>15800000</v>
      </c>
      <c r="DE269" s="244">
        <f t="shared" si="84"/>
        <v>50400000</v>
      </c>
    </row>
    <row r="270" spans="1:110" s="98" customFormat="1" ht="112.05" customHeight="1">
      <c r="A270" s="103" t="s">
        <v>1236</v>
      </c>
      <c r="B270" s="279" t="s">
        <v>9</v>
      </c>
      <c r="C270" s="279" t="s">
        <v>1698</v>
      </c>
      <c r="D270" s="279">
        <v>20</v>
      </c>
      <c r="E270" s="279" t="s">
        <v>1003</v>
      </c>
      <c r="F270" s="280" t="s">
        <v>1004</v>
      </c>
      <c r="G270" s="279" t="s">
        <v>2736</v>
      </c>
      <c r="H270" s="279">
        <v>28</v>
      </c>
      <c r="I270" s="279" t="s">
        <v>1005</v>
      </c>
      <c r="J270" s="279" t="s">
        <v>683</v>
      </c>
      <c r="K270" s="279">
        <v>1000</v>
      </c>
      <c r="L270" s="279" t="s">
        <v>975</v>
      </c>
      <c r="M270" s="279" t="s">
        <v>1006</v>
      </c>
      <c r="N270" s="279" t="s">
        <v>1007</v>
      </c>
      <c r="O270" s="279" t="s">
        <v>360</v>
      </c>
      <c r="P270" s="283">
        <v>244</v>
      </c>
      <c r="Q270" s="279" t="s">
        <v>2739</v>
      </c>
      <c r="R270" s="279" t="s">
        <v>1011</v>
      </c>
      <c r="S270" s="279" t="s">
        <v>683</v>
      </c>
      <c r="T270" s="279">
        <v>0</v>
      </c>
      <c r="U270" s="267"/>
      <c r="V270" s="267">
        <v>0.25</v>
      </c>
      <c r="W270" s="224">
        <v>0.25</v>
      </c>
      <c r="X270" s="267"/>
      <c r="Y270" s="267"/>
      <c r="Z270" s="267"/>
      <c r="AA270" s="267">
        <v>0.5</v>
      </c>
      <c r="AB270" s="224">
        <v>0.5</v>
      </c>
      <c r="AC270" s="267">
        <v>0.25</v>
      </c>
      <c r="AD270" s="267"/>
      <c r="AE270" s="267"/>
      <c r="AF270" s="267"/>
      <c r="AG270" s="224">
        <v>0.25</v>
      </c>
      <c r="AH270" s="267"/>
      <c r="AI270" s="267"/>
      <c r="AJ270" s="267"/>
      <c r="AK270" s="267"/>
      <c r="AL270" s="224">
        <v>0</v>
      </c>
      <c r="AM270" s="104">
        <v>1</v>
      </c>
      <c r="AN270" s="103" t="s">
        <v>685</v>
      </c>
      <c r="AO270" s="103" t="s">
        <v>616</v>
      </c>
      <c r="AP270" s="103" t="s">
        <v>1226</v>
      </c>
      <c r="AQ270" s="103" t="s">
        <v>1207</v>
      </c>
      <c r="AR270" s="103" t="s">
        <v>938</v>
      </c>
      <c r="AS270" s="271"/>
      <c r="AT270" s="271"/>
      <c r="AU270" s="271"/>
      <c r="AV270" s="271"/>
      <c r="AW270" s="271">
        <v>1000000</v>
      </c>
      <c r="AX270" s="271"/>
      <c r="AY270" s="271"/>
      <c r="AZ270" s="271"/>
      <c r="BA270" s="271"/>
      <c r="BB270" s="271"/>
      <c r="BC270" s="271"/>
      <c r="BD270" s="271"/>
      <c r="BE270" s="271"/>
      <c r="BF270" s="271"/>
      <c r="BG270" s="271"/>
      <c r="BH270" s="235">
        <f>IF(W270=0,0,BG270+BF270+BE270+BD270+BC270+BB270+BA270+AZ270+AY270+AX270+AW270+AV270+AU270+AT270+AS270)</f>
        <v>1000000</v>
      </c>
      <c r="BI270" s="271"/>
      <c r="BJ270" s="271"/>
      <c r="BK270" s="271"/>
      <c r="BL270" s="271"/>
      <c r="BM270" s="271">
        <v>10000000</v>
      </c>
      <c r="BN270" s="271"/>
      <c r="BO270" s="271"/>
      <c r="BP270" s="271"/>
      <c r="BQ270" s="271"/>
      <c r="BR270" s="271"/>
      <c r="BS270" s="271"/>
      <c r="BT270" s="271"/>
      <c r="BU270" s="271"/>
      <c r="BV270" s="271"/>
      <c r="BW270" s="271"/>
      <c r="BX270" s="235">
        <f>IF(AB270=0,0,BI270+BJ270+BK270+BL270+BM270+BN270+BO270+BP270+BQ270+BR270+BS270+BT270+BU270+BV270+BW270)</f>
        <v>10000000</v>
      </c>
      <c r="BY270" s="271"/>
      <c r="BZ270" s="271"/>
      <c r="CA270" s="271"/>
      <c r="CB270" s="271"/>
      <c r="CC270" s="271">
        <v>6000000</v>
      </c>
      <c r="CD270" s="271"/>
      <c r="CE270" s="271"/>
      <c r="CF270" s="271"/>
      <c r="CG270" s="271"/>
      <c r="CH270" s="271"/>
      <c r="CI270" s="271"/>
      <c r="CJ270" s="271"/>
      <c r="CK270" s="271"/>
      <c r="CL270" s="271"/>
      <c r="CM270" s="271"/>
      <c r="CN270" s="235">
        <f>IF(AG270=0,0,(BY270+BZ270+CA270+CB270+CC270+CD270+CE270+CF270+CG270+CH270+CI270+CJ270+CK270+CL270+CM270))</f>
        <v>6000000</v>
      </c>
      <c r="CO270" s="271"/>
      <c r="CP270" s="271"/>
      <c r="CQ270" s="271"/>
      <c r="CR270" s="271"/>
      <c r="CS270" s="271"/>
      <c r="CT270" s="271"/>
      <c r="CU270" s="271"/>
      <c r="CV270" s="271"/>
      <c r="CW270" s="271"/>
      <c r="CX270" s="271"/>
      <c r="CY270" s="271"/>
      <c r="CZ270" s="271"/>
      <c r="DA270" s="271"/>
      <c r="DB270" s="271"/>
      <c r="DC270" s="271"/>
      <c r="DD270" s="234">
        <f>IF(AL270=0,0,(CO270+CP270+CQ270+CR270+CS270+CT270+CU270+CV270+CW270+CX270+CY270+CZ270+DA270+DB270+DC270))</f>
        <v>0</v>
      </c>
      <c r="DE270" s="244">
        <f t="shared" si="84"/>
        <v>17000000</v>
      </c>
    </row>
    <row r="271" spans="1:110" s="98" customFormat="1" ht="112.05" customHeight="1">
      <c r="A271" s="120" t="s">
        <v>1236</v>
      </c>
      <c r="B271" s="281" t="s">
        <v>9</v>
      </c>
      <c r="C271" s="281" t="s">
        <v>1698</v>
      </c>
      <c r="D271" s="281">
        <v>20</v>
      </c>
      <c r="E271" s="281" t="s">
        <v>1003</v>
      </c>
      <c r="F271" s="282" t="s">
        <v>1004</v>
      </c>
      <c r="G271" s="281" t="s">
        <v>2736</v>
      </c>
      <c r="H271" s="281">
        <v>28</v>
      </c>
      <c r="I271" s="281" t="s">
        <v>1005</v>
      </c>
      <c r="J271" s="281" t="s">
        <v>683</v>
      </c>
      <c r="K271" s="281">
        <v>1000</v>
      </c>
      <c r="L271" s="281" t="s">
        <v>975</v>
      </c>
      <c r="M271" s="281" t="s">
        <v>1006</v>
      </c>
      <c r="N271" s="281" t="s">
        <v>1007</v>
      </c>
      <c r="O271" s="281" t="s">
        <v>360</v>
      </c>
      <c r="P271" s="283">
        <v>245</v>
      </c>
      <c r="Q271" s="281" t="s">
        <v>3515</v>
      </c>
      <c r="R271" s="281" t="s">
        <v>1012</v>
      </c>
      <c r="S271" s="281" t="s">
        <v>683</v>
      </c>
      <c r="T271" s="281">
        <v>0</v>
      </c>
      <c r="U271" s="275"/>
      <c r="V271" s="275"/>
      <c r="W271" s="225">
        <v>0</v>
      </c>
      <c r="X271" s="275">
        <v>25</v>
      </c>
      <c r="Y271" s="275">
        <v>45</v>
      </c>
      <c r="Z271" s="275">
        <v>45</v>
      </c>
      <c r="AA271" s="275">
        <v>20</v>
      </c>
      <c r="AB271" s="225">
        <v>135</v>
      </c>
      <c r="AC271" s="275">
        <v>25</v>
      </c>
      <c r="AD271" s="275">
        <v>45</v>
      </c>
      <c r="AE271" s="275">
        <v>50</v>
      </c>
      <c r="AF271" s="275">
        <v>20</v>
      </c>
      <c r="AG271" s="225">
        <v>140</v>
      </c>
      <c r="AH271" s="275">
        <v>20</v>
      </c>
      <c r="AI271" s="275">
        <v>50</v>
      </c>
      <c r="AJ271" s="275">
        <v>45</v>
      </c>
      <c r="AK271" s="275">
        <v>10</v>
      </c>
      <c r="AL271" s="225">
        <v>125</v>
      </c>
      <c r="AM271" s="119">
        <v>400</v>
      </c>
      <c r="AN271" s="120" t="s">
        <v>685</v>
      </c>
      <c r="AO271" s="120" t="s">
        <v>616</v>
      </c>
      <c r="AP271" s="120" t="s">
        <v>1226</v>
      </c>
      <c r="AQ271" s="120" t="s">
        <v>1207</v>
      </c>
      <c r="AR271" s="120" t="s">
        <v>938</v>
      </c>
      <c r="AS271" s="276"/>
      <c r="AT271" s="276"/>
      <c r="AU271" s="276"/>
      <c r="AV271" s="276"/>
      <c r="AW271" s="276"/>
      <c r="AX271" s="276"/>
      <c r="AY271" s="276"/>
      <c r="AZ271" s="276"/>
      <c r="BA271" s="276"/>
      <c r="BB271" s="276"/>
      <c r="BC271" s="276"/>
      <c r="BD271" s="276"/>
      <c r="BE271" s="276"/>
      <c r="BF271" s="276"/>
      <c r="BG271" s="276"/>
      <c r="BH271" s="236">
        <f>IF(W271=0,0,BG271+BF271+BE271+BD271+BC271+BB271+BA271+AZ271+AY271+AX271+AW271+AV271+AU271+AT271+AS271)</f>
        <v>0</v>
      </c>
      <c r="BI271" s="276"/>
      <c r="BJ271" s="276"/>
      <c r="BK271" s="276"/>
      <c r="BL271" s="276"/>
      <c r="BM271" s="276">
        <v>4000000</v>
      </c>
      <c r="BN271" s="276"/>
      <c r="BO271" s="276"/>
      <c r="BP271" s="276"/>
      <c r="BQ271" s="276"/>
      <c r="BR271" s="276"/>
      <c r="BS271" s="276"/>
      <c r="BT271" s="276"/>
      <c r="BU271" s="276"/>
      <c r="BV271" s="276"/>
      <c r="BW271" s="276"/>
      <c r="BX271" s="236">
        <f>IF(AB271=0,0,BI271+BJ271+BK271+BL271+BM271+BN271+BO271+BP271+BQ271+BR271+BS271+BT271+BU271+BV271+BW271)</f>
        <v>4000000</v>
      </c>
      <c r="BY271" s="276"/>
      <c r="BZ271" s="276"/>
      <c r="CA271" s="276"/>
      <c r="CB271" s="276"/>
      <c r="CC271" s="276">
        <v>5000000</v>
      </c>
      <c r="CD271" s="276"/>
      <c r="CE271" s="276"/>
      <c r="CF271" s="276"/>
      <c r="CG271" s="276"/>
      <c r="CH271" s="276"/>
      <c r="CI271" s="276"/>
      <c r="CJ271" s="276"/>
      <c r="CK271" s="276"/>
      <c r="CL271" s="276"/>
      <c r="CM271" s="276"/>
      <c r="CN271" s="236">
        <f>IF(AG271=0,0,(BY271+BZ271+CA271+CB271+CC271+CD271+CE271+CF271+CG271+CH271+CI271+CJ271+CK271+CL271+CM271))</f>
        <v>5000000</v>
      </c>
      <c r="CO271" s="276"/>
      <c r="CP271" s="276"/>
      <c r="CQ271" s="276"/>
      <c r="CR271" s="276"/>
      <c r="CS271" s="276">
        <v>6500000</v>
      </c>
      <c r="CT271" s="276"/>
      <c r="CU271" s="276"/>
      <c r="CV271" s="276"/>
      <c r="CW271" s="276"/>
      <c r="CX271" s="276"/>
      <c r="CY271" s="276"/>
      <c r="CZ271" s="276"/>
      <c r="DA271" s="276"/>
      <c r="DB271" s="276"/>
      <c r="DC271" s="276"/>
      <c r="DD271" s="240">
        <f>IF(AL271=0,0,(CO271+CP271+CQ271+CR271+CS271+CT271+CU271+CV271+CW271+CX271+CY271+CZ271+DA271+DB271+DC271))</f>
        <v>6500000</v>
      </c>
      <c r="DE271" s="245">
        <f t="shared" si="84"/>
        <v>15500000</v>
      </c>
    </row>
    <row r="272" spans="1:110" ht="65.099999999999994" customHeight="1">
      <c r="A272" s="118" t="s">
        <v>1236</v>
      </c>
      <c r="B272" s="118" t="s">
        <v>9</v>
      </c>
      <c r="C272" s="118" t="s">
        <v>1698</v>
      </c>
      <c r="D272" s="118">
        <v>20</v>
      </c>
      <c r="E272" s="118" t="s">
        <v>1003</v>
      </c>
      <c r="F272" s="135"/>
      <c r="G272" s="136"/>
      <c r="H272" s="137"/>
      <c r="I272" s="137"/>
      <c r="J272" s="137"/>
      <c r="K272" s="138"/>
      <c r="L272" s="137"/>
      <c r="M272" s="137"/>
      <c r="N272" s="137"/>
      <c r="O272" s="137"/>
      <c r="P272" s="137"/>
      <c r="Q272" s="136"/>
      <c r="R272" s="139"/>
      <c r="S272" s="137"/>
      <c r="T272" s="137"/>
      <c r="U272" s="140"/>
      <c r="V272" s="140"/>
      <c r="W272" s="138"/>
      <c r="X272" s="140"/>
      <c r="Y272" s="140"/>
      <c r="Z272" s="140"/>
      <c r="AA272" s="140"/>
      <c r="AB272" s="138"/>
      <c r="AC272" s="140"/>
      <c r="AD272" s="140"/>
      <c r="AE272" s="140"/>
      <c r="AF272" s="140"/>
      <c r="AG272" s="138"/>
      <c r="AH272" s="140"/>
      <c r="AI272" s="140"/>
      <c r="AJ272" s="140"/>
      <c r="AK272" s="140"/>
      <c r="AL272" s="138"/>
      <c r="AM272" s="141"/>
      <c r="AN272" s="142"/>
      <c r="AO272" s="142"/>
      <c r="AP272" s="143"/>
      <c r="AQ272" s="143"/>
      <c r="AR272" s="144"/>
      <c r="AS272" s="132">
        <f>SUM(AS267:AS271)</f>
        <v>0</v>
      </c>
      <c r="AT272" s="132">
        <f t="shared" ref="AT272:DE272" si="85">SUM(AT267:AT271)</f>
        <v>0</v>
      </c>
      <c r="AU272" s="132">
        <f t="shared" si="85"/>
        <v>0</v>
      </c>
      <c r="AV272" s="132">
        <f t="shared" si="85"/>
        <v>0</v>
      </c>
      <c r="AW272" s="132">
        <f t="shared" si="85"/>
        <v>15000000</v>
      </c>
      <c r="AX272" s="132">
        <f t="shared" si="85"/>
        <v>0</v>
      </c>
      <c r="AY272" s="132">
        <f t="shared" si="85"/>
        <v>0</v>
      </c>
      <c r="AZ272" s="132">
        <f t="shared" si="85"/>
        <v>0</v>
      </c>
      <c r="BA272" s="132">
        <f t="shared" si="85"/>
        <v>0</v>
      </c>
      <c r="BB272" s="132">
        <f t="shared" si="85"/>
        <v>0</v>
      </c>
      <c r="BC272" s="132">
        <f t="shared" si="85"/>
        <v>0</v>
      </c>
      <c r="BD272" s="132">
        <f t="shared" si="85"/>
        <v>0</v>
      </c>
      <c r="BE272" s="132">
        <f t="shared" si="85"/>
        <v>0</v>
      </c>
      <c r="BF272" s="132">
        <f t="shared" si="85"/>
        <v>0</v>
      </c>
      <c r="BG272" s="132">
        <f t="shared" si="85"/>
        <v>0</v>
      </c>
      <c r="BH272" s="132">
        <f>IF(OR(AND(BH267=0,W267&lt;&gt;0),AND(BH268=0,W268&lt;&gt;0),AND(BH269=0,W269&lt;&gt;0),AND(BH270=0,W270&lt;&gt;0),AND(BH271=0,W271&lt;&gt;0)),"NO DEBEN QUEDAR CELDAS EN ROJO",SUM(BH267:BH271))</f>
        <v>15000000</v>
      </c>
      <c r="BI272" s="132">
        <f t="shared" si="85"/>
        <v>0</v>
      </c>
      <c r="BJ272" s="132">
        <f t="shared" si="85"/>
        <v>0</v>
      </c>
      <c r="BK272" s="132">
        <f t="shared" si="85"/>
        <v>0</v>
      </c>
      <c r="BL272" s="132">
        <f t="shared" si="85"/>
        <v>0</v>
      </c>
      <c r="BM272" s="132">
        <f t="shared" si="85"/>
        <v>45000000</v>
      </c>
      <c r="BN272" s="132">
        <f t="shared" si="85"/>
        <v>0</v>
      </c>
      <c r="BO272" s="132">
        <f t="shared" si="85"/>
        <v>0</v>
      </c>
      <c r="BP272" s="132">
        <f t="shared" si="85"/>
        <v>0</v>
      </c>
      <c r="BQ272" s="132">
        <f t="shared" si="85"/>
        <v>0</v>
      </c>
      <c r="BR272" s="132">
        <f t="shared" si="85"/>
        <v>0</v>
      </c>
      <c r="BS272" s="132">
        <f t="shared" si="85"/>
        <v>0</v>
      </c>
      <c r="BT272" s="132">
        <f t="shared" si="85"/>
        <v>0</v>
      </c>
      <c r="BU272" s="132">
        <f t="shared" si="85"/>
        <v>0</v>
      </c>
      <c r="BV272" s="132">
        <f t="shared" si="85"/>
        <v>0</v>
      </c>
      <c r="BW272" s="132">
        <f t="shared" si="85"/>
        <v>0</v>
      </c>
      <c r="BX272" s="132">
        <f>IF(OR(AND(BX267=0,AB267&lt;&gt;0),AND(BX268=0,AB268&lt;&gt;0),AND(BX269=0,AB269&lt;&gt;0),AND(BX270=0,AB270&lt;&gt;0),AND(BX271=0,AB271&lt;&gt;0)),"NO DEBEN QUEDAR CELDAS EN ROJO",SUM(BX267:BX271))</f>
        <v>45000000</v>
      </c>
      <c r="BY272" s="132">
        <f t="shared" si="85"/>
        <v>0</v>
      </c>
      <c r="BZ272" s="132">
        <f t="shared" si="85"/>
        <v>0</v>
      </c>
      <c r="CA272" s="132">
        <f t="shared" si="85"/>
        <v>0</v>
      </c>
      <c r="CB272" s="132">
        <f t="shared" si="85"/>
        <v>0</v>
      </c>
      <c r="CC272" s="132">
        <f t="shared" si="85"/>
        <v>45000000</v>
      </c>
      <c r="CD272" s="132">
        <f t="shared" si="85"/>
        <v>0</v>
      </c>
      <c r="CE272" s="132">
        <f t="shared" si="85"/>
        <v>0</v>
      </c>
      <c r="CF272" s="132">
        <f t="shared" si="85"/>
        <v>0</v>
      </c>
      <c r="CG272" s="132">
        <f t="shared" si="85"/>
        <v>0</v>
      </c>
      <c r="CH272" s="132">
        <f t="shared" si="85"/>
        <v>0</v>
      </c>
      <c r="CI272" s="132">
        <f t="shared" si="85"/>
        <v>0</v>
      </c>
      <c r="CJ272" s="132">
        <f t="shared" si="85"/>
        <v>0</v>
      </c>
      <c r="CK272" s="132">
        <f t="shared" si="85"/>
        <v>0</v>
      </c>
      <c r="CL272" s="132">
        <f t="shared" si="85"/>
        <v>0</v>
      </c>
      <c r="CM272" s="132">
        <f t="shared" si="85"/>
        <v>0</v>
      </c>
      <c r="CN272" s="132">
        <f>IF(OR(AND(CN267=0,AG267&lt;&gt;0),AND(CN268=0,AG268&lt;&gt;0),AND(CN269=0,AG269&lt;&gt;0),AND(CN270=0,AG270&lt;&gt;0),AND(CN271=0,AG271&lt;&gt;0)),"NO DEBEN QUEDAR CELDAS EN ROJO",SUM(CN267:CN271))</f>
        <v>45000000</v>
      </c>
      <c r="CO272" s="132">
        <f t="shared" si="85"/>
        <v>0</v>
      </c>
      <c r="CP272" s="132">
        <f t="shared" si="85"/>
        <v>0</v>
      </c>
      <c r="CQ272" s="132">
        <f t="shared" si="85"/>
        <v>0</v>
      </c>
      <c r="CR272" s="132">
        <f t="shared" si="85"/>
        <v>0</v>
      </c>
      <c r="CS272" s="132">
        <f t="shared" si="85"/>
        <v>45000000</v>
      </c>
      <c r="CT272" s="132">
        <f t="shared" si="85"/>
        <v>0</v>
      </c>
      <c r="CU272" s="132">
        <f t="shared" si="85"/>
        <v>0</v>
      </c>
      <c r="CV272" s="132">
        <f t="shared" si="85"/>
        <v>0</v>
      </c>
      <c r="CW272" s="132">
        <f t="shared" si="85"/>
        <v>0</v>
      </c>
      <c r="CX272" s="132">
        <f t="shared" si="85"/>
        <v>0</v>
      </c>
      <c r="CY272" s="132">
        <f t="shared" si="85"/>
        <v>0</v>
      </c>
      <c r="CZ272" s="132">
        <f t="shared" si="85"/>
        <v>0</v>
      </c>
      <c r="DA272" s="132">
        <f t="shared" si="85"/>
        <v>0</v>
      </c>
      <c r="DB272" s="132">
        <f t="shared" si="85"/>
        <v>0</v>
      </c>
      <c r="DC272" s="132">
        <f t="shared" si="85"/>
        <v>0</v>
      </c>
      <c r="DD272" s="132">
        <f>IF(OR(AND(DD267=0,AL267&lt;&gt;0),AND(DD268=0,AL268&lt;&gt;0),AND(DD269=0,AL269&lt;&gt;0),AND(DD270=0,AL270&lt;&gt;0),AND(DD271=0,AL271&lt;&gt;0)),"NO DEBEN QUEDAR CELDAS EN ROJO",SUM(DD267:DD271))</f>
        <v>45000000</v>
      </c>
      <c r="DE272" s="132">
        <f t="shared" si="85"/>
        <v>150000000</v>
      </c>
      <c r="DF272" s="101"/>
    </row>
    <row r="273" spans="1:110" s="98" customFormat="1" ht="100.05" customHeight="1">
      <c r="A273" s="103" t="s">
        <v>1236</v>
      </c>
      <c r="B273" s="103" t="s">
        <v>9</v>
      </c>
      <c r="C273" s="103" t="s">
        <v>1698</v>
      </c>
      <c r="D273" s="103">
        <v>21</v>
      </c>
      <c r="E273" s="103" t="s">
        <v>361</v>
      </c>
      <c r="F273" s="278" t="s">
        <v>1013</v>
      </c>
      <c r="G273" s="103" t="s">
        <v>3516</v>
      </c>
      <c r="H273" s="103">
        <v>29</v>
      </c>
      <c r="I273" s="103" t="s">
        <v>362</v>
      </c>
      <c r="J273" s="103" t="s">
        <v>683</v>
      </c>
      <c r="K273" s="103">
        <v>124</v>
      </c>
      <c r="L273" s="103">
        <v>124</v>
      </c>
      <c r="M273" s="103" t="s">
        <v>1014</v>
      </c>
      <c r="N273" s="103" t="s">
        <v>1015</v>
      </c>
      <c r="O273" s="103" t="s">
        <v>1016</v>
      </c>
      <c r="P273" s="283">
        <v>246</v>
      </c>
      <c r="Q273" s="103" t="s">
        <v>2740</v>
      </c>
      <c r="R273" s="103" t="s">
        <v>1017</v>
      </c>
      <c r="S273" s="103" t="s">
        <v>683</v>
      </c>
      <c r="T273" s="103">
        <v>1</v>
      </c>
      <c r="U273" s="267"/>
      <c r="V273" s="267">
        <v>1</v>
      </c>
      <c r="W273" s="224">
        <v>1</v>
      </c>
      <c r="X273" s="267">
        <v>1</v>
      </c>
      <c r="Y273" s="267">
        <v>1</v>
      </c>
      <c r="Z273" s="267">
        <v>1</v>
      </c>
      <c r="AA273" s="267">
        <v>1</v>
      </c>
      <c r="AB273" s="224">
        <v>1</v>
      </c>
      <c r="AC273" s="267">
        <v>1</v>
      </c>
      <c r="AD273" s="267">
        <v>1</v>
      </c>
      <c r="AE273" s="267">
        <v>1</v>
      </c>
      <c r="AF273" s="267">
        <v>1</v>
      </c>
      <c r="AG273" s="224">
        <v>1</v>
      </c>
      <c r="AH273" s="267">
        <v>1</v>
      </c>
      <c r="AI273" s="267">
        <v>1</v>
      </c>
      <c r="AJ273" s="267">
        <v>1</v>
      </c>
      <c r="AK273" s="267">
        <v>1</v>
      </c>
      <c r="AL273" s="224">
        <v>1</v>
      </c>
      <c r="AM273" s="102">
        <v>1</v>
      </c>
      <c r="AN273" s="103" t="s">
        <v>686</v>
      </c>
      <c r="AO273" s="103" t="s">
        <v>616</v>
      </c>
      <c r="AP273" s="103" t="s">
        <v>1226</v>
      </c>
      <c r="AQ273" s="103" t="s">
        <v>1207</v>
      </c>
      <c r="AR273" s="103" t="s">
        <v>938</v>
      </c>
      <c r="AS273" s="268"/>
      <c r="AT273" s="268"/>
      <c r="AU273" s="268"/>
      <c r="AV273" s="268"/>
      <c r="AW273" s="268">
        <v>1000000</v>
      </c>
      <c r="AX273" s="268"/>
      <c r="AY273" s="268"/>
      <c r="AZ273" s="268"/>
      <c r="BA273" s="268"/>
      <c r="BB273" s="268"/>
      <c r="BC273" s="268"/>
      <c r="BD273" s="268"/>
      <c r="BE273" s="268"/>
      <c r="BF273" s="268"/>
      <c r="BG273" s="268"/>
      <c r="BH273" s="234">
        <f>IF(W273=0,0,BG273+BF273+BE273+BD273+BC273+BB273+BA273+AZ273+AY273+AX273+AW273+AV273+AU273+AT273+AS273)</f>
        <v>1000000</v>
      </c>
      <c r="BI273" s="268"/>
      <c r="BJ273" s="268"/>
      <c r="BK273" s="268"/>
      <c r="BL273" s="268"/>
      <c r="BM273" s="268">
        <v>8000000</v>
      </c>
      <c r="BN273" s="268"/>
      <c r="BO273" s="268"/>
      <c r="BP273" s="268"/>
      <c r="BQ273" s="268"/>
      <c r="BR273" s="268"/>
      <c r="BS273" s="268"/>
      <c r="BT273" s="268"/>
      <c r="BU273" s="268"/>
      <c r="BV273" s="268"/>
      <c r="BW273" s="268"/>
      <c r="BX273" s="234">
        <f>IF(AB273=0,0,BI273+BJ273+BK273+BL273+BM273+BN273+BO273+BP273+BQ273+BR273+BS273+BT273+BU273+BV273+BW273)</f>
        <v>8000000</v>
      </c>
      <c r="BY273" s="268"/>
      <c r="BZ273" s="268"/>
      <c r="CA273" s="268"/>
      <c r="CB273" s="268"/>
      <c r="CC273" s="268">
        <v>8000000</v>
      </c>
      <c r="CD273" s="268"/>
      <c r="CE273" s="268"/>
      <c r="CF273" s="268"/>
      <c r="CG273" s="268"/>
      <c r="CH273" s="268"/>
      <c r="CI273" s="268"/>
      <c r="CJ273" s="268"/>
      <c r="CK273" s="268"/>
      <c r="CL273" s="268"/>
      <c r="CM273" s="268"/>
      <c r="CN273" s="234">
        <f>IF(AG273=0,0,(BY273+BZ273+CA273+CB273+CC273+CD273+CE273+CF273+CG273+CH273+CI273+CJ273+CK273+CL273+CM273))</f>
        <v>8000000</v>
      </c>
      <c r="CO273" s="268"/>
      <c r="CP273" s="268"/>
      <c r="CQ273" s="268"/>
      <c r="CR273" s="268"/>
      <c r="CS273" s="268">
        <v>8000000</v>
      </c>
      <c r="CT273" s="268"/>
      <c r="CU273" s="268"/>
      <c r="CV273" s="268"/>
      <c r="CW273" s="268"/>
      <c r="CX273" s="268"/>
      <c r="CY273" s="268"/>
      <c r="CZ273" s="268"/>
      <c r="DA273" s="268"/>
      <c r="DB273" s="268"/>
      <c r="DC273" s="268"/>
      <c r="DD273" s="234">
        <f>IF(AL273=0,0,(CO273+CP273+CQ273+CR273+CS273+CT273+CU273+CV273+CW273+CX273+CY273+CZ273+DA273+DB273+DC273))</f>
        <v>8000000</v>
      </c>
      <c r="DE273" s="243">
        <f t="shared" ref="DE273:DE277" si="86">SUM(DD273+CN273+BX273+BH273)</f>
        <v>25000000</v>
      </c>
    </row>
    <row r="274" spans="1:110" s="98" customFormat="1" ht="100.05" customHeight="1">
      <c r="A274" s="103" t="s">
        <v>1236</v>
      </c>
      <c r="B274" s="279" t="s">
        <v>9</v>
      </c>
      <c r="C274" s="279" t="s">
        <v>1698</v>
      </c>
      <c r="D274" s="279">
        <v>21</v>
      </c>
      <c r="E274" s="279" t="s">
        <v>361</v>
      </c>
      <c r="F274" s="280" t="s">
        <v>1013</v>
      </c>
      <c r="G274" s="279" t="s">
        <v>3516</v>
      </c>
      <c r="H274" s="279">
        <v>29</v>
      </c>
      <c r="I274" s="279" t="s">
        <v>362</v>
      </c>
      <c r="J274" s="279" t="s">
        <v>683</v>
      </c>
      <c r="K274" s="279">
        <v>124</v>
      </c>
      <c r="L274" s="279">
        <v>124</v>
      </c>
      <c r="M274" s="279" t="s">
        <v>1014</v>
      </c>
      <c r="N274" s="279" t="s">
        <v>1015</v>
      </c>
      <c r="O274" s="279" t="s">
        <v>1016</v>
      </c>
      <c r="P274" s="283">
        <v>247</v>
      </c>
      <c r="Q274" s="279" t="s">
        <v>2741</v>
      </c>
      <c r="R274" s="279" t="s">
        <v>1018</v>
      </c>
      <c r="S274" s="279" t="s">
        <v>683</v>
      </c>
      <c r="T274" s="279">
        <v>248</v>
      </c>
      <c r="U274" s="267">
        <v>148</v>
      </c>
      <c r="V274" s="267">
        <v>100</v>
      </c>
      <c r="W274" s="224">
        <v>248</v>
      </c>
      <c r="X274" s="267">
        <v>50</v>
      </c>
      <c r="Y274" s="267">
        <v>74</v>
      </c>
      <c r="Z274" s="267">
        <v>74</v>
      </c>
      <c r="AA274" s="267">
        <v>50</v>
      </c>
      <c r="AB274" s="224">
        <v>248</v>
      </c>
      <c r="AC274" s="267">
        <v>50</v>
      </c>
      <c r="AD274" s="267">
        <v>74</v>
      </c>
      <c r="AE274" s="267">
        <v>74</v>
      </c>
      <c r="AF274" s="267">
        <v>50</v>
      </c>
      <c r="AG274" s="224">
        <v>248</v>
      </c>
      <c r="AH274" s="267">
        <v>50</v>
      </c>
      <c r="AI274" s="267">
        <v>89</v>
      </c>
      <c r="AJ274" s="267">
        <v>89</v>
      </c>
      <c r="AK274" s="267">
        <v>20</v>
      </c>
      <c r="AL274" s="224">
        <v>248</v>
      </c>
      <c r="AM274" s="104">
        <v>248</v>
      </c>
      <c r="AN274" s="103" t="s">
        <v>686</v>
      </c>
      <c r="AO274" s="103" t="s">
        <v>1212</v>
      </c>
      <c r="AP274" s="103" t="s">
        <v>1229</v>
      </c>
      <c r="AQ274" s="103" t="s">
        <v>1207</v>
      </c>
      <c r="AR274" s="103" t="s">
        <v>951</v>
      </c>
      <c r="AS274" s="271"/>
      <c r="AT274" s="271"/>
      <c r="AU274" s="271"/>
      <c r="AV274" s="271"/>
      <c r="AW274" s="271">
        <v>4000000</v>
      </c>
      <c r="AX274" s="271"/>
      <c r="AY274" s="271"/>
      <c r="AZ274" s="271"/>
      <c r="BA274" s="271"/>
      <c r="BB274" s="271"/>
      <c r="BC274" s="271"/>
      <c r="BD274" s="271"/>
      <c r="BE274" s="271"/>
      <c r="BF274" s="271"/>
      <c r="BG274" s="271"/>
      <c r="BH274" s="235">
        <f>IF(W274=0,0,BG274+BF274+BE274+BD274+BC274+BB274+BA274+AZ274+AY274+AX274+AW274+AV274+AU274+AT274+AS274)</f>
        <v>4000000</v>
      </c>
      <c r="BI274" s="271"/>
      <c r="BJ274" s="271"/>
      <c r="BK274" s="271"/>
      <c r="BL274" s="271"/>
      <c r="BM274" s="271">
        <v>8000000</v>
      </c>
      <c r="BN274" s="271"/>
      <c r="BO274" s="271"/>
      <c r="BP274" s="271"/>
      <c r="BQ274" s="271"/>
      <c r="BR274" s="271"/>
      <c r="BS274" s="271"/>
      <c r="BT274" s="271"/>
      <c r="BU274" s="271"/>
      <c r="BV274" s="271"/>
      <c r="BW274" s="271"/>
      <c r="BX274" s="235">
        <f>IF(AB274=0,0,BI274+BJ274+BK274+BL274+BM274+BN274+BO274+BP274+BQ274+BR274+BS274+BT274+BU274+BV274+BW274)</f>
        <v>8000000</v>
      </c>
      <c r="BY274" s="271"/>
      <c r="BZ274" s="271"/>
      <c r="CA274" s="271"/>
      <c r="CB274" s="271"/>
      <c r="CC274" s="271">
        <v>8000000</v>
      </c>
      <c r="CD274" s="271"/>
      <c r="CE274" s="271"/>
      <c r="CF274" s="271"/>
      <c r="CG274" s="271"/>
      <c r="CH274" s="271"/>
      <c r="CI274" s="271"/>
      <c r="CJ274" s="271"/>
      <c r="CK274" s="271"/>
      <c r="CL274" s="271"/>
      <c r="CM274" s="271"/>
      <c r="CN274" s="235">
        <f>IF(AG274=0,0,(BY274+BZ274+CA274+CB274+CC274+CD274+CE274+CF274+CG274+CH274+CI274+CJ274+CK274+CL274+CM274))</f>
        <v>8000000</v>
      </c>
      <c r="CO274" s="271"/>
      <c r="CP274" s="271"/>
      <c r="CQ274" s="271"/>
      <c r="CR274" s="271"/>
      <c r="CS274" s="271">
        <v>8000000</v>
      </c>
      <c r="CT274" s="271"/>
      <c r="CU274" s="271"/>
      <c r="CV274" s="271"/>
      <c r="CW274" s="271"/>
      <c r="CX274" s="271"/>
      <c r="CY274" s="271"/>
      <c r="CZ274" s="271"/>
      <c r="DA274" s="271"/>
      <c r="DB274" s="271"/>
      <c r="DC274" s="271"/>
      <c r="DD274" s="234">
        <f>IF(AL274=0,0,(CO274+CP274+CQ274+CR274+CS274+CT274+CU274+CV274+CW274+CX274+CY274+CZ274+DA274+DB274+DC274))</f>
        <v>8000000</v>
      </c>
      <c r="DE274" s="244">
        <f t="shared" si="86"/>
        <v>28000000</v>
      </c>
    </row>
    <row r="275" spans="1:110" s="98" customFormat="1" ht="100.05" customHeight="1">
      <c r="A275" s="103" t="s">
        <v>1236</v>
      </c>
      <c r="B275" s="279" t="s">
        <v>9</v>
      </c>
      <c r="C275" s="279" t="s">
        <v>1698</v>
      </c>
      <c r="D275" s="279">
        <v>21</v>
      </c>
      <c r="E275" s="279" t="s">
        <v>361</v>
      </c>
      <c r="F275" s="280" t="s">
        <v>1013</v>
      </c>
      <c r="G275" s="279" t="s">
        <v>3516</v>
      </c>
      <c r="H275" s="279">
        <v>29</v>
      </c>
      <c r="I275" s="279" t="s">
        <v>362</v>
      </c>
      <c r="J275" s="279" t="s">
        <v>683</v>
      </c>
      <c r="K275" s="279">
        <v>124</v>
      </c>
      <c r="L275" s="279">
        <v>124</v>
      </c>
      <c r="M275" s="279" t="s">
        <v>1014</v>
      </c>
      <c r="N275" s="279" t="s">
        <v>1015</v>
      </c>
      <c r="O275" s="279" t="s">
        <v>1016</v>
      </c>
      <c r="P275" s="283">
        <v>248</v>
      </c>
      <c r="Q275" s="279" t="s">
        <v>3517</v>
      </c>
      <c r="R275" s="279" t="s">
        <v>1019</v>
      </c>
      <c r="S275" s="279" t="s">
        <v>683</v>
      </c>
      <c r="T275" s="279">
        <v>128</v>
      </c>
      <c r="U275" s="267">
        <v>50</v>
      </c>
      <c r="V275" s="267">
        <v>78</v>
      </c>
      <c r="W275" s="224">
        <v>128</v>
      </c>
      <c r="X275" s="267">
        <v>20</v>
      </c>
      <c r="Y275" s="267">
        <v>44</v>
      </c>
      <c r="Z275" s="267">
        <v>44</v>
      </c>
      <c r="AA275" s="267">
        <v>20</v>
      </c>
      <c r="AB275" s="224">
        <v>128</v>
      </c>
      <c r="AC275" s="267">
        <v>20</v>
      </c>
      <c r="AD275" s="267">
        <v>44</v>
      </c>
      <c r="AE275" s="267">
        <v>44</v>
      </c>
      <c r="AF275" s="267">
        <v>20</v>
      </c>
      <c r="AG275" s="224">
        <v>128</v>
      </c>
      <c r="AH275" s="267">
        <v>20</v>
      </c>
      <c r="AI275" s="267">
        <v>49</v>
      </c>
      <c r="AJ275" s="267">
        <v>49</v>
      </c>
      <c r="AK275" s="267">
        <v>10</v>
      </c>
      <c r="AL275" s="224">
        <v>128</v>
      </c>
      <c r="AM275" s="104">
        <v>128</v>
      </c>
      <c r="AN275" s="103" t="s">
        <v>686</v>
      </c>
      <c r="AO275" s="103" t="s">
        <v>1212</v>
      </c>
      <c r="AP275" s="103" t="s">
        <v>1229</v>
      </c>
      <c r="AQ275" s="103" t="s">
        <v>1207</v>
      </c>
      <c r="AR275" s="103" t="s">
        <v>951</v>
      </c>
      <c r="AS275" s="271"/>
      <c r="AT275" s="271"/>
      <c r="AU275" s="271"/>
      <c r="AV275" s="271"/>
      <c r="AW275" s="271">
        <v>8000000</v>
      </c>
      <c r="AX275" s="271"/>
      <c r="AY275" s="271"/>
      <c r="AZ275" s="271"/>
      <c r="BA275" s="271"/>
      <c r="BB275" s="271"/>
      <c r="BC275" s="271"/>
      <c r="BD275" s="271"/>
      <c r="BE275" s="271"/>
      <c r="BF275" s="271"/>
      <c r="BG275" s="271"/>
      <c r="BH275" s="235">
        <f>IF(W275=0,0,BG275+BF275+BE275+BD275+BC275+BB275+BA275+AZ275+AY275+AX275+AW275+AV275+AU275+AT275+AS275)</f>
        <v>8000000</v>
      </c>
      <c r="BI275" s="271"/>
      <c r="BJ275" s="271"/>
      <c r="BK275" s="271"/>
      <c r="BL275" s="271"/>
      <c r="BM275" s="271">
        <v>12000000</v>
      </c>
      <c r="BN275" s="271"/>
      <c r="BO275" s="271"/>
      <c r="BP275" s="271"/>
      <c r="BQ275" s="271"/>
      <c r="BR275" s="271"/>
      <c r="BS275" s="271"/>
      <c r="BT275" s="271"/>
      <c r="BU275" s="271"/>
      <c r="BV275" s="271"/>
      <c r="BW275" s="271"/>
      <c r="BX275" s="235">
        <f>IF(AB275=0,0,BI275+BJ275+BK275+BL275+BM275+BN275+BO275+BP275+BQ275+BR275+BS275+BT275+BU275+BV275+BW275)</f>
        <v>12000000</v>
      </c>
      <c r="BY275" s="271"/>
      <c r="BZ275" s="271"/>
      <c r="CA275" s="271"/>
      <c r="CB275" s="271"/>
      <c r="CC275" s="271">
        <v>15000000</v>
      </c>
      <c r="CD275" s="271"/>
      <c r="CE275" s="271"/>
      <c r="CF275" s="271"/>
      <c r="CG275" s="271"/>
      <c r="CH275" s="271"/>
      <c r="CI275" s="271"/>
      <c r="CJ275" s="271"/>
      <c r="CK275" s="271"/>
      <c r="CL275" s="271"/>
      <c r="CM275" s="271"/>
      <c r="CN275" s="235">
        <f>IF(AG275=0,0,(BY275+BZ275+CA275+CB275+CC275+CD275+CE275+CF275+CG275+CH275+CI275+CJ275+CK275+CL275+CM275))</f>
        <v>15000000</v>
      </c>
      <c r="CO275" s="271"/>
      <c r="CP275" s="271"/>
      <c r="CQ275" s="271"/>
      <c r="CR275" s="271"/>
      <c r="CS275" s="271">
        <v>16000000</v>
      </c>
      <c r="CT275" s="271"/>
      <c r="CU275" s="271"/>
      <c r="CV275" s="271"/>
      <c r="CW275" s="271"/>
      <c r="CX275" s="271"/>
      <c r="CY275" s="271"/>
      <c r="CZ275" s="271"/>
      <c r="DA275" s="271"/>
      <c r="DB275" s="271"/>
      <c r="DC275" s="271"/>
      <c r="DD275" s="234">
        <f>IF(AL275=0,0,(CO275+CP275+CQ275+CR275+CS275+CT275+CU275+CV275+CW275+CX275+CY275+CZ275+DA275+DB275+DC275))</f>
        <v>16000000</v>
      </c>
      <c r="DE275" s="244">
        <f t="shared" si="86"/>
        <v>51000000</v>
      </c>
    </row>
    <row r="276" spans="1:110" s="98" customFormat="1" ht="100.05" customHeight="1">
      <c r="A276" s="103" t="s">
        <v>1236</v>
      </c>
      <c r="B276" s="279" t="s">
        <v>9</v>
      </c>
      <c r="C276" s="279" t="s">
        <v>1698</v>
      </c>
      <c r="D276" s="279">
        <v>21</v>
      </c>
      <c r="E276" s="279" t="s">
        <v>361</v>
      </c>
      <c r="F276" s="280" t="s">
        <v>1013</v>
      </c>
      <c r="G276" s="279" t="s">
        <v>3516</v>
      </c>
      <c r="H276" s="279">
        <v>29</v>
      </c>
      <c r="I276" s="279" t="s">
        <v>362</v>
      </c>
      <c r="J276" s="279" t="s">
        <v>683</v>
      </c>
      <c r="K276" s="279">
        <v>124</v>
      </c>
      <c r="L276" s="279">
        <v>124</v>
      </c>
      <c r="M276" s="279" t="s">
        <v>1014</v>
      </c>
      <c r="N276" s="279" t="s">
        <v>1015</v>
      </c>
      <c r="O276" s="279" t="s">
        <v>1016</v>
      </c>
      <c r="P276" s="283">
        <v>249</v>
      </c>
      <c r="Q276" s="279" t="s">
        <v>3518</v>
      </c>
      <c r="R276" s="279" t="s">
        <v>1020</v>
      </c>
      <c r="S276" s="279" t="s">
        <v>683</v>
      </c>
      <c r="T276" s="279">
        <v>0</v>
      </c>
      <c r="U276" s="267"/>
      <c r="V276" s="267"/>
      <c r="W276" s="224">
        <v>0</v>
      </c>
      <c r="X276" s="267">
        <v>22</v>
      </c>
      <c r="Y276" s="267">
        <v>30</v>
      </c>
      <c r="Z276" s="267">
        <v>30</v>
      </c>
      <c r="AA276" s="267">
        <v>16</v>
      </c>
      <c r="AB276" s="224">
        <v>98</v>
      </c>
      <c r="AC276" s="267">
        <v>10</v>
      </c>
      <c r="AD276" s="267">
        <v>10</v>
      </c>
      <c r="AE276" s="267">
        <v>10</v>
      </c>
      <c r="AF276" s="267"/>
      <c r="AG276" s="224">
        <v>30</v>
      </c>
      <c r="AH276" s="267"/>
      <c r="AI276" s="267"/>
      <c r="AJ276" s="267"/>
      <c r="AK276" s="267"/>
      <c r="AL276" s="224">
        <v>0</v>
      </c>
      <c r="AM276" s="104">
        <v>128</v>
      </c>
      <c r="AN276" s="103" t="s">
        <v>685</v>
      </c>
      <c r="AO276" s="103" t="s">
        <v>1212</v>
      </c>
      <c r="AP276" s="103" t="s">
        <v>1229</v>
      </c>
      <c r="AQ276" s="103" t="s">
        <v>1207</v>
      </c>
      <c r="AR276" s="103" t="s">
        <v>951</v>
      </c>
      <c r="AS276" s="271"/>
      <c r="AT276" s="271"/>
      <c r="AU276" s="271"/>
      <c r="AV276" s="271"/>
      <c r="AW276" s="271"/>
      <c r="AX276" s="271"/>
      <c r="AY276" s="271"/>
      <c r="AZ276" s="271"/>
      <c r="BA276" s="271"/>
      <c r="BB276" s="271"/>
      <c r="BC276" s="271"/>
      <c r="BD276" s="271"/>
      <c r="BE276" s="271"/>
      <c r="BF276" s="271"/>
      <c r="BG276" s="271"/>
      <c r="BH276" s="235">
        <f>IF(W276=0,0,BG276+BF276+BE276+BD276+BC276+BB276+BA276+AZ276+AY276+AX276+AW276+AV276+AU276+AT276+AS276)</f>
        <v>0</v>
      </c>
      <c r="BI276" s="271"/>
      <c r="BJ276" s="271"/>
      <c r="BK276" s="271"/>
      <c r="BL276" s="271"/>
      <c r="BM276" s="271">
        <v>6000000</v>
      </c>
      <c r="BN276" s="271"/>
      <c r="BO276" s="271"/>
      <c r="BP276" s="271"/>
      <c r="BQ276" s="271"/>
      <c r="BR276" s="271"/>
      <c r="BS276" s="271"/>
      <c r="BT276" s="271"/>
      <c r="BU276" s="271"/>
      <c r="BV276" s="271"/>
      <c r="BW276" s="271"/>
      <c r="BX276" s="235">
        <f>IF(AB276=0,0,BI276+BJ276+BK276+BL276+BM276+BN276+BO276+BP276+BQ276+BR276+BS276+BT276+BU276+BV276+BW276)</f>
        <v>6000000</v>
      </c>
      <c r="BY276" s="271"/>
      <c r="BZ276" s="271"/>
      <c r="CA276" s="271"/>
      <c r="CB276" s="271"/>
      <c r="CC276" s="271">
        <v>3000000</v>
      </c>
      <c r="CD276" s="271"/>
      <c r="CE276" s="271"/>
      <c r="CF276" s="271"/>
      <c r="CG276" s="271"/>
      <c r="CH276" s="271"/>
      <c r="CI276" s="271"/>
      <c r="CJ276" s="271"/>
      <c r="CK276" s="271"/>
      <c r="CL276" s="271"/>
      <c r="CM276" s="271"/>
      <c r="CN276" s="235">
        <f>IF(AG276=0,0,(BY276+BZ276+CA276+CB276+CC276+CD276+CE276+CF276+CG276+CH276+CI276+CJ276+CK276+CL276+CM276))</f>
        <v>3000000</v>
      </c>
      <c r="CO276" s="271"/>
      <c r="CP276" s="271"/>
      <c r="CQ276" s="271"/>
      <c r="CR276" s="271"/>
      <c r="CS276" s="271"/>
      <c r="CT276" s="271"/>
      <c r="CU276" s="271"/>
      <c r="CV276" s="271"/>
      <c r="CW276" s="271"/>
      <c r="CX276" s="271"/>
      <c r="CY276" s="271"/>
      <c r="CZ276" s="271"/>
      <c r="DA276" s="271"/>
      <c r="DB276" s="271"/>
      <c r="DC276" s="271"/>
      <c r="DD276" s="234">
        <f>IF(AL276=0,0,(CO276+CP276+CQ276+CR276+CS276+CT276+CU276+CV276+CW276+CX276+CY276+CZ276+DA276+DB276+DC276))</f>
        <v>0</v>
      </c>
      <c r="DE276" s="244">
        <f t="shared" si="86"/>
        <v>9000000</v>
      </c>
    </row>
    <row r="277" spans="1:110" s="98" customFormat="1" ht="100.05" customHeight="1">
      <c r="A277" s="120" t="s">
        <v>1236</v>
      </c>
      <c r="B277" s="281" t="s">
        <v>9</v>
      </c>
      <c r="C277" s="281" t="s">
        <v>1698</v>
      </c>
      <c r="D277" s="281">
        <v>21</v>
      </c>
      <c r="E277" s="281" t="s">
        <v>361</v>
      </c>
      <c r="F277" s="282" t="s">
        <v>1013</v>
      </c>
      <c r="G277" s="281" t="s">
        <v>3516</v>
      </c>
      <c r="H277" s="281">
        <v>29</v>
      </c>
      <c r="I277" s="281" t="s">
        <v>362</v>
      </c>
      <c r="J277" s="281" t="s">
        <v>683</v>
      </c>
      <c r="K277" s="281">
        <v>124</v>
      </c>
      <c r="L277" s="281">
        <v>124</v>
      </c>
      <c r="M277" s="281" t="s">
        <v>1014</v>
      </c>
      <c r="N277" s="281" t="s">
        <v>1015</v>
      </c>
      <c r="O277" s="281" t="s">
        <v>1016</v>
      </c>
      <c r="P277" s="283">
        <v>250</v>
      </c>
      <c r="Q277" s="281" t="s">
        <v>2742</v>
      </c>
      <c r="R277" s="281" t="s">
        <v>1021</v>
      </c>
      <c r="S277" s="281" t="s">
        <v>683</v>
      </c>
      <c r="T277" s="281">
        <v>0</v>
      </c>
      <c r="U277" s="275"/>
      <c r="V277" s="275">
        <v>0.2</v>
      </c>
      <c r="W277" s="225">
        <v>0.2</v>
      </c>
      <c r="X277" s="275">
        <v>0.1</v>
      </c>
      <c r="Y277" s="275">
        <v>0.35</v>
      </c>
      <c r="Z277" s="275">
        <v>0.25</v>
      </c>
      <c r="AA277" s="275">
        <v>0.1</v>
      </c>
      <c r="AB277" s="225">
        <v>0.79999999999999993</v>
      </c>
      <c r="AC277" s="275">
        <v>0.1</v>
      </c>
      <c r="AD277" s="275">
        <v>0.2</v>
      </c>
      <c r="AE277" s="275">
        <v>0.1</v>
      </c>
      <c r="AF277" s="275">
        <v>0.1</v>
      </c>
      <c r="AG277" s="225">
        <v>0.5</v>
      </c>
      <c r="AH277" s="275">
        <v>0.1</v>
      </c>
      <c r="AI277" s="275">
        <v>0.2</v>
      </c>
      <c r="AJ277" s="275">
        <v>0.1</v>
      </c>
      <c r="AK277" s="275">
        <v>0.1</v>
      </c>
      <c r="AL277" s="225">
        <v>0.5</v>
      </c>
      <c r="AM277" s="119">
        <v>2</v>
      </c>
      <c r="AN277" s="120" t="s">
        <v>685</v>
      </c>
      <c r="AO277" s="120" t="s">
        <v>616</v>
      </c>
      <c r="AP277" s="120" t="s">
        <v>1226</v>
      </c>
      <c r="AQ277" s="120" t="s">
        <v>1207</v>
      </c>
      <c r="AR277" s="120" t="s">
        <v>951</v>
      </c>
      <c r="AS277" s="276"/>
      <c r="AT277" s="276"/>
      <c r="AU277" s="276"/>
      <c r="AV277" s="276"/>
      <c r="AW277" s="276">
        <v>2000000</v>
      </c>
      <c r="AX277" s="276"/>
      <c r="AY277" s="276"/>
      <c r="AZ277" s="276"/>
      <c r="BA277" s="276"/>
      <c r="BB277" s="276"/>
      <c r="BC277" s="276"/>
      <c r="BD277" s="276"/>
      <c r="BE277" s="276"/>
      <c r="BF277" s="276"/>
      <c r="BG277" s="276"/>
      <c r="BH277" s="236">
        <f>IF(W277=0,0,BG277+BF277+BE277+BD277+BC277+BB277+BA277+AZ277+AY277+AX277+AW277+AV277+AU277+AT277+AS277)</f>
        <v>2000000</v>
      </c>
      <c r="BI277" s="276"/>
      <c r="BJ277" s="276"/>
      <c r="BK277" s="276"/>
      <c r="BL277" s="276"/>
      <c r="BM277" s="276">
        <v>6000000</v>
      </c>
      <c r="BN277" s="276"/>
      <c r="BO277" s="276"/>
      <c r="BP277" s="276"/>
      <c r="BQ277" s="276"/>
      <c r="BR277" s="276"/>
      <c r="BS277" s="276"/>
      <c r="BT277" s="276"/>
      <c r="BU277" s="276"/>
      <c r="BV277" s="276"/>
      <c r="BW277" s="276"/>
      <c r="BX277" s="236">
        <f>IF(AB277=0,0,BI277+BJ277+BK277+BL277+BM277+BN277+BO277+BP277+BQ277+BR277+BS277+BT277+BU277+BV277+BW277)</f>
        <v>6000000</v>
      </c>
      <c r="BY277" s="276"/>
      <c r="BZ277" s="276"/>
      <c r="CA277" s="276"/>
      <c r="CB277" s="276"/>
      <c r="CC277" s="276">
        <v>6000000</v>
      </c>
      <c r="CD277" s="276"/>
      <c r="CE277" s="276"/>
      <c r="CF277" s="276"/>
      <c r="CG277" s="276"/>
      <c r="CH277" s="276"/>
      <c r="CI277" s="276"/>
      <c r="CJ277" s="276"/>
      <c r="CK277" s="276"/>
      <c r="CL277" s="276"/>
      <c r="CM277" s="276"/>
      <c r="CN277" s="236">
        <f>IF(AG277=0,0,(BY277+BZ277+CA277+CB277+CC277+CD277+CE277+CF277+CG277+CH277+CI277+CJ277+CK277+CL277+CM277))</f>
        <v>6000000</v>
      </c>
      <c r="CO277" s="276"/>
      <c r="CP277" s="276"/>
      <c r="CQ277" s="276"/>
      <c r="CR277" s="276"/>
      <c r="CS277" s="276">
        <v>8000000</v>
      </c>
      <c r="CT277" s="276"/>
      <c r="CU277" s="276"/>
      <c r="CV277" s="276"/>
      <c r="CW277" s="276"/>
      <c r="CX277" s="276"/>
      <c r="CY277" s="276"/>
      <c r="CZ277" s="276"/>
      <c r="DA277" s="276"/>
      <c r="DB277" s="276"/>
      <c r="DC277" s="276"/>
      <c r="DD277" s="240">
        <f>IF(AL277=0,0,(CO277+CP277+CQ277+CR277+CS277+CT277+CU277+CV277+CW277+CX277+CY277+CZ277+DA277+DB277+DC277))</f>
        <v>8000000</v>
      </c>
      <c r="DE277" s="245">
        <f t="shared" si="86"/>
        <v>22000000</v>
      </c>
    </row>
    <row r="278" spans="1:110" ht="65.099999999999994" customHeight="1">
      <c r="A278" s="118" t="s">
        <v>1236</v>
      </c>
      <c r="B278" s="118" t="s">
        <v>9</v>
      </c>
      <c r="C278" s="118" t="s">
        <v>1698</v>
      </c>
      <c r="D278" s="118">
        <v>21</v>
      </c>
      <c r="E278" s="118" t="s">
        <v>361</v>
      </c>
      <c r="F278" s="135"/>
      <c r="G278" s="136"/>
      <c r="H278" s="137"/>
      <c r="I278" s="137"/>
      <c r="J278" s="137"/>
      <c r="K278" s="138"/>
      <c r="L278" s="137"/>
      <c r="M278" s="137"/>
      <c r="N278" s="137"/>
      <c r="O278" s="137"/>
      <c r="P278" s="137"/>
      <c r="Q278" s="136"/>
      <c r="R278" s="139"/>
      <c r="S278" s="137"/>
      <c r="T278" s="137"/>
      <c r="U278" s="140"/>
      <c r="V278" s="140"/>
      <c r="W278" s="138"/>
      <c r="X278" s="140"/>
      <c r="Y278" s="140"/>
      <c r="Z278" s="140"/>
      <c r="AA278" s="140"/>
      <c r="AB278" s="138"/>
      <c r="AC278" s="140"/>
      <c r="AD278" s="140"/>
      <c r="AE278" s="140"/>
      <c r="AF278" s="140"/>
      <c r="AG278" s="138"/>
      <c r="AH278" s="140"/>
      <c r="AI278" s="140"/>
      <c r="AJ278" s="140"/>
      <c r="AK278" s="140"/>
      <c r="AL278" s="138"/>
      <c r="AM278" s="141"/>
      <c r="AN278" s="142"/>
      <c r="AO278" s="142"/>
      <c r="AP278" s="143"/>
      <c r="AQ278" s="143"/>
      <c r="AR278" s="144"/>
      <c r="AS278" s="132">
        <f>SUM(AS273:AS277)</f>
        <v>0</v>
      </c>
      <c r="AT278" s="132">
        <f t="shared" ref="AT278:DE278" si="87">SUM(AT273:AT277)</f>
        <v>0</v>
      </c>
      <c r="AU278" s="132">
        <f t="shared" si="87"/>
        <v>0</v>
      </c>
      <c r="AV278" s="132">
        <f t="shared" si="87"/>
        <v>0</v>
      </c>
      <c r="AW278" s="132">
        <f t="shared" si="87"/>
        <v>15000000</v>
      </c>
      <c r="AX278" s="132">
        <f t="shared" si="87"/>
        <v>0</v>
      </c>
      <c r="AY278" s="132">
        <f t="shared" si="87"/>
        <v>0</v>
      </c>
      <c r="AZ278" s="132">
        <f t="shared" si="87"/>
        <v>0</v>
      </c>
      <c r="BA278" s="132">
        <f t="shared" si="87"/>
        <v>0</v>
      </c>
      <c r="BB278" s="132">
        <f t="shared" si="87"/>
        <v>0</v>
      </c>
      <c r="BC278" s="132">
        <f t="shared" si="87"/>
        <v>0</v>
      </c>
      <c r="BD278" s="132">
        <f t="shared" si="87"/>
        <v>0</v>
      </c>
      <c r="BE278" s="132">
        <f t="shared" si="87"/>
        <v>0</v>
      </c>
      <c r="BF278" s="132">
        <f t="shared" si="87"/>
        <v>0</v>
      </c>
      <c r="BG278" s="132">
        <f t="shared" si="87"/>
        <v>0</v>
      </c>
      <c r="BH278" s="132">
        <f>IF(OR(AND(BH273=0,W273&lt;&gt;0),AND(BH274=0,W274&lt;&gt;0),AND(BH275=0,W275&lt;&gt;0),AND(BH276=0,W276&lt;&gt;0),AND(BH277=0,W277&lt;&gt;0)),"NO DEBEN QUEDAR CELDAS EN ROJO",SUM(BH273:BH277))</f>
        <v>15000000</v>
      </c>
      <c r="BI278" s="132">
        <f t="shared" si="87"/>
        <v>0</v>
      </c>
      <c r="BJ278" s="132">
        <f t="shared" si="87"/>
        <v>0</v>
      </c>
      <c r="BK278" s="132">
        <f t="shared" si="87"/>
        <v>0</v>
      </c>
      <c r="BL278" s="132">
        <f t="shared" si="87"/>
        <v>0</v>
      </c>
      <c r="BM278" s="132">
        <f t="shared" si="87"/>
        <v>40000000</v>
      </c>
      <c r="BN278" s="132">
        <f t="shared" si="87"/>
        <v>0</v>
      </c>
      <c r="BO278" s="132">
        <f t="shared" si="87"/>
        <v>0</v>
      </c>
      <c r="BP278" s="132">
        <f t="shared" si="87"/>
        <v>0</v>
      </c>
      <c r="BQ278" s="132">
        <f t="shared" si="87"/>
        <v>0</v>
      </c>
      <c r="BR278" s="132">
        <f t="shared" si="87"/>
        <v>0</v>
      </c>
      <c r="BS278" s="132">
        <f t="shared" si="87"/>
        <v>0</v>
      </c>
      <c r="BT278" s="132">
        <f t="shared" si="87"/>
        <v>0</v>
      </c>
      <c r="BU278" s="132">
        <f t="shared" si="87"/>
        <v>0</v>
      </c>
      <c r="BV278" s="132">
        <f t="shared" si="87"/>
        <v>0</v>
      </c>
      <c r="BW278" s="132">
        <f t="shared" si="87"/>
        <v>0</v>
      </c>
      <c r="BX278" s="132">
        <f>IF(OR(AND(BX273=0,AB273&lt;&gt;0),AND(BX274=0,AB274&lt;&gt;0),AND(BX275=0,AB275&lt;&gt;0),AND(BX276=0,AB276&lt;&gt;0),AND(BX277=0,AB277&lt;&gt;0)),"NO DEBEN QUEDAR CELDAS EN ROJO",SUM(BX273:BX277))</f>
        <v>40000000</v>
      </c>
      <c r="BY278" s="132">
        <f t="shared" si="87"/>
        <v>0</v>
      </c>
      <c r="BZ278" s="132">
        <f t="shared" si="87"/>
        <v>0</v>
      </c>
      <c r="CA278" s="132">
        <f t="shared" si="87"/>
        <v>0</v>
      </c>
      <c r="CB278" s="132">
        <f t="shared" si="87"/>
        <v>0</v>
      </c>
      <c r="CC278" s="132">
        <f t="shared" si="87"/>
        <v>40000000</v>
      </c>
      <c r="CD278" s="132">
        <f t="shared" si="87"/>
        <v>0</v>
      </c>
      <c r="CE278" s="132">
        <f t="shared" si="87"/>
        <v>0</v>
      </c>
      <c r="CF278" s="132">
        <f t="shared" si="87"/>
        <v>0</v>
      </c>
      <c r="CG278" s="132">
        <f t="shared" si="87"/>
        <v>0</v>
      </c>
      <c r="CH278" s="132">
        <f t="shared" si="87"/>
        <v>0</v>
      </c>
      <c r="CI278" s="132">
        <f t="shared" si="87"/>
        <v>0</v>
      </c>
      <c r="CJ278" s="132">
        <f t="shared" si="87"/>
        <v>0</v>
      </c>
      <c r="CK278" s="132">
        <f t="shared" si="87"/>
        <v>0</v>
      </c>
      <c r="CL278" s="132">
        <f t="shared" si="87"/>
        <v>0</v>
      </c>
      <c r="CM278" s="132">
        <f t="shared" si="87"/>
        <v>0</v>
      </c>
      <c r="CN278" s="132">
        <f>IF(OR(AND(CN273=0,AG273&lt;&gt;0),AND(CN274=0,AG274&lt;&gt;0),AND(CN275=0,AG275&lt;&gt;0),AND(CN276=0,AG276&lt;&gt;0),AND(CN277=0,AG277&lt;&gt;0)),"NO DEBEN QUEDAR CELDAS EN ROJO",SUM(CN273:CN277))</f>
        <v>40000000</v>
      </c>
      <c r="CO278" s="132">
        <f t="shared" si="87"/>
        <v>0</v>
      </c>
      <c r="CP278" s="132">
        <f t="shared" si="87"/>
        <v>0</v>
      </c>
      <c r="CQ278" s="132">
        <f t="shared" si="87"/>
        <v>0</v>
      </c>
      <c r="CR278" s="132">
        <f t="shared" si="87"/>
        <v>0</v>
      </c>
      <c r="CS278" s="132">
        <f t="shared" si="87"/>
        <v>40000000</v>
      </c>
      <c r="CT278" s="132">
        <f t="shared" si="87"/>
        <v>0</v>
      </c>
      <c r="CU278" s="132">
        <f t="shared" si="87"/>
        <v>0</v>
      </c>
      <c r="CV278" s="132">
        <f t="shared" si="87"/>
        <v>0</v>
      </c>
      <c r="CW278" s="132">
        <f t="shared" si="87"/>
        <v>0</v>
      </c>
      <c r="CX278" s="132">
        <f t="shared" si="87"/>
        <v>0</v>
      </c>
      <c r="CY278" s="132">
        <f t="shared" si="87"/>
        <v>0</v>
      </c>
      <c r="CZ278" s="132">
        <f t="shared" si="87"/>
        <v>0</v>
      </c>
      <c r="DA278" s="132">
        <f t="shared" si="87"/>
        <v>0</v>
      </c>
      <c r="DB278" s="132">
        <f t="shared" si="87"/>
        <v>0</v>
      </c>
      <c r="DC278" s="132">
        <f t="shared" si="87"/>
        <v>0</v>
      </c>
      <c r="DD278" s="132">
        <f>IF(OR(AND(DD273=0,AL273&lt;&gt;0),AND(DD274=0,AL274&lt;&gt;0),AND(DD275=0,AL275&lt;&gt;0),AND(DD276=0,AL276&lt;&gt;0),AND(DD277=0,AL277&lt;&gt;0)),"NO DEBEN QUEDAR CELDAS EN ROJO",SUM(DD273:DD277))</f>
        <v>40000000</v>
      </c>
      <c r="DE278" s="132">
        <f t="shared" si="87"/>
        <v>135000000</v>
      </c>
      <c r="DF278" s="101"/>
    </row>
    <row r="279" spans="1:110" s="98" customFormat="1" ht="137.1" customHeight="1">
      <c r="A279" s="103" t="s">
        <v>1238</v>
      </c>
      <c r="B279" s="103" t="s">
        <v>9</v>
      </c>
      <c r="C279" s="103" t="s">
        <v>1698</v>
      </c>
      <c r="D279" s="103">
        <v>22</v>
      </c>
      <c r="E279" s="103" t="s">
        <v>1022</v>
      </c>
      <c r="F279" s="278" t="s">
        <v>1023</v>
      </c>
      <c r="G279" s="103" t="s">
        <v>3519</v>
      </c>
      <c r="H279" s="103">
        <v>30</v>
      </c>
      <c r="I279" s="103" t="s">
        <v>1024</v>
      </c>
      <c r="J279" s="103" t="s">
        <v>683</v>
      </c>
      <c r="K279" s="103">
        <v>402</v>
      </c>
      <c r="L279" s="103" t="s">
        <v>1025</v>
      </c>
      <c r="M279" s="103" t="s">
        <v>1026</v>
      </c>
      <c r="N279" s="103" t="s">
        <v>1027</v>
      </c>
      <c r="O279" s="103" t="s">
        <v>363</v>
      </c>
      <c r="P279" s="283">
        <v>251</v>
      </c>
      <c r="Q279" s="103" t="s">
        <v>3405</v>
      </c>
      <c r="R279" s="103" t="s">
        <v>1028</v>
      </c>
      <c r="S279" s="103" t="s">
        <v>683</v>
      </c>
      <c r="T279" s="103">
        <v>0</v>
      </c>
      <c r="U279" s="267">
        <v>40</v>
      </c>
      <c r="V279" s="267">
        <v>20</v>
      </c>
      <c r="W279" s="224">
        <v>60</v>
      </c>
      <c r="X279" s="267">
        <v>10</v>
      </c>
      <c r="Y279" s="267">
        <v>20</v>
      </c>
      <c r="Z279" s="267">
        <v>30</v>
      </c>
      <c r="AA279" s="267">
        <v>30</v>
      </c>
      <c r="AB279" s="224">
        <v>90</v>
      </c>
      <c r="AC279" s="267">
        <v>20</v>
      </c>
      <c r="AD279" s="267">
        <v>40</v>
      </c>
      <c r="AE279" s="267">
        <v>40</v>
      </c>
      <c r="AF279" s="267">
        <v>30</v>
      </c>
      <c r="AG279" s="224">
        <v>130</v>
      </c>
      <c r="AH279" s="267">
        <v>20</v>
      </c>
      <c r="AI279" s="267">
        <v>40</v>
      </c>
      <c r="AJ279" s="267">
        <v>50</v>
      </c>
      <c r="AK279" s="267">
        <v>10</v>
      </c>
      <c r="AL279" s="224">
        <v>120</v>
      </c>
      <c r="AM279" s="102">
        <v>400</v>
      </c>
      <c r="AN279" s="103" t="s">
        <v>685</v>
      </c>
      <c r="AO279" s="103" t="s">
        <v>616</v>
      </c>
      <c r="AP279" s="103" t="s">
        <v>1226</v>
      </c>
      <c r="AQ279" s="103" t="s">
        <v>1207</v>
      </c>
      <c r="AR279" s="103" t="s">
        <v>951</v>
      </c>
      <c r="AS279" s="268"/>
      <c r="AT279" s="268"/>
      <c r="AU279" s="268"/>
      <c r="AV279" s="268">
        <v>134000000</v>
      </c>
      <c r="AW279" s="268"/>
      <c r="AX279" s="268"/>
      <c r="AY279" s="268"/>
      <c r="AZ279" s="268"/>
      <c r="BA279" s="268"/>
      <c r="BB279" s="268"/>
      <c r="BC279" s="268"/>
      <c r="BD279" s="268"/>
      <c r="BE279" s="268"/>
      <c r="BF279" s="268"/>
      <c r="BG279" s="268"/>
      <c r="BH279" s="234">
        <f t="shared" ref="BH279:BH291" si="88">IF(W279=0,0,BG279+BF279+BE279+BD279+BC279+BB279+BA279+AZ279+AY279+AX279+AW279+AV279+AU279+AT279+AS279)</f>
        <v>134000000</v>
      </c>
      <c r="BI279" s="268"/>
      <c r="BJ279" s="268"/>
      <c r="BK279" s="268"/>
      <c r="BL279" s="268">
        <v>140715617.71561772</v>
      </c>
      <c r="BM279" s="268"/>
      <c r="BN279" s="268"/>
      <c r="BO279" s="268"/>
      <c r="BP279" s="268"/>
      <c r="BQ279" s="268"/>
      <c r="BR279" s="268"/>
      <c r="BS279" s="268"/>
      <c r="BT279" s="268"/>
      <c r="BU279" s="268"/>
      <c r="BV279" s="268"/>
      <c r="BW279" s="268"/>
      <c r="BX279" s="234">
        <f t="shared" ref="BX279:BX291" si="89">IF(AB279=0,0,BI279+BJ279+BK279+BL279+BM279+BN279+BO279+BP279+BQ279+BR279+BS279+BT279+BU279+BV279+BW279)</f>
        <v>140715617.71561772</v>
      </c>
      <c r="BY279" s="268"/>
      <c r="BZ279" s="268"/>
      <c r="CA279" s="268"/>
      <c r="CB279" s="268">
        <v>153053613.05361307</v>
      </c>
      <c r="CC279" s="268"/>
      <c r="CD279" s="268"/>
      <c r="CE279" s="268"/>
      <c r="CF279" s="268"/>
      <c r="CG279" s="268"/>
      <c r="CH279" s="268"/>
      <c r="CI279" s="268"/>
      <c r="CJ279" s="268"/>
      <c r="CK279" s="268"/>
      <c r="CL279" s="268"/>
      <c r="CM279" s="268"/>
      <c r="CN279" s="234">
        <f t="shared" ref="CN279:CN291" si="90">IF(AG279=0,0,(BY279+BZ279+CA279+CB279+CC279+CD279+CE279+CF279+CG279+CH279+CI279+CJ279+CK279+CL279+CM279))</f>
        <v>153053613.05361307</v>
      </c>
      <c r="CO279" s="268"/>
      <c r="CP279" s="268"/>
      <c r="CQ279" s="268"/>
      <c r="CR279" s="268">
        <v>160706293.7062937</v>
      </c>
      <c r="CS279" s="268"/>
      <c r="CT279" s="268"/>
      <c r="CU279" s="268"/>
      <c r="CV279" s="268"/>
      <c r="CW279" s="268"/>
      <c r="CX279" s="268"/>
      <c r="CY279" s="268"/>
      <c r="CZ279" s="268"/>
      <c r="DA279" s="268"/>
      <c r="DB279" s="268"/>
      <c r="DC279" s="268"/>
      <c r="DD279" s="234">
        <f t="shared" ref="DD279:DD291" si="91">IF(AL279=0,0,(CO279+CP279+CQ279+CR279+CS279+CT279+CU279+CV279+CW279+CX279+CY279+CZ279+DA279+DB279+DC279))</f>
        <v>160706293.7062937</v>
      </c>
      <c r="DE279" s="243">
        <f t="shared" ref="DE279:DE289" si="92">SUM(DD279+CN279+BX279+BH279)</f>
        <v>588475524.47552443</v>
      </c>
    </row>
    <row r="280" spans="1:110" s="98" customFormat="1" ht="137.1" customHeight="1">
      <c r="A280" s="103" t="s">
        <v>1238</v>
      </c>
      <c r="B280" s="279" t="s">
        <v>9</v>
      </c>
      <c r="C280" s="279" t="s">
        <v>1698</v>
      </c>
      <c r="D280" s="279">
        <v>22</v>
      </c>
      <c r="E280" s="279" t="s">
        <v>1022</v>
      </c>
      <c r="F280" s="280" t="s">
        <v>1023</v>
      </c>
      <c r="G280" s="279" t="s">
        <v>3519</v>
      </c>
      <c r="H280" s="279">
        <v>30</v>
      </c>
      <c r="I280" s="279" t="s">
        <v>1024</v>
      </c>
      <c r="J280" s="279" t="s">
        <v>683</v>
      </c>
      <c r="K280" s="279">
        <v>402</v>
      </c>
      <c r="L280" s="279" t="s">
        <v>1025</v>
      </c>
      <c r="M280" s="279" t="s">
        <v>1026</v>
      </c>
      <c r="N280" s="279" t="s">
        <v>1027</v>
      </c>
      <c r="O280" s="279" t="s">
        <v>363</v>
      </c>
      <c r="P280" s="283">
        <v>252</v>
      </c>
      <c r="Q280" s="279" t="s">
        <v>3406</v>
      </c>
      <c r="R280" s="279" t="s">
        <v>1029</v>
      </c>
      <c r="S280" s="279" t="s">
        <v>683</v>
      </c>
      <c r="T280" s="279">
        <v>0</v>
      </c>
      <c r="U280" s="267"/>
      <c r="V280" s="267"/>
      <c r="W280" s="224">
        <v>0</v>
      </c>
      <c r="X280" s="267"/>
      <c r="Y280" s="267">
        <v>5</v>
      </c>
      <c r="Z280" s="267"/>
      <c r="AA280" s="267"/>
      <c r="AB280" s="224">
        <v>5</v>
      </c>
      <c r="AC280" s="267"/>
      <c r="AD280" s="267"/>
      <c r="AE280" s="267"/>
      <c r="AF280" s="267"/>
      <c r="AG280" s="224">
        <v>0</v>
      </c>
      <c r="AH280" s="267"/>
      <c r="AI280" s="267"/>
      <c r="AJ280" s="267"/>
      <c r="AK280" s="267"/>
      <c r="AL280" s="224">
        <v>0</v>
      </c>
      <c r="AM280" s="104">
        <v>5</v>
      </c>
      <c r="AN280" s="103" t="s">
        <v>685</v>
      </c>
      <c r="AO280" s="103" t="s">
        <v>616</v>
      </c>
      <c r="AP280" s="103" t="s">
        <v>1226</v>
      </c>
      <c r="AQ280" s="103" t="s">
        <v>1207</v>
      </c>
      <c r="AR280" s="103" t="s">
        <v>951</v>
      </c>
      <c r="AS280" s="271"/>
      <c r="AT280" s="271"/>
      <c r="AU280" s="271"/>
      <c r="AV280" s="271"/>
      <c r="AW280" s="271"/>
      <c r="AX280" s="271"/>
      <c r="AY280" s="271"/>
      <c r="AZ280" s="271"/>
      <c r="BA280" s="271"/>
      <c r="BB280" s="271"/>
      <c r="BC280" s="271"/>
      <c r="BD280" s="271"/>
      <c r="BE280" s="271"/>
      <c r="BF280" s="271"/>
      <c r="BG280" s="271"/>
      <c r="BH280" s="235">
        <f t="shared" si="88"/>
        <v>0</v>
      </c>
      <c r="BI280" s="271"/>
      <c r="BJ280" s="271"/>
      <c r="BK280" s="271"/>
      <c r="BL280" s="271">
        <v>10000000</v>
      </c>
      <c r="BM280" s="271"/>
      <c r="BN280" s="271"/>
      <c r="BO280" s="271"/>
      <c r="BP280" s="271"/>
      <c r="BQ280" s="271"/>
      <c r="BR280" s="271"/>
      <c r="BS280" s="271"/>
      <c r="BT280" s="271"/>
      <c r="BU280" s="271"/>
      <c r="BV280" s="271"/>
      <c r="BW280" s="271"/>
      <c r="BX280" s="235">
        <f t="shared" si="89"/>
        <v>10000000</v>
      </c>
      <c r="BY280" s="271"/>
      <c r="BZ280" s="271"/>
      <c r="CA280" s="271"/>
      <c r="CB280" s="271"/>
      <c r="CC280" s="271"/>
      <c r="CD280" s="271"/>
      <c r="CE280" s="271"/>
      <c r="CF280" s="271"/>
      <c r="CG280" s="271"/>
      <c r="CH280" s="271"/>
      <c r="CI280" s="271"/>
      <c r="CJ280" s="271"/>
      <c r="CK280" s="271"/>
      <c r="CL280" s="271"/>
      <c r="CM280" s="271"/>
      <c r="CN280" s="235">
        <f t="shared" si="90"/>
        <v>0</v>
      </c>
      <c r="CO280" s="271"/>
      <c r="CP280" s="271"/>
      <c r="CQ280" s="271"/>
      <c r="CR280" s="271"/>
      <c r="CS280" s="271"/>
      <c r="CT280" s="271"/>
      <c r="CU280" s="271"/>
      <c r="CV280" s="271"/>
      <c r="CW280" s="271"/>
      <c r="CX280" s="271"/>
      <c r="CY280" s="271"/>
      <c r="CZ280" s="271"/>
      <c r="DA280" s="271"/>
      <c r="DB280" s="271"/>
      <c r="DC280" s="271"/>
      <c r="DD280" s="234">
        <f t="shared" si="91"/>
        <v>0</v>
      </c>
      <c r="DE280" s="244">
        <f t="shared" si="92"/>
        <v>10000000</v>
      </c>
    </row>
    <row r="281" spans="1:110" s="98" customFormat="1" ht="137.1" customHeight="1">
      <c r="A281" s="103" t="s">
        <v>1238</v>
      </c>
      <c r="B281" s="279" t="s">
        <v>9</v>
      </c>
      <c r="C281" s="279" t="s">
        <v>1698</v>
      </c>
      <c r="D281" s="279">
        <v>22</v>
      </c>
      <c r="E281" s="279" t="s">
        <v>1022</v>
      </c>
      <c r="F281" s="280" t="s">
        <v>1023</v>
      </c>
      <c r="G281" s="279" t="s">
        <v>3519</v>
      </c>
      <c r="H281" s="279">
        <v>30</v>
      </c>
      <c r="I281" s="279" t="s">
        <v>1024</v>
      </c>
      <c r="J281" s="279" t="s">
        <v>683</v>
      </c>
      <c r="K281" s="279">
        <v>402</v>
      </c>
      <c r="L281" s="279" t="s">
        <v>1025</v>
      </c>
      <c r="M281" s="279" t="s">
        <v>1026</v>
      </c>
      <c r="N281" s="279" t="s">
        <v>1027</v>
      </c>
      <c r="O281" s="279" t="s">
        <v>363</v>
      </c>
      <c r="P281" s="283">
        <v>253</v>
      </c>
      <c r="Q281" s="279" t="s">
        <v>3407</v>
      </c>
      <c r="R281" s="279" t="s">
        <v>364</v>
      </c>
      <c r="S281" s="279" t="s">
        <v>683</v>
      </c>
      <c r="T281" s="279">
        <v>1600</v>
      </c>
      <c r="U281" s="267">
        <v>70</v>
      </c>
      <c r="V281" s="267">
        <v>30</v>
      </c>
      <c r="W281" s="224">
        <v>100</v>
      </c>
      <c r="X281" s="267">
        <v>30</v>
      </c>
      <c r="Y281" s="267">
        <v>50</v>
      </c>
      <c r="Z281" s="267">
        <v>150</v>
      </c>
      <c r="AA281" s="267">
        <v>120</v>
      </c>
      <c r="AB281" s="224">
        <v>350</v>
      </c>
      <c r="AC281" s="267">
        <v>40</v>
      </c>
      <c r="AD281" s="267">
        <v>250</v>
      </c>
      <c r="AE281" s="267">
        <v>250</v>
      </c>
      <c r="AF281" s="267">
        <v>200</v>
      </c>
      <c r="AG281" s="224">
        <v>740</v>
      </c>
      <c r="AH281" s="267">
        <v>40</v>
      </c>
      <c r="AI281" s="267">
        <v>170</v>
      </c>
      <c r="AJ281" s="267">
        <v>250</v>
      </c>
      <c r="AK281" s="267">
        <v>150</v>
      </c>
      <c r="AL281" s="224">
        <v>610</v>
      </c>
      <c r="AM281" s="104">
        <v>1800</v>
      </c>
      <c r="AN281" s="103" t="s">
        <v>685</v>
      </c>
      <c r="AO281" s="103" t="s">
        <v>616</v>
      </c>
      <c r="AP281" s="103" t="s">
        <v>1226</v>
      </c>
      <c r="AQ281" s="103" t="s">
        <v>1207</v>
      </c>
      <c r="AR281" s="103" t="s">
        <v>951</v>
      </c>
      <c r="AS281" s="271"/>
      <c r="AT281" s="271"/>
      <c r="AU281" s="271"/>
      <c r="AV281" s="271">
        <v>219000000</v>
      </c>
      <c r="AW281" s="271"/>
      <c r="AX281" s="271"/>
      <c r="AY281" s="271"/>
      <c r="AZ281" s="271"/>
      <c r="BA281" s="271"/>
      <c r="BB281" s="271"/>
      <c r="BC281" s="271"/>
      <c r="BD281" s="271"/>
      <c r="BE281" s="271"/>
      <c r="BF281" s="271"/>
      <c r="BG281" s="271"/>
      <c r="BH281" s="235">
        <f t="shared" si="88"/>
        <v>219000000</v>
      </c>
      <c r="BI281" s="271"/>
      <c r="BJ281" s="271"/>
      <c r="BK281" s="271"/>
      <c r="BL281" s="271">
        <v>219975524.47552449</v>
      </c>
      <c r="BM281" s="271"/>
      <c r="BN281" s="271"/>
      <c r="BO281" s="271"/>
      <c r="BP281" s="271"/>
      <c r="BQ281" s="271"/>
      <c r="BR281" s="271"/>
      <c r="BS281" s="271"/>
      <c r="BT281" s="271"/>
      <c r="BU281" s="271"/>
      <c r="BV281" s="271"/>
      <c r="BW281" s="271"/>
      <c r="BX281" s="235">
        <f t="shared" si="89"/>
        <v>219975524.47552449</v>
      </c>
      <c r="BY281" s="271"/>
      <c r="BZ281" s="271"/>
      <c r="CA281" s="271"/>
      <c r="CB281" s="271">
        <v>239139860.13986012</v>
      </c>
      <c r="CC281" s="271"/>
      <c r="CD281" s="271"/>
      <c r="CE281" s="271"/>
      <c r="CF281" s="271"/>
      <c r="CG281" s="271"/>
      <c r="CH281" s="271"/>
      <c r="CI281" s="271"/>
      <c r="CJ281" s="271"/>
      <c r="CK281" s="271"/>
      <c r="CL281" s="271"/>
      <c r="CM281" s="271"/>
      <c r="CN281" s="235">
        <f t="shared" si="90"/>
        <v>239139860.13986012</v>
      </c>
      <c r="CO281" s="271"/>
      <c r="CP281" s="271"/>
      <c r="CQ281" s="271"/>
      <c r="CR281" s="271">
        <v>252646853.14685315</v>
      </c>
      <c r="CS281" s="271"/>
      <c r="CT281" s="271"/>
      <c r="CU281" s="271"/>
      <c r="CV281" s="271"/>
      <c r="CW281" s="271"/>
      <c r="CX281" s="271"/>
      <c r="CY281" s="271"/>
      <c r="CZ281" s="271"/>
      <c r="DA281" s="271"/>
      <c r="DB281" s="271"/>
      <c r="DC281" s="271"/>
      <c r="DD281" s="234">
        <f t="shared" si="91"/>
        <v>252646853.14685315</v>
      </c>
      <c r="DE281" s="244">
        <f t="shared" si="92"/>
        <v>930762237.76223779</v>
      </c>
    </row>
    <row r="282" spans="1:110" s="98" customFormat="1" ht="137.1" customHeight="1">
      <c r="A282" s="103" t="s">
        <v>1238</v>
      </c>
      <c r="B282" s="279" t="s">
        <v>9</v>
      </c>
      <c r="C282" s="279" t="s">
        <v>1698</v>
      </c>
      <c r="D282" s="279">
        <v>22</v>
      </c>
      <c r="E282" s="279" t="s">
        <v>1022</v>
      </c>
      <c r="F282" s="280" t="s">
        <v>1023</v>
      </c>
      <c r="G282" s="279" t="s">
        <v>3519</v>
      </c>
      <c r="H282" s="279">
        <v>30</v>
      </c>
      <c r="I282" s="279" t="s">
        <v>1024</v>
      </c>
      <c r="J282" s="279" t="s">
        <v>683</v>
      </c>
      <c r="K282" s="279">
        <v>402</v>
      </c>
      <c r="L282" s="279" t="s">
        <v>1025</v>
      </c>
      <c r="M282" s="279" t="s">
        <v>1026</v>
      </c>
      <c r="N282" s="279" t="s">
        <v>1027</v>
      </c>
      <c r="O282" s="279" t="s">
        <v>363</v>
      </c>
      <c r="P282" s="283">
        <v>254</v>
      </c>
      <c r="Q282" s="279" t="s">
        <v>3408</v>
      </c>
      <c r="R282" s="279" t="s">
        <v>365</v>
      </c>
      <c r="S282" s="279" t="s">
        <v>683</v>
      </c>
      <c r="T282" s="279">
        <v>0</v>
      </c>
      <c r="U282" s="267"/>
      <c r="V282" s="267"/>
      <c r="W282" s="224">
        <v>0</v>
      </c>
      <c r="X282" s="267"/>
      <c r="Y282" s="267">
        <v>2</v>
      </c>
      <c r="Z282" s="267"/>
      <c r="AA282" s="267">
        <v>3</v>
      </c>
      <c r="AB282" s="224">
        <v>5</v>
      </c>
      <c r="AC282" s="267"/>
      <c r="AD282" s="267">
        <v>3</v>
      </c>
      <c r="AE282" s="267"/>
      <c r="AF282" s="267">
        <v>3</v>
      </c>
      <c r="AG282" s="224">
        <v>6</v>
      </c>
      <c r="AH282" s="267"/>
      <c r="AI282" s="267">
        <v>3</v>
      </c>
      <c r="AJ282" s="267"/>
      <c r="AK282" s="267">
        <v>2</v>
      </c>
      <c r="AL282" s="224">
        <v>5</v>
      </c>
      <c r="AM282" s="104">
        <v>16</v>
      </c>
      <c r="AN282" s="103" t="s">
        <v>685</v>
      </c>
      <c r="AO282" s="103" t="s">
        <v>616</v>
      </c>
      <c r="AP282" s="103" t="s">
        <v>1226</v>
      </c>
      <c r="AQ282" s="103" t="s">
        <v>1207</v>
      </c>
      <c r="AR282" s="103" t="s">
        <v>951</v>
      </c>
      <c r="AS282" s="271"/>
      <c r="AT282" s="271"/>
      <c r="AU282" s="271"/>
      <c r="AV282" s="271"/>
      <c r="AW282" s="271"/>
      <c r="AX282" s="271"/>
      <c r="AY282" s="271"/>
      <c r="AZ282" s="271"/>
      <c r="BA282" s="271"/>
      <c r="BB282" s="271"/>
      <c r="BC282" s="271"/>
      <c r="BD282" s="271"/>
      <c r="BE282" s="271"/>
      <c r="BF282" s="271"/>
      <c r="BG282" s="271"/>
      <c r="BH282" s="235">
        <f t="shared" si="88"/>
        <v>0</v>
      </c>
      <c r="BI282" s="271"/>
      <c r="BJ282" s="271"/>
      <c r="BK282" s="271"/>
      <c r="BL282" s="271">
        <v>10000000</v>
      </c>
      <c r="BM282" s="271"/>
      <c r="BN282" s="271"/>
      <c r="BO282" s="271"/>
      <c r="BP282" s="271"/>
      <c r="BQ282" s="271"/>
      <c r="BR282" s="271"/>
      <c r="BS282" s="271"/>
      <c r="BT282" s="271"/>
      <c r="BU282" s="271"/>
      <c r="BV282" s="271"/>
      <c r="BW282" s="271"/>
      <c r="BX282" s="235">
        <f t="shared" si="89"/>
        <v>10000000</v>
      </c>
      <c r="BY282" s="271"/>
      <c r="BZ282" s="271"/>
      <c r="CA282" s="271"/>
      <c r="CB282" s="271">
        <v>11000000</v>
      </c>
      <c r="CC282" s="271"/>
      <c r="CD282" s="271"/>
      <c r="CE282" s="271"/>
      <c r="CF282" s="271"/>
      <c r="CG282" s="271"/>
      <c r="CH282" s="271"/>
      <c r="CI282" s="271"/>
      <c r="CJ282" s="271"/>
      <c r="CK282" s="271"/>
      <c r="CL282" s="271"/>
      <c r="CM282" s="271"/>
      <c r="CN282" s="235">
        <f t="shared" si="90"/>
        <v>11000000</v>
      </c>
      <c r="CO282" s="271"/>
      <c r="CP282" s="271"/>
      <c r="CQ282" s="271"/>
      <c r="CR282" s="271">
        <v>10000000</v>
      </c>
      <c r="CS282" s="271"/>
      <c r="CT282" s="271"/>
      <c r="CU282" s="271"/>
      <c r="CV282" s="271"/>
      <c r="CW282" s="271"/>
      <c r="CX282" s="271"/>
      <c r="CY282" s="271"/>
      <c r="CZ282" s="271"/>
      <c r="DA282" s="271"/>
      <c r="DB282" s="271"/>
      <c r="DC282" s="271"/>
      <c r="DD282" s="234">
        <f t="shared" si="91"/>
        <v>10000000</v>
      </c>
      <c r="DE282" s="244">
        <f t="shared" si="92"/>
        <v>31000000</v>
      </c>
    </row>
    <row r="283" spans="1:110" s="98" customFormat="1" ht="137.1" customHeight="1">
      <c r="A283" s="103" t="s">
        <v>1238</v>
      </c>
      <c r="B283" s="279" t="s">
        <v>9</v>
      </c>
      <c r="C283" s="279" t="s">
        <v>1698</v>
      </c>
      <c r="D283" s="279">
        <v>22</v>
      </c>
      <c r="E283" s="279" t="s">
        <v>1022</v>
      </c>
      <c r="F283" s="280" t="s">
        <v>1023</v>
      </c>
      <c r="G283" s="279" t="s">
        <v>3519</v>
      </c>
      <c r="H283" s="279">
        <v>30</v>
      </c>
      <c r="I283" s="279" t="s">
        <v>1024</v>
      </c>
      <c r="J283" s="279" t="s">
        <v>683</v>
      </c>
      <c r="K283" s="279">
        <v>402</v>
      </c>
      <c r="L283" s="279" t="s">
        <v>1025</v>
      </c>
      <c r="M283" s="279" t="s">
        <v>1030</v>
      </c>
      <c r="N283" s="279" t="s">
        <v>1031</v>
      </c>
      <c r="O283" s="279" t="s">
        <v>366</v>
      </c>
      <c r="P283" s="283">
        <v>255</v>
      </c>
      <c r="Q283" s="279" t="s">
        <v>2847</v>
      </c>
      <c r="R283" s="279" t="s">
        <v>367</v>
      </c>
      <c r="S283" s="279" t="s">
        <v>683</v>
      </c>
      <c r="T283" s="279">
        <v>0</v>
      </c>
      <c r="U283" s="267"/>
      <c r="V283" s="267"/>
      <c r="W283" s="224">
        <v>0</v>
      </c>
      <c r="X283" s="267"/>
      <c r="Y283" s="267">
        <v>3</v>
      </c>
      <c r="Z283" s="267">
        <v>3</v>
      </c>
      <c r="AA283" s="267">
        <v>2</v>
      </c>
      <c r="AB283" s="224">
        <v>8</v>
      </c>
      <c r="AC283" s="267"/>
      <c r="AD283" s="267">
        <v>3</v>
      </c>
      <c r="AE283" s="267">
        <v>3</v>
      </c>
      <c r="AF283" s="267">
        <v>2</v>
      </c>
      <c r="AG283" s="224">
        <v>8</v>
      </c>
      <c r="AH283" s="267"/>
      <c r="AI283" s="267">
        <v>3</v>
      </c>
      <c r="AJ283" s="267">
        <v>3</v>
      </c>
      <c r="AK283" s="267">
        <v>2</v>
      </c>
      <c r="AL283" s="224">
        <v>8</v>
      </c>
      <c r="AM283" s="104">
        <v>24</v>
      </c>
      <c r="AN283" s="103" t="s">
        <v>685</v>
      </c>
      <c r="AO283" s="103" t="s">
        <v>616</v>
      </c>
      <c r="AP283" s="103" t="s">
        <v>1226</v>
      </c>
      <c r="AQ283" s="103" t="s">
        <v>1207</v>
      </c>
      <c r="AR283" s="103" t="s">
        <v>951</v>
      </c>
      <c r="AS283" s="271"/>
      <c r="AT283" s="271"/>
      <c r="AU283" s="271"/>
      <c r="AV283" s="271"/>
      <c r="AW283" s="271"/>
      <c r="AX283" s="271"/>
      <c r="AY283" s="271"/>
      <c r="AZ283" s="271"/>
      <c r="BA283" s="271"/>
      <c r="BB283" s="271"/>
      <c r="BC283" s="271"/>
      <c r="BD283" s="271"/>
      <c r="BE283" s="271"/>
      <c r="BF283" s="271"/>
      <c r="BG283" s="271"/>
      <c r="BH283" s="235">
        <f t="shared" si="88"/>
        <v>0</v>
      </c>
      <c r="BI283" s="271"/>
      <c r="BJ283" s="271"/>
      <c r="BK283" s="271"/>
      <c r="BL283" s="271">
        <v>15000000</v>
      </c>
      <c r="BM283" s="271"/>
      <c r="BN283" s="271"/>
      <c r="BO283" s="271"/>
      <c r="BP283" s="271"/>
      <c r="BQ283" s="271"/>
      <c r="BR283" s="271"/>
      <c r="BS283" s="271"/>
      <c r="BT283" s="271"/>
      <c r="BU283" s="271"/>
      <c r="BV283" s="271"/>
      <c r="BW283" s="271"/>
      <c r="BX283" s="235">
        <f t="shared" si="89"/>
        <v>15000000</v>
      </c>
      <c r="BY283" s="271"/>
      <c r="BZ283" s="271"/>
      <c r="CA283" s="271"/>
      <c r="CB283" s="271">
        <v>15000000</v>
      </c>
      <c r="CC283" s="271"/>
      <c r="CD283" s="271"/>
      <c r="CE283" s="271"/>
      <c r="CF283" s="271"/>
      <c r="CG283" s="271"/>
      <c r="CH283" s="271"/>
      <c r="CI283" s="271"/>
      <c r="CJ283" s="271"/>
      <c r="CK283" s="271"/>
      <c r="CL283" s="271"/>
      <c r="CM283" s="271"/>
      <c r="CN283" s="235">
        <f t="shared" si="90"/>
        <v>15000000</v>
      </c>
      <c r="CO283" s="271"/>
      <c r="CP283" s="271"/>
      <c r="CQ283" s="271"/>
      <c r="CR283" s="271">
        <v>15000000</v>
      </c>
      <c r="CS283" s="271"/>
      <c r="CT283" s="271"/>
      <c r="CU283" s="271"/>
      <c r="CV283" s="271"/>
      <c r="CW283" s="271"/>
      <c r="CX283" s="271"/>
      <c r="CY283" s="271"/>
      <c r="CZ283" s="271"/>
      <c r="DA283" s="271"/>
      <c r="DB283" s="271"/>
      <c r="DC283" s="271"/>
      <c r="DD283" s="234">
        <f t="shared" si="91"/>
        <v>15000000</v>
      </c>
      <c r="DE283" s="244">
        <f t="shared" si="92"/>
        <v>45000000</v>
      </c>
    </row>
    <row r="284" spans="1:110" s="98" customFormat="1" ht="137.1" customHeight="1">
      <c r="A284" s="103" t="s">
        <v>1238</v>
      </c>
      <c r="B284" s="279" t="s">
        <v>9</v>
      </c>
      <c r="C284" s="279" t="s">
        <v>1698</v>
      </c>
      <c r="D284" s="279">
        <v>22</v>
      </c>
      <c r="E284" s="279" t="s">
        <v>1022</v>
      </c>
      <c r="F284" s="280" t="s">
        <v>1023</v>
      </c>
      <c r="G284" s="279" t="s">
        <v>3519</v>
      </c>
      <c r="H284" s="279">
        <v>30</v>
      </c>
      <c r="I284" s="279" t="s">
        <v>1024</v>
      </c>
      <c r="J284" s="279" t="s">
        <v>683</v>
      </c>
      <c r="K284" s="279">
        <v>402</v>
      </c>
      <c r="L284" s="279" t="s">
        <v>1025</v>
      </c>
      <c r="M284" s="279" t="s">
        <v>1030</v>
      </c>
      <c r="N284" s="279" t="s">
        <v>1031</v>
      </c>
      <c r="O284" s="279" t="s">
        <v>366</v>
      </c>
      <c r="P284" s="283">
        <v>256</v>
      </c>
      <c r="Q284" s="279" t="s">
        <v>3409</v>
      </c>
      <c r="R284" s="279" t="s">
        <v>368</v>
      </c>
      <c r="S284" s="279" t="s">
        <v>683</v>
      </c>
      <c r="T284" s="279">
        <v>0</v>
      </c>
      <c r="U284" s="267"/>
      <c r="V284" s="267">
        <v>1</v>
      </c>
      <c r="W284" s="224">
        <v>1</v>
      </c>
      <c r="X284" s="267"/>
      <c r="Y284" s="267"/>
      <c r="Z284" s="267"/>
      <c r="AA284" s="267">
        <v>1</v>
      </c>
      <c r="AB284" s="224">
        <v>1</v>
      </c>
      <c r="AC284" s="267"/>
      <c r="AD284" s="267"/>
      <c r="AE284" s="267"/>
      <c r="AF284" s="267">
        <v>1</v>
      </c>
      <c r="AG284" s="224">
        <v>1</v>
      </c>
      <c r="AH284" s="267"/>
      <c r="AI284" s="267"/>
      <c r="AJ284" s="267"/>
      <c r="AK284" s="267">
        <v>1</v>
      </c>
      <c r="AL284" s="224">
        <v>1</v>
      </c>
      <c r="AM284" s="104">
        <v>4</v>
      </c>
      <c r="AN284" s="103" t="s">
        <v>685</v>
      </c>
      <c r="AO284" s="103" t="s">
        <v>616</v>
      </c>
      <c r="AP284" s="103" t="s">
        <v>1226</v>
      </c>
      <c r="AQ284" s="103" t="s">
        <v>1207</v>
      </c>
      <c r="AR284" s="103" t="s">
        <v>951</v>
      </c>
      <c r="AS284" s="271"/>
      <c r="AT284" s="271"/>
      <c r="AU284" s="271"/>
      <c r="AV284" s="271">
        <v>20000000</v>
      </c>
      <c r="AW284" s="271"/>
      <c r="AX284" s="271"/>
      <c r="AY284" s="271"/>
      <c r="AZ284" s="271"/>
      <c r="BA284" s="271"/>
      <c r="BB284" s="271"/>
      <c r="BC284" s="271"/>
      <c r="BD284" s="271"/>
      <c r="BE284" s="271"/>
      <c r="BF284" s="271"/>
      <c r="BG284" s="271"/>
      <c r="BH284" s="235">
        <f t="shared" si="88"/>
        <v>20000000</v>
      </c>
      <c r="BI284" s="271"/>
      <c r="BJ284" s="271"/>
      <c r="BK284" s="271"/>
      <c r="BL284" s="271">
        <v>11000000</v>
      </c>
      <c r="BM284" s="271"/>
      <c r="BN284" s="271"/>
      <c r="BO284" s="271"/>
      <c r="BP284" s="271"/>
      <c r="BQ284" s="271"/>
      <c r="BR284" s="271"/>
      <c r="BS284" s="271"/>
      <c r="BT284" s="271"/>
      <c r="BU284" s="271"/>
      <c r="BV284" s="271"/>
      <c r="BW284" s="271"/>
      <c r="BX284" s="235">
        <f t="shared" si="89"/>
        <v>11000000</v>
      </c>
      <c r="BY284" s="271"/>
      <c r="BZ284" s="271"/>
      <c r="CA284" s="271"/>
      <c r="CB284" s="271">
        <v>22843822.843822848</v>
      </c>
      <c r="CC284" s="271"/>
      <c r="CD284" s="271"/>
      <c r="CE284" s="271"/>
      <c r="CF284" s="271"/>
      <c r="CG284" s="271"/>
      <c r="CH284" s="271"/>
      <c r="CI284" s="271"/>
      <c r="CJ284" s="271"/>
      <c r="CK284" s="271"/>
      <c r="CL284" s="271"/>
      <c r="CM284" s="271"/>
      <c r="CN284" s="235">
        <f t="shared" si="90"/>
        <v>22843822.843822848</v>
      </c>
      <c r="CO284" s="271"/>
      <c r="CP284" s="271"/>
      <c r="CQ284" s="271"/>
      <c r="CR284" s="271">
        <v>23986013.98601399</v>
      </c>
      <c r="CS284" s="271"/>
      <c r="CT284" s="271"/>
      <c r="CU284" s="271"/>
      <c r="CV284" s="271"/>
      <c r="CW284" s="271"/>
      <c r="CX284" s="271"/>
      <c r="CY284" s="271"/>
      <c r="CZ284" s="271"/>
      <c r="DA284" s="271"/>
      <c r="DB284" s="271"/>
      <c r="DC284" s="271"/>
      <c r="DD284" s="234">
        <f t="shared" si="91"/>
        <v>23986013.98601399</v>
      </c>
      <c r="DE284" s="244">
        <f t="shared" si="92"/>
        <v>77829836.829836845</v>
      </c>
    </row>
    <row r="285" spans="1:110" s="98" customFormat="1" ht="137.1" customHeight="1">
      <c r="A285" s="103" t="s">
        <v>1238</v>
      </c>
      <c r="B285" s="279" t="s">
        <v>9</v>
      </c>
      <c r="C285" s="279" t="s">
        <v>1698</v>
      </c>
      <c r="D285" s="279">
        <v>22</v>
      </c>
      <c r="E285" s="279" t="s">
        <v>1022</v>
      </c>
      <c r="F285" s="280" t="s">
        <v>1023</v>
      </c>
      <c r="G285" s="279" t="s">
        <v>3519</v>
      </c>
      <c r="H285" s="279">
        <v>30</v>
      </c>
      <c r="I285" s="279" t="s">
        <v>1024</v>
      </c>
      <c r="J285" s="279" t="s">
        <v>683</v>
      </c>
      <c r="K285" s="279">
        <v>402</v>
      </c>
      <c r="L285" s="279" t="s">
        <v>1025</v>
      </c>
      <c r="M285" s="279" t="s">
        <v>1030</v>
      </c>
      <c r="N285" s="279" t="s">
        <v>1031</v>
      </c>
      <c r="O285" s="279" t="s">
        <v>366</v>
      </c>
      <c r="P285" s="283">
        <v>257</v>
      </c>
      <c r="Q285" s="279" t="s">
        <v>3410</v>
      </c>
      <c r="R285" s="279" t="s">
        <v>1032</v>
      </c>
      <c r="S285" s="279" t="s">
        <v>683</v>
      </c>
      <c r="T285" s="279">
        <v>0</v>
      </c>
      <c r="U285" s="267"/>
      <c r="V285" s="267"/>
      <c r="W285" s="224">
        <v>0</v>
      </c>
      <c r="X285" s="267"/>
      <c r="Y285" s="267"/>
      <c r="Z285" s="267">
        <v>30</v>
      </c>
      <c r="AA285" s="267">
        <v>31</v>
      </c>
      <c r="AB285" s="224">
        <v>61</v>
      </c>
      <c r="AC285" s="267"/>
      <c r="AD285" s="267">
        <v>31</v>
      </c>
      <c r="AE285" s="267">
        <v>31</v>
      </c>
      <c r="AF285" s="267"/>
      <c r="AG285" s="224">
        <v>62</v>
      </c>
      <c r="AH285" s="267"/>
      <c r="AI285" s="267"/>
      <c r="AJ285" s="267"/>
      <c r="AK285" s="267"/>
      <c r="AL285" s="224">
        <v>0</v>
      </c>
      <c r="AM285" s="104">
        <v>123</v>
      </c>
      <c r="AN285" s="103" t="s">
        <v>685</v>
      </c>
      <c r="AO285" s="103" t="s">
        <v>616</v>
      </c>
      <c r="AP285" s="103" t="s">
        <v>1226</v>
      </c>
      <c r="AQ285" s="103" t="s">
        <v>1207</v>
      </c>
      <c r="AR285" s="103" t="s">
        <v>951</v>
      </c>
      <c r="AS285" s="271"/>
      <c r="AT285" s="271"/>
      <c r="AU285" s="271"/>
      <c r="AV285" s="271"/>
      <c r="AW285" s="271"/>
      <c r="AX285" s="271"/>
      <c r="AY285" s="271"/>
      <c r="AZ285" s="271"/>
      <c r="BA285" s="271"/>
      <c r="BB285" s="271"/>
      <c r="BC285" s="271"/>
      <c r="BD285" s="271"/>
      <c r="BE285" s="271"/>
      <c r="BF285" s="271"/>
      <c r="BG285" s="271"/>
      <c r="BH285" s="235">
        <f t="shared" si="88"/>
        <v>0</v>
      </c>
      <c r="BI285" s="271"/>
      <c r="BJ285" s="271"/>
      <c r="BK285" s="271"/>
      <c r="BL285" s="271">
        <v>11000000</v>
      </c>
      <c r="BM285" s="271"/>
      <c r="BN285" s="271"/>
      <c r="BO285" s="271"/>
      <c r="BP285" s="271"/>
      <c r="BQ285" s="271"/>
      <c r="BR285" s="271"/>
      <c r="BS285" s="271"/>
      <c r="BT285" s="271"/>
      <c r="BU285" s="271"/>
      <c r="BV285" s="271"/>
      <c r="BW285" s="271"/>
      <c r="BX285" s="235">
        <f t="shared" si="89"/>
        <v>11000000</v>
      </c>
      <c r="BY285" s="271"/>
      <c r="BZ285" s="271"/>
      <c r="CA285" s="271"/>
      <c r="CB285" s="271">
        <v>11000000</v>
      </c>
      <c r="CC285" s="271"/>
      <c r="CD285" s="271"/>
      <c r="CE285" s="271"/>
      <c r="CF285" s="271"/>
      <c r="CG285" s="271"/>
      <c r="CH285" s="271"/>
      <c r="CI285" s="271"/>
      <c r="CJ285" s="271"/>
      <c r="CK285" s="271"/>
      <c r="CL285" s="271"/>
      <c r="CM285" s="271"/>
      <c r="CN285" s="235">
        <f t="shared" si="90"/>
        <v>11000000</v>
      </c>
      <c r="CO285" s="271"/>
      <c r="CP285" s="271"/>
      <c r="CQ285" s="271"/>
      <c r="CR285" s="271"/>
      <c r="CS285" s="271"/>
      <c r="CT285" s="271"/>
      <c r="CU285" s="271"/>
      <c r="CV285" s="271"/>
      <c r="CW285" s="271"/>
      <c r="CX285" s="271"/>
      <c r="CY285" s="271"/>
      <c r="CZ285" s="271"/>
      <c r="DA285" s="271"/>
      <c r="DB285" s="271"/>
      <c r="DC285" s="271"/>
      <c r="DD285" s="234">
        <f t="shared" si="91"/>
        <v>0</v>
      </c>
      <c r="DE285" s="244">
        <f t="shared" si="92"/>
        <v>22000000</v>
      </c>
    </row>
    <row r="286" spans="1:110" s="98" customFormat="1" ht="137.1" customHeight="1">
      <c r="A286" s="103" t="s">
        <v>1238</v>
      </c>
      <c r="B286" s="279" t="s">
        <v>9</v>
      </c>
      <c r="C286" s="279" t="s">
        <v>1698</v>
      </c>
      <c r="D286" s="279">
        <v>22</v>
      </c>
      <c r="E286" s="279" t="s">
        <v>1022</v>
      </c>
      <c r="F286" s="280" t="s">
        <v>1023</v>
      </c>
      <c r="G286" s="279" t="s">
        <v>3519</v>
      </c>
      <c r="H286" s="279">
        <v>30</v>
      </c>
      <c r="I286" s="279" t="s">
        <v>1024</v>
      </c>
      <c r="J286" s="279" t="s">
        <v>683</v>
      </c>
      <c r="K286" s="279">
        <v>402</v>
      </c>
      <c r="L286" s="279" t="s">
        <v>1025</v>
      </c>
      <c r="M286" s="279" t="s">
        <v>1030</v>
      </c>
      <c r="N286" s="279" t="s">
        <v>1031</v>
      </c>
      <c r="O286" s="279" t="s">
        <v>366</v>
      </c>
      <c r="P286" s="283">
        <v>258</v>
      </c>
      <c r="Q286" s="279" t="s">
        <v>3520</v>
      </c>
      <c r="R286" s="279" t="s">
        <v>1033</v>
      </c>
      <c r="S286" s="279" t="s">
        <v>683</v>
      </c>
      <c r="T286" s="279">
        <v>0</v>
      </c>
      <c r="U286" s="267"/>
      <c r="V286" s="267"/>
      <c r="W286" s="224">
        <v>0</v>
      </c>
      <c r="X286" s="267"/>
      <c r="Y286" s="267">
        <v>1</v>
      </c>
      <c r="Z286" s="267"/>
      <c r="AA286" s="267"/>
      <c r="AB286" s="224">
        <v>1</v>
      </c>
      <c r="AC286" s="267"/>
      <c r="AD286" s="267">
        <v>1</v>
      </c>
      <c r="AE286" s="267"/>
      <c r="AF286" s="267"/>
      <c r="AG286" s="224">
        <v>1</v>
      </c>
      <c r="AH286" s="267"/>
      <c r="AI286" s="267"/>
      <c r="AJ286" s="267"/>
      <c r="AK286" s="267"/>
      <c r="AL286" s="224">
        <v>0</v>
      </c>
      <c r="AM286" s="104">
        <v>2</v>
      </c>
      <c r="AN286" s="103" t="s">
        <v>685</v>
      </c>
      <c r="AO286" s="103" t="s">
        <v>616</v>
      </c>
      <c r="AP286" s="103" t="s">
        <v>1226</v>
      </c>
      <c r="AQ286" s="103" t="s">
        <v>1207</v>
      </c>
      <c r="AR286" s="103" t="s">
        <v>951</v>
      </c>
      <c r="AS286" s="271"/>
      <c r="AT286" s="271"/>
      <c r="AU286" s="271"/>
      <c r="AV286" s="271"/>
      <c r="AW286" s="271"/>
      <c r="AX286" s="271"/>
      <c r="AY286" s="271"/>
      <c r="AZ286" s="271"/>
      <c r="BA286" s="271"/>
      <c r="BB286" s="271"/>
      <c r="BC286" s="271"/>
      <c r="BD286" s="271"/>
      <c r="BE286" s="271"/>
      <c r="BF286" s="271"/>
      <c r="BG286" s="271"/>
      <c r="BH286" s="235">
        <f t="shared" si="88"/>
        <v>0</v>
      </c>
      <c r="BI286" s="271"/>
      <c r="BJ286" s="271"/>
      <c r="BK286" s="271"/>
      <c r="BL286" s="271">
        <v>500000</v>
      </c>
      <c r="BM286" s="271"/>
      <c r="BN286" s="271"/>
      <c r="BO286" s="271"/>
      <c r="BP286" s="271"/>
      <c r="BQ286" s="271"/>
      <c r="BR286" s="271"/>
      <c r="BS286" s="271"/>
      <c r="BT286" s="271"/>
      <c r="BU286" s="271"/>
      <c r="BV286" s="271"/>
      <c r="BW286" s="271"/>
      <c r="BX286" s="235">
        <f t="shared" si="89"/>
        <v>500000</v>
      </c>
      <c r="BY286" s="271"/>
      <c r="BZ286" s="271"/>
      <c r="CA286" s="271"/>
      <c r="CB286" s="271">
        <v>500000</v>
      </c>
      <c r="CC286" s="271"/>
      <c r="CD286" s="271"/>
      <c r="CE286" s="271"/>
      <c r="CF286" s="271"/>
      <c r="CG286" s="271"/>
      <c r="CH286" s="271"/>
      <c r="CI286" s="271"/>
      <c r="CJ286" s="271"/>
      <c r="CK286" s="271"/>
      <c r="CL286" s="271"/>
      <c r="CM286" s="271"/>
      <c r="CN286" s="235">
        <f t="shared" si="90"/>
        <v>500000</v>
      </c>
      <c r="CO286" s="271"/>
      <c r="CP286" s="271"/>
      <c r="CQ286" s="271"/>
      <c r="CR286" s="271"/>
      <c r="CS286" s="271"/>
      <c r="CT286" s="271"/>
      <c r="CU286" s="271"/>
      <c r="CV286" s="271"/>
      <c r="CW286" s="271"/>
      <c r="CX286" s="271"/>
      <c r="CY286" s="271"/>
      <c r="CZ286" s="271"/>
      <c r="DA286" s="271"/>
      <c r="DB286" s="271"/>
      <c r="DC286" s="271"/>
      <c r="DD286" s="234">
        <f t="shared" si="91"/>
        <v>0</v>
      </c>
      <c r="DE286" s="244">
        <f t="shared" si="92"/>
        <v>1000000</v>
      </c>
    </row>
    <row r="287" spans="1:110" s="98" customFormat="1" ht="137.1" customHeight="1">
      <c r="A287" s="103" t="s">
        <v>1238</v>
      </c>
      <c r="B287" s="279" t="s">
        <v>9</v>
      </c>
      <c r="C287" s="279" t="s">
        <v>1698</v>
      </c>
      <c r="D287" s="279">
        <v>22</v>
      </c>
      <c r="E287" s="279" t="s">
        <v>1022</v>
      </c>
      <c r="F287" s="280" t="s">
        <v>1023</v>
      </c>
      <c r="G287" s="279" t="s">
        <v>3519</v>
      </c>
      <c r="H287" s="279">
        <v>30</v>
      </c>
      <c r="I287" s="279" t="s">
        <v>1024</v>
      </c>
      <c r="J287" s="279" t="s">
        <v>683</v>
      </c>
      <c r="K287" s="279">
        <v>402</v>
      </c>
      <c r="L287" s="279" t="s">
        <v>1025</v>
      </c>
      <c r="M287" s="279" t="s">
        <v>1034</v>
      </c>
      <c r="N287" s="279" t="s">
        <v>1035</v>
      </c>
      <c r="O287" s="279" t="s">
        <v>1036</v>
      </c>
      <c r="P287" s="283">
        <v>259</v>
      </c>
      <c r="Q287" s="279" t="s">
        <v>3411</v>
      </c>
      <c r="R287" s="279" t="s">
        <v>1037</v>
      </c>
      <c r="S287" s="279" t="s">
        <v>677</v>
      </c>
      <c r="T287" s="279">
        <v>100</v>
      </c>
      <c r="U287" s="267">
        <v>100</v>
      </c>
      <c r="V287" s="267">
        <v>100</v>
      </c>
      <c r="W287" s="224">
        <v>100</v>
      </c>
      <c r="X287" s="267">
        <v>100</v>
      </c>
      <c r="Y287" s="267">
        <v>100</v>
      </c>
      <c r="Z287" s="267">
        <v>100</v>
      </c>
      <c r="AA287" s="267">
        <v>100</v>
      </c>
      <c r="AB287" s="224">
        <v>100</v>
      </c>
      <c r="AC287" s="267">
        <v>100</v>
      </c>
      <c r="AD287" s="267">
        <v>100</v>
      </c>
      <c r="AE287" s="267">
        <v>100</v>
      </c>
      <c r="AF287" s="267">
        <v>100</v>
      </c>
      <c r="AG287" s="224">
        <v>100</v>
      </c>
      <c r="AH287" s="267">
        <v>100</v>
      </c>
      <c r="AI287" s="267">
        <v>100</v>
      </c>
      <c r="AJ287" s="267">
        <v>100</v>
      </c>
      <c r="AK287" s="267">
        <v>100</v>
      </c>
      <c r="AL287" s="224">
        <v>100</v>
      </c>
      <c r="AM287" s="104">
        <v>100</v>
      </c>
      <c r="AN287" s="103" t="s">
        <v>686</v>
      </c>
      <c r="AO287" s="103" t="s">
        <v>616</v>
      </c>
      <c r="AP287" s="103" t="s">
        <v>1226</v>
      </c>
      <c r="AQ287" s="103" t="s">
        <v>1207</v>
      </c>
      <c r="AR287" s="103" t="s">
        <v>951</v>
      </c>
      <c r="AS287" s="271"/>
      <c r="AT287" s="271"/>
      <c r="AU287" s="271"/>
      <c r="AV287" s="271">
        <v>25000000</v>
      </c>
      <c r="AW287" s="271"/>
      <c r="AX287" s="271"/>
      <c r="AY287" s="271"/>
      <c r="AZ287" s="271"/>
      <c r="BA287" s="271"/>
      <c r="BB287" s="271"/>
      <c r="BC287" s="271"/>
      <c r="BD287" s="271"/>
      <c r="BE287" s="271"/>
      <c r="BF287" s="271"/>
      <c r="BG287" s="271"/>
      <c r="BH287" s="235">
        <f t="shared" si="88"/>
        <v>25000000</v>
      </c>
      <c r="BI287" s="271"/>
      <c r="BJ287" s="271"/>
      <c r="BK287" s="271"/>
      <c r="BL287" s="271">
        <v>752913.75291375816</v>
      </c>
      <c r="BM287" s="271"/>
      <c r="BN287" s="271"/>
      <c r="BO287" s="271"/>
      <c r="BP287" s="271"/>
      <c r="BQ287" s="271"/>
      <c r="BR287" s="271"/>
      <c r="BS287" s="271"/>
      <c r="BT287" s="271"/>
      <c r="BU287" s="271"/>
      <c r="BV287" s="271"/>
      <c r="BW287" s="271"/>
      <c r="BX287" s="235">
        <f t="shared" si="89"/>
        <v>752913.75291375816</v>
      </c>
      <c r="BY287" s="271"/>
      <c r="BZ287" s="271"/>
      <c r="CA287" s="271"/>
      <c r="CB287" s="271">
        <v>3054778.5547785573</v>
      </c>
      <c r="CC287" s="271"/>
      <c r="CD287" s="271"/>
      <c r="CE287" s="271"/>
      <c r="CF287" s="271"/>
      <c r="CG287" s="271"/>
      <c r="CH287" s="271"/>
      <c r="CI287" s="271"/>
      <c r="CJ287" s="271"/>
      <c r="CK287" s="271"/>
      <c r="CL287" s="271"/>
      <c r="CM287" s="271"/>
      <c r="CN287" s="235">
        <f t="shared" si="90"/>
        <v>3054778.5547785573</v>
      </c>
      <c r="CO287" s="271"/>
      <c r="CP287" s="271"/>
      <c r="CQ287" s="271"/>
      <c r="CR287" s="271">
        <v>14982517.482517485</v>
      </c>
      <c r="CS287" s="271"/>
      <c r="CT287" s="271"/>
      <c r="CU287" s="271"/>
      <c r="CV287" s="271"/>
      <c r="CW287" s="271"/>
      <c r="CX287" s="271"/>
      <c r="CY287" s="271"/>
      <c r="CZ287" s="271"/>
      <c r="DA287" s="271"/>
      <c r="DB287" s="271"/>
      <c r="DC287" s="271"/>
      <c r="DD287" s="234">
        <f t="shared" si="91"/>
        <v>14982517.482517485</v>
      </c>
      <c r="DE287" s="244">
        <f t="shared" si="92"/>
        <v>43790209.7902098</v>
      </c>
    </row>
    <row r="288" spans="1:110" s="98" customFormat="1" ht="137.1" customHeight="1">
      <c r="A288" s="103" t="s">
        <v>1238</v>
      </c>
      <c r="B288" s="279" t="s">
        <v>9</v>
      </c>
      <c r="C288" s="279" t="s">
        <v>1698</v>
      </c>
      <c r="D288" s="279">
        <v>22</v>
      </c>
      <c r="E288" s="279" t="s">
        <v>1022</v>
      </c>
      <c r="F288" s="280" t="s">
        <v>1023</v>
      </c>
      <c r="G288" s="279" t="s">
        <v>3519</v>
      </c>
      <c r="H288" s="279">
        <v>30</v>
      </c>
      <c r="I288" s="279" t="s">
        <v>1024</v>
      </c>
      <c r="J288" s="279" t="s">
        <v>683</v>
      </c>
      <c r="K288" s="279">
        <v>402</v>
      </c>
      <c r="L288" s="279" t="s">
        <v>1025</v>
      </c>
      <c r="M288" s="279" t="s">
        <v>1034</v>
      </c>
      <c r="N288" s="279" t="s">
        <v>1035</v>
      </c>
      <c r="O288" s="279" t="s">
        <v>1036</v>
      </c>
      <c r="P288" s="283">
        <v>260</v>
      </c>
      <c r="Q288" s="279" t="s">
        <v>2848</v>
      </c>
      <c r="R288" s="279" t="s">
        <v>1038</v>
      </c>
      <c r="S288" s="279" t="s">
        <v>683</v>
      </c>
      <c r="T288" s="279">
        <v>0</v>
      </c>
      <c r="U288" s="267"/>
      <c r="V288" s="267">
        <v>1</v>
      </c>
      <c r="W288" s="224">
        <v>1</v>
      </c>
      <c r="X288" s="267"/>
      <c r="Y288" s="267">
        <v>1</v>
      </c>
      <c r="Z288" s="267"/>
      <c r="AA288" s="267"/>
      <c r="AB288" s="224">
        <v>1</v>
      </c>
      <c r="AC288" s="267"/>
      <c r="AD288" s="267">
        <v>1</v>
      </c>
      <c r="AE288" s="267"/>
      <c r="AF288" s="267"/>
      <c r="AG288" s="224">
        <v>1</v>
      </c>
      <c r="AH288" s="267"/>
      <c r="AI288" s="267">
        <v>1</v>
      </c>
      <c r="AJ288" s="267"/>
      <c r="AK288" s="267"/>
      <c r="AL288" s="224">
        <v>1</v>
      </c>
      <c r="AM288" s="104">
        <v>4</v>
      </c>
      <c r="AN288" s="103" t="s">
        <v>685</v>
      </c>
      <c r="AO288" s="103" t="s">
        <v>616</v>
      </c>
      <c r="AP288" s="103" t="s">
        <v>1226</v>
      </c>
      <c r="AQ288" s="103" t="s">
        <v>1207</v>
      </c>
      <c r="AR288" s="103" t="s">
        <v>951</v>
      </c>
      <c r="AS288" s="271"/>
      <c r="AT288" s="271"/>
      <c r="AU288" s="271"/>
      <c r="AV288" s="271">
        <v>7000000</v>
      </c>
      <c r="AW288" s="271"/>
      <c r="AX288" s="271"/>
      <c r="AY288" s="271"/>
      <c r="AZ288" s="271"/>
      <c r="BA288" s="271"/>
      <c r="BB288" s="271"/>
      <c r="BC288" s="271"/>
      <c r="BD288" s="271"/>
      <c r="BE288" s="271"/>
      <c r="BF288" s="271"/>
      <c r="BG288" s="271"/>
      <c r="BH288" s="235">
        <f t="shared" si="88"/>
        <v>7000000</v>
      </c>
      <c r="BI288" s="271"/>
      <c r="BJ288" s="271"/>
      <c r="BK288" s="271"/>
      <c r="BL288" s="271">
        <v>7350815.8508158503</v>
      </c>
      <c r="BM288" s="271"/>
      <c r="BN288" s="271"/>
      <c r="BO288" s="271"/>
      <c r="BP288" s="271"/>
      <c r="BQ288" s="271"/>
      <c r="BR288" s="271"/>
      <c r="BS288" s="271"/>
      <c r="BT288" s="271"/>
      <c r="BU288" s="271"/>
      <c r="BV288" s="271"/>
      <c r="BW288" s="271"/>
      <c r="BX288" s="235">
        <f t="shared" si="89"/>
        <v>7350815.8508158503</v>
      </c>
      <c r="BY288" s="271"/>
      <c r="BZ288" s="271"/>
      <c r="CA288" s="271"/>
      <c r="CB288" s="271">
        <v>7995337.9953379957</v>
      </c>
      <c r="CC288" s="271"/>
      <c r="CD288" s="271"/>
      <c r="CE288" s="271"/>
      <c r="CF288" s="271"/>
      <c r="CG288" s="271"/>
      <c r="CH288" s="271"/>
      <c r="CI288" s="271"/>
      <c r="CJ288" s="271"/>
      <c r="CK288" s="271"/>
      <c r="CL288" s="271"/>
      <c r="CM288" s="271"/>
      <c r="CN288" s="235">
        <f t="shared" si="90"/>
        <v>7995337.9953379957</v>
      </c>
      <c r="CO288" s="271"/>
      <c r="CP288" s="271"/>
      <c r="CQ288" s="271"/>
      <c r="CR288" s="271">
        <v>8395104.8951048963</v>
      </c>
      <c r="CS288" s="271"/>
      <c r="CT288" s="271"/>
      <c r="CU288" s="271"/>
      <c r="CV288" s="271"/>
      <c r="CW288" s="271"/>
      <c r="CX288" s="271"/>
      <c r="CY288" s="271"/>
      <c r="CZ288" s="271"/>
      <c r="DA288" s="271"/>
      <c r="DB288" s="271"/>
      <c r="DC288" s="271"/>
      <c r="DD288" s="234">
        <f t="shared" si="91"/>
        <v>8395104.8951048963</v>
      </c>
      <c r="DE288" s="244">
        <f t="shared" si="92"/>
        <v>30741258.741258744</v>
      </c>
    </row>
    <row r="289" spans="1:110" s="98" customFormat="1" ht="137.1" customHeight="1">
      <c r="A289" s="103" t="s">
        <v>1238</v>
      </c>
      <c r="B289" s="279" t="s">
        <v>9</v>
      </c>
      <c r="C289" s="279" t="s">
        <v>1698</v>
      </c>
      <c r="D289" s="279">
        <v>22</v>
      </c>
      <c r="E289" s="279" t="s">
        <v>1022</v>
      </c>
      <c r="F289" s="280" t="s">
        <v>1023</v>
      </c>
      <c r="G289" s="279" t="s">
        <v>3519</v>
      </c>
      <c r="H289" s="279">
        <v>30</v>
      </c>
      <c r="I289" s="279" t="s">
        <v>1024</v>
      </c>
      <c r="J289" s="279" t="s">
        <v>683</v>
      </c>
      <c r="K289" s="279">
        <v>402</v>
      </c>
      <c r="L289" s="279" t="s">
        <v>1025</v>
      </c>
      <c r="M289" s="279" t="s">
        <v>1034</v>
      </c>
      <c r="N289" s="279" t="s">
        <v>1035</v>
      </c>
      <c r="O289" s="279" t="s">
        <v>1036</v>
      </c>
      <c r="P289" s="283">
        <v>261</v>
      </c>
      <c r="Q289" s="279" t="s">
        <v>3412</v>
      </c>
      <c r="R289" s="279" t="s">
        <v>1039</v>
      </c>
      <c r="S289" s="279" t="s">
        <v>683</v>
      </c>
      <c r="T289" s="279">
        <v>100</v>
      </c>
      <c r="U289" s="267"/>
      <c r="V289" s="267">
        <v>100</v>
      </c>
      <c r="W289" s="224">
        <v>100</v>
      </c>
      <c r="X289" s="267"/>
      <c r="Y289" s="267">
        <v>100</v>
      </c>
      <c r="Z289" s="267"/>
      <c r="AA289" s="267"/>
      <c r="AB289" s="224">
        <v>100</v>
      </c>
      <c r="AC289" s="267"/>
      <c r="AD289" s="267">
        <v>100</v>
      </c>
      <c r="AE289" s="267"/>
      <c r="AF289" s="267"/>
      <c r="AG289" s="224">
        <v>100</v>
      </c>
      <c r="AH289" s="267"/>
      <c r="AI289" s="267">
        <v>100</v>
      </c>
      <c r="AJ289" s="267"/>
      <c r="AK289" s="267"/>
      <c r="AL289" s="224">
        <v>100</v>
      </c>
      <c r="AM289" s="104">
        <v>100</v>
      </c>
      <c r="AN289" s="103" t="s">
        <v>686</v>
      </c>
      <c r="AO289" s="103" t="s">
        <v>616</v>
      </c>
      <c r="AP289" s="103" t="s">
        <v>1226</v>
      </c>
      <c r="AQ289" s="103" t="s">
        <v>1207</v>
      </c>
      <c r="AR289" s="103" t="s">
        <v>951</v>
      </c>
      <c r="AS289" s="271"/>
      <c r="AT289" s="271"/>
      <c r="AU289" s="271"/>
      <c r="AV289" s="271">
        <v>10000000</v>
      </c>
      <c r="AW289" s="271"/>
      <c r="AX289" s="271"/>
      <c r="AY289" s="271"/>
      <c r="AZ289" s="271"/>
      <c r="BA289" s="271"/>
      <c r="BB289" s="271"/>
      <c r="BC289" s="271"/>
      <c r="BD289" s="271"/>
      <c r="BE289" s="271"/>
      <c r="BF289" s="271"/>
      <c r="BG289" s="271"/>
      <c r="BH289" s="235">
        <f t="shared" si="88"/>
        <v>10000000</v>
      </c>
      <c r="BI289" s="271"/>
      <c r="BJ289" s="271"/>
      <c r="BK289" s="271"/>
      <c r="BL289" s="271">
        <v>10501165.501165502</v>
      </c>
      <c r="BM289" s="271"/>
      <c r="BN289" s="271"/>
      <c r="BO289" s="271"/>
      <c r="BP289" s="271"/>
      <c r="BQ289" s="271"/>
      <c r="BR289" s="271"/>
      <c r="BS289" s="271"/>
      <c r="BT289" s="271"/>
      <c r="BU289" s="271"/>
      <c r="BV289" s="271"/>
      <c r="BW289" s="271"/>
      <c r="BX289" s="235">
        <f t="shared" si="89"/>
        <v>10501165.501165502</v>
      </c>
      <c r="BY289" s="271"/>
      <c r="BZ289" s="271"/>
      <c r="CA289" s="271"/>
      <c r="CB289" s="271">
        <v>11421911.421911424</v>
      </c>
      <c r="CC289" s="271"/>
      <c r="CD289" s="271"/>
      <c r="CE289" s="271"/>
      <c r="CF289" s="271"/>
      <c r="CG289" s="271"/>
      <c r="CH289" s="271"/>
      <c r="CI289" s="271"/>
      <c r="CJ289" s="271"/>
      <c r="CK289" s="271"/>
      <c r="CL289" s="271"/>
      <c r="CM289" s="271"/>
      <c r="CN289" s="235">
        <f t="shared" si="90"/>
        <v>11421911.421911424</v>
      </c>
      <c r="CO289" s="271"/>
      <c r="CP289" s="271"/>
      <c r="CQ289" s="271"/>
      <c r="CR289" s="271">
        <v>11993006.993006995</v>
      </c>
      <c r="CS289" s="271"/>
      <c r="CT289" s="271"/>
      <c r="CU289" s="271"/>
      <c r="CV289" s="271"/>
      <c r="CW289" s="271"/>
      <c r="CX289" s="271"/>
      <c r="CY289" s="271"/>
      <c r="CZ289" s="271"/>
      <c r="DA289" s="271"/>
      <c r="DB289" s="271"/>
      <c r="DC289" s="271"/>
      <c r="DD289" s="234">
        <f t="shared" si="91"/>
        <v>11993006.993006995</v>
      </c>
      <c r="DE289" s="244">
        <f t="shared" si="92"/>
        <v>43916083.916083917</v>
      </c>
    </row>
    <row r="290" spans="1:110" s="98" customFormat="1" ht="137.1" customHeight="1">
      <c r="A290" s="103" t="s">
        <v>1238</v>
      </c>
      <c r="B290" s="279" t="s">
        <v>9</v>
      </c>
      <c r="C290" s="279" t="s">
        <v>1698</v>
      </c>
      <c r="D290" s="279">
        <v>22</v>
      </c>
      <c r="E290" s="279" t="s">
        <v>1022</v>
      </c>
      <c r="F290" s="280" t="s">
        <v>1023</v>
      </c>
      <c r="G290" s="279" t="s">
        <v>3519</v>
      </c>
      <c r="H290" s="279">
        <v>30</v>
      </c>
      <c r="I290" s="279" t="s">
        <v>1024</v>
      </c>
      <c r="J290" s="279" t="s">
        <v>683</v>
      </c>
      <c r="K290" s="279">
        <v>402</v>
      </c>
      <c r="L290" s="279" t="s">
        <v>1025</v>
      </c>
      <c r="M290" s="279" t="s">
        <v>1034</v>
      </c>
      <c r="N290" s="279" t="s">
        <v>1035</v>
      </c>
      <c r="O290" s="279" t="s">
        <v>1036</v>
      </c>
      <c r="P290" s="283">
        <v>262</v>
      </c>
      <c r="Q290" s="279" t="s">
        <v>3413</v>
      </c>
      <c r="R290" s="279" t="s">
        <v>1040</v>
      </c>
      <c r="S290" s="279" t="s">
        <v>683</v>
      </c>
      <c r="T290" s="279">
        <v>0</v>
      </c>
      <c r="U290" s="267">
        <v>1</v>
      </c>
      <c r="V290" s="267"/>
      <c r="W290" s="224">
        <v>1</v>
      </c>
      <c r="X290" s="267"/>
      <c r="Y290" s="267"/>
      <c r="Z290" s="267">
        <v>1</v>
      </c>
      <c r="AA290" s="267"/>
      <c r="AB290" s="224">
        <v>1</v>
      </c>
      <c r="AC290" s="267"/>
      <c r="AD290" s="267">
        <v>1</v>
      </c>
      <c r="AE290" s="267"/>
      <c r="AF290" s="267"/>
      <c r="AG290" s="224">
        <v>1</v>
      </c>
      <c r="AH290" s="267"/>
      <c r="AI290" s="267">
        <v>1</v>
      </c>
      <c r="AJ290" s="267"/>
      <c r="AK290" s="267"/>
      <c r="AL290" s="224">
        <v>1</v>
      </c>
      <c r="AM290" s="104">
        <v>4</v>
      </c>
      <c r="AN290" s="103" t="s">
        <v>685</v>
      </c>
      <c r="AO290" s="103" t="s">
        <v>616</v>
      </c>
      <c r="AP290" s="103" t="s">
        <v>1226</v>
      </c>
      <c r="AQ290" s="103" t="s">
        <v>1207</v>
      </c>
      <c r="AR290" s="103" t="s">
        <v>951</v>
      </c>
      <c r="AS290" s="271"/>
      <c r="AT290" s="271"/>
      <c r="AU290" s="271"/>
      <c r="AV290" s="271">
        <v>4000000</v>
      </c>
      <c r="AW290" s="271"/>
      <c r="AX290" s="271"/>
      <c r="AY290" s="271"/>
      <c r="AZ290" s="271"/>
      <c r="BA290" s="271"/>
      <c r="BB290" s="271"/>
      <c r="BC290" s="271"/>
      <c r="BD290" s="271"/>
      <c r="BE290" s="271"/>
      <c r="BF290" s="271"/>
      <c r="BG290" s="271"/>
      <c r="BH290" s="235">
        <f t="shared" si="88"/>
        <v>4000000</v>
      </c>
      <c r="BI290" s="271"/>
      <c r="BJ290" s="271"/>
      <c r="BK290" s="271"/>
      <c r="BL290" s="271">
        <v>3200466.2004661998</v>
      </c>
      <c r="BM290" s="271"/>
      <c r="BN290" s="271"/>
      <c r="BO290" s="271"/>
      <c r="BP290" s="271"/>
      <c r="BQ290" s="271"/>
      <c r="BR290" s="271"/>
      <c r="BS290" s="271"/>
      <c r="BT290" s="271"/>
      <c r="BU290" s="271"/>
      <c r="BV290" s="271"/>
      <c r="BW290" s="271"/>
      <c r="BX290" s="235">
        <f t="shared" si="89"/>
        <v>3200466.2004661998</v>
      </c>
      <c r="BY290" s="271"/>
      <c r="BZ290" s="271"/>
      <c r="CA290" s="271"/>
      <c r="CB290" s="271">
        <v>3568764.5687645683</v>
      </c>
      <c r="CC290" s="271"/>
      <c r="CD290" s="271"/>
      <c r="CE290" s="271"/>
      <c r="CF290" s="271"/>
      <c r="CG290" s="271"/>
      <c r="CH290" s="271"/>
      <c r="CI290" s="271"/>
      <c r="CJ290" s="271"/>
      <c r="CK290" s="271"/>
      <c r="CL290" s="271"/>
      <c r="CM290" s="271"/>
      <c r="CN290" s="235">
        <f t="shared" si="90"/>
        <v>3568764.5687645683</v>
      </c>
      <c r="CO290" s="271"/>
      <c r="CP290" s="271"/>
      <c r="CQ290" s="271"/>
      <c r="CR290" s="271">
        <v>4797202.7972027967</v>
      </c>
      <c r="CS290" s="271"/>
      <c r="CT290" s="271"/>
      <c r="CU290" s="271"/>
      <c r="CV290" s="271"/>
      <c r="CW290" s="271"/>
      <c r="CX290" s="271"/>
      <c r="CY290" s="271"/>
      <c r="CZ290" s="271"/>
      <c r="DA290" s="271"/>
      <c r="DB290" s="271"/>
      <c r="DC290" s="271"/>
      <c r="DD290" s="234">
        <f t="shared" si="91"/>
        <v>4797202.7972027967</v>
      </c>
      <c r="DE290" s="244">
        <f t="shared" ref="DE290:DE291" si="93">SUM(DD290+CN290+BX290+BH290)</f>
        <v>15566433.566433564</v>
      </c>
    </row>
    <row r="291" spans="1:110" s="98" customFormat="1" ht="137.1" customHeight="1">
      <c r="A291" s="120" t="s">
        <v>1238</v>
      </c>
      <c r="B291" s="281" t="s">
        <v>9</v>
      </c>
      <c r="C291" s="281" t="s">
        <v>1698</v>
      </c>
      <c r="D291" s="281">
        <v>22</v>
      </c>
      <c r="E291" s="281" t="s">
        <v>1022</v>
      </c>
      <c r="F291" s="282" t="s">
        <v>1023</v>
      </c>
      <c r="G291" s="281" t="s">
        <v>3519</v>
      </c>
      <c r="H291" s="281">
        <v>30</v>
      </c>
      <c r="I291" s="281" t="s">
        <v>1024</v>
      </c>
      <c r="J291" s="281" t="s">
        <v>683</v>
      </c>
      <c r="K291" s="281">
        <v>402</v>
      </c>
      <c r="L291" s="281" t="s">
        <v>1025</v>
      </c>
      <c r="M291" s="281" t="s">
        <v>1034</v>
      </c>
      <c r="N291" s="281" t="s">
        <v>1035</v>
      </c>
      <c r="O291" s="281" t="s">
        <v>1036</v>
      </c>
      <c r="P291" s="283">
        <v>263</v>
      </c>
      <c r="Q291" s="281" t="s">
        <v>3414</v>
      </c>
      <c r="R291" s="281" t="s">
        <v>1041</v>
      </c>
      <c r="S291" s="281" t="s">
        <v>683</v>
      </c>
      <c r="T291" s="281">
        <v>0</v>
      </c>
      <c r="U291" s="275"/>
      <c r="V291" s="275">
        <v>1</v>
      </c>
      <c r="W291" s="225">
        <v>1</v>
      </c>
      <c r="X291" s="275"/>
      <c r="Y291" s="275"/>
      <c r="Z291" s="275"/>
      <c r="AA291" s="275">
        <v>1</v>
      </c>
      <c r="AB291" s="225">
        <v>1</v>
      </c>
      <c r="AC291" s="275"/>
      <c r="AD291" s="275"/>
      <c r="AE291" s="275"/>
      <c r="AF291" s="275">
        <v>1</v>
      </c>
      <c r="AG291" s="225">
        <v>1</v>
      </c>
      <c r="AH291" s="275"/>
      <c r="AI291" s="275"/>
      <c r="AJ291" s="275">
        <v>1</v>
      </c>
      <c r="AK291" s="275"/>
      <c r="AL291" s="225">
        <v>1</v>
      </c>
      <c r="AM291" s="119">
        <v>4</v>
      </c>
      <c r="AN291" s="120" t="s">
        <v>685</v>
      </c>
      <c r="AO291" s="120" t="s">
        <v>616</v>
      </c>
      <c r="AP291" s="120" t="s">
        <v>1226</v>
      </c>
      <c r="AQ291" s="120" t="s">
        <v>1207</v>
      </c>
      <c r="AR291" s="120" t="s">
        <v>951</v>
      </c>
      <c r="AS291" s="276"/>
      <c r="AT291" s="276"/>
      <c r="AU291" s="276"/>
      <c r="AV291" s="276">
        <v>10000000</v>
      </c>
      <c r="AW291" s="276"/>
      <c r="AX291" s="276"/>
      <c r="AY291" s="276"/>
      <c r="AZ291" s="276"/>
      <c r="BA291" s="276"/>
      <c r="BB291" s="276"/>
      <c r="BC291" s="276"/>
      <c r="BD291" s="276"/>
      <c r="BE291" s="276"/>
      <c r="BF291" s="276"/>
      <c r="BG291" s="276"/>
      <c r="BH291" s="236">
        <f t="shared" si="88"/>
        <v>10000000</v>
      </c>
      <c r="BI291" s="276"/>
      <c r="BJ291" s="276"/>
      <c r="BK291" s="276"/>
      <c r="BL291" s="276">
        <v>10503496.503496468</v>
      </c>
      <c r="BM291" s="276"/>
      <c r="BN291" s="276"/>
      <c r="BO291" s="276"/>
      <c r="BP291" s="276"/>
      <c r="BQ291" s="276"/>
      <c r="BR291" s="276"/>
      <c r="BS291" s="276"/>
      <c r="BT291" s="276"/>
      <c r="BU291" s="276"/>
      <c r="BV291" s="276"/>
      <c r="BW291" s="276"/>
      <c r="BX291" s="236">
        <f t="shared" si="89"/>
        <v>10503496.503496468</v>
      </c>
      <c r="BY291" s="276"/>
      <c r="BZ291" s="276"/>
      <c r="CA291" s="276"/>
      <c r="CB291" s="276">
        <v>11421911.421911424</v>
      </c>
      <c r="CC291" s="276"/>
      <c r="CD291" s="276"/>
      <c r="CE291" s="276"/>
      <c r="CF291" s="276"/>
      <c r="CG291" s="276"/>
      <c r="CH291" s="276"/>
      <c r="CI291" s="276"/>
      <c r="CJ291" s="276"/>
      <c r="CK291" s="276"/>
      <c r="CL291" s="276"/>
      <c r="CM291" s="276"/>
      <c r="CN291" s="236">
        <f t="shared" si="90"/>
        <v>11421911.421911424</v>
      </c>
      <c r="CO291" s="276"/>
      <c r="CP291" s="276"/>
      <c r="CQ291" s="276"/>
      <c r="CR291" s="276">
        <v>11993006.993006995</v>
      </c>
      <c r="CS291" s="276"/>
      <c r="CT291" s="276"/>
      <c r="CU291" s="276"/>
      <c r="CV291" s="276"/>
      <c r="CW291" s="276"/>
      <c r="CX291" s="276"/>
      <c r="CY291" s="276"/>
      <c r="CZ291" s="276"/>
      <c r="DA291" s="276"/>
      <c r="DB291" s="276"/>
      <c r="DC291" s="276"/>
      <c r="DD291" s="240">
        <f t="shared" si="91"/>
        <v>11993006.993006995</v>
      </c>
      <c r="DE291" s="245">
        <f t="shared" si="93"/>
        <v>43918414.918414891</v>
      </c>
    </row>
    <row r="292" spans="1:110" ht="65.099999999999994" customHeight="1">
      <c r="A292" s="134" t="s">
        <v>1238</v>
      </c>
      <c r="B292" s="134" t="s">
        <v>9</v>
      </c>
      <c r="C292" s="134" t="s">
        <v>1698</v>
      </c>
      <c r="D292" s="134">
        <v>22</v>
      </c>
      <c r="E292" s="134" t="s">
        <v>1022</v>
      </c>
      <c r="F292" s="135"/>
      <c r="G292" s="136"/>
      <c r="H292" s="137"/>
      <c r="I292" s="137"/>
      <c r="J292" s="137"/>
      <c r="K292" s="138"/>
      <c r="L292" s="137"/>
      <c r="M292" s="137"/>
      <c r="N292" s="137"/>
      <c r="O292" s="137"/>
      <c r="P292" s="137"/>
      <c r="Q292" s="136"/>
      <c r="R292" s="139"/>
      <c r="S292" s="137"/>
      <c r="T292" s="137"/>
      <c r="U292" s="140"/>
      <c r="V292" s="140"/>
      <c r="W292" s="138"/>
      <c r="X292" s="140"/>
      <c r="Y292" s="140"/>
      <c r="Z292" s="140"/>
      <c r="AA292" s="140"/>
      <c r="AB292" s="138"/>
      <c r="AC292" s="140"/>
      <c r="AD292" s="140"/>
      <c r="AE292" s="140"/>
      <c r="AF292" s="140"/>
      <c r="AG292" s="138"/>
      <c r="AH292" s="140"/>
      <c r="AI292" s="140"/>
      <c r="AJ292" s="140"/>
      <c r="AK292" s="140"/>
      <c r="AL292" s="138"/>
      <c r="AM292" s="141"/>
      <c r="AN292" s="142"/>
      <c r="AO292" s="142"/>
      <c r="AP292" s="143"/>
      <c r="AQ292" s="143"/>
      <c r="AR292" s="144"/>
      <c r="AS292" s="132">
        <f t="shared" ref="AS292:BG292" si="94">SUM(AS279:AS291)</f>
        <v>0</v>
      </c>
      <c r="AT292" s="132">
        <f t="shared" si="94"/>
        <v>0</v>
      </c>
      <c r="AU292" s="132">
        <f t="shared" si="94"/>
        <v>0</v>
      </c>
      <c r="AV292" s="132">
        <f t="shared" si="94"/>
        <v>429000000</v>
      </c>
      <c r="AW292" s="132">
        <f t="shared" si="94"/>
        <v>0</v>
      </c>
      <c r="AX292" s="132">
        <f t="shared" si="94"/>
        <v>0</v>
      </c>
      <c r="AY292" s="132">
        <f t="shared" si="94"/>
        <v>0</v>
      </c>
      <c r="AZ292" s="132">
        <f t="shared" si="94"/>
        <v>0</v>
      </c>
      <c r="BA292" s="132">
        <f t="shared" si="94"/>
        <v>0</v>
      </c>
      <c r="BB292" s="132">
        <f t="shared" si="94"/>
        <v>0</v>
      </c>
      <c r="BC292" s="132">
        <f t="shared" si="94"/>
        <v>0</v>
      </c>
      <c r="BD292" s="132">
        <f t="shared" si="94"/>
        <v>0</v>
      </c>
      <c r="BE292" s="132">
        <f t="shared" si="94"/>
        <v>0</v>
      </c>
      <c r="BF292" s="132">
        <f t="shared" si="94"/>
        <v>0</v>
      </c>
      <c r="BG292" s="132">
        <f t="shared" si="94"/>
        <v>0</v>
      </c>
      <c r="BH292" s="133">
        <f>IF(OR(AND(BH279=0,W279&lt;&gt;0),AND(BH280=0,W280&lt;&gt;0),AND(BH281=0,W281&lt;&gt;0),AND(BH282=0,W282&lt;&gt;0),AND(BH283=0,W283&lt;&gt;0),AND(BH284=0,W284&lt;&gt;0),AND(BH285=0,W285&lt;&gt;0),AND(BH286=0,W286&lt;&gt;0),AND(BH287=0,W287&lt;&gt;0),AND(BH288=0,W288&lt;&gt;0),AND(BH289=0,W289&lt;&gt;0),AND(BH290=0,W290&lt;&gt;0),AND(BH291=0,W291&lt;&gt;0)),"NO DEBEN QUEDAR CELDAS EN ROJO",SUM(BH279:BH291))</f>
        <v>429000000</v>
      </c>
      <c r="BI292" s="132">
        <f t="shared" ref="BI292:BW292" si="95">SUM(BI279:BI291)</f>
        <v>0</v>
      </c>
      <c r="BJ292" s="132">
        <f t="shared" si="95"/>
        <v>0</v>
      </c>
      <c r="BK292" s="132">
        <f t="shared" si="95"/>
        <v>0</v>
      </c>
      <c r="BL292" s="132">
        <f t="shared" si="95"/>
        <v>450500000</v>
      </c>
      <c r="BM292" s="132">
        <f t="shared" si="95"/>
        <v>0</v>
      </c>
      <c r="BN292" s="132">
        <f t="shared" si="95"/>
        <v>0</v>
      </c>
      <c r="BO292" s="132">
        <f t="shared" si="95"/>
        <v>0</v>
      </c>
      <c r="BP292" s="132">
        <f t="shared" si="95"/>
        <v>0</v>
      </c>
      <c r="BQ292" s="132">
        <f t="shared" si="95"/>
        <v>0</v>
      </c>
      <c r="BR292" s="132">
        <f t="shared" si="95"/>
        <v>0</v>
      </c>
      <c r="BS292" s="132">
        <f t="shared" si="95"/>
        <v>0</v>
      </c>
      <c r="BT292" s="132">
        <f t="shared" si="95"/>
        <v>0</v>
      </c>
      <c r="BU292" s="132">
        <f t="shared" si="95"/>
        <v>0</v>
      </c>
      <c r="BV292" s="132">
        <f t="shared" si="95"/>
        <v>0</v>
      </c>
      <c r="BW292" s="132">
        <f t="shared" si="95"/>
        <v>0</v>
      </c>
      <c r="BX292" s="133">
        <f>IF(OR(AND(BX279=0,AB279&lt;&gt;0),AND(BX280=0,AB280&lt;&gt;0),AND(BX281=0,AB281&lt;&gt;0),AND(BX282=0,AB282&lt;&gt;0),AND(BX283=0,AB283&lt;&gt;0),AND(BX284=0,AB284&lt;&gt;0),AND(BX285=0,AB285&lt;&gt;0),AND(BX286=0,AB286&lt;&gt;0),AND(BX287=0,AB287&lt;&gt;0),AND(BX288=0,AB288&lt;&gt;0),AND(BX289=0,AB289&lt;&gt;0),AND(BX290=0,AB290&lt;&gt;0),AND(BX291=0,AB291&lt;&gt;0)),"NO DEBEN QUEDAR CELDAS EN ROJO",SUM(BX279:BX291))</f>
        <v>450500000</v>
      </c>
      <c r="BY292" s="132">
        <f t="shared" ref="BY292:CM292" si="96">SUM(BY279:BY291)</f>
        <v>0</v>
      </c>
      <c r="BZ292" s="132">
        <f t="shared" si="96"/>
        <v>0</v>
      </c>
      <c r="CA292" s="132">
        <f t="shared" si="96"/>
        <v>0</v>
      </c>
      <c r="CB292" s="132">
        <f t="shared" si="96"/>
        <v>490000000.00000006</v>
      </c>
      <c r="CC292" s="132">
        <f t="shared" si="96"/>
        <v>0</v>
      </c>
      <c r="CD292" s="132">
        <f t="shared" si="96"/>
        <v>0</v>
      </c>
      <c r="CE292" s="132">
        <f t="shared" si="96"/>
        <v>0</v>
      </c>
      <c r="CF292" s="132">
        <f t="shared" si="96"/>
        <v>0</v>
      </c>
      <c r="CG292" s="132">
        <f t="shared" si="96"/>
        <v>0</v>
      </c>
      <c r="CH292" s="132">
        <f t="shared" si="96"/>
        <v>0</v>
      </c>
      <c r="CI292" s="132">
        <f t="shared" si="96"/>
        <v>0</v>
      </c>
      <c r="CJ292" s="132">
        <f t="shared" si="96"/>
        <v>0</v>
      </c>
      <c r="CK292" s="132">
        <f t="shared" si="96"/>
        <v>0</v>
      </c>
      <c r="CL292" s="132">
        <f t="shared" si="96"/>
        <v>0</v>
      </c>
      <c r="CM292" s="132">
        <f t="shared" si="96"/>
        <v>0</v>
      </c>
      <c r="CN292" s="133">
        <f>IF(OR(AND(CN279=0,AG279&lt;&gt;0),AND(CN280=0,AG280&lt;&gt;0),AND(CN281=0,AG281&lt;&gt;0),AND(CN282=0,AG282&lt;&gt;0),AND(CN283=0,AG283&lt;&gt;0),AND(CN284=0,AG284&lt;&gt;0),AND(CN285=0,AG285&lt;&gt;0),AND(CN286=0,AG286&lt;&gt;0),AND(CN287=0,AG287&lt;&gt;0),AND(CN288=0,AG288&lt;&gt;0),AND(CN289=0,AG289&lt;&gt;0),AND(CN290=0,AG290&lt;&gt;0),AND(CN291=0,AG291&lt;&gt;0)),"NO DEBEN QUEDAR CELDAS EN ROJO",SUM(CN279:CN291))</f>
        <v>490000000.00000006</v>
      </c>
      <c r="CO292" s="132">
        <f t="shared" ref="CO292:DC292" si="97">SUM(CO279:CO291)</f>
        <v>0</v>
      </c>
      <c r="CP292" s="132">
        <f t="shared" si="97"/>
        <v>0</v>
      </c>
      <c r="CQ292" s="132">
        <f t="shared" si="97"/>
        <v>0</v>
      </c>
      <c r="CR292" s="132">
        <f t="shared" si="97"/>
        <v>514500000.00000006</v>
      </c>
      <c r="CS292" s="132">
        <f t="shared" si="97"/>
        <v>0</v>
      </c>
      <c r="CT292" s="132">
        <f t="shared" si="97"/>
        <v>0</v>
      </c>
      <c r="CU292" s="132">
        <f t="shared" si="97"/>
        <v>0</v>
      </c>
      <c r="CV292" s="132">
        <f t="shared" si="97"/>
        <v>0</v>
      </c>
      <c r="CW292" s="132">
        <f t="shared" si="97"/>
        <v>0</v>
      </c>
      <c r="CX292" s="132">
        <f t="shared" si="97"/>
        <v>0</v>
      </c>
      <c r="CY292" s="132">
        <f t="shared" si="97"/>
        <v>0</v>
      </c>
      <c r="CZ292" s="132">
        <f t="shared" si="97"/>
        <v>0</v>
      </c>
      <c r="DA292" s="132">
        <f t="shared" si="97"/>
        <v>0</v>
      </c>
      <c r="DB292" s="132">
        <f t="shared" si="97"/>
        <v>0</v>
      </c>
      <c r="DC292" s="132">
        <f t="shared" si="97"/>
        <v>0</v>
      </c>
      <c r="DD292" s="133">
        <f>IF(OR(AND(DD279=0,AL279&lt;&gt;0),AND(DD280=0,AL280&lt;&gt;0),AND(DD281=0,AL281&lt;&gt;0),AND(DD282=0,AL282&lt;&gt;0),AND(DD283=0,AL283&lt;&gt;0),AND(DD284=0,AL284&lt;&gt;0),AND(DD285=0,AL285&lt;&gt;0),AND(DD286=0,AL286&lt;&gt;0),AND(DD287=0,AL287&lt;&gt;0),AND(DD288=0,AL288&lt;&gt;0),AND(DD289=0,AL289&lt;&gt;0),AND(DD290=0,AL290&lt;&gt;0),AND(DD291=0,AL291&lt;&gt;0)),"NO DEBEN QUEDAR CELDAS EN ROJO",SUM(DD279:DD291))</f>
        <v>514500000.00000006</v>
      </c>
      <c r="DE292" s="133">
        <f>SUM(DE279:DE291)</f>
        <v>1884000000</v>
      </c>
      <c r="DF292" s="101"/>
    </row>
    <row r="293" spans="1:110" s="98" customFormat="1" ht="103.05" customHeight="1">
      <c r="A293" s="103" t="s">
        <v>1237</v>
      </c>
      <c r="B293" s="103" t="s">
        <v>9</v>
      </c>
      <c r="C293" s="103" t="s">
        <v>1698</v>
      </c>
      <c r="D293" s="103">
        <v>23</v>
      </c>
      <c r="E293" s="103" t="s">
        <v>1042</v>
      </c>
      <c r="F293" s="278" t="s">
        <v>1043</v>
      </c>
      <c r="G293" s="103" t="s">
        <v>3415</v>
      </c>
      <c r="H293" s="103">
        <v>31</v>
      </c>
      <c r="I293" s="103" t="s">
        <v>369</v>
      </c>
      <c r="J293" s="103" t="s">
        <v>683</v>
      </c>
      <c r="K293" s="103">
        <v>0</v>
      </c>
      <c r="L293" s="102">
        <v>1500</v>
      </c>
      <c r="M293" s="103" t="s">
        <v>1044</v>
      </c>
      <c r="N293" s="103" t="s">
        <v>1045</v>
      </c>
      <c r="O293" s="103" t="s">
        <v>370</v>
      </c>
      <c r="P293" s="283">
        <v>264</v>
      </c>
      <c r="Q293" s="103" t="s">
        <v>3521</v>
      </c>
      <c r="R293" s="103" t="s">
        <v>1046</v>
      </c>
      <c r="S293" s="103" t="s">
        <v>683</v>
      </c>
      <c r="T293" s="103">
        <v>0</v>
      </c>
      <c r="U293" s="267"/>
      <c r="V293" s="267"/>
      <c r="W293" s="224">
        <v>0</v>
      </c>
      <c r="X293" s="267">
        <v>0.2</v>
      </c>
      <c r="Y293" s="267">
        <v>0.2</v>
      </c>
      <c r="Z293" s="267">
        <v>0.2</v>
      </c>
      <c r="AA293" s="267">
        <v>0.2</v>
      </c>
      <c r="AB293" s="224">
        <v>0.8</v>
      </c>
      <c r="AC293" s="267">
        <v>0.2</v>
      </c>
      <c r="AD293" s="267"/>
      <c r="AE293" s="292"/>
      <c r="AF293" s="267"/>
      <c r="AG293" s="224">
        <v>0.2</v>
      </c>
      <c r="AH293" s="267"/>
      <c r="AI293" s="267"/>
      <c r="AJ293" s="267"/>
      <c r="AK293" s="267"/>
      <c r="AL293" s="224">
        <v>0</v>
      </c>
      <c r="AM293" s="102">
        <v>1</v>
      </c>
      <c r="AN293" s="103" t="s">
        <v>685</v>
      </c>
      <c r="AO293" s="103" t="s">
        <v>626</v>
      </c>
      <c r="AP293" s="103" t="s">
        <v>1228</v>
      </c>
      <c r="AQ293" s="103" t="s">
        <v>1199</v>
      </c>
      <c r="AR293" s="103" t="s">
        <v>945</v>
      </c>
      <c r="AS293" s="268"/>
      <c r="AT293" s="268"/>
      <c r="AU293" s="268"/>
      <c r="AV293" s="268"/>
      <c r="AW293" s="268"/>
      <c r="AX293" s="268"/>
      <c r="AY293" s="268"/>
      <c r="AZ293" s="268"/>
      <c r="BA293" s="268"/>
      <c r="BB293" s="268"/>
      <c r="BC293" s="268"/>
      <c r="BD293" s="268"/>
      <c r="BE293" s="268"/>
      <c r="BF293" s="268"/>
      <c r="BG293" s="268"/>
      <c r="BH293" s="234">
        <f t="shared" ref="BH293:BH309" si="98">IF(W293=0,0,BG293+BF293+BE293+BD293+BC293+BB293+BA293+AZ293+AY293+AX293+AW293+AV293+AU293+AT293+AS293)</f>
        <v>0</v>
      </c>
      <c r="BI293" s="268"/>
      <c r="BJ293" s="268"/>
      <c r="BK293" s="268"/>
      <c r="BL293" s="268">
        <v>30000000</v>
      </c>
      <c r="BM293" s="268"/>
      <c r="BN293" s="268"/>
      <c r="BO293" s="268"/>
      <c r="BP293" s="268"/>
      <c r="BQ293" s="268"/>
      <c r="BR293" s="268"/>
      <c r="BS293" s="268"/>
      <c r="BT293" s="268"/>
      <c r="BU293" s="268"/>
      <c r="BV293" s="268"/>
      <c r="BW293" s="268"/>
      <c r="BX293" s="234">
        <f t="shared" ref="BX293:BX309" si="99">IF(AB293=0,0,BI293+BJ293+BK293+BL293+BM293+BN293+BO293+BP293+BQ293+BR293+BS293+BT293+BU293+BV293+BW293)</f>
        <v>30000000</v>
      </c>
      <c r="BY293" s="268"/>
      <c r="BZ293" s="268"/>
      <c r="CA293" s="268"/>
      <c r="CB293" s="268">
        <v>13655607.006250001</v>
      </c>
      <c r="CC293" s="268"/>
      <c r="CD293" s="268"/>
      <c r="CE293" s="268"/>
      <c r="CF293" s="268"/>
      <c r="CG293" s="268"/>
      <c r="CH293" s="268"/>
      <c r="CI293" s="268"/>
      <c r="CJ293" s="268"/>
      <c r="CK293" s="268"/>
      <c r="CL293" s="268"/>
      <c r="CM293" s="268"/>
      <c r="CN293" s="234">
        <f t="shared" ref="CN293:CN309" si="100">IF(AG293=0,0,(BY293+BZ293+CA293+CB293+CC293+CD293+CE293+CF293+CG293+CH293+CI293+CJ293+CK293+CL293+CM293))</f>
        <v>13655607.006250001</v>
      </c>
      <c r="CO293" s="268"/>
      <c r="CP293" s="268"/>
      <c r="CQ293" s="268"/>
      <c r="CR293" s="268"/>
      <c r="CS293" s="268"/>
      <c r="CT293" s="268"/>
      <c r="CU293" s="268"/>
      <c r="CV293" s="268"/>
      <c r="CW293" s="268"/>
      <c r="CX293" s="268"/>
      <c r="CY293" s="268"/>
      <c r="CZ293" s="268"/>
      <c r="DA293" s="268"/>
      <c r="DB293" s="268"/>
      <c r="DC293" s="268"/>
      <c r="DD293" s="234">
        <f t="shared" ref="DD293:DD309" si="101">IF(AL293=0,0,(CO293+CP293+CQ293+CR293+CS293+CT293+CU293+CV293+CW293+CX293+CY293+CZ293+DA293+DB293+DC293))</f>
        <v>0</v>
      </c>
      <c r="DE293" s="243">
        <f t="shared" ref="DE293:DE309" si="102">SUM(DD293+CN293+BX293+BH293)</f>
        <v>43655607.006250001</v>
      </c>
    </row>
    <row r="294" spans="1:110" s="98" customFormat="1" ht="103.05" customHeight="1">
      <c r="A294" s="103" t="s">
        <v>1237</v>
      </c>
      <c r="B294" s="279" t="s">
        <v>9</v>
      </c>
      <c r="C294" s="279" t="s">
        <v>1698</v>
      </c>
      <c r="D294" s="279">
        <v>23</v>
      </c>
      <c r="E294" s="279" t="s">
        <v>1042</v>
      </c>
      <c r="F294" s="280" t="s">
        <v>1043</v>
      </c>
      <c r="G294" s="279" t="s">
        <v>3415</v>
      </c>
      <c r="H294" s="279">
        <v>31</v>
      </c>
      <c r="I294" s="279" t="s">
        <v>369</v>
      </c>
      <c r="J294" s="279" t="s">
        <v>683</v>
      </c>
      <c r="K294" s="279">
        <v>0</v>
      </c>
      <c r="L294" s="104">
        <v>1500</v>
      </c>
      <c r="M294" s="279" t="s">
        <v>1044</v>
      </c>
      <c r="N294" s="279" t="s">
        <v>1045</v>
      </c>
      <c r="O294" s="279" t="s">
        <v>370</v>
      </c>
      <c r="P294" s="283">
        <v>265</v>
      </c>
      <c r="Q294" s="279" t="s">
        <v>2782</v>
      </c>
      <c r="R294" s="279" t="s">
        <v>1047</v>
      </c>
      <c r="S294" s="279" t="s">
        <v>683</v>
      </c>
      <c r="T294" s="279">
        <v>0</v>
      </c>
      <c r="U294" s="267">
        <v>5</v>
      </c>
      <c r="V294" s="267"/>
      <c r="W294" s="224">
        <v>5</v>
      </c>
      <c r="X294" s="267">
        <v>4</v>
      </c>
      <c r="Y294" s="267">
        <v>4</v>
      </c>
      <c r="Z294" s="267"/>
      <c r="AA294" s="267"/>
      <c r="AB294" s="224">
        <v>8</v>
      </c>
      <c r="AC294" s="267"/>
      <c r="AD294" s="267"/>
      <c r="AE294" s="267"/>
      <c r="AF294" s="267"/>
      <c r="AG294" s="224">
        <v>0</v>
      </c>
      <c r="AH294" s="267"/>
      <c r="AI294" s="267"/>
      <c r="AJ294" s="267"/>
      <c r="AK294" s="267"/>
      <c r="AL294" s="224">
        <v>0</v>
      </c>
      <c r="AM294" s="104">
        <v>13</v>
      </c>
      <c r="AN294" s="103" t="s">
        <v>685</v>
      </c>
      <c r="AO294" s="103" t="s">
        <v>626</v>
      </c>
      <c r="AP294" s="103" t="s">
        <v>1228</v>
      </c>
      <c r="AQ294" s="103" t="s">
        <v>1199</v>
      </c>
      <c r="AR294" s="103" t="s">
        <v>945</v>
      </c>
      <c r="AS294" s="271"/>
      <c r="AT294" s="271"/>
      <c r="AU294" s="271"/>
      <c r="AV294" s="271">
        <v>30000000</v>
      </c>
      <c r="AW294" s="271">
        <v>21573260.869565219</v>
      </c>
      <c r="AX294" s="271"/>
      <c r="AY294" s="271"/>
      <c r="AZ294" s="271"/>
      <c r="BA294" s="271"/>
      <c r="BB294" s="271"/>
      <c r="BC294" s="271"/>
      <c r="BD294" s="271"/>
      <c r="BE294" s="271"/>
      <c r="BF294" s="271"/>
      <c r="BG294" s="271"/>
      <c r="BH294" s="235">
        <f t="shared" si="98"/>
        <v>51573260.869565219</v>
      </c>
      <c r="BI294" s="271"/>
      <c r="BJ294" s="271"/>
      <c r="BK294" s="271"/>
      <c r="BL294" s="271">
        <v>1134615.3846153845</v>
      </c>
      <c r="BM294" s="271">
        <v>4959375</v>
      </c>
      <c r="BN294" s="271"/>
      <c r="BO294" s="271"/>
      <c r="BP294" s="271"/>
      <c r="BQ294" s="271"/>
      <c r="BR294" s="271"/>
      <c r="BS294" s="271"/>
      <c r="BT294" s="271"/>
      <c r="BU294" s="271"/>
      <c r="BV294" s="271"/>
      <c r="BW294" s="271"/>
      <c r="BX294" s="235">
        <f t="shared" si="99"/>
        <v>6093990.384615384</v>
      </c>
      <c r="BY294" s="271"/>
      <c r="BZ294" s="271"/>
      <c r="CA294" s="271"/>
      <c r="CB294" s="271"/>
      <c r="CC294" s="271"/>
      <c r="CD294" s="271"/>
      <c r="CE294" s="271"/>
      <c r="CF294" s="271"/>
      <c r="CG294" s="271"/>
      <c r="CH294" s="271"/>
      <c r="CI294" s="271"/>
      <c r="CJ294" s="271"/>
      <c r="CK294" s="271"/>
      <c r="CL294" s="271"/>
      <c r="CM294" s="271"/>
      <c r="CN294" s="235">
        <f t="shared" si="100"/>
        <v>0</v>
      </c>
      <c r="CO294" s="271"/>
      <c r="CP294" s="271"/>
      <c r="CQ294" s="271"/>
      <c r="CR294" s="271"/>
      <c r="CS294" s="271"/>
      <c r="CT294" s="271"/>
      <c r="CU294" s="271"/>
      <c r="CV294" s="271"/>
      <c r="CW294" s="271"/>
      <c r="CX294" s="271"/>
      <c r="CY294" s="271"/>
      <c r="CZ294" s="271"/>
      <c r="DA294" s="271"/>
      <c r="DB294" s="271"/>
      <c r="DC294" s="271"/>
      <c r="DD294" s="234">
        <f t="shared" si="101"/>
        <v>0</v>
      </c>
      <c r="DE294" s="244">
        <f t="shared" si="102"/>
        <v>57667251.254180603</v>
      </c>
    </row>
    <row r="295" spans="1:110" s="98" customFormat="1" ht="103.05" customHeight="1">
      <c r="A295" s="103" t="s">
        <v>1237</v>
      </c>
      <c r="B295" s="279" t="s">
        <v>9</v>
      </c>
      <c r="C295" s="279" t="s">
        <v>1698</v>
      </c>
      <c r="D295" s="279">
        <v>23</v>
      </c>
      <c r="E295" s="279" t="s">
        <v>1042</v>
      </c>
      <c r="F295" s="280" t="s">
        <v>1043</v>
      </c>
      <c r="G295" s="279" t="s">
        <v>3415</v>
      </c>
      <c r="H295" s="279">
        <v>31</v>
      </c>
      <c r="I295" s="279" t="s">
        <v>369</v>
      </c>
      <c r="J295" s="279" t="s">
        <v>683</v>
      </c>
      <c r="K295" s="279">
        <v>0</v>
      </c>
      <c r="L295" s="104">
        <v>1500</v>
      </c>
      <c r="M295" s="279" t="s">
        <v>1044</v>
      </c>
      <c r="N295" s="279" t="s">
        <v>1045</v>
      </c>
      <c r="O295" s="279" t="s">
        <v>370</v>
      </c>
      <c r="P295" s="283">
        <v>266</v>
      </c>
      <c r="Q295" s="279" t="s">
        <v>3522</v>
      </c>
      <c r="R295" s="279" t="s">
        <v>1048</v>
      </c>
      <c r="S295" s="279" t="s">
        <v>677</v>
      </c>
      <c r="T295" s="279">
        <v>0</v>
      </c>
      <c r="U295" s="267"/>
      <c r="V295" s="267"/>
      <c r="W295" s="224">
        <v>0</v>
      </c>
      <c r="X295" s="267">
        <v>25</v>
      </c>
      <c r="Y295" s="267">
        <v>25</v>
      </c>
      <c r="Z295" s="267">
        <v>25</v>
      </c>
      <c r="AA295" s="267">
        <v>25</v>
      </c>
      <c r="AB295" s="224">
        <v>100</v>
      </c>
      <c r="AC295" s="267"/>
      <c r="AD295" s="267"/>
      <c r="AE295" s="267"/>
      <c r="AF295" s="267"/>
      <c r="AG295" s="224">
        <v>0</v>
      </c>
      <c r="AH295" s="267"/>
      <c r="AI295" s="267"/>
      <c r="AJ295" s="267"/>
      <c r="AK295" s="267"/>
      <c r="AL295" s="224">
        <v>0</v>
      </c>
      <c r="AM295" s="104">
        <v>100</v>
      </c>
      <c r="AN295" s="103" t="s">
        <v>685</v>
      </c>
      <c r="AO295" s="103" t="s">
        <v>626</v>
      </c>
      <c r="AP295" s="103" t="s">
        <v>1228</v>
      </c>
      <c r="AQ295" s="103" t="s">
        <v>1199</v>
      </c>
      <c r="AR295" s="103" t="s">
        <v>945</v>
      </c>
      <c r="AS295" s="271"/>
      <c r="AT295" s="271"/>
      <c r="AU295" s="271"/>
      <c r="AV295" s="271"/>
      <c r="AW295" s="271"/>
      <c r="AX295" s="271"/>
      <c r="AY295" s="271"/>
      <c r="AZ295" s="271"/>
      <c r="BA295" s="271"/>
      <c r="BB295" s="271"/>
      <c r="BC295" s="271"/>
      <c r="BD295" s="271"/>
      <c r="BE295" s="271"/>
      <c r="BF295" s="271"/>
      <c r="BG295" s="271"/>
      <c r="BH295" s="235">
        <f t="shared" si="98"/>
        <v>0</v>
      </c>
      <c r="BI295" s="271"/>
      <c r="BJ295" s="271"/>
      <c r="BK295" s="271"/>
      <c r="BL295" s="271">
        <v>1134615.3846153845</v>
      </c>
      <c r="BM295" s="271">
        <v>4959375</v>
      </c>
      <c r="BN295" s="271"/>
      <c r="BO295" s="271"/>
      <c r="BP295" s="271"/>
      <c r="BQ295" s="271"/>
      <c r="BR295" s="271"/>
      <c r="BS295" s="271"/>
      <c r="BT295" s="271"/>
      <c r="BU295" s="271"/>
      <c r="BV295" s="271"/>
      <c r="BW295" s="271"/>
      <c r="BX295" s="235">
        <f t="shared" si="99"/>
        <v>6093990.384615384</v>
      </c>
      <c r="BY295" s="271"/>
      <c r="BZ295" s="271"/>
      <c r="CA295" s="271"/>
      <c r="CB295" s="271"/>
      <c r="CC295" s="271"/>
      <c r="CD295" s="271"/>
      <c r="CE295" s="271"/>
      <c r="CF295" s="271"/>
      <c r="CG295" s="271"/>
      <c r="CH295" s="271"/>
      <c r="CI295" s="271"/>
      <c r="CJ295" s="271"/>
      <c r="CK295" s="271"/>
      <c r="CL295" s="271"/>
      <c r="CM295" s="271"/>
      <c r="CN295" s="235">
        <f t="shared" si="100"/>
        <v>0</v>
      </c>
      <c r="CO295" s="271"/>
      <c r="CP295" s="271"/>
      <c r="CQ295" s="271"/>
      <c r="CR295" s="271"/>
      <c r="CS295" s="271"/>
      <c r="CT295" s="271"/>
      <c r="CU295" s="271"/>
      <c r="CV295" s="271"/>
      <c r="CW295" s="271"/>
      <c r="CX295" s="271"/>
      <c r="CY295" s="271"/>
      <c r="CZ295" s="271"/>
      <c r="DA295" s="271"/>
      <c r="DB295" s="271"/>
      <c r="DC295" s="271"/>
      <c r="DD295" s="234">
        <f t="shared" si="101"/>
        <v>0</v>
      </c>
      <c r="DE295" s="244">
        <f t="shared" si="102"/>
        <v>6093990.384615384</v>
      </c>
    </row>
    <row r="296" spans="1:110" s="98" customFormat="1" ht="103.05" customHeight="1">
      <c r="A296" s="103" t="s">
        <v>1237</v>
      </c>
      <c r="B296" s="279" t="s">
        <v>9</v>
      </c>
      <c r="C296" s="279" t="s">
        <v>1698</v>
      </c>
      <c r="D296" s="279">
        <v>23</v>
      </c>
      <c r="E296" s="279" t="s">
        <v>1042</v>
      </c>
      <c r="F296" s="280" t="s">
        <v>1043</v>
      </c>
      <c r="G296" s="279" t="s">
        <v>3415</v>
      </c>
      <c r="H296" s="279">
        <v>31</v>
      </c>
      <c r="I296" s="279" t="s">
        <v>369</v>
      </c>
      <c r="J296" s="279" t="s">
        <v>683</v>
      </c>
      <c r="K296" s="279">
        <v>0</v>
      </c>
      <c r="L296" s="104">
        <v>1500</v>
      </c>
      <c r="M296" s="279" t="s">
        <v>1044</v>
      </c>
      <c r="N296" s="279" t="s">
        <v>1045</v>
      </c>
      <c r="O296" s="279" t="s">
        <v>370</v>
      </c>
      <c r="P296" s="283">
        <v>267</v>
      </c>
      <c r="Q296" s="279" t="s">
        <v>2783</v>
      </c>
      <c r="R296" s="279" t="s">
        <v>371</v>
      </c>
      <c r="S296" s="279" t="s">
        <v>683</v>
      </c>
      <c r="T296" s="279">
        <v>116</v>
      </c>
      <c r="U296" s="267"/>
      <c r="V296" s="267"/>
      <c r="W296" s="224">
        <v>0</v>
      </c>
      <c r="X296" s="267">
        <v>29</v>
      </c>
      <c r="Y296" s="267">
        <v>29</v>
      </c>
      <c r="Z296" s="267">
        <v>29</v>
      </c>
      <c r="AA296" s="267">
        <v>29</v>
      </c>
      <c r="AB296" s="224">
        <v>116</v>
      </c>
      <c r="AC296" s="267">
        <v>29</v>
      </c>
      <c r="AD296" s="267">
        <v>29</v>
      </c>
      <c r="AE296" s="267">
        <v>29</v>
      </c>
      <c r="AF296" s="267">
        <v>29</v>
      </c>
      <c r="AG296" s="224">
        <v>116</v>
      </c>
      <c r="AH296" s="267">
        <v>29</v>
      </c>
      <c r="AI296" s="267">
        <v>29</v>
      </c>
      <c r="AJ296" s="267">
        <v>29</v>
      </c>
      <c r="AK296" s="267">
        <v>29</v>
      </c>
      <c r="AL296" s="224">
        <v>116</v>
      </c>
      <c r="AM296" s="104">
        <v>116</v>
      </c>
      <c r="AN296" s="103" t="s">
        <v>686</v>
      </c>
      <c r="AO296" s="103" t="s">
        <v>626</v>
      </c>
      <c r="AP296" s="103" t="s">
        <v>1228</v>
      </c>
      <c r="AQ296" s="103" t="s">
        <v>1199</v>
      </c>
      <c r="AR296" s="103" t="s">
        <v>945</v>
      </c>
      <c r="AS296" s="271"/>
      <c r="AT296" s="271"/>
      <c r="AU296" s="271"/>
      <c r="AV296" s="271"/>
      <c r="AW296" s="271"/>
      <c r="AX296" s="271"/>
      <c r="AY296" s="271"/>
      <c r="AZ296" s="271"/>
      <c r="BA296" s="271"/>
      <c r="BB296" s="271"/>
      <c r="BC296" s="271"/>
      <c r="BD296" s="271"/>
      <c r="BE296" s="271"/>
      <c r="BF296" s="271"/>
      <c r="BG296" s="271"/>
      <c r="BH296" s="235">
        <f t="shared" si="98"/>
        <v>0</v>
      </c>
      <c r="BI296" s="271"/>
      <c r="BJ296" s="271"/>
      <c r="BK296" s="271"/>
      <c r="BL296" s="271">
        <v>1134615.3846153845</v>
      </c>
      <c r="BM296" s="271">
        <v>4959375</v>
      </c>
      <c r="BN296" s="271"/>
      <c r="BO296" s="271"/>
      <c r="BP296" s="271"/>
      <c r="BQ296" s="271"/>
      <c r="BR296" s="271"/>
      <c r="BS296" s="271"/>
      <c r="BT296" s="271"/>
      <c r="BU296" s="271"/>
      <c r="BV296" s="271"/>
      <c r="BW296" s="271"/>
      <c r="BX296" s="235">
        <f t="shared" si="99"/>
        <v>6093990.384615384</v>
      </c>
      <c r="BY296" s="271"/>
      <c r="BZ296" s="271"/>
      <c r="CA296" s="271"/>
      <c r="CB296" s="271">
        <v>13655607.006250001</v>
      </c>
      <c r="CC296" s="271"/>
      <c r="CD296" s="271"/>
      <c r="CE296" s="271"/>
      <c r="CF296" s="271"/>
      <c r="CG296" s="271"/>
      <c r="CH296" s="271"/>
      <c r="CI296" s="271"/>
      <c r="CJ296" s="271"/>
      <c r="CK296" s="271"/>
      <c r="CL296" s="271"/>
      <c r="CM296" s="271"/>
      <c r="CN296" s="235">
        <f t="shared" si="100"/>
        <v>13655607.006250001</v>
      </c>
      <c r="CO296" s="271"/>
      <c r="CP296" s="271"/>
      <c r="CQ296" s="271"/>
      <c r="CR296" s="271">
        <v>14338387.356562501</v>
      </c>
      <c r="CS296" s="271"/>
      <c r="CT296" s="271"/>
      <c r="CU296" s="271"/>
      <c r="CV296" s="271"/>
      <c r="CW296" s="271"/>
      <c r="CX296" s="271"/>
      <c r="CY296" s="271"/>
      <c r="CZ296" s="271"/>
      <c r="DA296" s="271"/>
      <c r="DB296" s="271"/>
      <c r="DC296" s="271"/>
      <c r="DD296" s="234">
        <f t="shared" si="101"/>
        <v>14338387.356562501</v>
      </c>
      <c r="DE296" s="244">
        <f t="shared" si="102"/>
        <v>34087984.747427888</v>
      </c>
    </row>
    <row r="297" spans="1:110" s="98" customFormat="1" ht="103.05" customHeight="1">
      <c r="A297" s="103" t="s">
        <v>1237</v>
      </c>
      <c r="B297" s="279" t="s">
        <v>9</v>
      </c>
      <c r="C297" s="279" t="s">
        <v>1698</v>
      </c>
      <c r="D297" s="279">
        <v>23</v>
      </c>
      <c r="E297" s="279" t="s">
        <v>1042</v>
      </c>
      <c r="F297" s="280" t="s">
        <v>1043</v>
      </c>
      <c r="G297" s="279" t="s">
        <v>3415</v>
      </c>
      <c r="H297" s="279">
        <v>31</v>
      </c>
      <c r="I297" s="279" t="s">
        <v>369</v>
      </c>
      <c r="J297" s="279" t="s">
        <v>683</v>
      </c>
      <c r="K297" s="279">
        <v>0</v>
      </c>
      <c r="L297" s="104">
        <v>1500</v>
      </c>
      <c r="M297" s="279" t="s">
        <v>1044</v>
      </c>
      <c r="N297" s="279" t="s">
        <v>1045</v>
      </c>
      <c r="O297" s="279" t="s">
        <v>370</v>
      </c>
      <c r="P297" s="283">
        <v>268</v>
      </c>
      <c r="Q297" s="279" t="s">
        <v>2784</v>
      </c>
      <c r="R297" s="279" t="s">
        <v>371</v>
      </c>
      <c r="S297" s="279" t="s">
        <v>683</v>
      </c>
      <c r="T297" s="279">
        <v>116</v>
      </c>
      <c r="U297" s="267"/>
      <c r="V297" s="267"/>
      <c r="W297" s="224">
        <v>0</v>
      </c>
      <c r="X297" s="267"/>
      <c r="Y297" s="267">
        <v>1</v>
      </c>
      <c r="Z297" s="267">
        <v>2</v>
      </c>
      <c r="AA297" s="267">
        <v>4</v>
      </c>
      <c r="AB297" s="224">
        <v>7</v>
      </c>
      <c r="AC297" s="267"/>
      <c r="AD297" s="267"/>
      <c r="AE297" s="267"/>
      <c r="AF297" s="267"/>
      <c r="AG297" s="224">
        <v>0</v>
      </c>
      <c r="AH297" s="267"/>
      <c r="AI297" s="267"/>
      <c r="AJ297" s="267"/>
      <c r="AK297" s="267"/>
      <c r="AL297" s="224">
        <v>0</v>
      </c>
      <c r="AM297" s="104">
        <v>7</v>
      </c>
      <c r="AN297" s="103" t="s">
        <v>685</v>
      </c>
      <c r="AO297" s="103" t="s">
        <v>626</v>
      </c>
      <c r="AP297" s="103" t="s">
        <v>1228</v>
      </c>
      <c r="AQ297" s="103" t="s">
        <v>1199</v>
      </c>
      <c r="AR297" s="103" t="s">
        <v>945</v>
      </c>
      <c r="AS297" s="271"/>
      <c r="AT297" s="271"/>
      <c r="AU297" s="271"/>
      <c r="AV297" s="271"/>
      <c r="AW297" s="271"/>
      <c r="AX297" s="271"/>
      <c r="AY297" s="271"/>
      <c r="AZ297" s="271"/>
      <c r="BA297" s="271"/>
      <c r="BB297" s="271"/>
      <c r="BC297" s="271"/>
      <c r="BD297" s="271"/>
      <c r="BE297" s="271"/>
      <c r="BF297" s="271"/>
      <c r="BG297" s="271"/>
      <c r="BH297" s="235">
        <f t="shared" si="98"/>
        <v>0</v>
      </c>
      <c r="BI297" s="271"/>
      <c r="BJ297" s="271"/>
      <c r="BK297" s="271"/>
      <c r="BL297" s="271">
        <v>1134615.3846153845</v>
      </c>
      <c r="BM297" s="271">
        <v>4959375</v>
      </c>
      <c r="BN297" s="271"/>
      <c r="BO297" s="271"/>
      <c r="BP297" s="271"/>
      <c r="BQ297" s="271"/>
      <c r="BR297" s="271"/>
      <c r="BS297" s="271"/>
      <c r="BT297" s="271"/>
      <c r="BU297" s="271"/>
      <c r="BV297" s="271"/>
      <c r="BW297" s="271"/>
      <c r="BX297" s="235">
        <f t="shared" si="99"/>
        <v>6093990.384615384</v>
      </c>
      <c r="BY297" s="271"/>
      <c r="BZ297" s="271"/>
      <c r="CA297" s="271"/>
      <c r="CB297" s="271"/>
      <c r="CC297" s="271"/>
      <c r="CD297" s="271"/>
      <c r="CE297" s="271"/>
      <c r="CF297" s="271"/>
      <c r="CG297" s="271"/>
      <c r="CH297" s="271"/>
      <c r="CI297" s="271"/>
      <c r="CJ297" s="271"/>
      <c r="CK297" s="271"/>
      <c r="CL297" s="271"/>
      <c r="CM297" s="271"/>
      <c r="CN297" s="235">
        <f t="shared" si="100"/>
        <v>0</v>
      </c>
      <c r="CO297" s="271"/>
      <c r="CP297" s="271"/>
      <c r="CQ297" s="271"/>
      <c r="CR297" s="271"/>
      <c r="CS297" s="271"/>
      <c r="CT297" s="271"/>
      <c r="CU297" s="271"/>
      <c r="CV297" s="271"/>
      <c r="CW297" s="271"/>
      <c r="CX297" s="271"/>
      <c r="CY297" s="271"/>
      <c r="CZ297" s="271"/>
      <c r="DA297" s="271"/>
      <c r="DB297" s="271"/>
      <c r="DC297" s="271"/>
      <c r="DD297" s="234">
        <f t="shared" si="101"/>
        <v>0</v>
      </c>
      <c r="DE297" s="244">
        <f t="shared" si="102"/>
        <v>6093990.384615384</v>
      </c>
    </row>
    <row r="298" spans="1:110" s="98" customFormat="1" ht="103.05" customHeight="1">
      <c r="A298" s="103" t="s">
        <v>1237</v>
      </c>
      <c r="B298" s="279" t="s">
        <v>9</v>
      </c>
      <c r="C298" s="279" t="s">
        <v>1698</v>
      </c>
      <c r="D298" s="279">
        <v>23</v>
      </c>
      <c r="E298" s="279" t="s">
        <v>1042</v>
      </c>
      <c r="F298" s="280" t="s">
        <v>1043</v>
      </c>
      <c r="G298" s="279" t="s">
        <v>3415</v>
      </c>
      <c r="H298" s="279">
        <v>31</v>
      </c>
      <c r="I298" s="279" t="s">
        <v>369</v>
      </c>
      <c r="J298" s="279" t="s">
        <v>683</v>
      </c>
      <c r="K298" s="279">
        <v>0</v>
      </c>
      <c r="L298" s="104">
        <v>1500</v>
      </c>
      <c r="M298" s="279" t="s">
        <v>1044</v>
      </c>
      <c r="N298" s="279" t="s">
        <v>1045</v>
      </c>
      <c r="O298" s="279" t="s">
        <v>370</v>
      </c>
      <c r="P298" s="283">
        <v>269</v>
      </c>
      <c r="Q298" s="279" t="s">
        <v>2785</v>
      </c>
      <c r="R298" s="279" t="s">
        <v>1049</v>
      </c>
      <c r="S298" s="279" t="s">
        <v>683</v>
      </c>
      <c r="T298" s="279">
        <v>0</v>
      </c>
      <c r="U298" s="267"/>
      <c r="V298" s="267">
        <v>10</v>
      </c>
      <c r="W298" s="224">
        <v>10</v>
      </c>
      <c r="X298" s="267"/>
      <c r="Y298" s="267">
        <v>10</v>
      </c>
      <c r="Z298" s="267">
        <v>10</v>
      </c>
      <c r="AA298" s="267">
        <v>10</v>
      </c>
      <c r="AB298" s="224">
        <v>30</v>
      </c>
      <c r="AC298" s="267">
        <v>11</v>
      </c>
      <c r="AD298" s="267">
        <v>11</v>
      </c>
      <c r="AE298" s="267">
        <v>11</v>
      </c>
      <c r="AF298" s="267">
        <v>10</v>
      </c>
      <c r="AG298" s="224">
        <v>43</v>
      </c>
      <c r="AH298" s="267">
        <v>10</v>
      </c>
      <c r="AI298" s="267">
        <v>10</v>
      </c>
      <c r="AJ298" s="267">
        <v>10</v>
      </c>
      <c r="AK298" s="267">
        <v>10</v>
      </c>
      <c r="AL298" s="224">
        <v>40</v>
      </c>
      <c r="AM298" s="104">
        <v>123</v>
      </c>
      <c r="AN298" s="103" t="s">
        <v>685</v>
      </c>
      <c r="AO298" s="103" t="s">
        <v>626</v>
      </c>
      <c r="AP298" s="103" t="s">
        <v>1228</v>
      </c>
      <c r="AQ298" s="103" t="s">
        <v>1199</v>
      </c>
      <c r="AR298" s="103" t="s">
        <v>945</v>
      </c>
      <c r="AS298" s="271"/>
      <c r="AT298" s="271"/>
      <c r="AU298" s="271"/>
      <c r="AV298" s="271">
        <v>80500000</v>
      </c>
      <c r="AW298" s="271"/>
      <c r="AX298" s="271"/>
      <c r="AY298" s="271"/>
      <c r="AZ298" s="271"/>
      <c r="BA298" s="271"/>
      <c r="BB298" s="271"/>
      <c r="BC298" s="271"/>
      <c r="BD298" s="271"/>
      <c r="BE298" s="271"/>
      <c r="BF298" s="271"/>
      <c r="BG298" s="271"/>
      <c r="BH298" s="235">
        <f t="shared" si="98"/>
        <v>80500000</v>
      </c>
      <c r="BI298" s="271"/>
      <c r="BJ298" s="271"/>
      <c r="BK298" s="271"/>
      <c r="BL298" s="271">
        <v>1134615.3846153845</v>
      </c>
      <c r="BM298" s="271">
        <v>4959375</v>
      </c>
      <c r="BN298" s="271"/>
      <c r="BO298" s="271"/>
      <c r="BP298" s="271"/>
      <c r="BQ298" s="271"/>
      <c r="BR298" s="271"/>
      <c r="BS298" s="271"/>
      <c r="BT298" s="271"/>
      <c r="BU298" s="271"/>
      <c r="BV298" s="271"/>
      <c r="BW298" s="271"/>
      <c r="BX298" s="235">
        <f t="shared" si="99"/>
        <v>6093990.384615384</v>
      </c>
      <c r="BY298" s="271"/>
      <c r="BZ298" s="271"/>
      <c r="CA298" s="271"/>
      <c r="CB298" s="271">
        <v>10000000</v>
      </c>
      <c r="CC298" s="271"/>
      <c r="CD298" s="271"/>
      <c r="CE298" s="271"/>
      <c r="CF298" s="271"/>
      <c r="CG298" s="271"/>
      <c r="CH298" s="271"/>
      <c r="CI298" s="271"/>
      <c r="CJ298" s="271"/>
      <c r="CK298" s="271"/>
      <c r="CL298" s="271"/>
      <c r="CM298" s="271"/>
      <c r="CN298" s="235">
        <f t="shared" si="100"/>
        <v>10000000</v>
      </c>
      <c r="CO298" s="271"/>
      <c r="CP298" s="271"/>
      <c r="CQ298" s="271"/>
      <c r="CR298" s="271">
        <v>24838387.356562503</v>
      </c>
      <c r="CS298" s="271"/>
      <c r="CT298" s="271"/>
      <c r="CU298" s="271"/>
      <c r="CV298" s="271"/>
      <c r="CW298" s="271"/>
      <c r="CX298" s="271"/>
      <c r="CY298" s="271"/>
      <c r="CZ298" s="271"/>
      <c r="DA298" s="271"/>
      <c r="DB298" s="271"/>
      <c r="DC298" s="271"/>
      <c r="DD298" s="234">
        <f t="shared" si="101"/>
        <v>24838387.356562503</v>
      </c>
      <c r="DE298" s="244">
        <f t="shared" si="102"/>
        <v>121432377.74117789</v>
      </c>
    </row>
    <row r="299" spans="1:110" s="98" customFormat="1" ht="103.05" customHeight="1">
      <c r="A299" s="103" t="s">
        <v>1237</v>
      </c>
      <c r="B299" s="279" t="s">
        <v>9</v>
      </c>
      <c r="C299" s="279" t="s">
        <v>1698</v>
      </c>
      <c r="D299" s="279">
        <v>23</v>
      </c>
      <c r="E299" s="279" t="s">
        <v>1042</v>
      </c>
      <c r="F299" s="280" t="s">
        <v>1043</v>
      </c>
      <c r="G299" s="279" t="s">
        <v>3415</v>
      </c>
      <c r="H299" s="279">
        <v>31</v>
      </c>
      <c r="I299" s="279" t="s">
        <v>369</v>
      </c>
      <c r="J299" s="279" t="s">
        <v>683</v>
      </c>
      <c r="K299" s="279">
        <v>0</v>
      </c>
      <c r="L299" s="104">
        <v>1500</v>
      </c>
      <c r="M299" s="279" t="s">
        <v>1044</v>
      </c>
      <c r="N299" s="279" t="s">
        <v>1045</v>
      </c>
      <c r="O299" s="279" t="s">
        <v>370</v>
      </c>
      <c r="P299" s="283">
        <v>270</v>
      </c>
      <c r="Q299" s="279" t="s">
        <v>2786</v>
      </c>
      <c r="R299" s="279" t="s">
        <v>1050</v>
      </c>
      <c r="S299" s="279" t="s">
        <v>683</v>
      </c>
      <c r="T299" s="279">
        <v>0</v>
      </c>
      <c r="U299" s="267">
        <v>1</v>
      </c>
      <c r="V299" s="267">
        <v>1</v>
      </c>
      <c r="W299" s="224">
        <v>2</v>
      </c>
      <c r="X299" s="267">
        <v>1</v>
      </c>
      <c r="Y299" s="267">
        <v>1</v>
      </c>
      <c r="Z299" s="267">
        <v>2</v>
      </c>
      <c r="AA299" s="267">
        <v>2</v>
      </c>
      <c r="AB299" s="224">
        <v>6</v>
      </c>
      <c r="AC299" s="267"/>
      <c r="AD299" s="267">
        <v>2</v>
      </c>
      <c r="AE299" s="267">
        <v>2</v>
      </c>
      <c r="AF299" s="267">
        <v>1</v>
      </c>
      <c r="AG299" s="224">
        <v>5</v>
      </c>
      <c r="AH299" s="267"/>
      <c r="AI299" s="267"/>
      <c r="AJ299" s="267"/>
      <c r="AK299" s="267"/>
      <c r="AL299" s="224">
        <v>0</v>
      </c>
      <c r="AM299" s="104">
        <v>13</v>
      </c>
      <c r="AN299" s="103" t="s">
        <v>685</v>
      </c>
      <c r="AO299" s="103" t="s">
        <v>626</v>
      </c>
      <c r="AP299" s="103" t="s">
        <v>1228</v>
      </c>
      <c r="AQ299" s="103" t="s">
        <v>1199</v>
      </c>
      <c r="AR299" s="103" t="s">
        <v>945</v>
      </c>
      <c r="AS299" s="271"/>
      <c r="AT299" s="271"/>
      <c r="AU299" s="271"/>
      <c r="AV299" s="271">
        <v>30000000</v>
      </c>
      <c r="AW299" s="271">
        <v>12468260.869565219</v>
      </c>
      <c r="AX299" s="271"/>
      <c r="AY299" s="271"/>
      <c r="AZ299" s="271"/>
      <c r="BA299" s="271"/>
      <c r="BB299" s="271"/>
      <c r="BC299" s="271"/>
      <c r="BD299" s="271"/>
      <c r="BE299" s="271"/>
      <c r="BF299" s="271"/>
      <c r="BG299" s="271"/>
      <c r="BH299" s="235">
        <f t="shared" si="98"/>
        <v>42468260.869565219</v>
      </c>
      <c r="BI299" s="271"/>
      <c r="BJ299" s="271"/>
      <c r="BK299" s="271"/>
      <c r="BL299" s="271">
        <v>1134615.3846153845</v>
      </c>
      <c r="BM299" s="271">
        <v>4959375</v>
      </c>
      <c r="BN299" s="271"/>
      <c r="BO299" s="271"/>
      <c r="BP299" s="271"/>
      <c r="BQ299" s="271"/>
      <c r="BR299" s="271"/>
      <c r="BS299" s="271"/>
      <c r="BT299" s="271"/>
      <c r="BU299" s="271"/>
      <c r="BV299" s="271"/>
      <c r="BW299" s="271"/>
      <c r="BX299" s="235">
        <f t="shared" si="99"/>
        <v>6093990.384615384</v>
      </c>
      <c r="BY299" s="271"/>
      <c r="BZ299" s="271"/>
      <c r="CA299" s="271"/>
      <c r="CB299" s="271">
        <v>10000000</v>
      </c>
      <c r="CC299" s="271"/>
      <c r="CD299" s="271"/>
      <c r="CE299" s="271"/>
      <c r="CF299" s="271"/>
      <c r="CG299" s="271"/>
      <c r="CH299" s="271"/>
      <c r="CI299" s="271"/>
      <c r="CJ299" s="271"/>
      <c r="CK299" s="271"/>
      <c r="CL299" s="271"/>
      <c r="CM299" s="271"/>
      <c r="CN299" s="235">
        <f t="shared" si="100"/>
        <v>10000000</v>
      </c>
      <c r="CO299" s="271"/>
      <c r="CP299" s="271"/>
      <c r="CQ299" s="271"/>
      <c r="CR299" s="271"/>
      <c r="CS299" s="271"/>
      <c r="CT299" s="271"/>
      <c r="CU299" s="271"/>
      <c r="CV299" s="271"/>
      <c r="CW299" s="271"/>
      <c r="CX299" s="271"/>
      <c r="CY299" s="271"/>
      <c r="CZ299" s="271"/>
      <c r="DA299" s="271"/>
      <c r="DB299" s="271"/>
      <c r="DC299" s="271"/>
      <c r="DD299" s="234">
        <f t="shared" si="101"/>
        <v>0</v>
      </c>
      <c r="DE299" s="244">
        <f t="shared" si="102"/>
        <v>58562251.254180603</v>
      </c>
    </row>
    <row r="300" spans="1:110" s="98" customFormat="1" ht="103.05" customHeight="1">
      <c r="A300" s="103" t="s">
        <v>1237</v>
      </c>
      <c r="B300" s="279" t="s">
        <v>9</v>
      </c>
      <c r="C300" s="279" t="s">
        <v>1698</v>
      </c>
      <c r="D300" s="279">
        <v>23</v>
      </c>
      <c r="E300" s="279" t="s">
        <v>1042</v>
      </c>
      <c r="F300" s="280" t="s">
        <v>1043</v>
      </c>
      <c r="G300" s="279" t="s">
        <v>3415</v>
      </c>
      <c r="H300" s="279">
        <v>31</v>
      </c>
      <c r="I300" s="279" t="s">
        <v>369</v>
      </c>
      <c r="J300" s="279" t="s">
        <v>683</v>
      </c>
      <c r="K300" s="279">
        <v>0</v>
      </c>
      <c r="L300" s="104">
        <v>1500</v>
      </c>
      <c r="M300" s="279" t="s">
        <v>1044</v>
      </c>
      <c r="N300" s="279" t="s">
        <v>1045</v>
      </c>
      <c r="O300" s="279" t="s">
        <v>370</v>
      </c>
      <c r="P300" s="283">
        <v>271</v>
      </c>
      <c r="Q300" s="279" t="s">
        <v>2787</v>
      </c>
      <c r="R300" s="279" t="s">
        <v>1051</v>
      </c>
      <c r="S300" s="279" t="s">
        <v>683</v>
      </c>
      <c r="T300" s="279">
        <v>0</v>
      </c>
      <c r="U300" s="267"/>
      <c r="V300" s="267"/>
      <c r="W300" s="224">
        <v>0</v>
      </c>
      <c r="X300" s="267"/>
      <c r="Y300" s="267"/>
      <c r="Z300" s="267">
        <v>0.25</v>
      </c>
      <c r="AA300" s="267">
        <v>0.25</v>
      </c>
      <c r="AB300" s="224">
        <v>0.5</v>
      </c>
      <c r="AC300" s="267"/>
      <c r="AD300" s="267">
        <v>0.25</v>
      </c>
      <c r="AE300" s="267">
        <v>0.25</v>
      </c>
      <c r="AF300" s="267"/>
      <c r="AG300" s="224">
        <v>0.5</v>
      </c>
      <c r="AH300" s="267"/>
      <c r="AI300" s="267"/>
      <c r="AJ300" s="267"/>
      <c r="AK300" s="267"/>
      <c r="AL300" s="224">
        <v>0</v>
      </c>
      <c r="AM300" s="104">
        <v>1</v>
      </c>
      <c r="AN300" s="103" t="s">
        <v>685</v>
      </c>
      <c r="AO300" s="103" t="s">
        <v>626</v>
      </c>
      <c r="AP300" s="103" t="s">
        <v>1228</v>
      </c>
      <c r="AQ300" s="103" t="s">
        <v>1199</v>
      </c>
      <c r="AR300" s="103" t="s">
        <v>945</v>
      </c>
      <c r="AS300" s="271"/>
      <c r="AT300" s="271"/>
      <c r="AU300" s="271"/>
      <c r="AV300" s="271"/>
      <c r="AW300" s="271"/>
      <c r="AX300" s="271"/>
      <c r="AY300" s="271"/>
      <c r="AZ300" s="271"/>
      <c r="BA300" s="271"/>
      <c r="BB300" s="271"/>
      <c r="BC300" s="271"/>
      <c r="BD300" s="271"/>
      <c r="BE300" s="271"/>
      <c r="BF300" s="271"/>
      <c r="BG300" s="271"/>
      <c r="BH300" s="235">
        <f t="shared" si="98"/>
        <v>0</v>
      </c>
      <c r="BI300" s="271"/>
      <c r="BJ300" s="271"/>
      <c r="BK300" s="271"/>
      <c r="BL300" s="271">
        <v>1134615.3846153845</v>
      </c>
      <c r="BM300" s="271">
        <v>4959375</v>
      </c>
      <c r="BN300" s="271"/>
      <c r="BO300" s="271"/>
      <c r="BP300" s="271"/>
      <c r="BQ300" s="271"/>
      <c r="BR300" s="271"/>
      <c r="BS300" s="271"/>
      <c r="BT300" s="271"/>
      <c r="BU300" s="271"/>
      <c r="BV300" s="271"/>
      <c r="BW300" s="271"/>
      <c r="BX300" s="235">
        <f t="shared" si="99"/>
        <v>6093990.384615384</v>
      </c>
      <c r="BY300" s="271"/>
      <c r="BZ300" s="271"/>
      <c r="CA300" s="271"/>
      <c r="CB300" s="271">
        <v>13655607.006250001</v>
      </c>
      <c r="CC300" s="271"/>
      <c r="CD300" s="271"/>
      <c r="CE300" s="271"/>
      <c r="CF300" s="271"/>
      <c r="CG300" s="271"/>
      <c r="CH300" s="271"/>
      <c r="CI300" s="271"/>
      <c r="CJ300" s="271"/>
      <c r="CK300" s="271"/>
      <c r="CL300" s="271"/>
      <c r="CM300" s="271"/>
      <c r="CN300" s="235">
        <f t="shared" si="100"/>
        <v>13655607.006250001</v>
      </c>
      <c r="CO300" s="271"/>
      <c r="CP300" s="271"/>
      <c r="CQ300" s="271"/>
      <c r="CR300" s="271"/>
      <c r="CS300" s="271"/>
      <c r="CT300" s="271"/>
      <c r="CU300" s="271"/>
      <c r="CV300" s="271"/>
      <c r="CW300" s="271"/>
      <c r="CX300" s="271"/>
      <c r="CY300" s="271"/>
      <c r="CZ300" s="271"/>
      <c r="DA300" s="271"/>
      <c r="DB300" s="271"/>
      <c r="DC300" s="271"/>
      <c r="DD300" s="234">
        <f t="shared" si="101"/>
        <v>0</v>
      </c>
      <c r="DE300" s="244">
        <f t="shared" si="102"/>
        <v>19749597.390865386</v>
      </c>
    </row>
    <row r="301" spans="1:110" s="98" customFormat="1" ht="103.05" customHeight="1">
      <c r="A301" s="103" t="s">
        <v>1237</v>
      </c>
      <c r="B301" s="279" t="s">
        <v>9</v>
      </c>
      <c r="C301" s="279" t="s">
        <v>1698</v>
      </c>
      <c r="D301" s="279">
        <v>23</v>
      </c>
      <c r="E301" s="279" t="s">
        <v>1042</v>
      </c>
      <c r="F301" s="280" t="s">
        <v>1043</v>
      </c>
      <c r="G301" s="279" t="s">
        <v>3415</v>
      </c>
      <c r="H301" s="279">
        <v>31</v>
      </c>
      <c r="I301" s="279" t="s">
        <v>369</v>
      </c>
      <c r="J301" s="279" t="s">
        <v>683</v>
      </c>
      <c r="K301" s="279">
        <v>0</v>
      </c>
      <c r="L301" s="104">
        <v>1500</v>
      </c>
      <c r="M301" s="279" t="s">
        <v>1044</v>
      </c>
      <c r="N301" s="279" t="s">
        <v>1045</v>
      </c>
      <c r="O301" s="279" t="s">
        <v>370</v>
      </c>
      <c r="P301" s="283">
        <v>272</v>
      </c>
      <c r="Q301" s="279" t="s">
        <v>3416</v>
      </c>
      <c r="R301" s="279" t="s">
        <v>1052</v>
      </c>
      <c r="S301" s="279" t="s">
        <v>683</v>
      </c>
      <c r="T301" s="279">
        <v>0</v>
      </c>
      <c r="U301" s="267">
        <v>3</v>
      </c>
      <c r="V301" s="267"/>
      <c r="W301" s="224">
        <v>3</v>
      </c>
      <c r="X301" s="267"/>
      <c r="Y301" s="267">
        <v>1</v>
      </c>
      <c r="Z301" s="267">
        <v>1</v>
      </c>
      <c r="AA301" s="267">
        <v>1</v>
      </c>
      <c r="AB301" s="224">
        <v>3</v>
      </c>
      <c r="AC301" s="267">
        <v>1</v>
      </c>
      <c r="AD301" s="267">
        <v>1</v>
      </c>
      <c r="AE301" s="267">
        <v>1</v>
      </c>
      <c r="AF301" s="267">
        <v>1</v>
      </c>
      <c r="AG301" s="224">
        <v>4</v>
      </c>
      <c r="AH301" s="267">
        <v>1</v>
      </c>
      <c r="AI301" s="267">
        <v>1</v>
      </c>
      <c r="AJ301" s="267">
        <v>1</v>
      </c>
      <c r="AK301" s="267"/>
      <c r="AL301" s="224">
        <v>3</v>
      </c>
      <c r="AM301" s="104">
        <v>13</v>
      </c>
      <c r="AN301" s="103" t="s">
        <v>685</v>
      </c>
      <c r="AO301" s="103" t="s">
        <v>626</v>
      </c>
      <c r="AP301" s="103" t="s">
        <v>1228</v>
      </c>
      <c r="AQ301" s="103" t="s">
        <v>1199</v>
      </c>
      <c r="AR301" s="103" t="s">
        <v>945</v>
      </c>
      <c r="AS301" s="271"/>
      <c r="AT301" s="271"/>
      <c r="AU301" s="271"/>
      <c r="AV301" s="271"/>
      <c r="AW301" s="271">
        <v>6178260.8695652178</v>
      </c>
      <c r="AX301" s="271"/>
      <c r="AY301" s="271"/>
      <c r="AZ301" s="271"/>
      <c r="BA301" s="271"/>
      <c r="BB301" s="271"/>
      <c r="BC301" s="271"/>
      <c r="BD301" s="271"/>
      <c r="BE301" s="271"/>
      <c r="BF301" s="271"/>
      <c r="BG301" s="271"/>
      <c r="BH301" s="235">
        <f t="shared" si="98"/>
        <v>6178260.8695652178</v>
      </c>
      <c r="BI301" s="271"/>
      <c r="BJ301" s="271"/>
      <c r="BK301" s="271"/>
      <c r="BL301" s="271">
        <v>1134615.3846153845</v>
      </c>
      <c r="BM301" s="271">
        <v>4959375</v>
      </c>
      <c r="BN301" s="271"/>
      <c r="BO301" s="271"/>
      <c r="BP301" s="271"/>
      <c r="BQ301" s="271"/>
      <c r="BR301" s="271"/>
      <c r="BS301" s="271"/>
      <c r="BT301" s="271"/>
      <c r="BU301" s="271"/>
      <c r="BV301" s="271"/>
      <c r="BW301" s="271"/>
      <c r="BX301" s="235">
        <f t="shared" si="99"/>
        <v>6093990.384615384</v>
      </c>
      <c r="BY301" s="271"/>
      <c r="BZ301" s="271"/>
      <c r="CA301" s="271"/>
      <c r="CB301" s="271">
        <v>13655607.006250001</v>
      </c>
      <c r="CC301" s="271"/>
      <c r="CD301" s="271"/>
      <c r="CE301" s="271"/>
      <c r="CF301" s="271"/>
      <c r="CG301" s="271"/>
      <c r="CH301" s="271"/>
      <c r="CI301" s="271"/>
      <c r="CJ301" s="271"/>
      <c r="CK301" s="271"/>
      <c r="CL301" s="271"/>
      <c r="CM301" s="271"/>
      <c r="CN301" s="235">
        <f t="shared" si="100"/>
        <v>13655607.006250001</v>
      </c>
      <c r="CO301" s="271"/>
      <c r="CP301" s="271"/>
      <c r="CQ301" s="271"/>
      <c r="CR301" s="271">
        <v>14338387.356562501</v>
      </c>
      <c r="CS301" s="271"/>
      <c r="CT301" s="271"/>
      <c r="CU301" s="271"/>
      <c r="CV301" s="271"/>
      <c r="CW301" s="271"/>
      <c r="CX301" s="271"/>
      <c r="CY301" s="271"/>
      <c r="CZ301" s="271"/>
      <c r="DA301" s="271"/>
      <c r="DB301" s="271"/>
      <c r="DC301" s="271"/>
      <c r="DD301" s="234">
        <f t="shared" si="101"/>
        <v>14338387.356562501</v>
      </c>
      <c r="DE301" s="244">
        <f t="shared" si="102"/>
        <v>40266245.616993107</v>
      </c>
    </row>
    <row r="302" spans="1:110" s="98" customFormat="1" ht="103.05" customHeight="1">
      <c r="A302" s="103" t="s">
        <v>1237</v>
      </c>
      <c r="B302" s="279" t="s">
        <v>9</v>
      </c>
      <c r="C302" s="279" t="s">
        <v>1698</v>
      </c>
      <c r="D302" s="279">
        <v>23</v>
      </c>
      <c r="E302" s="279" t="s">
        <v>1042</v>
      </c>
      <c r="F302" s="280" t="s">
        <v>1043</v>
      </c>
      <c r="G302" s="279" t="s">
        <v>3415</v>
      </c>
      <c r="H302" s="279">
        <v>31</v>
      </c>
      <c r="I302" s="279" t="s">
        <v>369</v>
      </c>
      <c r="J302" s="279" t="s">
        <v>683</v>
      </c>
      <c r="K302" s="279">
        <v>0</v>
      </c>
      <c r="L302" s="104">
        <v>1500</v>
      </c>
      <c r="M302" s="279" t="s">
        <v>1044</v>
      </c>
      <c r="N302" s="279" t="s">
        <v>1045</v>
      </c>
      <c r="O302" s="279" t="s">
        <v>370</v>
      </c>
      <c r="P302" s="283">
        <v>273</v>
      </c>
      <c r="Q302" s="279" t="s">
        <v>2788</v>
      </c>
      <c r="R302" s="279" t="s">
        <v>372</v>
      </c>
      <c r="S302" s="279" t="s">
        <v>683</v>
      </c>
      <c r="T302" s="279">
        <v>0</v>
      </c>
      <c r="U302" s="267"/>
      <c r="V302" s="267">
        <v>1</v>
      </c>
      <c r="W302" s="224">
        <v>1</v>
      </c>
      <c r="X302" s="267"/>
      <c r="Y302" s="267">
        <v>1</v>
      </c>
      <c r="Z302" s="267"/>
      <c r="AA302" s="267"/>
      <c r="AB302" s="224">
        <v>1</v>
      </c>
      <c r="AC302" s="267"/>
      <c r="AD302" s="267">
        <v>1</v>
      </c>
      <c r="AE302" s="267"/>
      <c r="AF302" s="267"/>
      <c r="AG302" s="224">
        <v>1</v>
      </c>
      <c r="AH302" s="267"/>
      <c r="AI302" s="267">
        <v>1</v>
      </c>
      <c r="AJ302" s="267"/>
      <c r="AK302" s="267"/>
      <c r="AL302" s="224">
        <v>1</v>
      </c>
      <c r="AM302" s="104">
        <v>4</v>
      </c>
      <c r="AN302" s="103" t="s">
        <v>685</v>
      </c>
      <c r="AO302" s="103" t="s">
        <v>626</v>
      </c>
      <c r="AP302" s="103" t="s">
        <v>1228</v>
      </c>
      <c r="AQ302" s="103" t="s">
        <v>1199</v>
      </c>
      <c r="AR302" s="103" t="s">
        <v>945</v>
      </c>
      <c r="AS302" s="271"/>
      <c r="AT302" s="271"/>
      <c r="AU302" s="271"/>
      <c r="AV302" s="271">
        <v>45000000</v>
      </c>
      <c r="AW302" s="271">
        <v>7205579.0434782496</v>
      </c>
      <c r="AX302" s="271"/>
      <c r="AY302" s="271"/>
      <c r="AZ302" s="271"/>
      <c r="BA302" s="271"/>
      <c r="BB302" s="271"/>
      <c r="BC302" s="271"/>
      <c r="BD302" s="271"/>
      <c r="BE302" s="271"/>
      <c r="BF302" s="271"/>
      <c r="BG302" s="271"/>
      <c r="BH302" s="235">
        <f t="shared" si="98"/>
        <v>52205579.043478251</v>
      </c>
      <c r="BI302" s="271"/>
      <c r="BJ302" s="271"/>
      <c r="BK302" s="271"/>
      <c r="BL302" s="271">
        <v>20000000</v>
      </c>
      <c r="BM302" s="271">
        <v>4959375</v>
      </c>
      <c r="BN302" s="271"/>
      <c r="BO302" s="271"/>
      <c r="BP302" s="271"/>
      <c r="BQ302" s="271"/>
      <c r="BR302" s="271"/>
      <c r="BS302" s="271"/>
      <c r="BT302" s="271"/>
      <c r="BU302" s="271"/>
      <c r="BV302" s="271"/>
      <c r="BW302" s="271"/>
      <c r="BX302" s="235">
        <f t="shared" si="99"/>
        <v>24959375</v>
      </c>
      <c r="BY302" s="271"/>
      <c r="BZ302" s="271"/>
      <c r="CA302" s="271"/>
      <c r="CB302" s="271">
        <v>20000000</v>
      </c>
      <c r="CC302" s="271"/>
      <c r="CD302" s="271"/>
      <c r="CE302" s="271"/>
      <c r="CF302" s="271"/>
      <c r="CG302" s="271"/>
      <c r="CH302" s="271"/>
      <c r="CI302" s="271"/>
      <c r="CJ302" s="271"/>
      <c r="CK302" s="271"/>
      <c r="CL302" s="271"/>
      <c r="CM302" s="271"/>
      <c r="CN302" s="235">
        <f t="shared" si="100"/>
        <v>20000000</v>
      </c>
      <c r="CO302" s="271"/>
      <c r="CP302" s="271"/>
      <c r="CQ302" s="271"/>
      <c r="CR302" s="271">
        <v>35338387.356562503</v>
      </c>
      <c r="CS302" s="271"/>
      <c r="CT302" s="271"/>
      <c r="CU302" s="271"/>
      <c r="CV302" s="271"/>
      <c r="CW302" s="271"/>
      <c r="CX302" s="271"/>
      <c r="CY302" s="271"/>
      <c r="CZ302" s="271"/>
      <c r="DA302" s="271"/>
      <c r="DB302" s="271"/>
      <c r="DC302" s="271"/>
      <c r="DD302" s="234">
        <f t="shared" si="101"/>
        <v>35338387.356562503</v>
      </c>
      <c r="DE302" s="244">
        <f t="shared" si="102"/>
        <v>132503341.40004075</v>
      </c>
    </row>
    <row r="303" spans="1:110" s="98" customFormat="1" ht="103.05" customHeight="1">
      <c r="A303" s="103" t="s">
        <v>1237</v>
      </c>
      <c r="B303" s="279" t="s">
        <v>9</v>
      </c>
      <c r="C303" s="279" t="s">
        <v>1698</v>
      </c>
      <c r="D303" s="279">
        <v>23</v>
      </c>
      <c r="E303" s="279" t="s">
        <v>1042</v>
      </c>
      <c r="F303" s="280" t="s">
        <v>1043</v>
      </c>
      <c r="G303" s="279" t="s">
        <v>3415</v>
      </c>
      <c r="H303" s="279">
        <v>31</v>
      </c>
      <c r="I303" s="279" t="s">
        <v>369</v>
      </c>
      <c r="J303" s="279" t="s">
        <v>683</v>
      </c>
      <c r="K303" s="279">
        <v>0</v>
      </c>
      <c r="L303" s="104">
        <v>1500</v>
      </c>
      <c r="M303" s="279" t="s">
        <v>1044</v>
      </c>
      <c r="N303" s="279" t="s">
        <v>1045</v>
      </c>
      <c r="O303" s="279" t="s">
        <v>370</v>
      </c>
      <c r="P303" s="283">
        <v>274</v>
      </c>
      <c r="Q303" s="279" t="s">
        <v>2789</v>
      </c>
      <c r="R303" s="279" t="s">
        <v>373</v>
      </c>
      <c r="S303" s="279" t="s">
        <v>683</v>
      </c>
      <c r="T303" s="279">
        <v>0</v>
      </c>
      <c r="U303" s="267"/>
      <c r="V303" s="267"/>
      <c r="W303" s="224">
        <v>0</v>
      </c>
      <c r="X303" s="267"/>
      <c r="Y303" s="267">
        <v>1</v>
      </c>
      <c r="Z303" s="267"/>
      <c r="AA303" s="267">
        <v>1</v>
      </c>
      <c r="AB303" s="224">
        <v>2</v>
      </c>
      <c r="AC303" s="267"/>
      <c r="AD303" s="267">
        <v>1</v>
      </c>
      <c r="AE303" s="267"/>
      <c r="AF303" s="267"/>
      <c r="AG303" s="224">
        <v>1</v>
      </c>
      <c r="AH303" s="267"/>
      <c r="AI303" s="267"/>
      <c r="AJ303" s="267">
        <v>1</v>
      </c>
      <c r="AK303" s="267"/>
      <c r="AL303" s="224">
        <v>1</v>
      </c>
      <c r="AM303" s="104">
        <v>4</v>
      </c>
      <c r="AN303" s="103" t="s">
        <v>685</v>
      </c>
      <c r="AO303" s="103" t="s">
        <v>626</v>
      </c>
      <c r="AP303" s="103" t="s">
        <v>1228</v>
      </c>
      <c r="AQ303" s="103" t="s">
        <v>1199</v>
      </c>
      <c r="AR303" s="103" t="s">
        <v>945</v>
      </c>
      <c r="AS303" s="271"/>
      <c r="AT303" s="271"/>
      <c r="AU303" s="271"/>
      <c r="AV303" s="271"/>
      <c r="AW303" s="271"/>
      <c r="AX303" s="271"/>
      <c r="AY303" s="271"/>
      <c r="AZ303" s="271"/>
      <c r="BA303" s="271"/>
      <c r="BB303" s="271"/>
      <c r="BC303" s="271"/>
      <c r="BD303" s="271"/>
      <c r="BE303" s="271"/>
      <c r="BF303" s="271"/>
      <c r="BG303" s="271"/>
      <c r="BH303" s="235">
        <f t="shared" si="98"/>
        <v>0</v>
      </c>
      <c r="BI303" s="271"/>
      <c r="BJ303" s="271"/>
      <c r="BK303" s="271"/>
      <c r="BL303" s="271">
        <v>1134615.3846153845</v>
      </c>
      <c r="BM303" s="271">
        <v>4959375</v>
      </c>
      <c r="BN303" s="271"/>
      <c r="BO303" s="271"/>
      <c r="BP303" s="271"/>
      <c r="BQ303" s="271"/>
      <c r="BR303" s="271"/>
      <c r="BS303" s="271"/>
      <c r="BT303" s="271"/>
      <c r="BU303" s="271"/>
      <c r="BV303" s="271"/>
      <c r="BW303" s="271"/>
      <c r="BX303" s="235">
        <f t="shared" si="99"/>
        <v>6093990.384615384</v>
      </c>
      <c r="BY303" s="271"/>
      <c r="BZ303" s="271"/>
      <c r="CA303" s="271"/>
      <c r="CB303" s="271">
        <v>13655607.006250001</v>
      </c>
      <c r="CC303" s="271"/>
      <c r="CD303" s="271"/>
      <c r="CE303" s="271"/>
      <c r="CF303" s="271"/>
      <c r="CG303" s="271"/>
      <c r="CH303" s="271"/>
      <c r="CI303" s="271"/>
      <c r="CJ303" s="271"/>
      <c r="CK303" s="271"/>
      <c r="CL303" s="271"/>
      <c r="CM303" s="271"/>
      <c r="CN303" s="235">
        <f t="shared" si="100"/>
        <v>13655607.006250001</v>
      </c>
      <c r="CO303" s="271"/>
      <c r="CP303" s="271"/>
      <c r="CQ303" s="271"/>
      <c r="CR303" s="271">
        <v>14338387.356562501</v>
      </c>
      <c r="CS303" s="271"/>
      <c r="CT303" s="271"/>
      <c r="CU303" s="271"/>
      <c r="CV303" s="271"/>
      <c r="CW303" s="271"/>
      <c r="CX303" s="271"/>
      <c r="CY303" s="271"/>
      <c r="CZ303" s="271"/>
      <c r="DA303" s="271"/>
      <c r="DB303" s="271"/>
      <c r="DC303" s="271"/>
      <c r="DD303" s="234">
        <f t="shared" si="101"/>
        <v>14338387.356562501</v>
      </c>
      <c r="DE303" s="244">
        <f t="shared" si="102"/>
        <v>34087984.747427888</v>
      </c>
    </row>
    <row r="304" spans="1:110" s="98" customFormat="1" ht="103.05" customHeight="1">
      <c r="A304" s="103" t="s">
        <v>1237</v>
      </c>
      <c r="B304" s="279" t="s">
        <v>9</v>
      </c>
      <c r="C304" s="279" t="s">
        <v>1698</v>
      </c>
      <c r="D304" s="279">
        <v>23</v>
      </c>
      <c r="E304" s="279" t="s">
        <v>1042</v>
      </c>
      <c r="F304" s="280" t="s">
        <v>1043</v>
      </c>
      <c r="G304" s="279" t="s">
        <v>3415</v>
      </c>
      <c r="H304" s="279">
        <v>31</v>
      </c>
      <c r="I304" s="279" t="s">
        <v>369</v>
      </c>
      <c r="J304" s="279" t="s">
        <v>683</v>
      </c>
      <c r="K304" s="279">
        <v>0</v>
      </c>
      <c r="L304" s="104">
        <v>1500</v>
      </c>
      <c r="M304" s="279" t="s">
        <v>1053</v>
      </c>
      <c r="N304" s="279" t="s">
        <v>1054</v>
      </c>
      <c r="O304" s="279" t="s">
        <v>1055</v>
      </c>
      <c r="P304" s="283">
        <v>275</v>
      </c>
      <c r="Q304" s="279" t="s">
        <v>2790</v>
      </c>
      <c r="R304" s="279" t="s">
        <v>374</v>
      </c>
      <c r="S304" s="279" t="s">
        <v>683</v>
      </c>
      <c r="T304" s="279">
        <v>0</v>
      </c>
      <c r="U304" s="267">
        <v>1</v>
      </c>
      <c r="V304" s="267"/>
      <c r="W304" s="224">
        <v>1</v>
      </c>
      <c r="X304" s="267"/>
      <c r="Y304" s="267"/>
      <c r="Z304" s="267">
        <v>1</v>
      </c>
      <c r="AA304" s="267"/>
      <c r="AB304" s="224">
        <v>1</v>
      </c>
      <c r="AC304" s="267"/>
      <c r="AD304" s="267"/>
      <c r="AE304" s="267">
        <v>1</v>
      </c>
      <c r="AF304" s="267"/>
      <c r="AG304" s="224">
        <v>1</v>
      </c>
      <c r="AH304" s="267"/>
      <c r="AI304" s="267"/>
      <c r="AJ304" s="267">
        <v>1</v>
      </c>
      <c r="AK304" s="267"/>
      <c r="AL304" s="224">
        <v>1</v>
      </c>
      <c r="AM304" s="104">
        <v>4</v>
      </c>
      <c r="AN304" s="103" t="s">
        <v>685</v>
      </c>
      <c r="AO304" s="103" t="s">
        <v>626</v>
      </c>
      <c r="AP304" s="103" t="s">
        <v>1228</v>
      </c>
      <c r="AQ304" s="103" t="s">
        <v>1199</v>
      </c>
      <c r="AR304" s="103" t="s">
        <v>945</v>
      </c>
      <c r="AS304" s="271"/>
      <c r="AT304" s="271"/>
      <c r="AU304" s="271"/>
      <c r="AV304" s="271"/>
      <c r="AW304" s="271">
        <v>6284782.6086956542</v>
      </c>
      <c r="AX304" s="271"/>
      <c r="AY304" s="271"/>
      <c r="AZ304" s="271"/>
      <c r="BA304" s="271"/>
      <c r="BB304" s="271"/>
      <c r="BC304" s="271"/>
      <c r="BD304" s="271"/>
      <c r="BE304" s="271"/>
      <c r="BF304" s="271"/>
      <c r="BG304" s="271"/>
      <c r="BH304" s="235">
        <f t="shared" si="98"/>
        <v>6284782.6086956542</v>
      </c>
      <c r="BI304" s="271"/>
      <c r="BJ304" s="271"/>
      <c r="BK304" s="271"/>
      <c r="BL304" s="271">
        <v>50000000</v>
      </c>
      <c r="BM304" s="271">
        <v>4959375</v>
      </c>
      <c r="BN304" s="271"/>
      <c r="BO304" s="271"/>
      <c r="BP304" s="271"/>
      <c r="BQ304" s="271"/>
      <c r="BR304" s="271"/>
      <c r="BS304" s="271"/>
      <c r="BT304" s="271"/>
      <c r="BU304" s="271"/>
      <c r="BV304" s="271"/>
      <c r="BW304" s="271"/>
      <c r="BX304" s="235">
        <f t="shared" si="99"/>
        <v>54959375</v>
      </c>
      <c r="BY304" s="271"/>
      <c r="BZ304" s="271"/>
      <c r="CA304" s="271"/>
      <c r="CB304" s="271">
        <v>60000000</v>
      </c>
      <c r="CC304" s="271"/>
      <c r="CD304" s="271"/>
      <c r="CE304" s="271"/>
      <c r="CF304" s="271"/>
      <c r="CG304" s="271"/>
      <c r="CH304" s="271"/>
      <c r="CI304" s="271"/>
      <c r="CJ304" s="271"/>
      <c r="CK304" s="271"/>
      <c r="CL304" s="271"/>
      <c r="CM304" s="271"/>
      <c r="CN304" s="235">
        <f t="shared" si="100"/>
        <v>60000000</v>
      </c>
      <c r="CO304" s="271"/>
      <c r="CP304" s="271"/>
      <c r="CQ304" s="271"/>
      <c r="CR304" s="271">
        <v>76130401.147499993</v>
      </c>
      <c r="CS304" s="271"/>
      <c r="CT304" s="271"/>
      <c r="CU304" s="271"/>
      <c r="CV304" s="271"/>
      <c r="CW304" s="271"/>
      <c r="CX304" s="271"/>
      <c r="CY304" s="271"/>
      <c r="CZ304" s="271"/>
      <c r="DA304" s="271"/>
      <c r="DB304" s="271"/>
      <c r="DC304" s="271"/>
      <c r="DD304" s="234">
        <f t="shared" si="101"/>
        <v>76130401.147499993</v>
      </c>
      <c r="DE304" s="244">
        <f t="shared" si="102"/>
        <v>197374558.75619563</v>
      </c>
    </row>
    <row r="305" spans="1:110" s="98" customFormat="1" ht="103.05" customHeight="1">
      <c r="A305" s="103" t="s">
        <v>1237</v>
      </c>
      <c r="B305" s="279" t="s">
        <v>9</v>
      </c>
      <c r="C305" s="279" t="s">
        <v>1698</v>
      </c>
      <c r="D305" s="279">
        <v>23</v>
      </c>
      <c r="E305" s="279" t="s">
        <v>1042</v>
      </c>
      <c r="F305" s="280" t="s">
        <v>1043</v>
      </c>
      <c r="G305" s="279" t="s">
        <v>3415</v>
      </c>
      <c r="H305" s="279">
        <v>31</v>
      </c>
      <c r="I305" s="279" t="s">
        <v>369</v>
      </c>
      <c r="J305" s="279" t="s">
        <v>683</v>
      </c>
      <c r="K305" s="279">
        <v>0</v>
      </c>
      <c r="L305" s="104">
        <v>1500</v>
      </c>
      <c r="M305" s="279" t="s">
        <v>1053</v>
      </c>
      <c r="N305" s="279" t="s">
        <v>1054</v>
      </c>
      <c r="O305" s="279" t="s">
        <v>1055</v>
      </c>
      <c r="P305" s="283">
        <v>276</v>
      </c>
      <c r="Q305" s="279" t="s">
        <v>2791</v>
      </c>
      <c r="R305" s="279" t="s">
        <v>375</v>
      </c>
      <c r="S305" s="279" t="s">
        <v>683</v>
      </c>
      <c r="T305" s="279">
        <v>0</v>
      </c>
      <c r="U305" s="267"/>
      <c r="V305" s="267"/>
      <c r="W305" s="224">
        <v>0</v>
      </c>
      <c r="X305" s="267"/>
      <c r="Y305" s="267">
        <v>1</v>
      </c>
      <c r="Z305" s="267"/>
      <c r="AA305" s="267"/>
      <c r="AB305" s="224">
        <v>1</v>
      </c>
      <c r="AC305" s="267">
        <v>1</v>
      </c>
      <c r="AD305" s="267"/>
      <c r="AE305" s="267"/>
      <c r="AF305" s="267">
        <v>1</v>
      </c>
      <c r="AG305" s="224">
        <v>2</v>
      </c>
      <c r="AH305" s="267"/>
      <c r="AI305" s="267"/>
      <c r="AJ305" s="267">
        <v>1</v>
      </c>
      <c r="AK305" s="267"/>
      <c r="AL305" s="224">
        <v>1</v>
      </c>
      <c r="AM305" s="104">
        <v>4</v>
      </c>
      <c r="AN305" s="103" t="s">
        <v>685</v>
      </c>
      <c r="AO305" s="103" t="s">
        <v>626</v>
      </c>
      <c r="AP305" s="103" t="s">
        <v>1228</v>
      </c>
      <c r="AQ305" s="103" t="s">
        <v>1199</v>
      </c>
      <c r="AR305" s="103" t="s">
        <v>945</v>
      </c>
      <c r="AS305" s="271"/>
      <c r="AT305" s="271"/>
      <c r="AU305" s="271"/>
      <c r="AV305" s="271"/>
      <c r="AW305" s="271"/>
      <c r="AX305" s="271"/>
      <c r="AY305" s="271"/>
      <c r="AZ305" s="271"/>
      <c r="BA305" s="271"/>
      <c r="BB305" s="271"/>
      <c r="BC305" s="271"/>
      <c r="BD305" s="271"/>
      <c r="BE305" s="271"/>
      <c r="BF305" s="271"/>
      <c r="BG305" s="271"/>
      <c r="BH305" s="235">
        <f t="shared" si="98"/>
        <v>0</v>
      </c>
      <c r="BI305" s="271"/>
      <c r="BJ305" s="271"/>
      <c r="BK305" s="271"/>
      <c r="BL305" s="271">
        <v>1134615.3846153845</v>
      </c>
      <c r="BM305" s="271">
        <v>4959375</v>
      </c>
      <c r="BN305" s="271"/>
      <c r="BO305" s="271"/>
      <c r="BP305" s="271"/>
      <c r="BQ305" s="271"/>
      <c r="BR305" s="271"/>
      <c r="BS305" s="271"/>
      <c r="BT305" s="271"/>
      <c r="BU305" s="271"/>
      <c r="BV305" s="271"/>
      <c r="BW305" s="271"/>
      <c r="BX305" s="235">
        <f t="shared" si="99"/>
        <v>6093990.384615384</v>
      </c>
      <c r="BY305" s="271"/>
      <c r="BZ305" s="271"/>
      <c r="CA305" s="271"/>
      <c r="CB305" s="271">
        <v>13655607.006250001</v>
      </c>
      <c r="CC305" s="271"/>
      <c r="CD305" s="271"/>
      <c r="CE305" s="271"/>
      <c r="CF305" s="271"/>
      <c r="CG305" s="271"/>
      <c r="CH305" s="271"/>
      <c r="CI305" s="271"/>
      <c r="CJ305" s="271"/>
      <c r="CK305" s="271"/>
      <c r="CL305" s="271"/>
      <c r="CM305" s="271"/>
      <c r="CN305" s="235">
        <f t="shared" si="100"/>
        <v>13655607.006250001</v>
      </c>
      <c r="CO305" s="271"/>
      <c r="CP305" s="271"/>
      <c r="CQ305" s="271"/>
      <c r="CR305" s="271">
        <v>14338387.356562501</v>
      </c>
      <c r="CS305" s="271"/>
      <c r="CT305" s="271"/>
      <c r="CU305" s="271"/>
      <c r="CV305" s="271"/>
      <c r="CW305" s="271"/>
      <c r="CX305" s="271"/>
      <c r="CY305" s="271"/>
      <c r="CZ305" s="271"/>
      <c r="DA305" s="271"/>
      <c r="DB305" s="271"/>
      <c r="DC305" s="271"/>
      <c r="DD305" s="234">
        <f t="shared" si="101"/>
        <v>14338387.356562501</v>
      </c>
      <c r="DE305" s="244">
        <f t="shared" si="102"/>
        <v>34087984.747427888</v>
      </c>
    </row>
    <row r="306" spans="1:110" s="98" customFormat="1" ht="103.05" customHeight="1">
      <c r="A306" s="103" t="s">
        <v>1237</v>
      </c>
      <c r="B306" s="279" t="s">
        <v>9</v>
      </c>
      <c r="C306" s="279" t="s">
        <v>1698</v>
      </c>
      <c r="D306" s="279">
        <v>23</v>
      </c>
      <c r="E306" s="279" t="s">
        <v>1042</v>
      </c>
      <c r="F306" s="280" t="s">
        <v>1043</v>
      </c>
      <c r="G306" s="279" t="s">
        <v>3415</v>
      </c>
      <c r="H306" s="279">
        <v>31</v>
      </c>
      <c r="I306" s="279" t="s">
        <v>369</v>
      </c>
      <c r="J306" s="279" t="s">
        <v>683</v>
      </c>
      <c r="K306" s="279">
        <v>0</v>
      </c>
      <c r="L306" s="104">
        <v>1500</v>
      </c>
      <c r="M306" s="279" t="s">
        <v>1053</v>
      </c>
      <c r="N306" s="279" t="s">
        <v>1054</v>
      </c>
      <c r="O306" s="279" t="s">
        <v>1055</v>
      </c>
      <c r="P306" s="283">
        <v>277</v>
      </c>
      <c r="Q306" s="279" t="s">
        <v>2792</v>
      </c>
      <c r="R306" s="279" t="s">
        <v>1056</v>
      </c>
      <c r="S306" s="279" t="s">
        <v>683</v>
      </c>
      <c r="T306" s="279">
        <v>0</v>
      </c>
      <c r="U306" s="267"/>
      <c r="V306" s="267">
        <v>0.5</v>
      </c>
      <c r="W306" s="224">
        <v>0.5</v>
      </c>
      <c r="X306" s="267"/>
      <c r="Y306" s="267">
        <v>0.25</v>
      </c>
      <c r="Z306" s="267">
        <v>0.25</v>
      </c>
      <c r="AA306" s="267"/>
      <c r="AB306" s="224">
        <v>0.5</v>
      </c>
      <c r="AC306" s="267"/>
      <c r="AD306" s="267"/>
      <c r="AE306" s="267"/>
      <c r="AF306" s="267"/>
      <c r="AG306" s="224">
        <v>0</v>
      </c>
      <c r="AH306" s="267"/>
      <c r="AI306" s="267"/>
      <c r="AJ306" s="267"/>
      <c r="AK306" s="267"/>
      <c r="AL306" s="224">
        <v>0</v>
      </c>
      <c r="AM306" s="104">
        <v>1</v>
      </c>
      <c r="AN306" s="103" t="s">
        <v>685</v>
      </c>
      <c r="AO306" s="103" t="s">
        <v>626</v>
      </c>
      <c r="AP306" s="103" t="s">
        <v>1228</v>
      </c>
      <c r="AQ306" s="103" t="s">
        <v>1199</v>
      </c>
      <c r="AR306" s="103" t="s">
        <v>945</v>
      </c>
      <c r="AS306" s="271"/>
      <c r="AT306" s="271"/>
      <c r="AU306" s="271"/>
      <c r="AV306" s="271"/>
      <c r="AW306" s="271">
        <v>16139130.434782609</v>
      </c>
      <c r="AX306" s="271"/>
      <c r="AY306" s="271"/>
      <c r="AZ306" s="271"/>
      <c r="BA306" s="271"/>
      <c r="BB306" s="271"/>
      <c r="BC306" s="271"/>
      <c r="BD306" s="271"/>
      <c r="BE306" s="271"/>
      <c r="BF306" s="271"/>
      <c r="BG306" s="271"/>
      <c r="BH306" s="235">
        <f t="shared" si="98"/>
        <v>16139130.434782609</v>
      </c>
      <c r="BI306" s="271"/>
      <c r="BJ306" s="271"/>
      <c r="BK306" s="271"/>
      <c r="BL306" s="271">
        <v>1134615.3846153845</v>
      </c>
      <c r="BM306" s="271">
        <v>4959375</v>
      </c>
      <c r="BN306" s="271"/>
      <c r="BO306" s="271"/>
      <c r="BP306" s="271"/>
      <c r="BQ306" s="271"/>
      <c r="BR306" s="271"/>
      <c r="BS306" s="271"/>
      <c r="BT306" s="271"/>
      <c r="BU306" s="271"/>
      <c r="BV306" s="271"/>
      <c r="BW306" s="271"/>
      <c r="BX306" s="235">
        <f t="shared" si="99"/>
        <v>6093990.384615384</v>
      </c>
      <c r="BY306" s="271"/>
      <c r="BZ306" s="271"/>
      <c r="CA306" s="271"/>
      <c r="CB306" s="271"/>
      <c r="CC306" s="271"/>
      <c r="CD306" s="271"/>
      <c r="CE306" s="271"/>
      <c r="CF306" s="271"/>
      <c r="CG306" s="271"/>
      <c r="CH306" s="271"/>
      <c r="CI306" s="271"/>
      <c r="CJ306" s="271"/>
      <c r="CK306" s="271"/>
      <c r="CL306" s="271"/>
      <c r="CM306" s="271"/>
      <c r="CN306" s="235">
        <f t="shared" si="100"/>
        <v>0</v>
      </c>
      <c r="CO306" s="271"/>
      <c r="CP306" s="271"/>
      <c r="CQ306" s="271"/>
      <c r="CR306" s="271"/>
      <c r="CS306" s="271"/>
      <c r="CT306" s="271"/>
      <c r="CU306" s="271"/>
      <c r="CV306" s="271"/>
      <c r="CW306" s="271"/>
      <c r="CX306" s="271"/>
      <c r="CY306" s="271"/>
      <c r="CZ306" s="271"/>
      <c r="DA306" s="271"/>
      <c r="DB306" s="271"/>
      <c r="DC306" s="271"/>
      <c r="DD306" s="234">
        <f t="shared" si="101"/>
        <v>0</v>
      </c>
      <c r="DE306" s="244">
        <f t="shared" si="102"/>
        <v>22233120.819397993</v>
      </c>
    </row>
    <row r="307" spans="1:110" s="98" customFormat="1" ht="103.05" customHeight="1">
      <c r="A307" s="103" t="s">
        <v>1237</v>
      </c>
      <c r="B307" s="279" t="s">
        <v>9</v>
      </c>
      <c r="C307" s="279" t="s">
        <v>1698</v>
      </c>
      <c r="D307" s="279">
        <v>23</v>
      </c>
      <c r="E307" s="279" t="s">
        <v>1042</v>
      </c>
      <c r="F307" s="280" t="s">
        <v>1043</v>
      </c>
      <c r="G307" s="279" t="s">
        <v>3415</v>
      </c>
      <c r="H307" s="279">
        <v>31</v>
      </c>
      <c r="I307" s="279" t="s">
        <v>369</v>
      </c>
      <c r="J307" s="279" t="s">
        <v>683</v>
      </c>
      <c r="K307" s="279">
        <v>0</v>
      </c>
      <c r="L307" s="104">
        <v>1500</v>
      </c>
      <c r="M307" s="279" t="s">
        <v>1053</v>
      </c>
      <c r="N307" s="279" t="s">
        <v>1054</v>
      </c>
      <c r="O307" s="279" t="s">
        <v>1055</v>
      </c>
      <c r="P307" s="283">
        <v>278</v>
      </c>
      <c r="Q307" s="279" t="s">
        <v>2793</v>
      </c>
      <c r="R307" s="279" t="s">
        <v>376</v>
      </c>
      <c r="S307" s="279" t="s">
        <v>683</v>
      </c>
      <c r="T307" s="279">
        <v>0</v>
      </c>
      <c r="U307" s="267"/>
      <c r="V307" s="267"/>
      <c r="W307" s="224">
        <v>0</v>
      </c>
      <c r="X307" s="267"/>
      <c r="Y307" s="267"/>
      <c r="Z307" s="267">
        <v>0.25</v>
      </c>
      <c r="AA307" s="267">
        <v>0.25</v>
      </c>
      <c r="AB307" s="224">
        <v>0.5</v>
      </c>
      <c r="AC307" s="267"/>
      <c r="AD307" s="267"/>
      <c r="AE307" s="267">
        <v>0.25</v>
      </c>
      <c r="AF307" s="267">
        <v>0.25</v>
      </c>
      <c r="AG307" s="224">
        <v>0.5</v>
      </c>
      <c r="AH307" s="267"/>
      <c r="AI307" s="267"/>
      <c r="AJ307" s="267"/>
      <c r="AK307" s="267"/>
      <c r="AL307" s="224">
        <v>0</v>
      </c>
      <c r="AM307" s="104">
        <v>1</v>
      </c>
      <c r="AN307" s="103" t="s">
        <v>685</v>
      </c>
      <c r="AO307" s="103" t="s">
        <v>626</v>
      </c>
      <c r="AP307" s="103" t="s">
        <v>1228</v>
      </c>
      <c r="AQ307" s="103" t="s">
        <v>1199</v>
      </c>
      <c r="AR307" s="103" t="s">
        <v>945</v>
      </c>
      <c r="AS307" s="271"/>
      <c r="AT307" s="271"/>
      <c r="AU307" s="271"/>
      <c r="AV307" s="271"/>
      <c r="AW307" s="271"/>
      <c r="AX307" s="271"/>
      <c r="AY307" s="271"/>
      <c r="AZ307" s="271"/>
      <c r="BA307" s="271"/>
      <c r="BB307" s="271"/>
      <c r="BC307" s="271"/>
      <c r="BD307" s="271"/>
      <c r="BE307" s="271"/>
      <c r="BF307" s="271"/>
      <c r="BG307" s="271"/>
      <c r="BH307" s="235">
        <f t="shared" si="98"/>
        <v>0</v>
      </c>
      <c r="BI307" s="271"/>
      <c r="BJ307" s="271"/>
      <c r="BK307" s="271"/>
      <c r="BL307" s="271">
        <v>80000000</v>
      </c>
      <c r="BM307" s="271">
        <v>4959375</v>
      </c>
      <c r="BN307" s="271"/>
      <c r="BO307" s="271"/>
      <c r="BP307" s="271"/>
      <c r="BQ307" s="271"/>
      <c r="BR307" s="271"/>
      <c r="BS307" s="271"/>
      <c r="BT307" s="271"/>
      <c r="BU307" s="271"/>
      <c r="BV307" s="271"/>
      <c r="BW307" s="271"/>
      <c r="BX307" s="235">
        <f t="shared" si="99"/>
        <v>84959375</v>
      </c>
      <c r="BY307" s="271"/>
      <c r="BZ307" s="271"/>
      <c r="CA307" s="271"/>
      <c r="CB307" s="271">
        <v>2505143.9499999899</v>
      </c>
      <c r="CC307" s="271"/>
      <c r="CD307" s="271"/>
      <c r="CE307" s="271"/>
      <c r="CF307" s="271"/>
      <c r="CG307" s="271"/>
      <c r="CH307" s="271"/>
      <c r="CI307" s="271"/>
      <c r="CJ307" s="271"/>
      <c r="CK307" s="271"/>
      <c r="CL307" s="271"/>
      <c r="CM307" s="271"/>
      <c r="CN307" s="235">
        <f t="shared" si="100"/>
        <v>2505143.9499999899</v>
      </c>
      <c r="CO307" s="271"/>
      <c r="CP307" s="271"/>
      <c r="CQ307" s="271"/>
      <c r="CR307" s="271"/>
      <c r="CS307" s="271"/>
      <c r="CT307" s="271"/>
      <c r="CU307" s="271"/>
      <c r="CV307" s="271"/>
      <c r="CW307" s="271"/>
      <c r="CX307" s="271"/>
      <c r="CY307" s="271"/>
      <c r="CZ307" s="271"/>
      <c r="DA307" s="271"/>
      <c r="DB307" s="271"/>
      <c r="DC307" s="271"/>
      <c r="DD307" s="234">
        <f t="shared" si="101"/>
        <v>0</v>
      </c>
      <c r="DE307" s="244">
        <f t="shared" si="102"/>
        <v>87464518.949999988</v>
      </c>
    </row>
    <row r="308" spans="1:110" s="98" customFormat="1" ht="103.05" customHeight="1">
      <c r="A308" s="103" t="s">
        <v>1237</v>
      </c>
      <c r="B308" s="279" t="s">
        <v>9</v>
      </c>
      <c r="C308" s="279" t="s">
        <v>1698</v>
      </c>
      <c r="D308" s="279">
        <v>23</v>
      </c>
      <c r="E308" s="279" t="s">
        <v>1042</v>
      </c>
      <c r="F308" s="280" t="s">
        <v>1043</v>
      </c>
      <c r="G308" s="279" t="s">
        <v>3415</v>
      </c>
      <c r="H308" s="279">
        <v>31</v>
      </c>
      <c r="I308" s="279" t="s">
        <v>369</v>
      </c>
      <c r="J308" s="279" t="s">
        <v>683</v>
      </c>
      <c r="K308" s="279">
        <v>0</v>
      </c>
      <c r="L308" s="104">
        <v>1500</v>
      </c>
      <c r="M308" s="279" t="s">
        <v>1053</v>
      </c>
      <c r="N308" s="279" t="s">
        <v>1054</v>
      </c>
      <c r="O308" s="279" t="s">
        <v>1055</v>
      </c>
      <c r="P308" s="283">
        <v>279</v>
      </c>
      <c r="Q308" s="279" t="s">
        <v>2794</v>
      </c>
      <c r="R308" s="279" t="s">
        <v>377</v>
      </c>
      <c r="S308" s="279" t="s">
        <v>683</v>
      </c>
      <c r="T308" s="279">
        <v>0</v>
      </c>
      <c r="U308" s="267"/>
      <c r="V308" s="267"/>
      <c r="W308" s="224">
        <v>0</v>
      </c>
      <c r="X308" s="267"/>
      <c r="Y308" s="267"/>
      <c r="Z308" s="267"/>
      <c r="AA308" s="267">
        <v>1</v>
      </c>
      <c r="AB308" s="224">
        <v>1</v>
      </c>
      <c r="AC308" s="267">
        <v>1</v>
      </c>
      <c r="AD308" s="267"/>
      <c r="AE308" s="267"/>
      <c r="AF308" s="267">
        <v>1</v>
      </c>
      <c r="AG308" s="224">
        <v>2</v>
      </c>
      <c r="AH308" s="267">
        <v>1</v>
      </c>
      <c r="AI308" s="267"/>
      <c r="AJ308" s="267"/>
      <c r="AK308" s="267"/>
      <c r="AL308" s="224">
        <v>1</v>
      </c>
      <c r="AM308" s="104">
        <v>4</v>
      </c>
      <c r="AN308" s="103" t="s">
        <v>685</v>
      </c>
      <c r="AO308" s="103" t="s">
        <v>626</v>
      </c>
      <c r="AP308" s="103" t="s">
        <v>1228</v>
      </c>
      <c r="AQ308" s="103" t="s">
        <v>1199</v>
      </c>
      <c r="AR308" s="103" t="s">
        <v>945</v>
      </c>
      <c r="AS308" s="271"/>
      <c r="AT308" s="271"/>
      <c r="AU308" s="271"/>
      <c r="AV308" s="271"/>
      <c r="AW308" s="271"/>
      <c r="AX308" s="271"/>
      <c r="AY308" s="271"/>
      <c r="AZ308" s="271"/>
      <c r="BA308" s="271"/>
      <c r="BB308" s="271"/>
      <c r="BC308" s="271"/>
      <c r="BD308" s="271"/>
      <c r="BE308" s="271"/>
      <c r="BF308" s="271"/>
      <c r="BG308" s="271"/>
      <c r="BH308" s="235">
        <f t="shared" si="98"/>
        <v>0</v>
      </c>
      <c r="BI308" s="271"/>
      <c r="BJ308" s="271"/>
      <c r="BK308" s="271"/>
      <c r="BL308" s="271">
        <v>1134615.3846153845</v>
      </c>
      <c r="BM308" s="271">
        <v>4959375</v>
      </c>
      <c r="BN308" s="271"/>
      <c r="BO308" s="271"/>
      <c r="BP308" s="271"/>
      <c r="BQ308" s="271"/>
      <c r="BR308" s="271"/>
      <c r="BS308" s="271"/>
      <c r="BT308" s="271"/>
      <c r="BU308" s="271"/>
      <c r="BV308" s="271"/>
      <c r="BW308" s="271"/>
      <c r="BX308" s="235">
        <f t="shared" si="99"/>
        <v>6093990.384615384</v>
      </c>
      <c r="BY308" s="271"/>
      <c r="BZ308" s="271"/>
      <c r="CA308" s="271"/>
      <c r="CB308" s="271">
        <v>13655607.006250001</v>
      </c>
      <c r="CC308" s="271"/>
      <c r="CD308" s="271"/>
      <c r="CE308" s="271"/>
      <c r="CF308" s="271"/>
      <c r="CG308" s="271"/>
      <c r="CH308" s="271"/>
      <c r="CI308" s="271"/>
      <c r="CJ308" s="271"/>
      <c r="CK308" s="271"/>
      <c r="CL308" s="271"/>
      <c r="CM308" s="271"/>
      <c r="CN308" s="235">
        <f t="shared" si="100"/>
        <v>13655607.006250001</v>
      </c>
      <c r="CO308" s="271"/>
      <c r="CP308" s="271"/>
      <c r="CQ308" s="271"/>
      <c r="CR308" s="271">
        <v>14338387.356562501</v>
      </c>
      <c r="CS308" s="271"/>
      <c r="CT308" s="271"/>
      <c r="CU308" s="271"/>
      <c r="CV308" s="271"/>
      <c r="CW308" s="271"/>
      <c r="CX308" s="271"/>
      <c r="CY308" s="271"/>
      <c r="CZ308" s="271"/>
      <c r="DA308" s="271"/>
      <c r="DB308" s="271"/>
      <c r="DC308" s="271"/>
      <c r="DD308" s="234">
        <f t="shared" si="101"/>
        <v>14338387.356562501</v>
      </c>
      <c r="DE308" s="244">
        <f t="shared" si="102"/>
        <v>34087984.747427888</v>
      </c>
    </row>
    <row r="309" spans="1:110" s="98" customFormat="1" ht="103.05" customHeight="1">
      <c r="A309" s="120" t="s">
        <v>1237</v>
      </c>
      <c r="B309" s="281" t="s">
        <v>9</v>
      </c>
      <c r="C309" s="281" t="s">
        <v>1698</v>
      </c>
      <c r="D309" s="281">
        <v>23</v>
      </c>
      <c r="E309" s="281" t="s">
        <v>1042</v>
      </c>
      <c r="F309" s="282" t="s">
        <v>1043</v>
      </c>
      <c r="G309" s="281" t="s">
        <v>3415</v>
      </c>
      <c r="H309" s="281">
        <v>31</v>
      </c>
      <c r="I309" s="281" t="s">
        <v>369</v>
      </c>
      <c r="J309" s="281" t="s">
        <v>683</v>
      </c>
      <c r="K309" s="281">
        <v>0</v>
      </c>
      <c r="L309" s="119">
        <v>1500</v>
      </c>
      <c r="M309" s="281" t="s">
        <v>1053</v>
      </c>
      <c r="N309" s="281" t="s">
        <v>1054</v>
      </c>
      <c r="O309" s="281" t="s">
        <v>1055</v>
      </c>
      <c r="P309" s="283">
        <v>280</v>
      </c>
      <c r="Q309" s="281" t="s">
        <v>2795</v>
      </c>
      <c r="R309" s="281" t="s">
        <v>1057</v>
      </c>
      <c r="S309" s="281" t="s">
        <v>683</v>
      </c>
      <c r="T309" s="281">
        <v>0</v>
      </c>
      <c r="U309" s="275"/>
      <c r="V309" s="275">
        <v>1</v>
      </c>
      <c r="W309" s="225">
        <v>1</v>
      </c>
      <c r="X309" s="275"/>
      <c r="Y309" s="275">
        <v>1</v>
      </c>
      <c r="Z309" s="275"/>
      <c r="AA309" s="275"/>
      <c r="AB309" s="225">
        <v>1</v>
      </c>
      <c r="AC309" s="275"/>
      <c r="AD309" s="275">
        <v>1</v>
      </c>
      <c r="AE309" s="275"/>
      <c r="AF309" s="275"/>
      <c r="AG309" s="225">
        <v>1</v>
      </c>
      <c r="AH309" s="275"/>
      <c r="AI309" s="275">
        <v>1</v>
      </c>
      <c r="AJ309" s="275"/>
      <c r="AK309" s="275"/>
      <c r="AL309" s="225">
        <v>1</v>
      </c>
      <c r="AM309" s="119">
        <v>4</v>
      </c>
      <c r="AN309" s="120" t="s">
        <v>685</v>
      </c>
      <c r="AO309" s="120" t="s">
        <v>626</v>
      </c>
      <c r="AP309" s="120" t="s">
        <v>1228</v>
      </c>
      <c r="AQ309" s="120" t="s">
        <v>1199</v>
      </c>
      <c r="AR309" s="120" t="s">
        <v>945</v>
      </c>
      <c r="AS309" s="276"/>
      <c r="AT309" s="276"/>
      <c r="AU309" s="276"/>
      <c r="AV309" s="276"/>
      <c r="AW309" s="276">
        <v>6817391.3043478271</v>
      </c>
      <c r="AX309" s="276"/>
      <c r="AY309" s="276"/>
      <c r="AZ309" s="276"/>
      <c r="BA309" s="276"/>
      <c r="BB309" s="276"/>
      <c r="BC309" s="276"/>
      <c r="BD309" s="276"/>
      <c r="BE309" s="276"/>
      <c r="BF309" s="276"/>
      <c r="BG309" s="276"/>
      <c r="BH309" s="236">
        <f t="shared" si="98"/>
        <v>6817391.3043478271</v>
      </c>
      <c r="BI309" s="276"/>
      <c r="BJ309" s="276"/>
      <c r="BK309" s="276"/>
      <c r="BL309" s="276">
        <v>1134615.3846153845</v>
      </c>
      <c r="BM309" s="276">
        <v>4959375</v>
      </c>
      <c r="BN309" s="276"/>
      <c r="BO309" s="276"/>
      <c r="BP309" s="276"/>
      <c r="BQ309" s="276"/>
      <c r="BR309" s="276"/>
      <c r="BS309" s="276"/>
      <c r="BT309" s="276"/>
      <c r="BU309" s="276"/>
      <c r="BV309" s="276"/>
      <c r="BW309" s="276"/>
      <c r="BX309" s="236">
        <f t="shared" si="99"/>
        <v>6093990.384615384</v>
      </c>
      <c r="BY309" s="276"/>
      <c r="BZ309" s="276"/>
      <c r="CA309" s="276"/>
      <c r="CB309" s="276">
        <v>13655607.006250001</v>
      </c>
      <c r="CC309" s="276"/>
      <c r="CD309" s="276"/>
      <c r="CE309" s="276"/>
      <c r="CF309" s="276"/>
      <c r="CG309" s="276"/>
      <c r="CH309" s="276"/>
      <c r="CI309" s="276"/>
      <c r="CJ309" s="276"/>
      <c r="CK309" s="276"/>
      <c r="CL309" s="276"/>
      <c r="CM309" s="276"/>
      <c r="CN309" s="236">
        <f t="shared" si="100"/>
        <v>13655607.006250001</v>
      </c>
      <c r="CO309" s="276"/>
      <c r="CP309" s="276"/>
      <c r="CQ309" s="276"/>
      <c r="CR309" s="276">
        <v>14338387.356562501</v>
      </c>
      <c r="CS309" s="276"/>
      <c r="CT309" s="276"/>
      <c r="CU309" s="276"/>
      <c r="CV309" s="276"/>
      <c r="CW309" s="276"/>
      <c r="CX309" s="276"/>
      <c r="CY309" s="276"/>
      <c r="CZ309" s="276"/>
      <c r="DA309" s="276"/>
      <c r="DB309" s="276"/>
      <c r="DC309" s="276"/>
      <c r="DD309" s="240">
        <f t="shared" si="101"/>
        <v>14338387.356562501</v>
      </c>
      <c r="DE309" s="245">
        <f t="shared" si="102"/>
        <v>40905376.051775716</v>
      </c>
    </row>
    <row r="310" spans="1:110" ht="65.099999999999994" customHeight="1">
      <c r="A310" s="134" t="s">
        <v>1237</v>
      </c>
      <c r="B310" s="134" t="s">
        <v>9</v>
      </c>
      <c r="C310" s="134" t="s">
        <v>1698</v>
      </c>
      <c r="D310" s="134">
        <v>23</v>
      </c>
      <c r="E310" s="134" t="s">
        <v>1042</v>
      </c>
      <c r="F310" s="135"/>
      <c r="G310" s="136"/>
      <c r="H310" s="137"/>
      <c r="I310" s="137"/>
      <c r="J310" s="137"/>
      <c r="K310" s="138"/>
      <c r="L310" s="137"/>
      <c r="M310" s="137"/>
      <c r="N310" s="137"/>
      <c r="O310" s="137"/>
      <c r="P310" s="137"/>
      <c r="Q310" s="136"/>
      <c r="R310" s="139"/>
      <c r="S310" s="137"/>
      <c r="T310" s="137"/>
      <c r="U310" s="140"/>
      <c r="V310" s="140"/>
      <c r="W310" s="138"/>
      <c r="X310" s="140"/>
      <c r="Y310" s="140"/>
      <c r="Z310" s="140"/>
      <c r="AA310" s="140"/>
      <c r="AB310" s="138"/>
      <c r="AC310" s="140"/>
      <c r="AD310" s="140"/>
      <c r="AE310" s="140"/>
      <c r="AF310" s="140"/>
      <c r="AG310" s="138"/>
      <c r="AH310" s="140"/>
      <c r="AI310" s="140"/>
      <c r="AJ310" s="140"/>
      <c r="AK310" s="140"/>
      <c r="AL310" s="138"/>
      <c r="AM310" s="141"/>
      <c r="AN310" s="142"/>
      <c r="AO310" s="142"/>
      <c r="AP310" s="143"/>
      <c r="AQ310" s="143"/>
      <c r="AR310" s="144"/>
      <c r="AS310" s="132">
        <f>SUM(AS293:AS309)</f>
        <v>0</v>
      </c>
      <c r="AT310" s="132">
        <f t="shared" ref="AT310:DE310" si="103">SUM(AT293:AT309)</f>
        <v>0</v>
      </c>
      <c r="AU310" s="132">
        <f t="shared" si="103"/>
        <v>0</v>
      </c>
      <c r="AV310" s="132">
        <f t="shared" si="103"/>
        <v>185500000</v>
      </c>
      <c r="AW310" s="132">
        <f t="shared" si="103"/>
        <v>76666666</v>
      </c>
      <c r="AX310" s="132">
        <f t="shared" si="103"/>
        <v>0</v>
      </c>
      <c r="AY310" s="132">
        <f t="shared" si="103"/>
        <v>0</v>
      </c>
      <c r="AZ310" s="132">
        <f t="shared" si="103"/>
        <v>0</v>
      </c>
      <c r="BA310" s="132">
        <f t="shared" si="103"/>
        <v>0</v>
      </c>
      <c r="BB310" s="132">
        <f t="shared" si="103"/>
        <v>0</v>
      </c>
      <c r="BC310" s="132">
        <f t="shared" si="103"/>
        <v>0</v>
      </c>
      <c r="BD310" s="132">
        <f t="shared" si="103"/>
        <v>0</v>
      </c>
      <c r="BE310" s="132">
        <f t="shared" si="103"/>
        <v>0</v>
      </c>
      <c r="BF310" s="132">
        <f t="shared" si="103"/>
        <v>0</v>
      </c>
      <c r="BG310" s="132">
        <f t="shared" si="103"/>
        <v>0</v>
      </c>
      <c r="BH310" s="133">
        <f>IF(OR(AND(BH293=0,W293&lt;&gt;0),AND(BH294=0,W294&lt;&gt;0),AND(BH295=0,W295&lt;&gt;0),AND(BH296=0,W296&lt;&gt;0),AND(BH297=0,W297&lt;&gt;0),AND(BH298=0,W298&lt;&gt;0),AND(BH299=0,W299&lt;&gt;0),AND(BH300=0,W300&lt;&gt;0),AND(BH301=0,W301&lt;&gt;0),AND(BH302=0,W302&lt;&gt;0),AND(BH303=0,W303&lt;&gt;0),AND(BH304=0,W304&lt;&gt;0),AND(BH305=0,W305&lt;&gt;0),AND(BH306=0,W306&lt;&gt;0),AND(BH307=0,W307&lt;&gt;0),AND(BH308=0,W308&lt;&gt;0),AND(BH309=0,W309&lt;&gt;0)),"NO DEBEN QUEDAR CELDAS EN ROJO",SUM(BH293:BH309))</f>
        <v>262166666</v>
      </c>
      <c r="BI310" s="132">
        <f t="shared" si="103"/>
        <v>0</v>
      </c>
      <c r="BJ310" s="132">
        <f t="shared" si="103"/>
        <v>0</v>
      </c>
      <c r="BK310" s="132">
        <f t="shared" si="103"/>
        <v>0</v>
      </c>
      <c r="BL310" s="132">
        <f t="shared" si="103"/>
        <v>194750000.00000003</v>
      </c>
      <c r="BM310" s="132">
        <f t="shared" si="103"/>
        <v>79350000</v>
      </c>
      <c r="BN310" s="132">
        <f t="shared" si="103"/>
        <v>0</v>
      </c>
      <c r="BO310" s="132">
        <f t="shared" si="103"/>
        <v>0</v>
      </c>
      <c r="BP310" s="132">
        <f t="shared" si="103"/>
        <v>0</v>
      </c>
      <c r="BQ310" s="132">
        <f t="shared" si="103"/>
        <v>0</v>
      </c>
      <c r="BR310" s="132">
        <f t="shared" si="103"/>
        <v>0</v>
      </c>
      <c r="BS310" s="132">
        <f t="shared" si="103"/>
        <v>0</v>
      </c>
      <c r="BT310" s="132">
        <f t="shared" si="103"/>
        <v>0</v>
      </c>
      <c r="BU310" s="132">
        <f t="shared" si="103"/>
        <v>0</v>
      </c>
      <c r="BV310" s="132">
        <f t="shared" si="103"/>
        <v>0</v>
      </c>
      <c r="BW310" s="132">
        <f t="shared" si="103"/>
        <v>0</v>
      </c>
      <c r="BX310" s="133">
        <f>IF(OR(AND(BX293=0,AB293&lt;&gt;0),AND(BX294=0,AB294&lt;&gt;0),AND(BX295=0,AB295&lt;&gt;0),AND(BX296=0,AB296&lt;&gt;0),AND(BX297=0,AB297&lt;&gt;0),AND(BX298=0,AB298&lt;&gt;0),AND(BX299=0,AB299&lt;&gt;0),AND(BX300=0,AB300&lt;&gt;0),AND(BX301=0,AB301&lt;&gt;0),AND(BX302=0,AB302&lt;&gt;0),AND(BX303=0,AB303&lt;&gt;0),AND(BX304=0,AB304&lt;&gt;0),AND(BX305=0,AB305&lt;&gt;0),AND(BX306=0,AB306&lt;&gt;0),AND(BX307=0,AB307&lt;&gt;0),AND(BX308=0,AB308&lt;&gt;0),AND(BX309=0,AB309&lt;&gt;0)),"NO DEBEN QUEDAR CELDAS EN ROJO",SUM(BX293:BX309))</f>
        <v>274100000</v>
      </c>
      <c r="BY310" s="132">
        <f t="shared" si="103"/>
        <v>0</v>
      </c>
      <c r="BZ310" s="132">
        <f t="shared" si="103"/>
        <v>0</v>
      </c>
      <c r="CA310" s="132">
        <f t="shared" si="103"/>
        <v>0</v>
      </c>
      <c r="CB310" s="132">
        <f t="shared" si="103"/>
        <v>211749999.99999997</v>
      </c>
      <c r="CC310" s="132">
        <f t="shared" si="103"/>
        <v>0</v>
      </c>
      <c r="CD310" s="132">
        <f t="shared" si="103"/>
        <v>0</v>
      </c>
      <c r="CE310" s="132">
        <f t="shared" si="103"/>
        <v>0</v>
      </c>
      <c r="CF310" s="132">
        <f t="shared" si="103"/>
        <v>0</v>
      </c>
      <c r="CG310" s="132">
        <f t="shared" si="103"/>
        <v>0</v>
      </c>
      <c r="CH310" s="132">
        <f t="shared" si="103"/>
        <v>0</v>
      </c>
      <c r="CI310" s="132">
        <f t="shared" si="103"/>
        <v>0</v>
      </c>
      <c r="CJ310" s="132">
        <f t="shared" si="103"/>
        <v>0</v>
      </c>
      <c r="CK310" s="132">
        <f t="shared" si="103"/>
        <v>0</v>
      </c>
      <c r="CL310" s="132">
        <f t="shared" si="103"/>
        <v>0</v>
      </c>
      <c r="CM310" s="132">
        <f t="shared" si="103"/>
        <v>0</v>
      </c>
      <c r="CN310" s="133">
        <f>IF(OR(AND(CN293=0,AG293&lt;&gt;0),AND(CN294=0,AG294&lt;&gt;0),AND(CN295=0,AG295&lt;&gt;0),AND(CN296=0,AG296&lt;&gt;0),AND(CN297=0,AG297&lt;&gt;0),AND(CN298=0,AG298&lt;&gt;0),AND(CN299=0,AG299&lt;&gt;0),AND(CN300=0,AG300&lt;&gt;0),AND(CN301=0,AG301&lt;&gt;0),AND(CN302=0,AG302&lt;&gt;0),AND(CN303=0,AG303&lt;&gt;0),AND(CN304=0,AG304&lt;&gt;0),AND(CN305=0,AG305&lt;&gt;0),AND(CN306=0,AG306&lt;&gt;0),AND(CN307=0,AG307&lt;&gt;0),AND(CN308=0,AG308&lt;&gt;0),AND(CN309=0,AG309&lt;&gt;0)),"NO DEBEN QUEDAR CELDAS EN ROJO",SUM(CN293:CN309))</f>
        <v>211749999.99999997</v>
      </c>
      <c r="CO310" s="132">
        <f t="shared" si="103"/>
        <v>0</v>
      </c>
      <c r="CP310" s="132">
        <f t="shared" si="103"/>
        <v>0</v>
      </c>
      <c r="CQ310" s="132">
        <f t="shared" si="103"/>
        <v>0</v>
      </c>
      <c r="CR310" s="132">
        <f t="shared" si="103"/>
        <v>222337500</v>
      </c>
      <c r="CS310" s="132">
        <f t="shared" si="103"/>
        <v>0</v>
      </c>
      <c r="CT310" s="132">
        <f t="shared" si="103"/>
        <v>0</v>
      </c>
      <c r="CU310" s="132">
        <f t="shared" si="103"/>
        <v>0</v>
      </c>
      <c r="CV310" s="132">
        <f t="shared" si="103"/>
        <v>0</v>
      </c>
      <c r="CW310" s="132">
        <f t="shared" si="103"/>
        <v>0</v>
      </c>
      <c r="CX310" s="132">
        <f t="shared" si="103"/>
        <v>0</v>
      </c>
      <c r="CY310" s="132">
        <f t="shared" si="103"/>
        <v>0</v>
      </c>
      <c r="CZ310" s="132">
        <f t="shared" si="103"/>
        <v>0</v>
      </c>
      <c r="DA310" s="132">
        <f t="shared" si="103"/>
        <v>0</v>
      </c>
      <c r="DB310" s="132">
        <f t="shared" si="103"/>
        <v>0</v>
      </c>
      <c r="DC310" s="132">
        <f t="shared" si="103"/>
        <v>0</v>
      </c>
      <c r="DD310" s="133">
        <f>IF(OR(AND(DD293=0,AL293&lt;&gt;0),AND(DD294=0,AL294&lt;&gt;0),AND(DD295=0,AL295&lt;&gt;0),AND(DD296=0,AL296&lt;&gt;0),AND(DD297=0,AL297&lt;&gt;0),AND(DD298=0,AL298&lt;&gt;0),AND(DD299=0,AL299&lt;&gt;0),AND(DD300=0,AL300&lt;&gt;0),AND(DD301=0,AL301&lt;&gt;0),AND(DD302=0,AL302&lt;&gt;0),AND(DD303=0,AL303&lt;&gt;0),AND(DD304=0,AL304&lt;&gt;0),AND(DD305=0,AL305&lt;&gt;0),AND(DD306=0,AL306&lt;&gt;0),AND(DD307=0,AL307&lt;&gt;0),AND(DD308=0,AL308&lt;&gt;0),AND(DD309=0,AL309&lt;&gt;0)),"NO DEBEN QUEDAR CELDAS EN ROJO",SUM(DD293:DD309))</f>
        <v>222337500</v>
      </c>
      <c r="DE310" s="133">
        <f t="shared" si="103"/>
        <v>970354166.00000024</v>
      </c>
      <c r="DF310" s="101"/>
    </row>
    <row r="311" spans="1:110" s="98" customFormat="1" ht="117" customHeight="1">
      <c r="A311" s="103" t="s">
        <v>1237</v>
      </c>
      <c r="B311" s="103" t="s">
        <v>9</v>
      </c>
      <c r="C311" s="103" t="s">
        <v>1698</v>
      </c>
      <c r="D311" s="103">
        <v>24</v>
      </c>
      <c r="E311" s="103" t="s">
        <v>1058</v>
      </c>
      <c r="F311" s="278" t="s">
        <v>1059</v>
      </c>
      <c r="G311" s="103" t="s">
        <v>2796</v>
      </c>
      <c r="H311" s="103">
        <v>32</v>
      </c>
      <c r="I311" s="103" t="s">
        <v>1060</v>
      </c>
      <c r="J311" s="103" t="s">
        <v>683</v>
      </c>
      <c r="K311" s="103">
        <v>0</v>
      </c>
      <c r="L311" s="103">
        <v>15</v>
      </c>
      <c r="M311" s="103" t="s">
        <v>1061</v>
      </c>
      <c r="N311" s="103" t="s">
        <v>1062</v>
      </c>
      <c r="O311" s="103" t="s">
        <v>378</v>
      </c>
      <c r="P311" s="283">
        <v>281</v>
      </c>
      <c r="Q311" s="103" t="s">
        <v>3523</v>
      </c>
      <c r="R311" s="103" t="s">
        <v>379</v>
      </c>
      <c r="S311" s="103" t="s">
        <v>683</v>
      </c>
      <c r="T311" s="103">
        <v>8</v>
      </c>
      <c r="U311" s="267"/>
      <c r="V311" s="267">
        <v>1</v>
      </c>
      <c r="W311" s="224">
        <v>1</v>
      </c>
      <c r="X311" s="267"/>
      <c r="Y311" s="267">
        <v>1</v>
      </c>
      <c r="Z311" s="267">
        <v>1</v>
      </c>
      <c r="AA311" s="267">
        <v>1</v>
      </c>
      <c r="AB311" s="224">
        <v>3</v>
      </c>
      <c r="AC311" s="267"/>
      <c r="AD311" s="267">
        <v>1</v>
      </c>
      <c r="AE311" s="267">
        <v>1</v>
      </c>
      <c r="AF311" s="267">
        <v>1</v>
      </c>
      <c r="AG311" s="224">
        <v>3</v>
      </c>
      <c r="AH311" s="267"/>
      <c r="AI311" s="267">
        <v>1</v>
      </c>
      <c r="AJ311" s="267">
        <v>1</v>
      </c>
      <c r="AK311" s="267">
        <v>1</v>
      </c>
      <c r="AL311" s="224">
        <v>3</v>
      </c>
      <c r="AM311" s="102">
        <v>10</v>
      </c>
      <c r="AN311" s="103" t="s">
        <v>685</v>
      </c>
      <c r="AO311" s="103" t="s">
        <v>626</v>
      </c>
      <c r="AP311" s="103" t="s">
        <v>1228</v>
      </c>
      <c r="AQ311" s="103" t="s">
        <v>1199</v>
      </c>
      <c r="AR311" s="103" t="s">
        <v>945</v>
      </c>
      <c r="AS311" s="268"/>
      <c r="AT311" s="268"/>
      <c r="AU311" s="268"/>
      <c r="AV311" s="268">
        <v>10000000</v>
      </c>
      <c r="AW311" s="268">
        <v>9267391.304347828</v>
      </c>
      <c r="AX311" s="268"/>
      <c r="AY311" s="268"/>
      <c r="AZ311" s="268"/>
      <c r="BA311" s="268"/>
      <c r="BB311" s="268"/>
      <c r="BC311" s="268"/>
      <c r="BD311" s="268"/>
      <c r="BE311" s="268"/>
      <c r="BF311" s="268"/>
      <c r="BG311" s="268"/>
      <c r="BH311" s="234">
        <f t="shared" ref="BH311:BH316" si="104">IF(W311=0,0,BG311+BF311+BE311+BD311+BC311+BB311+BA311+AZ311+AY311+AX311+AW311+AV311+AU311+AT311+AS311)</f>
        <v>19267391.304347828</v>
      </c>
      <c r="BI311" s="268"/>
      <c r="BJ311" s="268"/>
      <c r="BK311" s="268"/>
      <c r="BL311" s="268">
        <v>29750000</v>
      </c>
      <c r="BM311" s="268">
        <v>13225000</v>
      </c>
      <c r="BN311" s="268"/>
      <c r="BO311" s="268"/>
      <c r="BP311" s="268"/>
      <c r="BQ311" s="268"/>
      <c r="BR311" s="268"/>
      <c r="BS311" s="268"/>
      <c r="BT311" s="268"/>
      <c r="BU311" s="268"/>
      <c r="BV311" s="268"/>
      <c r="BW311" s="268"/>
      <c r="BX311" s="234">
        <f t="shared" ref="BX311:BX316" si="105">IF(AB311=0,0,BI311+BJ311+BK311+BL311+BM311+BN311+BO311+BP311+BQ311+BR311+BS311+BT311+BU311+BV311+BW311)</f>
        <v>42975000</v>
      </c>
      <c r="BY311" s="268"/>
      <c r="BZ311" s="268"/>
      <c r="CA311" s="268"/>
      <c r="CB311" s="268">
        <v>30583333.333333332</v>
      </c>
      <c r="CC311" s="268"/>
      <c r="CD311" s="268"/>
      <c r="CE311" s="268"/>
      <c r="CF311" s="268"/>
      <c r="CG311" s="268"/>
      <c r="CH311" s="268"/>
      <c r="CI311" s="268"/>
      <c r="CJ311" s="268"/>
      <c r="CK311" s="268"/>
      <c r="CL311" s="268"/>
      <c r="CM311" s="268"/>
      <c r="CN311" s="234">
        <f t="shared" ref="CN311:CN316" si="106">IF(AG311=0,0,(BY311+BZ311+CA311+CB311+CC311+CD311+CE311+CF311+CG311+CH311+CI311+CJ311+CK311+CL311+CM311))</f>
        <v>30583333.333333332</v>
      </c>
      <c r="CO311" s="268"/>
      <c r="CP311" s="268"/>
      <c r="CQ311" s="268"/>
      <c r="CR311" s="268">
        <v>32445833.333333332</v>
      </c>
      <c r="CS311" s="268"/>
      <c r="CT311" s="268"/>
      <c r="CU311" s="268"/>
      <c r="CV311" s="268"/>
      <c r="CW311" s="268"/>
      <c r="CX311" s="268"/>
      <c r="CY311" s="268"/>
      <c r="CZ311" s="268"/>
      <c r="DA311" s="268"/>
      <c r="DB311" s="268"/>
      <c r="DC311" s="268"/>
      <c r="DD311" s="234">
        <f t="shared" ref="DD311:DD316" si="107">IF(AL311=0,0,(CO311+CP311+CQ311+CR311+CS311+CT311+CU311+CV311+CW311+CX311+CY311+CZ311+DA311+DB311+DC311))</f>
        <v>32445833.333333332</v>
      </c>
      <c r="DE311" s="243">
        <f t="shared" ref="DE311:DE316" si="108">SUM(DD311+CN311+BX311+BH311)</f>
        <v>125271557.97101448</v>
      </c>
    </row>
    <row r="312" spans="1:110" s="98" customFormat="1" ht="117" customHeight="1">
      <c r="A312" s="103" t="s">
        <v>1237</v>
      </c>
      <c r="B312" s="279" t="s">
        <v>9</v>
      </c>
      <c r="C312" s="279" t="s">
        <v>1698</v>
      </c>
      <c r="D312" s="279">
        <v>24</v>
      </c>
      <c r="E312" s="279" t="s">
        <v>1058</v>
      </c>
      <c r="F312" s="280" t="s">
        <v>1059</v>
      </c>
      <c r="G312" s="279" t="s">
        <v>2796</v>
      </c>
      <c r="H312" s="279">
        <v>32</v>
      </c>
      <c r="I312" s="279" t="s">
        <v>1060</v>
      </c>
      <c r="J312" s="279" t="s">
        <v>683</v>
      </c>
      <c r="K312" s="279">
        <v>0</v>
      </c>
      <c r="L312" s="279">
        <v>15</v>
      </c>
      <c r="M312" s="279" t="s">
        <v>1061</v>
      </c>
      <c r="N312" s="279" t="s">
        <v>1062</v>
      </c>
      <c r="O312" s="279" t="s">
        <v>378</v>
      </c>
      <c r="P312" s="283">
        <v>282</v>
      </c>
      <c r="Q312" s="279" t="s">
        <v>3417</v>
      </c>
      <c r="R312" s="279" t="s">
        <v>1063</v>
      </c>
      <c r="S312" s="279" t="s">
        <v>683</v>
      </c>
      <c r="T312" s="279">
        <v>1</v>
      </c>
      <c r="U312" s="267"/>
      <c r="V312" s="267">
        <v>0.25</v>
      </c>
      <c r="W312" s="224">
        <v>0.25</v>
      </c>
      <c r="X312" s="267"/>
      <c r="Y312" s="267"/>
      <c r="Z312" s="267">
        <v>0.25</v>
      </c>
      <c r="AA312" s="267"/>
      <c r="AB312" s="224">
        <v>0.25</v>
      </c>
      <c r="AC312" s="267"/>
      <c r="AD312" s="267"/>
      <c r="AE312" s="267">
        <v>0.25</v>
      </c>
      <c r="AF312" s="267"/>
      <c r="AG312" s="224">
        <v>0.25</v>
      </c>
      <c r="AH312" s="267"/>
      <c r="AI312" s="267"/>
      <c r="AJ312" s="267">
        <v>0.25</v>
      </c>
      <c r="AK312" s="267"/>
      <c r="AL312" s="224">
        <v>0.25</v>
      </c>
      <c r="AM312" s="104">
        <v>1</v>
      </c>
      <c r="AN312" s="103" t="s">
        <v>685</v>
      </c>
      <c r="AO312" s="103" t="s">
        <v>626</v>
      </c>
      <c r="AP312" s="103" t="s">
        <v>1228</v>
      </c>
      <c r="AQ312" s="103" t="s">
        <v>1199</v>
      </c>
      <c r="AR312" s="103" t="s">
        <v>945</v>
      </c>
      <c r="AS312" s="271"/>
      <c r="AT312" s="271"/>
      <c r="AU312" s="271"/>
      <c r="AV312" s="271">
        <v>175500000</v>
      </c>
      <c r="AW312" s="271">
        <v>22887681.826086968</v>
      </c>
      <c r="AX312" s="271"/>
      <c r="AY312" s="271"/>
      <c r="AZ312" s="271"/>
      <c r="BA312" s="271"/>
      <c r="BB312" s="271"/>
      <c r="BC312" s="271"/>
      <c r="BD312" s="271"/>
      <c r="BE312" s="271"/>
      <c r="BF312" s="271"/>
      <c r="BG312" s="271"/>
      <c r="BH312" s="235">
        <f t="shared" si="104"/>
        <v>198387681.82608697</v>
      </c>
      <c r="BI312" s="271"/>
      <c r="BJ312" s="271"/>
      <c r="BK312" s="271"/>
      <c r="BL312" s="271">
        <v>90000000</v>
      </c>
      <c r="BM312" s="271"/>
      <c r="BN312" s="271"/>
      <c r="BO312" s="271"/>
      <c r="BP312" s="271"/>
      <c r="BQ312" s="271"/>
      <c r="BR312" s="271"/>
      <c r="BS312" s="271"/>
      <c r="BT312" s="271"/>
      <c r="BU312" s="271"/>
      <c r="BV312" s="271"/>
      <c r="BW312" s="271"/>
      <c r="BX312" s="235">
        <f t="shared" si="105"/>
        <v>90000000</v>
      </c>
      <c r="BY312" s="271"/>
      <c r="BZ312" s="271"/>
      <c r="CA312" s="271"/>
      <c r="CB312" s="271">
        <v>110000000</v>
      </c>
      <c r="CC312" s="271"/>
      <c r="CD312" s="271"/>
      <c r="CE312" s="271"/>
      <c r="CF312" s="271"/>
      <c r="CG312" s="271"/>
      <c r="CH312" s="271"/>
      <c r="CI312" s="271"/>
      <c r="CJ312" s="271"/>
      <c r="CK312" s="271"/>
      <c r="CL312" s="271"/>
      <c r="CM312" s="271"/>
      <c r="CN312" s="235">
        <f t="shared" si="106"/>
        <v>110000000</v>
      </c>
      <c r="CO312" s="271"/>
      <c r="CP312" s="271"/>
      <c r="CQ312" s="271"/>
      <c r="CR312" s="271">
        <v>115000000</v>
      </c>
      <c r="CS312" s="271"/>
      <c r="CT312" s="271"/>
      <c r="CU312" s="271"/>
      <c r="CV312" s="271"/>
      <c r="CW312" s="271"/>
      <c r="CX312" s="271"/>
      <c r="CY312" s="271"/>
      <c r="CZ312" s="271"/>
      <c r="DA312" s="271"/>
      <c r="DB312" s="271"/>
      <c r="DC312" s="271"/>
      <c r="DD312" s="234">
        <f t="shared" si="107"/>
        <v>115000000</v>
      </c>
      <c r="DE312" s="244">
        <f t="shared" si="108"/>
        <v>513387681.826087</v>
      </c>
    </row>
    <row r="313" spans="1:110" s="98" customFormat="1" ht="117" customHeight="1">
      <c r="A313" s="103" t="s">
        <v>1237</v>
      </c>
      <c r="B313" s="279" t="s">
        <v>9</v>
      </c>
      <c r="C313" s="279" t="s">
        <v>1698</v>
      </c>
      <c r="D313" s="279">
        <v>24</v>
      </c>
      <c r="E313" s="279" t="s">
        <v>1058</v>
      </c>
      <c r="F313" s="280" t="s">
        <v>1059</v>
      </c>
      <c r="G313" s="279" t="s">
        <v>2796</v>
      </c>
      <c r="H313" s="279">
        <v>32</v>
      </c>
      <c r="I313" s="279" t="s">
        <v>1060</v>
      </c>
      <c r="J313" s="279" t="s">
        <v>683</v>
      </c>
      <c r="K313" s="279">
        <v>0</v>
      </c>
      <c r="L313" s="279">
        <v>15</v>
      </c>
      <c r="M313" s="279" t="s">
        <v>1061</v>
      </c>
      <c r="N313" s="279" t="s">
        <v>1062</v>
      </c>
      <c r="O313" s="279" t="s">
        <v>378</v>
      </c>
      <c r="P313" s="283">
        <v>283</v>
      </c>
      <c r="Q313" s="279" t="s">
        <v>3524</v>
      </c>
      <c r="R313" s="279" t="s">
        <v>1064</v>
      </c>
      <c r="S313" s="279" t="s">
        <v>683</v>
      </c>
      <c r="T313" s="279">
        <v>0</v>
      </c>
      <c r="U313" s="267">
        <v>1</v>
      </c>
      <c r="V313" s="267"/>
      <c r="W313" s="224">
        <v>1</v>
      </c>
      <c r="X313" s="267"/>
      <c r="Y313" s="267"/>
      <c r="Z313" s="267">
        <v>1</v>
      </c>
      <c r="AA313" s="267"/>
      <c r="AB313" s="224">
        <v>1</v>
      </c>
      <c r="AC313" s="267"/>
      <c r="AD313" s="267"/>
      <c r="AE313" s="267">
        <v>1</v>
      </c>
      <c r="AF313" s="267"/>
      <c r="AG313" s="224">
        <v>1</v>
      </c>
      <c r="AH313" s="267"/>
      <c r="AI313" s="267"/>
      <c r="AJ313" s="267">
        <v>1</v>
      </c>
      <c r="AK313" s="267"/>
      <c r="AL313" s="224">
        <v>1</v>
      </c>
      <c r="AM313" s="104">
        <v>4</v>
      </c>
      <c r="AN313" s="103" t="s">
        <v>685</v>
      </c>
      <c r="AO313" s="103" t="s">
        <v>626</v>
      </c>
      <c r="AP313" s="103" t="s">
        <v>1228</v>
      </c>
      <c r="AQ313" s="103" t="s">
        <v>1199</v>
      </c>
      <c r="AR313" s="103" t="s">
        <v>945</v>
      </c>
      <c r="AS313" s="271"/>
      <c r="AT313" s="271"/>
      <c r="AU313" s="271"/>
      <c r="AV313" s="271"/>
      <c r="AW313" s="271">
        <v>6178260.8695652178</v>
      </c>
      <c r="AX313" s="271"/>
      <c r="AY313" s="271"/>
      <c r="AZ313" s="271"/>
      <c r="BA313" s="271"/>
      <c r="BB313" s="271"/>
      <c r="BC313" s="271"/>
      <c r="BD313" s="271"/>
      <c r="BE313" s="271"/>
      <c r="BF313" s="271"/>
      <c r="BG313" s="271"/>
      <c r="BH313" s="235">
        <f t="shared" si="104"/>
        <v>6178260.8695652178</v>
      </c>
      <c r="BI313" s="271"/>
      <c r="BJ313" s="271"/>
      <c r="BK313" s="271"/>
      <c r="BL313" s="271">
        <v>15000000</v>
      </c>
      <c r="BM313" s="271">
        <v>13225000</v>
      </c>
      <c r="BN313" s="271"/>
      <c r="BO313" s="271"/>
      <c r="BP313" s="271"/>
      <c r="BQ313" s="271"/>
      <c r="BR313" s="271"/>
      <c r="BS313" s="271"/>
      <c r="BT313" s="271"/>
      <c r="BU313" s="271"/>
      <c r="BV313" s="271"/>
      <c r="BW313" s="271"/>
      <c r="BX313" s="235">
        <f t="shared" si="105"/>
        <v>28225000</v>
      </c>
      <c r="BY313" s="271"/>
      <c r="BZ313" s="271"/>
      <c r="CA313" s="271"/>
      <c r="CB313" s="271">
        <v>30000000</v>
      </c>
      <c r="CC313" s="271"/>
      <c r="CD313" s="271"/>
      <c r="CE313" s="271"/>
      <c r="CF313" s="271"/>
      <c r="CG313" s="271"/>
      <c r="CH313" s="271"/>
      <c r="CI313" s="271"/>
      <c r="CJ313" s="271"/>
      <c r="CK313" s="271"/>
      <c r="CL313" s="271"/>
      <c r="CM313" s="271"/>
      <c r="CN313" s="235">
        <f t="shared" si="106"/>
        <v>30000000</v>
      </c>
      <c r="CO313" s="271"/>
      <c r="CP313" s="271"/>
      <c r="CQ313" s="271"/>
      <c r="CR313" s="271">
        <v>32000000</v>
      </c>
      <c r="CS313" s="271"/>
      <c r="CT313" s="271"/>
      <c r="CU313" s="271"/>
      <c r="CV313" s="271"/>
      <c r="CW313" s="271"/>
      <c r="CX313" s="271"/>
      <c r="CY313" s="271"/>
      <c r="CZ313" s="271"/>
      <c r="DA313" s="271"/>
      <c r="DB313" s="271"/>
      <c r="DC313" s="271"/>
      <c r="DD313" s="234">
        <f t="shared" si="107"/>
        <v>32000000</v>
      </c>
      <c r="DE313" s="244">
        <f t="shared" si="108"/>
        <v>96403260.869565219</v>
      </c>
    </row>
    <row r="314" spans="1:110" s="98" customFormat="1" ht="117" customHeight="1">
      <c r="A314" s="103" t="s">
        <v>1237</v>
      </c>
      <c r="B314" s="279" t="s">
        <v>9</v>
      </c>
      <c r="C314" s="279" t="s">
        <v>1698</v>
      </c>
      <c r="D314" s="279">
        <v>24</v>
      </c>
      <c r="E314" s="279" t="s">
        <v>1058</v>
      </c>
      <c r="F314" s="280" t="s">
        <v>1059</v>
      </c>
      <c r="G314" s="279" t="s">
        <v>2796</v>
      </c>
      <c r="H314" s="279">
        <v>32</v>
      </c>
      <c r="I314" s="279" t="s">
        <v>1060</v>
      </c>
      <c r="J314" s="279" t="s">
        <v>683</v>
      </c>
      <c r="K314" s="279">
        <v>0</v>
      </c>
      <c r="L314" s="279">
        <v>15</v>
      </c>
      <c r="M314" s="279" t="s">
        <v>1061</v>
      </c>
      <c r="N314" s="279" t="s">
        <v>1062</v>
      </c>
      <c r="O314" s="279" t="s">
        <v>378</v>
      </c>
      <c r="P314" s="283">
        <v>284</v>
      </c>
      <c r="Q314" s="279" t="s">
        <v>2797</v>
      </c>
      <c r="R314" s="279" t="s">
        <v>1065</v>
      </c>
      <c r="S314" s="279" t="s">
        <v>683</v>
      </c>
      <c r="T314" s="279">
        <v>0</v>
      </c>
      <c r="U314" s="267"/>
      <c r="V314" s="267"/>
      <c r="W314" s="224">
        <v>0</v>
      </c>
      <c r="X314" s="267"/>
      <c r="Y314" s="267"/>
      <c r="Z314" s="267"/>
      <c r="AA314" s="267">
        <v>1</v>
      </c>
      <c r="AB314" s="224">
        <v>1</v>
      </c>
      <c r="AC314" s="267"/>
      <c r="AD314" s="267"/>
      <c r="AE314" s="267"/>
      <c r="AF314" s="267">
        <v>1</v>
      </c>
      <c r="AG314" s="224">
        <v>1</v>
      </c>
      <c r="AH314" s="267">
        <v>1</v>
      </c>
      <c r="AI314" s="267"/>
      <c r="AJ314" s="267"/>
      <c r="AK314" s="267">
        <v>1</v>
      </c>
      <c r="AL314" s="224">
        <v>2</v>
      </c>
      <c r="AM314" s="104">
        <v>4</v>
      </c>
      <c r="AN314" s="103" t="s">
        <v>685</v>
      </c>
      <c r="AO314" s="103" t="s">
        <v>626</v>
      </c>
      <c r="AP314" s="103" t="s">
        <v>1228</v>
      </c>
      <c r="AQ314" s="103" t="s">
        <v>1199</v>
      </c>
      <c r="AR314" s="103" t="s">
        <v>945</v>
      </c>
      <c r="AS314" s="271"/>
      <c r="AT314" s="271"/>
      <c r="AU314" s="271"/>
      <c r="AV314" s="271"/>
      <c r="AW314" s="271"/>
      <c r="AX314" s="271"/>
      <c r="AY314" s="271"/>
      <c r="AZ314" s="271"/>
      <c r="BA314" s="271"/>
      <c r="BB314" s="271"/>
      <c r="BC314" s="271"/>
      <c r="BD314" s="271"/>
      <c r="BE314" s="271"/>
      <c r="BF314" s="271"/>
      <c r="BG314" s="271"/>
      <c r="BH314" s="235">
        <f t="shared" si="104"/>
        <v>0</v>
      </c>
      <c r="BI314" s="271"/>
      <c r="BJ314" s="271"/>
      <c r="BK314" s="271"/>
      <c r="BL314" s="271"/>
      <c r="BM314" s="271">
        <v>13225000</v>
      </c>
      <c r="BN314" s="271"/>
      <c r="BO314" s="271"/>
      <c r="BP314" s="271"/>
      <c r="BQ314" s="271"/>
      <c r="BR314" s="271"/>
      <c r="BS314" s="271"/>
      <c r="BT314" s="271"/>
      <c r="BU314" s="271"/>
      <c r="BV314" s="271"/>
      <c r="BW314" s="271"/>
      <c r="BX314" s="235">
        <f t="shared" si="105"/>
        <v>13225000</v>
      </c>
      <c r="BY314" s="271"/>
      <c r="BZ314" s="271"/>
      <c r="CA314" s="271"/>
      <c r="CB314" s="271">
        <v>30583333.333333332</v>
      </c>
      <c r="CC314" s="271"/>
      <c r="CD314" s="271"/>
      <c r="CE314" s="271"/>
      <c r="CF314" s="271"/>
      <c r="CG314" s="271"/>
      <c r="CH314" s="271"/>
      <c r="CI314" s="271"/>
      <c r="CJ314" s="271"/>
      <c r="CK314" s="271"/>
      <c r="CL314" s="271"/>
      <c r="CM314" s="271"/>
      <c r="CN314" s="235">
        <f t="shared" si="106"/>
        <v>30583333.333333332</v>
      </c>
      <c r="CO314" s="271"/>
      <c r="CP314" s="271"/>
      <c r="CQ314" s="271"/>
      <c r="CR314" s="271">
        <v>32000000</v>
      </c>
      <c r="CS314" s="271"/>
      <c r="CT314" s="271"/>
      <c r="CU314" s="271"/>
      <c r="CV314" s="271"/>
      <c r="CW314" s="271"/>
      <c r="CX314" s="271"/>
      <c r="CY314" s="271"/>
      <c r="CZ314" s="271"/>
      <c r="DA314" s="271"/>
      <c r="DB314" s="271"/>
      <c r="DC314" s="271"/>
      <c r="DD314" s="234">
        <f t="shared" si="107"/>
        <v>32000000</v>
      </c>
      <c r="DE314" s="244">
        <f t="shared" si="108"/>
        <v>75808333.333333328</v>
      </c>
    </row>
    <row r="315" spans="1:110" s="98" customFormat="1" ht="117" customHeight="1">
      <c r="A315" s="103" t="s">
        <v>1237</v>
      </c>
      <c r="B315" s="279" t="s">
        <v>9</v>
      </c>
      <c r="C315" s="279" t="s">
        <v>1698</v>
      </c>
      <c r="D315" s="279">
        <v>24</v>
      </c>
      <c r="E315" s="279" t="s">
        <v>1058</v>
      </c>
      <c r="F315" s="280" t="s">
        <v>1059</v>
      </c>
      <c r="G315" s="279" t="s">
        <v>2796</v>
      </c>
      <c r="H315" s="279">
        <v>32</v>
      </c>
      <c r="I315" s="279" t="s">
        <v>1060</v>
      </c>
      <c r="J315" s="279" t="s">
        <v>683</v>
      </c>
      <c r="K315" s="279">
        <v>0</v>
      </c>
      <c r="L315" s="279">
        <v>15</v>
      </c>
      <c r="M315" s="279" t="s">
        <v>1061</v>
      </c>
      <c r="N315" s="279" t="s">
        <v>1062</v>
      </c>
      <c r="O315" s="279" t="s">
        <v>378</v>
      </c>
      <c r="P315" s="283">
        <v>285</v>
      </c>
      <c r="Q315" s="279" t="s">
        <v>2798</v>
      </c>
      <c r="R315" s="279" t="s">
        <v>1066</v>
      </c>
      <c r="S315" s="279" t="s">
        <v>683</v>
      </c>
      <c r="T315" s="279">
        <v>0</v>
      </c>
      <c r="U315" s="267"/>
      <c r="V315" s="267"/>
      <c r="W315" s="224">
        <v>0</v>
      </c>
      <c r="X315" s="267"/>
      <c r="Y315" s="267"/>
      <c r="Z315" s="267">
        <v>0.5</v>
      </c>
      <c r="AA315" s="267">
        <v>0.5</v>
      </c>
      <c r="AB315" s="224">
        <v>1</v>
      </c>
      <c r="AC315" s="267"/>
      <c r="AD315" s="267"/>
      <c r="AE315" s="267"/>
      <c r="AF315" s="267"/>
      <c r="AG315" s="224">
        <v>0</v>
      </c>
      <c r="AH315" s="267"/>
      <c r="AI315" s="267"/>
      <c r="AJ315" s="267"/>
      <c r="AK315" s="267"/>
      <c r="AL315" s="224">
        <v>0</v>
      </c>
      <c r="AM315" s="104">
        <v>1</v>
      </c>
      <c r="AN315" s="103" t="s">
        <v>685</v>
      </c>
      <c r="AO315" s="103" t="s">
        <v>626</v>
      </c>
      <c r="AP315" s="103" t="s">
        <v>1228</v>
      </c>
      <c r="AQ315" s="103" t="s">
        <v>1199</v>
      </c>
      <c r="AR315" s="103" t="s">
        <v>945</v>
      </c>
      <c r="AS315" s="271"/>
      <c r="AT315" s="271"/>
      <c r="AU315" s="271"/>
      <c r="AV315" s="271"/>
      <c r="AW315" s="271"/>
      <c r="AX315" s="271"/>
      <c r="AY315" s="271"/>
      <c r="AZ315" s="271"/>
      <c r="BA315" s="271"/>
      <c r="BB315" s="271"/>
      <c r="BC315" s="271"/>
      <c r="BD315" s="271"/>
      <c r="BE315" s="271"/>
      <c r="BF315" s="271"/>
      <c r="BG315" s="271"/>
      <c r="BH315" s="235">
        <f t="shared" si="104"/>
        <v>0</v>
      </c>
      <c r="BI315" s="271"/>
      <c r="BJ315" s="271"/>
      <c r="BK315" s="271"/>
      <c r="BL315" s="271">
        <v>60000000</v>
      </c>
      <c r="BM315" s="271"/>
      <c r="BN315" s="271"/>
      <c r="BO315" s="271"/>
      <c r="BP315" s="271"/>
      <c r="BQ315" s="271"/>
      <c r="BR315" s="271"/>
      <c r="BS315" s="271"/>
      <c r="BT315" s="271"/>
      <c r="BU315" s="271"/>
      <c r="BV315" s="271"/>
      <c r="BW315" s="271"/>
      <c r="BX315" s="235">
        <f t="shared" si="105"/>
        <v>60000000</v>
      </c>
      <c r="BY315" s="271"/>
      <c r="BZ315" s="271"/>
      <c r="CA315" s="271"/>
      <c r="CB315" s="271"/>
      <c r="CC315" s="271"/>
      <c r="CD315" s="271"/>
      <c r="CE315" s="271"/>
      <c r="CF315" s="271"/>
      <c r="CG315" s="271"/>
      <c r="CH315" s="271"/>
      <c r="CI315" s="271"/>
      <c r="CJ315" s="271"/>
      <c r="CK315" s="271"/>
      <c r="CL315" s="271"/>
      <c r="CM315" s="271"/>
      <c r="CN315" s="235">
        <f t="shared" si="106"/>
        <v>0</v>
      </c>
      <c r="CO315" s="271"/>
      <c r="CP315" s="271"/>
      <c r="CQ315" s="271"/>
      <c r="CR315" s="271"/>
      <c r="CS315" s="271"/>
      <c r="CT315" s="271"/>
      <c r="CU315" s="271"/>
      <c r="CV315" s="271"/>
      <c r="CW315" s="271"/>
      <c r="CX315" s="271"/>
      <c r="CY315" s="271"/>
      <c r="CZ315" s="271"/>
      <c r="DA315" s="271"/>
      <c r="DB315" s="271"/>
      <c r="DC315" s="271"/>
      <c r="DD315" s="234">
        <f t="shared" si="107"/>
        <v>0</v>
      </c>
      <c r="DE315" s="244">
        <f t="shared" si="108"/>
        <v>60000000</v>
      </c>
    </row>
    <row r="316" spans="1:110" s="98" customFormat="1" ht="117" customHeight="1">
      <c r="A316" s="120" t="s">
        <v>1237</v>
      </c>
      <c r="B316" s="281" t="s">
        <v>9</v>
      </c>
      <c r="C316" s="281" t="s">
        <v>1698</v>
      </c>
      <c r="D316" s="281">
        <v>24</v>
      </c>
      <c r="E316" s="281" t="s">
        <v>1058</v>
      </c>
      <c r="F316" s="282" t="s">
        <v>1059</v>
      </c>
      <c r="G316" s="281" t="s">
        <v>2796</v>
      </c>
      <c r="H316" s="281">
        <v>32</v>
      </c>
      <c r="I316" s="281" t="s">
        <v>1060</v>
      </c>
      <c r="J316" s="281" t="s">
        <v>683</v>
      </c>
      <c r="K316" s="281">
        <v>0</v>
      </c>
      <c r="L316" s="281">
        <v>15</v>
      </c>
      <c r="M316" s="281" t="s">
        <v>1067</v>
      </c>
      <c r="N316" s="281" t="s">
        <v>1068</v>
      </c>
      <c r="O316" s="281" t="s">
        <v>380</v>
      </c>
      <c r="P316" s="283">
        <v>286</v>
      </c>
      <c r="Q316" s="281" t="s">
        <v>2799</v>
      </c>
      <c r="R316" s="281" t="s">
        <v>1069</v>
      </c>
      <c r="S316" s="281" t="s">
        <v>683</v>
      </c>
      <c r="T316" s="281">
        <v>0</v>
      </c>
      <c r="U316" s="275"/>
      <c r="V316" s="275"/>
      <c r="W316" s="225">
        <v>0</v>
      </c>
      <c r="X316" s="275"/>
      <c r="Y316" s="275"/>
      <c r="Z316" s="275"/>
      <c r="AA316" s="275"/>
      <c r="AB316" s="225">
        <v>0</v>
      </c>
      <c r="AC316" s="275"/>
      <c r="AD316" s="275">
        <v>0.5</v>
      </c>
      <c r="AE316" s="275"/>
      <c r="AF316" s="275"/>
      <c r="AG316" s="225">
        <v>0.5</v>
      </c>
      <c r="AH316" s="275"/>
      <c r="AI316" s="275"/>
      <c r="AJ316" s="275">
        <v>0.5</v>
      </c>
      <c r="AK316" s="275"/>
      <c r="AL316" s="225">
        <v>0.5</v>
      </c>
      <c r="AM316" s="119">
        <v>1</v>
      </c>
      <c r="AN316" s="120" t="s">
        <v>685</v>
      </c>
      <c r="AO316" s="120" t="s">
        <v>626</v>
      </c>
      <c r="AP316" s="120" t="s">
        <v>1228</v>
      </c>
      <c r="AQ316" s="120" t="s">
        <v>1199</v>
      </c>
      <c r="AR316" s="120" t="s">
        <v>945</v>
      </c>
      <c r="AS316" s="276"/>
      <c r="AT316" s="276"/>
      <c r="AU316" s="276"/>
      <c r="AV316" s="276"/>
      <c r="AW316" s="276"/>
      <c r="AX316" s="276"/>
      <c r="AY316" s="276"/>
      <c r="AZ316" s="276"/>
      <c r="BA316" s="276"/>
      <c r="BB316" s="276"/>
      <c r="BC316" s="276"/>
      <c r="BD316" s="276"/>
      <c r="BE316" s="276"/>
      <c r="BF316" s="276"/>
      <c r="BG316" s="276"/>
      <c r="BH316" s="236">
        <f t="shared" si="104"/>
        <v>0</v>
      </c>
      <c r="BI316" s="276"/>
      <c r="BJ316" s="276"/>
      <c r="BK316" s="276"/>
      <c r="BL316" s="276"/>
      <c r="BM316" s="276"/>
      <c r="BN316" s="276"/>
      <c r="BO316" s="276"/>
      <c r="BP316" s="276"/>
      <c r="BQ316" s="276"/>
      <c r="BR316" s="276"/>
      <c r="BS316" s="276"/>
      <c r="BT316" s="276"/>
      <c r="BU316" s="276"/>
      <c r="BV316" s="276"/>
      <c r="BW316" s="276"/>
      <c r="BX316" s="236">
        <f t="shared" si="105"/>
        <v>0</v>
      </c>
      <c r="BY316" s="276"/>
      <c r="BZ316" s="276"/>
      <c r="CA316" s="276"/>
      <c r="CB316" s="276">
        <v>10583333.3333333</v>
      </c>
      <c r="CC316" s="276"/>
      <c r="CD316" s="276"/>
      <c r="CE316" s="276"/>
      <c r="CF316" s="276"/>
      <c r="CG316" s="276"/>
      <c r="CH316" s="276"/>
      <c r="CI316" s="276"/>
      <c r="CJ316" s="276"/>
      <c r="CK316" s="276"/>
      <c r="CL316" s="276"/>
      <c r="CM316" s="276"/>
      <c r="CN316" s="236">
        <f t="shared" si="106"/>
        <v>10583333.3333333</v>
      </c>
      <c r="CO316" s="276"/>
      <c r="CP316" s="276"/>
      <c r="CQ316" s="276"/>
      <c r="CR316" s="276">
        <v>10891666.666666633</v>
      </c>
      <c r="CS316" s="276"/>
      <c r="CT316" s="276"/>
      <c r="CU316" s="276"/>
      <c r="CV316" s="276"/>
      <c r="CW316" s="276"/>
      <c r="CX316" s="276"/>
      <c r="CY316" s="276"/>
      <c r="CZ316" s="276"/>
      <c r="DA316" s="276"/>
      <c r="DB316" s="276"/>
      <c r="DC316" s="276"/>
      <c r="DD316" s="240">
        <f t="shared" si="107"/>
        <v>10891666.666666633</v>
      </c>
      <c r="DE316" s="245">
        <f t="shared" si="108"/>
        <v>21474999.999999933</v>
      </c>
    </row>
    <row r="317" spans="1:110" ht="65.099999999999994" customHeight="1">
      <c r="A317" s="134" t="s">
        <v>1237</v>
      </c>
      <c r="B317" s="134" t="s">
        <v>9</v>
      </c>
      <c r="C317" s="134" t="s">
        <v>1698</v>
      </c>
      <c r="D317" s="134">
        <v>24</v>
      </c>
      <c r="E317" s="134" t="s">
        <v>1058</v>
      </c>
      <c r="F317" s="135"/>
      <c r="G317" s="136"/>
      <c r="H317" s="137"/>
      <c r="I317" s="137"/>
      <c r="J317" s="137"/>
      <c r="K317" s="138"/>
      <c r="L317" s="137"/>
      <c r="M317" s="137"/>
      <c r="N317" s="137"/>
      <c r="O317" s="137"/>
      <c r="P317" s="137"/>
      <c r="Q317" s="136"/>
      <c r="R317" s="139"/>
      <c r="S317" s="137"/>
      <c r="T317" s="137"/>
      <c r="U317" s="140"/>
      <c r="V317" s="140"/>
      <c r="W317" s="138"/>
      <c r="X317" s="140"/>
      <c r="Y317" s="140"/>
      <c r="Z317" s="140"/>
      <c r="AA317" s="140"/>
      <c r="AB317" s="138"/>
      <c r="AC317" s="140"/>
      <c r="AD317" s="140"/>
      <c r="AE317" s="140"/>
      <c r="AF317" s="140"/>
      <c r="AG317" s="138"/>
      <c r="AH317" s="140"/>
      <c r="AI317" s="140"/>
      <c r="AJ317" s="140"/>
      <c r="AK317" s="140"/>
      <c r="AL317" s="138"/>
      <c r="AM317" s="141"/>
      <c r="AN317" s="142"/>
      <c r="AO317" s="142"/>
      <c r="AP317" s="143"/>
      <c r="AQ317" s="143"/>
      <c r="AR317" s="144"/>
      <c r="AS317" s="132">
        <f>SUM(AS311:AS316)</f>
        <v>0</v>
      </c>
      <c r="AT317" s="132">
        <f t="shared" ref="AT317:DE317" si="109">SUM(AT311:AT316)</f>
        <v>0</v>
      </c>
      <c r="AU317" s="132">
        <f t="shared" si="109"/>
        <v>0</v>
      </c>
      <c r="AV317" s="132">
        <f t="shared" si="109"/>
        <v>185500000</v>
      </c>
      <c r="AW317" s="132">
        <f t="shared" si="109"/>
        <v>38333334.000000015</v>
      </c>
      <c r="AX317" s="132">
        <f t="shared" si="109"/>
        <v>0</v>
      </c>
      <c r="AY317" s="132">
        <f t="shared" si="109"/>
        <v>0</v>
      </c>
      <c r="AZ317" s="132">
        <f t="shared" si="109"/>
        <v>0</v>
      </c>
      <c r="BA317" s="132">
        <f t="shared" si="109"/>
        <v>0</v>
      </c>
      <c r="BB317" s="132">
        <f t="shared" si="109"/>
        <v>0</v>
      </c>
      <c r="BC317" s="132">
        <f t="shared" si="109"/>
        <v>0</v>
      </c>
      <c r="BD317" s="132">
        <f t="shared" si="109"/>
        <v>0</v>
      </c>
      <c r="BE317" s="132">
        <f t="shared" si="109"/>
        <v>0</v>
      </c>
      <c r="BF317" s="132">
        <f t="shared" si="109"/>
        <v>0</v>
      </c>
      <c r="BG317" s="132">
        <f t="shared" si="109"/>
        <v>0</v>
      </c>
      <c r="BH317" s="133">
        <f>IF(OR(AND(BH311=0,W311&lt;&gt;0),AND(BH312=0,W312&lt;&gt;0),AND(BH313=0,W313&lt;&gt;0),AND(BH314=0,W314&lt;&gt;0),AND(BH315=0,W315&lt;&gt;0),AND(BH316=0,W316&lt;&gt;0)),"NO DEBEN QUEDAR CELDAS EN ROJO",SUM(BH311:BH316))</f>
        <v>223833334.00000003</v>
      </c>
      <c r="BI317" s="132">
        <f t="shared" si="109"/>
        <v>0</v>
      </c>
      <c r="BJ317" s="132">
        <f t="shared" si="109"/>
        <v>0</v>
      </c>
      <c r="BK317" s="132">
        <f t="shared" si="109"/>
        <v>0</v>
      </c>
      <c r="BL317" s="132">
        <f t="shared" si="109"/>
        <v>194750000</v>
      </c>
      <c r="BM317" s="132">
        <f t="shared" si="109"/>
        <v>39675000</v>
      </c>
      <c r="BN317" s="132">
        <f t="shared" si="109"/>
        <v>0</v>
      </c>
      <c r="BO317" s="132">
        <f t="shared" si="109"/>
        <v>0</v>
      </c>
      <c r="BP317" s="132">
        <f t="shared" si="109"/>
        <v>0</v>
      </c>
      <c r="BQ317" s="132">
        <f t="shared" si="109"/>
        <v>0</v>
      </c>
      <c r="BR317" s="132">
        <f t="shared" si="109"/>
        <v>0</v>
      </c>
      <c r="BS317" s="132">
        <f t="shared" si="109"/>
        <v>0</v>
      </c>
      <c r="BT317" s="132">
        <f t="shared" si="109"/>
        <v>0</v>
      </c>
      <c r="BU317" s="132">
        <f t="shared" si="109"/>
        <v>0</v>
      </c>
      <c r="BV317" s="132">
        <f t="shared" si="109"/>
        <v>0</v>
      </c>
      <c r="BW317" s="132">
        <f t="shared" si="109"/>
        <v>0</v>
      </c>
      <c r="BX317" s="133">
        <f>IF(OR(AND(BX311=0,AB311&lt;&gt;0),AND(BX312=0,AB312&lt;&gt;0),AND(BX313=0,AB313&lt;&gt;0),AND(BX314=0,AB314&lt;&gt;0),AND(BX315=0,AB315&lt;&gt;0),AND(BX316=0,AB316&lt;&gt;0)),"NO DEBEN QUEDAR CELDAS EN ROJO",SUM(BX311:BX316))</f>
        <v>234425000</v>
      </c>
      <c r="BY317" s="132">
        <f t="shared" si="109"/>
        <v>0</v>
      </c>
      <c r="BZ317" s="132">
        <f t="shared" si="109"/>
        <v>0</v>
      </c>
      <c r="CA317" s="132">
        <f t="shared" si="109"/>
        <v>0</v>
      </c>
      <c r="CB317" s="132">
        <f t="shared" si="109"/>
        <v>211750000</v>
      </c>
      <c r="CC317" s="132">
        <f t="shared" si="109"/>
        <v>0</v>
      </c>
      <c r="CD317" s="132">
        <f t="shared" si="109"/>
        <v>0</v>
      </c>
      <c r="CE317" s="132">
        <f t="shared" si="109"/>
        <v>0</v>
      </c>
      <c r="CF317" s="132">
        <f t="shared" si="109"/>
        <v>0</v>
      </c>
      <c r="CG317" s="132">
        <f t="shared" si="109"/>
        <v>0</v>
      </c>
      <c r="CH317" s="132">
        <f t="shared" si="109"/>
        <v>0</v>
      </c>
      <c r="CI317" s="132">
        <f t="shared" si="109"/>
        <v>0</v>
      </c>
      <c r="CJ317" s="132">
        <f t="shared" si="109"/>
        <v>0</v>
      </c>
      <c r="CK317" s="132">
        <f t="shared" si="109"/>
        <v>0</v>
      </c>
      <c r="CL317" s="132">
        <f t="shared" si="109"/>
        <v>0</v>
      </c>
      <c r="CM317" s="132">
        <f t="shared" si="109"/>
        <v>0</v>
      </c>
      <c r="CN317" s="133">
        <f>IF(OR(AND(CN311=0,AG311&lt;&gt;0),AND(CN312=0,AG312&lt;&gt;0),AND(CN313=0,AG313&lt;&gt;0),AND(CN314=0,AG314&lt;&gt;0),AND(CN315=0,AG315&lt;&gt;0),AND(CN316=0,AG316&lt;&gt;0)),"NO DEBEN QUEDAR CELDAS EN ROJO",SUM(CN311:CN316))</f>
        <v>211750000</v>
      </c>
      <c r="CO317" s="132">
        <f t="shared" si="109"/>
        <v>0</v>
      </c>
      <c r="CP317" s="132">
        <f t="shared" si="109"/>
        <v>0</v>
      </c>
      <c r="CQ317" s="132">
        <f t="shared" si="109"/>
        <v>0</v>
      </c>
      <c r="CR317" s="132">
        <f t="shared" si="109"/>
        <v>222337499.99999997</v>
      </c>
      <c r="CS317" s="132">
        <f t="shared" si="109"/>
        <v>0</v>
      </c>
      <c r="CT317" s="132">
        <f t="shared" si="109"/>
        <v>0</v>
      </c>
      <c r="CU317" s="132">
        <f t="shared" si="109"/>
        <v>0</v>
      </c>
      <c r="CV317" s="132">
        <f t="shared" si="109"/>
        <v>0</v>
      </c>
      <c r="CW317" s="132">
        <f t="shared" si="109"/>
        <v>0</v>
      </c>
      <c r="CX317" s="132">
        <f t="shared" si="109"/>
        <v>0</v>
      </c>
      <c r="CY317" s="132">
        <f t="shared" si="109"/>
        <v>0</v>
      </c>
      <c r="CZ317" s="132">
        <f t="shared" si="109"/>
        <v>0</v>
      </c>
      <c r="DA317" s="132">
        <f t="shared" si="109"/>
        <v>0</v>
      </c>
      <c r="DB317" s="132">
        <f t="shared" si="109"/>
        <v>0</v>
      </c>
      <c r="DC317" s="132">
        <f t="shared" si="109"/>
        <v>0</v>
      </c>
      <c r="DD317" s="133">
        <f>IF(OR(AND(DD311=0,AL311&lt;&gt;0),AND(DD312=0,AL312&lt;&gt;0),AND(DD313=0,AL313&lt;&gt;0),AND(DD314=0,AL314&lt;&gt;0),AND(DD315=0,AL315&lt;&gt;0),AND(DD316=0,AL316&lt;&gt;0)),"NO DEBEN QUEDAR CELDAS EN ROJO",SUM(DD311:DD316))</f>
        <v>222337499.99999997</v>
      </c>
      <c r="DE317" s="133">
        <f t="shared" si="109"/>
        <v>892345834</v>
      </c>
      <c r="DF317" s="101"/>
    </row>
    <row r="318" spans="1:110" s="98" customFormat="1" ht="100.05" customHeight="1">
      <c r="A318" s="103" t="s">
        <v>1236</v>
      </c>
      <c r="B318" s="103" t="s">
        <v>9</v>
      </c>
      <c r="C318" s="103" t="s">
        <v>1698</v>
      </c>
      <c r="D318" s="103">
        <v>25</v>
      </c>
      <c r="E318" s="103" t="s">
        <v>1070</v>
      </c>
      <c r="F318" s="278" t="s">
        <v>381</v>
      </c>
      <c r="G318" s="103" t="s">
        <v>3418</v>
      </c>
      <c r="H318" s="103">
        <v>33</v>
      </c>
      <c r="I318" s="103" t="s">
        <v>382</v>
      </c>
      <c r="J318" s="103" t="s">
        <v>383</v>
      </c>
      <c r="K318" s="103">
        <v>193.7</v>
      </c>
      <c r="L318" s="103" t="s">
        <v>1071</v>
      </c>
      <c r="M318" s="103" t="s">
        <v>1072</v>
      </c>
      <c r="N318" s="103" t="s">
        <v>1073</v>
      </c>
      <c r="O318" s="103" t="s">
        <v>1074</v>
      </c>
      <c r="P318" s="283">
        <v>287</v>
      </c>
      <c r="Q318" s="103" t="s">
        <v>2743</v>
      </c>
      <c r="R318" s="103" t="s">
        <v>1075</v>
      </c>
      <c r="S318" s="103" t="s">
        <v>683</v>
      </c>
      <c r="T318" s="103">
        <v>123</v>
      </c>
      <c r="U318" s="267">
        <v>30</v>
      </c>
      <c r="V318" s="267">
        <v>93</v>
      </c>
      <c r="W318" s="224">
        <v>123</v>
      </c>
      <c r="X318" s="267">
        <v>20</v>
      </c>
      <c r="Y318" s="267">
        <v>35</v>
      </c>
      <c r="Z318" s="267">
        <v>35</v>
      </c>
      <c r="AA318" s="267">
        <v>33</v>
      </c>
      <c r="AB318" s="224">
        <v>123</v>
      </c>
      <c r="AC318" s="267">
        <v>20</v>
      </c>
      <c r="AD318" s="267">
        <v>35</v>
      </c>
      <c r="AE318" s="267">
        <v>35</v>
      </c>
      <c r="AF318" s="267">
        <v>33</v>
      </c>
      <c r="AG318" s="224">
        <v>123</v>
      </c>
      <c r="AH318" s="267">
        <v>41</v>
      </c>
      <c r="AI318" s="267">
        <v>41</v>
      </c>
      <c r="AJ318" s="267">
        <v>41</v>
      </c>
      <c r="AK318" s="267"/>
      <c r="AL318" s="224">
        <v>123</v>
      </c>
      <c r="AM318" s="102">
        <v>123</v>
      </c>
      <c r="AN318" s="103" t="s">
        <v>686</v>
      </c>
      <c r="AO318" s="103" t="s">
        <v>616</v>
      </c>
      <c r="AP318" s="103" t="s">
        <v>1226</v>
      </c>
      <c r="AQ318" s="103" t="s">
        <v>1207</v>
      </c>
      <c r="AR318" s="103" t="s">
        <v>951</v>
      </c>
      <c r="AS318" s="268"/>
      <c r="AT318" s="268"/>
      <c r="AU318" s="268"/>
      <c r="AV318" s="268"/>
      <c r="AW318" s="268">
        <v>500000</v>
      </c>
      <c r="AX318" s="268"/>
      <c r="AY318" s="268"/>
      <c r="AZ318" s="268"/>
      <c r="BA318" s="268"/>
      <c r="BB318" s="268"/>
      <c r="BC318" s="268"/>
      <c r="BD318" s="268"/>
      <c r="BE318" s="268"/>
      <c r="BF318" s="268"/>
      <c r="BG318" s="268"/>
      <c r="BH318" s="234">
        <f t="shared" ref="BH318:BH325" si="110">IF(W318=0,0,BG318+BF318+BE318+BD318+BC318+BB318+BA318+AZ318+AY318+AX318+AW318+AV318+AU318+AT318+AS318)</f>
        <v>500000</v>
      </c>
      <c r="BI318" s="268"/>
      <c r="BJ318" s="268"/>
      <c r="BK318" s="268"/>
      <c r="BL318" s="268"/>
      <c r="BM318" s="268">
        <v>2500000</v>
      </c>
      <c r="BN318" s="268"/>
      <c r="BO318" s="268"/>
      <c r="BP318" s="268"/>
      <c r="BQ318" s="268"/>
      <c r="BR318" s="268"/>
      <c r="BS318" s="268"/>
      <c r="BT318" s="268"/>
      <c r="BU318" s="268"/>
      <c r="BV318" s="268"/>
      <c r="BW318" s="268"/>
      <c r="BX318" s="234">
        <f t="shared" ref="BX318:BX325" si="111">IF(AB318=0,0,BI318+BJ318+BK318+BL318+BM318+BN318+BO318+BP318+BQ318+BR318+BS318+BT318+BU318+BV318+BW318)</f>
        <v>2500000</v>
      </c>
      <c r="BY318" s="268"/>
      <c r="BZ318" s="268"/>
      <c r="CA318" s="268"/>
      <c r="CB318" s="268"/>
      <c r="CC318" s="268">
        <v>2500000</v>
      </c>
      <c r="CD318" s="268"/>
      <c r="CE318" s="268"/>
      <c r="CF318" s="268"/>
      <c r="CG318" s="268"/>
      <c r="CH318" s="268"/>
      <c r="CI318" s="268"/>
      <c r="CJ318" s="268"/>
      <c r="CK318" s="268"/>
      <c r="CL318" s="268"/>
      <c r="CM318" s="268"/>
      <c r="CN318" s="234">
        <f t="shared" ref="CN318:CN325" si="112">IF(AG318=0,0,(BY318+BZ318+CA318+CB318+CC318+CD318+CE318+CF318+CG318+CH318+CI318+CJ318+CK318+CL318+CM318))</f>
        <v>2500000</v>
      </c>
      <c r="CO318" s="268"/>
      <c r="CP318" s="268"/>
      <c r="CQ318" s="268"/>
      <c r="CR318" s="268"/>
      <c r="CS318" s="268">
        <v>2500000</v>
      </c>
      <c r="CT318" s="268"/>
      <c r="CU318" s="268"/>
      <c r="CV318" s="268"/>
      <c r="CW318" s="268"/>
      <c r="CX318" s="268"/>
      <c r="CY318" s="268"/>
      <c r="CZ318" s="268"/>
      <c r="DA318" s="268"/>
      <c r="DB318" s="268"/>
      <c r="DC318" s="268"/>
      <c r="DD318" s="234">
        <f t="shared" ref="DD318:DD325" si="113">IF(AL318=0,0,(CO318+CP318+CQ318+CR318+CS318+CT318+CU318+CV318+CW318+CX318+CY318+CZ318+DA318+DB318+DC318))</f>
        <v>2500000</v>
      </c>
      <c r="DE318" s="243">
        <f t="shared" ref="DE318:DE325" si="114">SUM(DD318+CN318+BX318+BH318)</f>
        <v>8000000</v>
      </c>
    </row>
    <row r="319" spans="1:110" s="98" customFormat="1" ht="100.05" customHeight="1">
      <c r="A319" s="103" t="s">
        <v>1236</v>
      </c>
      <c r="B319" s="279" t="s">
        <v>9</v>
      </c>
      <c r="C319" s="279" t="s">
        <v>1698</v>
      </c>
      <c r="D319" s="279">
        <v>25</v>
      </c>
      <c r="E319" s="279" t="s">
        <v>1070</v>
      </c>
      <c r="F319" s="280" t="s">
        <v>381</v>
      </c>
      <c r="G319" s="279" t="s">
        <v>3418</v>
      </c>
      <c r="H319" s="279">
        <v>33</v>
      </c>
      <c r="I319" s="279" t="s">
        <v>382</v>
      </c>
      <c r="J319" s="279" t="s">
        <v>383</v>
      </c>
      <c r="K319" s="279">
        <v>193.7</v>
      </c>
      <c r="L319" s="279" t="s">
        <v>1071</v>
      </c>
      <c r="M319" s="279" t="s">
        <v>1072</v>
      </c>
      <c r="N319" s="279" t="s">
        <v>1073</v>
      </c>
      <c r="O319" s="279" t="s">
        <v>1074</v>
      </c>
      <c r="P319" s="283">
        <v>288</v>
      </c>
      <c r="Q319" s="279" t="s">
        <v>2744</v>
      </c>
      <c r="R319" s="279" t="s">
        <v>1076</v>
      </c>
      <c r="S319" s="279" t="s">
        <v>683</v>
      </c>
      <c r="T319" s="279">
        <v>0</v>
      </c>
      <c r="U319" s="267"/>
      <c r="V319" s="267">
        <v>0.1</v>
      </c>
      <c r="W319" s="224">
        <v>0.1</v>
      </c>
      <c r="X319" s="267"/>
      <c r="Y319" s="267">
        <v>0.1</v>
      </c>
      <c r="Z319" s="267">
        <v>0.1</v>
      </c>
      <c r="AA319" s="267">
        <v>0.1</v>
      </c>
      <c r="AB319" s="224">
        <v>0.30000000000000004</v>
      </c>
      <c r="AC319" s="267"/>
      <c r="AD319" s="267">
        <v>0.1</v>
      </c>
      <c r="AE319" s="267">
        <v>0.1</v>
      </c>
      <c r="AF319" s="267">
        <v>0.1</v>
      </c>
      <c r="AG319" s="224">
        <v>0.30000000000000004</v>
      </c>
      <c r="AH319" s="267"/>
      <c r="AI319" s="267">
        <v>0.1</v>
      </c>
      <c r="AJ319" s="267">
        <v>0.1</v>
      </c>
      <c r="AK319" s="267">
        <v>0.1</v>
      </c>
      <c r="AL319" s="224">
        <v>0.30000000000000004</v>
      </c>
      <c r="AM319" s="104">
        <v>1</v>
      </c>
      <c r="AN319" s="103" t="s">
        <v>685</v>
      </c>
      <c r="AO319" s="103" t="s">
        <v>616</v>
      </c>
      <c r="AP319" s="103" t="s">
        <v>1226</v>
      </c>
      <c r="AQ319" s="103" t="s">
        <v>1207</v>
      </c>
      <c r="AR319" s="103" t="s">
        <v>951</v>
      </c>
      <c r="AS319" s="271"/>
      <c r="AT319" s="271"/>
      <c r="AU319" s="271"/>
      <c r="AV319" s="271"/>
      <c r="AW319" s="271">
        <v>500000</v>
      </c>
      <c r="AX319" s="271"/>
      <c r="AY319" s="271"/>
      <c r="AZ319" s="271"/>
      <c r="BA319" s="271"/>
      <c r="BB319" s="271"/>
      <c r="BC319" s="271"/>
      <c r="BD319" s="271"/>
      <c r="BE319" s="271"/>
      <c r="BF319" s="271"/>
      <c r="BG319" s="271"/>
      <c r="BH319" s="235">
        <f t="shared" si="110"/>
        <v>500000</v>
      </c>
      <c r="BI319" s="271"/>
      <c r="BJ319" s="271"/>
      <c r="BK319" s="271"/>
      <c r="BL319" s="271"/>
      <c r="BM319" s="271">
        <v>2500000</v>
      </c>
      <c r="BN319" s="271"/>
      <c r="BO319" s="271"/>
      <c r="BP319" s="271"/>
      <c r="BQ319" s="271"/>
      <c r="BR319" s="271"/>
      <c r="BS319" s="271"/>
      <c r="BT319" s="271"/>
      <c r="BU319" s="271"/>
      <c r="BV319" s="271"/>
      <c r="BW319" s="271"/>
      <c r="BX319" s="235">
        <f t="shared" si="111"/>
        <v>2500000</v>
      </c>
      <c r="BY319" s="271"/>
      <c r="BZ319" s="271"/>
      <c r="CA319" s="271"/>
      <c r="CB319" s="271"/>
      <c r="CC319" s="271">
        <v>2500000</v>
      </c>
      <c r="CD319" s="271"/>
      <c r="CE319" s="271"/>
      <c r="CF319" s="271"/>
      <c r="CG319" s="271"/>
      <c r="CH319" s="271"/>
      <c r="CI319" s="271"/>
      <c r="CJ319" s="271"/>
      <c r="CK319" s="271"/>
      <c r="CL319" s="271"/>
      <c r="CM319" s="271"/>
      <c r="CN319" s="235">
        <f t="shared" si="112"/>
        <v>2500000</v>
      </c>
      <c r="CO319" s="271"/>
      <c r="CP319" s="271"/>
      <c r="CQ319" s="271"/>
      <c r="CR319" s="271"/>
      <c r="CS319" s="271">
        <v>2500000</v>
      </c>
      <c r="CT319" s="271"/>
      <c r="CU319" s="271"/>
      <c r="CV319" s="271"/>
      <c r="CW319" s="271"/>
      <c r="CX319" s="271"/>
      <c r="CY319" s="271"/>
      <c r="CZ319" s="271"/>
      <c r="DA319" s="271"/>
      <c r="DB319" s="271"/>
      <c r="DC319" s="271"/>
      <c r="DD319" s="234">
        <f t="shared" si="113"/>
        <v>2500000</v>
      </c>
      <c r="DE319" s="244">
        <f t="shared" si="114"/>
        <v>8000000</v>
      </c>
    </row>
    <row r="320" spans="1:110" s="98" customFormat="1" ht="100.05" customHeight="1">
      <c r="A320" s="103" t="s">
        <v>1236</v>
      </c>
      <c r="B320" s="279" t="s">
        <v>9</v>
      </c>
      <c r="C320" s="279" t="s">
        <v>1698</v>
      </c>
      <c r="D320" s="279">
        <v>25</v>
      </c>
      <c r="E320" s="279" t="s">
        <v>1070</v>
      </c>
      <c r="F320" s="280" t="s">
        <v>381</v>
      </c>
      <c r="G320" s="279" t="s">
        <v>3418</v>
      </c>
      <c r="H320" s="279">
        <v>33</v>
      </c>
      <c r="I320" s="279" t="s">
        <v>382</v>
      </c>
      <c r="J320" s="279" t="s">
        <v>383</v>
      </c>
      <c r="K320" s="279">
        <v>193.7</v>
      </c>
      <c r="L320" s="279" t="s">
        <v>1071</v>
      </c>
      <c r="M320" s="279" t="s">
        <v>1072</v>
      </c>
      <c r="N320" s="279" t="s">
        <v>1073</v>
      </c>
      <c r="O320" s="279" t="s">
        <v>1074</v>
      </c>
      <c r="P320" s="283">
        <v>289</v>
      </c>
      <c r="Q320" s="279" t="s">
        <v>2745</v>
      </c>
      <c r="R320" s="279" t="s">
        <v>1077</v>
      </c>
      <c r="S320" s="279" t="s">
        <v>677</v>
      </c>
      <c r="T320" s="279">
        <v>0</v>
      </c>
      <c r="U320" s="267"/>
      <c r="V320" s="267">
        <v>5</v>
      </c>
      <c r="W320" s="224">
        <v>5</v>
      </c>
      <c r="X320" s="267">
        <v>4</v>
      </c>
      <c r="Y320" s="267">
        <v>6</v>
      </c>
      <c r="Z320" s="267">
        <v>6</v>
      </c>
      <c r="AA320" s="267">
        <v>4</v>
      </c>
      <c r="AB320" s="224">
        <v>20</v>
      </c>
      <c r="AC320" s="267">
        <v>4</v>
      </c>
      <c r="AD320" s="267">
        <v>6</v>
      </c>
      <c r="AE320" s="267">
        <v>6</v>
      </c>
      <c r="AF320" s="267">
        <v>4</v>
      </c>
      <c r="AG320" s="224">
        <v>20</v>
      </c>
      <c r="AH320" s="267">
        <v>5</v>
      </c>
      <c r="AI320" s="267"/>
      <c r="AJ320" s="267"/>
      <c r="AK320" s="267"/>
      <c r="AL320" s="224">
        <v>5</v>
      </c>
      <c r="AM320" s="104">
        <v>50</v>
      </c>
      <c r="AN320" s="103" t="s">
        <v>685</v>
      </c>
      <c r="AO320" s="103" t="s">
        <v>616</v>
      </c>
      <c r="AP320" s="103" t="s">
        <v>1226</v>
      </c>
      <c r="AQ320" s="103" t="s">
        <v>1207</v>
      </c>
      <c r="AR320" s="103" t="s">
        <v>951</v>
      </c>
      <c r="AS320" s="271"/>
      <c r="AT320" s="271"/>
      <c r="AU320" s="271"/>
      <c r="AV320" s="271"/>
      <c r="AW320" s="271">
        <v>500000</v>
      </c>
      <c r="AX320" s="271"/>
      <c r="AY320" s="271"/>
      <c r="AZ320" s="271"/>
      <c r="BA320" s="271"/>
      <c r="BB320" s="271"/>
      <c r="BC320" s="271"/>
      <c r="BD320" s="271"/>
      <c r="BE320" s="271"/>
      <c r="BF320" s="271"/>
      <c r="BG320" s="271"/>
      <c r="BH320" s="235">
        <f t="shared" si="110"/>
        <v>500000</v>
      </c>
      <c r="BI320" s="271"/>
      <c r="BJ320" s="271"/>
      <c r="BK320" s="271"/>
      <c r="BL320" s="271"/>
      <c r="BM320" s="271">
        <v>2500000</v>
      </c>
      <c r="BN320" s="271"/>
      <c r="BO320" s="271"/>
      <c r="BP320" s="271"/>
      <c r="BQ320" s="271"/>
      <c r="BR320" s="271"/>
      <c r="BS320" s="271"/>
      <c r="BT320" s="271"/>
      <c r="BU320" s="271"/>
      <c r="BV320" s="271"/>
      <c r="BW320" s="271"/>
      <c r="BX320" s="235">
        <f t="shared" si="111"/>
        <v>2500000</v>
      </c>
      <c r="BY320" s="271"/>
      <c r="BZ320" s="271"/>
      <c r="CA320" s="271"/>
      <c r="CB320" s="271"/>
      <c r="CC320" s="271">
        <v>2500000</v>
      </c>
      <c r="CD320" s="271"/>
      <c r="CE320" s="271"/>
      <c r="CF320" s="271"/>
      <c r="CG320" s="271"/>
      <c r="CH320" s="271"/>
      <c r="CI320" s="271"/>
      <c r="CJ320" s="271"/>
      <c r="CK320" s="271"/>
      <c r="CL320" s="271"/>
      <c r="CM320" s="271"/>
      <c r="CN320" s="235">
        <f t="shared" si="112"/>
        <v>2500000</v>
      </c>
      <c r="CO320" s="271"/>
      <c r="CP320" s="271"/>
      <c r="CQ320" s="271"/>
      <c r="CR320" s="271"/>
      <c r="CS320" s="271">
        <v>2500000</v>
      </c>
      <c r="CT320" s="271"/>
      <c r="CU320" s="271"/>
      <c r="CV320" s="271"/>
      <c r="CW320" s="271"/>
      <c r="CX320" s="271"/>
      <c r="CY320" s="271"/>
      <c r="CZ320" s="271"/>
      <c r="DA320" s="271"/>
      <c r="DB320" s="271"/>
      <c r="DC320" s="271"/>
      <c r="DD320" s="234">
        <f t="shared" si="113"/>
        <v>2500000</v>
      </c>
      <c r="DE320" s="244">
        <f t="shared" si="114"/>
        <v>8000000</v>
      </c>
    </row>
    <row r="321" spans="1:110" s="98" customFormat="1" ht="100.05" customHeight="1">
      <c r="A321" s="103" t="s">
        <v>1236</v>
      </c>
      <c r="B321" s="279" t="s">
        <v>9</v>
      </c>
      <c r="C321" s="279" t="s">
        <v>1698</v>
      </c>
      <c r="D321" s="279">
        <v>25</v>
      </c>
      <c r="E321" s="279" t="s">
        <v>1070</v>
      </c>
      <c r="F321" s="280" t="s">
        <v>381</v>
      </c>
      <c r="G321" s="279" t="s">
        <v>3418</v>
      </c>
      <c r="H321" s="279">
        <v>33</v>
      </c>
      <c r="I321" s="279" t="s">
        <v>382</v>
      </c>
      <c r="J321" s="279" t="s">
        <v>383</v>
      </c>
      <c r="K321" s="279">
        <v>193.7</v>
      </c>
      <c r="L321" s="279" t="s">
        <v>1071</v>
      </c>
      <c r="M321" s="279" t="s">
        <v>1072</v>
      </c>
      <c r="N321" s="279" t="s">
        <v>1073</v>
      </c>
      <c r="O321" s="279" t="s">
        <v>1074</v>
      </c>
      <c r="P321" s="283">
        <v>290</v>
      </c>
      <c r="Q321" s="279" t="s">
        <v>2746</v>
      </c>
      <c r="R321" s="279" t="s">
        <v>1078</v>
      </c>
      <c r="S321" s="279" t="s">
        <v>683</v>
      </c>
      <c r="T321" s="279">
        <v>0</v>
      </c>
      <c r="U321" s="267"/>
      <c r="V321" s="267">
        <v>0.1</v>
      </c>
      <c r="W321" s="224">
        <v>0.1</v>
      </c>
      <c r="X321" s="267"/>
      <c r="Y321" s="267">
        <v>0.1</v>
      </c>
      <c r="Z321" s="267">
        <v>0.1</v>
      </c>
      <c r="AA321" s="267">
        <v>0.1</v>
      </c>
      <c r="AB321" s="224">
        <v>0.30000000000000004</v>
      </c>
      <c r="AC321" s="267"/>
      <c r="AD321" s="267">
        <v>0.1</v>
      </c>
      <c r="AE321" s="267">
        <v>0.1</v>
      </c>
      <c r="AF321" s="267">
        <v>0.1</v>
      </c>
      <c r="AG321" s="224">
        <v>0.30000000000000004</v>
      </c>
      <c r="AH321" s="267"/>
      <c r="AI321" s="267">
        <v>0.1</v>
      </c>
      <c r="AJ321" s="267">
        <v>0.1</v>
      </c>
      <c r="AK321" s="267">
        <v>0.1</v>
      </c>
      <c r="AL321" s="224">
        <v>0.30000000000000004</v>
      </c>
      <c r="AM321" s="104">
        <v>1</v>
      </c>
      <c r="AN321" s="103" t="s">
        <v>685</v>
      </c>
      <c r="AO321" s="103" t="s">
        <v>616</v>
      </c>
      <c r="AP321" s="103" t="s">
        <v>1226</v>
      </c>
      <c r="AQ321" s="103" t="s">
        <v>1207</v>
      </c>
      <c r="AR321" s="103" t="s">
        <v>951</v>
      </c>
      <c r="AS321" s="271"/>
      <c r="AT321" s="271"/>
      <c r="AU321" s="271"/>
      <c r="AV321" s="271"/>
      <c r="AW321" s="271">
        <v>500000</v>
      </c>
      <c r="AX321" s="271"/>
      <c r="AY321" s="271"/>
      <c r="AZ321" s="271"/>
      <c r="BA321" s="271"/>
      <c r="BB321" s="271"/>
      <c r="BC321" s="271"/>
      <c r="BD321" s="271"/>
      <c r="BE321" s="271"/>
      <c r="BF321" s="271"/>
      <c r="BG321" s="271"/>
      <c r="BH321" s="235">
        <f t="shared" si="110"/>
        <v>500000</v>
      </c>
      <c r="BI321" s="271"/>
      <c r="BJ321" s="271"/>
      <c r="BK321" s="271"/>
      <c r="BL321" s="271"/>
      <c r="BM321" s="271">
        <v>2500000</v>
      </c>
      <c r="BN321" s="271"/>
      <c r="BO321" s="271"/>
      <c r="BP321" s="271"/>
      <c r="BQ321" s="271"/>
      <c r="BR321" s="271"/>
      <c r="BS321" s="271"/>
      <c r="BT321" s="271"/>
      <c r="BU321" s="271"/>
      <c r="BV321" s="271"/>
      <c r="BW321" s="271"/>
      <c r="BX321" s="235">
        <f t="shared" si="111"/>
        <v>2500000</v>
      </c>
      <c r="BY321" s="271"/>
      <c r="BZ321" s="271"/>
      <c r="CA321" s="271"/>
      <c r="CB321" s="271"/>
      <c r="CC321" s="271">
        <v>2500000</v>
      </c>
      <c r="CD321" s="271"/>
      <c r="CE321" s="271"/>
      <c r="CF321" s="271"/>
      <c r="CG321" s="271"/>
      <c r="CH321" s="271"/>
      <c r="CI321" s="271"/>
      <c r="CJ321" s="271"/>
      <c r="CK321" s="271"/>
      <c r="CL321" s="271"/>
      <c r="CM321" s="271"/>
      <c r="CN321" s="235">
        <f t="shared" si="112"/>
        <v>2500000</v>
      </c>
      <c r="CO321" s="271"/>
      <c r="CP321" s="271"/>
      <c r="CQ321" s="271"/>
      <c r="CR321" s="271"/>
      <c r="CS321" s="271">
        <v>2500000</v>
      </c>
      <c r="CT321" s="271"/>
      <c r="CU321" s="271"/>
      <c r="CV321" s="271"/>
      <c r="CW321" s="271"/>
      <c r="CX321" s="271"/>
      <c r="CY321" s="271"/>
      <c r="CZ321" s="271"/>
      <c r="DA321" s="271"/>
      <c r="DB321" s="271"/>
      <c r="DC321" s="271"/>
      <c r="DD321" s="234">
        <f t="shared" si="113"/>
        <v>2500000</v>
      </c>
      <c r="DE321" s="244">
        <f t="shared" si="114"/>
        <v>8000000</v>
      </c>
    </row>
    <row r="322" spans="1:110" s="98" customFormat="1" ht="100.05" customHeight="1">
      <c r="A322" s="103" t="s">
        <v>1236</v>
      </c>
      <c r="B322" s="279" t="s">
        <v>9</v>
      </c>
      <c r="C322" s="279" t="s">
        <v>1698</v>
      </c>
      <c r="D322" s="279">
        <v>25</v>
      </c>
      <c r="E322" s="279" t="s">
        <v>1070</v>
      </c>
      <c r="F322" s="280" t="s">
        <v>381</v>
      </c>
      <c r="G322" s="279" t="s">
        <v>3418</v>
      </c>
      <c r="H322" s="279">
        <v>33</v>
      </c>
      <c r="I322" s="279" t="s">
        <v>382</v>
      </c>
      <c r="J322" s="279" t="s">
        <v>383</v>
      </c>
      <c r="K322" s="279">
        <v>193.7</v>
      </c>
      <c r="L322" s="279" t="s">
        <v>1071</v>
      </c>
      <c r="M322" s="279" t="s">
        <v>1079</v>
      </c>
      <c r="N322" s="279" t="s">
        <v>1080</v>
      </c>
      <c r="O322" s="279" t="s">
        <v>384</v>
      </c>
      <c r="P322" s="283">
        <v>291</v>
      </c>
      <c r="Q322" s="279" t="s">
        <v>3419</v>
      </c>
      <c r="R322" s="279" t="s">
        <v>385</v>
      </c>
      <c r="S322" s="279" t="s">
        <v>683</v>
      </c>
      <c r="T322" s="279">
        <v>0</v>
      </c>
      <c r="U322" s="267"/>
      <c r="V322" s="267">
        <v>0.1</v>
      </c>
      <c r="W322" s="224">
        <v>0.1</v>
      </c>
      <c r="X322" s="267"/>
      <c r="Y322" s="267">
        <v>0.1</v>
      </c>
      <c r="Z322" s="267">
        <v>0.1</v>
      </c>
      <c r="AA322" s="267">
        <v>0.1</v>
      </c>
      <c r="AB322" s="224">
        <v>0.30000000000000004</v>
      </c>
      <c r="AC322" s="267"/>
      <c r="AD322" s="267">
        <v>0.1</v>
      </c>
      <c r="AE322" s="267">
        <v>0.1</v>
      </c>
      <c r="AF322" s="267">
        <v>0.1</v>
      </c>
      <c r="AG322" s="224">
        <v>0.30000000000000004</v>
      </c>
      <c r="AH322" s="267"/>
      <c r="AI322" s="267">
        <v>0.1</v>
      </c>
      <c r="AJ322" s="267">
        <v>0.1</v>
      </c>
      <c r="AK322" s="267">
        <v>0.1</v>
      </c>
      <c r="AL322" s="224">
        <v>0.30000000000000004</v>
      </c>
      <c r="AM322" s="104">
        <v>1</v>
      </c>
      <c r="AN322" s="103" t="s">
        <v>685</v>
      </c>
      <c r="AO322" s="103" t="s">
        <v>616</v>
      </c>
      <c r="AP322" s="103" t="s">
        <v>1226</v>
      </c>
      <c r="AQ322" s="103" t="s">
        <v>1207</v>
      </c>
      <c r="AR322" s="103" t="s">
        <v>951</v>
      </c>
      <c r="AS322" s="271"/>
      <c r="AT322" s="271"/>
      <c r="AU322" s="271"/>
      <c r="AV322" s="271"/>
      <c r="AW322" s="271">
        <v>1500000</v>
      </c>
      <c r="AX322" s="271"/>
      <c r="AY322" s="271"/>
      <c r="AZ322" s="271"/>
      <c r="BA322" s="271"/>
      <c r="BB322" s="271"/>
      <c r="BC322" s="271"/>
      <c r="BD322" s="271"/>
      <c r="BE322" s="271"/>
      <c r="BF322" s="271"/>
      <c r="BG322" s="271"/>
      <c r="BH322" s="235">
        <f t="shared" si="110"/>
        <v>1500000</v>
      </c>
      <c r="BI322" s="271"/>
      <c r="BJ322" s="271"/>
      <c r="BK322" s="271"/>
      <c r="BL322" s="271"/>
      <c r="BM322" s="271">
        <v>6000000</v>
      </c>
      <c r="BN322" s="271"/>
      <c r="BO322" s="271"/>
      <c r="BP322" s="271"/>
      <c r="BQ322" s="271"/>
      <c r="BR322" s="271"/>
      <c r="BS322" s="271"/>
      <c r="BT322" s="271"/>
      <c r="BU322" s="271"/>
      <c r="BV322" s="271"/>
      <c r="BW322" s="271"/>
      <c r="BX322" s="235">
        <f t="shared" si="111"/>
        <v>6000000</v>
      </c>
      <c r="BY322" s="271"/>
      <c r="BZ322" s="271"/>
      <c r="CA322" s="271"/>
      <c r="CB322" s="271"/>
      <c r="CC322" s="271">
        <v>6000000</v>
      </c>
      <c r="CD322" s="271"/>
      <c r="CE322" s="271"/>
      <c r="CF322" s="271"/>
      <c r="CG322" s="271"/>
      <c r="CH322" s="271"/>
      <c r="CI322" s="271"/>
      <c r="CJ322" s="271"/>
      <c r="CK322" s="271"/>
      <c r="CL322" s="271"/>
      <c r="CM322" s="271"/>
      <c r="CN322" s="235">
        <f t="shared" si="112"/>
        <v>6000000</v>
      </c>
      <c r="CO322" s="271"/>
      <c r="CP322" s="271"/>
      <c r="CQ322" s="271"/>
      <c r="CR322" s="271"/>
      <c r="CS322" s="271">
        <v>6000000</v>
      </c>
      <c r="CT322" s="271"/>
      <c r="CU322" s="271"/>
      <c r="CV322" s="271"/>
      <c r="CW322" s="271"/>
      <c r="CX322" s="271"/>
      <c r="CY322" s="271"/>
      <c r="CZ322" s="271"/>
      <c r="DA322" s="271"/>
      <c r="DB322" s="271"/>
      <c r="DC322" s="271"/>
      <c r="DD322" s="234">
        <f t="shared" si="113"/>
        <v>6000000</v>
      </c>
      <c r="DE322" s="244">
        <f t="shared" si="114"/>
        <v>19500000</v>
      </c>
    </row>
    <row r="323" spans="1:110" s="98" customFormat="1" ht="100.05" customHeight="1">
      <c r="A323" s="103" t="s">
        <v>1236</v>
      </c>
      <c r="B323" s="279" t="s">
        <v>9</v>
      </c>
      <c r="C323" s="279" t="s">
        <v>1698</v>
      </c>
      <c r="D323" s="279">
        <v>25</v>
      </c>
      <c r="E323" s="279" t="s">
        <v>1070</v>
      </c>
      <c r="F323" s="280" t="s">
        <v>381</v>
      </c>
      <c r="G323" s="279" t="s">
        <v>3418</v>
      </c>
      <c r="H323" s="279">
        <v>33</v>
      </c>
      <c r="I323" s="279" t="s">
        <v>382</v>
      </c>
      <c r="J323" s="279" t="s">
        <v>383</v>
      </c>
      <c r="K323" s="279">
        <v>193.7</v>
      </c>
      <c r="L323" s="279" t="s">
        <v>1071</v>
      </c>
      <c r="M323" s="279" t="s">
        <v>1079</v>
      </c>
      <c r="N323" s="279" t="s">
        <v>1080</v>
      </c>
      <c r="O323" s="279" t="s">
        <v>384</v>
      </c>
      <c r="P323" s="283">
        <v>292</v>
      </c>
      <c r="Q323" s="279" t="s">
        <v>2747</v>
      </c>
      <c r="R323" s="279" t="s">
        <v>386</v>
      </c>
      <c r="S323" s="279" t="s">
        <v>683</v>
      </c>
      <c r="T323" s="104">
        <v>35100</v>
      </c>
      <c r="U323" s="267">
        <v>150</v>
      </c>
      <c r="V323" s="267">
        <v>150</v>
      </c>
      <c r="W323" s="224">
        <v>300</v>
      </c>
      <c r="X323" s="267">
        <v>400</v>
      </c>
      <c r="Y323" s="267">
        <v>600</v>
      </c>
      <c r="Z323" s="267">
        <v>600</v>
      </c>
      <c r="AA323" s="267">
        <v>400</v>
      </c>
      <c r="AB323" s="224">
        <v>2000</v>
      </c>
      <c r="AC323" s="267">
        <v>400</v>
      </c>
      <c r="AD323" s="267">
        <v>600</v>
      </c>
      <c r="AE323" s="267">
        <v>600</v>
      </c>
      <c r="AF323" s="267">
        <v>400</v>
      </c>
      <c r="AG323" s="224">
        <v>2000</v>
      </c>
      <c r="AH323" s="267">
        <v>200</v>
      </c>
      <c r="AI323" s="267">
        <v>300</v>
      </c>
      <c r="AJ323" s="267">
        <v>200</v>
      </c>
      <c r="AK323" s="267"/>
      <c r="AL323" s="224">
        <v>700</v>
      </c>
      <c r="AM323" s="104">
        <v>5000</v>
      </c>
      <c r="AN323" s="103" t="s">
        <v>685</v>
      </c>
      <c r="AO323" s="103" t="s">
        <v>616</v>
      </c>
      <c r="AP323" s="103" t="s">
        <v>1226</v>
      </c>
      <c r="AQ323" s="103" t="s">
        <v>1207</v>
      </c>
      <c r="AR323" s="103" t="s">
        <v>951</v>
      </c>
      <c r="AS323" s="271"/>
      <c r="AT323" s="271"/>
      <c r="AU323" s="271"/>
      <c r="AV323" s="271"/>
      <c r="AW323" s="271">
        <v>6000000</v>
      </c>
      <c r="AX323" s="271"/>
      <c r="AY323" s="271"/>
      <c r="AZ323" s="271"/>
      <c r="BA323" s="271"/>
      <c r="BB323" s="271"/>
      <c r="BC323" s="271"/>
      <c r="BD323" s="271"/>
      <c r="BE323" s="271"/>
      <c r="BF323" s="271"/>
      <c r="BG323" s="271"/>
      <c r="BH323" s="235">
        <f t="shared" si="110"/>
        <v>6000000</v>
      </c>
      <c r="BI323" s="271"/>
      <c r="BJ323" s="271"/>
      <c r="BK323" s="271"/>
      <c r="BL323" s="271"/>
      <c r="BM323" s="271">
        <v>14000000</v>
      </c>
      <c r="BN323" s="271"/>
      <c r="BO323" s="271"/>
      <c r="BP323" s="271"/>
      <c r="BQ323" s="271"/>
      <c r="BR323" s="271"/>
      <c r="BS323" s="271"/>
      <c r="BT323" s="271"/>
      <c r="BU323" s="271"/>
      <c r="BV323" s="271"/>
      <c r="BW323" s="271"/>
      <c r="BX323" s="235">
        <f t="shared" si="111"/>
        <v>14000000</v>
      </c>
      <c r="BY323" s="271"/>
      <c r="BZ323" s="271"/>
      <c r="CA323" s="271"/>
      <c r="CB323" s="271"/>
      <c r="CC323" s="271">
        <v>14000000</v>
      </c>
      <c r="CD323" s="271"/>
      <c r="CE323" s="271"/>
      <c r="CF323" s="271"/>
      <c r="CG323" s="271"/>
      <c r="CH323" s="271"/>
      <c r="CI323" s="271"/>
      <c r="CJ323" s="271"/>
      <c r="CK323" s="271"/>
      <c r="CL323" s="271"/>
      <c r="CM323" s="271"/>
      <c r="CN323" s="235">
        <f t="shared" si="112"/>
        <v>14000000</v>
      </c>
      <c r="CO323" s="271"/>
      <c r="CP323" s="271"/>
      <c r="CQ323" s="271"/>
      <c r="CR323" s="271"/>
      <c r="CS323" s="271">
        <v>14000000</v>
      </c>
      <c r="CT323" s="271"/>
      <c r="CU323" s="271"/>
      <c r="CV323" s="271"/>
      <c r="CW323" s="271"/>
      <c r="CX323" s="271"/>
      <c r="CY323" s="271"/>
      <c r="CZ323" s="271"/>
      <c r="DA323" s="271"/>
      <c r="DB323" s="271"/>
      <c r="DC323" s="271"/>
      <c r="DD323" s="234">
        <f t="shared" si="113"/>
        <v>14000000</v>
      </c>
      <c r="DE323" s="244">
        <f t="shared" si="114"/>
        <v>48000000</v>
      </c>
    </row>
    <row r="324" spans="1:110" s="98" customFormat="1" ht="100.05" customHeight="1">
      <c r="A324" s="103" t="s">
        <v>1236</v>
      </c>
      <c r="B324" s="279" t="s">
        <v>9</v>
      </c>
      <c r="C324" s="279" t="s">
        <v>1698</v>
      </c>
      <c r="D324" s="279">
        <v>25</v>
      </c>
      <c r="E324" s="279" t="s">
        <v>1070</v>
      </c>
      <c r="F324" s="280" t="s">
        <v>381</v>
      </c>
      <c r="G324" s="279" t="s">
        <v>3418</v>
      </c>
      <c r="H324" s="279">
        <v>33</v>
      </c>
      <c r="I324" s="279" t="s">
        <v>382</v>
      </c>
      <c r="J324" s="279" t="s">
        <v>383</v>
      </c>
      <c r="K324" s="279">
        <v>193.7</v>
      </c>
      <c r="L324" s="279" t="s">
        <v>1071</v>
      </c>
      <c r="M324" s="279" t="s">
        <v>1081</v>
      </c>
      <c r="N324" s="279" t="s">
        <v>1082</v>
      </c>
      <c r="O324" s="279" t="s">
        <v>387</v>
      </c>
      <c r="P324" s="283">
        <v>293</v>
      </c>
      <c r="Q324" s="279" t="s">
        <v>3420</v>
      </c>
      <c r="R324" s="279" t="s">
        <v>1083</v>
      </c>
      <c r="S324" s="279" t="s">
        <v>683</v>
      </c>
      <c r="T324" s="279">
        <v>0</v>
      </c>
      <c r="U324" s="267">
        <v>50</v>
      </c>
      <c r="V324" s="267">
        <v>100</v>
      </c>
      <c r="W324" s="224">
        <v>150</v>
      </c>
      <c r="X324" s="267">
        <v>100</v>
      </c>
      <c r="Y324" s="267">
        <v>150</v>
      </c>
      <c r="Z324" s="267">
        <v>150</v>
      </c>
      <c r="AA324" s="267">
        <v>100</v>
      </c>
      <c r="AB324" s="224">
        <v>500</v>
      </c>
      <c r="AC324" s="267">
        <v>100</v>
      </c>
      <c r="AD324" s="267">
        <v>150</v>
      </c>
      <c r="AE324" s="267">
        <v>150</v>
      </c>
      <c r="AF324" s="267">
        <v>100</v>
      </c>
      <c r="AG324" s="224">
        <v>500</v>
      </c>
      <c r="AH324" s="267">
        <v>50</v>
      </c>
      <c r="AI324" s="267">
        <v>150</v>
      </c>
      <c r="AJ324" s="267">
        <v>150</v>
      </c>
      <c r="AK324" s="267"/>
      <c r="AL324" s="224">
        <v>350</v>
      </c>
      <c r="AM324" s="104">
        <v>1500</v>
      </c>
      <c r="AN324" s="103" t="s">
        <v>685</v>
      </c>
      <c r="AO324" s="103" t="s">
        <v>616</v>
      </c>
      <c r="AP324" s="103" t="s">
        <v>1226</v>
      </c>
      <c r="AQ324" s="103" t="s">
        <v>1207</v>
      </c>
      <c r="AR324" s="103" t="s">
        <v>951</v>
      </c>
      <c r="AS324" s="271"/>
      <c r="AT324" s="271"/>
      <c r="AU324" s="271"/>
      <c r="AV324" s="271"/>
      <c r="AW324" s="271">
        <v>4000000</v>
      </c>
      <c r="AX324" s="271"/>
      <c r="AY324" s="271"/>
      <c r="AZ324" s="271"/>
      <c r="BA324" s="271"/>
      <c r="BB324" s="271"/>
      <c r="BC324" s="271"/>
      <c r="BD324" s="271"/>
      <c r="BE324" s="271"/>
      <c r="BF324" s="271"/>
      <c r="BG324" s="271"/>
      <c r="BH324" s="235">
        <f t="shared" si="110"/>
        <v>4000000</v>
      </c>
      <c r="BI324" s="271"/>
      <c r="BJ324" s="271"/>
      <c r="BK324" s="271"/>
      <c r="BL324" s="271"/>
      <c r="BM324" s="271">
        <v>10000000</v>
      </c>
      <c r="BN324" s="271"/>
      <c r="BO324" s="271"/>
      <c r="BP324" s="271"/>
      <c r="BQ324" s="271"/>
      <c r="BR324" s="271"/>
      <c r="BS324" s="271"/>
      <c r="BT324" s="271"/>
      <c r="BU324" s="271"/>
      <c r="BV324" s="271"/>
      <c r="BW324" s="271"/>
      <c r="BX324" s="235">
        <f t="shared" si="111"/>
        <v>10000000</v>
      </c>
      <c r="BY324" s="271"/>
      <c r="BZ324" s="271"/>
      <c r="CA324" s="271"/>
      <c r="CB324" s="271"/>
      <c r="CC324" s="271">
        <v>10000000</v>
      </c>
      <c r="CD324" s="271"/>
      <c r="CE324" s="271"/>
      <c r="CF324" s="271"/>
      <c r="CG324" s="271"/>
      <c r="CH324" s="271"/>
      <c r="CI324" s="271"/>
      <c r="CJ324" s="271"/>
      <c r="CK324" s="271"/>
      <c r="CL324" s="271"/>
      <c r="CM324" s="271"/>
      <c r="CN324" s="235">
        <f t="shared" si="112"/>
        <v>10000000</v>
      </c>
      <c r="CO324" s="271"/>
      <c r="CP324" s="271"/>
      <c r="CQ324" s="271"/>
      <c r="CR324" s="271"/>
      <c r="CS324" s="271">
        <v>10000000</v>
      </c>
      <c r="CT324" s="271"/>
      <c r="CU324" s="271"/>
      <c r="CV324" s="271"/>
      <c r="CW324" s="271"/>
      <c r="CX324" s="271"/>
      <c r="CY324" s="271"/>
      <c r="CZ324" s="271"/>
      <c r="DA324" s="271"/>
      <c r="DB324" s="271"/>
      <c r="DC324" s="271"/>
      <c r="DD324" s="234">
        <f t="shared" si="113"/>
        <v>10000000</v>
      </c>
      <c r="DE324" s="244">
        <f t="shared" si="114"/>
        <v>34000000</v>
      </c>
    </row>
    <row r="325" spans="1:110" s="98" customFormat="1" ht="100.05" customHeight="1">
      <c r="A325" s="120" t="s">
        <v>1236</v>
      </c>
      <c r="B325" s="281" t="s">
        <v>9</v>
      </c>
      <c r="C325" s="281" t="s">
        <v>1698</v>
      </c>
      <c r="D325" s="281">
        <v>25</v>
      </c>
      <c r="E325" s="281" t="s">
        <v>1070</v>
      </c>
      <c r="F325" s="282" t="s">
        <v>381</v>
      </c>
      <c r="G325" s="281" t="s">
        <v>3418</v>
      </c>
      <c r="H325" s="281">
        <v>33</v>
      </c>
      <c r="I325" s="281" t="s">
        <v>382</v>
      </c>
      <c r="J325" s="281" t="s">
        <v>383</v>
      </c>
      <c r="K325" s="281">
        <v>193.7</v>
      </c>
      <c r="L325" s="281" t="s">
        <v>1071</v>
      </c>
      <c r="M325" s="281" t="s">
        <v>1081</v>
      </c>
      <c r="N325" s="281" t="s">
        <v>1082</v>
      </c>
      <c r="O325" s="281" t="s">
        <v>387</v>
      </c>
      <c r="P325" s="283">
        <v>294</v>
      </c>
      <c r="Q325" s="281" t="s">
        <v>3421</v>
      </c>
      <c r="R325" s="281" t="s">
        <v>388</v>
      </c>
      <c r="S325" s="281" t="s">
        <v>683</v>
      </c>
      <c r="T325" s="281">
        <v>0</v>
      </c>
      <c r="U325" s="275"/>
      <c r="V325" s="275">
        <v>0.1</v>
      </c>
      <c r="W325" s="225">
        <v>0.1</v>
      </c>
      <c r="X325" s="275"/>
      <c r="Y325" s="275">
        <v>0.1</v>
      </c>
      <c r="Z325" s="275">
        <v>0.1</v>
      </c>
      <c r="AA325" s="275">
        <v>0.1</v>
      </c>
      <c r="AB325" s="225">
        <v>0.30000000000000004</v>
      </c>
      <c r="AC325" s="275"/>
      <c r="AD325" s="275">
        <v>0.1</v>
      </c>
      <c r="AE325" s="275">
        <v>0.1</v>
      </c>
      <c r="AF325" s="275">
        <v>0.1</v>
      </c>
      <c r="AG325" s="225">
        <v>0.30000000000000004</v>
      </c>
      <c r="AH325" s="275"/>
      <c r="AI325" s="275">
        <v>0.1</v>
      </c>
      <c r="AJ325" s="275">
        <v>0.1</v>
      </c>
      <c r="AK325" s="275">
        <v>0.1</v>
      </c>
      <c r="AL325" s="225">
        <v>0.30000000000000004</v>
      </c>
      <c r="AM325" s="119">
        <v>1</v>
      </c>
      <c r="AN325" s="120" t="s">
        <v>685</v>
      </c>
      <c r="AO325" s="120" t="s">
        <v>616</v>
      </c>
      <c r="AP325" s="120" t="s">
        <v>1226</v>
      </c>
      <c r="AQ325" s="120" t="s">
        <v>1207</v>
      </c>
      <c r="AR325" s="120" t="s">
        <v>951</v>
      </c>
      <c r="AS325" s="276"/>
      <c r="AT325" s="276"/>
      <c r="AU325" s="276"/>
      <c r="AV325" s="276"/>
      <c r="AW325" s="276">
        <v>1500000</v>
      </c>
      <c r="AX325" s="276"/>
      <c r="AY325" s="276"/>
      <c r="AZ325" s="276"/>
      <c r="BA325" s="276"/>
      <c r="BB325" s="276"/>
      <c r="BC325" s="276"/>
      <c r="BD325" s="276"/>
      <c r="BE325" s="276"/>
      <c r="BF325" s="276"/>
      <c r="BG325" s="276"/>
      <c r="BH325" s="236">
        <f t="shared" si="110"/>
        <v>1500000</v>
      </c>
      <c r="BI325" s="276"/>
      <c r="BJ325" s="276"/>
      <c r="BK325" s="276"/>
      <c r="BL325" s="276"/>
      <c r="BM325" s="276">
        <v>5000000</v>
      </c>
      <c r="BN325" s="276"/>
      <c r="BO325" s="276"/>
      <c r="BP325" s="276"/>
      <c r="BQ325" s="276"/>
      <c r="BR325" s="276"/>
      <c r="BS325" s="276"/>
      <c r="BT325" s="276"/>
      <c r="BU325" s="276"/>
      <c r="BV325" s="276"/>
      <c r="BW325" s="276"/>
      <c r="BX325" s="236">
        <f t="shared" si="111"/>
        <v>5000000</v>
      </c>
      <c r="BY325" s="276"/>
      <c r="BZ325" s="276"/>
      <c r="CA325" s="276"/>
      <c r="CB325" s="276"/>
      <c r="CC325" s="276">
        <v>5000000</v>
      </c>
      <c r="CD325" s="276"/>
      <c r="CE325" s="276"/>
      <c r="CF325" s="276"/>
      <c r="CG325" s="276"/>
      <c r="CH325" s="276"/>
      <c r="CI325" s="276"/>
      <c r="CJ325" s="276"/>
      <c r="CK325" s="276"/>
      <c r="CL325" s="276"/>
      <c r="CM325" s="276"/>
      <c r="CN325" s="236">
        <f t="shared" si="112"/>
        <v>5000000</v>
      </c>
      <c r="CO325" s="276"/>
      <c r="CP325" s="276"/>
      <c r="CQ325" s="276"/>
      <c r="CR325" s="276"/>
      <c r="CS325" s="276">
        <v>5000000</v>
      </c>
      <c r="CT325" s="276"/>
      <c r="CU325" s="276"/>
      <c r="CV325" s="276"/>
      <c r="CW325" s="276"/>
      <c r="CX325" s="276"/>
      <c r="CY325" s="276"/>
      <c r="CZ325" s="276"/>
      <c r="DA325" s="276"/>
      <c r="DB325" s="276"/>
      <c r="DC325" s="276"/>
      <c r="DD325" s="240">
        <f t="shared" si="113"/>
        <v>5000000</v>
      </c>
      <c r="DE325" s="245">
        <f t="shared" si="114"/>
        <v>16500000</v>
      </c>
    </row>
    <row r="326" spans="1:110" ht="65.099999999999994" customHeight="1">
      <c r="A326" s="118" t="s">
        <v>1236</v>
      </c>
      <c r="B326" s="118" t="s">
        <v>9</v>
      </c>
      <c r="C326" s="118" t="s">
        <v>1698</v>
      </c>
      <c r="D326" s="159">
        <v>25</v>
      </c>
      <c r="E326" s="159" t="s">
        <v>1070</v>
      </c>
      <c r="F326" s="149"/>
      <c r="G326" s="150"/>
      <c r="H326" s="151"/>
      <c r="I326" s="151"/>
      <c r="J326" s="151"/>
      <c r="K326" s="152"/>
      <c r="L326" s="151"/>
      <c r="M326" s="151"/>
      <c r="N326" s="151"/>
      <c r="O326" s="151"/>
      <c r="P326" s="151"/>
      <c r="Q326" s="150"/>
      <c r="R326" s="153"/>
      <c r="S326" s="151"/>
      <c r="T326" s="151"/>
      <c r="U326" s="154"/>
      <c r="V326" s="154"/>
      <c r="W326" s="152"/>
      <c r="X326" s="154"/>
      <c r="Y326" s="154"/>
      <c r="Z326" s="154"/>
      <c r="AA326" s="154"/>
      <c r="AB326" s="152"/>
      <c r="AC326" s="154"/>
      <c r="AD326" s="154"/>
      <c r="AE326" s="154"/>
      <c r="AF326" s="154"/>
      <c r="AG326" s="152"/>
      <c r="AH326" s="154"/>
      <c r="AI326" s="154"/>
      <c r="AJ326" s="154"/>
      <c r="AK326" s="154"/>
      <c r="AL326" s="152"/>
      <c r="AM326" s="155"/>
      <c r="AN326" s="156"/>
      <c r="AO326" s="156"/>
      <c r="AP326" s="157"/>
      <c r="AQ326" s="157"/>
      <c r="AR326" s="158"/>
      <c r="AS326" s="132">
        <f>SUM(AS318:AS325)</f>
        <v>0</v>
      </c>
      <c r="AT326" s="132">
        <f t="shared" ref="AT326:DE326" si="115">SUM(AT318:AT325)</f>
        <v>0</v>
      </c>
      <c r="AU326" s="132">
        <f t="shared" si="115"/>
        <v>0</v>
      </c>
      <c r="AV326" s="132">
        <f t="shared" si="115"/>
        <v>0</v>
      </c>
      <c r="AW326" s="132">
        <f t="shared" si="115"/>
        <v>15000000</v>
      </c>
      <c r="AX326" s="132">
        <f t="shared" si="115"/>
        <v>0</v>
      </c>
      <c r="AY326" s="132">
        <f t="shared" si="115"/>
        <v>0</v>
      </c>
      <c r="AZ326" s="132">
        <f t="shared" si="115"/>
        <v>0</v>
      </c>
      <c r="BA326" s="132">
        <f t="shared" si="115"/>
        <v>0</v>
      </c>
      <c r="BB326" s="132">
        <f t="shared" si="115"/>
        <v>0</v>
      </c>
      <c r="BC326" s="132">
        <f t="shared" si="115"/>
        <v>0</v>
      </c>
      <c r="BD326" s="132">
        <f t="shared" si="115"/>
        <v>0</v>
      </c>
      <c r="BE326" s="132">
        <f t="shared" si="115"/>
        <v>0</v>
      </c>
      <c r="BF326" s="132">
        <f t="shared" si="115"/>
        <v>0</v>
      </c>
      <c r="BG326" s="132">
        <f t="shared" si="115"/>
        <v>0</v>
      </c>
      <c r="BH326" s="132">
        <f>IF(OR(AND(BH318=0,W318&lt;&gt;0),AND(BH319=0,W319&lt;&gt;0),AND(BH320=0,W320&lt;&gt;0),AND(BH321=0,W321&lt;&gt;0),AND(BH322=0,W322&lt;&gt;0),AND(BH323=0,W323&lt;&gt;0),AND(BH324=0,W324&lt;&gt;0),AND(BH325=0,W325&lt;&gt;0)),"NO DEBEN QUEDAR CELDAS EN ROJO",SUM(BH318:BH325))</f>
        <v>15000000</v>
      </c>
      <c r="BI326" s="132">
        <f t="shared" si="115"/>
        <v>0</v>
      </c>
      <c r="BJ326" s="132">
        <f t="shared" si="115"/>
        <v>0</v>
      </c>
      <c r="BK326" s="132">
        <f t="shared" si="115"/>
        <v>0</v>
      </c>
      <c r="BL326" s="132">
        <f t="shared" si="115"/>
        <v>0</v>
      </c>
      <c r="BM326" s="132">
        <f t="shared" si="115"/>
        <v>45000000</v>
      </c>
      <c r="BN326" s="132">
        <f t="shared" si="115"/>
        <v>0</v>
      </c>
      <c r="BO326" s="132">
        <f t="shared" si="115"/>
        <v>0</v>
      </c>
      <c r="BP326" s="132">
        <f t="shared" si="115"/>
        <v>0</v>
      </c>
      <c r="BQ326" s="132">
        <f t="shared" si="115"/>
        <v>0</v>
      </c>
      <c r="BR326" s="132">
        <f t="shared" si="115"/>
        <v>0</v>
      </c>
      <c r="BS326" s="132">
        <f t="shared" si="115"/>
        <v>0</v>
      </c>
      <c r="BT326" s="132">
        <f t="shared" si="115"/>
        <v>0</v>
      </c>
      <c r="BU326" s="132">
        <f t="shared" si="115"/>
        <v>0</v>
      </c>
      <c r="BV326" s="132">
        <f t="shared" si="115"/>
        <v>0</v>
      </c>
      <c r="BW326" s="132">
        <f t="shared" si="115"/>
        <v>0</v>
      </c>
      <c r="BX326" s="132">
        <f>IF(OR(AND(BX318=0,AB318&lt;&gt;0),AND(BX319=0,AB319&lt;&gt;0),AND(BX320=0,AB320&lt;&gt;0),AND(BX321=0,AB321&lt;&gt;0),AND(BX322=0,AB322&lt;&gt;0),AND(BX323=0,AB323&lt;&gt;0),AND(BX324=0,AB324&lt;&gt;0),AND(BX325=0,AB325&lt;&gt;0)),"NO DEBEN QUEDAR CELDAS EN ROJO",SUM(BX318:BX325))</f>
        <v>45000000</v>
      </c>
      <c r="BY326" s="132">
        <f t="shared" si="115"/>
        <v>0</v>
      </c>
      <c r="BZ326" s="132">
        <f t="shared" si="115"/>
        <v>0</v>
      </c>
      <c r="CA326" s="132">
        <f t="shared" si="115"/>
        <v>0</v>
      </c>
      <c r="CB326" s="132">
        <f t="shared" si="115"/>
        <v>0</v>
      </c>
      <c r="CC326" s="132">
        <f t="shared" si="115"/>
        <v>45000000</v>
      </c>
      <c r="CD326" s="132">
        <f t="shared" si="115"/>
        <v>0</v>
      </c>
      <c r="CE326" s="132">
        <f t="shared" si="115"/>
        <v>0</v>
      </c>
      <c r="CF326" s="132">
        <f t="shared" si="115"/>
        <v>0</v>
      </c>
      <c r="CG326" s="132">
        <f t="shared" si="115"/>
        <v>0</v>
      </c>
      <c r="CH326" s="132">
        <f t="shared" si="115"/>
        <v>0</v>
      </c>
      <c r="CI326" s="132">
        <f t="shared" si="115"/>
        <v>0</v>
      </c>
      <c r="CJ326" s="132">
        <f t="shared" si="115"/>
        <v>0</v>
      </c>
      <c r="CK326" s="132">
        <f t="shared" si="115"/>
        <v>0</v>
      </c>
      <c r="CL326" s="132">
        <f t="shared" si="115"/>
        <v>0</v>
      </c>
      <c r="CM326" s="132">
        <f t="shared" si="115"/>
        <v>0</v>
      </c>
      <c r="CN326" s="132">
        <f>IF(OR(AND(CN318=0,AG318&lt;&gt;0),AND(CN319=0,AG319&lt;&gt;0),AND(CN320=0,AG320&lt;&gt;0),AND(CN321=0,AG321&lt;&gt;0),AND(CN322=0,AG322&lt;&gt;0),AND(CN323=0,AG323&lt;&gt;0),AND(CN324=0,AG324&lt;&gt;0),AND(CN325=0,AG325&lt;&gt;0)),"NO DEBEN QUEDAR CELDAS EN ROJO",SUM(CN318:CN325))</f>
        <v>45000000</v>
      </c>
      <c r="CO326" s="132">
        <f t="shared" si="115"/>
        <v>0</v>
      </c>
      <c r="CP326" s="132">
        <f t="shared" si="115"/>
        <v>0</v>
      </c>
      <c r="CQ326" s="132">
        <f t="shared" si="115"/>
        <v>0</v>
      </c>
      <c r="CR326" s="132">
        <f t="shared" si="115"/>
        <v>0</v>
      </c>
      <c r="CS326" s="132">
        <f t="shared" si="115"/>
        <v>45000000</v>
      </c>
      <c r="CT326" s="132">
        <f t="shared" si="115"/>
        <v>0</v>
      </c>
      <c r="CU326" s="132">
        <f t="shared" si="115"/>
        <v>0</v>
      </c>
      <c r="CV326" s="132">
        <f t="shared" si="115"/>
        <v>0</v>
      </c>
      <c r="CW326" s="132">
        <f t="shared" si="115"/>
        <v>0</v>
      </c>
      <c r="CX326" s="132">
        <f t="shared" si="115"/>
        <v>0</v>
      </c>
      <c r="CY326" s="132">
        <f t="shared" si="115"/>
        <v>0</v>
      </c>
      <c r="CZ326" s="132">
        <f t="shared" si="115"/>
        <v>0</v>
      </c>
      <c r="DA326" s="132">
        <f t="shared" si="115"/>
        <v>0</v>
      </c>
      <c r="DB326" s="132">
        <f t="shared" si="115"/>
        <v>0</v>
      </c>
      <c r="DC326" s="132">
        <f t="shared" si="115"/>
        <v>0</v>
      </c>
      <c r="DD326" s="132">
        <f>IF(OR(AND(DD318=0,AL318&lt;&gt;0),AND(DD319=0,AL319&lt;&gt;0),AND(DD320=0,AL320&lt;&gt;0),AND(DD321=0,AL321&lt;&gt;0),AND(DD322=0,AL322&lt;&gt;0),AND(DD323=0,AL323&lt;&gt;0),AND(DD324=0,AL324&lt;&gt;0),AND(DD325=0,AL325&lt;&gt;0)),"NO DEBEN QUEDAR CELDAS EN ROJO",SUM(DD318:DD325))</f>
        <v>45000000</v>
      </c>
      <c r="DE326" s="132">
        <f t="shared" si="115"/>
        <v>150000000</v>
      </c>
      <c r="DF326" s="101"/>
    </row>
    <row r="327" spans="1:110" s="117" customFormat="1" ht="55.05" customHeight="1">
      <c r="A327" s="127"/>
      <c r="B327" s="126" t="s">
        <v>9</v>
      </c>
      <c r="C327" s="146" t="s">
        <v>1698</v>
      </c>
      <c r="D327" s="160"/>
      <c r="E327" s="161"/>
      <c r="F327" s="162"/>
      <c r="G327" s="163"/>
      <c r="H327" s="161"/>
      <c r="I327" s="161"/>
      <c r="J327" s="161"/>
      <c r="K327" s="161"/>
      <c r="L327" s="161"/>
      <c r="M327" s="161"/>
      <c r="N327" s="161"/>
      <c r="O327" s="161"/>
      <c r="P327" s="161"/>
      <c r="Q327" s="163"/>
      <c r="R327" s="164"/>
      <c r="S327" s="161"/>
      <c r="T327" s="161"/>
      <c r="U327" s="165"/>
      <c r="V327" s="165"/>
      <c r="W327" s="166"/>
      <c r="X327" s="165"/>
      <c r="Y327" s="165"/>
      <c r="Z327" s="165"/>
      <c r="AA327" s="165"/>
      <c r="AB327" s="166"/>
      <c r="AC327" s="165"/>
      <c r="AD327" s="165"/>
      <c r="AE327" s="165"/>
      <c r="AF327" s="165"/>
      <c r="AG327" s="166"/>
      <c r="AH327" s="165"/>
      <c r="AI327" s="165"/>
      <c r="AJ327" s="165"/>
      <c r="AK327" s="165"/>
      <c r="AL327" s="166"/>
      <c r="AM327" s="167"/>
      <c r="AN327" s="168"/>
      <c r="AO327" s="168"/>
      <c r="AP327" s="163"/>
      <c r="AQ327" s="163"/>
      <c r="AR327" s="169"/>
      <c r="AS327" s="147">
        <f>AS326+AS317+AS310+AS292+AS278+AS272+AS266+AS259+AS255+AS243</f>
        <v>100000000</v>
      </c>
      <c r="AT327" s="130">
        <f t="shared" ref="AT327:DE327" si="116">AT326+AT317+AT310+AT292+AT278+AT272+AT266+AT259+AT255+AT243</f>
        <v>0</v>
      </c>
      <c r="AU327" s="130">
        <f t="shared" si="116"/>
        <v>0</v>
      </c>
      <c r="AV327" s="130">
        <f t="shared" si="116"/>
        <v>800000000</v>
      </c>
      <c r="AW327" s="130">
        <f t="shared" si="116"/>
        <v>315000000</v>
      </c>
      <c r="AX327" s="130">
        <f t="shared" si="116"/>
        <v>0</v>
      </c>
      <c r="AY327" s="130">
        <f t="shared" si="116"/>
        <v>0</v>
      </c>
      <c r="AZ327" s="130">
        <f t="shared" si="116"/>
        <v>0</v>
      </c>
      <c r="BA327" s="130">
        <f t="shared" si="116"/>
        <v>0</v>
      </c>
      <c r="BB327" s="130">
        <f t="shared" si="116"/>
        <v>0</v>
      </c>
      <c r="BC327" s="130">
        <f t="shared" si="116"/>
        <v>0</v>
      </c>
      <c r="BD327" s="130">
        <f t="shared" si="116"/>
        <v>0</v>
      </c>
      <c r="BE327" s="130">
        <f t="shared" si="116"/>
        <v>0</v>
      </c>
      <c r="BF327" s="130">
        <f t="shared" si="116"/>
        <v>0</v>
      </c>
      <c r="BG327" s="130">
        <f t="shared" si="116"/>
        <v>0</v>
      </c>
      <c r="BH327" s="130">
        <f t="shared" si="116"/>
        <v>1215000000</v>
      </c>
      <c r="BI327" s="130">
        <f t="shared" si="116"/>
        <v>110000000</v>
      </c>
      <c r="BJ327" s="130">
        <f t="shared" si="116"/>
        <v>0</v>
      </c>
      <c r="BK327" s="130">
        <f t="shared" si="116"/>
        <v>0</v>
      </c>
      <c r="BL327" s="130">
        <f t="shared" si="116"/>
        <v>840000000</v>
      </c>
      <c r="BM327" s="130">
        <f t="shared" si="116"/>
        <v>555159075</v>
      </c>
      <c r="BN327" s="130">
        <f t="shared" si="116"/>
        <v>0</v>
      </c>
      <c r="BO327" s="130">
        <f t="shared" si="116"/>
        <v>0</v>
      </c>
      <c r="BP327" s="130">
        <f t="shared" si="116"/>
        <v>0</v>
      </c>
      <c r="BQ327" s="130">
        <f t="shared" si="116"/>
        <v>0</v>
      </c>
      <c r="BR327" s="130">
        <f t="shared" si="116"/>
        <v>0</v>
      </c>
      <c r="BS327" s="130">
        <f t="shared" si="116"/>
        <v>0</v>
      </c>
      <c r="BT327" s="130">
        <f t="shared" si="116"/>
        <v>0</v>
      </c>
      <c r="BU327" s="130">
        <f t="shared" si="116"/>
        <v>0</v>
      </c>
      <c r="BV327" s="130">
        <f t="shared" si="116"/>
        <v>0</v>
      </c>
      <c r="BW327" s="130">
        <f t="shared" si="116"/>
        <v>0</v>
      </c>
      <c r="BX327" s="130">
        <f t="shared" si="116"/>
        <v>1505159075</v>
      </c>
      <c r="BY327" s="130">
        <f t="shared" si="116"/>
        <v>115000000</v>
      </c>
      <c r="BZ327" s="130">
        <f t="shared" si="116"/>
        <v>0</v>
      </c>
      <c r="CA327" s="130">
        <f t="shared" si="116"/>
        <v>0</v>
      </c>
      <c r="CB327" s="130">
        <f t="shared" si="116"/>
        <v>913500000</v>
      </c>
      <c r="CC327" s="130">
        <f t="shared" si="116"/>
        <v>443634075</v>
      </c>
      <c r="CD327" s="130">
        <f t="shared" si="116"/>
        <v>0</v>
      </c>
      <c r="CE327" s="130">
        <f t="shared" si="116"/>
        <v>0</v>
      </c>
      <c r="CF327" s="130">
        <f t="shared" si="116"/>
        <v>0</v>
      </c>
      <c r="CG327" s="130">
        <f t="shared" si="116"/>
        <v>0</v>
      </c>
      <c r="CH327" s="130">
        <f t="shared" si="116"/>
        <v>0</v>
      </c>
      <c r="CI327" s="130">
        <f t="shared" si="116"/>
        <v>0</v>
      </c>
      <c r="CJ327" s="130">
        <f t="shared" si="116"/>
        <v>0</v>
      </c>
      <c r="CK327" s="130">
        <f t="shared" si="116"/>
        <v>0</v>
      </c>
      <c r="CL327" s="130">
        <f t="shared" si="116"/>
        <v>0</v>
      </c>
      <c r="CM327" s="130">
        <f t="shared" si="116"/>
        <v>0</v>
      </c>
      <c r="CN327" s="130">
        <f t="shared" si="116"/>
        <v>1472134075</v>
      </c>
      <c r="CO327" s="130">
        <f t="shared" si="116"/>
        <v>135000000</v>
      </c>
      <c r="CP327" s="130">
        <f t="shared" si="116"/>
        <v>0</v>
      </c>
      <c r="CQ327" s="130">
        <f t="shared" si="116"/>
        <v>0</v>
      </c>
      <c r="CR327" s="130">
        <f t="shared" si="116"/>
        <v>959175000</v>
      </c>
      <c r="CS327" s="130">
        <f t="shared" si="116"/>
        <v>451509075</v>
      </c>
      <c r="CT327" s="130">
        <f t="shared" si="116"/>
        <v>0</v>
      </c>
      <c r="CU327" s="130">
        <f t="shared" si="116"/>
        <v>0</v>
      </c>
      <c r="CV327" s="130">
        <f t="shared" si="116"/>
        <v>0</v>
      </c>
      <c r="CW327" s="130">
        <f t="shared" si="116"/>
        <v>0</v>
      </c>
      <c r="CX327" s="130">
        <f t="shared" si="116"/>
        <v>0</v>
      </c>
      <c r="CY327" s="130">
        <f t="shared" si="116"/>
        <v>0</v>
      </c>
      <c r="CZ327" s="130">
        <f t="shared" si="116"/>
        <v>0</v>
      </c>
      <c r="DA327" s="130">
        <f t="shared" si="116"/>
        <v>0</v>
      </c>
      <c r="DB327" s="130">
        <f t="shared" si="116"/>
        <v>0</v>
      </c>
      <c r="DC327" s="130">
        <f t="shared" si="116"/>
        <v>0</v>
      </c>
      <c r="DD327" s="130">
        <f t="shared" si="116"/>
        <v>1545684075</v>
      </c>
      <c r="DE327" s="130">
        <f t="shared" si="116"/>
        <v>5737977225</v>
      </c>
    </row>
    <row r="328" spans="1:110" s="98" customFormat="1" ht="87" customHeight="1">
      <c r="A328" s="103" t="s">
        <v>1236</v>
      </c>
      <c r="B328" s="103" t="s">
        <v>9</v>
      </c>
      <c r="C328" s="103" t="s">
        <v>1699</v>
      </c>
      <c r="D328" s="103">
        <v>26</v>
      </c>
      <c r="E328" s="103" t="s">
        <v>1084</v>
      </c>
      <c r="F328" s="278" t="s">
        <v>1085</v>
      </c>
      <c r="G328" s="103" t="s">
        <v>3525</v>
      </c>
      <c r="H328" s="103">
        <v>34</v>
      </c>
      <c r="I328" s="103" t="s">
        <v>389</v>
      </c>
      <c r="J328" s="103" t="s">
        <v>683</v>
      </c>
      <c r="K328" s="103">
        <v>2</v>
      </c>
      <c r="L328" s="103" t="s">
        <v>1086</v>
      </c>
      <c r="M328" s="103" t="s">
        <v>1087</v>
      </c>
      <c r="N328" s="103" t="s">
        <v>1088</v>
      </c>
      <c r="O328" s="103" t="s">
        <v>390</v>
      </c>
      <c r="P328" s="283">
        <v>295</v>
      </c>
      <c r="Q328" s="103" t="s">
        <v>3526</v>
      </c>
      <c r="R328" s="103" t="s">
        <v>1089</v>
      </c>
      <c r="S328" s="103" t="s">
        <v>683</v>
      </c>
      <c r="T328" s="103">
        <v>0</v>
      </c>
      <c r="U328" s="267"/>
      <c r="V328" s="267"/>
      <c r="W328" s="224">
        <v>0</v>
      </c>
      <c r="X328" s="267"/>
      <c r="Y328" s="267">
        <v>1</v>
      </c>
      <c r="Z328" s="267">
        <v>1</v>
      </c>
      <c r="AA328" s="267">
        <v>1</v>
      </c>
      <c r="AB328" s="224">
        <v>3</v>
      </c>
      <c r="AC328" s="267">
        <v>1</v>
      </c>
      <c r="AD328" s="267">
        <v>2</v>
      </c>
      <c r="AE328" s="267">
        <v>2</v>
      </c>
      <c r="AF328" s="267">
        <v>1</v>
      </c>
      <c r="AG328" s="224">
        <v>6</v>
      </c>
      <c r="AH328" s="267">
        <v>1</v>
      </c>
      <c r="AI328" s="267"/>
      <c r="AJ328" s="267"/>
      <c r="AK328" s="267"/>
      <c r="AL328" s="224">
        <v>1</v>
      </c>
      <c r="AM328" s="102">
        <v>10</v>
      </c>
      <c r="AN328" s="103" t="s">
        <v>685</v>
      </c>
      <c r="AO328" s="103" t="s">
        <v>616</v>
      </c>
      <c r="AP328" s="103" t="s">
        <v>1226</v>
      </c>
      <c r="AQ328" s="103" t="s">
        <v>1200</v>
      </c>
      <c r="AR328" s="103" t="s">
        <v>945</v>
      </c>
      <c r="AS328" s="268"/>
      <c r="AT328" s="268"/>
      <c r="AU328" s="268"/>
      <c r="AV328" s="268"/>
      <c r="AW328" s="268"/>
      <c r="AX328" s="268"/>
      <c r="AY328" s="268"/>
      <c r="AZ328" s="268"/>
      <c r="BA328" s="268"/>
      <c r="BB328" s="268"/>
      <c r="BC328" s="268"/>
      <c r="BD328" s="268"/>
      <c r="BE328" s="268"/>
      <c r="BF328" s="268"/>
      <c r="BG328" s="268"/>
      <c r="BH328" s="234">
        <f t="shared" ref="BH328:BH337" si="117">IF(W328=0,0,BG328+BF328+BE328+BD328+BC328+BB328+BA328+AZ328+AY328+AX328+AW328+AV328+AU328+AT328+AS328)</f>
        <v>0</v>
      </c>
      <c r="BI328" s="268"/>
      <c r="BJ328" s="268"/>
      <c r="BK328" s="268"/>
      <c r="BL328" s="268"/>
      <c r="BM328" s="268"/>
      <c r="BN328" s="268"/>
      <c r="BO328" s="268"/>
      <c r="BP328" s="268"/>
      <c r="BQ328" s="268"/>
      <c r="BR328" s="268"/>
      <c r="BS328" s="268"/>
      <c r="BT328" s="268"/>
      <c r="BU328" s="268"/>
      <c r="BV328" s="268"/>
      <c r="BW328" s="268">
        <v>1000000</v>
      </c>
      <c r="BX328" s="234">
        <f t="shared" ref="BX328:BX337" si="118">IF(AB328=0,0,BI328+BJ328+BK328+BL328+BM328+BN328+BO328+BP328+BQ328+BR328+BS328+BT328+BU328+BV328+BW328)</f>
        <v>1000000</v>
      </c>
      <c r="BY328" s="268"/>
      <c r="BZ328" s="268"/>
      <c r="CA328" s="268"/>
      <c r="CB328" s="268"/>
      <c r="CC328" s="268"/>
      <c r="CD328" s="268"/>
      <c r="CE328" s="268"/>
      <c r="CF328" s="268"/>
      <c r="CG328" s="268"/>
      <c r="CH328" s="268"/>
      <c r="CI328" s="268"/>
      <c r="CJ328" s="268"/>
      <c r="CK328" s="268"/>
      <c r="CL328" s="268"/>
      <c r="CM328" s="268">
        <v>1000000</v>
      </c>
      <c r="CN328" s="234">
        <f t="shared" ref="CN328:CN337" si="119">IF(AG328=0,0,(BY328+BZ328+CA328+CB328+CC328+CD328+CE328+CF328+CG328+CH328+CI328+CJ328+CK328+CL328+CM328))</f>
        <v>1000000</v>
      </c>
      <c r="CO328" s="268"/>
      <c r="CP328" s="268"/>
      <c r="CQ328" s="268"/>
      <c r="CR328" s="268"/>
      <c r="CS328" s="268"/>
      <c r="CT328" s="268"/>
      <c r="CU328" s="268"/>
      <c r="CV328" s="268"/>
      <c r="CW328" s="268"/>
      <c r="CX328" s="268"/>
      <c r="CY328" s="268"/>
      <c r="CZ328" s="268"/>
      <c r="DA328" s="268"/>
      <c r="DB328" s="268"/>
      <c r="DC328" s="268">
        <v>1000000</v>
      </c>
      <c r="DD328" s="234">
        <f t="shared" ref="DD328:DD337" si="120">IF(AL328=0,0,(CO328+CP328+CQ328+CR328+CS328+CT328+CU328+CV328+CW328+CX328+CY328+CZ328+DA328+DB328+DC328))</f>
        <v>1000000</v>
      </c>
      <c r="DE328" s="243">
        <f t="shared" ref="DE328:DE337" si="121">SUM(DD328+CN328+BX328+BH328)</f>
        <v>3000000</v>
      </c>
    </row>
    <row r="329" spans="1:110" s="98" customFormat="1" ht="87" customHeight="1">
      <c r="A329" s="103" t="s">
        <v>1236</v>
      </c>
      <c r="B329" s="279" t="s">
        <v>9</v>
      </c>
      <c r="C329" s="279" t="s">
        <v>1699</v>
      </c>
      <c r="D329" s="279">
        <v>26</v>
      </c>
      <c r="E329" s="279" t="s">
        <v>1084</v>
      </c>
      <c r="F329" s="280" t="s">
        <v>1085</v>
      </c>
      <c r="G329" s="279" t="s">
        <v>3525</v>
      </c>
      <c r="H329" s="279">
        <v>34</v>
      </c>
      <c r="I329" s="279" t="s">
        <v>389</v>
      </c>
      <c r="J329" s="279" t="s">
        <v>683</v>
      </c>
      <c r="K329" s="279">
        <v>2</v>
      </c>
      <c r="L329" s="279" t="s">
        <v>1086</v>
      </c>
      <c r="M329" s="279" t="s">
        <v>1090</v>
      </c>
      <c r="N329" s="279" t="s">
        <v>1091</v>
      </c>
      <c r="O329" s="279" t="s">
        <v>391</v>
      </c>
      <c r="P329" s="283">
        <v>296</v>
      </c>
      <c r="Q329" s="279" t="s">
        <v>3422</v>
      </c>
      <c r="R329" s="279" t="s">
        <v>392</v>
      </c>
      <c r="S329" s="279" t="s">
        <v>683</v>
      </c>
      <c r="T329" s="279">
        <v>0</v>
      </c>
      <c r="U329" s="267"/>
      <c r="V329" s="267"/>
      <c r="W329" s="224">
        <v>0</v>
      </c>
      <c r="X329" s="267"/>
      <c r="Y329" s="267"/>
      <c r="Z329" s="267">
        <v>2</v>
      </c>
      <c r="AA329" s="267"/>
      <c r="AB329" s="224">
        <v>2</v>
      </c>
      <c r="AC329" s="267"/>
      <c r="AD329" s="267"/>
      <c r="AE329" s="267">
        <v>2</v>
      </c>
      <c r="AF329" s="267"/>
      <c r="AG329" s="224">
        <v>2</v>
      </c>
      <c r="AH329" s="267"/>
      <c r="AI329" s="267"/>
      <c r="AJ329" s="267">
        <v>2</v>
      </c>
      <c r="AK329" s="267"/>
      <c r="AL329" s="224">
        <v>2</v>
      </c>
      <c r="AM329" s="104">
        <v>6</v>
      </c>
      <c r="AN329" s="103" t="s">
        <v>685</v>
      </c>
      <c r="AO329" s="103" t="s">
        <v>626</v>
      </c>
      <c r="AP329" s="103" t="s">
        <v>1228</v>
      </c>
      <c r="AQ329" s="103" t="s">
        <v>1207</v>
      </c>
      <c r="AR329" s="103" t="s">
        <v>938</v>
      </c>
      <c r="AS329" s="271"/>
      <c r="AT329" s="271"/>
      <c r="AU329" s="271"/>
      <c r="AV329" s="271"/>
      <c r="AW329" s="271"/>
      <c r="AX329" s="271"/>
      <c r="AY329" s="271"/>
      <c r="AZ329" s="271"/>
      <c r="BA329" s="271"/>
      <c r="BB329" s="271"/>
      <c r="BC329" s="271"/>
      <c r="BD329" s="271"/>
      <c r="BE329" s="271"/>
      <c r="BF329" s="271"/>
      <c r="BG329" s="271"/>
      <c r="BH329" s="235">
        <f t="shared" si="117"/>
        <v>0</v>
      </c>
      <c r="BI329" s="271"/>
      <c r="BJ329" s="271"/>
      <c r="BK329" s="271"/>
      <c r="BL329" s="271"/>
      <c r="BM329" s="271"/>
      <c r="BN329" s="271"/>
      <c r="BO329" s="271"/>
      <c r="BP329" s="271"/>
      <c r="BQ329" s="271"/>
      <c r="BR329" s="271"/>
      <c r="BS329" s="271"/>
      <c r="BT329" s="271"/>
      <c r="BU329" s="271"/>
      <c r="BV329" s="271"/>
      <c r="BW329" s="271">
        <v>1000000</v>
      </c>
      <c r="BX329" s="235">
        <f t="shared" si="118"/>
        <v>1000000</v>
      </c>
      <c r="BY329" s="271"/>
      <c r="BZ329" s="271"/>
      <c r="CA329" s="271"/>
      <c r="CB329" s="271"/>
      <c r="CC329" s="271"/>
      <c r="CD329" s="271"/>
      <c r="CE329" s="271"/>
      <c r="CF329" s="271"/>
      <c r="CG329" s="271"/>
      <c r="CH329" s="271"/>
      <c r="CI329" s="271"/>
      <c r="CJ329" s="271"/>
      <c r="CK329" s="271"/>
      <c r="CL329" s="271"/>
      <c r="CM329" s="271">
        <v>1000000</v>
      </c>
      <c r="CN329" s="235">
        <f t="shared" si="119"/>
        <v>1000000</v>
      </c>
      <c r="CO329" s="271"/>
      <c r="CP329" s="271"/>
      <c r="CQ329" s="271"/>
      <c r="CR329" s="271"/>
      <c r="CS329" s="271"/>
      <c r="CT329" s="271"/>
      <c r="CU329" s="271"/>
      <c r="CV329" s="271"/>
      <c r="CW329" s="271"/>
      <c r="CX329" s="271"/>
      <c r="CY329" s="271"/>
      <c r="CZ329" s="271"/>
      <c r="DA329" s="271"/>
      <c r="DB329" s="271"/>
      <c r="DC329" s="271">
        <v>1000000</v>
      </c>
      <c r="DD329" s="234">
        <f t="shared" si="120"/>
        <v>1000000</v>
      </c>
      <c r="DE329" s="244">
        <f t="shared" si="121"/>
        <v>3000000</v>
      </c>
    </row>
    <row r="330" spans="1:110" s="98" customFormat="1" ht="87" customHeight="1">
      <c r="A330" s="103" t="s">
        <v>1236</v>
      </c>
      <c r="B330" s="279" t="s">
        <v>9</v>
      </c>
      <c r="C330" s="279" t="s">
        <v>1699</v>
      </c>
      <c r="D330" s="279">
        <v>26</v>
      </c>
      <c r="E330" s="279" t="s">
        <v>1084</v>
      </c>
      <c r="F330" s="280" t="s">
        <v>1085</v>
      </c>
      <c r="G330" s="279" t="s">
        <v>3525</v>
      </c>
      <c r="H330" s="279">
        <v>34</v>
      </c>
      <c r="I330" s="279" t="s">
        <v>389</v>
      </c>
      <c r="J330" s="279" t="s">
        <v>683</v>
      </c>
      <c r="K330" s="279">
        <v>2</v>
      </c>
      <c r="L330" s="279" t="s">
        <v>1086</v>
      </c>
      <c r="M330" s="279" t="s">
        <v>1090</v>
      </c>
      <c r="N330" s="279" t="s">
        <v>1091</v>
      </c>
      <c r="O330" s="279" t="s">
        <v>391</v>
      </c>
      <c r="P330" s="283">
        <v>297</v>
      </c>
      <c r="Q330" s="279" t="s">
        <v>2748</v>
      </c>
      <c r="R330" s="279" t="s">
        <v>1092</v>
      </c>
      <c r="S330" s="279" t="s">
        <v>683</v>
      </c>
      <c r="T330" s="279">
        <v>0</v>
      </c>
      <c r="U330" s="267"/>
      <c r="V330" s="267"/>
      <c r="W330" s="224">
        <v>0</v>
      </c>
      <c r="X330" s="267">
        <v>0.1</v>
      </c>
      <c r="Y330" s="267">
        <v>0.1</v>
      </c>
      <c r="Z330" s="267">
        <v>0.1</v>
      </c>
      <c r="AA330" s="267">
        <v>0.1</v>
      </c>
      <c r="AB330" s="224">
        <v>0.4</v>
      </c>
      <c r="AC330" s="267">
        <v>0.1</v>
      </c>
      <c r="AD330" s="267">
        <v>0.1</v>
      </c>
      <c r="AE330" s="267">
        <v>0.1</v>
      </c>
      <c r="AF330" s="267">
        <v>0.1</v>
      </c>
      <c r="AG330" s="224">
        <v>0.4</v>
      </c>
      <c r="AH330" s="267">
        <v>0.1</v>
      </c>
      <c r="AI330" s="267">
        <v>0.1</v>
      </c>
      <c r="AJ330" s="267"/>
      <c r="AK330" s="267"/>
      <c r="AL330" s="224">
        <v>0.2</v>
      </c>
      <c r="AM330" s="104">
        <v>1</v>
      </c>
      <c r="AN330" s="103" t="s">
        <v>685</v>
      </c>
      <c r="AO330" s="103" t="s">
        <v>1212</v>
      </c>
      <c r="AP330" s="103" t="s">
        <v>1229</v>
      </c>
      <c r="AQ330" s="103" t="s">
        <v>1207</v>
      </c>
      <c r="AR330" s="103" t="s">
        <v>945</v>
      </c>
      <c r="AS330" s="271"/>
      <c r="AT330" s="271"/>
      <c r="AU330" s="271"/>
      <c r="AV330" s="271"/>
      <c r="AW330" s="271"/>
      <c r="AX330" s="271"/>
      <c r="AY330" s="271"/>
      <c r="AZ330" s="271"/>
      <c r="BA330" s="271"/>
      <c r="BB330" s="271"/>
      <c r="BC330" s="271"/>
      <c r="BD330" s="271"/>
      <c r="BE330" s="271"/>
      <c r="BF330" s="271"/>
      <c r="BG330" s="271"/>
      <c r="BH330" s="235">
        <f t="shared" si="117"/>
        <v>0</v>
      </c>
      <c r="BI330" s="271"/>
      <c r="BJ330" s="271"/>
      <c r="BK330" s="271"/>
      <c r="BL330" s="271"/>
      <c r="BM330" s="271"/>
      <c r="BN330" s="271"/>
      <c r="BO330" s="271"/>
      <c r="BP330" s="271"/>
      <c r="BQ330" s="271"/>
      <c r="BR330" s="271"/>
      <c r="BS330" s="271"/>
      <c r="BT330" s="271"/>
      <c r="BU330" s="271"/>
      <c r="BV330" s="271"/>
      <c r="BW330" s="271">
        <v>1000000</v>
      </c>
      <c r="BX330" s="235">
        <f t="shared" si="118"/>
        <v>1000000</v>
      </c>
      <c r="BY330" s="271"/>
      <c r="BZ330" s="271"/>
      <c r="CA330" s="271"/>
      <c r="CB330" s="271"/>
      <c r="CC330" s="271"/>
      <c r="CD330" s="271"/>
      <c r="CE330" s="271"/>
      <c r="CF330" s="271"/>
      <c r="CG330" s="271"/>
      <c r="CH330" s="271"/>
      <c r="CI330" s="271"/>
      <c r="CJ330" s="271"/>
      <c r="CK330" s="271"/>
      <c r="CL330" s="271"/>
      <c r="CM330" s="271">
        <v>1000000</v>
      </c>
      <c r="CN330" s="235">
        <f t="shared" si="119"/>
        <v>1000000</v>
      </c>
      <c r="CO330" s="271"/>
      <c r="CP330" s="271"/>
      <c r="CQ330" s="271"/>
      <c r="CR330" s="271"/>
      <c r="CS330" s="271"/>
      <c r="CT330" s="271"/>
      <c r="CU330" s="271"/>
      <c r="CV330" s="271"/>
      <c r="CW330" s="271"/>
      <c r="CX330" s="271"/>
      <c r="CY330" s="271"/>
      <c r="CZ330" s="271"/>
      <c r="DA330" s="271"/>
      <c r="DB330" s="271"/>
      <c r="DC330" s="271">
        <v>1000000</v>
      </c>
      <c r="DD330" s="234">
        <f t="shared" si="120"/>
        <v>1000000</v>
      </c>
      <c r="DE330" s="244">
        <f t="shared" si="121"/>
        <v>3000000</v>
      </c>
    </row>
    <row r="331" spans="1:110" s="98" customFormat="1" ht="87" customHeight="1">
      <c r="A331" s="103" t="s">
        <v>1236</v>
      </c>
      <c r="B331" s="279" t="s">
        <v>9</v>
      </c>
      <c r="C331" s="279" t="s">
        <v>1699</v>
      </c>
      <c r="D331" s="279">
        <v>26</v>
      </c>
      <c r="E331" s="279" t="s">
        <v>1084</v>
      </c>
      <c r="F331" s="280" t="s">
        <v>1085</v>
      </c>
      <c r="G331" s="279" t="s">
        <v>3525</v>
      </c>
      <c r="H331" s="279">
        <v>34</v>
      </c>
      <c r="I331" s="279" t="s">
        <v>389</v>
      </c>
      <c r="J331" s="279" t="s">
        <v>683</v>
      </c>
      <c r="K331" s="279">
        <v>2</v>
      </c>
      <c r="L331" s="279" t="s">
        <v>1086</v>
      </c>
      <c r="M331" s="279" t="s">
        <v>1090</v>
      </c>
      <c r="N331" s="279" t="s">
        <v>1091</v>
      </c>
      <c r="O331" s="279" t="s">
        <v>391</v>
      </c>
      <c r="P331" s="283">
        <v>298</v>
      </c>
      <c r="Q331" s="279" t="s">
        <v>3527</v>
      </c>
      <c r="R331" s="279" t="s">
        <v>1093</v>
      </c>
      <c r="S331" s="279" t="s">
        <v>683</v>
      </c>
      <c r="T331" s="279">
        <v>0</v>
      </c>
      <c r="U331" s="267"/>
      <c r="V331" s="267"/>
      <c r="W331" s="224">
        <v>0</v>
      </c>
      <c r="X331" s="267">
        <v>0.1</v>
      </c>
      <c r="Y331" s="267">
        <v>0.1</v>
      </c>
      <c r="Z331" s="267">
        <v>0.1</v>
      </c>
      <c r="AA331" s="267">
        <v>0.1</v>
      </c>
      <c r="AB331" s="224">
        <v>0.4</v>
      </c>
      <c r="AC331" s="267">
        <v>0.1</v>
      </c>
      <c r="AD331" s="267">
        <v>0.1</v>
      </c>
      <c r="AE331" s="267">
        <v>0.1</v>
      </c>
      <c r="AF331" s="267">
        <v>0.1</v>
      </c>
      <c r="AG331" s="224">
        <v>0.4</v>
      </c>
      <c r="AH331" s="267">
        <v>0.1</v>
      </c>
      <c r="AI331" s="267">
        <v>0.1</v>
      </c>
      <c r="AJ331" s="267"/>
      <c r="AK331" s="267"/>
      <c r="AL331" s="224">
        <v>0.2</v>
      </c>
      <c r="AM331" s="104">
        <v>1</v>
      </c>
      <c r="AN331" s="103" t="s">
        <v>685</v>
      </c>
      <c r="AO331" s="103" t="s">
        <v>1212</v>
      </c>
      <c r="AP331" s="103" t="s">
        <v>1229</v>
      </c>
      <c r="AQ331" s="103" t="s">
        <v>1207</v>
      </c>
      <c r="AR331" s="103" t="s">
        <v>945</v>
      </c>
      <c r="AS331" s="271"/>
      <c r="AT331" s="271"/>
      <c r="AU331" s="271"/>
      <c r="AV331" s="271"/>
      <c r="AW331" s="271"/>
      <c r="AX331" s="271"/>
      <c r="AY331" s="271"/>
      <c r="AZ331" s="271"/>
      <c r="BA331" s="271"/>
      <c r="BB331" s="271"/>
      <c r="BC331" s="271"/>
      <c r="BD331" s="271"/>
      <c r="BE331" s="271"/>
      <c r="BF331" s="271"/>
      <c r="BG331" s="271"/>
      <c r="BH331" s="235">
        <f t="shared" si="117"/>
        <v>0</v>
      </c>
      <c r="BI331" s="271"/>
      <c r="BJ331" s="271"/>
      <c r="BK331" s="271"/>
      <c r="BL331" s="271"/>
      <c r="BM331" s="271"/>
      <c r="BN331" s="271"/>
      <c r="BO331" s="271"/>
      <c r="BP331" s="271"/>
      <c r="BQ331" s="271"/>
      <c r="BR331" s="271"/>
      <c r="BS331" s="271"/>
      <c r="BT331" s="271"/>
      <c r="BU331" s="271"/>
      <c r="BV331" s="271"/>
      <c r="BW331" s="271">
        <v>1000000</v>
      </c>
      <c r="BX331" s="235">
        <f t="shared" si="118"/>
        <v>1000000</v>
      </c>
      <c r="BY331" s="271"/>
      <c r="BZ331" s="271"/>
      <c r="CA331" s="271"/>
      <c r="CB331" s="271"/>
      <c r="CC331" s="271"/>
      <c r="CD331" s="271"/>
      <c r="CE331" s="271"/>
      <c r="CF331" s="271"/>
      <c r="CG331" s="271"/>
      <c r="CH331" s="271"/>
      <c r="CI331" s="271"/>
      <c r="CJ331" s="271"/>
      <c r="CK331" s="271"/>
      <c r="CL331" s="271"/>
      <c r="CM331" s="271">
        <v>1000000</v>
      </c>
      <c r="CN331" s="235">
        <f t="shared" si="119"/>
        <v>1000000</v>
      </c>
      <c r="CO331" s="271"/>
      <c r="CP331" s="271"/>
      <c r="CQ331" s="271"/>
      <c r="CR331" s="271"/>
      <c r="CS331" s="271"/>
      <c r="CT331" s="271"/>
      <c r="CU331" s="271"/>
      <c r="CV331" s="271"/>
      <c r="CW331" s="271"/>
      <c r="CX331" s="271"/>
      <c r="CY331" s="271"/>
      <c r="CZ331" s="271"/>
      <c r="DA331" s="271"/>
      <c r="DB331" s="271"/>
      <c r="DC331" s="271">
        <v>1000000</v>
      </c>
      <c r="DD331" s="234">
        <f t="shared" si="120"/>
        <v>1000000</v>
      </c>
      <c r="DE331" s="244">
        <f t="shared" si="121"/>
        <v>3000000</v>
      </c>
    </row>
    <row r="332" spans="1:110" s="98" customFormat="1" ht="87" customHeight="1">
      <c r="A332" s="103" t="s">
        <v>1236</v>
      </c>
      <c r="B332" s="279" t="s">
        <v>9</v>
      </c>
      <c r="C332" s="279" t="s">
        <v>1699</v>
      </c>
      <c r="D332" s="279">
        <v>26</v>
      </c>
      <c r="E332" s="279" t="s">
        <v>1084</v>
      </c>
      <c r="F332" s="280" t="s">
        <v>1085</v>
      </c>
      <c r="G332" s="279" t="s">
        <v>3525</v>
      </c>
      <c r="H332" s="279">
        <v>34</v>
      </c>
      <c r="I332" s="279" t="s">
        <v>389</v>
      </c>
      <c r="J332" s="279" t="s">
        <v>683</v>
      </c>
      <c r="K332" s="279">
        <v>2</v>
      </c>
      <c r="L332" s="279" t="s">
        <v>1086</v>
      </c>
      <c r="M332" s="279" t="s">
        <v>1090</v>
      </c>
      <c r="N332" s="279" t="s">
        <v>1091</v>
      </c>
      <c r="O332" s="279" t="s">
        <v>391</v>
      </c>
      <c r="P332" s="283">
        <v>299</v>
      </c>
      <c r="Q332" s="279" t="s">
        <v>3423</v>
      </c>
      <c r="R332" s="279" t="s">
        <v>1094</v>
      </c>
      <c r="S332" s="279" t="s">
        <v>683</v>
      </c>
      <c r="T332" s="279">
        <v>2</v>
      </c>
      <c r="U332" s="267"/>
      <c r="V332" s="267"/>
      <c r="W332" s="224">
        <v>0</v>
      </c>
      <c r="X332" s="267">
        <v>2</v>
      </c>
      <c r="Y332" s="267">
        <v>2</v>
      </c>
      <c r="Z332" s="267">
        <v>2</v>
      </c>
      <c r="AA332" s="267">
        <v>2</v>
      </c>
      <c r="AB332" s="224">
        <v>2</v>
      </c>
      <c r="AC332" s="267">
        <v>2</v>
      </c>
      <c r="AD332" s="267">
        <v>2</v>
      </c>
      <c r="AE332" s="267">
        <v>2</v>
      </c>
      <c r="AF332" s="267">
        <v>2</v>
      </c>
      <c r="AG332" s="224">
        <v>2</v>
      </c>
      <c r="AH332" s="267">
        <v>2</v>
      </c>
      <c r="AI332" s="267">
        <v>2</v>
      </c>
      <c r="AJ332" s="267">
        <v>2</v>
      </c>
      <c r="AK332" s="267">
        <v>2</v>
      </c>
      <c r="AL332" s="224">
        <v>2</v>
      </c>
      <c r="AM332" s="104">
        <v>2</v>
      </c>
      <c r="AN332" s="103" t="s">
        <v>686</v>
      </c>
      <c r="AO332" s="103" t="s">
        <v>616</v>
      </c>
      <c r="AP332" s="103" t="s">
        <v>1226</v>
      </c>
      <c r="AQ332" s="103" t="s">
        <v>1207</v>
      </c>
      <c r="AR332" s="103" t="s">
        <v>945</v>
      </c>
      <c r="AS332" s="271"/>
      <c r="AT332" s="271"/>
      <c r="AU332" s="271"/>
      <c r="AV332" s="271"/>
      <c r="AW332" s="271"/>
      <c r="AX332" s="271"/>
      <c r="AY332" s="271"/>
      <c r="AZ332" s="271"/>
      <c r="BA332" s="271"/>
      <c r="BB332" s="271"/>
      <c r="BC332" s="271"/>
      <c r="BD332" s="271"/>
      <c r="BE332" s="271"/>
      <c r="BF332" s="271"/>
      <c r="BG332" s="271"/>
      <c r="BH332" s="235">
        <f t="shared" si="117"/>
        <v>0</v>
      </c>
      <c r="BI332" s="271"/>
      <c r="BJ332" s="271"/>
      <c r="BK332" s="271"/>
      <c r="BL332" s="271"/>
      <c r="BM332" s="271"/>
      <c r="BN332" s="271"/>
      <c r="BO332" s="271"/>
      <c r="BP332" s="271"/>
      <c r="BQ332" s="271"/>
      <c r="BR332" s="271"/>
      <c r="BS332" s="271"/>
      <c r="BT332" s="271"/>
      <c r="BU332" s="271"/>
      <c r="BV332" s="271"/>
      <c r="BW332" s="271">
        <v>1000000</v>
      </c>
      <c r="BX332" s="235">
        <f t="shared" si="118"/>
        <v>1000000</v>
      </c>
      <c r="BY332" s="271"/>
      <c r="BZ332" s="271"/>
      <c r="CA332" s="271"/>
      <c r="CB332" s="271"/>
      <c r="CC332" s="271"/>
      <c r="CD332" s="271"/>
      <c r="CE332" s="271"/>
      <c r="CF332" s="271"/>
      <c r="CG332" s="271"/>
      <c r="CH332" s="271"/>
      <c r="CI332" s="271"/>
      <c r="CJ332" s="271"/>
      <c r="CK332" s="271"/>
      <c r="CL332" s="271"/>
      <c r="CM332" s="271">
        <v>1000000</v>
      </c>
      <c r="CN332" s="235">
        <f t="shared" si="119"/>
        <v>1000000</v>
      </c>
      <c r="CO332" s="271"/>
      <c r="CP332" s="271"/>
      <c r="CQ332" s="271"/>
      <c r="CR332" s="271"/>
      <c r="CS332" s="271"/>
      <c r="CT332" s="271"/>
      <c r="CU332" s="271"/>
      <c r="CV332" s="271"/>
      <c r="CW332" s="271"/>
      <c r="CX332" s="271"/>
      <c r="CY332" s="271"/>
      <c r="CZ332" s="271"/>
      <c r="DA332" s="271"/>
      <c r="DB332" s="271"/>
      <c r="DC332" s="271">
        <v>1000000</v>
      </c>
      <c r="DD332" s="234">
        <f t="shared" si="120"/>
        <v>1000000</v>
      </c>
      <c r="DE332" s="244">
        <f t="shared" si="121"/>
        <v>3000000</v>
      </c>
    </row>
    <row r="333" spans="1:110" s="98" customFormat="1" ht="87" customHeight="1">
      <c r="A333" s="103" t="s">
        <v>1236</v>
      </c>
      <c r="B333" s="279" t="s">
        <v>9</v>
      </c>
      <c r="C333" s="279" t="s">
        <v>1699</v>
      </c>
      <c r="D333" s="279">
        <v>26</v>
      </c>
      <c r="E333" s="279" t="s">
        <v>1084</v>
      </c>
      <c r="F333" s="280" t="s">
        <v>1085</v>
      </c>
      <c r="G333" s="279" t="s">
        <v>3525</v>
      </c>
      <c r="H333" s="279">
        <v>34</v>
      </c>
      <c r="I333" s="279" t="s">
        <v>389</v>
      </c>
      <c r="J333" s="279" t="s">
        <v>683</v>
      </c>
      <c r="K333" s="279">
        <v>2</v>
      </c>
      <c r="L333" s="279" t="s">
        <v>1086</v>
      </c>
      <c r="M333" s="279" t="s">
        <v>1095</v>
      </c>
      <c r="N333" s="279" t="s">
        <v>1096</v>
      </c>
      <c r="O333" s="279" t="s">
        <v>393</v>
      </c>
      <c r="P333" s="283">
        <v>300</v>
      </c>
      <c r="Q333" s="279" t="s">
        <v>2749</v>
      </c>
      <c r="R333" s="279" t="s">
        <v>1097</v>
      </c>
      <c r="S333" s="279" t="s">
        <v>683</v>
      </c>
      <c r="T333" s="279">
        <v>4</v>
      </c>
      <c r="U333" s="267"/>
      <c r="V333" s="267">
        <v>4</v>
      </c>
      <c r="W333" s="224">
        <v>4</v>
      </c>
      <c r="X333" s="267"/>
      <c r="Y333" s="267"/>
      <c r="Z333" s="267"/>
      <c r="AA333" s="267">
        <v>4</v>
      </c>
      <c r="AB333" s="224">
        <v>4</v>
      </c>
      <c r="AC333" s="267"/>
      <c r="AD333" s="267"/>
      <c r="AE333" s="267"/>
      <c r="AF333" s="267">
        <v>4</v>
      </c>
      <c r="AG333" s="224">
        <v>4</v>
      </c>
      <c r="AH333" s="267"/>
      <c r="AI333" s="267">
        <v>4</v>
      </c>
      <c r="AJ333" s="267"/>
      <c r="AK333" s="267"/>
      <c r="AL333" s="224">
        <v>4</v>
      </c>
      <c r="AM333" s="104">
        <v>4</v>
      </c>
      <c r="AN333" s="103" t="s">
        <v>686</v>
      </c>
      <c r="AO333" s="103" t="s">
        <v>621</v>
      </c>
      <c r="AP333" s="103" t="s">
        <v>1225</v>
      </c>
      <c r="AQ333" s="103" t="s">
        <v>1207</v>
      </c>
      <c r="AR333" s="103" t="s">
        <v>943</v>
      </c>
      <c r="AS333" s="271"/>
      <c r="AT333" s="271"/>
      <c r="AU333" s="271"/>
      <c r="AV333" s="271"/>
      <c r="AW333" s="271">
        <v>73383000</v>
      </c>
      <c r="AX333" s="271"/>
      <c r="AY333" s="271"/>
      <c r="AZ333" s="271"/>
      <c r="BA333" s="271"/>
      <c r="BB333" s="271"/>
      <c r="BC333" s="271"/>
      <c r="BD333" s="271"/>
      <c r="BE333" s="271"/>
      <c r="BF333" s="271"/>
      <c r="BG333" s="271"/>
      <c r="BH333" s="235">
        <f t="shared" si="117"/>
        <v>73383000</v>
      </c>
      <c r="BI333" s="271"/>
      <c r="BJ333" s="271"/>
      <c r="BK333" s="271"/>
      <c r="BL333" s="271"/>
      <c r="BM333" s="271"/>
      <c r="BN333" s="271"/>
      <c r="BO333" s="271"/>
      <c r="BP333" s="271"/>
      <c r="BQ333" s="271"/>
      <c r="BR333" s="271"/>
      <c r="BS333" s="271"/>
      <c r="BT333" s="271"/>
      <c r="BU333" s="271"/>
      <c r="BV333" s="271"/>
      <c r="BW333" s="271">
        <v>1000000</v>
      </c>
      <c r="BX333" s="235">
        <f t="shared" si="118"/>
        <v>1000000</v>
      </c>
      <c r="BY333" s="271"/>
      <c r="BZ333" s="271"/>
      <c r="CA333" s="271"/>
      <c r="CB333" s="271"/>
      <c r="CC333" s="271"/>
      <c r="CD333" s="271"/>
      <c r="CE333" s="271"/>
      <c r="CF333" s="271"/>
      <c r="CG333" s="271"/>
      <c r="CH333" s="271"/>
      <c r="CI333" s="271"/>
      <c r="CJ333" s="271"/>
      <c r="CK333" s="271"/>
      <c r="CL333" s="271"/>
      <c r="CM333" s="271">
        <v>1000000</v>
      </c>
      <c r="CN333" s="235">
        <f t="shared" si="119"/>
        <v>1000000</v>
      </c>
      <c r="CO333" s="271"/>
      <c r="CP333" s="271"/>
      <c r="CQ333" s="271"/>
      <c r="CR333" s="271"/>
      <c r="CS333" s="271"/>
      <c r="CT333" s="271"/>
      <c r="CU333" s="271"/>
      <c r="CV333" s="271"/>
      <c r="CW333" s="271"/>
      <c r="CX333" s="271"/>
      <c r="CY333" s="271"/>
      <c r="CZ333" s="271"/>
      <c r="DA333" s="271"/>
      <c r="DB333" s="271"/>
      <c r="DC333" s="271">
        <v>1000000</v>
      </c>
      <c r="DD333" s="234">
        <f t="shared" si="120"/>
        <v>1000000</v>
      </c>
      <c r="DE333" s="244">
        <f t="shared" si="121"/>
        <v>76383000</v>
      </c>
    </row>
    <row r="334" spans="1:110" s="98" customFormat="1" ht="87" customHeight="1">
      <c r="A334" s="103" t="s">
        <v>1236</v>
      </c>
      <c r="B334" s="279" t="s">
        <v>9</v>
      </c>
      <c r="C334" s="279" t="s">
        <v>1699</v>
      </c>
      <c r="D334" s="279">
        <v>26</v>
      </c>
      <c r="E334" s="279" t="s">
        <v>1084</v>
      </c>
      <c r="F334" s="280" t="s">
        <v>1085</v>
      </c>
      <c r="G334" s="279" t="s">
        <v>3525</v>
      </c>
      <c r="H334" s="279">
        <v>34</v>
      </c>
      <c r="I334" s="279" t="s">
        <v>389</v>
      </c>
      <c r="J334" s="279" t="s">
        <v>683</v>
      </c>
      <c r="K334" s="279">
        <v>2</v>
      </c>
      <c r="L334" s="279" t="s">
        <v>1086</v>
      </c>
      <c r="M334" s="279" t="s">
        <v>1095</v>
      </c>
      <c r="N334" s="279" t="s">
        <v>1096</v>
      </c>
      <c r="O334" s="279" t="s">
        <v>393</v>
      </c>
      <c r="P334" s="283">
        <v>301</v>
      </c>
      <c r="Q334" s="279" t="s">
        <v>2750</v>
      </c>
      <c r="R334" s="279" t="s">
        <v>1098</v>
      </c>
      <c r="S334" s="279" t="s">
        <v>683</v>
      </c>
      <c r="T334" s="279">
        <v>3</v>
      </c>
      <c r="U334" s="267"/>
      <c r="V334" s="267">
        <v>0.1</v>
      </c>
      <c r="W334" s="224">
        <v>0.1</v>
      </c>
      <c r="X334" s="267">
        <v>0.2</v>
      </c>
      <c r="Y334" s="267">
        <v>0.2</v>
      </c>
      <c r="Z334" s="267">
        <v>0.3</v>
      </c>
      <c r="AA334" s="267">
        <v>0.2</v>
      </c>
      <c r="AB334" s="224">
        <v>0.89999999999999991</v>
      </c>
      <c r="AC334" s="267">
        <v>0.25</v>
      </c>
      <c r="AD334" s="267">
        <v>0.25</v>
      </c>
      <c r="AE334" s="267">
        <v>0.25</v>
      </c>
      <c r="AF334" s="267">
        <v>0.25</v>
      </c>
      <c r="AG334" s="224">
        <v>1</v>
      </c>
      <c r="AH334" s="267">
        <v>0.25</v>
      </c>
      <c r="AI334" s="267">
        <v>0.25</v>
      </c>
      <c r="AJ334" s="267">
        <v>0.25</v>
      </c>
      <c r="AK334" s="267">
        <v>0.25</v>
      </c>
      <c r="AL334" s="224">
        <v>1</v>
      </c>
      <c r="AM334" s="104">
        <v>3</v>
      </c>
      <c r="AN334" s="103" t="s">
        <v>685</v>
      </c>
      <c r="AO334" s="103" t="s">
        <v>626</v>
      </c>
      <c r="AP334" s="103" t="s">
        <v>1228</v>
      </c>
      <c r="AQ334" s="103" t="s">
        <v>1207</v>
      </c>
      <c r="AR334" s="103" t="s">
        <v>945</v>
      </c>
      <c r="AS334" s="271"/>
      <c r="AT334" s="271"/>
      <c r="AU334" s="271"/>
      <c r="AV334" s="271"/>
      <c r="AW334" s="271"/>
      <c r="AX334" s="271"/>
      <c r="AY334" s="271"/>
      <c r="AZ334" s="271"/>
      <c r="BA334" s="271"/>
      <c r="BB334" s="271"/>
      <c r="BC334" s="271"/>
      <c r="BD334" s="271"/>
      <c r="BE334" s="271"/>
      <c r="BF334" s="271"/>
      <c r="BG334" s="271">
        <v>345188252.52999997</v>
      </c>
      <c r="BH334" s="235">
        <f t="shared" si="117"/>
        <v>345188252.52999997</v>
      </c>
      <c r="BI334" s="271"/>
      <c r="BJ334" s="271"/>
      <c r="BK334" s="271"/>
      <c r="BL334" s="271"/>
      <c r="BM334" s="271"/>
      <c r="BN334" s="271"/>
      <c r="BO334" s="271"/>
      <c r="BP334" s="271"/>
      <c r="BQ334" s="271"/>
      <c r="BR334" s="271"/>
      <c r="BS334" s="271"/>
      <c r="BT334" s="271"/>
      <c r="BU334" s="271"/>
      <c r="BV334" s="271"/>
      <c r="BW334" s="271">
        <v>3358271117.1090698</v>
      </c>
      <c r="BX334" s="235">
        <f t="shared" si="118"/>
        <v>3358271117.1090698</v>
      </c>
      <c r="BY334" s="271"/>
      <c r="BZ334" s="271"/>
      <c r="CA334" s="271"/>
      <c r="CB334" s="271"/>
      <c r="CC334" s="271"/>
      <c r="CD334" s="271"/>
      <c r="CE334" s="271"/>
      <c r="CF334" s="271"/>
      <c r="CG334" s="271"/>
      <c r="CH334" s="271"/>
      <c r="CI334" s="271"/>
      <c r="CJ334" s="271"/>
      <c r="CK334" s="271"/>
      <c r="CL334" s="271"/>
      <c r="CM334" s="271">
        <v>1000000</v>
      </c>
      <c r="CN334" s="235">
        <f t="shared" si="119"/>
        <v>1000000</v>
      </c>
      <c r="CO334" s="271"/>
      <c r="CP334" s="271"/>
      <c r="CQ334" s="271"/>
      <c r="CR334" s="271"/>
      <c r="CS334" s="271"/>
      <c r="CT334" s="271"/>
      <c r="CU334" s="271"/>
      <c r="CV334" s="271"/>
      <c r="CW334" s="271"/>
      <c r="CX334" s="271"/>
      <c r="CY334" s="271"/>
      <c r="CZ334" s="271"/>
      <c r="DA334" s="271"/>
      <c r="DB334" s="271"/>
      <c r="DC334" s="271">
        <v>370289250.62234902</v>
      </c>
      <c r="DD334" s="234">
        <f t="shared" si="120"/>
        <v>370289250.62234902</v>
      </c>
      <c r="DE334" s="244">
        <f t="shared" si="121"/>
        <v>4074748620.2614183</v>
      </c>
    </row>
    <row r="335" spans="1:110" s="98" customFormat="1" ht="87" customHeight="1">
      <c r="A335" s="103" t="s">
        <v>1236</v>
      </c>
      <c r="B335" s="279" t="s">
        <v>9</v>
      </c>
      <c r="C335" s="279" t="s">
        <v>1699</v>
      </c>
      <c r="D335" s="279">
        <v>26</v>
      </c>
      <c r="E335" s="279" t="s">
        <v>1084</v>
      </c>
      <c r="F335" s="280" t="s">
        <v>1085</v>
      </c>
      <c r="G335" s="279" t="s">
        <v>3525</v>
      </c>
      <c r="H335" s="279">
        <v>34</v>
      </c>
      <c r="I335" s="279" t="s">
        <v>389</v>
      </c>
      <c r="J335" s="279" t="s">
        <v>683</v>
      </c>
      <c r="K335" s="279">
        <v>2</v>
      </c>
      <c r="L335" s="279" t="s">
        <v>1086</v>
      </c>
      <c r="M335" s="279" t="s">
        <v>1095</v>
      </c>
      <c r="N335" s="279" t="s">
        <v>1096</v>
      </c>
      <c r="O335" s="279" t="s">
        <v>393</v>
      </c>
      <c r="P335" s="283">
        <v>302</v>
      </c>
      <c r="Q335" s="279" t="s">
        <v>2751</v>
      </c>
      <c r="R335" s="279" t="s">
        <v>1099</v>
      </c>
      <c r="S335" s="279" t="s">
        <v>683</v>
      </c>
      <c r="T335" s="279">
        <v>0</v>
      </c>
      <c r="U335" s="267"/>
      <c r="V335" s="267">
        <v>0.1</v>
      </c>
      <c r="W335" s="224">
        <v>0.1</v>
      </c>
      <c r="X335" s="267">
        <v>0.1</v>
      </c>
      <c r="Y335" s="267">
        <v>0.1</v>
      </c>
      <c r="Z335" s="267">
        <v>0.1</v>
      </c>
      <c r="AA335" s="267">
        <v>0.1</v>
      </c>
      <c r="AB335" s="224">
        <v>0.4</v>
      </c>
      <c r="AC335" s="267">
        <v>0.1</v>
      </c>
      <c r="AD335" s="267">
        <v>0.1</v>
      </c>
      <c r="AE335" s="267">
        <v>0.1</v>
      </c>
      <c r="AF335" s="267">
        <v>0.1</v>
      </c>
      <c r="AG335" s="224">
        <v>0.4</v>
      </c>
      <c r="AH335" s="267"/>
      <c r="AI335" s="267">
        <v>0.05</v>
      </c>
      <c r="AJ335" s="267">
        <v>0.05</v>
      </c>
      <c r="AK335" s="267"/>
      <c r="AL335" s="224">
        <v>0.1</v>
      </c>
      <c r="AM335" s="104">
        <v>1</v>
      </c>
      <c r="AN335" s="103" t="s">
        <v>685</v>
      </c>
      <c r="AO335" s="103" t="s">
        <v>612</v>
      </c>
      <c r="AP335" s="103" t="s">
        <v>1213</v>
      </c>
      <c r="AQ335" s="103" t="s">
        <v>1207</v>
      </c>
      <c r="AR335" s="103" t="s">
        <v>944</v>
      </c>
      <c r="AS335" s="271"/>
      <c r="AT335" s="271"/>
      <c r="AU335" s="271"/>
      <c r="AV335" s="271"/>
      <c r="AW335" s="271"/>
      <c r="AX335" s="271"/>
      <c r="AY335" s="271"/>
      <c r="AZ335" s="271"/>
      <c r="BA335" s="271"/>
      <c r="BB335" s="271"/>
      <c r="BC335" s="271"/>
      <c r="BD335" s="271"/>
      <c r="BE335" s="271"/>
      <c r="BF335" s="271"/>
      <c r="BG335" s="271">
        <v>1000000</v>
      </c>
      <c r="BH335" s="235">
        <f t="shared" si="117"/>
        <v>1000000</v>
      </c>
      <c r="BI335" s="271"/>
      <c r="BJ335" s="271"/>
      <c r="BK335" s="271"/>
      <c r="BL335" s="271"/>
      <c r="BM335" s="271"/>
      <c r="BN335" s="271"/>
      <c r="BO335" s="271"/>
      <c r="BP335" s="271"/>
      <c r="BQ335" s="271"/>
      <c r="BR335" s="271"/>
      <c r="BS335" s="271"/>
      <c r="BT335" s="271"/>
      <c r="BU335" s="271"/>
      <c r="BV335" s="271"/>
      <c r="BW335" s="271">
        <v>1000000</v>
      </c>
      <c r="BX335" s="235">
        <f t="shared" si="118"/>
        <v>1000000</v>
      </c>
      <c r="BY335" s="271"/>
      <c r="BZ335" s="271"/>
      <c r="CA335" s="271"/>
      <c r="CB335" s="271"/>
      <c r="CC335" s="271"/>
      <c r="CD335" s="271"/>
      <c r="CE335" s="271"/>
      <c r="CF335" s="271"/>
      <c r="CG335" s="271"/>
      <c r="CH335" s="271"/>
      <c r="CI335" s="271"/>
      <c r="CJ335" s="271"/>
      <c r="CK335" s="271"/>
      <c r="CL335" s="271"/>
      <c r="CM335" s="271">
        <v>348573900.10589999</v>
      </c>
      <c r="CN335" s="235">
        <f t="shared" si="119"/>
        <v>348573900.10589999</v>
      </c>
      <c r="CO335" s="271"/>
      <c r="CP335" s="271"/>
      <c r="CQ335" s="271"/>
      <c r="CR335" s="271"/>
      <c r="CS335" s="271"/>
      <c r="CT335" s="271"/>
      <c r="CU335" s="271"/>
      <c r="CV335" s="271"/>
      <c r="CW335" s="271"/>
      <c r="CX335" s="271"/>
      <c r="CY335" s="271"/>
      <c r="CZ335" s="271"/>
      <c r="DA335" s="271"/>
      <c r="DB335" s="271"/>
      <c r="DC335" s="271">
        <v>1000000</v>
      </c>
      <c r="DD335" s="234">
        <f t="shared" si="120"/>
        <v>1000000</v>
      </c>
      <c r="DE335" s="244">
        <f t="shared" si="121"/>
        <v>351573900.10589999</v>
      </c>
    </row>
    <row r="336" spans="1:110" s="98" customFormat="1" ht="87" customHeight="1">
      <c r="A336" s="103" t="s">
        <v>1236</v>
      </c>
      <c r="B336" s="279" t="s">
        <v>9</v>
      </c>
      <c r="C336" s="279" t="s">
        <v>1699</v>
      </c>
      <c r="D336" s="279">
        <v>26</v>
      </c>
      <c r="E336" s="279" t="s">
        <v>1084</v>
      </c>
      <c r="F336" s="280" t="s">
        <v>1085</v>
      </c>
      <c r="G336" s="279" t="s">
        <v>3525</v>
      </c>
      <c r="H336" s="279">
        <v>34</v>
      </c>
      <c r="I336" s="279" t="s">
        <v>389</v>
      </c>
      <c r="J336" s="279" t="s">
        <v>683</v>
      </c>
      <c r="K336" s="279">
        <v>2</v>
      </c>
      <c r="L336" s="279" t="s">
        <v>1086</v>
      </c>
      <c r="M336" s="279" t="s">
        <v>1095</v>
      </c>
      <c r="N336" s="279" t="s">
        <v>1096</v>
      </c>
      <c r="O336" s="279" t="s">
        <v>393</v>
      </c>
      <c r="P336" s="283">
        <v>303</v>
      </c>
      <c r="Q336" s="279" t="s">
        <v>3424</v>
      </c>
      <c r="R336" s="279" t="s">
        <v>1100</v>
      </c>
      <c r="S336" s="279" t="s">
        <v>683</v>
      </c>
      <c r="T336" s="279">
        <v>1</v>
      </c>
      <c r="U336" s="267">
        <v>1</v>
      </c>
      <c r="V336" s="267">
        <v>1</v>
      </c>
      <c r="W336" s="224">
        <v>1</v>
      </c>
      <c r="X336" s="267">
        <v>1</v>
      </c>
      <c r="Y336" s="267">
        <v>1</v>
      </c>
      <c r="Z336" s="267">
        <v>1</v>
      </c>
      <c r="AA336" s="267">
        <v>1</v>
      </c>
      <c r="AB336" s="224">
        <v>1</v>
      </c>
      <c r="AC336" s="267">
        <v>1</v>
      </c>
      <c r="AD336" s="267">
        <v>1</v>
      </c>
      <c r="AE336" s="267">
        <v>1</v>
      </c>
      <c r="AF336" s="267">
        <v>1</v>
      </c>
      <c r="AG336" s="224">
        <v>1</v>
      </c>
      <c r="AH336" s="267">
        <v>1</v>
      </c>
      <c r="AI336" s="267">
        <v>1</v>
      </c>
      <c r="AJ336" s="267">
        <v>1</v>
      </c>
      <c r="AK336" s="267">
        <v>1</v>
      </c>
      <c r="AL336" s="224">
        <v>1</v>
      </c>
      <c r="AM336" s="104">
        <v>1</v>
      </c>
      <c r="AN336" s="103" t="s">
        <v>686</v>
      </c>
      <c r="AO336" s="103" t="s">
        <v>619</v>
      </c>
      <c r="AP336" s="103" t="s">
        <v>1217</v>
      </c>
      <c r="AQ336" s="103" t="s">
        <v>1207</v>
      </c>
      <c r="AR336" s="103" t="s">
        <v>938</v>
      </c>
      <c r="AS336" s="271"/>
      <c r="AT336" s="271"/>
      <c r="AU336" s="271"/>
      <c r="AV336" s="271"/>
      <c r="AW336" s="271">
        <v>1000000</v>
      </c>
      <c r="AX336" s="271"/>
      <c r="AY336" s="271"/>
      <c r="AZ336" s="271"/>
      <c r="BA336" s="271"/>
      <c r="BB336" s="271"/>
      <c r="BC336" s="271"/>
      <c r="BD336" s="271"/>
      <c r="BE336" s="271"/>
      <c r="BF336" s="271"/>
      <c r="BG336" s="271"/>
      <c r="BH336" s="235">
        <f t="shared" si="117"/>
        <v>1000000</v>
      </c>
      <c r="BI336" s="271"/>
      <c r="BJ336" s="271"/>
      <c r="BK336" s="271"/>
      <c r="BL336" s="271"/>
      <c r="BM336" s="271"/>
      <c r="BN336" s="271"/>
      <c r="BO336" s="271"/>
      <c r="BP336" s="271"/>
      <c r="BQ336" s="271"/>
      <c r="BR336" s="271"/>
      <c r="BS336" s="271"/>
      <c r="BT336" s="271"/>
      <c r="BU336" s="271"/>
      <c r="BV336" s="271"/>
      <c r="BW336" s="271">
        <v>1000000</v>
      </c>
      <c r="BX336" s="235">
        <f t="shared" si="118"/>
        <v>1000000</v>
      </c>
      <c r="BY336" s="271"/>
      <c r="BZ336" s="271"/>
      <c r="CA336" s="271"/>
      <c r="CB336" s="271"/>
      <c r="CC336" s="271"/>
      <c r="CD336" s="271"/>
      <c r="CE336" s="271"/>
      <c r="CF336" s="271"/>
      <c r="CG336" s="271"/>
      <c r="CH336" s="271"/>
      <c r="CI336" s="271"/>
      <c r="CJ336" s="271"/>
      <c r="CK336" s="271"/>
      <c r="CL336" s="271"/>
      <c r="CM336" s="271">
        <v>1000000</v>
      </c>
      <c r="CN336" s="235">
        <f t="shared" si="119"/>
        <v>1000000</v>
      </c>
      <c r="CO336" s="271"/>
      <c r="CP336" s="271"/>
      <c r="CQ336" s="271"/>
      <c r="CR336" s="271"/>
      <c r="CS336" s="271"/>
      <c r="CT336" s="271"/>
      <c r="CU336" s="271"/>
      <c r="CV336" s="271"/>
      <c r="CW336" s="271"/>
      <c r="CX336" s="271"/>
      <c r="CY336" s="271"/>
      <c r="CZ336" s="271"/>
      <c r="DA336" s="271"/>
      <c r="DB336" s="271"/>
      <c r="DC336" s="271">
        <v>1000000</v>
      </c>
      <c r="DD336" s="234">
        <f t="shared" si="120"/>
        <v>1000000</v>
      </c>
      <c r="DE336" s="244">
        <f t="shared" si="121"/>
        <v>4000000</v>
      </c>
    </row>
    <row r="337" spans="1:110" s="98" customFormat="1" ht="87" customHeight="1">
      <c r="A337" s="120" t="s">
        <v>1236</v>
      </c>
      <c r="B337" s="281" t="s">
        <v>9</v>
      </c>
      <c r="C337" s="281" t="s">
        <v>1699</v>
      </c>
      <c r="D337" s="281">
        <v>26</v>
      </c>
      <c r="E337" s="281" t="s">
        <v>1084</v>
      </c>
      <c r="F337" s="282" t="s">
        <v>1085</v>
      </c>
      <c r="G337" s="281" t="s">
        <v>3525</v>
      </c>
      <c r="H337" s="281">
        <v>34</v>
      </c>
      <c r="I337" s="281" t="s">
        <v>389</v>
      </c>
      <c r="J337" s="281" t="s">
        <v>683</v>
      </c>
      <c r="K337" s="281">
        <v>2</v>
      </c>
      <c r="L337" s="281" t="s">
        <v>1086</v>
      </c>
      <c r="M337" s="281" t="s">
        <v>1095</v>
      </c>
      <c r="N337" s="281" t="s">
        <v>1096</v>
      </c>
      <c r="O337" s="281" t="s">
        <v>393</v>
      </c>
      <c r="P337" s="283">
        <v>304</v>
      </c>
      <c r="Q337" s="281" t="s">
        <v>2752</v>
      </c>
      <c r="R337" s="281" t="s">
        <v>1100</v>
      </c>
      <c r="S337" s="281" t="s">
        <v>683</v>
      </c>
      <c r="T337" s="281">
        <v>1</v>
      </c>
      <c r="U337" s="275"/>
      <c r="V337" s="275"/>
      <c r="W337" s="225">
        <v>0</v>
      </c>
      <c r="X337" s="275"/>
      <c r="Y337" s="275"/>
      <c r="Z337" s="275"/>
      <c r="AA337" s="275">
        <v>1</v>
      </c>
      <c r="AB337" s="225">
        <v>1</v>
      </c>
      <c r="AC337" s="275"/>
      <c r="AD337" s="275"/>
      <c r="AE337" s="275"/>
      <c r="AF337" s="275"/>
      <c r="AG337" s="225">
        <v>0</v>
      </c>
      <c r="AH337" s="275"/>
      <c r="AI337" s="275"/>
      <c r="AJ337" s="275"/>
      <c r="AK337" s="275"/>
      <c r="AL337" s="225">
        <v>0</v>
      </c>
      <c r="AM337" s="119">
        <v>1</v>
      </c>
      <c r="AN337" s="120" t="s">
        <v>685</v>
      </c>
      <c r="AO337" s="120" t="s">
        <v>619</v>
      </c>
      <c r="AP337" s="120" t="s">
        <v>1217</v>
      </c>
      <c r="AQ337" s="120" t="s">
        <v>1207</v>
      </c>
      <c r="AR337" s="120" t="s">
        <v>938</v>
      </c>
      <c r="AS337" s="276"/>
      <c r="AT337" s="276"/>
      <c r="AU337" s="276"/>
      <c r="AV337" s="276"/>
      <c r="AW337" s="276"/>
      <c r="AX337" s="276"/>
      <c r="AY337" s="276"/>
      <c r="AZ337" s="276"/>
      <c r="BA337" s="276"/>
      <c r="BB337" s="276"/>
      <c r="BC337" s="276"/>
      <c r="BD337" s="276"/>
      <c r="BE337" s="276"/>
      <c r="BF337" s="276"/>
      <c r="BG337" s="276"/>
      <c r="BH337" s="236">
        <f t="shared" si="117"/>
        <v>0</v>
      </c>
      <c r="BI337" s="276"/>
      <c r="BJ337" s="276"/>
      <c r="BK337" s="276"/>
      <c r="BL337" s="276"/>
      <c r="BM337" s="276"/>
      <c r="BN337" s="276"/>
      <c r="BO337" s="276"/>
      <c r="BP337" s="276"/>
      <c r="BQ337" s="276"/>
      <c r="BR337" s="276"/>
      <c r="BS337" s="276"/>
      <c r="BT337" s="276"/>
      <c r="BU337" s="276"/>
      <c r="BV337" s="276"/>
      <c r="BW337" s="276">
        <v>1000000</v>
      </c>
      <c r="BX337" s="236">
        <f t="shared" si="118"/>
        <v>1000000</v>
      </c>
      <c r="BY337" s="276"/>
      <c r="BZ337" s="276"/>
      <c r="CA337" s="276"/>
      <c r="CB337" s="276"/>
      <c r="CC337" s="276"/>
      <c r="CD337" s="276"/>
      <c r="CE337" s="276"/>
      <c r="CF337" s="276"/>
      <c r="CG337" s="276"/>
      <c r="CH337" s="276"/>
      <c r="CI337" s="276"/>
      <c r="CJ337" s="276"/>
      <c r="CK337" s="276"/>
      <c r="CL337" s="276"/>
      <c r="CM337" s="276"/>
      <c r="CN337" s="236">
        <f t="shared" si="119"/>
        <v>0</v>
      </c>
      <c r="CO337" s="276"/>
      <c r="CP337" s="276"/>
      <c r="CQ337" s="276"/>
      <c r="CR337" s="276"/>
      <c r="CS337" s="276"/>
      <c r="CT337" s="276"/>
      <c r="CU337" s="276"/>
      <c r="CV337" s="276"/>
      <c r="CW337" s="276"/>
      <c r="CX337" s="276"/>
      <c r="CY337" s="276"/>
      <c r="CZ337" s="276"/>
      <c r="DA337" s="276"/>
      <c r="DB337" s="276"/>
      <c r="DC337" s="276"/>
      <c r="DD337" s="240">
        <f t="shared" si="120"/>
        <v>0</v>
      </c>
      <c r="DE337" s="245">
        <f t="shared" si="121"/>
        <v>1000000</v>
      </c>
    </row>
    <row r="338" spans="1:110" ht="65.099999999999994" customHeight="1">
      <c r="A338" s="118" t="s">
        <v>1236</v>
      </c>
      <c r="B338" s="118" t="s">
        <v>9</v>
      </c>
      <c r="C338" s="118" t="s">
        <v>1699</v>
      </c>
      <c r="D338" s="159">
        <v>26</v>
      </c>
      <c r="E338" s="159" t="s">
        <v>1084</v>
      </c>
      <c r="F338" s="149"/>
      <c r="G338" s="150"/>
      <c r="H338" s="151"/>
      <c r="I338" s="151"/>
      <c r="J338" s="151"/>
      <c r="K338" s="152"/>
      <c r="L338" s="151"/>
      <c r="M338" s="151"/>
      <c r="N338" s="151"/>
      <c r="O338" s="151"/>
      <c r="P338" s="151"/>
      <c r="Q338" s="150"/>
      <c r="R338" s="153"/>
      <c r="S338" s="151"/>
      <c r="T338" s="151"/>
      <c r="U338" s="154"/>
      <c r="V338" s="154"/>
      <c r="W338" s="152"/>
      <c r="X338" s="154"/>
      <c r="Y338" s="154"/>
      <c r="Z338" s="154"/>
      <c r="AA338" s="154"/>
      <c r="AB338" s="152"/>
      <c r="AC338" s="154"/>
      <c r="AD338" s="154"/>
      <c r="AE338" s="154"/>
      <c r="AF338" s="154"/>
      <c r="AG338" s="152"/>
      <c r="AH338" s="154"/>
      <c r="AI338" s="154"/>
      <c r="AJ338" s="154"/>
      <c r="AK338" s="154"/>
      <c r="AL338" s="152"/>
      <c r="AM338" s="155"/>
      <c r="AN338" s="156"/>
      <c r="AO338" s="156"/>
      <c r="AP338" s="157"/>
      <c r="AQ338" s="157"/>
      <c r="AR338" s="158"/>
      <c r="AS338" s="132">
        <f>SUM(AS328:AS337)</f>
        <v>0</v>
      </c>
      <c r="AT338" s="132">
        <f t="shared" ref="AT338:DE338" si="122">SUM(AT328:AT337)</f>
        <v>0</v>
      </c>
      <c r="AU338" s="132">
        <f t="shared" si="122"/>
        <v>0</v>
      </c>
      <c r="AV338" s="132">
        <f t="shared" si="122"/>
        <v>0</v>
      </c>
      <c r="AW338" s="132">
        <f t="shared" si="122"/>
        <v>74383000</v>
      </c>
      <c r="AX338" s="132">
        <f t="shared" si="122"/>
        <v>0</v>
      </c>
      <c r="AY338" s="132">
        <f t="shared" si="122"/>
        <v>0</v>
      </c>
      <c r="AZ338" s="132">
        <f t="shared" si="122"/>
        <v>0</v>
      </c>
      <c r="BA338" s="132">
        <f t="shared" si="122"/>
        <v>0</v>
      </c>
      <c r="BB338" s="132">
        <f t="shared" si="122"/>
        <v>0</v>
      </c>
      <c r="BC338" s="132">
        <f t="shared" si="122"/>
        <v>0</v>
      </c>
      <c r="BD338" s="132">
        <f t="shared" si="122"/>
        <v>0</v>
      </c>
      <c r="BE338" s="132">
        <f t="shared" si="122"/>
        <v>0</v>
      </c>
      <c r="BF338" s="132">
        <f t="shared" si="122"/>
        <v>0</v>
      </c>
      <c r="BG338" s="132">
        <f t="shared" si="122"/>
        <v>346188252.52999997</v>
      </c>
      <c r="BH338" s="132">
        <f>IF(OR(AND(BH328=0,W328&lt;&gt;0),AND(BH329=0,W329&lt;&gt;0),AND(BH330=0,W330&lt;&gt;0),AND(BH331=0,W331&lt;&gt;0),AND(BH332=0,W332&lt;&gt;0),AND(BH333=0,W333&lt;&gt;0),AND(BH334=0,W334&lt;&gt;0),AND(BH335=0,W335&lt;&gt;0),AND(BH336=0,W336&lt;&gt;0),AND(BH337=0,W337&lt;&gt;0)),"NO DEBEN QUEDAR CELDAS EN ROJO",SUM(BH328:BH337))</f>
        <v>420571252.52999997</v>
      </c>
      <c r="BI338" s="132">
        <f t="shared" si="122"/>
        <v>0</v>
      </c>
      <c r="BJ338" s="132">
        <f t="shared" si="122"/>
        <v>0</v>
      </c>
      <c r="BK338" s="132">
        <f t="shared" si="122"/>
        <v>0</v>
      </c>
      <c r="BL338" s="132">
        <f t="shared" si="122"/>
        <v>0</v>
      </c>
      <c r="BM338" s="132">
        <f t="shared" si="122"/>
        <v>0</v>
      </c>
      <c r="BN338" s="132">
        <f t="shared" si="122"/>
        <v>0</v>
      </c>
      <c r="BO338" s="132">
        <f t="shared" si="122"/>
        <v>0</v>
      </c>
      <c r="BP338" s="132">
        <f t="shared" si="122"/>
        <v>0</v>
      </c>
      <c r="BQ338" s="132">
        <f t="shared" si="122"/>
        <v>0</v>
      </c>
      <c r="BR338" s="132">
        <f t="shared" si="122"/>
        <v>0</v>
      </c>
      <c r="BS338" s="132">
        <f t="shared" si="122"/>
        <v>0</v>
      </c>
      <c r="BT338" s="132">
        <f t="shared" si="122"/>
        <v>0</v>
      </c>
      <c r="BU338" s="132">
        <f t="shared" si="122"/>
        <v>0</v>
      </c>
      <c r="BV338" s="132">
        <f t="shared" si="122"/>
        <v>0</v>
      </c>
      <c r="BW338" s="132">
        <f t="shared" si="122"/>
        <v>3367271117.1090698</v>
      </c>
      <c r="BX338" s="132">
        <f>IF(OR(AND(BX328=0,AB328&lt;&gt;0),AND(BX329=0,AB329&lt;&gt;0),AND(BX330=0,AB330&lt;&gt;0),AND(BX331=0,AB331&lt;&gt;0),AND(BX332=0,AB332&lt;&gt;0),AND(BX333=0,AB333&lt;&gt;0),AND(BX334=0,AB334&lt;&gt;0),AND(BX335=0,AB335&lt;&gt;0),AND(BX336=0,AB336&lt;&gt;0),AND(BX337=0,AB337&lt;&gt;0)),"NO DEBEN QUEDAR CELDAS EN ROJO",SUM(BX328:BX337))</f>
        <v>3367271117.1090698</v>
      </c>
      <c r="BY338" s="132">
        <f t="shared" si="122"/>
        <v>0</v>
      </c>
      <c r="BZ338" s="132">
        <f t="shared" si="122"/>
        <v>0</v>
      </c>
      <c r="CA338" s="132">
        <f t="shared" si="122"/>
        <v>0</v>
      </c>
      <c r="CB338" s="132">
        <f t="shared" si="122"/>
        <v>0</v>
      </c>
      <c r="CC338" s="132">
        <f t="shared" si="122"/>
        <v>0</v>
      </c>
      <c r="CD338" s="132">
        <f t="shared" si="122"/>
        <v>0</v>
      </c>
      <c r="CE338" s="132">
        <f t="shared" si="122"/>
        <v>0</v>
      </c>
      <c r="CF338" s="132">
        <f t="shared" si="122"/>
        <v>0</v>
      </c>
      <c r="CG338" s="132">
        <f t="shared" si="122"/>
        <v>0</v>
      </c>
      <c r="CH338" s="132">
        <f t="shared" si="122"/>
        <v>0</v>
      </c>
      <c r="CI338" s="132">
        <f t="shared" si="122"/>
        <v>0</v>
      </c>
      <c r="CJ338" s="132">
        <f t="shared" si="122"/>
        <v>0</v>
      </c>
      <c r="CK338" s="132">
        <f t="shared" si="122"/>
        <v>0</v>
      </c>
      <c r="CL338" s="132">
        <f t="shared" si="122"/>
        <v>0</v>
      </c>
      <c r="CM338" s="132">
        <f t="shared" si="122"/>
        <v>356573900.10589999</v>
      </c>
      <c r="CN338" s="132">
        <f>IF(OR(AND(CN328=0,AG328&lt;&gt;0),AND(CN329=0,AG329&lt;&gt;0),AND(CN330=0,AG330&lt;&gt;0),AND(CN331=0,AG331&lt;&gt;0),AND(CN332=0,AG332&lt;&gt;0),AND(CN333=0,AG333&lt;&gt;0),AND(CN334=0,AG334&lt;&gt;0),AND(CN335=0,AG335&lt;&gt;0),AND(CN336=0,AG336&lt;&gt;0),AND(CN337=0,AG337&lt;&gt;0)),"NO DEBEN QUEDAR CELDAS EN ROJO",SUM(CN328:CN337))</f>
        <v>356573900.10589999</v>
      </c>
      <c r="CO338" s="132">
        <f t="shared" si="122"/>
        <v>0</v>
      </c>
      <c r="CP338" s="132">
        <f t="shared" si="122"/>
        <v>0</v>
      </c>
      <c r="CQ338" s="132">
        <f t="shared" si="122"/>
        <v>0</v>
      </c>
      <c r="CR338" s="132">
        <f t="shared" si="122"/>
        <v>0</v>
      </c>
      <c r="CS338" s="132">
        <f t="shared" si="122"/>
        <v>0</v>
      </c>
      <c r="CT338" s="132">
        <f t="shared" si="122"/>
        <v>0</v>
      </c>
      <c r="CU338" s="132">
        <f t="shared" si="122"/>
        <v>0</v>
      </c>
      <c r="CV338" s="132">
        <f t="shared" si="122"/>
        <v>0</v>
      </c>
      <c r="CW338" s="132">
        <f t="shared" si="122"/>
        <v>0</v>
      </c>
      <c r="CX338" s="132">
        <f t="shared" si="122"/>
        <v>0</v>
      </c>
      <c r="CY338" s="132">
        <f t="shared" si="122"/>
        <v>0</v>
      </c>
      <c r="CZ338" s="132">
        <f t="shared" si="122"/>
        <v>0</v>
      </c>
      <c r="DA338" s="132">
        <f t="shared" si="122"/>
        <v>0</v>
      </c>
      <c r="DB338" s="132">
        <f t="shared" si="122"/>
        <v>0</v>
      </c>
      <c r="DC338" s="132">
        <f t="shared" si="122"/>
        <v>378289250.62234902</v>
      </c>
      <c r="DD338" s="132">
        <f>IF(OR(AND(DD328=0,AL328&lt;&gt;0),AND(DD329=0,AL329&lt;&gt;0),AND(DD330=0,AL330&lt;&gt;0),AND(DD331=0,AL331&lt;&gt;0),AND(DD332=0,AL332&lt;&gt;0),AND(DD333=0,AL333&lt;&gt;0),AND(DD334=0,AL334&lt;&gt;0),AND(DD335=0,AL335&lt;&gt;0),AND(DD336=0,AL336&lt;&gt;0),AND(DD337=0,AL337&lt;&gt;0)),"NO DEBEN QUEDAR CELDAS EN ROJO",SUM(DD328:DD337))</f>
        <v>378289250.62234902</v>
      </c>
      <c r="DE338" s="132">
        <f t="shared" si="122"/>
        <v>4522705520.3673182</v>
      </c>
      <c r="DF338" s="101"/>
    </row>
    <row r="339" spans="1:110" s="117" customFormat="1" ht="55.05" customHeight="1">
      <c r="A339" s="127" t="s">
        <v>1236</v>
      </c>
      <c r="B339" s="126" t="s">
        <v>9</v>
      </c>
      <c r="C339" s="146" t="s">
        <v>1699</v>
      </c>
      <c r="D339" s="160"/>
      <c r="E339" s="161"/>
      <c r="F339" s="162"/>
      <c r="G339" s="163"/>
      <c r="H339" s="161"/>
      <c r="I339" s="161"/>
      <c r="J339" s="161"/>
      <c r="K339" s="161"/>
      <c r="L339" s="161"/>
      <c r="M339" s="161"/>
      <c r="N339" s="161"/>
      <c r="O339" s="161"/>
      <c r="P339" s="161"/>
      <c r="Q339" s="163"/>
      <c r="R339" s="164"/>
      <c r="S339" s="161"/>
      <c r="T339" s="161"/>
      <c r="U339" s="165"/>
      <c r="V339" s="165"/>
      <c r="W339" s="166"/>
      <c r="X339" s="165"/>
      <c r="Y339" s="165"/>
      <c r="Z339" s="165"/>
      <c r="AA339" s="165"/>
      <c r="AB339" s="166"/>
      <c r="AC339" s="165"/>
      <c r="AD339" s="165"/>
      <c r="AE339" s="165"/>
      <c r="AF339" s="165"/>
      <c r="AG339" s="166"/>
      <c r="AH339" s="165"/>
      <c r="AI339" s="165"/>
      <c r="AJ339" s="165"/>
      <c r="AK339" s="165"/>
      <c r="AL339" s="166"/>
      <c r="AM339" s="167"/>
      <c r="AN339" s="168"/>
      <c r="AO339" s="168"/>
      <c r="AP339" s="163"/>
      <c r="AQ339" s="163"/>
      <c r="AR339" s="169"/>
      <c r="AS339" s="147">
        <f>AS338</f>
        <v>0</v>
      </c>
      <c r="AT339" s="130">
        <f t="shared" ref="AT339:DE339" si="123">AT338</f>
        <v>0</v>
      </c>
      <c r="AU339" s="130">
        <f t="shared" si="123"/>
        <v>0</v>
      </c>
      <c r="AV339" s="130">
        <f t="shared" si="123"/>
        <v>0</v>
      </c>
      <c r="AW339" s="130">
        <f t="shared" si="123"/>
        <v>74383000</v>
      </c>
      <c r="AX339" s="130">
        <f t="shared" si="123"/>
        <v>0</v>
      </c>
      <c r="AY339" s="130">
        <f t="shared" si="123"/>
        <v>0</v>
      </c>
      <c r="AZ339" s="130">
        <f t="shared" si="123"/>
        <v>0</v>
      </c>
      <c r="BA339" s="130">
        <f t="shared" si="123"/>
        <v>0</v>
      </c>
      <c r="BB339" s="130">
        <f t="shared" si="123"/>
        <v>0</v>
      </c>
      <c r="BC339" s="130">
        <f t="shared" si="123"/>
        <v>0</v>
      </c>
      <c r="BD339" s="130">
        <f t="shared" si="123"/>
        <v>0</v>
      </c>
      <c r="BE339" s="130">
        <f t="shared" si="123"/>
        <v>0</v>
      </c>
      <c r="BF339" s="130">
        <f t="shared" si="123"/>
        <v>0</v>
      </c>
      <c r="BG339" s="130">
        <f t="shared" si="123"/>
        <v>346188252.52999997</v>
      </c>
      <c r="BH339" s="130">
        <f t="shared" si="123"/>
        <v>420571252.52999997</v>
      </c>
      <c r="BI339" s="130">
        <f t="shared" si="123"/>
        <v>0</v>
      </c>
      <c r="BJ339" s="130">
        <f t="shared" si="123"/>
        <v>0</v>
      </c>
      <c r="BK339" s="130">
        <f t="shared" si="123"/>
        <v>0</v>
      </c>
      <c r="BL339" s="130">
        <f t="shared" si="123"/>
        <v>0</v>
      </c>
      <c r="BM339" s="130">
        <f t="shared" si="123"/>
        <v>0</v>
      </c>
      <c r="BN339" s="130">
        <f t="shared" si="123"/>
        <v>0</v>
      </c>
      <c r="BO339" s="130">
        <f t="shared" si="123"/>
        <v>0</v>
      </c>
      <c r="BP339" s="130">
        <f t="shared" si="123"/>
        <v>0</v>
      </c>
      <c r="BQ339" s="130">
        <f t="shared" si="123"/>
        <v>0</v>
      </c>
      <c r="BR339" s="130">
        <f t="shared" si="123"/>
        <v>0</v>
      </c>
      <c r="BS339" s="130">
        <f t="shared" si="123"/>
        <v>0</v>
      </c>
      <c r="BT339" s="130">
        <f t="shared" si="123"/>
        <v>0</v>
      </c>
      <c r="BU339" s="130">
        <f t="shared" si="123"/>
        <v>0</v>
      </c>
      <c r="BV339" s="130">
        <f t="shared" si="123"/>
        <v>0</v>
      </c>
      <c r="BW339" s="130">
        <f t="shared" si="123"/>
        <v>3367271117.1090698</v>
      </c>
      <c r="BX339" s="130">
        <f t="shared" si="123"/>
        <v>3367271117.1090698</v>
      </c>
      <c r="BY339" s="130">
        <f t="shared" si="123"/>
        <v>0</v>
      </c>
      <c r="BZ339" s="130">
        <f t="shared" si="123"/>
        <v>0</v>
      </c>
      <c r="CA339" s="130">
        <f t="shared" si="123"/>
        <v>0</v>
      </c>
      <c r="CB339" s="130">
        <f t="shared" si="123"/>
        <v>0</v>
      </c>
      <c r="CC339" s="130">
        <f t="shared" si="123"/>
        <v>0</v>
      </c>
      <c r="CD339" s="130">
        <f t="shared" si="123"/>
        <v>0</v>
      </c>
      <c r="CE339" s="130">
        <f t="shared" si="123"/>
        <v>0</v>
      </c>
      <c r="CF339" s="130">
        <f t="shared" si="123"/>
        <v>0</v>
      </c>
      <c r="CG339" s="130">
        <f t="shared" si="123"/>
        <v>0</v>
      </c>
      <c r="CH339" s="130">
        <f t="shared" si="123"/>
        <v>0</v>
      </c>
      <c r="CI339" s="130">
        <f t="shared" si="123"/>
        <v>0</v>
      </c>
      <c r="CJ339" s="130">
        <f t="shared" si="123"/>
        <v>0</v>
      </c>
      <c r="CK339" s="130">
        <f t="shared" si="123"/>
        <v>0</v>
      </c>
      <c r="CL339" s="130">
        <f t="shared" si="123"/>
        <v>0</v>
      </c>
      <c r="CM339" s="130">
        <f t="shared" si="123"/>
        <v>356573900.10589999</v>
      </c>
      <c r="CN339" s="130">
        <f t="shared" si="123"/>
        <v>356573900.10589999</v>
      </c>
      <c r="CO339" s="130">
        <f t="shared" si="123"/>
        <v>0</v>
      </c>
      <c r="CP339" s="130">
        <f t="shared" si="123"/>
        <v>0</v>
      </c>
      <c r="CQ339" s="130">
        <f t="shared" si="123"/>
        <v>0</v>
      </c>
      <c r="CR339" s="130">
        <f t="shared" si="123"/>
        <v>0</v>
      </c>
      <c r="CS339" s="130">
        <f t="shared" si="123"/>
        <v>0</v>
      </c>
      <c r="CT339" s="130">
        <f t="shared" si="123"/>
        <v>0</v>
      </c>
      <c r="CU339" s="130">
        <f t="shared" si="123"/>
        <v>0</v>
      </c>
      <c r="CV339" s="130">
        <f t="shared" si="123"/>
        <v>0</v>
      </c>
      <c r="CW339" s="130">
        <f t="shared" si="123"/>
        <v>0</v>
      </c>
      <c r="CX339" s="130">
        <f t="shared" si="123"/>
        <v>0</v>
      </c>
      <c r="CY339" s="130">
        <f t="shared" si="123"/>
        <v>0</v>
      </c>
      <c r="CZ339" s="130">
        <f t="shared" si="123"/>
        <v>0</v>
      </c>
      <c r="DA339" s="130">
        <f t="shared" si="123"/>
        <v>0</v>
      </c>
      <c r="DB339" s="130">
        <f t="shared" si="123"/>
        <v>0</v>
      </c>
      <c r="DC339" s="130">
        <f t="shared" si="123"/>
        <v>378289250.62234902</v>
      </c>
      <c r="DD339" s="130">
        <f t="shared" si="123"/>
        <v>378289250.62234902</v>
      </c>
      <c r="DE339" s="130">
        <f t="shared" si="123"/>
        <v>4522705520.3673182</v>
      </c>
    </row>
    <row r="340" spans="1:110" s="98" customFormat="1" ht="96" customHeight="1">
      <c r="A340" s="103" t="s">
        <v>1237</v>
      </c>
      <c r="B340" s="103" t="s">
        <v>9</v>
      </c>
      <c r="C340" s="103" t="s">
        <v>1700</v>
      </c>
      <c r="D340" s="103">
        <v>27</v>
      </c>
      <c r="E340" s="103" t="s">
        <v>1101</v>
      </c>
      <c r="F340" s="278" t="s">
        <v>1102</v>
      </c>
      <c r="G340" s="103" t="s">
        <v>3425</v>
      </c>
      <c r="H340" s="103">
        <v>34</v>
      </c>
      <c r="I340" s="103" t="s">
        <v>394</v>
      </c>
      <c r="J340" s="103" t="s">
        <v>677</v>
      </c>
      <c r="K340" s="103">
        <v>60</v>
      </c>
      <c r="L340" s="103" t="s">
        <v>1103</v>
      </c>
      <c r="M340" s="103" t="s">
        <v>1105</v>
      </c>
      <c r="N340" s="103" t="s">
        <v>1104</v>
      </c>
      <c r="O340" s="103" t="s">
        <v>1106</v>
      </c>
      <c r="P340" s="283">
        <v>305</v>
      </c>
      <c r="Q340" s="103" t="s">
        <v>3426</v>
      </c>
      <c r="R340" s="103" t="s">
        <v>1107</v>
      </c>
      <c r="S340" s="103" t="s">
        <v>683</v>
      </c>
      <c r="T340" s="103">
        <v>1</v>
      </c>
      <c r="U340" s="267">
        <v>1</v>
      </c>
      <c r="V340" s="267">
        <v>1</v>
      </c>
      <c r="W340" s="224">
        <v>1</v>
      </c>
      <c r="X340" s="267">
        <v>1</v>
      </c>
      <c r="Y340" s="267">
        <v>1</v>
      </c>
      <c r="Z340" s="267">
        <v>1</v>
      </c>
      <c r="AA340" s="267">
        <v>1</v>
      </c>
      <c r="AB340" s="224">
        <v>1</v>
      </c>
      <c r="AC340" s="267">
        <v>1</v>
      </c>
      <c r="AD340" s="267">
        <v>1</v>
      </c>
      <c r="AE340" s="267">
        <v>1</v>
      </c>
      <c r="AF340" s="267">
        <v>1</v>
      </c>
      <c r="AG340" s="224">
        <v>1</v>
      </c>
      <c r="AH340" s="267">
        <v>1</v>
      </c>
      <c r="AI340" s="267">
        <v>1</v>
      </c>
      <c r="AJ340" s="267">
        <v>1</v>
      </c>
      <c r="AK340" s="267">
        <v>1</v>
      </c>
      <c r="AL340" s="224">
        <v>1</v>
      </c>
      <c r="AM340" s="102">
        <v>1</v>
      </c>
      <c r="AN340" s="103" t="s">
        <v>686</v>
      </c>
      <c r="AO340" s="103" t="s">
        <v>617</v>
      </c>
      <c r="AP340" s="103" t="s">
        <v>1230</v>
      </c>
      <c r="AQ340" s="103" t="s">
        <v>1207</v>
      </c>
      <c r="AR340" s="103" t="s">
        <v>951</v>
      </c>
      <c r="AS340" s="268"/>
      <c r="AT340" s="268"/>
      <c r="AU340" s="268"/>
      <c r="AV340" s="268"/>
      <c r="AW340" s="268">
        <v>10000000</v>
      </c>
      <c r="AX340" s="268"/>
      <c r="AY340" s="268"/>
      <c r="AZ340" s="268"/>
      <c r="BA340" s="268"/>
      <c r="BB340" s="268"/>
      <c r="BC340" s="268"/>
      <c r="BD340" s="268"/>
      <c r="BE340" s="268"/>
      <c r="BF340" s="268"/>
      <c r="BG340" s="268"/>
      <c r="BH340" s="234">
        <f t="shared" ref="BH340:BH352" si="124">IF(W340=0,0,BG340+BF340+BE340+BD340+BC340+BB340+BA340+AZ340+AY340+AX340+AW340+AV340+AU340+AT340+AS340)</f>
        <v>10000000</v>
      </c>
      <c r="BI340" s="268"/>
      <c r="BJ340" s="268"/>
      <c r="BK340" s="268"/>
      <c r="BL340" s="268"/>
      <c r="BM340" s="268">
        <v>10000000</v>
      </c>
      <c r="BN340" s="268"/>
      <c r="BO340" s="268"/>
      <c r="BP340" s="268"/>
      <c r="BQ340" s="268"/>
      <c r="BR340" s="268"/>
      <c r="BS340" s="268"/>
      <c r="BT340" s="268"/>
      <c r="BU340" s="268"/>
      <c r="BV340" s="268"/>
      <c r="BW340" s="268"/>
      <c r="BX340" s="234">
        <f t="shared" ref="BX340:BX352" si="125">IF(AB340=0,0,BI340+BJ340+BK340+BL340+BM340+BN340+BO340+BP340+BQ340+BR340+BS340+BT340+BU340+BV340+BW340)</f>
        <v>10000000</v>
      </c>
      <c r="BY340" s="268"/>
      <c r="BZ340" s="268"/>
      <c r="CA340" s="268"/>
      <c r="CB340" s="268"/>
      <c r="CC340" s="268">
        <v>10000000</v>
      </c>
      <c r="CD340" s="268"/>
      <c r="CE340" s="268"/>
      <c r="CF340" s="268"/>
      <c r="CG340" s="268"/>
      <c r="CH340" s="268"/>
      <c r="CI340" s="268"/>
      <c r="CJ340" s="268"/>
      <c r="CK340" s="268"/>
      <c r="CL340" s="268"/>
      <c r="CM340" s="268"/>
      <c r="CN340" s="234">
        <f t="shared" ref="CN340:CN352" si="126">IF(AG340=0,0,(BY340+BZ340+CA340+CB340+CC340+CD340+CE340+CF340+CG340+CH340+CI340+CJ340+CK340+CL340+CM340))</f>
        <v>10000000</v>
      </c>
      <c r="CO340" s="268"/>
      <c r="CP340" s="268"/>
      <c r="CQ340" s="268"/>
      <c r="CR340" s="268"/>
      <c r="CS340" s="268">
        <v>10000000</v>
      </c>
      <c r="CT340" s="268"/>
      <c r="CU340" s="268"/>
      <c r="CV340" s="268"/>
      <c r="CW340" s="268"/>
      <c r="CX340" s="268"/>
      <c r="CY340" s="268"/>
      <c r="CZ340" s="268"/>
      <c r="DA340" s="268"/>
      <c r="DB340" s="268"/>
      <c r="DC340" s="268"/>
      <c r="DD340" s="234">
        <f t="shared" ref="DD340:DD352" si="127">IF(AL340=0,0,(CO340+CP340+CQ340+CR340+CS340+CT340+CU340+CV340+CW340+CX340+CY340+CZ340+DA340+DB340+DC340))</f>
        <v>10000000</v>
      </c>
      <c r="DE340" s="243">
        <f t="shared" ref="DE340:DE350" si="128">SUM(DD340+CN340+BX340+BH340)</f>
        <v>40000000</v>
      </c>
    </row>
    <row r="341" spans="1:110" s="98" customFormat="1" ht="96" customHeight="1">
      <c r="A341" s="103" t="s">
        <v>1237</v>
      </c>
      <c r="B341" s="279" t="s">
        <v>9</v>
      </c>
      <c r="C341" s="279" t="s">
        <v>1700</v>
      </c>
      <c r="D341" s="279">
        <v>27</v>
      </c>
      <c r="E341" s="279" t="s">
        <v>1101</v>
      </c>
      <c r="F341" s="280" t="s">
        <v>1102</v>
      </c>
      <c r="G341" s="279" t="s">
        <v>3425</v>
      </c>
      <c r="H341" s="279">
        <v>34</v>
      </c>
      <c r="I341" s="279" t="s">
        <v>394</v>
      </c>
      <c r="J341" s="279" t="s">
        <v>677</v>
      </c>
      <c r="K341" s="279">
        <v>60</v>
      </c>
      <c r="L341" s="279" t="s">
        <v>1103</v>
      </c>
      <c r="M341" s="279" t="s">
        <v>1105</v>
      </c>
      <c r="N341" s="279" t="s">
        <v>1104</v>
      </c>
      <c r="O341" s="279" t="s">
        <v>1106</v>
      </c>
      <c r="P341" s="283">
        <v>306</v>
      </c>
      <c r="Q341" s="279" t="s">
        <v>3427</v>
      </c>
      <c r="R341" s="279" t="s">
        <v>1108</v>
      </c>
      <c r="S341" s="279" t="s">
        <v>683</v>
      </c>
      <c r="T341" s="279">
        <v>4</v>
      </c>
      <c r="U341" s="267">
        <v>4</v>
      </c>
      <c r="V341" s="267">
        <v>4</v>
      </c>
      <c r="W341" s="224">
        <v>4</v>
      </c>
      <c r="X341" s="267">
        <v>4</v>
      </c>
      <c r="Y341" s="267">
        <v>4</v>
      </c>
      <c r="Z341" s="267">
        <v>4</v>
      </c>
      <c r="AA341" s="267">
        <v>4</v>
      </c>
      <c r="AB341" s="224">
        <v>4</v>
      </c>
      <c r="AC341" s="267">
        <v>4</v>
      </c>
      <c r="AD341" s="267">
        <v>4</v>
      </c>
      <c r="AE341" s="267">
        <v>4</v>
      </c>
      <c r="AF341" s="267">
        <v>4</v>
      </c>
      <c r="AG341" s="224">
        <v>4</v>
      </c>
      <c r="AH341" s="267">
        <v>4</v>
      </c>
      <c r="AI341" s="267">
        <v>4</v>
      </c>
      <c r="AJ341" s="267">
        <v>4</v>
      </c>
      <c r="AK341" s="267">
        <v>4</v>
      </c>
      <c r="AL341" s="224">
        <v>4</v>
      </c>
      <c r="AM341" s="104">
        <v>4</v>
      </c>
      <c r="AN341" s="103" t="s">
        <v>686</v>
      </c>
      <c r="AO341" s="103" t="s">
        <v>617</v>
      </c>
      <c r="AP341" s="103" t="s">
        <v>1230</v>
      </c>
      <c r="AQ341" s="103" t="s">
        <v>1207</v>
      </c>
      <c r="AR341" s="103" t="s">
        <v>951</v>
      </c>
      <c r="AS341" s="271"/>
      <c r="AT341" s="271"/>
      <c r="AU341" s="271"/>
      <c r="AV341" s="271"/>
      <c r="AW341" s="271">
        <v>24000000</v>
      </c>
      <c r="AX341" s="271"/>
      <c r="AY341" s="271"/>
      <c r="AZ341" s="271"/>
      <c r="BA341" s="271"/>
      <c r="BB341" s="271"/>
      <c r="BC341" s="271"/>
      <c r="BD341" s="271"/>
      <c r="BE341" s="271"/>
      <c r="BF341" s="271"/>
      <c r="BG341" s="271"/>
      <c r="BH341" s="235">
        <f t="shared" si="124"/>
        <v>24000000</v>
      </c>
      <c r="BI341" s="271"/>
      <c r="BJ341" s="271"/>
      <c r="BK341" s="271"/>
      <c r="BL341" s="271"/>
      <c r="BM341" s="271">
        <v>16000000</v>
      </c>
      <c r="BN341" s="271"/>
      <c r="BO341" s="271"/>
      <c r="BP341" s="271"/>
      <c r="BQ341" s="271"/>
      <c r="BR341" s="271"/>
      <c r="BS341" s="271"/>
      <c r="BT341" s="271"/>
      <c r="BU341" s="271"/>
      <c r="BV341" s="271"/>
      <c r="BW341" s="271"/>
      <c r="BX341" s="235">
        <f t="shared" si="125"/>
        <v>16000000</v>
      </c>
      <c r="BY341" s="271"/>
      <c r="BZ341" s="271"/>
      <c r="CA341" s="271"/>
      <c r="CB341" s="271"/>
      <c r="CC341" s="271">
        <v>15000000</v>
      </c>
      <c r="CD341" s="271"/>
      <c r="CE341" s="271"/>
      <c r="CF341" s="271"/>
      <c r="CG341" s="271"/>
      <c r="CH341" s="271"/>
      <c r="CI341" s="271"/>
      <c r="CJ341" s="271"/>
      <c r="CK341" s="271"/>
      <c r="CL341" s="271"/>
      <c r="CM341" s="271"/>
      <c r="CN341" s="235">
        <f t="shared" si="126"/>
        <v>15000000</v>
      </c>
      <c r="CO341" s="271"/>
      <c r="CP341" s="271"/>
      <c r="CQ341" s="271"/>
      <c r="CR341" s="271"/>
      <c r="CS341" s="271">
        <v>15000000</v>
      </c>
      <c r="CT341" s="271"/>
      <c r="CU341" s="271"/>
      <c r="CV341" s="271"/>
      <c r="CW341" s="271"/>
      <c r="CX341" s="271"/>
      <c r="CY341" s="271"/>
      <c r="CZ341" s="271"/>
      <c r="DA341" s="271"/>
      <c r="DB341" s="271"/>
      <c r="DC341" s="271"/>
      <c r="DD341" s="234">
        <f t="shared" si="127"/>
        <v>15000000</v>
      </c>
      <c r="DE341" s="244">
        <f t="shared" si="128"/>
        <v>70000000</v>
      </c>
    </row>
    <row r="342" spans="1:110" s="98" customFormat="1" ht="96" customHeight="1">
      <c r="A342" s="103" t="s">
        <v>1237</v>
      </c>
      <c r="B342" s="279" t="s">
        <v>9</v>
      </c>
      <c r="C342" s="279" t="s">
        <v>1700</v>
      </c>
      <c r="D342" s="279">
        <v>27</v>
      </c>
      <c r="E342" s="279" t="s">
        <v>1101</v>
      </c>
      <c r="F342" s="280" t="s">
        <v>1102</v>
      </c>
      <c r="G342" s="279" t="s">
        <v>3425</v>
      </c>
      <c r="H342" s="279">
        <v>34</v>
      </c>
      <c r="I342" s="279" t="s">
        <v>394</v>
      </c>
      <c r="J342" s="279" t="s">
        <v>677</v>
      </c>
      <c r="K342" s="279">
        <v>60</v>
      </c>
      <c r="L342" s="279" t="s">
        <v>1103</v>
      </c>
      <c r="M342" s="279" t="s">
        <v>1105</v>
      </c>
      <c r="N342" s="279" t="s">
        <v>1104</v>
      </c>
      <c r="O342" s="279" t="s">
        <v>1106</v>
      </c>
      <c r="P342" s="283">
        <v>307</v>
      </c>
      <c r="Q342" s="279" t="s">
        <v>2800</v>
      </c>
      <c r="R342" s="279" t="s">
        <v>1109</v>
      </c>
      <c r="S342" s="279" t="s">
        <v>683</v>
      </c>
      <c r="T342" s="279">
        <v>0</v>
      </c>
      <c r="U342" s="267"/>
      <c r="V342" s="267">
        <v>0.25</v>
      </c>
      <c r="W342" s="224">
        <v>0.25</v>
      </c>
      <c r="X342" s="267"/>
      <c r="Y342" s="267"/>
      <c r="Z342" s="267">
        <v>0.25</v>
      </c>
      <c r="AA342" s="267"/>
      <c r="AB342" s="224">
        <v>0.25</v>
      </c>
      <c r="AC342" s="267"/>
      <c r="AD342" s="267"/>
      <c r="AE342" s="267"/>
      <c r="AF342" s="267">
        <v>0.25</v>
      </c>
      <c r="AG342" s="224">
        <v>0.25</v>
      </c>
      <c r="AH342" s="267"/>
      <c r="AI342" s="267"/>
      <c r="AJ342" s="267"/>
      <c r="AK342" s="267">
        <v>0.25</v>
      </c>
      <c r="AL342" s="224">
        <v>0.25</v>
      </c>
      <c r="AM342" s="104">
        <v>1</v>
      </c>
      <c r="AN342" s="103" t="s">
        <v>685</v>
      </c>
      <c r="AO342" s="103" t="s">
        <v>617</v>
      </c>
      <c r="AP342" s="103" t="s">
        <v>1230</v>
      </c>
      <c r="AQ342" s="103" t="s">
        <v>1207</v>
      </c>
      <c r="AR342" s="103" t="s">
        <v>951</v>
      </c>
      <c r="AS342" s="271"/>
      <c r="AT342" s="271"/>
      <c r="AU342" s="271"/>
      <c r="AV342" s="271"/>
      <c r="AW342" s="271">
        <v>750000</v>
      </c>
      <c r="AX342" s="271"/>
      <c r="AY342" s="271"/>
      <c r="AZ342" s="271"/>
      <c r="BA342" s="271"/>
      <c r="BB342" s="271"/>
      <c r="BC342" s="271"/>
      <c r="BD342" s="271"/>
      <c r="BE342" s="271"/>
      <c r="BF342" s="271"/>
      <c r="BG342" s="271"/>
      <c r="BH342" s="235">
        <f t="shared" si="124"/>
        <v>750000</v>
      </c>
      <c r="BI342" s="271"/>
      <c r="BJ342" s="271"/>
      <c r="BK342" s="271"/>
      <c r="BL342" s="271"/>
      <c r="BM342" s="271">
        <v>500000</v>
      </c>
      <c r="BN342" s="271"/>
      <c r="BO342" s="271"/>
      <c r="BP342" s="271"/>
      <c r="BQ342" s="271"/>
      <c r="BR342" s="271"/>
      <c r="BS342" s="271"/>
      <c r="BT342" s="271"/>
      <c r="BU342" s="271"/>
      <c r="BV342" s="271"/>
      <c r="BW342" s="271"/>
      <c r="BX342" s="235">
        <f t="shared" si="125"/>
        <v>500000</v>
      </c>
      <c r="BY342" s="271"/>
      <c r="BZ342" s="271"/>
      <c r="CA342" s="271"/>
      <c r="CB342" s="271"/>
      <c r="CC342" s="271">
        <v>500000</v>
      </c>
      <c r="CD342" s="271"/>
      <c r="CE342" s="271"/>
      <c r="CF342" s="271"/>
      <c r="CG342" s="271"/>
      <c r="CH342" s="271"/>
      <c r="CI342" s="271"/>
      <c r="CJ342" s="271"/>
      <c r="CK342" s="271"/>
      <c r="CL342" s="271"/>
      <c r="CM342" s="271"/>
      <c r="CN342" s="235">
        <f t="shared" si="126"/>
        <v>500000</v>
      </c>
      <c r="CO342" s="271"/>
      <c r="CP342" s="271"/>
      <c r="CQ342" s="271"/>
      <c r="CR342" s="271"/>
      <c r="CS342" s="271">
        <v>500000</v>
      </c>
      <c r="CT342" s="271"/>
      <c r="CU342" s="271"/>
      <c r="CV342" s="271"/>
      <c r="CW342" s="271"/>
      <c r="CX342" s="271"/>
      <c r="CY342" s="271"/>
      <c r="CZ342" s="271"/>
      <c r="DA342" s="271"/>
      <c r="DB342" s="271"/>
      <c r="DC342" s="271"/>
      <c r="DD342" s="234">
        <f t="shared" si="127"/>
        <v>500000</v>
      </c>
      <c r="DE342" s="244">
        <f t="shared" si="128"/>
        <v>2250000</v>
      </c>
    </row>
    <row r="343" spans="1:110" s="98" customFormat="1" ht="96" customHeight="1">
      <c r="A343" s="103" t="s">
        <v>1237</v>
      </c>
      <c r="B343" s="279" t="s">
        <v>9</v>
      </c>
      <c r="C343" s="279" t="s">
        <v>1700</v>
      </c>
      <c r="D343" s="279">
        <v>27</v>
      </c>
      <c r="E343" s="279" t="s">
        <v>1101</v>
      </c>
      <c r="F343" s="280" t="s">
        <v>1102</v>
      </c>
      <c r="G343" s="279" t="s">
        <v>3425</v>
      </c>
      <c r="H343" s="279">
        <v>34</v>
      </c>
      <c r="I343" s="279" t="s">
        <v>394</v>
      </c>
      <c r="J343" s="279" t="s">
        <v>677</v>
      </c>
      <c r="K343" s="279">
        <v>60</v>
      </c>
      <c r="L343" s="279" t="s">
        <v>1103</v>
      </c>
      <c r="M343" s="279" t="s">
        <v>1110</v>
      </c>
      <c r="N343" s="279" t="s">
        <v>1111</v>
      </c>
      <c r="O343" s="279" t="s">
        <v>395</v>
      </c>
      <c r="P343" s="283">
        <v>308</v>
      </c>
      <c r="Q343" s="279" t="s">
        <v>2801</v>
      </c>
      <c r="R343" s="279" t="s">
        <v>396</v>
      </c>
      <c r="S343" s="279" t="s">
        <v>683</v>
      </c>
      <c r="T343" s="279">
        <v>13</v>
      </c>
      <c r="U343" s="267"/>
      <c r="V343" s="267"/>
      <c r="W343" s="224">
        <v>0</v>
      </c>
      <c r="X343" s="267">
        <v>1</v>
      </c>
      <c r="Y343" s="267">
        <v>1</v>
      </c>
      <c r="Z343" s="267">
        <v>1</v>
      </c>
      <c r="AA343" s="267">
        <v>1</v>
      </c>
      <c r="AB343" s="224">
        <v>4</v>
      </c>
      <c r="AC343" s="267">
        <v>1</v>
      </c>
      <c r="AD343" s="267">
        <v>2</v>
      </c>
      <c r="AE343" s="267">
        <v>1</v>
      </c>
      <c r="AF343" s="267">
        <v>1</v>
      </c>
      <c r="AG343" s="224">
        <v>5</v>
      </c>
      <c r="AH343" s="267">
        <v>1</v>
      </c>
      <c r="AI343" s="267">
        <v>1</v>
      </c>
      <c r="AJ343" s="267">
        <v>1</v>
      </c>
      <c r="AK343" s="267">
        <v>1</v>
      </c>
      <c r="AL343" s="224">
        <v>4</v>
      </c>
      <c r="AM343" s="104">
        <v>13</v>
      </c>
      <c r="AN343" s="103" t="s">
        <v>685</v>
      </c>
      <c r="AO343" s="103" t="s">
        <v>617</v>
      </c>
      <c r="AP343" s="103" t="s">
        <v>1230</v>
      </c>
      <c r="AQ343" s="103" t="s">
        <v>1207</v>
      </c>
      <c r="AR343" s="103" t="s">
        <v>951</v>
      </c>
      <c r="AS343" s="271"/>
      <c r="AT343" s="271"/>
      <c r="AU343" s="271"/>
      <c r="AV343" s="271"/>
      <c r="AW343" s="271"/>
      <c r="AX343" s="271"/>
      <c r="AY343" s="271"/>
      <c r="AZ343" s="271"/>
      <c r="BA343" s="271"/>
      <c r="BB343" s="271"/>
      <c r="BC343" s="271"/>
      <c r="BD343" s="271"/>
      <c r="BE343" s="271"/>
      <c r="BF343" s="271"/>
      <c r="BG343" s="271"/>
      <c r="BH343" s="235">
        <f t="shared" si="124"/>
        <v>0</v>
      </c>
      <c r="BI343" s="271"/>
      <c r="BJ343" s="271"/>
      <c r="BK343" s="271"/>
      <c r="BL343" s="271"/>
      <c r="BM343" s="271">
        <v>500000</v>
      </c>
      <c r="BN343" s="271"/>
      <c r="BO343" s="271"/>
      <c r="BP343" s="271"/>
      <c r="BQ343" s="271"/>
      <c r="BR343" s="271"/>
      <c r="BS343" s="271"/>
      <c r="BT343" s="271"/>
      <c r="BU343" s="271"/>
      <c r="BV343" s="271"/>
      <c r="BW343" s="271"/>
      <c r="BX343" s="235">
        <f t="shared" si="125"/>
        <v>500000</v>
      </c>
      <c r="BY343" s="271"/>
      <c r="BZ343" s="271"/>
      <c r="CA343" s="271"/>
      <c r="CB343" s="271"/>
      <c r="CC343" s="271">
        <v>500000</v>
      </c>
      <c r="CD343" s="271"/>
      <c r="CE343" s="271"/>
      <c r="CF343" s="271"/>
      <c r="CG343" s="271"/>
      <c r="CH343" s="271"/>
      <c r="CI343" s="271"/>
      <c r="CJ343" s="271"/>
      <c r="CK343" s="271"/>
      <c r="CL343" s="271"/>
      <c r="CM343" s="271"/>
      <c r="CN343" s="235">
        <f t="shared" si="126"/>
        <v>500000</v>
      </c>
      <c r="CO343" s="271"/>
      <c r="CP343" s="271"/>
      <c r="CQ343" s="271"/>
      <c r="CR343" s="271"/>
      <c r="CS343" s="271">
        <v>500000</v>
      </c>
      <c r="CT343" s="271"/>
      <c r="CU343" s="271"/>
      <c r="CV343" s="271"/>
      <c r="CW343" s="271"/>
      <c r="CX343" s="271"/>
      <c r="CY343" s="271"/>
      <c r="CZ343" s="271"/>
      <c r="DA343" s="271"/>
      <c r="DB343" s="271"/>
      <c r="DC343" s="271"/>
      <c r="DD343" s="234">
        <f t="shared" si="127"/>
        <v>500000</v>
      </c>
      <c r="DE343" s="244">
        <f t="shared" si="128"/>
        <v>1500000</v>
      </c>
    </row>
    <row r="344" spans="1:110" s="98" customFormat="1" ht="96" customHeight="1">
      <c r="A344" s="103" t="s">
        <v>1237</v>
      </c>
      <c r="B344" s="279" t="s">
        <v>9</v>
      </c>
      <c r="C344" s="279" t="s">
        <v>1700</v>
      </c>
      <c r="D344" s="279">
        <v>27</v>
      </c>
      <c r="E344" s="279" t="s">
        <v>1101</v>
      </c>
      <c r="F344" s="280" t="s">
        <v>1102</v>
      </c>
      <c r="G344" s="279" t="s">
        <v>3425</v>
      </c>
      <c r="H344" s="279">
        <v>34</v>
      </c>
      <c r="I344" s="279" t="s">
        <v>394</v>
      </c>
      <c r="J344" s="279" t="s">
        <v>677</v>
      </c>
      <c r="K344" s="279">
        <v>60</v>
      </c>
      <c r="L344" s="279" t="s">
        <v>1103</v>
      </c>
      <c r="M344" s="279" t="s">
        <v>1112</v>
      </c>
      <c r="N344" s="279" t="s">
        <v>1113</v>
      </c>
      <c r="O344" s="279" t="s">
        <v>397</v>
      </c>
      <c r="P344" s="283">
        <v>309</v>
      </c>
      <c r="Q344" s="279" t="s">
        <v>2802</v>
      </c>
      <c r="R344" s="279" t="s">
        <v>398</v>
      </c>
      <c r="S344" s="279" t="s">
        <v>683</v>
      </c>
      <c r="T344" s="279">
        <v>16</v>
      </c>
      <c r="U344" s="267">
        <v>3</v>
      </c>
      <c r="V344" s="267">
        <v>1</v>
      </c>
      <c r="W344" s="224">
        <v>4</v>
      </c>
      <c r="X344" s="267"/>
      <c r="Y344" s="267">
        <v>2</v>
      </c>
      <c r="Z344" s="267">
        <v>1</v>
      </c>
      <c r="AA344" s="267">
        <v>1</v>
      </c>
      <c r="AB344" s="224">
        <v>4</v>
      </c>
      <c r="AC344" s="267"/>
      <c r="AD344" s="267">
        <v>2</v>
      </c>
      <c r="AE344" s="267">
        <v>1</v>
      </c>
      <c r="AF344" s="267">
        <v>1</v>
      </c>
      <c r="AG344" s="224">
        <v>4</v>
      </c>
      <c r="AH344" s="267"/>
      <c r="AI344" s="267">
        <v>2</v>
      </c>
      <c r="AJ344" s="267">
        <v>1</v>
      </c>
      <c r="AK344" s="267">
        <v>1</v>
      </c>
      <c r="AL344" s="224">
        <v>4</v>
      </c>
      <c r="AM344" s="104">
        <v>16</v>
      </c>
      <c r="AN344" s="103" t="s">
        <v>685</v>
      </c>
      <c r="AO344" s="103" t="s">
        <v>617</v>
      </c>
      <c r="AP344" s="103" t="s">
        <v>1230</v>
      </c>
      <c r="AQ344" s="103" t="s">
        <v>1207</v>
      </c>
      <c r="AR344" s="103" t="s">
        <v>951</v>
      </c>
      <c r="AS344" s="271"/>
      <c r="AT344" s="271"/>
      <c r="AU344" s="271"/>
      <c r="AV344" s="271"/>
      <c r="AW344" s="271">
        <v>750000</v>
      </c>
      <c r="AX344" s="271"/>
      <c r="AY344" s="271"/>
      <c r="AZ344" s="271"/>
      <c r="BA344" s="271"/>
      <c r="BB344" s="271"/>
      <c r="BC344" s="271"/>
      <c r="BD344" s="271"/>
      <c r="BE344" s="271"/>
      <c r="BF344" s="271"/>
      <c r="BG344" s="271"/>
      <c r="BH344" s="235">
        <f t="shared" si="124"/>
        <v>750000</v>
      </c>
      <c r="BI344" s="271"/>
      <c r="BJ344" s="271"/>
      <c r="BK344" s="271"/>
      <c r="BL344" s="271"/>
      <c r="BM344" s="271">
        <v>500000</v>
      </c>
      <c r="BN344" s="271"/>
      <c r="BO344" s="271"/>
      <c r="BP344" s="271"/>
      <c r="BQ344" s="271"/>
      <c r="BR344" s="271"/>
      <c r="BS344" s="271"/>
      <c r="BT344" s="271"/>
      <c r="BU344" s="271"/>
      <c r="BV344" s="271"/>
      <c r="BW344" s="271"/>
      <c r="BX344" s="235">
        <f t="shared" si="125"/>
        <v>500000</v>
      </c>
      <c r="BY344" s="271"/>
      <c r="BZ344" s="271"/>
      <c r="CA344" s="271"/>
      <c r="CB344" s="271"/>
      <c r="CC344" s="271">
        <v>500000</v>
      </c>
      <c r="CD344" s="271"/>
      <c r="CE344" s="271"/>
      <c r="CF344" s="271"/>
      <c r="CG344" s="271"/>
      <c r="CH344" s="271"/>
      <c r="CI344" s="271"/>
      <c r="CJ344" s="271"/>
      <c r="CK344" s="271"/>
      <c r="CL344" s="271"/>
      <c r="CM344" s="271"/>
      <c r="CN344" s="235">
        <f t="shared" si="126"/>
        <v>500000</v>
      </c>
      <c r="CO344" s="271"/>
      <c r="CP344" s="271"/>
      <c r="CQ344" s="271"/>
      <c r="CR344" s="271"/>
      <c r="CS344" s="271">
        <v>500000</v>
      </c>
      <c r="CT344" s="271"/>
      <c r="CU344" s="271"/>
      <c r="CV344" s="271"/>
      <c r="CW344" s="271"/>
      <c r="CX344" s="271"/>
      <c r="CY344" s="271"/>
      <c r="CZ344" s="271"/>
      <c r="DA344" s="271"/>
      <c r="DB344" s="271"/>
      <c r="DC344" s="271"/>
      <c r="DD344" s="234">
        <f t="shared" si="127"/>
        <v>500000</v>
      </c>
      <c r="DE344" s="244">
        <f t="shared" si="128"/>
        <v>2250000</v>
      </c>
    </row>
    <row r="345" spans="1:110" s="98" customFormat="1" ht="96" customHeight="1">
      <c r="A345" s="103" t="s">
        <v>1237</v>
      </c>
      <c r="B345" s="279" t="s">
        <v>9</v>
      </c>
      <c r="C345" s="279" t="s">
        <v>1700</v>
      </c>
      <c r="D345" s="279">
        <v>27</v>
      </c>
      <c r="E345" s="279" t="s">
        <v>1101</v>
      </c>
      <c r="F345" s="280" t="s">
        <v>1102</v>
      </c>
      <c r="G345" s="279" t="s">
        <v>3425</v>
      </c>
      <c r="H345" s="279">
        <v>34</v>
      </c>
      <c r="I345" s="279" t="s">
        <v>394</v>
      </c>
      <c r="J345" s="279" t="s">
        <v>677</v>
      </c>
      <c r="K345" s="279">
        <v>60</v>
      </c>
      <c r="L345" s="279" t="s">
        <v>1103</v>
      </c>
      <c r="M345" s="279" t="s">
        <v>1112</v>
      </c>
      <c r="N345" s="279" t="s">
        <v>1113</v>
      </c>
      <c r="O345" s="279" t="s">
        <v>397</v>
      </c>
      <c r="P345" s="283">
        <v>310</v>
      </c>
      <c r="Q345" s="279" t="s">
        <v>2803</v>
      </c>
      <c r="R345" s="279" t="s">
        <v>1114</v>
      </c>
      <c r="S345" s="279" t="s">
        <v>683</v>
      </c>
      <c r="T345" s="279">
        <v>2</v>
      </c>
      <c r="U345" s="267"/>
      <c r="V345" s="267"/>
      <c r="W345" s="224">
        <v>0</v>
      </c>
      <c r="X345" s="267"/>
      <c r="Y345" s="267"/>
      <c r="Z345" s="267"/>
      <c r="AA345" s="267"/>
      <c r="AB345" s="224">
        <v>0</v>
      </c>
      <c r="AC345" s="267"/>
      <c r="AD345" s="267">
        <v>0.3</v>
      </c>
      <c r="AE345" s="267">
        <v>0.3</v>
      </c>
      <c r="AF345" s="267">
        <v>0.4</v>
      </c>
      <c r="AG345" s="224">
        <v>1</v>
      </c>
      <c r="AH345" s="267"/>
      <c r="AI345" s="267"/>
      <c r="AJ345" s="267"/>
      <c r="AK345" s="267"/>
      <c r="AL345" s="224">
        <v>0</v>
      </c>
      <c r="AM345" s="104">
        <v>1</v>
      </c>
      <c r="AN345" s="103" t="s">
        <v>685</v>
      </c>
      <c r="AO345" s="103" t="s">
        <v>617</v>
      </c>
      <c r="AP345" s="103" t="s">
        <v>1230</v>
      </c>
      <c r="AQ345" s="103" t="s">
        <v>1207</v>
      </c>
      <c r="AR345" s="103" t="s">
        <v>951</v>
      </c>
      <c r="AS345" s="271"/>
      <c r="AT345" s="271"/>
      <c r="AU345" s="271"/>
      <c r="AV345" s="271"/>
      <c r="AW345" s="271"/>
      <c r="AX345" s="271"/>
      <c r="AY345" s="271"/>
      <c r="AZ345" s="271"/>
      <c r="BA345" s="271"/>
      <c r="BB345" s="271"/>
      <c r="BC345" s="271"/>
      <c r="BD345" s="271"/>
      <c r="BE345" s="271"/>
      <c r="BF345" s="271"/>
      <c r="BG345" s="271"/>
      <c r="BH345" s="235">
        <f t="shared" si="124"/>
        <v>0</v>
      </c>
      <c r="BI345" s="271"/>
      <c r="BJ345" s="271"/>
      <c r="BK345" s="271"/>
      <c r="BL345" s="271"/>
      <c r="BM345" s="271"/>
      <c r="BN345" s="271"/>
      <c r="BO345" s="271"/>
      <c r="BP345" s="271"/>
      <c r="BQ345" s="271"/>
      <c r="BR345" s="271"/>
      <c r="BS345" s="271"/>
      <c r="BT345" s="271"/>
      <c r="BU345" s="271"/>
      <c r="BV345" s="271"/>
      <c r="BW345" s="271"/>
      <c r="BX345" s="235">
        <f t="shared" si="125"/>
        <v>0</v>
      </c>
      <c r="BY345" s="271"/>
      <c r="BZ345" s="271"/>
      <c r="CA345" s="271"/>
      <c r="CB345" s="271"/>
      <c r="CC345" s="271">
        <v>1000000</v>
      </c>
      <c r="CD345" s="271"/>
      <c r="CE345" s="271"/>
      <c r="CF345" s="271"/>
      <c r="CG345" s="271"/>
      <c r="CH345" s="271"/>
      <c r="CI345" s="271"/>
      <c r="CJ345" s="271"/>
      <c r="CK345" s="271"/>
      <c r="CL345" s="271"/>
      <c r="CM345" s="271"/>
      <c r="CN345" s="235">
        <f t="shared" si="126"/>
        <v>1000000</v>
      </c>
      <c r="CO345" s="271"/>
      <c r="CP345" s="271"/>
      <c r="CQ345" s="271"/>
      <c r="CR345" s="271"/>
      <c r="CS345" s="271"/>
      <c r="CT345" s="271"/>
      <c r="CU345" s="271"/>
      <c r="CV345" s="271"/>
      <c r="CW345" s="271"/>
      <c r="CX345" s="271"/>
      <c r="CY345" s="271"/>
      <c r="CZ345" s="271"/>
      <c r="DA345" s="271"/>
      <c r="DB345" s="271"/>
      <c r="DC345" s="271"/>
      <c r="DD345" s="234">
        <f t="shared" si="127"/>
        <v>0</v>
      </c>
      <c r="DE345" s="244">
        <f t="shared" si="128"/>
        <v>1000000</v>
      </c>
    </row>
    <row r="346" spans="1:110" s="98" customFormat="1" ht="96" customHeight="1">
      <c r="A346" s="103" t="s">
        <v>1237</v>
      </c>
      <c r="B346" s="279" t="s">
        <v>9</v>
      </c>
      <c r="C346" s="279" t="s">
        <v>1700</v>
      </c>
      <c r="D346" s="279">
        <v>27</v>
      </c>
      <c r="E346" s="279" t="s">
        <v>1101</v>
      </c>
      <c r="F346" s="280" t="s">
        <v>1102</v>
      </c>
      <c r="G346" s="279" t="s">
        <v>3425</v>
      </c>
      <c r="H346" s="279">
        <v>34</v>
      </c>
      <c r="I346" s="279" t="s">
        <v>394</v>
      </c>
      <c r="J346" s="279" t="s">
        <v>677</v>
      </c>
      <c r="K346" s="279">
        <v>60</v>
      </c>
      <c r="L346" s="279" t="s">
        <v>1103</v>
      </c>
      <c r="M346" s="279" t="s">
        <v>1115</v>
      </c>
      <c r="N346" s="279" t="s">
        <v>1116</v>
      </c>
      <c r="O346" s="279" t="s">
        <v>399</v>
      </c>
      <c r="P346" s="283">
        <v>311</v>
      </c>
      <c r="Q346" s="279" t="s">
        <v>2804</v>
      </c>
      <c r="R346" s="279" t="s">
        <v>400</v>
      </c>
      <c r="S346" s="279" t="s">
        <v>677</v>
      </c>
      <c r="T346" s="279">
        <v>0</v>
      </c>
      <c r="U346" s="267">
        <v>7</v>
      </c>
      <c r="V346" s="267">
        <v>7</v>
      </c>
      <c r="W346" s="224">
        <v>14</v>
      </c>
      <c r="X346" s="267">
        <v>7</v>
      </c>
      <c r="Y346" s="267">
        <v>7</v>
      </c>
      <c r="Z346" s="267">
        <v>7</v>
      </c>
      <c r="AA346" s="267">
        <v>7</v>
      </c>
      <c r="AB346" s="224">
        <v>28</v>
      </c>
      <c r="AC346" s="267">
        <v>7</v>
      </c>
      <c r="AD346" s="267">
        <v>7</v>
      </c>
      <c r="AE346" s="267">
        <v>7</v>
      </c>
      <c r="AF346" s="267">
        <v>7</v>
      </c>
      <c r="AG346" s="224">
        <v>28</v>
      </c>
      <c r="AH346" s="267">
        <v>7</v>
      </c>
      <c r="AI346" s="267">
        <v>7</v>
      </c>
      <c r="AJ346" s="267">
        <v>8</v>
      </c>
      <c r="AK346" s="267">
        <v>8</v>
      </c>
      <c r="AL346" s="224">
        <v>30</v>
      </c>
      <c r="AM346" s="104">
        <v>100</v>
      </c>
      <c r="AN346" s="103" t="s">
        <v>685</v>
      </c>
      <c r="AO346" s="103" t="s">
        <v>617</v>
      </c>
      <c r="AP346" s="103" t="s">
        <v>1230</v>
      </c>
      <c r="AQ346" s="103" t="s">
        <v>1207</v>
      </c>
      <c r="AR346" s="103" t="s">
        <v>951</v>
      </c>
      <c r="AS346" s="271"/>
      <c r="AT346" s="271"/>
      <c r="AU346" s="271"/>
      <c r="AV346" s="271"/>
      <c r="AW346" s="271">
        <v>1000000</v>
      </c>
      <c r="AX346" s="271"/>
      <c r="AY346" s="271"/>
      <c r="AZ346" s="271"/>
      <c r="BA346" s="271"/>
      <c r="BB346" s="271"/>
      <c r="BC346" s="271"/>
      <c r="BD346" s="271"/>
      <c r="BE346" s="271"/>
      <c r="BF346" s="271"/>
      <c r="BG346" s="271"/>
      <c r="BH346" s="235">
        <f t="shared" si="124"/>
        <v>1000000</v>
      </c>
      <c r="BI346" s="271"/>
      <c r="BJ346" s="271"/>
      <c r="BK346" s="271"/>
      <c r="BL346" s="271"/>
      <c r="BM346" s="271">
        <v>1000000</v>
      </c>
      <c r="BN346" s="271"/>
      <c r="BO346" s="271"/>
      <c r="BP346" s="271"/>
      <c r="BQ346" s="271"/>
      <c r="BR346" s="271"/>
      <c r="BS346" s="271"/>
      <c r="BT346" s="271"/>
      <c r="BU346" s="271"/>
      <c r="BV346" s="271"/>
      <c r="BW346" s="271"/>
      <c r="BX346" s="235">
        <f t="shared" si="125"/>
        <v>1000000</v>
      </c>
      <c r="BY346" s="271"/>
      <c r="BZ346" s="271"/>
      <c r="CA346" s="271"/>
      <c r="CB346" s="271"/>
      <c r="CC346" s="271">
        <v>1000000</v>
      </c>
      <c r="CD346" s="271"/>
      <c r="CE346" s="271"/>
      <c r="CF346" s="271"/>
      <c r="CG346" s="271"/>
      <c r="CH346" s="271"/>
      <c r="CI346" s="271"/>
      <c r="CJ346" s="271"/>
      <c r="CK346" s="271"/>
      <c r="CL346" s="271"/>
      <c r="CM346" s="271"/>
      <c r="CN346" s="235">
        <f t="shared" si="126"/>
        <v>1000000</v>
      </c>
      <c r="CO346" s="271"/>
      <c r="CP346" s="271"/>
      <c r="CQ346" s="271"/>
      <c r="CR346" s="271"/>
      <c r="CS346" s="271">
        <v>1000000</v>
      </c>
      <c r="CT346" s="271"/>
      <c r="CU346" s="271"/>
      <c r="CV346" s="271"/>
      <c r="CW346" s="271"/>
      <c r="CX346" s="271"/>
      <c r="CY346" s="271"/>
      <c r="CZ346" s="271"/>
      <c r="DA346" s="271"/>
      <c r="DB346" s="271"/>
      <c r="DC346" s="271"/>
      <c r="DD346" s="234">
        <f t="shared" si="127"/>
        <v>1000000</v>
      </c>
      <c r="DE346" s="244">
        <f t="shared" si="128"/>
        <v>4000000</v>
      </c>
    </row>
    <row r="347" spans="1:110" s="98" customFormat="1" ht="96" customHeight="1">
      <c r="A347" s="103" t="s">
        <v>1237</v>
      </c>
      <c r="B347" s="279" t="s">
        <v>9</v>
      </c>
      <c r="C347" s="279" t="s">
        <v>1700</v>
      </c>
      <c r="D347" s="279">
        <v>27</v>
      </c>
      <c r="E347" s="279" t="s">
        <v>1101</v>
      </c>
      <c r="F347" s="280" t="s">
        <v>1102</v>
      </c>
      <c r="G347" s="279" t="s">
        <v>3425</v>
      </c>
      <c r="H347" s="279">
        <v>34</v>
      </c>
      <c r="I347" s="279" t="s">
        <v>394</v>
      </c>
      <c r="J347" s="279" t="s">
        <v>677</v>
      </c>
      <c r="K347" s="279">
        <v>60</v>
      </c>
      <c r="L347" s="279" t="s">
        <v>1103</v>
      </c>
      <c r="M347" s="279" t="s">
        <v>1117</v>
      </c>
      <c r="N347" s="279" t="s">
        <v>1118</v>
      </c>
      <c r="O347" s="279" t="s">
        <v>401</v>
      </c>
      <c r="P347" s="283">
        <v>312</v>
      </c>
      <c r="Q347" s="279" t="s">
        <v>3428</v>
      </c>
      <c r="R347" s="279" t="s">
        <v>1119</v>
      </c>
      <c r="S347" s="279" t="s">
        <v>677</v>
      </c>
      <c r="T347" s="279">
        <v>0</v>
      </c>
      <c r="U347" s="267">
        <v>7</v>
      </c>
      <c r="V347" s="267">
        <v>7</v>
      </c>
      <c r="W347" s="224">
        <v>14</v>
      </c>
      <c r="X347" s="267">
        <v>7</v>
      </c>
      <c r="Y347" s="267">
        <v>7</v>
      </c>
      <c r="Z347" s="267">
        <v>7</v>
      </c>
      <c r="AA347" s="267">
        <v>7</v>
      </c>
      <c r="AB347" s="224">
        <v>28</v>
      </c>
      <c r="AC347" s="267">
        <v>7</v>
      </c>
      <c r="AD347" s="267">
        <v>7</v>
      </c>
      <c r="AE347" s="267">
        <v>7</v>
      </c>
      <c r="AF347" s="267">
        <v>7</v>
      </c>
      <c r="AG347" s="224">
        <v>28</v>
      </c>
      <c r="AH347" s="267">
        <v>8</v>
      </c>
      <c r="AI347" s="267">
        <v>8</v>
      </c>
      <c r="AJ347" s="267">
        <v>7</v>
      </c>
      <c r="AK347" s="267">
        <v>7</v>
      </c>
      <c r="AL347" s="224">
        <v>30</v>
      </c>
      <c r="AM347" s="104">
        <v>100</v>
      </c>
      <c r="AN347" s="103" t="s">
        <v>685</v>
      </c>
      <c r="AO347" s="103" t="s">
        <v>617</v>
      </c>
      <c r="AP347" s="103" t="s">
        <v>1230</v>
      </c>
      <c r="AQ347" s="103" t="s">
        <v>1207</v>
      </c>
      <c r="AR347" s="103" t="s">
        <v>951</v>
      </c>
      <c r="AS347" s="271"/>
      <c r="AT347" s="271"/>
      <c r="AU347" s="271"/>
      <c r="AV347" s="271"/>
      <c r="AW347" s="271">
        <v>24000000</v>
      </c>
      <c r="AX347" s="271"/>
      <c r="AY347" s="271"/>
      <c r="AZ347" s="271"/>
      <c r="BA347" s="271"/>
      <c r="BB347" s="271"/>
      <c r="BC347" s="271"/>
      <c r="BD347" s="271"/>
      <c r="BE347" s="271"/>
      <c r="BF347" s="271"/>
      <c r="BG347" s="271"/>
      <c r="BH347" s="235">
        <f t="shared" si="124"/>
        <v>24000000</v>
      </c>
      <c r="BI347" s="271"/>
      <c r="BJ347" s="271"/>
      <c r="BK347" s="271"/>
      <c r="BL347" s="271"/>
      <c r="BM347" s="271">
        <v>24000000</v>
      </c>
      <c r="BN347" s="271"/>
      <c r="BO347" s="271"/>
      <c r="BP347" s="271"/>
      <c r="BQ347" s="271"/>
      <c r="BR347" s="271"/>
      <c r="BS347" s="271"/>
      <c r="BT347" s="271"/>
      <c r="BU347" s="271"/>
      <c r="BV347" s="271"/>
      <c r="BW347" s="271"/>
      <c r="BX347" s="235">
        <f t="shared" si="125"/>
        <v>24000000</v>
      </c>
      <c r="BY347" s="271"/>
      <c r="BZ347" s="271"/>
      <c r="CA347" s="271"/>
      <c r="CB347" s="271"/>
      <c r="CC347" s="271">
        <v>24000000</v>
      </c>
      <c r="CD347" s="271"/>
      <c r="CE347" s="271"/>
      <c r="CF347" s="271"/>
      <c r="CG347" s="271"/>
      <c r="CH347" s="271"/>
      <c r="CI347" s="271"/>
      <c r="CJ347" s="271"/>
      <c r="CK347" s="271"/>
      <c r="CL347" s="271"/>
      <c r="CM347" s="271"/>
      <c r="CN347" s="235">
        <f t="shared" si="126"/>
        <v>24000000</v>
      </c>
      <c r="CO347" s="271"/>
      <c r="CP347" s="271"/>
      <c r="CQ347" s="271"/>
      <c r="CR347" s="271"/>
      <c r="CS347" s="271">
        <v>24000000</v>
      </c>
      <c r="CT347" s="271"/>
      <c r="CU347" s="271"/>
      <c r="CV347" s="271"/>
      <c r="CW347" s="271"/>
      <c r="CX347" s="271"/>
      <c r="CY347" s="271"/>
      <c r="CZ347" s="271"/>
      <c r="DA347" s="271"/>
      <c r="DB347" s="271"/>
      <c r="DC347" s="271"/>
      <c r="DD347" s="234">
        <f t="shared" si="127"/>
        <v>24000000</v>
      </c>
      <c r="DE347" s="244">
        <f t="shared" si="128"/>
        <v>96000000</v>
      </c>
    </row>
    <row r="348" spans="1:110" s="98" customFormat="1" ht="96" customHeight="1">
      <c r="A348" s="103" t="s">
        <v>1237</v>
      </c>
      <c r="B348" s="279" t="s">
        <v>9</v>
      </c>
      <c r="C348" s="279" t="s">
        <v>1700</v>
      </c>
      <c r="D348" s="279">
        <v>27</v>
      </c>
      <c r="E348" s="279" t="s">
        <v>1101</v>
      </c>
      <c r="F348" s="280" t="s">
        <v>1102</v>
      </c>
      <c r="G348" s="279" t="s">
        <v>3425</v>
      </c>
      <c r="H348" s="279">
        <v>34</v>
      </c>
      <c r="I348" s="279" t="s">
        <v>394</v>
      </c>
      <c r="J348" s="279" t="s">
        <v>677</v>
      </c>
      <c r="K348" s="279">
        <v>60</v>
      </c>
      <c r="L348" s="279" t="s">
        <v>1103</v>
      </c>
      <c r="M348" s="279" t="s">
        <v>1117</v>
      </c>
      <c r="N348" s="279" t="s">
        <v>1118</v>
      </c>
      <c r="O348" s="279" t="s">
        <v>401</v>
      </c>
      <c r="P348" s="283">
        <v>313</v>
      </c>
      <c r="Q348" s="279" t="s">
        <v>2805</v>
      </c>
      <c r="R348" s="279" t="s">
        <v>402</v>
      </c>
      <c r="S348" s="279" t="s">
        <v>683</v>
      </c>
      <c r="T348" s="279">
        <v>685</v>
      </c>
      <c r="U348" s="267"/>
      <c r="V348" s="267"/>
      <c r="W348" s="224">
        <v>0</v>
      </c>
      <c r="X348" s="267"/>
      <c r="Y348" s="267"/>
      <c r="Z348" s="267">
        <v>200</v>
      </c>
      <c r="AA348" s="267"/>
      <c r="AB348" s="224">
        <v>200</v>
      </c>
      <c r="AC348" s="267"/>
      <c r="AD348" s="267"/>
      <c r="AE348" s="267">
        <v>100</v>
      </c>
      <c r="AF348" s="267"/>
      <c r="AG348" s="224">
        <v>100</v>
      </c>
      <c r="AH348" s="267"/>
      <c r="AI348" s="267"/>
      <c r="AJ348" s="267">
        <v>100</v>
      </c>
      <c r="AK348" s="267"/>
      <c r="AL348" s="224">
        <v>100</v>
      </c>
      <c r="AM348" s="104">
        <v>400</v>
      </c>
      <c r="AN348" s="103" t="s">
        <v>685</v>
      </c>
      <c r="AO348" s="103" t="s">
        <v>617</v>
      </c>
      <c r="AP348" s="103" t="s">
        <v>1230</v>
      </c>
      <c r="AQ348" s="103" t="s">
        <v>1207</v>
      </c>
      <c r="AR348" s="103" t="s">
        <v>951</v>
      </c>
      <c r="AS348" s="271"/>
      <c r="AT348" s="271"/>
      <c r="AU348" s="271"/>
      <c r="AV348" s="271"/>
      <c r="AW348" s="271"/>
      <c r="AX348" s="271"/>
      <c r="AY348" s="271"/>
      <c r="AZ348" s="271"/>
      <c r="BA348" s="271"/>
      <c r="BB348" s="271"/>
      <c r="BC348" s="271"/>
      <c r="BD348" s="271"/>
      <c r="BE348" s="271"/>
      <c r="BF348" s="271"/>
      <c r="BG348" s="271"/>
      <c r="BH348" s="235">
        <f t="shared" si="124"/>
        <v>0</v>
      </c>
      <c r="BI348" s="271"/>
      <c r="BJ348" s="271"/>
      <c r="BK348" s="271"/>
      <c r="BL348" s="271"/>
      <c r="BM348" s="271">
        <v>20000000</v>
      </c>
      <c r="BN348" s="271"/>
      <c r="BO348" s="271"/>
      <c r="BP348" s="271"/>
      <c r="BQ348" s="271"/>
      <c r="BR348" s="271"/>
      <c r="BS348" s="271"/>
      <c r="BT348" s="271"/>
      <c r="BU348" s="271"/>
      <c r="BV348" s="271"/>
      <c r="BW348" s="271"/>
      <c r="BX348" s="235">
        <f t="shared" si="125"/>
        <v>20000000</v>
      </c>
      <c r="BY348" s="271"/>
      <c r="BZ348" s="271"/>
      <c r="CA348" s="271"/>
      <c r="CB348" s="271"/>
      <c r="CC348" s="271">
        <v>20000000</v>
      </c>
      <c r="CD348" s="271"/>
      <c r="CE348" s="271"/>
      <c r="CF348" s="271"/>
      <c r="CG348" s="271"/>
      <c r="CH348" s="271"/>
      <c r="CI348" s="271"/>
      <c r="CJ348" s="271"/>
      <c r="CK348" s="271"/>
      <c r="CL348" s="271"/>
      <c r="CM348" s="271"/>
      <c r="CN348" s="235">
        <f t="shared" si="126"/>
        <v>20000000</v>
      </c>
      <c r="CO348" s="271"/>
      <c r="CP348" s="271"/>
      <c r="CQ348" s="271"/>
      <c r="CR348" s="271"/>
      <c r="CS348" s="271">
        <v>20000000</v>
      </c>
      <c r="CT348" s="271"/>
      <c r="CU348" s="271"/>
      <c r="CV348" s="271"/>
      <c r="CW348" s="271"/>
      <c r="CX348" s="271"/>
      <c r="CY348" s="271"/>
      <c r="CZ348" s="271"/>
      <c r="DA348" s="271"/>
      <c r="DB348" s="271"/>
      <c r="DC348" s="271"/>
      <c r="DD348" s="234">
        <f t="shared" si="127"/>
        <v>20000000</v>
      </c>
      <c r="DE348" s="244">
        <f t="shared" si="128"/>
        <v>60000000</v>
      </c>
    </row>
    <row r="349" spans="1:110" s="98" customFormat="1" ht="96" customHeight="1">
      <c r="A349" s="103" t="s">
        <v>1237</v>
      </c>
      <c r="B349" s="279" t="s">
        <v>9</v>
      </c>
      <c r="C349" s="279" t="s">
        <v>1700</v>
      </c>
      <c r="D349" s="279">
        <v>27</v>
      </c>
      <c r="E349" s="279" t="s">
        <v>1101</v>
      </c>
      <c r="F349" s="280" t="s">
        <v>1102</v>
      </c>
      <c r="G349" s="279" t="s">
        <v>3425</v>
      </c>
      <c r="H349" s="279">
        <v>34</v>
      </c>
      <c r="I349" s="279" t="s">
        <v>394</v>
      </c>
      <c r="J349" s="279" t="s">
        <v>677</v>
      </c>
      <c r="K349" s="279">
        <v>60</v>
      </c>
      <c r="L349" s="279" t="s">
        <v>1103</v>
      </c>
      <c r="M349" s="279" t="s">
        <v>1117</v>
      </c>
      <c r="N349" s="279" t="s">
        <v>1118</v>
      </c>
      <c r="O349" s="279" t="s">
        <v>401</v>
      </c>
      <c r="P349" s="283">
        <v>314</v>
      </c>
      <c r="Q349" s="279" t="s">
        <v>3429</v>
      </c>
      <c r="R349" s="279" t="s">
        <v>403</v>
      </c>
      <c r="S349" s="279" t="s">
        <v>683</v>
      </c>
      <c r="T349" s="279">
        <v>0</v>
      </c>
      <c r="U349" s="267">
        <v>7.0000000000000007E-2</v>
      </c>
      <c r="V349" s="267">
        <v>7.0000000000000007E-2</v>
      </c>
      <c r="W349" s="224">
        <v>0.14000000000000001</v>
      </c>
      <c r="X349" s="267">
        <v>7.0000000000000007E-2</v>
      </c>
      <c r="Y349" s="267">
        <v>7.0000000000000007E-2</v>
      </c>
      <c r="Z349" s="267">
        <v>7.0000000000000007E-2</v>
      </c>
      <c r="AA349" s="267">
        <v>7.0000000000000007E-2</v>
      </c>
      <c r="AB349" s="224">
        <v>0.28000000000000003</v>
      </c>
      <c r="AC349" s="267">
        <v>0.08</v>
      </c>
      <c r="AD349" s="267">
        <v>7.0000000000000007E-2</v>
      </c>
      <c r="AE349" s="267">
        <v>7.0000000000000007E-2</v>
      </c>
      <c r="AF349" s="267">
        <v>7.0000000000000007E-2</v>
      </c>
      <c r="AG349" s="224">
        <v>0.29000000000000004</v>
      </c>
      <c r="AH349" s="267">
        <v>0.08</v>
      </c>
      <c r="AI349" s="267">
        <v>7.0000000000000007E-2</v>
      </c>
      <c r="AJ349" s="267">
        <v>7.0000000000000007E-2</v>
      </c>
      <c r="AK349" s="267">
        <v>7.0000000000000007E-2</v>
      </c>
      <c r="AL349" s="224">
        <v>0.29000000000000004</v>
      </c>
      <c r="AM349" s="104">
        <v>1</v>
      </c>
      <c r="AN349" s="103" t="s">
        <v>685</v>
      </c>
      <c r="AO349" s="103" t="s">
        <v>617</v>
      </c>
      <c r="AP349" s="103" t="s">
        <v>1230</v>
      </c>
      <c r="AQ349" s="103" t="s">
        <v>1207</v>
      </c>
      <c r="AR349" s="103" t="s">
        <v>951</v>
      </c>
      <c r="AS349" s="271"/>
      <c r="AT349" s="271"/>
      <c r="AU349" s="271"/>
      <c r="AV349" s="271"/>
      <c r="AW349" s="271">
        <v>1000000</v>
      </c>
      <c r="AX349" s="271"/>
      <c r="AY349" s="271"/>
      <c r="AZ349" s="271"/>
      <c r="BA349" s="271"/>
      <c r="BB349" s="271"/>
      <c r="BC349" s="271"/>
      <c r="BD349" s="271"/>
      <c r="BE349" s="271"/>
      <c r="BF349" s="271"/>
      <c r="BG349" s="271"/>
      <c r="BH349" s="235">
        <f t="shared" si="124"/>
        <v>1000000</v>
      </c>
      <c r="BI349" s="271"/>
      <c r="BJ349" s="271"/>
      <c r="BK349" s="271"/>
      <c r="BL349" s="271"/>
      <c r="BM349" s="271">
        <v>1000000</v>
      </c>
      <c r="BN349" s="271"/>
      <c r="BO349" s="271"/>
      <c r="BP349" s="271"/>
      <c r="BQ349" s="271"/>
      <c r="BR349" s="271"/>
      <c r="BS349" s="271"/>
      <c r="BT349" s="271"/>
      <c r="BU349" s="271"/>
      <c r="BV349" s="271"/>
      <c r="BW349" s="271"/>
      <c r="BX349" s="235">
        <f t="shared" si="125"/>
        <v>1000000</v>
      </c>
      <c r="BY349" s="271"/>
      <c r="BZ349" s="271"/>
      <c r="CA349" s="271"/>
      <c r="CB349" s="271"/>
      <c r="CC349" s="271">
        <v>1000000</v>
      </c>
      <c r="CD349" s="271"/>
      <c r="CE349" s="271"/>
      <c r="CF349" s="271"/>
      <c r="CG349" s="271"/>
      <c r="CH349" s="271"/>
      <c r="CI349" s="271"/>
      <c r="CJ349" s="271"/>
      <c r="CK349" s="271"/>
      <c r="CL349" s="271"/>
      <c r="CM349" s="271"/>
      <c r="CN349" s="235">
        <f t="shared" si="126"/>
        <v>1000000</v>
      </c>
      <c r="CO349" s="271"/>
      <c r="CP349" s="271"/>
      <c r="CQ349" s="271"/>
      <c r="CR349" s="271"/>
      <c r="CS349" s="271">
        <v>1000000</v>
      </c>
      <c r="CT349" s="271"/>
      <c r="CU349" s="271"/>
      <c r="CV349" s="271"/>
      <c r="CW349" s="271"/>
      <c r="CX349" s="271"/>
      <c r="CY349" s="271"/>
      <c r="CZ349" s="271"/>
      <c r="DA349" s="271"/>
      <c r="DB349" s="271"/>
      <c r="DC349" s="271"/>
      <c r="DD349" s="234">
        <f t="shared" si="127"/>
        <v>1000000</v>
      </c>
      <c r="DE349" s="244">
        <f t="shared" si="128"/>
        <v>4000000</v>
      </c>
    </row>
    <row r="350" spans="1:110" s="98" customFormat="1" ht="96" customHeight="1">
      <c r="A350" s="103" t="s">
        <v>1237</v>
      </c>
      <c r="B350" s="279" t="s">
        <v>9</v>
      </c>
      <c r="C350" s="279" t="s">
        <v>1700</v>
      </c>
      <c r="D350" s="279">
        <v>27</v>
      </c>
      <c r="E350" s="279" t="s">
        <v>1101</v>
      </c>
      <c r="F350" s="280" t="s">
        <v>1102</v>
      </c>
      <c r="G350" s="279" t="s">
        <v>3425</v>
      </c>
      <c r="H350" s="279">
        <v>34</v>
      </c>
      <c r="I350" s="279" t="s">
        <v>394</v>
      </c>
      <c r="J350" s="279" t="s">
        <v>677</v>
      </c>
      <c r="K350" s="279">
        <v>60</v>
      </c>
      <c r="L350" s="279" t="s">
        <v>1103</v>
      </c>
      <c r="M350" s="279" t="s">
        <v>1121</v>
      </c>
      <c r="N350" s="279" t="s">
        <v>1120</v>
      </c>
      <c r="O350" s="279" t="s">
        <v>1122</v>
      </c>
      <c r="P350" s="283">
        <v>315</v>
      </c>
      <c r="Q350" s="279" t="s">
        <v>3430</v>
      </c>
      <c r="R350" s="279" t="s">
        <v>404</v>
      </c>
      <c r="S350" s="279" t="s">
        <v>683</v>
      </c>
      <c r="T350" s="279">
        <v>1</v>
      </c>
      <c r="U350" s="267">
        <v>1</v>
      </c>
      <c r="V350" s="267">
        <v>1</v>
      </c>
      <c r="W350" s="224">
        <v>1</v>
      </c>
      <c r="X350" s="267">
        <v>1</v>
      </c>
      <c r="Y350" s="267">
        <v>1</v>
      </c>
      <c r="Z350" s="267">
        <v>1</v>
      </c>
      <c r="AA350" s="267">
        <v>1</v>
      </c>
      <c r="AB350" s="224">
        <v>1</v>
      </c>
      <c r="AC350" s="267">
        <v>1</v>
      </c>
      <c r="AD350" s="267">
        <v>1</v>
      </c>
      <c r="AE350" s="267">
        <v>1</v>
      </c>
      <c r="AF350" s="267">
        <v>1</v>
      </c>
      <c r="AG350" s="224">
        <v>1</v>
      </c>
      <c r="AH350" s="267">
        <v>1</v>
      </c>
      <c r="AI350" s="267">
        <v>1</v>
      </c>
      <c r="AJ350" s="267">
        <v>1</v>
      </c>
      <c r="AK350" s="267">
        <v>1</v>
      </c>
      <c r="AL350" s="224">
        <v>1</v>
      </c>
      <c r="AM350" s="104">
        <v>1</v>
      </c>
      <c r="AN350" s="103" t="s">
        <v>686</v>
      </c>
      <c r="AO350" s="103" t="s">
        <v>617</v>
      </c>
      <c r="AP350" s="103" t="s">
        <v>1230</v>
      </c>
      <c r="AQ350" s="103" t="s">
        <v>1207</v>
      </c>
      <c r="AR350" s="103" t="s">
        <v>951</v>
      </c>
      <c r="AS350" s="271"/>
      <c r="AT350" s="271"/>
      <c r="AU350" s="271"/>
      <c r="AV350" s="271"/>
      <c r="AW350" s="271">
        <v>38500000</v>
      </c>
      <c r="AX350" s="271"/>
      <c r="AY350" s="271"/>
      <c r="AZ350" s="271"/>
      <c r="BA350" s="271"/>
      <c r="BB350" s="271"/>
      <c r="BC350" s="271"/>
      <c r="BD350" s="271"/>
      <c r="BE350" s="271"/>
      <c r="BF350" s="271"/>
      <c r="BG350" s="271"/>
      <c r="BH350" s="235">
        <f t="shared" si="124"/>
        <v>38500000</v>
      </c>
      <c r="BI350" s="271"/>
      <c r="BJ350" s="271"/>
      <c r="BK350" s="271"/>
      <c r="BL350" s="271"/>
      <c r="BM350" s="271">
        <v>18500000</v>
      </c>
      <c r="BN350" s="271"/>
      <c r="BO350" s="271"/>
      <c r="BP350" s="271"/>
      <c r="BQ350" s="271"/>
      <c r="BR350" s="271"/>
      <c r="BS350" s="271"/>
      <c r="BT350" s="271"/>
      <c r="BU350" s="271"/>
      <c r="BV350" s="271"/>
      <c r="BW350" s="271"/>
      <c r="BX350" s="235">
        <f t="shared" si="125"/>
        <v>18500000</v>
      </c>
      <c r="BY350" s="271"/>
      <c r="BZ350" s="271"/>
      <c r="CA350" s="271"/>
      <c r="CB350" s="271"/>
      <c r="CC350" s="271">
        <v>18500000</v>
      </c>
      <c r="CD350" s="271"/>
      <c r="CE350" s="271"/>
      <c r="CF350" s="271"/>
      <c r="CG350" s="271"/>
      <c r="CH350" s="271"/>
      <c r="CI350" s="271"/>
      <c r="CJ350" s="271"/>
      <c r="CK350" s="271"/>
      <c r="CL350" s="271"/>
      <c r="CM350" s="271"/>
      <c r="CN350" s="235">
        <f t="shared" si="126"/>
        <v>18500000</v>
      </c>
      <c r="CO350" s="271"/>
      <c r="CP350" s="271"/>
      <c r="CQ350" s="271"/>
      <c r="CR350" s="271"/>
      <c r="CS350" s="271">
        <v>19500000</v>
      </c>
      <c r="CT350" s="271"/>
      <c r="CU350" s="271"/>
      <c r="CV350" s="271"/>
      <c r="CW350" s="271"/>
      <c r="CX350" s="271"/>
      <c r="CY350" s="271"/>
      <c r="CZ350" s="271"/>
      <c r="DA350" s="271"/>
      <c r="DB350" s="271"/>
      <c r="DC350" s="271"/>
      <c r="DD350" s="234">
        <f t="shared" si="127"/>
        <v>19500000</v>
      </c>
      <c r="DE350" s="244">
        <f t="shared" si="128"/>
        <v>95000000</v>
      </c>
    </row>
    <row r="351" spans="1:110" s="98" customFormat="1" ht="96" customHeight="1">
      <c r="A351" s="103" t="s">
        <v>1237</v>
      </c>
      <c r="B351" s="279" t="s">
        <v>9</v>
      </c>
      <c r="C351" s="279" t="s">
        <v>1700</v>
      </c>
      <c r="D351" s="279">
        <v>27</v>
      </c>
      <c r="E351" s="279" t="s">
        <v>1101</v>
      </c>
      <c r="F351" s="280" t="s">
        <v>1102</v>
      </c>
      <c r="G351" s="279" t="s">
        <v>3425</v>
      </c>
      <c r="H351" s="279">
        <v>34</v>
      </c>
      <c r="I351" s="279" t="s">
        <v>394</v>
      </c>
      <c r="J351" s="279" t="s">
        <v>677</v>
      </c>
      <c r="K351" s="279">
        <v>60</v>
      </c>
      <c r="L351" s="279" t="s">
        <v>1103</v>
      </c>
      <c r="M351" s="279" t="s">
        <v>1121</v>
      </c>
      <c r="N351" s="279" t="s">
        <v>1120</v>
      </c>
      <c r="O351" s="279" t="s">
        <v>1122</v>
      </c>
      <c r="P351" s="283">
        <v>316</v>
      </c>
      <c r="Q351" s="279" t="s">
        <v>3528</v>
      </c>
      <c r="R351" s="279" t="s">
        <v>405</v>
      </c>
      <c r="S351" s="279" t="s">
        <v>683</v>
      </c>
      <c r="T351" s="279">
        <v>1</v>
      </c>
      <c r="U351" s="267"/>
      <c r="V351" s="267"/>
      <c r="W351" s="224">
        <v>0</v>
      </c>
      <c r="X351" s="267">
        <v>1</v>
      </c>
      <c r="Y351" s="267">
        <v>1</v>
      </c>
      <c r="Z351" s="267">
        <v>1</v>
      </c>
      <c r="AA351" s="267">
        <v>1</v>
      </c>
      <c r="AB351" s="224">
        <v>4</v>
      </c>
      <c r="AC351" s="267"/>
      <c r="AD351" s="267">
        <v>1</v>
      </c>
      <c r="AE351" s="267">
        <v>1</v>
      </c>
      <c r="AF351" s="267">
        <v>1</v>
      </c>
      <c r="AG351" s="224">
        <v>3</v>
      </c>
      <c r="AH351" s="267"/>
      <c r="AI351" s="267">
        <v>1</v>
      </c>
      <c r="AJ351" s="267">
        <v>1</v>
      </c>
      <c r="AK351" s="267">
        <v>1</v>
      </c>
      <c r="AL351" s="224">
        <v>3</v>
      </c>
      <c r="AM351" s="104">
        <v>10</v>
      </c>
      <c r="AN351" s="103" t="s">
        <v>685</v>
      </c>
      <c r="AO351" s="103" t="s">
        <v>617</v>
      </c>
      <c r="AP351" s="103" t="s">
        <v>1230</v>
      </c>
      <c r="AQ351" s="103" t="s">
        <v>1207</v>
      </c>
      <c r="AR351" s="103" t="s">
        <v>951</v>
      </c>
      <c r="AS351" s="271"/>
      <c r="AT351" s="271"/>
      <c r="AU351" s="271"/>
      <c r="AV351" s="271"/>
      <c r="AW351" s="271"/>
      <c r="AX351" s="271"/>
      <c r="AY351" s="271"/>
      <c r="AZ351" s="271"/>
      <c r="BA351" s="271"/>
      <c r="BB351" s="271"/>
      <c r="BC351" s="271"/>
      <c r="BD351" s="271"/>
      <c r="BE351" s="271"/>
      <c r="BF351" s="271"/>
      <c r="BG351" s="271"/>
      <c r="BH351" s="235">
        <f t="shared" si="124"/>
        <v>0</v>
      </c>
      <c r="BI351" s="271"/>
      <c r="BJ351" s="271"/>
      <c r="BK351" s="271"/>
      <c r="BL351" s="271"/>
      <c r="BM351" s="271">
        <v>4000000</v>
      </c>
      <c r="BN351" s="271"/>
      <c r="BO351" s="271"/>
      <c r="BP351" s="271"/>
      <c r="BQ351" s="271"/>
      <c r="BR351" s="271"/>
      <c r="BS351" s="271"/>
      <c r="BT351" s="271"/>
      <c r="BU351" s="271"/>
      <c r="BV351" s="271"/>
      <c r="BW351" s="271"/>
      <c r="BX351" s="235">
        <f t="shared" si="125"/>
        <v>4000000</v>
      </c>
      <c r="BY351" s="271"/>
      <c r="BZ351" s="271"/>
      <c r="CA351" s="271"/>
      <c r="CB351" s="271"/>
      <c r="CC351" s="271">
        <v>4000000</v>
      </c>
      <c r="CD351" s="271"/>
      <c r="CE351" s="271"/>
      <c r="CF351" s="271"/>
      <c r="CG351" s="271"/>
      <c r="CH351" s="271"/>
      <c r="CI351" s="271"/>
      <c r="CJ351" s="271"/>
      <c r="CK351" s="271"/>
      <c r="CL351" s="271"/>
      <c r="CM351" s="271"/>
      <c r="CN351" s="235">
        <f t="shared" si="126"/>
        <v>4000000</v>
      </c>
      <c r="CO351" s="271"/>
      <c r="CP351" s="271"/>
      <c r="CQ351" s="271"/>
      <c r="CR351" s="271"/>
      <c r="CS351" s="271">
        <v>4000000</v>
      </c>
      <c r="CT351" s="271"/>
      <c r="CU351" s="271"/>
      <c r="CV351" s="271"/>
      <c r="CW351" s="271"/>
      <c r="CX351" s="271"/>
      <c r="CY351" s="271"/>
      <c r="CZ351" s="271"/>
      <c r="DA351" s="271"/>
      <c r="DB351" s="271"/>
      <c r="DC351" s="271"/>
      <c r="DD351" s="234">
        <f t="shared" si="127"/>
        <v>4000000</v>
      </c>
      <c r="DE351" s="244">
        <f>SUM(DD351+CN351+BX351+BH351)</f>
        <v>12000000</v>
      </c>
    </row>
    <row r="352" spans="1:110" s="98" customFormat="1" ht="96" customHeight="1">
      <c r="A352" s="120" t="s">
        <v>1237</v>
      </c>
      <c r="B352" s="281" t="s">
        <v>9</v>
      </c>
      <c r="C352" s="281" t="s">
        <v>1700</v>
      </c>
      <c r="D352" s="281">
        <v>27</v>
      </c>
      <c r="E352" s="281" t="s">
        <v>1101</v>
      </c>
      <c r="F352" s="282" t="s">
        <v>1102</v>
      </c>
      <c r="G352" s="281" t="s">
        <v>3425</v>
      </c>
      <c r="H352" s="281">
        <v>34</v>
      </c>
      <c r="I352" s="281" t="s">
        <v>394</v>
      </c>
      <c r="J352" s="281" t="s">
        <v>677</v>
      </c>
      <c r="K352" s="281">
        <v>60</v>
      </c>
      <c r="L352" s="281" t="s">
        <v>1103</v>
      </c>
      <c r="M352" s="281" t="s">
        <v>1123</v>
      </c>
      <c r="N352" s="281" t="s">
        <v>1124</v>
      </c>
      <c r="O352" s="281" t="s">
        <v>406</v>
      </c>
      <c r="P352" s="283">
        <v>317</v>
      </c>
      <c r="Q352" s="281" t="s">
        <v>2806</v>
      </c>
      <c r="R352" s="281" t="s">
        <v>1125</v>
      </c>
      <c r="S352" s="281" t="s">
        <v>683</v>
      </c>
      <c r="T352" s="281">
        <v>0</v>
      </c>
      <c r="U352" s="275"/>
      <c r="V352" s="275"/>
      <c r="W352" s="225">
        <v>0</v>
      </c>
      <c r="X352" s="275"/>
      <c r="Y352" s="275">
        <v>1</v>
      </c>
      <c r="Z352" s="275"/>
      <c r="AA352" s="275"/>
      <c r="AB352" s="225">
        <v>1</v>
      </c>
      <c r="AC352" s="275"/>
      <c r="AD352" s="275">
        <v>1</v>
      </c>
      <c r="AE352" s="275"/>
      <c r="AF352" s="275"/>
      <c r="AG352" s="225">
        <v>1</v>
      </c>
      <c r="AH352" s="275"/>
      <c r="AI352" s="275">
        <v>1</v>
      </c>
      <c r="AJ352" s="275"/>
      <c r="AK352" s="275"/>
      <c r="AL352" s="225">
        <v>1</v>
      </c>
      <c r="AM352" s="119">
        <v>3</v>
      </c>
      <c r="AN352" s="120" t="s">
        <v>685</v>
      </c>
      <c r="AO352" s="120" t="s">
        <v>617</v>
      </c>
      <c r="AP352" s="120" t="s">
        <v>1230</v>
      </c>
      <c r="AQ352" s="120" t="s">
        <v>1207</v>
      </c>
      <c r="AR352" s="120" t="s">
        <v>951</v>
      </c>
      <c r="AS352" s="276"/>
      <c r="AT352" s="276"/>
      <c r="AU352" s="276"/>
      <c r="AV352" s="276"/>
      <c r="AW352" s="276"/>
      <c r="AX352" s="276"/>
      <c r="AY352" s="276"/>
      <c r="AZ352" s="276"/>
      <c r="BA352" s="276"/>
      <c r="BB352" s="276"/>
      <c r="BC352" s="276"/>
      <c r="BD352" s="276"/>
      <c r="BE352" s="276"/>
      <c r="BF352" s="276"/>
      <c r="BG352" s="276"/>
      <c r="BH352" s="236">
        <f t="shared" si="124"/>
        <v>0</v>
      </c>
      <c r="BI352" s="276"/>
      <c r="BJ352" s="276"/>
      <c r="BK352" s="276"/>
      <c r="BL352" s="276"/>
      <c r="BM352" s="276">
        <v>4000000</v>
      </c>
      <c r="BN352" s="276"/>
      <c r="BO352" s="276"/>
      <c r="BP352" s="276"/>
      <c r="BQ352" s="276"/>
      <c r="BR352" s="276"/>
      <c r="BS352" s="276"/>
      <c r="BT352" s="276"/>
      <c r="BU352" s="276"/>
      <c r="BV352" s="276"/>
      <c r="BW352" s="276"/>
      <c r="BX352" s="236">
        <f t="shared" si="125"/>
        <v>4000000</v>
      </c>
      <c r="BY352" s="276"/>
      <c r="BZ352" s="276"/>
      <c r="CA352" s="276"/>
      <c r="CB352" s="276"/>
      <c r="CC352" s="276">
        <v>4000000</v>
      </c>
      <c r="CD352" s="276"/>
      <c r="CE352" s="276"/>
      <c r="CF352" s="276"/>
      <c r="CG352" s="276"/>
      <c r="CH352" s="276"/>
      <c r="CI352" s="276"/>
      <c r="CJ352" s="276"/>
      <c r="CK352" s="276"/>
      <c r="CL352" s="276"/>
      <c r="CM352" s="276"/>
      <c r="CN352" s="236">
        <f t="shared" si="126"/>
        <v>4000000</v>
      </c>
      <c r="CO352" s="276"/>
      <c r="CP352" s="276"/>
      <c r="CQ352" s="276"/>
      <c r="CR352" s="276"/>
      <c r="CS352" s="276">
        <v>4000000</v>
      </c>
      <c r="CT352" s="276"/>
      <c r="CU352" s="276"/>
      <c r="CV352" s="276"/>
      <c r="CW352" s="276"/>
      <c r="CX352" s="276"/>
      <c r="CY352" s="276"/>
      <c r="CZ352" s="276"/>
      <c r="DA352" s="276"/>
      <c r="DB352" s="276"/>
      <c r="DC352" s="276"/>
      <c r="DD352" s="240">
        <f t="shared" si="127"/>
        <v>4000000</v>
      </c>
      <c r="DE352" s="245">
        <f>SUM(DD352+CN352+BX352+BH352)</f>
        <v>12000000</v>
      </c>
    </row>
    <row r="353" spans="1:110" ht="65.099999999999994" customHeight="1">
      <c r="A353" s="134" t="s">
        <v>1237</v>
      </c>
      <c r="B353" s="134" t="s">
        <v>9</v>
      </c>
      <c r="C353" s="134" t="s">
        <v>1700</v>
      </c>
      <c r="D353" s="134">
        <v>27</v>
      </c>
      <c r="E353" s="134" t="s">
        <v>1101</v>
      </c>
      <c r="F353" s="135"/>
      <c r="G353" s="136"/>
      <c r="H353" s="137"/>
      <c r="I353" s="137"/>
      <c r="J353" s="137"/>
      <c r="K353" s="138"/>
      <c r="L353" s="137"/>
      <c r="M353" s="137"/>
      <c r="N353" s="137"/>
      <c r="O353" s="137"/>
      <c r="P353" s="137"/>
      <c r="Q353" s="136"/>
      <c r="R353" s="139"/>
      <c r="S353" s="137"/>
      <c r="T353" s="137"/>
      <c r="U353" s="140"/>
      <c r="V353" s="140"/>
      <c r="W353" s="138"/>
      <c r="X353" s="140"/>
      <c r="Y353" s="140"/>
      <c r="Z353" s="140"/>
      <c r="AA353" s="140"/>
      <c r="AB353" s="138"/>
      <c r="AC353" s="140"/>
      <c r="AD353" s="140"/>
      <c r="AE353" s="140"/>
      <c r="AF353" s="140"/>
      <c r="AG353" s="138"/>
      <c r="AH353" s="140"/>
      <c r="AI353" s="140"/>
      <c r="AJ353" s="140"/>
      <c r="AK353" s="140"/>
      <c r="AL353" s="138"/>
      <c r="AM353" s="141"/>
      <c r="AN353" s="142"/>
      <c r="AO353" s="142"/>
      <c r="AP353" s="143"/>
      <c r="AQ353" s="143"/>
      <c r="AR353" s="144"/>
      <c r="AS353" s="132">
        <f>SUM(AS340:AS352)</f>
        <v>0</v>
      </c>
      <c r="AT353" s="132">
        <f t="shared" ref="AT353:DC353" si="129">SUM(AT340:AT352)</f>
        <v>0</v>
      </c>
      <c r="AU353" s="132">
        <f t="shared" si="129"/>
        <v>0</v>
      </c>
      <c r="AV353" s="132">
        <f t="shared" si="129"/>
        <v>0</v>
      </c>
      <c r="AW353" s="132">
        <f t="shared" si="129"/>
        <v>100000000</v>
      </c>
      <c r="AX353" s="132">
        <f t="shared" si="129"/>
        <v>0</v>
      </c>
      <c r="AY353" s="132">
        <f t="shared" si="129"/>
        <v>0</v>
      </c>
      <c r="AZ353" s="132">
        <f t="shared" si="129"/>
        <v>0</v>
      </c>
      <c r="BA353" s="132">
        <f t="shared" si="129"/>
        <v>0</v>
      </c>
      <c r="BB353" s="132">
        <f t="shared" si="129"/>
        <v>0</v>
      </c>
      <c r="BC353" s="132">
        <f t="shared" si="129"/>
        <v>0</v>
      </c>
      <c r="BD353" s="132">
        <f t="shared" si="129"/>
        <v>0</v>
      </c>
      <c r="BE353" s="132">
        <f t="shared" si="129"/>
        <v>0</v>
      </c>
      <c r="BF353" s="132">
        <f t="shared" si="129"/>
        <v>0</v>
      </c>
      <c r="BG353" s="132">
        <f t="shared" si="129"/>
        <v>0</v>
      </c>
      <c r="BH353" s="133">
        <f>IF(OR(AND(BH340=0,W340&lt;&gt;0),AND(BH341=0,W341&lt;&gt;0),AND(BH342=0,W342&lt;&gt;0),AND(BH343=0,W343&lt;&gt;0),AND(BH344=0,W344&lt;&gt;0),AND(BH345=0,W345&lt;&gt;0),AND(BH346=0,W346&lt;&gt;0),AND(BH347=0,W347&lt;&gt;0),AND(BH348=0,W348&lt;&gt;0),AND(BH349=0,W349&lt;&gt;0),AND(BH350=0,W350&lt;&gt;0),AND(BH351=0,W351&lt;&gt;0),AND(BH352=0,W352&lt;&gt;0)),"NO DEBEN QUEDAR CELDAS EN ROJO",SUM(BH340:BH352))</f>
        <v>100000000</v>
      </c>
      <c r="BI353" s="132">
        <f t="shared" si="129"/>
        <v>0</v>
      </c>
      <c r="BJ353" s="132">
        <f t="shared" si="129"/>
        <v>0</v>
      </c>
      <c r="BK353" s="132">
        <f t="shared" si="129"/>
        <v>0</v>
      </c>
      <c r="BL353" s="132">
        <f t="shared" si="129"/>
        <v>0</v>
      </c>
      <c r="BM353" s="132">
        <f t="shared" si="129"/>
        <v>100000000</v>
      </c>
      <c r="BN353" s="132">
        <f t="shared" si="129"/>
        <v>0</v>
      </c>
      <c r="BO353" s="132">
        <f t="shared" si="129"/>
        <v>0</v>
      </c>
      <c r="BP353" s="132">
        <f t="shared" si="129"/>
        <v>0</v>
      </c>
      <c r="BQ353" s="132">
        <f t="shared" si="129"/>
        <v>0</v>
      </c>
      <c r="BR353" s="132">
        <f t="shared" si="129"/>
        <v>0</v>
      </c>
      <c r="BS353" s="132">
        <f t="shared" si="129"/>
        <v>0</v>
      </c>
      <c r="BT353" s="132">
        <f t="shared" si="129"/>
        <v>0</v>
      </c>
      <c r="BU353" s="132">
        <f t="shared" si="129"/>
        <v>0</v>
      </c>
      <c r="BV353" s="132">
        <f t="shared" si="129"/>
        <v>0</v>
      </c>
      <c r="BW353" s="132">
        <f t="shared" si="129"/>
        <v>0</v>
      </c>
      <c r="BX353" s="133">
        <f>IF(OR(AND(BX340=0,AB340&lt;&gt;0),AND(BX341=0,AB341&lt;&gt;0),AND(BX342=0,AB342&lt;&gt;0),AND(BX343=0,AB343&lt;&gt;0),AND(BX344=0,AB344&lt;&gt;0),AND(BX345=0,AB345&lt;&gt;0),AND(BX346=0,AB346&lt;&gt;0),AND(BX347=0,AB347&lt;&gt;0),AND(BX348=0,AB348&lt;&gt;0),AND(BX349=0,AB349&lt;&gt;0),AND(BX350=0,AB350&lt;&gt;0),AND(BX351=0,AB351&lt;&gt;0),AND(BX352=0,AB352&lt;&gt;0)),"NO DEBEN QUEDAR CELDAS EN ROJO",SUM(BX340:BX352))</f>
        <v>100000000</v>
      </c>
      <c r="BY353" s="132">
        <f t="shared" si="129"/>
        <v>0</v>
      </c>
      <c r="BZ353" s="132">
        <f t="shared" si="129"/>
        <v>0</v>
      </c>
      <c r="CA353" s="132">
        <f t="shared" si="129"/>
        <v>0</v>
      </c>
      <c r="CB353" s="132">
        <f t="shared" si="129"/>
        <v>0</v>
      </c>
      <c r="CC353" s="132">
        <f t="shared" si="129"/>
        <v>100000000</v>
      </c>
      <c r="CD353" s="132">
        <f t="shared" si="129"/>
        <v>0</v>
      </c>
      <c r="CE353" s="132">
        <f t="shared" si="129"/>
        <v>0</v>
      </c>
      <c r="CF353" s="132">
        <f t="shared" si="129"/>
        <v>0</v>
      </c>
      <c r="CG353" s="132">
        <f t="shared" si="129"/>
        <v>0</v>
      </c>
      <c r="CH353" s="132">
        <f t="shared" si="129"/>
        <v>0</v>
      </c>
      <c r="CI353" s="132">
        <f t="shared" si="129"/>
        <v>0</v>
      </c>
      <c r="CJ353" s="132">
        <f t="shared" si="129"/>
        <v>0</v>
      </c>
      <c r="CK353" s="132">
        <f t="shared" si="129"/>
        <v>0</v>
      </c>
      <c r="CL353" s="132">
        <f t="shared" si="129"/>
        <v>0</v>
      </c>
      <c r="CM353" s="132">
        <f t="shared" si="129"/>
        <v>0</v>
      </c>
      <c r="CN353" s="133">
        <f>IF(OR(AND(CN340=0,AG340&lt;&gt;0),AND(CN341=0,AG341&lt;&gt;0),AND(CN342=0,AG342&lt;&gt;0),AND(CN343=0,AG343&lt;&gt;0),AND(CN344=0,AG344&lt;&gt;0),AND(CN345=0,AG345&lt;&gt;0),AND(CN346=0,AG346&lt;&gt;0),AND(CN347=0,AG347&lt;&gt;0),AND(CN348=0,AG348&lt;&gt;0),AND(CN349=0,AG349&lt;&gt;0),AND(CN350=0,AG350&lt;&gt;0),AND(CN351=0,AG351&lt;&gt;0),AND(CN352=0,AG352&lt;&gt;0)),"NO DEBEN QUEDAR CELDAS EN ROJO",SUM(CN340:CN352))</f>
        <v>100000000</v>
      </c>
      <c r="CO353" s="132">
        <f t="shared" si="129"/>
        <v>0</v>
      </c>
      <c r="CP353" s="132">
        <f t="shared" si="129"/>
        <v>0</v>
      </c>
      <c r="CQ353" s="132">
        <f t="shared" si="129"/>
        <v>0</v>
      </c>
      <c r="CR353" s="132">
        <f t="shared" si="129"/>
        <v>0</v>
      </c>
      <c r="CS353" s="132">
        <f t="shared" si="129"/>
        <v>100000000</v>
      </c>
      <c r="CT353" s="132">
        <f t="shared" si="129"/>
        <v>0</v>
      </c>
      <c r="CU353" s="132">
        <f t="shared" si="129"/>
        <v>0</v>
      </c>
      <c r="CV353" s="132">
        <f t="shared" si="129"/>
        <v>0</v>
      </c>
      <c r="CW353" s="132">
        <f t="shared" si="129"/>
        <v>0</v>
      </c>
      <c r="CX353" s="132">
        <f t="shared" si="129"/>
        <v>0</v>
      </c>
      <c r="CY353" s="132">
        <f t="shared" si="129"/>
        <v>0</v>
      </c>
      <c r="CZ353" s="132">
        <f t="shared" si="129"/>
        <v>0</v>
      </c>
      <c r="DA353" s="132">
        <f t="shared" si="129"/>
        <v>0</v>
      </c>
      <c r="DB353" s="132">
        <f t="shared" si="129"/>
        <v>0</v>
      </c>
      <c r="DC353" s="132">
        <f t="shared" si="129"/>
        <v>0</v>
      </c>
      <c r="DD353" s="133">
        <f>IF(OR(AND(DD340=0,AL340&lt;&gt;0),AND(DD341=0,AL341&lt;&gt;0),AND(DD342=0,AL342&lt;&gt;0),AND(DD343=0,AL343&lt;&gt;0),AND(DD344=0,AL344&lt;&gt;0),AND(DD345=0,AL345&lt;&gt;0),AND(DD346=0,AL346&lt;&gt;0),AND(DD347=0,AL347&lt;&gt;0),AND(DD348=0,AL348&lt;&gt;0),AND(DD349=0,AL349&lt;&gt;0),AND(DD350=0,AL350&lt;&gt;0),AND(DD351=0,AL351&lt;&gt;0),AND(DD352=0,AL352&lt;&gt;0)),"NO DEBEN QUEDAR CELDAS EN ROJO",SUM(DD340:DD352))</f>
        <v>100000000</v>
      </c>
      <c r="DE353" s="133">
        <f>SUM(DE340:DE352)</f>
        <v>400000000</v>
      </c>
      <c r="DF353" s="101"/>
    </row>
    <row r="354" spans="1:110" s="98" customFormat="1" ht="79.05" customHeight="1">
      <c r="A354" s="103" t="s">
        <v>1237</v>
      </c>
      <c r="B354" s="103" t="s">
        <v>9</v>
      </c>
      <c r="C354" s="103" t="s">
        <v>1700</v>
      </c>
      <c r="D354" s="103">
        <v>28</v>
      </c>
      <c r="E354" s="103" t="s">
        <v>1126</v>
      </c>
      <c r="F354" s="278" t="s">
        <v>1127</v>
      </c>
      <c r="G354" s="103" t="s">
        <v>2807</v>
      </c>
      <c r="H354" s="103">
        <v>35</v>
      </c>
      <c r="I354" s="103" t="s">
        <v>1128</v>
      </c>
      <c r="J354" s="103" t="s">
        <v>683</v>
      </c>
      <c r="K354" s="103">
        <v>0</v>
      </c>
      <c r="L354" s="103">
        <v>1</v>
      </c>
      <c r="M354" s="103" t="s">
        <v>1129</v>
      </c>
      <c r="N354" s="103" t="s">
        <v>1130</v>
      </c>
      <c r="O354" s="103" t="s">
        <v>1131</v>
      </c>
      <c r="P354" s="283">
        <v>318</v>
      </c>
      <c r="Q354" s="103" t="s">
        <v>2808</v>
      </c>
      <c r="R354" s="103" t="s">
        <v>1132</v>
      </c>
      <c r="S354" s="103" t="s">
        <v>683</v>
      </c>
      <c r="T354" s="103">
        <v>0</v>
      </c>
      <c r="U354" s="267"/>
      <c r="V354" s="267">
        <v>0.5</v>
      </c>
      <c r="W354" s="224">
        <v>0.5</v>
      </c>
      <c r="X354" s="267"/>
      <c r="Y354" s="267"/>
      <c r="Z354" s="267">
        <v>0.5</v>
      </c>
      <c r="AA354" s="267"/>
      <c r="AB354" s="224">
        <v>0.5</v>
      </c>
      <c r="AC354" s="267"/>
      <c r="AD354" s="267"/>
      <c r="AE354" s="267"/>
      <c r="AF354" s="267"/>
      <c r="AG354" s="224">
        <v>0</v>
      </c>
      <c r="AH354" s="267"/>
      <c r="AI354" s="267"/>
      <c r="AJ354" s="267"/>
      <c r="AK354" s="267"/>
      <c r="AL354" s="224">
        <v>0</v>
      </c>
      <c r="AM354" s="102">
        <v>1</v>
      </c>
      <c r="AN354" s="103" t="s">
        <v>685</v>
      </c>
      <c r="AO354" s="103" t="s">
        <v>617</v>
      </c>
      <c r="AP354" s="103" t="s">
        <v>1230</v>
      </c>
      <c r="AQ354" s="103" t="s">
        <v>1207</v>
      </c>
      <c r="AR354" s="103" t="s">
        <v>951</v>
      </c>
      <c r="AS354" s="268"/>
      <c r="AT354" s="268"/>
      <c r="AU354" s="268"/>
      <c r="AV354" s="268"/>
      <c r="AW354" s="268">
        <v>3000000</v>
      </c>
      <c r="AX354" s="268"/>
      <c r="AY354" s="268"/>
      <c r="AZ354" s="268"/>
      <c r="BA354" s="268"/>
      <c r="BB354" s="268"/>
      <c r="BC354" s="268"/>
      <c r="BD354" s="268"/>
      <c r="BE354" s="268"/>
      <c r="BF354" s="268"/>
      <c r="BG354" s="268"/>
      <c r="BH354" s="234">
        <f>IF(W354=0,0,BG354+BF354+BE354+BD354+BC354+BB354+BA354+AZ354+AY354+AX354+AW354+AV354+AU354+AT354+AS354)</f>
        <v>3000000</v>
      </c>
      <c r="BI354" s="268"/>
      <c r="BJ354" s="268"/>
      <c r="BK354" s="268"/>
      <c r="BL354" s="268"/>
      <c r="BM354" s="268">
        <v>825000</v>
      </c>
      <c r="BN354" s="268"/>
      <c r="BO354" s="268"/>
      <c r="BP354" s="268"/>
      <c r="BQ354" s="268"/>
      <c r="BR354" s="268"/>
      <c r="BS354" s="268"/>
      <c r="BT354" s="268"/>
      <c r="BU354" s="268"/>
      <c r="BV354" s="268"/>
      <c r="BW354" s="268"/>
      <c r="BX354" s="234">
        <f>IF(AB354=0,0,BI354+BJ354+BK354+BL354+BM354+BN354+BO354+BP354+BQ354+BR354+BS354+BT354+BU354+BV354+BW354)</f>
        <v>825000</v>
      </c>
      <c r="BY354" s="268"/>
      <c r="BZ354" s="268"/>
      <c r="CA354" s="268"/>
      <c r="CB354" s="268"/>
      <c r="CC354" s="268"/>
      <c r="CD354" s="268"/>
      <c r="CE354" s="268"/>
      <c r="CF354" s="268"/>
      <c r="CG354" s="268"/>
      <c r="CH354" s="268"/>
      <c r="CI354" s="268"/>
      <c r="CJ354" s="268"/>
      <c r="CK354" s="268"/>
      <c r="CL354" s="268"/>
      <c r="CM354" s="268"/>
      <c r="CN354" s="234">
        <f>IF(AG354=0,0,(BY354+BZ354+CA354+CB354+CC354+CD354+CE354+CF354+CG354+CH354+CI354+CJ354+CK354+CL354+CM354))</f>
        <v>0</v>
      </c>
      <c r="CO354" s="268"/>
      <c r="CP354" s="268"/>
      <c r="CQ354" s="268"/>
      <c r="CR354" s="268"/>
      <c r="CS354" s="268"/>
      <c r="CT354" s="268"/>
      <c r="CU354" s="268"/>
      <c r="CV354" s="268"/>
      <c r="CW354" s="268"/>
      <c r="CX354" s="268"/>
      <c r="CY354" s="268"/>
      <c r="CZ354" s="268"/>
      <c r="DA354" s="268"/>
      <c r="DB354" s="268"/>
      <c r="DC354" s="268"/>
      <c r="DD354" s="234">
        <f>IF(AL354=0,0,(CO354+CP354+CQ354+CR354+CS354+CT354+CU354+CV354+CW354+CX354+CY354+CZ354+DA354+DB354+DC354))</f>
        <v>0</v>
      </c>
      <c r="DE354" s="243">
        <f>SUM(DD354+CN354+BX354+BH354)</f>
        <v>3825000</v>
      </c>
    </row>
    <row r="355" spans="1:110" s="98" customFormat="1" ht="79.05" customHeight="1">
      <c r="A355" s="103" t="s">
        <v>1237</v>
      </c>
      <c r="B355" s="279" t="s">
        <v>9</v>
      </c>
      <c r="C355" s="279" t="s">
        <v>1700</v>
      </c>
      <c r="D355" s="279">
        <v>28</v>
      </c>
      <c r="E355" s="279" t="s">
        <v>1126</v>
      </c>
      <c r="F355" s="280" t="s">
        <v>1127</v>
      </c>
      <c r="G355" s="279" t="s">
        <v>2807</v>
      </c>
      <c r="H355" s="279">
        <v>35</v>
      </c>
      <c r="I355" s="279" t="s">
        <v>1128</v>
      </c>
      <c r="J355" s="279" t="s">
        <v>683</v>
      </c>
      <c r="K355" s="279">
        <v>0</v>
      </c>
      <c r="L355" s="279">
        <v>1</v>
      </c>
      <c r="M355" s="279" t="s">
        <v>1133</v>
      </c>
      <c r="N355" s="279" t="s">
        <v>1134</v>
      </c>
      <c r="O355" s="279" t="s">
        <v>1135</v>
      </c>
      <c r="P355" s="283">
        <v>319</v>
      </c>
      <c r="Q355" s="279" t="s">
        <v>2809</v>
      </c>
      <c r="R355" s="279" t="s">
        <v>407</v>
      </c>
      <c r="S355" s="279" t="s">
        <v>683</v>
      </c>
      <c r="T355" s="279">
        <v>0</v>
      </c>
      <c r="U355" s="267"/>
      <c r="V355" s="267"/>
      <c r="W355" s="224">
        <v>0</v>
      </c>
      <c r="X355" s="267"/>
      <c r="Y355" s="267"/>
      <c r="Z355" s="267">
        <v>3</v>
      </c>
      <c r="AA355" s="267"/>
      <c r="AB355" s="224">
        <v>3</v>
      </c>
      <c r="AC355" s="267"/>
      <c r="AD355" s="267"/>
      <c r="AE355" s="267">
        <v>5</v>
      </c>
      <c r="AF355" s="267"/>
      <c r="AG355" s="224">
        <v>5</v>
      </c>
      <c r="AH355" s="267"/>
      <c r="AI355" s="267">
        <v>2</v>
      </c>
      <c r="AJ355" s="267"/>
      <c r="AK355" s="267"/>
      <c r="AL355" s="224">
        <v>2</v>
      </c>
      <c r="AM355" s="104">
        <v>10</v>
      </c>
      <c r="AN355" s="103" t="s">
        <v>685</v>
      </c>
      <c r="AO355" s="103" t="s">
        <v>617</v>
      </c>
      <c r="AP355" s="103" t="s">
        <v>1230</v>
      </c>
      <c r="AQ355" s="103" t="s">
        <v>1207</v>
      </c>
      <c r="AR355" s="103" t="s">
        <v>951</v>
      </c>
      <c r="AS355" s="271"/>
      <c r="AT355" s="271"/>
      <c r="AU355" s="271"/>
      <c r="AV355" s="271"/>
      <c r="AW355" s="271"/>
      <c r="AX355" s="271"/>
      <c r="AY355" s="271"/>
      <c r="AZ355" s="271"/>
      <c r="BA355" s="271"/>
      <c r="BB355" s="271"/>
      <c r="BC355" s="271"/>
      <c r="BD355" s="271"/>
      <c r="BE355" s="271"/>
      <c r="BF355" s="271"/>
      <c r="BG355" s="271"/>
      <c r="BH355" s="235">
        <f>IF(W355=0,0,BG355+BF355+BE355+BD355+BC355+BB355+BA355+AZ355+AY355+AX355+AW355+AV355+AU355+AT355+AS355)</f>
        <v>0</v>
      </c>
      <c r="BI355" s="271"/>
      <c r="BJ355" s="271"/>
      <c r="BK355" s="271"/>
      <c r="BL355" s="271"/>
      <c r="BM355" s="271">
        <v>2000000</v>
      </c>
      <c r="BN355" s="271"/>
      <c r="BO355" s="271"/>
      <c r="BP355" s="271"/>
      <c r="BQ355" s="271"/>
      <c r="BR355" s="271"/>
      <c r="BS355" s="271"/>
      <c r="BT355" s="271"/>
      <c r="BU355" s="271"/>
      <c r="BV355" s="271"/>
      <c r="BW355" s="271"/>
      <c r="BX355" s="235">
        <f>IF(AB355=0,0,BI355+BJ355+BK355+BL355+BM355+BN355+BO355+BP355+BQ355+BR355+BS355+BT355+BU355+BV355+BW355)</f>
        <v>2000000</v>
      </c>
      <c r="BY355" s="271"/>
      <c r="BZ355" s="271"/>
      <c r="CA355" s="271"/>
      <c r="CB355" s="271"/>
      <c r="CC355" s="271">
        <v>20000000</v>
      </c>
      <c r="CD355" s="271"/>
      <c r="CE355" s="271"/>
      <c r="CF355" s="271"/>
      <c r="CG355" s="271"/>
      <c r="CH355" s="271"/>
      <c r="CI355" s="271"/>
      <c r="CJ355" s="271"/>
      <c r="CK355" s="271"/>
      <c r="CL355" s="271"/>
      <c r="CM355" s="271"/>
      <c r="CN355" s="235">
        <f>IF(AG355=0,0,(BY355+BZ355+CA355+CB355+CC355+CD355+CE355+CF355+CG355+CH355+CI355+CJ355+CK355+CL355+CM355))</f>
        <v>20000000</v>
      </c>
      <c r="CO355" s="271"/>
      <c r="CP355" s="271"/>
      <c r="CQ355" s="271"/>
      <c r="CR355" s="271"/>
      <c r="CS355" s="271">
        <v>20000000</v>
      </c>
      <c r="CT355" s="271"/>
      <c r="CU355" s="271"/>
      <c r="CV355" s="271"/>
      <c r="CW355" s="271"/>
      <c r="CX355" s="271"/>
      <c r="CY355" s="271"/>
      <c r="CZ355" s="271"/>
      <c r="DA355" s="271"/>
      <c r="DB355" s="271"/>
      <c r="DC355" s="271"/>
      <c r="DD355" s="234">
        <f>IF(AL355=0,0,(CO355+CP355+CQ355+CR355+CS355+CT355+CU355+CV355+CW355+CX355+CY355+CZ355+DA355+DB355+DC355))</f>
        <v>20000000</v>
      </c>
      <c r="DE355" s="244">
        <f>SUM(DD355+CN355+BX355+BH355)</f>
        <v>42000000</v>
      </c>
    </row>
    <row r="356" spans="1:110" s="98" customFormat="1" ht="79.05" customHeight="1">
      <c r="A356" s="120" t="s">
        <v>1237</v>
      </c>
      <c r="B356" s="281" t="s">
        <v>9</v>
      </c>
      <c r="C356" s="281" t="s">
        <v>1700</v>
      </c>
      <c r="D356" s="281">
        <v>28</v>
      </c>
      <c r="E356" s="281" t="s">
        <v>1126</v>
      </c>
      <c r="F356" s="282" t="s">
        <v>1127</v>
      </c>
      <c r="G356" s="281" t="s">
        <v>2807</v>
      </c>
      <c r="H356" s="281">
        <v>35</v>
      </c>
      <c r="I356" s="281" t="s">
        <v>1128</v>
      </c>
      <c r="J356" s="281" t="s">
        <v>683</v>
      </c>
      <c r="K356" s="281">
        <v>0</v>
      </c>
      <c r="L356" s="281">
        <v>1</v>
      </c>
      <c r="M356" s="281" t="s">
        <v>1133</v>
      </c>
      <c r="N356" s="281" t="s">
        <v>1134</v>
      </c>
      <c r="O356" s="281" t="s">
        <v>1135</v>
      </c>
      <c r="P356" s="284">
        <v>320</v>
      </c>
      <c r="Q356" s="281" t="s">
        <v>3529</v>
      </c>
      <c r="R356" s="281" t="s">
        <v>408</v>
      </c>
      <c r="S356" s="281" t="s">
        <v>683</v>
      </c>
      <c r="T356" s="281">
        <v>0</v>
      </c>
      <c r="U356" s="275"/>
      <c r="V356" s="275"/>
      <c r="W356" s="225">
        <v>0</v>
      </c>
      <c r="X356" s="275"/>
      <c r="Y356" s="275">
        <v>1</v>
      </c>
      <c r="Z356" s="275"/>
      <c r="AA356" s="275"/>
      <c r="AB356" s="225">
        <v>1</v>
      </c>
      <c r="AC356" s="275"/>
      <c r="AD356" s="275"/>
      <c r="AE356" s="275"/>
      <c r="AF356" s="275"/>
      <c r="AG356" s="225">
        <v>0</v>
      </c>
      <c r="AH356" s="275"/>
      <c r="AI356" s="275"/>
      <c r="AJ356" s="275"/>
      <c r="AK356" s="275"/>
      <c r="AL356" s="225">
        <v>0</v>
      </c>
      <c r="AM356" s="119">
        <v>1</v>
      </c>
      <c r="AN356" s="120" t="s">
        <v>685</v>
      </c>
      <c r="AO356" s="120" t="s">
        <v>617</v>
      </c>
      <c r="AP356" s="120" t="s">
        <v>1230</v>
      </c>
      <c r="AQ356" s="120" t="s">
        <v>1207</v>
      </c>
      <c r="AR356" s="120" t="s">
        <v>951</v>
      </c>
      <c r="AS356" s="276"/>
      <c r="AT356" s="276"/>
      <c r="AU356" s="276"/>
      <c r="AV356" s="276"/>
      <c r="AW356" s="276"/>
      <c r="AX356" s="276"/>
      <c r="AY356" s="276"/>
      <c r="AZ356" s="276"/>
      <c r="BA356" s="276"/>
      <c r="BB356" s="276"/>
      <c r="BC356" s="276"/>
      <c r="BD356" s="276"/>
      <c r="BE356" s="276"/>
      <c r="BF356" s="276"/>
      <c r="BG356" s="276"/>
      <c r="BH356" s="236">
        <f>IF(W356=0,0,BG356+BF356+BE356+BD356+BC356+BB356+BA356+AZ356+AY356+AX356+AW356+AV356+AU356+AT356+AS356)</f>
        <v>0</v>
      </c>
      <c r="BI356" s="276"/>
      <c r="BJ356" s="276"/>
      <c r="BK356" s="276"/>
      <c r="BL356" s="276"/>
      <c r="BM356" s="276">
        <v>200000</v>
      </c>
      <c r="BN356" s="276"/>
      <c r="BO356" s="276"/>
      <c r="BP356" s="276"/>
      <c r="BQ356" s="276"/>
      <c r="BR356" s="276"/>
      <c r="BS356" s="276"/>
      <c r="BT356" s="276"/>
      <c r="BU356" s="276"/>
      <c r="BV356" s="276"/>
      <c r="BW356" s="276"/>
      <c r="BX356" s="236">
        <f>IF(AB356=0,0,BI356+BJ356+BK356+BL356+BM356+BN356+BO356+BP356+BQ356+BR356+BS356+BT356+BU356+BV356+BW356)</f>
        <v>200000</v>
      </c>
      <c r="BY356" s="276"/>
      <c r="BZ356" s="276"/>
      <c r="CA356" s="276"/>
      <c r="CB356" s="276"/>
      <c r="CC356" s="276"/>
      <c r="CD356" s="276"/>
      <c r="CE356" s="276"/>
      <c r="CF356" s="276"/>
      <c r="CG356" s="276"/>
      <c r="CH356" s="276"/>
      <c r="CI356" s="276"/>
      <c r="CJ356" s="276"/>
      <c r="CK356" s="276"/>
      <c r="CL356" s="276"/>
      <c r="CM356" s="276"/>
      <c r="CN356" s="236">
        <f>IF(AG356=0,0,(BY356+BZ356+CA356+CB356+CC356+CD356+CE356+CF356+CG356+CH356+CI356+CJ356+CK356+CL356+CM356))</f>
        <v>0</v>
      </c>
      <c r="CO356" s="276"/>
      <c r="CP356" s="276"/>
      <c r="CQ356" s="276"/>
      <c r="CR356" s="276"/>
      <c r="CS356" s="276"/>
      <c r="CT356" s="276"/>
      <c r="CU356" s="276"/>
      <c r="CV356" s="276"/>
      <c r="CW356" s="276"/>
      <c r="CX356" s="276"/>
      <c r="CY356" s="276"/>
      <c r="CZ356" s="276"/>
      <c r="DA356" s="276"/>
      <c r="DB356" s="276"/>
      <c r="DC356" s="276"/>
      <c r="DD356" s="240">
        <f>IF(AL356=0,0,(CO356+CP356+CQ356+CR356+CS356+CT356+CU356+CV356+CW356+CX356+CY356+CZ356+DA356+DB356+DC356))</f>
        <v>0</v>
      </c>
      <c r="DE356" s="245">
        <f>SUM(DD356+CN356+BX356+BH356)</f>
        <v>200000</v>
      </c>
    </row>
    <row r="357" spans="1:110" ht="65.099999999999994" customHeight="1">
      <c r="A357" s="134" t="s">
        <v>1237</v>
      </c>
      <c r="B357" s="134" t="s">
        <v>9</v>
      </c>
      <c r="C357" s="134" t="s">
        <v>1700</v>
      </c>
      <c r="D357" s="134">
        <v>28</v>
      </c>
      <c r="E357" s="134" t="s">
        <v>1126</v>
      </c>
      <c r="F357" s="135"/>
      <c r="G357" s="136"/>
      <c r="H357" s="137"/>
      <c r="I357" s="137"/>
      <c r="J357" s="137"/>
      <c r="K357" s="138"/>
      <c r="L357" s="137"/>
      <c r="M357" s="137"/>
      <c r="N357" s="137"/>
      <c r="O357" s="137"/>
      <c r="P357" s="137"/>
      <c r="Q357" s="136"/>
      <c r="R357" s="139"/>
      <c r="S357" s="137"/>
      <c r="T357" s="137"/>
      <c r="U357" s="140"/>
      <c r="V357" s="140"/>
      <c r="W357" s="138"/>
      <c r="X357" s="140"/>
      <c r="Y357" s="140"/>
      <c r="Z357" s="140"/>
      <c r="AA357" s="140"/>
      <c r="AB357" s="138"/>
      <c r="AC357" s="140"/>
      <c r="AD357" s="140"/>
      <c r="AE357" s="140"/>
      <c r="AF357" s="140"/>
      <c r="AG357" s="138"/>
      <c r="AH357" s="140"/>
      <c r="AI357" s="140"/>
      <c r="AJ357" s="140"/>
      <c r="AK357" s="140"/>
      <c r="AL357" s="138"/>
      <c r="AM357" s="141"/>
      <c r="AN357" s="142"/>
      <c r="AO357" s="142"/>
      <c r="AP357" s="143"/>
      <c r="AQ357" s="143"/>
      <c r="AR357" s="144"/>
      <c r="AS357" s="132">
        <f>SUM(AS354:AS356)</f>
        <v>0</v>
      </c>
      <c r="AT357" s="132">
        <f t="shared" ref="AT357:DE357" si="130">SUM(AT354:AT356)</f>
        <v>0</v>
      </c>
      <c r="AU357" s="132">
        <f t="shared" si="130"/>
        <v>0</v>
      </c>
      <c r="AV357" s="132">
        <f t="shared" si="130"/>
        <v>0</v>
      </c>
      <c r="AW357" s="132">
        <f t="shared" si="130"/>
        <v>3000000</v>
      </c>
      <c r="AX357" s="132">
        <f t="shared" si="130"/>
        <v>0</v>
      </c>
      <c r="AY357" s="132">
        <f t="shared" si="130"/>
        <v>0</v>
      </c>
      <c r="AZ357" s="132">
        <f t="shared" si="130"/>
        <v>0</v>
      </c>
      <c r="BA357" s="132">
        <f t="shared" si="130"/>
        <v>0</v>
      </c>
      <c r="BB357" s="132">
        <f t="shared" si="130"/>
        <v>0</v>
      </c>
      <c r="BC357" s="132">
        <f t="shared" si="130"/>
        <v>0</v>
      </c>
      <c r="BD357" s="132">
        <f t="shared" si="130"/>
        <v>0</v>
      </c>
      <c r="BE357" s="132">
        <f t="shared" si="130"/>
        <v>0</v>
      </c>
      <c r="BF357" s="132">
        <f t="shared" si="130"/>
        <v>0</v>
      </c>
      <c r="BG357" s="132">
        <f t="shared" si="130"/>
        <v>0</v>
      </c>
      <c r="BH357" s="133">
        <f>IF(OR(AND(BH354=0,W354&lt;&gt;0),AND(BH355=0,W355&lt;&gt;0),AND(BH356=0,W356&lt;&gt;0)),"NO DEBEN QUEDAR CELDAS EN ROJO",SUM(BH354:BH356))</f>
        <v>3000000</v>
      </c>
      <c r="BI357" s="132">
        <f t="shared" si="130"/>
        <v>0</v>
      </c>
      <c r="BJ357" s="132">
        <f t="shared" si="130"/>
        <v>0</v>
      </c>
      <c r="BK357" s="132">
        <f t="shared" si="130"/>
        <v>0</v>
      </c>
      <c r="BL357" s="132">
        <f t="shared" si="130"/>
        <v>0</v>
      </c>
      <c r="BM357" s="132">
        <f t="shared" si="130"/>
        <v>3025000</v>
      </c>
      <c r="BN357" s="132">
        <f t="shared" si="130"/>
        <v>0</v>
      </c>
      <c r="BO357" s="132">
        <f t="shared" si="130"/>
        <v>0</v>
      </c>
      <c r="BP357" s="132">
        <f t="shared" si="130"/>
        <v>0</v>
      </c>
      <c r="BQ357" s="132">
        <f t="shared" si="130"/>
        <v>0</v>
      </c>
      <c r="BR357" s="132">
        <f t="shared" si="130"/>
        <v>0</v>
      </c>
      <c r="BS357" s="132">
        <f t="shared" si="130"/>
        <v>0</v>
      </c>
      <c r="BT357" s="132">
        <f t="shared" si="130"/>
        <v>0</v>
      </c>
      <c r="BU357" s="132">
        <f t="shared" si="130"/>
        <v>0</v>
      </c>
      <c r="BV357" s="132">
        <f t="shared" si="130"/>
        <v>0</v>
      </c>
      <c r="BW357" s="132">
        <f t="shared" si="130"/>
        <v>0</v>
      </c>
      <c r="BX357" s="133">
        <f>IF(OR(AND(BX354=0,AB354&lt;&gt;0),AND(BX355=0,AB355&lt;&gt;0),AND(BX356=0,AB356&lt;&gt;0)),"NO DEBEN QUEDAR CELDAS EN ROJO",SUM(BX354:BX356))</f>
        <v>3025000</v>
      </c>
      <c r="BY357" s="132">
        <f t="shared" si="130"/>
        <v>0</v>
      </c>
      <c r="BZ357" s="132">
        <f t="shared" si="130"/>
        <v>0</v>
      </c>
      <c r="CA357" s="132">
        <f t="shared" si="130"/>
        <v>0</v>
      </c>
      <c r="CB357" s="132">
        <f t="shared" si="130"/>
        <v>0</v>
      </c>
      <c r="CC357" s="132">
        <f t="shared" si="130"/>
        <v>20000000</v>
      </c>
      <c r="CD357" s="132">
        <f t="shared" si="130"/>
        <v>0</v>
      </c>
      <c r="CE357" s="132">
        <f t="shared" si="130"/>
        <v>0</v>
      </c>
      <c r="CF357" s="132">
        <f t="shared" si="130"/>
        <v>0</v>
      </c>
      <c r="CG357" s="132">
        <f t="shared" si="130"/>
        <v>0</v>
      </c>
      <c r="CH357" s="132">
        <f t="shared" si="130"/>
        <v>0</v>
      </c>
      <c r="CI357" s="132">
        <f t="shared" si="130"/>
        <v>0</v>
      </c>
      <c r="CJ357" s="132">
        <f t="shared" si="130"/>
        <v>0</v>
      </c>
      <c r="CK357" s="132">
        <f t="shared" si="130"/>
        <v>0</v>
      </c>
      <c r="CL357" s="132">
        <f t="shared" si="130"/>
        <v>0</v>
      </c>
      <c r="CM357" s="132">
        <f t="shared" si="130"/>
        <v>0</v>
      </c>
      <c r="CN357" s="133">
        <f>IF(OR(AND(CN354=0,AG354&lt;&gt;0),AND(CN355=0,AG355&lt;&gt;0),AND(CN356=0,AG356&lt;&gt;0)),"NO DEBEN QUEDAR CELDAS EN ROJO",SUM(CN354:CN356))</f>
        <v>20000000</v>
      </c>
      <c r="CO357" s="132">
        <f t="shared" si="130"/>
        <v>0</v>
      </c>
      <c r="CP357" s="132">
        <f t="shared" si="130"/>
        <v>0</v>
      </c>
      <c r="CQ357" s="132">
        <f t="shared" si="130"/>
        <v>0</v>
      </c>
      <c r="CR357" s="132">
        <f t="shared" si="130"/>
        <v>0</v>
      </c>
      <c r="CS357" s="132">
        <f t="shared" si="130"/>
        <v>20000000</v>
      </c>
      <c r="CT357" s="132">
        <f t="shared" si="130"/>
        <v>0</v>
      </c>
      <c r="CU357" s="132">
        <f t="shared" si="130"/>
        <v>0</v>
      </c>
      <c r="CV357" s="132">
        <f t="shared" si="130"/>
        <v>0</v>
      </c>
      <c r="CW357" s="132">
        <f t="shared" si="130"/>
        <v>0</v>
      </c>
      <c r="CX357" s="132">
        <f t="shared" si="130"/>
        <v>0</v>
      </c>
      <c r="CY357" s="132">
        <f t="shared" si="130"/>
        <v>0</v>
      </c>
      <c r="CZ357" s="132">
        <f t="shared" si="130"/>
        <v>0</v>
      </c>
      <c r="DA357" s="132">
        <f t="shared" si="130"/>
        <v>0</v>
      </c>
      <c r="DB357" s="132">
        <f t="shared" si="130"/>
        <v>0</v>
      </c>
      <c r="DC357" s="132">
        <f t="shared" si="130"/>
        <v>0</v>
      </c>
      <c r="DD357" s="133">
        <f>IF(OR(AND(DD354=0,AL354&lt;&gt;0),AND(DD355=0,AL355&lt;&gt;0),AND(DD356=0,AL356&lt;&gt;0)),"NO DEBEN QUEDAR CELDAS EN ROJO",SUM(DD354:DD356))</f>
        <v>20000000</v>
      </c>
      <c r="DE357" s="133">
        <f t="shared" si="130"/>
        <v>46025000</v>
      </c>
      <c r="DF357" s="101"/>
    </row>
    <row r="358" spans="1:110" s="98" customFormat="1" ht="106.05" customHeight="1">
      <c r="A358" s="103" t="s">
        <v>1237</v>
      </c>
      <c r="B358" s="103" t="s">
        <v>9</v>
      </c>
      <c r="C358" s="103" t="s">
        <v>1700</v>
      </c>
      <c r="D358" s="103">
        <v>29</v>
      </c>
      <c r="E358" s="103" t="s">
        <v>1136</v>
      </c>
      <c r="F358" s="278" t="s">
        <v>1137</v>
      </c>
      <c r="G358" s="103" t="s">
        <v>2810</v>
      </c>
      <c r="H358" s="103">
        <v>36</v>
      </c>
      <c r="I358" s="103" t="s">
        <v>409</v>
      </c>
      <c r="J358" s="103" t="s">
        <v>683</v>
      </c>
      <c r="K358" s="103">
        <v>0</v>
      </c>
      <c r="L358" s="103">
        <v>1</v>
      </c>
      <c r="M358" s="103" t="s">
        <v>1138</v>
      </c>
      <c r="N358" s="103" t="s">
        <v>1139</v>
      </c>
      <c r="O358" s="103" t="s">
        <v>1140</v>
      </c>
      <c r="P358" s="283">
        <v>321</v>
      </c>
      <c r="Q358" s="103" t="s">
        <v>3431</v>
      </c>
      <c r="R358" s="103" t="s">
        <v>1141</v>
      </c>
      <c r="S358" s="103" t="s">
        <v>683</v>
      </c>
      <c r="T358" s="103">
        <v>1</v>
      </c>
      <c r="U358" s="267">
        <v>1</v>
      </c>
      <c r="V358" s="267">
        <v>1</v>
      </c>
      <c r="W358" s="224">
        <v>1</v>
      </c>
      <c r="X358" s="267">
        <v>1</v>
      </c>
      <c r="Y358" s="267">
        <v>1</v>
      </c>
      <c r="Z358" s="267">
        <v>1</v>
      </c>
      <c r="AA358" s="267">
        <v>1</v>
      </c>
      <c r="AB358" s="224">
        <v>1</v>
      </c>
      <c r="AC358" s="267">
        <v>1</v>
      </c>
      <c r="AD358" s="267">
        <v>1</v>
      </c>
      <c r="AE358" s="267">
        <v>1</v>
      </c>
      <c r="AF358" s="267">
        <v>1</v>
      </c>
      <c r="AG358" s="224">
        <v>1</v>
      </c>
      <c r="AH358" s="267">
        <v>1</v>
      </c>
      <c r="AI358" s="267">
        <v>1</v>
      </c>
      <c r="AJ358" s="267">
        <v>1</v>
      </c>
      <c r="AK358" s="267">
        <v>1</v>
      </c>
      <c r="AL358" s="224">
        <v>1</v>
      </c>
      <c r="AM358" s="102">
        <v>1</v>
      </c>
      <c r="AN358" s="103" t="s">
        <v>686</v>
      </c>
      <c r="AO358" s="120" t="s">
        <v>617</v>
      </c>
      <c r="AP358" s="103" t="s">
        <v>1230</v>
      </c>
      <c r="AQ358" s="103" t="s">
        <v>1207</v>
      </c>
      <c r="AR358" s="103" t="s">
        <v>951</v>
      </c>
      <c r="AS358" s="268"/>
      <c r="AT358" s="268"/>
      <c r="AU358" s="268"/>
      <c r="AV358" s="268"/>
      <c r="AW358" s="268">
        <v>2000000</v>
      </c>
      <c r="AX358" s="268"/>
      <c r="AY358" s="268"/>
      <c r="AZ358" s="268"/>
      <c r="BA358" s="268"/>
      <c r="BB358" s="268"/>
      <c r="BC358" s="268"/>
      <c r="BD358" s="268"/>
      <c r="BE358" s="268"/>
      <c r="BF358" s="268"/>
      <c r="BG358" s="268"/>
      <c r="BH358" s="234">
        <f t="shared" ref="BH358:BH366" si="131">IF(W358=0,0,BG358+BF358+BE358+BD358+BC358+BB358+BA358+AZ358+AY358+AX358+AW358+AV358+AU358+AT358+AS358)</f>
        <v>2000000</v>
      </c>
      <c r="BI358" s="268"/>
      <c r="BJ358" s="268"/>
      <c r="BK358" s="268"/>
      <c r="BL358" s="268"/>
      <c r="BM358" s="268">
        <v>1000000</v>
      </c>
      <c r="BN358" s="268"/>
      <c r="BO358" s="268"/>
      <c r="BP358" s="268"/>
      <c r="BQ358" s="268"/>
      <c r="BR358" s="268"/>
      <c r="BS358" s="268"/>
      <c r="BT358" s="268"/>
      <c r="BU358" s="268"/>
      <c r="BV358" s="268"/>
      <c r="BW358" s="268"/>
      <c r="BX358" s="234">
        <f t="shared" ref="BX358:BX366" si="132">IF(AB358=0,0,BI358+BJ358+BK358+BL358+BM358+BN358+BO358+BP358+BQ358+BR358+BS358+BT358+BU358+BV358+BW358)</f>
        <v>1000000</v>
      </c>
      <c r="BY358" s="268"/>
      <c r="BZ358" s="268"/>
      <c r="CA358" s="268"/>
      <c r="CB358" s="268"/>
      <c r="CC358" s="268">
        <v>2000000</v>
      </c>
      <c r="CD358" s="268"/>
      <c r="CE358" s="268"/>
      <c r="CF358" s="268"/>
      <c r="CG358" s="268"/>
      <c r="CH358" s="268"/>
      <c r="CI358" s="268"/>
      <c r="CJ358" s="268"/>
      <c r="CK358" s="268"/>
      <c r="CL358" s="268"/>
      <c r="CM358" s="268"/>
      <c r="CN358" s="234">
        <f t="shared" ref="CN358:CN366" si="133">IF(AG358=0,0,(BY358+BZ358+CA358+CB358+CC358+CD358+CE358+CF358+CG358+CH358+CI358+CJ358+CK358+CL358+CM358))</f>
        <v>2000000</v>
      </c>
      <c r="CO358" s="268"/>
      <c r="CP358" s="268"/>
      <c r="CQ358" s="268"/>
      <c r="CR358" s="268"/>
      <c r="CS358" s="268">
        <v>2000000</v>
      </c>
      <c r="CT358" s="268"/>
      <c r="CU358" s="268"/>
      <c r="CV358" s="268"/>
      <c r="CW358" s="268"/>
      <c r="CX358" s="268"/>
      <c r="CY358" s="268"/>
      <c r="CZ358" s="268"/>
      <c r="DA358" s="268"/>
      <c r="DB358" s="268"/>
      <c r="DC358" s="268"/>
      <c r="DD358" s="234">
        <f t="shared" ref="DD358:DD366" si="134">IF(AL358=0,0,(CO358+CP358+CQ358+CR358+CS358+CT358+CU358+CV358+CW358+CX358+CY358+CZ358+DA358+DB358+DC358))</f>
        <v>2000000</v>
      </c>
      <c r="DE358" s="243">
        <f t="shared" ref="DE358:DE366" si="135">SUM(DD358+CN358+BX358+BH358)</f>
        <v>7000000</v>
      </c>
    </row>
    <row r="359" spans="1:110" s="98" customFormat="1" ht="106.05" customHeight="1">
      <c r="A359" s="103" t="s">
        <v>1237</v>
      </c>
      <c r="B359" s="279" t="s">
        <v>9</v>
      </c>
      <c r="C359" s="279" t="s">
        <v>1700</v>
      </c>
      <c r="D359" s="279">
        <v>29</v>
      </c>
      <c r="E359" s="279" t="s">
        <v>1136</v>
      </c>
      <c r="F359" s="280" t="s">
        <v>1137</v>
      </c>
      <c r="G359" s="279" t="s">
        <v>2810</v>
      </c>
      <c r="H359" s="279">
        <v>36</v>
      </c>
      <c r="I359" s="279" t="s">
        <v>409</v>
      </c>
      <c r="J359" s="279" t="s">
        <v>683</v>
      </c>
      <c r="K359" s="279">
        <v>0</v>
      </c>
      <c r="L359" s="279">
        <v>1</v>
      </c>
      <c r="M359" s="279" t="s">
        <v>1138</v>
      </c>
      <c r="N359" s="279" t="s">
        <v>1139</v>
      </c>
      <c r="O359" s="279" t="s">
        <v>1140</v>
      </c>
      <c r="P359" s="283">
        <v>322</v>
      </c>
      <c r="Q359" s="279" t="s">
        <v>2811</v>
      </c>
      <c r="R359" s="279" t="s">
        <v>1142</v>
      </c>
      <c r="S359" s="279" t="s">
        <v>683</v>
      </c>
      <c r="T359" s="279">
        <v>0</v>
      </c>
      <c r="U359" s="267"/>
      <c r="V359" s="267"/>
      <c r="W359" s="224">
        <v>0</v>
      </c>
      <c r="X359" s="267"/>
      <c r="Y359" s="267">
        <v>1</v>
      </c>
      <c r="Z359" s="267"/>
      <c r="AA359" s="267">
        <v>1</v>
      </c>
      <c r="AB359" s="224">
        <v>2</v>
      </c>
      <c r="AC359" s="267"/>
      <c r="AD359" s="267">
        <v>1</v>
      </c>
      <c r="AE359" s="267"/>
      <c r="AF359" s="267"/>
      <c r="AG359" s="224">
        <v>1</v>
      </c>
      <c r="AH359" s="267"/>
      <c r="AI359" s="267">
        <v>1</v>
      </c>
      <c r="AJ359" s="267"/>
      <c r="AK359" s="267"/>
      <c r="AL359" s="224">
        <v>1</v>
      </c>
      <c r="AM359" s="104">
        <v>4</v>
      </c>
      <c r="AN359" s="103" t="s">
        <v>685</v>
      </c>
      <c r="AO359" s="120" t="s">
        <v>617</v>
      </c>
      <c r="AP359" s="103" t="s">
        <v>1230</v>
      </c>
      <c r="AQ359" s="103" t="s">
        <v>1207</v>
      </c>
      <c r="AR359" s="103" t="s">
        <v>951</v>
      </c>
      <c r="AS359" s="271"/>
      <c r="AT359" s="271"/>
      <c r="AU359" s="271"/>
      <c r="AV359" s="271"/>
      <c r="AW359" s="271"/>
      <c r="AX359" s="271"/>
      <c r="AY359" s="271"/>
      <c r="AZ359" s="271"/>
      <c r="BA359" s="271"/>
      <c r="BB359" s="271"/>
      <c r="BC359" s="271"/>
      <c r="BD359" s="271"/>
      <c r="BE359" s="271"/>
      <c r="BF359" s="271"/>
      <c r="BG359" s="271"/>
      <c r="BH359" s="235">
        <f t="shared" si="131"/>
        <v>0</v>
      </c>
      <c r="BI359" s="271"/>
      <c r="BJ359" s="271"/>
      <c r="BK359" s="271"/>
      <c r="BL359" s="271"/>
      <c r="BM359" s="271">
        <v>1000000</v>
      </c>
      <c r="BN359" s="271"/>
      <c r="BO359" s="271"/>
      <c r="BP359" s="271"/>
      <c r="BQ359" s="271"/>
      <c r="BR359" s="271"/>
      <c r="BS359" s="271"/>
      <c r="BT359" s="271"/>
      <c r="BU359" s="271"/>
      <c r="BV359" s="271"/>
      <c r="BW359" s="271"/>
      <c r="BX359" s="235">
        <f t="shared" si="132"/>
        <v>1000000</v>
      </c>
      <c r="BY359" s="271"/>
      <c r="BZ359" s="271"/>
      <c r="CA359" s="271"/>
      <c r="CB359" s="271"/>
      <c r="CC359" s="271">
        <v>2000000</v>
      </c>
      <c r="CD359" s="271"/>
      <c r="CE359" s="271"/>
      <c r="CF359" s="271"/>
      <c r="CG359" s="271"/>
      <c r="CH359" s="271"/>
      <c r="CI359" s="271"/>
      <c r="CJ359" s="271"/>
      <c r="CK359" s="271"/>
      <c r="CL359" s="271"/>
      <c r="CM359" s="271"/>
      <c r="CN359" s="235">
        <f t="shared" si="133"/>
        <v>2000000</v>
      </c>
      <c r="CO359" s="271"/>
      <c r="CP359" s="271"/>
      <c r="CQ359" s="271"/>
      <c r="CR359" s="271"/>
      <c r="CS359" s="271">
        <v>2000000</v>
      </c>
      <c r="CT359" s="271"/>
      <c r="CU359" s="271"/>
      <c r="CV359" s="271"/>
      <c r="CW359" s="271"/>
      <c r="CX359" s="271"/>
      <c r="CY359" s="271"/>
      <c r="CZ359" s="271"/>
      <c r="DA359" s="271"/>
      <c r="DB359" s="271"/>
      <c r="DC359" s="271"/>
      <c r="DD359" s="234">
        <f t="shared" si="134"/>
        <v>2000000</v>
      </c>
      <c r="DE359" s="244">
        <f t="shared" si="135"/>
        <v>5000000</v>
      </c>
    </row>
    <row r="360" spans="1:110" s="98" customFormat="1" ht="106.05" customHeight="1">
      <c r="A360" s="103" t="s">
        <v>1237</v>
      </c>
      <c r="B360" s="279" t="s">
        <v>9</v>
      </c>
      <c r="C360" s="279" t="s">
        <v>1700</v>
      </c>
      <c r="D360" s="279">
        <v>29</v>
      </c>
      <c r="E360" s="279" t="s">
        <v>1136</v>
      </c>
      <c r="F360" s="280" t="s">
        <v>1137</v>
      </c>
      <c r="G360" s="279" t="s">
        <v>2810</v>
      </c>
      <c r="H360" s="279">
        <v>36</v>
      </c>
      <c r="I360" s="279" t="s">
        <v>409</v>
      </c>
      <c r="J360" s="279" t="s">
        <v>683</v>
      </c>
      <c r="K360" s="279">
        <v>0</v>
      </c>
      <c r="L360" s="279">
        <v>1</v>
      </c>
      <c r="M360" s="279" t="s">
        <v>1138</v>
      </c>
      <c r="N360" s="279" t="s">
        <v>1139</v>
      </c>
      <c r="O360" s="279" t="s">
        <v>1140</v>
      </c>
      <c r="P360" s="283">
        <v>323</v>
      </c>
      <c r="Q360" s="279" t="s">
        <v>2812</v>
      </c>
      <c r="R360" s="279" t="s">
        <v>1143</v>
      </c>
      <c r="S360" s="279" t="s">
        <v>683</v>
      </c>
      <c r="T360" s="279">
        <v>0</v>
      </c>
      <c r="U360" s="267"/>
      <c r="V360" s="267"/>
      <c r="W360" s="224">
        <v>0</v>
      </c>
      <c r="X360" s="267"/>
      <c r="Y360" s="267"/>
      <c r="Z360" s="267">
        <v>1</v>
      </c>
      <c r="AA360" s="267"/>
      <c r="AB360" s="224">
        <v>1</v>
      </c>
      <c r="AC360" s="267"/>
      <c r="AD360" s="267"/>
      <c r="AE360" s="267"/>
      <c r="AF360" s="267"/>
      <c r="AG360" s="224">
        <v>0</v>
      </c>
      <c r="AH360" s="267"/>
      <c r="AI360" s="267"/>
      <c r="AJ360" s="267"/>
      <c r="AK360" s="267"/>
      <c r="AL360" s="224">
        <v>0</v>
      </c>
      <c r="AM360" s="104">
        <v>1</v>
      </c>
      <c r="AN360" s="103" t="s">
        <v>685</v>
      </c>
      <c r="AO360" s="120" t="s">
        <v>617</v>
      </c>
      <c r="AP360" s="103" t="s">
        <v>1230</v>
      </c>
      <c r="AQ360" s="103" t="s">
        <v>1207</v>
      </c>
      <c r="AR360" s="103" t="s">
        <v>951</v>
      </c>
      <c r="AS360" s="271"/>
      <c r="AT360" s="271"/>
      <c r="AU360" s="271"/>
      <c r="AV360" s="271"/>
      <c r="AW360" s="271"/>
      <c r="AX360" s="271"/>
      <c r="AY360" s="271"/>
      <c r="AZ360" s="271"/>
      <c r="BA360" s="271"/>
      <c r="BB360" s="271"/>
      <c r="BC360" s="271"/>
      <c r="BD360" s="271"/>
      <c r="BE360" s="271"/>
      <c r="BF360" s="271"/>
      <c r="BG360" s="271"/>
      <c r="BH360" s="235">
        <f t="shared" si="131"/>
        <v>0</v>
      </c>
      <c r="BI360" s="271"/>
      <c r="BJ360" s="271"/>
      <c r="BK360" s="271"/>
      <c r="BL360" s="271"/>
      <c r="BM360" s="271">
        <v>1000000</v>
      </c>
      <c r="BN360" s="271"/>
      <c r="BO360" s="271"/>
      <c r="BP360" s="271"/>
      <c r="BQ360" s="271"/>
      <c r="BR360" s="271"/>
      <c r="BS360" s="271"/>
      <c r="BT360" s="271"/>
      <c r="BU360" s="271"/>
      <c r="BV360" s="271"/>
      <c r="BW360" s="271"/>
      <c r="BX360" s="235">
        <f t="shared" si="132"/>
        <v>1000000</v>
      </c>
      <c r="BY360" s="271"/>
      <c r="BZ360" s="271"/>
      <c r="CA360" s="271"/>
      <c r="CB360" s="271"/>
      <c r="CC360" s="271"/>
      <c r="CD360" s="271"/>
      <c r="CE360" s="271"/>
      <c r="CF360" s="271"/>
      <c r="CG360" s="271"/>
      <c r="CH360" s="271"/>
      <c r="CI360" s="271"/>
      <c r="CJ360" s="271"/>
      <c r="CK360" s="271"/>
      <c r="CL360" s="271"/>
      <c r="CM360" s="271"/>
      <c r="CN360" s="235">
        <f t="shared" si="133"/>
        <v>0</v>
      </c>
      <c r="CO360" s="271"/>
      <c r="CP360" s="271"/>
      <c r="CQ360" s="271"/>
      <c r="CR360" s="271"/>
      <c r="CS360" s="271"/>
      <c r="CT360" s="271"/>
      <c r="CU360" s="271"/>
      <c r="CV360" s="271"/>
      <c r="CW360" s="271"/>
      <c r="CX360" s="271"/>
      <c r="CY360" s="271"/>
      <c r="CZ360" s="271"/>
      <c r="DA360" s="271"/>
      <c r="DB360" s="271"/>
      <c r="DC360" s="271"/>
      <c r="DD360" s="234">
        <f t="shared" si="134"/>
        <v>0</v>
      </c>
      <c r="DE360" s="244">
        <f t="shared" si="135"/>
        <v>1000000</v>
      </c>
    </row>
    <row r="361" spans="1:110" s="98" customFormat="1" ht="106.05" customHeight="1">
      <c r="A361" s="103" t="s">
        <v>1237</v>
      </c>
      <c r="B361" s="279" t="s">
        <v>9</v>
      </c>
      <c r="C361" s="279" t="s">
        <v>1700</v>
      </c>
      <c r="D361" s="279">
        <v>29</v>
      </c>
      <c r="E361" s="279" t="s">
        <v>1136</v>
      </c>
      <c r="F361" s="280" t="s">
        <v>1137</v>
      </c>
      <c r="G361" s="279" t="s">
        <v>2810</v>
      </c>
      <c r="H361" s="279">
        <v>36</v>
      </c>
      <c r="I361" s="279" t="s">
        <v>409</v>
      </c>
      <c r="J361" s="279" t="s">
        <v>683</v>
      </c>
      <c r="K361" s="279">
        <v>0</v>
      </c>
      <c r="L361" s="279">
        <v>1</v>
      </c>
      <c r="M361" s="279" t="s">
        <v>1144</v>
      </c>
      <c r="N361" s="279" t="s">
        <v>1145</v>
      </c>
      <c r="O361" s="279" t="s">
        <v>1146</v>
      </c>
      <c r="P361" s="283">
        <v>324</v>
      </c>
      <c r="Q361" s="279" t="s">
        <v>2813</v>
      </c>
      <c r="R361" s="279" t="s">
        <v>1147</v>
      </c>
      <c r="S361" s="279" t="s">
        <v>683</v>
      </c>
      <c r="T361" s="279">
        <v>0</v>
      </c>
      <c r="U361" s="267"/>
      <c r="V361" s="267">
        <v>0.1</v>
      </c>
      <c r="W361" s="224">
        <v>0.1</v>
      </c>
      <c r="X361" s="267">
        <v>0.3</v>
      </c>
      <c r="Y361" s="267">
        <v>0.3</v>
      </c>
      <c r="Z361" s="267">
        <v>0.3</v>
      </c>
      <c r="AA361" s="267"/>
      <c r="AB361" s="224">
        <v>0.89999999999999991</v>
      </c>
      <c r="AC361" s="267"/>
      <c r="AD361" s="267"/>
      <c r="AE361" s="267"/>
      <c r="AF361" s="267"/>
      <c r="AG361" s="224">
        <v>0</v>
      </c>
      <c r="AH361" s="267"/>
      <c r="AI361" s="267"/>
      <c r="AJ361" s="267"/>
      <c r="AK361" s="267"/>
      <c r="AL361" s="224">
        <v>0</v>
      </c>
      <c r="AM361" s="104">
        <v>1</v>
      </c>
      <c r="AN361" s="103" t="s">
        <v>685</v>
      </c>
      <c r="AO361" s="120" t="s">
        <v>617</v>
      </c>
      <c r="AP361" s="103" t="s">
        <v>1230</v>
      </c>
      <c r="AQ361" s="103" t="s">
        <v>1207</v>
      </c>
      <c r="AR361" s="103" t="s">
        <v>951</v>
      </c>
      <c r="AS361" s="271"/>
      <c r="AT361" s="271"/>
      <c r="AU361" s="271"/>
      <c r="AV361" s="271"/>
      <c r="AW361" s="271">
        <v>1000000</v>
      </c>
      <c r="AX361" s="271"/>
      <c r="AY361" s="271"/>
      <c r="AZ361" s="271"/>
      <c r="BA361" s="271"/>
      <c r="BB361" s="271"/>
      <c r="BC361" s="271"/>
      <c r="BD361" s="271"/>
      <c r="BE361" s="271"/>
      <c r="BF361" s="271"/>
      <c r="BG361" s="271"/>
      <c r="BH361" s="235">
        <f t="shared" si="131"/>
        <v>1000000</v>
      </c>
      <c r="BI361" s="271"/>
      <c r="BJ361" s="271"/>
      <c r="BK361" s="271"/>
      <c r="BL361" s="271"/>
      <c r="BM361" s="271">
        <v>1000000</v>
      </c>
      <c r="BN361" s="271"/>
      <c r="BO361" s="271"/>
      <c r="BP361" s="271"/>
      <c r="BQ361" s="271"/>
      <c r="BR361" s="271"/>
      <c r="BS361" s="271"/>
      <c r="BT361" s="271"/>
      <c r="BU361" s="271"/>
      <c r="BV361" s="271"/>
      <c r="BW361" s="271"/>
      <c r="BX361" s="235">
        <f t="shared" si="132"/>
        <v>1000000</v>
      </c>
      <c r="BY361" s="271"/>
      <c r="BZ361" s="271"/>
      <c r="CA361" s="271"/>
      <c r="CB361" s="271"/>
      <c r="CC361" s="271"/>
      <c r="CD361" s="271"/>
      <c r="CE361" s="271"/>
      <c r="CF361" s="271"/>
      <c r="CG361" s="271"/>
      <c r="CH361" s="271"/>
      <c r="CI361" s="271"/>
      <c r="CJ361" s="271"/>
      <c r="CK361" s="271"/>
      <c r="CL361" s="271"/>
      <c r="CM361" s="271"/>
      <c r="CN361" s="235">
        <f t="shared" si="133"/>
        <v>0</v>
      </c>
      <c r="CO361" s="271"/>
      <c r="CP361" s="271"/>
      <c r="CQ361" s="271"/>
      <c r="CR361" s="271"/>
      <c r="CS361" s="271"/>
      <c r="CT361" s="271"/>
      <c r="CU361" s="271"/>
      <c r="CV361" s="271"/>
      <c r="CW361" s="271"/>
      <c r="CX361" s="271"/>
      <c r="CY361" s="271"/>
      <c r="CZ361" s="271"/>
      <c r="DA361" s="271"/>
      <c r="DB361" s="271"/>
      <c r="DC361" s="271"/>
      <c r="DD361" s="234">
        <f t="shared" si="134"/>
        <v>0</v>
      </c>
      <c r="DE361" s="244">
        <f t="shared" si="135"/>
        <v>2000000</v>
      </c>
    </row>
    <row r="362" spans="1:110" s="98" customFormat="1" ht="106.05" customHeight="1">
      <c r="A362" s="103" t="s">
        <v>1237</v>
      </c>
      <c r="B362" s="279" t="s">
        <v>9</v>
      </c>
      <c r="C362" s="279" t="s">
        <v>1700</v>
      </c>
      <c r="D362" s="279">
        <v>29</v>
      </c>
      <c r="E362" s="279" t="s">
        <v>1136</v>
      </c>
      <c r="F362" s="280" t="s">
        <v>1137</v>
      </c>
      <c r="G362" s="279" t="s">
        <v>2810</v>
      </c>
      <c r="H362" s="279">
        <v>36</v>
      </c>
      <c r="I362" s="279" t="s">
        <v>409</v>
      </c>
      <c r="J362" s="279" t="s">
        <v>683</v>
      </c>
      <c r="K362" s="279">
        <v>0</v>
      </c>
      <c r="L362" s="279">
        <v>1</v>
      </c>
      <c r="M362" s="279" t="s">
        <v>1144</v>
      </c>
      <c r="N362" s="279" t="s">
        <v>1145</v>
      </c>
      <c r="O362" s="279" t="s">
        <v>1146</v>
      </c>
      <c r="P362" s="283">
        <v>325</v>
      </c>
      <c r="Q362" s="279" t="s">
        <v>2814</v>
      </c>
      <c r="R362" s="279" t="s">
        <v>1148</v>
      </c>
      <c r="S362" s="279" t="s">
        <v>683</v>
      </c>
      <c r="T362" s="279">
        <v>0</v>
      </c>
      <c r="U362" s="267">
        <v>3</v>
      </c>
      <c r="V362" s="267">
        <v>2</v>
      </c>
      <c r="W362" s="224">
        <v>5</v>
      </c>
      <c r="X362" s="267"/>
      <c r="Y362" s="267">
        <v>5</v>
      </c>
      <c r="Z362" s="267">
        <v>7</v>
      </c>
      <c r="AA362" s="267">
        <v>5</v>
      </c>
      <c r="AB362" s="224">
        <v>17</v>
      </c>
      <c r="AC362" s="267"/>
      <c r="AD362" s="267">
        <v>5</v>
      </c>
      <c r="AE362" s="267">
        <v>5</v>
      </c>
      <c r="AF362" s="267">
        <v>5</v>
      </c>
      <c r="AG362" s="224">
        <v>15</v>
      </c>
      <c r="AH362" s="267"/>
      <c r="AI362" s="267">
        <v>5</v>
      </c>
      <c r="AJ362" s="267">
        <v>5</v>
      </c>
      <c r="AK362" s="267">
        <v>5</v>
      </c>
      <c r="AL362" s="224">
        <v>15</v>
      </c>
      <c r="AM362" s="104">
        <v>52</v>
      </c>
      <c r="AN362" s="103" t="s">
        <v>685</v>
      </c>
      <c r="AO362" s="120" t="s">
        <v>617</v>
      </c>
      <c r="AP362" s="103" t="s">
        <v>1230</v>
      </c>
      <c r="AQ362" s="103" t="s">
        <v>1207</v>
      </c>
      <c r="AR362" s="103" t="s">
        <v>951</v>
      </c>
      <c r="AS362" s="271"/>
      <c r="AT362" s="271"/>
      <c r="AU362" s="271"/>
      <c r="AV362" s="271"/>
      <c r="AW362" s="271">
        <v>1000000</v>
      </c>
      <c r="AX362" s="271"/>
      <c r="AY362" s="271"/>
      <c r="AZ362" s="271"/>
      <c r="BA362" s="271"/>
      <c r="BB362" s="271"/>
      <c r="BC362" s="271"/>
      <c r="BD362" s="271"/>
      <c r="BE362" s="271"/>
      <c r="BF362" s="271"/>
      <c r="BG362" s="271"/>
      <c r="BH362" s="235">
        <f t="shared" si="131"/>
        <v>1000000</v>
      </c>
      <c r="BI362" s="271"/>
      <c r="BJ362" s="271"/>
      <c r="BK362" s="271"/>
      <c r="BL362" s="271"/>
      <c r="BM362" s="271">
        <v>1000000</v>
      </c>
      <c r="BN362" s="271"/>
      <c r="BO362" s="271"/>
      <c r="BP362" s="271"/>
      <c r="BQ362" s="271"/>
      <c r="BR362" s="271"/>
      <c r="BS362" s="271"/>
      <c r="BT362" s="271"/>
      <c r="BU362" s="271"/>
      <c r="BV362" s="271"/>
      <c r="BW362" s="271"/>
      <c r="BX362" s="235">
        <f t="shared" si="132"/>
        <v>1000000</v>
      </c>
      <c r="BY362" s="271"/>
      <c r="BZ362" s="271"/>
      <c r="CA362" s="271"/>
      <c r="CB362" s="271"/>
      <c r="CC362" s="271">
        <v>1500000</v>
      </c>
      <c r="CD362" s="271"/>
      <c r="CE362" s="271"/>
      <c r="CF362" s="271"/>
      <c r="CG362" s="271"/>
      <c r="CH362" s="271"/>
      <c r="CI362" s="271"/>
      <c r="CJ362" s="271"/>
      <c r="CK362" s="271"/>
      <c r="CL362" s="271"/>
      <c r="CM362" s="271"/>
      <c r="CN362" s="235">
        <f t="shared" si="133"/>
        <v>1500000</v>
      </c>
      <c r="CO362" s="271"/>
      <c r="CP362" s="271"/>
      <c r="CQ362" s="271"/>
      <c r="CR362" s="271"/>
      <c r="CS362" s="271">
        <v>4000000</v>
      </c>
      <c r="CT362" s="271"/>
      <c r="CU362" s="271"/>
      <c r="CV362" s="271"/>
      <c r="CW362" s="271"/>
      <c r="CX362" s="271"/>
      <c r="CY362" s="271"/>
      <c r="CZ362" s="271"/>
      <c r="DA362" s="271"/>
      <c r="DB362" s="271"/>
      <c r="DC362" s="271"/>
      <c r="DD362" s="234">
        <f t="shared" si="134"/>
        <v>4000000</v>
      </c>
      <c r="DE362" s="244">
        <f t="shared" si="135"/>
        <v>7500000</v>
      </c>
    </row>
    <row r="363" spans="1:110" s="98" customFormat="1" ht="106.05" customHeight="1">
      <c r="A363" s="103" t="s">
        <v>1237</v>
      </c>
      <c r="B363" s="279" t="s">
        <v>9</v>
      </c>
      <c r="C363" s="279" t="s">
        <v>1700</v>
      </c>
      <c r="D363" s="279">
        <v>29</v>
      </c>
      <c r="E363" s="279" t="s">
        <v>1136</v>
      </c>
      <c r="F363" s="280" t="s">
        <v>1137</v>
      </c>
      <c r="G363" s="279" t="s">
        <v>2810</v>
      </c>
      <c r="H363" s="279">
        <v>36</v>
      </c>
      <c r="I363" s="279" t="s">
        <v>409</v>
      </c>
      <c r="J363" s="279" t="s">
        <v>683</v>
      </c>
      <c r="K363" s="279">
        <v>0</v>
      </c>
      <c r="L363" s="279">
        <v>1</v>
      </c>
      <c r="M363" s="279" t="s">
        <v>1144</v>
      </c>
      <c r="N363" s="279" t="s">
        <v>1145</v>
      </c>
      <c r="O363" s="279" t="s">
        <v>1146</v>
      </c>
      <c r="P363" s="283">
        <v>326</v>
      </c>
      <c r="Q363" s="279" t="s">
        <v>3530</v>
      </c>
      <c r="R363" s="279" t="s">
        <v>410</v>
      </c>
      <c r="S363" s="279" t="s">
        <v>683</v>
      </c>
      <c r="T363" s="279">
        <v>52</v>
      </c>
      <c r="U363" s="267"/>
      <c r="V363" s="267"/>
      <c r="W363" s="224">
        <v>0</v>
      </c>
      <c r="X363" s="267"/>
      <c r="Y363" s="267">
        <v>5</v>
      </c>
      <c r="Z363" s="267">
        <v>5</v>
      </c>
      <c r="AA363" s="267">
        <v>5</v>
      </c>
      <c r="AB363" s="224">
        <v>15</v>
      </c>
      <c r="AC363" s="267"/>
      <c r="AD363" s="267">
        <v>5</v>
      </c>
      <c r="AE363" s="267"/>
      <c r="AF363" s="267">
        <v>5</v>
      </c>
      <c r="AG363" s="224">
        <v>10</v>
      </c>
      <c r="AH363" s="267"/>
      <c r="AI363" s="267"/>
      <c r="AJ363" s="267">
        <v>5</v>
      </c>
      <c r="AK363" s="267"/>
      <c r="AL363" s="224">
        <v>5</v>
      </c>
      <c r="AM363" s="104">
        <v>30</v>
      </c>
      <c r="AN363" s="103" t="s">
        <v>685</v>
      </c>
      <c r="AO363" s="120" t="s">
        <v>617</v>
      </c>
      <c r="AP363" s="103" t="s">
        <v>1230</v>
      </c>
      <c r="AQ363" s="103" t="s">
        <v>1207</v>
      </c>
      <c r="AR363" s="103" t="s">
        <v>951</v>
      </c>
      <c r="AS363" s="271"/>
      <c r="AT363" s="271"/>
      <c r="AU363" s="271"/>
      <c r="AV363" s="271"/>
      <c r="AW363" s="271"/>
      <c r="AX363" s="271"/>
      <c r="AY363" s="271"/>
      <c r="AZ363" s="271"/>
      <c r="BA363" s="271"/>
      <c r="BB363" s="271"/>
      <c r="BC363" s="271"/>
      <c r="BD363" s="271"/>
      <c r="BE363" s="271"/>
      <c r="BF363" s="271"/>
      <c r="BG363" s="271"/>
      <c r="BH363" s="235">
        <f t="shared" si="131"/>
        <v>0</v>
      </c>
      <c r="BI363" s="271"/>
      <c r="BJ363" s="271"/>
      <c r="BK363" s="271"/>
      <c r="BL363" s="271"/>
      <c r="BM363" s="271">
        <v>1000000</v>
      </c>
      <c r="BN363" s="271"/>
      <c r="BO363" s="271"/>
      <c r="BP363" s="271"/>
      <c r="BQ363" s="271"/>
      <c r="BR363" s="271"/>
      <c r="BS363" s="271"/>
      <c r="BT363" s="271"/>
      <c r="BU363" s="271"/>
      <c r="BV363" s="271"/>
      <c r="BW363" s="271"/>
      <c r="BX363" s="235">
        <f t="shared" si="132"/>
        <v>1000000</v>
      </c>
      <c r="BY363" s="271"/>
      <c r="BZ363" s="271"/>
      <c r="CA363" s="271"/>
      <c r="CB363" s="271"/>
      <c r="CC363" s="271">
        <v>1500000</v>
      </c>
      <c r="CD363" s="271"/>
      <c r="CE363" s="271"/>
      <c r="CF363" s="271"/>
      <c r="CG363" s="271"/>
      <c r="CH363" s="271"/>
      <c r="CI363" s="271"/>
      <c r="CJ363" s="271"/>
      <c r="CK363" s="271"/>
      <c r="CL363" s="271"/>
      <c r="CM363" s="271"/>
      <c r="CN363" s="235">
        <f t="shared" si="133"/>
        <v>1500000</v>
      </c>
      <c r="CO363" s="271"/>
      <c r="CP363" s="271"/>
      <c r="CQ363" s="271"/>
      <c r="CR363" s="271"/>
      <c r="CS363" s="271">
        <v>4000000</v>
      </c>
      <c r="CT363" s="271"/>
      <c r="CU363" s="271"/>
      <c r="CV363" s="271"/>
      <c r="CW363" s="271"/>
      <c r="CX363" s="271"/>
      <c r="CY363" s="271"/>
      <c r="CZ363" s="271"/>
      <c r="DA363" s="271"/>
      <c r="DB363" s="271"/>
      <c r="DC363" s="271"/>
      <c r="DD363" s="234">
        <f t="shared" si="134"/>
        <v>4000000</v>
      </c>
      <c r="DE363" s="244">
        <f t="shared" si="135"/>
        <v>6500000</v>
      </c>
    </row>
    <row r="364" spans="1:110" s="98" customFormat="1" ht="106.05" customHeight="1">
      <c r="A364" s="103" t="s">
        <v>1237</v>
      </c>
      <c r="B364" s="279" t="s">
        <v>9</v>
      </c>
      <c r="C364" s="279" t="s">
        <v>1700</v>
      </c>
      <c r="D364" s="279">
        <v>29</v>
      </c>
      <c r="E364" s="279" t="s">
        <v>1136</v>
      </c>
      <c r="F364" s="280" t="s">
        <v>1137</v>
      </c>
      <c r="G364" s="279" t="s">
        <v>2810</v>
      </c>
      <c r="H364" s="279">
        <v>36</v>
      </c>
      <c r="I364" s="279" t="s">
        <v>409</v>
      </c>
      <c r="J364" s="279" t="s">
        <v>683</v>
      </c>
      <c r="K364" s="279">
        <v>0</v>
      </c>
      <c r="L364" s="279">
        <v>1</v>
      </c>
      <c r="M364" s="279" t="s">
        <v>1144</v>
      </c>
      <c r="N364" s="279" t="s">
        <v>1145</v>
      </c>
      <c r="O364" s="279" t="s">
        <v>1146</v>
      </c>
      <c r="P364" s="283">
        <v>327</v>
      </c>
      <c r="Q364" s="279" t="s">
        <v>2815</v>
      </c>
      <c r="R364" s="279" t="s">
        <v>1149</v>
      </c>
      <c r="S364" s="279" t="s">
        <v>1150</v>
      </c>
      <c r="T364" s="279">
        <v>0</v>
      </c>
      <c r="U364" s="267"/>
      <c r="V364" s="267"/>
      <c r="W364" s="224">
        <v>0</v>
      </c>
      <c r="X364" s="267"/>
      <c r="Y364" s="267"/>
      <c r="Z364" s="267">
        <v>0.5</v>
      </c>
      <c r="AA364" s="267">
        <v>0.5</v>
      </c>
      <c r="AB364" s="224">
        <v>1</v>
      </c>
      <c r="AC364" s="267"/>
      <c r="AD364" s="267"/>
      <c r="AE364" s="267"/>
      <c r="AF364" s="267"/>
      <c r="AG364" s="224">
        <v>0</v>
      </c>
      <c r="AH364" s="267"/>
      <c r="AI364" s="267"/>
      <c r="AJ364" s="267"/>
      <c r="AK364" s="267"/>
      <c r="AL364" s="224">
        <v>0</v>
      </c>
      <c r="AM364" s="104">
        <v>1</v>
      </c>
      <c r="AN364" s="103" t="s">
        <v>685</v>
      </c>
      <c r="AO364" s="120" t="s">
        <v>617</v>
      </c>
      <c r="AP364" s="103" t="s">
        <v>1230</v>
      </c>
      <c r="AQ364" s="103" t="s">
        <v>1207</v>
      </c>
      <c r="AR364" s="103" t="s">
        <v>950</v>
      </c>
      <c r="AS364" s="271"/>
      <c r="AT364" s="271"/>
      <c r="AU364" s="271"/>
      <c r="AV364" s="271"/>
      <c r="AW364" s="271"/>
      <c r="AX364" s="271"/>
      <c r="AY364" s="271"/>
      <c r="AZ364" s="271"/>
      <c r="BA364" s="271"/>
      <c r="BB364" s="271"/>
      <c r="BC364" s="271"/>
      <c r="BD364" s="271"/>
      <c r="BE364" s="271"/>
      <c r="BF364" s="271"/>
      <c r="BG364" s="271"/>
      <c r="BH364" s="235">
        <f t="shared" si="131"/>
        <v>0</v>
      </c>
      <c r="BI364" s="271"/>
      <c r="BJ364" s="271"/>
      <c r="BK364" s="271"/>
      <c r="BL364" s="271"/>
      <c r="BM364" s="271">
        <v>1000000</v>
      </c>
      <c r="BN364" s="271"/>
      <c r="BO364" s="271"/>
      <c r="BP364" s="271"/>
      <c r="BQ364" s="271"/>
      <c r="BR364" s="271"/>
      <c r="BS364" s="271"/>
      <c r="BT364" s="271"/>
      <c r="BU364" s="271"/>
      <c r="BV364" s="271"/>
      <c r="BW364" s="271"/>
      <c r="BX364" s="235">
        <f t="shared" si="132"/>
        <v>1000000</v>
      </c>
      <c r="BY364" s="271"/>
      <c r="BZ364" s="271"/>
      <c r="CA364" s="271"/>
      <c r="CB364" s="271"/>
      <c r="CC364" s="271"/>
      <c r="CD364" s="271"/>
      <c r="CE364" s="271"/>
      <c r="CF364" s="271"/>
      <c r="CG364" s="271"/>
      <c r="CH364" s="271"/>
      <c r="CI364" s="271"/>
      <c r="CJ364" s="271"/>
      <c r="CK364" s="271"/>
      <c r="CL364" s="271"/>
      <c r="CM364" s="271"/>
      <c r="CN364" s="235">
        <f t="shared" si="133"/>
        <v>0</v>
      </c>
      <c r="CO364" s="271"/>
      <c r="CP364" s="271"/>
      <c r="CQ364" s="271"/>
      <c r="CR364" s="271"/>
      <c r="CS364" s="271"/>
      <c r="CT364" s="271"/>
      <c r="CU364" s="271"/>
      <c r="CV364" s="271"/>
      <c r="CW364" s="271"/>
      <c r="CX364" s="271"/>
      <c r="CY364" s="271"/>
      <c r="CZ364" s="271"/>
      <c r="DA364" s="271"/>
      <c r="DB364" s="271"/>
      <c r="DC364" s="271"/>
      <c r="DD364" s="234">
        <f t="shared" si="134"/>
        <v>0</v>
      </c>
      <c r="DE364" s="244">
        <f t="shared" si="135"/>
        <v>1000000</v>
      </c>
    </row>
    <row r="365" spans="1:110" s="98" customFormat="1" ht="106.05" customHeight="1">
      <c r="A365" s="103" t="s">
        <v>1237</v>
      </c>
      <c r="B365" s="279" t="s">
        <v>9</v>
      </c>
      <c r="C365" s="279" t="s">
        <v>1700</v>
      </c>
      <c r="D365" s="279">
        <v>29</v>
      </c>
      <c r="E365" s="279" t="s">
        <v>1136</v>
      </c>
      <c r="F365" s="280" t="s">
        <v>1137</v>
      </c>
      <c r="G365" s="279" t="s">
        <v>2810</v>
      </c>
      <c r="H365" s="279">
        <v>36</v>
      </c>
      <c r="I365" s="279" t="s">
        <v>409</v>
      </c>
      <c r="J365" s="279" t="s">
        <v>683</v>
      </c>
      <c r="K365" s="279">
        <v>0</v>
      </c>
      <c r="L365" s="279">
        <v>1</v>
      </c>
      <c r="M365" s="279" t="s">
        <v>1144</v>
      </c>
      <c r="N365" s="279" t="s">
        <v>1145</v>
      </c>
      <c r="O365" s="279" t="s">
        <v>1146</v>
      </c>
      <c r="P365" s="283">
        <v>328</v>
      </c>
      <c r="Q365" s="279" t="s">
        <v>2816</v>
      </c>
      <c r="R365" s="279" t="s">
        <v>1151</v>
      </c>
      <c r="S365" s="279" t="s">
        <v>683</v>
      </c>
      <c r="T365" s="279">
        <v>0</v>
      </c>
      <c r="U365" s="267"/>
      <c r="V365" s="267">
        <v>1</v>
      </c>
      <c r="W365" s="224">
        <v>1</v>
      </c>
      <c r="X365" s="267">
        <v>1</v>
      </c>
      <c r="Y365" s="267">
        <v>1</v>
      </c>
      <c r="Z365" s="267">
        <v>1</v>
      </c>
      <c r="AA365" s="267">
        <v>1</v>
      </c>
      <c r="AB365" s="224">
        <v>4</v>
      </c>
      <c r="AC365" s="267">
        <v>1</v>
      </c>
      <c r="AD365" s="267">
        <v>1</v>
      </c>
      <c r="AE365" s="267">
        <v>1</v>
      </c>
      <c r="AF365" s="267">
        <v>1</v>
      </c>
      <c r="AG365" s="224">
        <v>4</v>
      </c>
      <c r="AH365" s="267">
        <v>1</v>
      </c>
      <c r="AI365" s="267">
        <v>1</v>
      </c>
      <c r="AJ365" s="267">
        <v>1</v>
      </c>
      <c r="AK365" s="267">
        <v>1</v>
      </c>
      <c r="AL365" s="224">
        <v>4</v>
      </c>
      <c r="AM365" s="104">
        <v>13</v>
      </c>
      <c r="AN365" s="103" t="s">
        <v>685</v>
      </c>
      <c r="AO365" s="120" t="s">
        <v>617</v>
      </c>
      <c r="AP365" s="103" t="s">
        <v>1230</v>
      </c>
      <c r="AQ365" s="103" t="s">
        <v>1207</v>
      </c>
      <c r="AR365" s="103" t="s">
        <v>951</v>
      </c>
      <c r="AS365" s="271"/>
      <c r="AT365" s="271"/>
      <c r="AU365" s="271"/>
      <c r="AV365" s="271"/>
      <c r="AW365" s="271">
        <v>1000000</v>
      </c>
      <c r="AX365" s="271"/>
      <c r="AY365" s="271"/>
      <c r="AZ365" s="271"/>
      <c r="BA365" s="271"/>
      <c r="BB365" s="271"/>
      <c r="BC365" s="271"/>
      <c r="BD365" s="271"/>
      <c r="BE365" s="271"/>
      <c r="BF365" s="271"/>
      <c r="BG365" s="271"/>
      <c r="BH365" s="235">
        <f t="shared" si="131"/>
        <v>1000000</v>
      </c>
      <c r="BI365" s="271"/>
      <c r="BJ365" s="271"/>
      <c r="BK365" s="271"/>
      <c r="BL365" s="271"/>
      <c r="BM365" s="271">
        <v>1000000</v>
      </c>
      <c r="BN365" s="271"/>
      <c r="BO365" s="271"/>
      <c r="BP365" s="271"/>
      <c r="BQ365" s="271"/>
      <c r="BR365" s="271"/>
      <c r="BS365" s="271"/>
      <c r="BT365" s="271"/>
      <c r="BU365" s="271"/>
      <c r="BV365" s="271"/>
      <c r="BW365" s="271"/>
      <c r="BX365" s="235">
        <f t="shared" si="132"/>
        <v>1000000</v>
      </c>
      <c r="BY365" s="271"/>
      <c r="BZ365" s="271"/>
      <c r="CA365" s="271"/>
      <c r="CB365" s="271"/>
      <c r="CC365" s="271">
        <v>9000000</v>
      </c>
      <c r="CD365" s="271"/>
      <c r="CE365" s="271"/>
      <c r="CF365" s="271"/>
      <c r="CG365" s="271"/>
      <c r="CH365" s="271"/>
      <c r="CI365" s="271"/>
      <c r="CJ365" s="271"/>
      <c r="CK365" s="271"/>
      <c r="CL365" s="271"/>
      <c r="CM365" s="271"/>
      <c r="CN365" s="235">
        <f t="shared" si="133"/>
        <v>9000000</v>
      </c>
      <c r="CO365" s="271"/>
      <c r="CP365" s="271"/>
      <c r="CQ365" s="271"/>
      <c r="CR365" s="271"/>
      <c r="CS365" s="271">
        <v>13000000</v>
      </c>
      <c r="CT365" s="271"/>
      <c r="CU365" s="271"/>
      <c r="CV365" s="271"/>
      <c r="CW365" s="271"/>
      <c r="CX365" s="271"/>
      <c r="CY365" s="271"/>
      <c r="CZ365" s="271"/>
      <c r="DA365" s="271"/>
      <c r="DB365" s="271"/>
      <c r="DC365" s="271"/>
      <c r="DD365" s="234">
        <f t="shared" si="134"/>
        <v>13000000</v>
      </c>
      <c r="DE365" s="244">
        <f t="shared" si="135"/>
        <v>24000000</v>
      </c>
    </row>
    <row r="366" spans="1:110" s="98" customFormat="1" ht="106.05" customHeight="1">
      <c r="A366" s="120" t="s">
        <v>1237</v>
      </c>
      <c r="B366" s="281" t="s">
        <v>9</v>
      </c>
      <c r="C366" s="281" t="s">
        <v>1700</v>
      </c>
      <c r="D366" s="281">
        <v>29</v>
      </c>
      <c r="E366" s="281" t="s">
        <v>1136</v>
      </c>
      <c r="F366" s="282" t="s">
        <v>1137</v>
      </c>
      <c r="G366" s="281" t="s">
        <v>2810</v>
      </c>
      <c r="H366" s="281">
        <v>36</v>
      </c>
      <c r="I366" s="281" t="s">
        <v>409</v>
      </c>
      <c r="J366" s="281" t="s">
        <v>683</v>
      </c>
      <c r="K366" s="281">
        <v>0</v>
      </c>
      <c r="L366" s="281">
        <v>1</v>
      </c>
      <c r="M366" s="281" t="s">
        <v>1152</v>
      </c>
      <c r="N366" s="281" t="s">
        <v>1153</v>
      </c>
      <c r="O366" s="281" t="s">
        <v>1154</v>
      </c>
      <c r="P366" s="283">
        <v>329</v>
      </c>
      <c r="Q366" s="281" t="s">
        <v>2817</v>
      </c>
      <c r="R366" s="281" t="s">
        <v>411</v>
      </c>
      <c r="S366" s="281" t="s">
        <v>683</v>
      </c>
      <c r="T366" s="281">
        <v>0</v>
      </c>
      <c r="U366" s="275"/>
      <c r="V366" s="275"/>
      <c r="W366" s="225">
        <v>0</v>
      </c>
      <c r="X366" s="275">
        <v>1</v>
      </c>
      <c r="Y366" s="275">
        <v>1</v>
      </c>
      <c r="Z366" s="275">
        <v>1</v>
      </c>
      <c r="AA366" s="275">
        <v>1</v>
      </c>
      <c r="AB366" s="225">
        <v>4</v>
      </c>
      <c r="AC366" s="275">
        <v>1</v>
      </c>
      <c r="AD366" s="275">
        <v>1</v>
      </c>
      <c r="AE366" s="275">
        <v>1</v>
      </c>
      <c r="AF366" s="275">
        <v>1</v>
      </c>
      <c r="AG366" s="225">
        <v>4</v>
      </c>
      <c r="AH366" s="275"/>
      <c r="AI366" s="275"/>
      <c r="AJ366" s="275"/>
      <c r="AK366" s="275"/>
      <c r="AL366" s="225">
        <v>0</v>
      </c>
      <c r="AM366" s="119">
        <v>8</v>
      </c>
      <c r="AN366" s="120" t="s">
        <v>685</v>
      </c>
      <c r="AO366" s="120" t="s">
        <v>617</v>
      </c>
      <c r="AP366" s="120" t="s">
        <v>1230</v>
      </c>
      <c r="AQ366" s="120" t="s">
        <v>1207</v>
      </c>
      <c r="AR366" s="120" t="s">
        <v>951</v>
      </c>
      <c r="AS366" s="276"/>
      <c r="AT366" s="276"/>
      <c r="AU366" s="276"/>
      <c r="AV366" s="276"/>
      <c r="AW366" s="276"/>
      <c r="AX366" s="276"/>
      <c r="AY366" s="276"/>
      <c r="AZ366" s="276"/>
      <c r="BA366" s="276"/>
      <c r="BB366" s="276"/>
      <c r="BC366" s="276"/>
      <c r="BD366" s="276"/>
      <c r="BE366" s="276"/>
      <c r="BF366" s="276"/>
      <c r="BG366" s="276"/>
      <c r="BH366" s="236">
        <f t="shared" si="131"/>
        <v>0</v>
      </c>
      <c r="BI366" s="276"/>
      <c r="BJ366" s="276"/>
      <c r="BK366" s="276"/>
      <c r="BL366" s="276"/>
      <c r="BM366" s="276">
        <v>1000000</v>
      </c>
      <c r="BN366" s="276"/>
      <c r="BO366" s="276"/>
      <c r="BP366" s="276"/>
      <c r="BQ366" s="276"/>
      <c r="BR366" s="276"/>
      <c r="BS366" s="276"/>
      <c r="BT366" s="276"/>
      <c r="BU366" s="276"/>
      <c r="BV366" s="276"/>
      <c r="BW366" s="276"/>
      <c r="BX366" s="236">
        <f t="shared" si="132"/>
        <v>1000000</v>
      </c>
      <c r="BY366" s="276"/>
      <c r="BZ366" s="276"/>
      <c r="CA366" s="276"/>
      <c r="CB366" s="276"/>
      <c r="CC366" s="276">
        <v>9000000</v>
      </c>
      <c r="CD366" s="276"/>
      <c r="CE366" s="276"/>
      <c r="CF366" s="276"/>
      <c r="CG366" s="276"/>
      <c r="CH366" s="276"/>
      <c r="CI366" s="276"/>
      <c r="CJ366" s="276"/>
      <c r="CK366" s="276"/>
      <c r="CL366" s="276"/>
      <c r="CM366" s="276"/>
      <c r="CN366" s="236">
        <f t="shared" si="133"/>
        <v>9000000</v>
      </c>
      <c r="CO366" s="276"/>
      <c r="CP366" s="276"/>
      <c r="CQ366" s="276"/>
      <c r="CR366" s="276"/>
      <c r="CS366" s="276"/>
      <c r="CT366" s="276"/>
      <c r="CU366" s="276"/>
      <c r="CV366" s="276"/>
      <c r="CW366" s="276"/>
      <c r="CX366" s="276"/>
      <c r="CY366" s="276"/>
      <c r="CZ366" s="276"/>
      <c r="DA366" s="276"/>
      <c r="DB366" s="276"/>
      <c r="DC366" s="276"/>
      <c r="DD366" s="240">
        <f t="shared" si="134"/>
        <v>0</v>
      </c>
      <c r="DE366" s="245">
        <f t="shared" si="135"/>
        <v>10000000</v>
      </c>
    </row>
    <row r="367" spans="1:110" ht="65.099999999999994" customHeight="1">
      <c r="A367" s="134" t="s">
        <v>1237</v>
      </c>
      <c r="B367" s="134" t="s">
        <v>9</v>
      </c>
      <c r="C367" s="134" t="s">
        <v>1700</v>
      </c>
      <c r="D367" s="134">
        <v>29</v>
      </c>
      <c r="E367" s="134" t="s">
        <v>1136</v>
      </c>
      <c r="F367" s="135"/>
      <c r="G367" s="136"/>
      <c r="H367" s="137"/>
      <c r="I367" s="137"/>
      <c r="J367" s="137"/>
      <c r="K367" s="138"/>
      <c r="L367" s="137"/>
      <c r="M367" s="137"/>
      <c r="N367" s="137"/>
      <c r="O367" s="137"/>
      <c r="P367" s="137"/>
      <c r="Q367" s="136"/>
      <c r="R367" s="139"/>
      <c r="S367" s="137"/>
      <c r="T367" s="137"/>
      <c r="U367" s="140"/>
      <c r="V367" s="140"/>
      <c r="W367" s="138"/>
      <c r="X367" s="140"/>
      <c r="Y367" s="140"/>
      <c r="Z367" s="140"/>
      <c r="AA367" s="140"/>
      <c r="AB367" s="138"/>
      <c r="AC367" s="140"/>
      <c r="AD367" s="140"/>
      <c r="AE367" s="140"/>
      <c r="AF367" s="140"/>
      <c r="AG367" s="138"/>
      <c r="AH367" s="140"/>
      <c r="AI367" s="140"/>
      <c r="AJ367" s="140"/>
      <c r="AK367" s="140"/>
      <c r="AL367" s="138"/>
      <c r="AM367" s="141"/>
      <c r="AN367" s="142"/>
      <c r="AO367" s="142"/>
      <c r="AP367" s="143"/>
      <c r="AQ367" s="143"/>
      <c r="AR367" s="144"/>
      <c r="AS367" s="132">
        <f t="shared" ref="AS367:BG367" si="136">SUM(AS358:AS366)</f>
        <v>0</v>
      </c>
      <c r="AT367" s="132">
        <f t="shared" si="136"/>
        <v>0</v>
      </c>
      <c r="AU367" s="132">
        <f t="shared" si="136"/>
        <v>0</v>
      </c>
      <c r="AV367" s="132">
        <f t="shared" si="136"/>
        <v>0</v>
      </c>
      <c r="AW367" s="132">
        <f t="shared" si="136"/>
        <v>5000000</v>
      </c>
      <c r="AX367" s="132">
        <f t="shared" si="136"/>
        <v>0</v>
      </c>
      <c r="AY367" s="132">
        <f t="shared" si="136"/>
        <v>0</v>
      </c>
      <c r="AZ367" s="132">
        <f t="shared" si="136"/>
        <v>0</v>
      </c>
      <c r="BA367" s="132">
        <f t="shared" si="136"/>
        <v>0</v>
      </c>
      <c r="BB367" s="132">
        <f t="shared" si="136"/>
        <v>0</v>
      </c>
      <c r="BC367" s="132">
        <f t="shared" si="136"/>
        <v>0</v>
      </c>
      <c r="BD367" s="132">
        <f t="shared" si="136"/>
        <v>0</v>
      </c>
      <c r="BE367" s="132">
        <f t="shared" si="136"/>
        <v>0</v>
      </c>
      <c r="BF367" s="132">
        <f t="shared" si="136"/>
        <v>0</v>
      </c>
      <c r="BG367" s="132">
        <f t="shared" si="136"/>
        <v>0</v>
      </c>
      <c r="BH367" s="133">
        <f>IF(OR(AND(BH358=0,W358&lt;&gt;0),AND(BH359=0,W359&lt;&gt;0),AND(BH360=0,W360&lt;&gt;0),AND(BH361=0,W361&lt;&gt;0),AND(BH362=0,W362&lt;&gt;0),AND(BH363=0,W363&lt;&gt;0),AND(BH364=0,W364&lt;&gt;0),AND(BH365=0,W365&lt;&gt;0),AND(BH366=0,W366&lt;&gt;0)),"NO DEBEN QUEDAR CELDAS EN ROJO",SUM(BH358:BH366))</f>
        <v>5000000</v>
      </c>
      <c r="BI367" s="132">
        <f t="shared" ref="BI367:BW367" si="137">SUM(BI358:BI366)</f>
        <v>0</v>
      </c>
      <c r="BJ367" s="132">
        <f t="shared" si="137"/>
        <v>0</v>
      </c>
      <c r="BK367" s="132">
        <f t="shared" si="137"/>
        <v>0</v>
      </c>
      <c r="BL367" s="132">
        <f t="shared" si="137"/>
        <v>0</v>
      </c>
      <c r="BM367" s="132">
        <f t="shared" si="137"/>
        <v>9000000</v>
      </c>
      <c r="BN367" s="132">
        <f t="shared" si="137"/>
        <v>0</v>
      </c>
      <c r="BO367" s="132">
        <f t="shared" si="137"/>
        <v>0</v>
      </c>
      <c r="BP367" s="132">
        <f t="shared" si="137"/>
        <v>0</v>
      </c>
      <c r="BQ367" s="132">
        <f t="shared" si="137"/>
        <v>0</v>
      </c>
      <c r="BR367" s="132">
        <f t="shared" si="137"/>
        <v>0</v>
      </c>
      <c r="BS367" s="132">
        <f t="shared" si="137"/>
        <v>0</v>
      </c>
      <c r="BT367" s="132">
        <f t="shared" si="137"/>
        <v>0</v>
      </c>
      <c r="BU367" s="132">
        <f t="shared" si="137"/>
        <v>0</v>
      </c>
      <c r="BV367" s="132">
        <f t="shared" si="137"/>
        <v>0</v>
      </c>
      <c r="BW367" s="132">
        <f t="shared" si="137"/>
        <v>0</v>
      </c>
      <c r="BX367" s="133">
        <f>IF(OR(AND(BX358=0,AB358&lt;&gt;0),AND(BX359=0,AB359&lt;&gt;0),AND(BX360=0,AB360&lt;&gt;0),AND(BX361=0,AB361&lt;&gt;0),AND(BX362=0,AB362&lt;&gt;0),AND(BX363=0,AB363&lt;&gt;0),AND(BX364=0,AB364&lt;&gt;0),AND(BX365=0,AB365&lt;&gt;0),AND(BX366=0,AB366&lt;&gt;0)),"NO DEBEN QUEDAR CELDAS EN ROJO",SUM(BX358:BX366))</f>
        <v>9000000</v>
      </c>
      <c r="BY367" s="132">
        <f t="shared" ref="BY367:CM367" si="138">SUM(BY358:BY366)</f>
        <v>0</v>
      </c>
      <c r="BZ367" s="132">
        <f t="shared" si="138"/>
        <v>0</v>
      </c>
      <c r="CA367" s="132">
        <f t="shared" si="138"/>
        <v>0</v>
      </c>
      <c r="CB367" s="132">
        <f t="shared" si="138"/>
        <v>0</v>
      </c>
      <c r="CC367" s="132">
        <f t="shared" si="138"/>
        <v>25000000</v>
      </c>
      <c r="CD367" s="132">
        <f t="shared" si="138"/>
        <v>0</v>
      </c>
      <c r="CE367" s="132">
        <f t="shared" si="138"/>
        <v>0</v>
      </c>
      <c r="CF367" s="132">
        <f t="shared" si="138"/>
        <v>0</v>
      </c>
      <c r="CG367" s="132">
        <f t="shared" si="138"/>
        <v>0</v>
      </c>
      <c r="CH367" s="132">
        <f t="shared" si="138"/>
        <v>0</v>
      </c>
      <c r="CI367" s="132">
        <f t="shared" si="138"/>
        <v>0</v>
      </c>
      <c r="CJ367" s="132">
        <f t="shared" si="138"/>
        <v>0</v>
      </c>
      <c r="CK367" s="132">
        <f t="shared" si="138"/>
        <v>0</v>
      </c>
      <c r="CL367" s="132">
        <f t="shared" si="138"/>
        <v>0</v>
      </c>
      <c r="CM367" s="132">
        <f t="shared" si="138"/>
        <v>0</v>
      </c>
      <c r="CN367" s="133">
        <f>IF(OR(AND(CN358=0,AG358&lt;&gt;0),AND(CN359=0,AG359&lt;&gt;0),AND(CN360=0,AG360&lt;&gt;0),AND(CN361=0,AG361&lt;&gt;0),AND(CN362=0,AG362&lt;&gt;0),AND(CN363=0,AG363&lt;&gt;0),AND(CN364=0,AG364&lt;&gt;0),AND(CN365=0,AG365&lt;&gt;0),AND(CN366=0,AG366&lt;&gt;0)),"NO DEBEN QUEDAR CELDAS EN ROJO",SUM(CN358:CN366))</f>
        <v>25000000</v>
      </c>
      <c r="CO367" s="132">
        <f t="shared" ref="CO367:DC367" si="139">SUM(CO358:CO366)</f>
        <v>0</v>
      </c>
      <c r="CP367" s="132">
        <f t="shared" si="139"/>
        <v>0</v>
      </c>
      <c r="CQ367" s="132">
        <f t="shared" si="139"/>
        <v>0</v>
      </c>
      <c r="CR367" s="132">
        <f t="shared" si="139"/>
        <v>0</v>
      </c>
      <c r="CS367" s="132">
        <f t="shared" si="139"/>
        <v>25000000</v>
      </c>
      <c r="CT367" s="132">
        <f t="shared" si="139"/>
        <v>0</v>
      </c>
      <c r="CU367" s="132">
        <f t="shared" si="139"/>
        <v>0</v>
      </c>
      <c r="CV367" s="132">
        <f t="shared" si="139"/>
        <v>0</v>
      </c>
      <c r="CW367" s="132">
        <f t="shared" si="139"/>
        <v>0</v>
      </c>
      <c r="CX367" s="132">
        <f t="shared" si="139"/>
        <v>0</v>
      </c>
      <c r="CY367" s="132">
        <f t="shared" si="139"/>
        <v>0</v>
      </c>
      <c r="CZ367" s="132">
        <f t="shared" si="139"/>
        <v>0</v>
      </c>
      <c r="DA367" s="132">
        <f t="shared" si="139"/>
        <v>0</v>
      </c>
      <c r="DB367" s="132">
        <f t="shared" si="139"/>
        <v>0</v>
      </c>
      <c r="DC367" s="132">
        <f t="shared" si="139"/>
        <v>0</v>
      </c>
      <c r="DD367" s="133">
        <f>IF(OR(AND(DD358=0,AL358&lt;&gt;0),AND(DD359=0,AL359&lt;&gt;0),AND(DD360=0,AL360&lt;&gt;0),AND(DD361=0,AL361&lt;&gt;0),AND(DD362=0,AL362&lt;&gt;0),AND(DD363=0,AL363&lt;&gt;0),AND(DD364=0,AL364&lt;&gt;0),AND(DD365=0,AL365&lt;&gt;0),AND(DD366=0,AL366&lt;&gt;0)),"NO DEBEN QUEDAR CELDAS EN ROJO",SUM(DD358:DD366))</f>
        <v>25000000</v>
      </c>
      <c r="DE367" s="133">
        <f>SUM(DE358:DE366)</f>
        <v>64000000</v>
      </c>
      <c r="DF367" s="101"/>
    </row>
    <row r="368" spans="1:110" s="98" customFormat="1" ht="83.1" customHeight="1">
      <c r="A368" s="103" t="s">
        <v>1237</v>
      </c>
      <c r="B368" s="103" t="s">
        <v>9</v>
      </c>
      <c r="C368" s="103" t="s">
        <v>1700</v>
      </c>
      <c r="D368" s="103">
        <v>30</v>
      </c>
      <c r="E368" s="103" t="s">
        <v>1155</v>
      </c>
      <c r="F368" s="278" t="s">
        <v>1156</v>
      </c>
      <c r="G368" s="103" t="s">
        <v>2818</v>
      </c>
      <c r="H368" s="103">
        <v>37</v>
      </c>
      <c r="I368" s="103" t="s">
        <v>1157</v>
      </c>
      <c r="J368" s="103" t="s">
        <v>683</v>
      </c>
      <c r="K368" s="103">
        <v>0</v>
      </c>
      <c r="L368" s="103">
        <v>5</v>
      </c>
      <c r="M368" s="103" t="s">
        <v>1158</v>
      </c>
      <c r="N368" s="103" t="s">
        <v>1159</v>
      </c>
      <c r="O368" s="103" t="s">
        <v>1160</v>
      </c>
      <c r="P368" s="283">
        <v>330</v>
      </c>
      <c r="Q368" s="103" t="s">
        <v>2819</v>
      </c>
      <c r="R368" s="103" t="s">
        <v>1161</v>
      </c>
      <c r="S368" s="103" t="s">
        <v>683</v>
      </c>
      <c r="T368" s="103">
        <v>0</v>
      </c>
      <c r="U368" s="267"/>
      <c r="V368" s="267"/>
      <c r="W368" s="224">
        <v>0</v>
      </c>
      <c r="X368" s="267"/>
      <c r="Y368" s="267">
        <v>0.5</v>
      </c>
      <c r="Z368" s="267">
        <v>0.5</v>
      </c>
      <c r="AA368" s="267"/>
      <c r="AB368" s="224">
        <v>1</v>
      </c>
      <c r="AC368" s="267"/>
      <c r="AD368" s="267"/>
      <c r="AE368" s="267"/>
      <c r="AF368" s="267"/>
      <c r="AG368" s="224">
        <v>0</v>
      </c>
      <c r="AH368" s="267"/>
      <c r="AI368" s="267"/>
      <c r="AJ368" s="267"/>
      <c r="AK368" s="267"/>
      <c r="AL368" s="224">
        <v>0</v>
      </c>
      <c r="AM368" s="102">
        <v>1</v>
      </c>
      <c r="AN368" s="103" t="s">
        <v>685</v>
      </c>
      <c r="AO368" s="120" t="s">
        <v>617</v>
      </c>
      <c r="AP368" s="103" t="s">
        <v>1230</v>
      </c>
      <c r="AQ368" s="103" t="s">
        <v>1202</v>
      </c>
      <c r="AR368" s="103" t="s">
        <v>951</v>
      </c>
      <c r="AS368" s="268"/>
      <c r="AT368" s="268"/>
      <c r="AU368" s="268"/>
      <c r="AV368" s="268"/>
      <c r="AW368" s="268"/>
      <c r="AX368" s="268"/>
      <c r="AY368" s="268"/>
      <c r="AZ368" s="268"/>
      <c r="BA368" s="268"/>
      <c r="BB368" s="268"/>
      <c r="BC368" s="268"/>
      <c r="BD368" s="268"/>
      <c r="BE368" s="268"/>
      <c r="BF368" s="268"/>
      <c r="BG368" s="268"/>
      <c r="BH368" s="234">
        <f>IF(W368=0,0,BG368+BF368+BE368+BD368+BC368+BB368+BA368+AZ368+AY368+AX368+AW368+AV368+AU368+AT368+AS368)</f>
        <v>0</v>
      </c>
      <c r="BI368" s="268"/>
      <c r="BJ368" s="268"/>
      <c r="BK368" s="268"/>
      <c r="BL368" s="268"/>
      <c r="BM368" s="268">
        <v>1000000</v>
      </c>
      <c r="BN368" s="268"/>
      <c r="BO368" s="268"/>
      <c r="BP368" s="268"/>
      <c r="BQ368" s="268"/>
      <c r="BR368" s="268"/>
      <c r="BS368" s="268"/>
      <c r="BT368" s="268"/>
      <c r="BU368" s="268"/>
      <c r="BV368" s="268"/>
      <c r="BW368" s="268"/>
      <c r="BX368" s="234">
        <f>IF(AB368=0,0,BI368+BJ368+BK368+BL368+BM368+BN368+BO368+BP368+BQ368+BR368+BS368+BT368+BU368+BV368+BW368)</f>
        <v>1000000</v>
      </c>
      <c r="BY368" s="268"/>
      <c r="BZ368" s="268"/>
      <c r="CA368" s="268"/>
      <c r="CB368" s="268"/>
      <c r="CC368" s="268"/>
      <c r="CD368" s="268"/>
      <c r="CE368" s="268"/>
      <c r="CF368" s="268"/>
      <c r="CG368" s="268"/>
      <c r="CH368" s="268"/>
      <c r="CI368" s="268"/>
      <c r="CJ368" s="268"/>
      <c r="CK368" s="268"/>
      <c r="CL368" s="268"/>
      <c r="CM368" s="268"/>
      <c r="CN368" s="234">
        <f>IF(AG368=0,0,(BY368+BZ368+CA368+CB368+CC368+CD368+CE368+CF368+CG368+CH368+CI368+CJ368+CK368+CL368+CM368))</f>
        <v>0</v>
      </c>
      <c r="CO368" s="268"/>
      <c r="CP368" s="268"/>
      <c r="CQ368" s="268"/>
      <c r="CR368" s="268"/>
      <c r="CS368" s="268"/>
      <c r="CT368" s="268"/>
      <c r="CU368" s="268"/>
      <c r="CV368" s="268"/>
      <c r="CW368" s="268"/>
      <c r="CX368" s="268"/>
      <c r="CY368" s="268"/>
      <c r="CZ368" s="268"/>
      <c r="DA368" s="268"/>
      <c r="DB368" s="268"/>
      <c r="DC368" s="268"/>
      <c r="DD368" s="234">
        <f>IF(AL368=0,0,(CO368+CP368+CQ368+CR368+CS368+CT368+CU368+CV368+CW368+CX368+CY368+CZ368+DA368+DB368+DC368))</f>
        <v>0</v>
      </c>
      <c r="DE368" s="243">
        <f>SUM(DD368+CN368+BX368+BH368)</f>
        <v>1000000</v>
      </c>
    </row>
    <row r="369" spans="1:110" s="98" customFormat="1" ht="83.1" customHeight="1">
      <c r="A369" s="103" t="s">
        <v>1237</v>
      </c>
      <c r="B369" s="279" t="s">
        <v>9</v>
      </c>
      <c r="C369" s="279" t="s">
        <v>1700</v>
      </c>
      <c r="D369" s="279">
        <v>30</v>
      </c>
      <c r="E369" s="279" t="s">
        <v>1155</v>
      </c>
      <c r="F369" s="280" t="s">
        <v>1156</v>
      </c>
      <c r="G369" s="279" t="s">
        <v>2818</v>
      </c>
      <c r="H369" s="279">
        <v>37</v>
      </c>
      <c r="I369" s="279" t="s">
        <v>1157</v>
      </c>
      <c r="J369" s="279" t="s">
        <v>683</v>
      </c>
      <c r="K369" s="279">
        <v>0</v>
      </c>
      <c r="L369" s="279">
        <v>5</v>
      </c>
      <c r="M369" s="279" t="s">
        <v>1158</v>
      </c>
      <c r="N369" s="279" t="s">
        <v>1159</v>
      </c>
      <c r="O369" s="279" t="s">
        <v>1160</v>
      </c>
      <c r="P369" s="283">
        <v>331</v>
      </c>
      <c r="Q369" s="279" t="s">
        <v>2820</v>
      </c>
      <c r="R369" s="279" t="s">
        <v>1162</v>
      </c>
      <c r="S369" s="279" t="s">
        <v>683</v>
      </c>
      <c r="T369" s="279">
        <v>0</v>
      </c>
      <c r="U369" s="267"/>
      <c r="V369" s="267"/>
      <c r="W369" s="224">
        <v>0</v>
      </c>
      <c r="X369" s="267"/>
      <c r="Y369" s="267"/>
      <c r="Z369" s="267">
        <v>1</v>
      </c>
      <c r="AA369" s="267"/>
      <c r="AB369" s="224">
        <v>1</v>
      </c>
      <c r="AC369" s="267"/>
      <c r="AD369" s="267">
        <v>1</v>
      </c>
      <c r="AE369" s="267">
        <v>1</v>
      </c>
      <c r="AF369" s="267"/>
      <c r="AG369" s="224">
        <v>2</v>
      </c>
      <c r="AH369" s="267"/>
      <c r="AI369" s="267"/>
      <c r="AJ369" s="267">
        <v>1</v>
      </c>
      <c r="AK369" s="267"/>
      <c r="AL369" s="224">
        <v>1</v>
      </c>
      <c r="AM369" s="104">
        <v>4</v>
      </c>
      <c r="AN369" s="103" t="s">
        <v>685</v>
      </c>
      <c r="AO369" s="103" t="s">
        <v>617</v>
      </c>
      <c r="AP369" s="103" t="s">
        <v>1230</v>
      </c>
      <c r="AQ369" s="103" t="s">
        <v>1202</v>
      </c>
      <c r="AR369" s="103" t="s">
        <v>951</v>
      </c>
      <c r="AS369" s="271"/>
      <c r="AT369" s="271"/>
      <c r="AU369" s="271"/>
      <c r="AV369" s="271"/>
      <c r="AW369" s="271"/>
      <c r="AX369" s="271"/>
      <c r="AY369" s="271"/>
      <c r="AZ369" s="271"/>
      <c r="BA369" s="271"/>
      <c r="BB369" s="271"/>
      <c r="BC369" s="271"/>
      <c r="BD369" s="271"/>
      <c r="BE369" s="271"/>
      <c r="BF369" s="271"/>
      <c r="BG369" s="271"/>
      <c r="BH369" s="235">
        <f>IF(W369=0,0,BG369+BF369+BE369+BD369+BC369+BB369+BA369+AZ369+AY369+AX369+AW369+AV369+AU369+AT369+AS369)</f>
        <v>0</v>
      </c>
      <c r="BI369" s="271"/>
      <c r="BJ369" s="271"/>
      <c r="BK369" s="271"/>
      <c r="BL369" s="271"/>
      <c r="BM369" s="271">
        <v>1000000</v>
      </c>
      <c r="BN369" s="271"/>
      <c r="BO369" s="271"/>
      <c r="BP369" s="271"/>
      <c r="BQ369" s="271"/>
      <c r="BR369" s="271"/>
      <c r="BS369" s="271"/>
      <c r="BT369" s="271"/>
      <c r="BU369" s="271"/>
      <c r="BV369" s="271"/>
      <c r="BW369" s="271"/>
      <c r="BX369" s="235">
        <f>IF(AB369=0,0,BI369+BJ369+BK369+BL369+BM369+BN369+BO369+BP369+BQ369+BR369+BS369+BT369+BU369+BV369+BW369)</f>
        <v>1000000</v>
      </c>
      <c r="BY369" s="271"/>
      <c r="BZ369" s="271"/>
      <c r="CA369" s="271"/>
      <c r="CB369" s="271"/>
      <c r="CC369" s="271">
        <v>5000000</v>
      </c>
      <c r="CD369" s="271"/>
      <c r="CE369" s="271"/>
      <c r="CF369" s="271"/>
      <c r="CG369" s="271"/>
      <c r="CH369" s="271"/>
      <c r="CI369" s="271"/>
      <c r="CJ369" s="271"/>
      <c r="CK369" s="271"/>
      <c r="CL369" s="271"/>
      <c r="CM369" s="271"/>
      <c r="CN369" s="235">
        <f>IF(AG369=0,0,(BY369+BZ369+CA369+CB369+CC369+CD369+CE369+CF369+CG369+CH369+CI369+CJ369+CK369+CL369+CM369))</f>
        <v>5000000</v>
      </c>
      <c r="CO369" s="271"/>
      <c r="CP369" s="271"/>
      <c r="CQ369" s="271"/>
      <c r="CR369" s="271"/>
      <c r="CS369" s="271">
        <v>5000000</v>
      </c>
      <c r="CT369" s="271"/>
      <c r="CU369" s="271"/>
      <c r="CV369" s="271"/>
      <c r="CW369" s="271"/>
      <c r="CX369" s="271"/>
      <c r="CY369" s="271"/>
      <c r="CZ369" s="271"/>
      <c r="DA369" s="271"/>
      <c r="DB369" s="271"/>
      <c r="DC369" s="271"/>
      <c r="DD369" s="234">
        <f>IF(AL369=0,0,(CO369+CP369+CQ369+CR369+CS369+CT369+CU369+CV369+CW369+CX369+CY369+CZ369+DA369+DB369+DC369))</f>
        <v>5000000</v>
      </c>
      <c r="DE369" s="244">
        <f>SUM(DD369+CN369+BX369+BH369)</f>
        <v>11000000</v>
      </c>
    </row>
    <row r="370" spans="1:110" s="98" customFormat="1" ht="83.1" customHeight="1">
      <c r="A370" s="120" t="s">
        <v>1237</v>
      </c>
      <c r="B370" s="281" t="s">
        <v>9</v>
      </c>
      <c r="C370" s="281" t="s">
        <v>1700</v>
      </c>
      <c r="D370" s="281">
        <v>30</v>
      </c>
      <c r="E370" s="281" t="s">
        <v>1155</v>
      </c>
      <c r="F370" s="282" t="s">
        <v>1156</v>
      </c>
      <c r="G370" s="281" t="s">
        <v>2818</v>
      </c>
      <c r="H370" s="281">
        <v>37</v>
      </c>
      <c r="I370" s="281" t="s">
        <v>1157</v>
      </c>
      <c r="J370" s="281" t="s">
        <v>683</v>
      </c>
      <c r="K370" s="281">
        <v>0</v>
      </c>
      <c r="L370" s="281">
        <v>5</v>
      </c>
      <c r="M370" s="281" t="s">
        <v>1158</v>
      </c>
      <c r="N370" s="281" t="s">
        <v>1159</v>
      </c>
      <c r="O370" s="281" t="s">
        <v>1160</v>
      </c>
      <c r="P370" s="284">
        <v>332</v>
      </c>
      <c r="Q370" s="281" t="s">
        <v>3432</v>
      </c>
      <c r="R370" s="281" t="s">
        <v>1163</v>
      </c>
      <c r="S370" s="281" t="s">
        <v>683</v>
      </c>
      <c r="T370" s="281">
        <v>1</v>
      </c>
      <c r="U370" s="275"/>
      <c r="V370" s="275">
        <v>1</v>
      </c>
      <c r="W370" s="225">
        <v>1</v>
      </c>
      <c r="X370" s="275">
        <v>1</v>
      </c>
      <c r="Y370" s="275">
        <v>1</v>
      </c>
      <c r="Z370" s="275">
        <v>1</v>
      </c>
      <c r="AA370" s="275">
        <v>1</v>
      </c>
      <c r="AB370" s="225">
        <v>1</v>
      </c>
      <c r="AC370" s="275">
        <v>1</v>
      </c>
      <c r="AD370" s="275">
        <v>1</v>
      </c>
      <c r="AE370" s="275">
        <v>1</v>
      </c>
      <c r="AF370" s="275">
        <v>1</v>
      </c>
      <c r="AG370" s="225">
        <v>1</v>
      </c>
      <c r="AH370" s="275">
        <v>1</v>
      </c>
      <c r="AI370" s="275">
        <v>1</v>
      </c>
      <c r="AJ370" s="275">
        <v>1</v>
      </c>
      <c r="AK370" s="275">
        <v>1</v>
      </c>
      <c r="AL370" s="225">
        <v>1</v>
      </c>
      <c r="AM370" s="119">
        <v>1</v>
      </c>
      <c r="AN370" s="120" t="s">
        <v>686</v>
      </c>
      <c r="AO370" s="120" t="s">
        <v>617</v>
      </c>
      <c r="AP370" s="120" t="s">
        <v>1230</v>
      </c>
      <c r="AQ370" s="120" t="s">
        <v>1202</v>
      </c>
      <c r="AR370" s="120" t="s">
        <v>951</v>
      </c>
      <c r="AS370" s="276"/>
      <c r="AT370" s="276"/>
      <c r="AU370" s="276"/>
      <c r="AV370" s="276"/>
      <c r="AW370" s="276">
        <v>3000000</v>
      </c>
      <c r="AX370" s="276"/>
      <c r="AY370" s="276"/>
      <c r="AZ370" s="276"/>
      <c r="BA370" s="276"/>
      <c r="BB370" s="276"/>
      <c r="BC370" s="276"/>
      <c r="BD370" s="276"/>
      <c r="BE370" s="276"/>
      <c r="BF370" s="276"/>
      <c r="BG370" s="276"/>
      <c r="BH370" s="236">
        <f>IF(W370=0,0,BG370+BF370+BE370+BD370+BC370+BB370+BA370+AZ370+AY370+AX370+AW370+AV370+AU370+AT370+AS370)</f>
        <v>3000000</v>
      </c>
      <c r="BI370" s="276"/>
      <c r="BJ370" s="276"/>
      <c r="BK370" s="276"/>
      <c r="BL370" s="276"/>
      <c r="BM370" s="276">
        <v>2000000</v>
      </c>
      <c r="BN370" s="276"/>
      <c r="BO370" s="276"/>
      <c r="BP370" s="276"/>
      <c r="BQ370" s="276"/>
      <c r="BR370" s="276"/>
      <c r="BS370" s="276"/>
      <c r="BT370" s="276"/>
      <c r="BU370" s="276"/>
      <c r="BV370" s="276"/>
      <c r="BW370" s="276"/>
      <c r="BX370" s="236">
        <f>IF(AB370=0,0,BI370+BJ370+BK370+BL370+BM370+BN370+BO370+BP370+BQ370+BR370+BS370+BT370+BU370+BV370+BW370)</f>
        <v>2000000</v>
      </c>
      <c r="BY370" s="276"/>
      <c r="BZ370" s="276"/>
      <c r="CA370" s="276"/>
      <c r="CB370" s="276"/>
      <c r="CC370" s="276">
        <v>20000000</v>
      </c>
      <c r="CD370" s="276"/>
      <c r="CE370" s="276"/>
      <c r="CF370" s="276"/>
      <c r="CG370" s="276"/>
      <c r="CH370" s="276"/>
      <c r="CI370" s="276"/>
      <c r="CJ370" s="276"/>
      <c r="CK370" s="276"/>
      <c r="CL370" s="276"/>
      <c r="CM370" s="276"/>
      <c r="CN370" s="236">
        <f>IF(AG370=0,0,(BY370+BZ370+CA370+CB370+CC370+CD370+CE370+CF370+CG370+CH370+CI370+CJ370+CK370+CL370+CM370))</f>
        <v>20000000</v>
      </c>
      <c r="CO370" s="276"/>
      <c r="CP370" s="276"/>
      <c r="CQ370" s="276"/>
      <c r="CR370" s="276"/>
      <c r="CS370" s="276">
        <v>20000000</v>
      </c>
      <c r="CT370" s="276"/>
      <c r="CU370" s="276"/>
      <c r="CV370" s="276"/>
      <c r="CW370" s="276"/>
      <c r="CX370" s="276"/>
      <c r="CY370" s="276"/>
      <c r="CZ370" s="276"/>
      <c r="DA370" s="276"/>
      <c r="DB370" s="276"/>
      <c r="DC370" s="276"/>
      <c r="DD370" s="240">
        <f>IF(AL370=0,0,(CO370+CP370+CQ370+CR370+CS370+CT370+CU370+CV370+CW370+CX370+CY370+CZ370+DA370+DB370+DC370))</f>
        <v>20000000</v>
      </c>
      <c r="DE370" s="245">
        <f>SUM(DD370+CN370+BX370+BH370)</f>
        <v>45000000</v>
      </c>
    </row>
    <row r="371" spans="1:110" ht="65.099999999999994" customHeight="1">
      <c r="A371" s="134" t="s">
        <v>1237</v>
      </c>
      <c r="B371" s="134" t="s">
        <v>9</v>
      </c>
      <c r="C371" s="134" t="s">
        <v>1700</v>
      </c>
      <c r="D371" s="134">
        <v>30</v>
      </c>
      <c r="E371" s="134" t="s">
        <v>1155</v>
      </c>
      <c r="F371" s="135"/>
      <c r="G371" s="136"/>
      <c r="H371" s="137"/>
      <c r="I371" s="137"/>
      <c r="J371" s="137"/>
      <c r="K371" s="138"/>
      <c r="L371" s="137"/>
      <c r="M371" s="137"/>
      <c r="N371" s="137"/>
      <c r="O371" s="137"/>
      <c r="P371" s="137"/>
      <c r="Q371" s="136"/>
      <c r="R371" s="139"/>
      <c r="S371" s="137"/>
      <c r="T371" s="137"/>
      <c r="U371" s="140"/>
      <c r="V371" s="140"/>
      <c r="W371" s="138"/>
      <c r="X371" s="140"/>
      <c r="Y371" s="140"/>
      <c r="Z371" s="140"/>
      <c r="AA371" s="140"/>
      <c r="AB371" s="138"/>
      <c r="AC371" s="140"/>
      <c r="AD371" s="140"/>
      <c r="AE371" s="140"/>
      <c r="AF371" s="140"/>
      <c r="AG371" s="138"/>
      <c r="AH371" s="140"/>
      <c r="AI371" s="140"/>
      <c r="AJ371" s="140"/>
      <c r="AK371" s="140"/>
      <c r="AL371" s="138"/>
      <c r="AM371" s="141"/>
      <c r="AN371" s="142"/>
      <c r="AO371" s="142"/>
      <c r="AP371" s="143"/>
      <c r="AQ371" s="143"/>
      <c r="AR371" s="144"/>
      <c r="AS371" s="132">
        <f>SUM(AS368:AS370)</f>
        <v>0</v>
      </c>
      <c r="AT371" s="132">
        <f t="shared" ref="AT371:DE371" si="140">SUM(AT368:AT370)</f>
        <v>0</v>
      </c>
      <c r="AU371" s="132">
        <f t="shared" si="140"/>
        <v>0</v>
      </c>
      <c r="AV371" s="132">
        <f t="shared" si="140"/>
        <v>0</v>
      </c>
      <c r="AW371" s="132">
        <f t="shared" si="140"/>
        <v>3000000</v>
      </c>
      <c r="AX371" s="132">
        <f t="shared" si="140"/>
        <v>0</v>
      </c>
      <c r="AY371" s="132">
        <f t="shared" si="140"/>
        <v>0</v>
      </c>
      <c r="AZ371" s="132">
        <f t="shared" si="140"/>
        <v>0</v>
      </c>
      <c r="BA371" s="132">
        <f t="shared" si="140"/>
        <v>0</v>
      </c>
      <c r="BB371" s="132">
        <f t="shared" si="140"/>
        <v>0</v>
      </c>
      <c r="BC371" s="132">
        <f t="shared" si="140"/>
        <v>0</v>
      </c>
      <c r="BD371" s="132">
        <f t="shared" si="140"/>
        <v>0</v>
      </c>
      <c r="BE371" s="132">
        <f t="shared" si="140"/>
        <v>0</v>
      </c>
      <c r="BF371" s="132">
        <f t="shared" si="140"/>
        <v>0</v>
      </c>
      <c r="BG371" s="132">
        <f t="shared" si="140"/>
        <v>0</v>
      </c>
      <c r="BH371" s="133">
        <f>IF(OR(AND(BH368=0,W368&lt;&gt;0),AND(BH369=0,W369&lt;&gt;0),AND(BH370=0,W370&lt;&gt;0)),"NO DEBEN QUEDAR CELDAS EN ROJO",SUM(BH368:BH370))</f>
        <v>3000000</v>
      </c>
      <c r="BI371" s="132">
        <f t="shared" si="140"/>
        <v>0</v>
      </c>
      <c r="BJ371" s="132">
        <f t="shared" si="140"/>
        <v>0</v>
      </c>
      <c r="BK371" s="132">
        <f t="shared" si="140"/>
        <v>0</v>
      </c>
      <c r="BL371" s="132">
        <f t="shared" si="140"/>
        <v>0</v>
      </c>
      <c r="BM371" s="132">
        <f t="shared" si="140"/>
        <v>4000000</v>
      </c>
      <c r="BN371" s="132">
        <f t="shared" si="140"/>
        <v>0</v>
      </c>
      <c r="BO371" s="132">
        <f t="shared" si="140"/>
        <v>0</v>
      </c>
      <c r="BP371" s="132">
        <f t="shared" si="140"/>
        <v>0</v>
      </c>
      <c r="BQ371" s="132">
        <f t="shared" si="140"/>
        <v>0</v>
      </c>
      <c r="BR371" s="132">
        <f t="shared" si="140"/>
        <v>0</v>
      </c>
      <c r="BS371" s="132">
        <f t="shared" si="140"/>
        <v>0</v>
      </c>
      <c r="BT371" s="132">
        <f t="shared" si="140"/>
        <v>0</v>
      </c>
      <c r="BU371" s="132">
        <f t="shared" si="140"/>
        <v>0</v>
      </c>
      <c r="BV371" s="132">
        <f t="shared" si="140"/>
        <v>0</v>
      </c>
      <c r="BW371" s="132">
        <f t="shared" si="140"/>
        <v>0</v>
      </c>
      <c r="BX371" s="133">
        <f>IF(OR(AND(BX368=0,AB368&lt;&gt;0),AND(BX369=0,AB369&lt;&gt;0),AND(BX370=0,AB370&lt;&gt;0)),"NO DEBEN QUEDAR CELDAS EN ROJO",SUM(BX368:BX370))</f>
        <v>4000000</v>
      </c>
      <c r="BY371" s="132">
        <f t="shared" si="140"/>
        <v>0</v>
      </c>
      <c r="BZ371" s="132">
        <f t="shared" si="140"/>
        <v>0</v>
      </c>
      <c r="CA371" s="132">
        <f t="shared" si="140"/>
        <v>0</v>
      </c>
      <c r="CB371" s="132">
        <f t="shared" si="140"/>
        <v>0</v>
      </c>
      <c r="CC371" s="132">
        <f t="shared" si="140"/>
        <v>25000000</v>
      </c>
      <c r="CD371" s="132">
        <f t="shared" si="140"/>
        <v>0</v>
      </c>
      <c r="CE371" s="132">
        <f t="shared" si="140"/>
        <v>0</v>
      </c>
      <c r="CF371" s="132">
        <f t="shared" si="140"/>
        <v>0</v>
      </c>
      <c r="CG371" s="132">
        <f t="shared" si="140"/>
        <v>0</v>
      </c>
      <c r="CH371" s="132">
        <f t="shared" si="140"/>
        <v>0</v>
      </c>
      <c r="CI371" s="132">
        <f t="shared" si="140"/>
        <v>0</v>
      </c>
      <c r="CJ371" s="132">
        <f t="shared" si="140"/>
        <v>0</v>
      </c>
      <c r="CK371" s="132">
        <f t="shared" si="140"/>
        <v>0</v>
      </c>
      <c r="CL371" s="132">
        <f t="shared" si="140"/>
        <v>0</v>
      </c>
      <c r="CM371" s="132">
        <f t="shared" si="140"/>
        <v>0</v>
      </c>
      <c r="CN371" s="133">
        <f>IF(OR(AND(CN368=0,AG368&lt;&gt;0),AND(CN369=0,AG369&lt;&gt;0),AND(CN370=0,AG370&lt;&gt;0)),"NO DEBEN QUEDAR CELDAS EN ROJO",SUM(CN368:CN370))</f>
        <v>25000000</v>
      </c>
      <c r="CO371" s="132">
        <f t="shared" si="140"/>
        <v>0</v>
      </c>
      <c r="CP371" s="132">
        <f t="shared" si="140"/>
        <v>0</v>
      </c>
      <c r="CQ371" s="132">
        <f t="shared" si="140"/>
        <v>0</v>
      </c>
      <c r="CR371" s="132">
        <f t="shared" si="140"/>
        <v>0</v>
      </c>
      <c r="CS371" s="132">
        <f t="shared" si="140"/>
        <v>25000000</v>
      </c>
      <c r="CT371" s="132">
        <f t="shared" si="140"/>
        <v>0</v>
      </c>
      <c r="CU371" s="132">
        <f t="shared" si="140"/>
        <v>0</v>
      </c>
      <c r="CV371" s="132">
        <f t="shared" si="140"/>
        <v>0</v>
      </c>
      <c r="CW371" s="132">
        <f t="shared" si="140"/>
        <v>0</v>
      </c>
      <c r="CX371" s="132">
        <f t="shared" si="140"/>
        <v>0</v>
      </c>
      <c r="CY371" s="132">
        <f t="shared" si="140"/>
        <v>0</v>
      </c>
      <c r="CZ371" s="132">
        <f t="shared" si="140"/>
        <v>0</v>
      </c>
      <c r="DA371" s="132">
        <f t="shared" si="140"/>
        <v>0</v>
      </c>
      <c r="DB371" s="132">
        <f t="shared" si="140"/>
        <v>0</v>
      </c>
      <c r="DC371" s="132">
        <f t="shared" si="140"/>
        <v>0</v>
      </c>
      <c r="DD371" s="133">
        <f>IF(OR(AND(DD368=0,AL368&lt;&gt;0),AND(DD369=0,AL369&lt;&gt;0),AND(DD370=0,AL370&lt;&gt;0)),"NO DEBEN QUEDAR CELDAS EN ROJO",SUM(DD368:DD370))</f>
        <v>25000000</v>
      </c>
      <c r="DE371" s="133">
        <f t="shared" si="140"/>
        <v>57000000</v>
      </c>
      <c r="DF371" s="101"/>
    </row>
    <row r="372" spans="1:110" s="98" customFormat="1" ht="89.1" customHeight="1">
      <c r="A372" s="103" t="s">
        <v>1237</v>
      </c>
      <c r="B372" s="103" t="s">
        <v>9</v>
      </c>
      <c r="C372" s="103" t="s">
        <v>1700</v>
      </c>
      <c r="D372" s="103">
        <v>31</v>
      </c>
      <c r="E372" s="103" t="s">
        <v>1164</v>
      </c>
      <c r="F372" s="278" t="s">
        <v>1165</v>
      </c>
      <c r="G372" s="103" t="s">
        <v>2821</v>
      </c>
      <c r="H372" s="103">
        <v>38</v>
      </c>
      <c r="I372" s="103" t="s">
        <v>1166</v>
      </c>
      <c r="J372" s="103" t="s">
        <v>683</v>
      </c>
      <c r="K372" s="103">
        <v>0</v>
      </c>
      <c r="L372" s="103">
        <v>3</v>
      </c>
      <c r="M372" s="103" t="s">
        <v>1167</v>
      </c>
      <c r="N372" s="103" t="s">
        <v>1168</v>
      </c>
      <c r="O372" s="103" t="s">
        <v>1169</v>
      </c>
      <c r="P372" s="283">
        <v>333</v>
      </c>
      <c r="Q372" s="103" t="s">
        <v>2822</v>
      </c>
      <c r="R372" s="103" t="s">
        <v>1170</v>
      </c>
      <c r="S372" s="103" t="s">
        <v>683</v>
      </c>
      <c r="T372" s="103">
        <v>0</v>
      </c>
      <c r="U372" s="267"/>
      <c r="V372" s="267">
        <v>1</v>
      </c>
      <c r="W372" s="224">
        <v>1</v>
      </c>
      <c r="X372" s="267"/>
      <c r="Y372" s="267"/>
      <c r="Z372" s="267"/>
      <c r="AA372" s="267"/>
      <c r="AB372" s="224">
        <v>0</v>
      </c>
      <c r="AC372" s="267"/>
      <c r="AD372" s="267"/>
      <c r="AE372" s="267"/>
      <c r="AF372" s="267"/>
      <c r="AG372" s="224">
        <v>0</v>
      </c>
      <c r="AH372" s="267"/>
      <c r="AI372" s="267"/>
      <c r="AJ372" s="267"/>
      <c r="AK372" s="267"/>
      <c r="AL372" s="224">
        <v>0</v>
      </c>
      <c r="AM372" s="102">
        <v>1</v>
      </c>
      <c r="AN372" s="103" t="s">
        <v>685</v>
      </c>
      <c r="AO372" s="103" t="s">
        <v>617</v>
      </c>
      <c r="AP372" s="103" t="s">
        <v>1230</v>
      </c>
      <c r="AQ372" s="103" t="s">
        <v>1202</v>
      </c>
      <c r="AR372" s="103" t="s">
        <v>951</v>
      </c>
      <c r="AS372" s="268"/>
      <c r="AT372" s="268"/>
      <c r="AU372" s="268"/>
      <c r="AV372" s="268"/>
      <c r="AW372" s="268">
        <v>700000000</v>
      </c>
      <c r="AX372" s="268"/>
      <c r="AY372" s="268"/>
      <c r="AZ372" s="268"/>
      <c r="BA372" s="268"/>
      <c r="BB372" s="268"/>
      <c r="BC372" s="268"/>
      <c r="BD372" s="268"/>
      <c r="BE372" s="268"/>
      <c r="BF372" s="268"/>
      <c r="BG372" s="268"/>
      <c r="BH372" s="234">
        <f t="shared" ref="BH372:BH381" si="141">IF(W372=0,0,BG372+BF372+BE372+BD372+BC372+BB372+BA372+AZ372+AY372+AX372+AW372+AV372+AU372+AT372+AS372)</f>
        <v>700000000</v>
      </c>
      <c r="BI372" s="268"/>
      <c r="BJ372" s="268"/>
      <c r="BK372" s="268"/>
      <c r="BL372" s="268"/>
      <c r="BM372" s="268"/>
      <c r="BN372" s="268"/>
      <c r="BO372" s="268"/>
      <c r="BP372" s="268"/>
      <c r="BQ372" s="268"/>
      <c r="BR372" s="268"/>
      <c r="BS372" s="268"/>
      <c r="BT372" s="268"/>
      <c r="BU372" s="268"/>
      <c r="BV372" s="268"/>
      <c r="BW372" s="268"/>
      <c r="BX372" s="234">
        <f t="shared" ref="BX372:BX381" si="142">IF(AB372=0,0,BI372+BJ372+BK372+BL372+BM372+BN372+BO372+BP372+BQ372+BR372+BS372+BT372+BU372+BV372+BW372)</f>
        <v>0</v>
      </c>
      <c r="BY372" s="268"/>
      <c r="BZ372" s="268"/>
      <c r="CA372" s="268"/>
      <c r="CB372" s="268"/>
      <c r="CC372" s="268"/>
      <c r="CD372" s="268"/>
      <c r="CE372" s="268"/>
      <c r="CF372" s="268"/>
      <c r="CG372" s="268"/>
      <c r="CH372" s="268"/>
      <c r="CI372" s="268"/>
      <c r="CJ372" s="268"/>
      <c r="CK372" s="268"/>
      <c r="CL372" s="268"/>
      <c r="CM372" s="268"/>
      <c r="CN372" s="234">
        <f t="shared" ref="CN372:CN381" si="143">IF(AG372=0,0,(BY372+BZ372+CA372+CB372+CC372+CD372+CE372+CF372+CG372+CH372+CI372+CJ372+CK372+CL372+CM372))</f>
        <v>0</v>
      </c>
      <c r="CO372" s="268"/>
      <c r="CP372" s="268"/>
      <c r="CQ372" s="268"/>
      <c r="CR372" s="268"/>
      <c r="CS372" s="268"/>
      <c r="CT372" s="268"/>
      <c r="CU372" s="268"/>
      <c r="CV372" s="268"/>
      <c r="CW372" s="268"/>
      <c r="CX372" s="268"/>
      <c r="CY372" s="268"/>
      <c r="CZ372" s="268"/>
      <c r="DA372" s="268"/>
      <c r="DB372" s="268"/>
      <c r="DC372" s="268"/>
      <c r="DD372" s="234">
        <f t="shared" ref="DD372:DD381" si="144">IF(AL372=0,0,(CO372+CP372+CQ372+CR372+CS372+CT372+CU372+CV372+CW372+CX372+CY372+CZ372+DA372+DB372+DC372))</f>
        <v>0</v>
      </c>
      <c r="DE372" s="243">
        <f t="shared" ref="DE372:DE381" si="145">SUM(DD372+CN372+BX372+BH372)</f>
        <v>700000000</v>
      </c>
    </row>
    <row r="373" spans="1:110" s="98" customFormat="1" ht="89.1" customHeight="1">
      <c r="A373" s="103" t="s">
        <v>1237</v>
      </c>
      <c r="B373" s="279" t="s">
        <v>9</v>
      </c>
      <c r="C373" s="279" t="s">
        <v>1700</v>
      </c>
      <c r="D373" s="279">
        <v>31</v>
      </c>
      <c r="E373" s="279" t="s">
        <v>1164</v>
      </c>
      <c r="F373" s="280" t="s">
        <v>1165</v>
      </c>
      <c r="G373" s="279" t="s">
        <v>2821</v>
      </c>
      <c r="H373" s="279">
        <v>38</v>
      </c>
      <c r="I373" s="279" t="s">
        <v>1166</v>
      </c>
      <c r="J373" s="279" t="s">
        <v>683</v>
      </c>
      <c r="K373" s="279">
        <v>0</v>
      </c>
      <c r="L373" s="279">
        <v>3</v>
      </c>
      <c r="M373" s="279" t="s">
        <v>1167</v>
      </c>
      <c r="N373" s="279" t="s">
        <v>1168</v>
      </c>
      <c r="O373" s="279" t="s">
        <v>1169</v>
      </c>
      <c r="P373" s="283">
        <v>334</v>
      </c>
      <c r="Q373" s="279" t="s">
        <v>2823</v>
      </c>
      <c r="R373" s="279" t="s">
        <v>1171</v>
      </c>
      <c r="S373" s="279" t="s">
        <v>683</v>
      </c>
      <c r="T373" s="279">
        <v>0</v>
      </c>
      <c r="U373" s="267"/>
      <c r="V373" s="267"/>
      <c r="W373" s="224">
        <v>0</v>
      </c>
      <c r="X373" s="267">
        <v>0.25</v>
      </c>
      <c r="Y373" s="267">
        <v>0.25</v>
      </c>
      <c r="Z373" s="267">
        <v>0.25</v>
      </c>
      <c r="AA373" s="267">
        <v>0.25</v>
      </c>
      <c r="AB373" s="224">
        <v>1</v>
      </c>
      <c r="AC373" s="267"/>
      <c r="AD373" s="267"/>
      <c r="AE373" s="267"/>
      <c r="AF373" s="267"/>
      <c r="AG373" s="224">
        <v>0</v>
      </c>
      <c r="AH373" s="267"/>
      <c r="AI373" s="267"/>
      <c r="AJ373" s="267"/>
      <c r="AK373" s="267"/>
      <c r="AL373" s="224">
        <v>0</v>
      </c>
      <c r="AM373" s="104">
        <v>1</v>
      </c>
      <c r="AN373" s="103" t="s">
        <v>685</v>
      </c>
      <c r="AO373" s="103" t="s">
        <v>617</v>
      </c>
      <c r="AP373" s="103" t="s">
        <v>1230</v>
      </c>
      <c r="AQ373" s="103" t="s">
        <v>1202</v>
      </c>
      <c r="AR373" s="103" t="s">
        <v>951</v>
      </c>
      <c r="AS373" s="271"/>
      <c r="AT373" s="271"/>
      <c r="AU373" s="271"/>
      <c r="AV373" s="271"/>
      <c r="AW373" s="271"/>
      <c r="AX373" s="271"/>
      <c r="AY373" s="271"/>
      <c r="AZ373" s="271"/>
      <c r="BA373" s="271"/>
      <c r="BB373" s="271"/>
      <c r="BC373" s="271"/>
      <c r="BD373" s="271"/>
      <c r="BE373" s="271"/>
      <c r="BF373" s="271"/>
      <c r="BG373" s="271"/>
      <c r="BH373" s="235">
        <f t="shared" si="141"/>
        <v>0</v>
      </c>
      <c r="BI373" s="271"/>
      <c r="BJ373" s="271"/>
      <c r="BK373" s="271"/>
      <c r="BL373" s="271"/>
      <c r="BM373" s="271">
        <v>200000000</v>
      </c>
      <c r="BN373" s="271"/>
      <c r="BO373" s="271"/>
      <c r="BP373" s="271"/>
      <c r="BQ373" s="271"/>
      <c r="BR373" s="271"/>
      <c r="BS373" s="271"/>
      <c r="BT373" s="271"/>
      <c r="BU373" s="271"/>
      <c r="BV373" s="271"/>
      <c r="BW373" s="271"/>
      <c r="BX373" s="235">
        <f t="shared" si="142"/>
        <v>200000000</v>
      </c>
      <c r="BY373" s="271"/>
      <c r="BZ373" s="271"/>
      <c r="CA373" s="271"/>
      <c r="CB373" s="271"/>
      <c r="CC373" s="271"/>
      <c r="CD373" s="271"/>
      <c r="CE373" s="271"/>
      <c r="CF373" s="271"/>
      <c r="CG373" s="271"/>
      <c r="CH373" s="271"/>
      <c r="CI373" s="271"/>
      <c r="CJ373" s="271"/>
      <c r="CK373" s="271"/>
      <c r="CL373" s="271"/>
      <c r="CM373" s="271"/>
      <c r="CN373" s="235">
        <f t="shared" si="143"/>
        <v>0</v>
      </c>
      <c r="CO373" s="271"/>
      <c r="CP373" s="271"/>
      <c r="CQ373" s="271"/>
      <c r="CR373" s="271"/>
      <c r="CS373" s="271"/>
      <c r="CT373" s="271"/>
      <c r="CU373" s="271"/>
      <c r="CV373" s="271"/>
      <c r="CW373" s="271"/>
      <c r="CX373" s="271"/>
      <c r="CY373" s="271"/>
      <c r="CZ373" s="271"/>
      <c r="DA373" s="271"/>
      <c r="DB373" s="271"/>
      <c r="DC373" s="271"/>
      <c r="DD373" s="234">
        <f t="shared" si="144"/>
        <v>0</v>
      </c>
      <c r="DE373" s="244">
        <f t="shared" si="145"/>
        <v>200000000</v>
      </c>
    </row>
    <row r="374" spans="1:110" s="98" customFormat="1" ht="89.1" customHeight="1">
      <c r="A374" s="103" t="s">
        <v>1237</v>
      </c>
      <c r="B374" s="279" t="s">
        <v>9</v>
      </c>
      <c r="C374" s="279" t="s">
        <v>1700</v>
      </c>
      <c r="D374" s="279">
        <v>31</v>
      </c>
      <c r="E374" s="279" t="s">
        <v>1164</v>
      </c>
      <c r="F374" s="280" t="s">
        <v>1165</v>
      </c>
      <c r="G374" s="279" t="s">
        <v>2821</v>
      </c>
      <c r="H374" s="279">
        <v>38</v>
      </c>
      <c r="I374" s="279" t="s">
        <v>1166</v>
      </c>
      <c r="J374" s="279" t="s">
        <v>683</v>
      </c>
      <c r="K374" s="279">
        <v>0</v>
      </c>
      <c r="L374" s="279">
        <v>3</v>
      </c>
      <c r="M374" s="279" t="s">
        <v>1167</v>
      </c>
      <c r="N374" s="279" t="s">
        <v>1168</v>
      </c>
      <c r="O374" s="279" t="s">
        <v>1169</v>
      </c>
      <c r="P374" s="283">
        <v>335</v>
      </c>
      <c r="Q374" s="279" t="s">
        <v>3531</v>
      </c>
      <c r="R374" s="279" t="s">
        <v>1172</v>
      </c>
      <c r="S374" s="279" t="s">
        <v>677</v>
      </c>
      <c r="T374" s="279">
        <v>0</v>
      </c>
      <c r="U374" s="267"/>
      <c r="V374" s="267"/>
      <c r="W374" s="224">
        <v>0</v>
      </c>
      <c r="X374" s="267">
        <v>25</v>
      </c>
      <c r="Y374" s="267">
        <v>25</v>
      </c>
      <c r="Z374" s="267">
        <v>25</v>
      </c>
      <c r="AA374" s="267">
        <v>25</v>
      </c>
      <c r="AB374" s="224">
        <v>100</v>
      </c>
      <c r="AC374" s="267"/>
      <c r="AD374" s="267"/>
      <c r="AE374" s="267"/>
      <c r="AF374" s="267"/>
      <c r="AG374" s="224">
        <v>0</v>
      </c>
      <c r="AH374" s="267"/>
      <c r="AI374" s="267"/>
      <c r="AJ374" s="267"/>
      <c r="AK374" s="267"/>
      <c r="AL374" s="224">
        <v>0</v>
      </c>
      <c r="AM374" s="104">
        <v>100</v>
      </c>
      <c r="AN374" s="103" t="s">
        <v>685</v>
      </c>
      <c r="AO374" s="103" t="s">
        <v>617</v>
      </c>
      <c r="AP374" s="103" t="s">
        <v>1230</v>
      </c>
      <c r="AQ374" s="103" t="s">
        <v>1202</v>
      </c>
      <c r="AR374" s="103" t="s">
        <v>951</v>
      </c>
      <c r="AS374" s="271"/>
      <c r="AT374" s="271"/>
      <c r="AU374" s="271"/>
      <c r="AV374" s="271"/>
      <c r="AW374" s="271"/>
      <c r="AX374" s="271"/>
      <c r="AY374" s="271"/>
      <c r="AZ374" s="271"/>
      <c r="BA374" s="271"/>
      <c r="BB374" s="271"/>
      <c r="BC374" s="271"/>
      <c r="BD374" s="271"/>
      <c r="BE374" s="271"/>
      <c r="BF374" s="271"/>
      <c r="BG374" s="271"/>
      <c r="BH374" s="235">
        <f t="shared" si="141"/>
        <v>0</v>
      </c>
      <c r="BI374" s="271"/>
      <c r="BJ374" s="271"/>
      <c r="BK374" s="271"/>
      <c r="BL374" s="271"/>
      <c r="BM374" s="271">
        <v>1000000000</v>
      </c>
      <c r="BN374" s="271"/>
      <c r="BO374" s="271"/>
      <c r="BP374" s="271"/>
      <c r="BQ374" s="271"/>
      <c r="BR374" s="271"/>
      <c r="BS374" s="271"/>
      <c r="BT374" s="271"/>
      <c r="BU374" s="271"/>
      <c r="BV374" s="271"/>
      <c r="BW374" s="271"/>
      <c r="BX374" s="235">
        <f t="shared" si="142"/>
        <v>1000000000</v>
      </c>
      <c r="BY374" s="271"/>
      <c r="BZ374" s="271"/>
      <c r="CA374" s="271"/>
      <c r="CB374" s="271"/>
      <c r="CC374" s="271"/>
      <c r="CD374" s="271"/>
      <c r="CE374" s="271"/>
      <c r="CF374" s="271"/>
      <c r="CG374" s="271"/>
      <c r="CH374" s="271"/>
      <c r="CI374" s="271"/>
      <c r="CJ374" s="271"/>
      <c r="CK374" s="271"/>
      <c r="CL374" s="271"/>
      <c r="CM374" s="271"/>
      <c r="CN374" s="235">
        <f t="shared" si="143"/>
        <v>0</v>
      </c>
      <c r="CO374" s="271"/>
      <c r="CP374" s="271"/>
      <c r="CQ374" s="271"/>
      <c r="CR374" s="271"/>
      <c r="CS374" s="271"/>
      <c r="CT374" s="271"/>
      <c r="CU374" s="271"/>
      <c r="CV374" s="271"/>
      <c r="CW374" s="271"/>
      <c r="CX374" s="271"/>
      <c r="CY374" s="271"/>
      <c r="CZ374" s="271"/>
      <c r="DA374" s="271"/>
      <c r="DB374" s="271"/>
      <c r="DC374" s="271"/>
      <c r="DD374" s="234">
        <f t="shared" si="144"/>
        <v>0</v>
      </c>
      <c r="DE374" s="244">
        <f t="shared" si="145"/>
        <v>1000000000</v>
      </c>
    </row>
    <row r="375" spans="1:110" s="98" customFormat="1" ht="89.1" customHeight="1">
      <c r="A375" s="103" t="s">
        <v>1237</v>
      </c>
      <c r="B375" s="279" t="s">
        <v>9</v>
      </c>
      <c r="C375" s="279" t="s">
        <v>1700</v>
      </c>
      <c r="D375" s="279">
        <v>31</v>
      </c>
      <c r="E375" s="279" t="s">
        <v>1164</v>
      </c>
      <c r="F375" s="280" t="s">
        <v>1165</v>
      </c>
      <c r="G375" s="279" t="s">
        <v>2821</v>
      </c>
      <c r="H375" s="279">
        <v>38</v>
      </c>
      <c r="I375" s="279" t="s">
        <v>1166</v>
      </c>
      <c r="J375" s="279" t="s">
        <v>683</v>
      </c>
      <c r="K375" s="279">
        <v>0</v>
      </c>
      <c r="L375" s="279">
        <v>3</v>
      </c>
      <c r="M375" s="279" t="s">
        <v>1167</v>
      </c>
      <c r="N375" s="279" t="s">
        <v>1168</v>
      </c>
      <c r="O375" s="279" t="s">
        <v>1169</v>
      </c>
      <c r="P375" s="283">
        <v>336</v>
      </c>
      <c r="Q375" s="279" t="s">
        <v>2824</v>
      </c>
      <c r="R375" s="279" t="s">
        <v>1173</v>
      </c>
      <c r="S375" s="279" t="s">
        <v>683</v>
      </c>
      <c r="T375" s="279">
        <v>3</v>
      </c>
      <c r="U375" s="267"/>
      <c r="V375" s="267"/>
      <c r="W375" s="224">
        <v>0</v>
      </c>
      <c r="X375" s="267"/>
      <c r="Y375" s="267"/>
      <c r="Z375" s="267">
        <v>1</v>
      </c>
      <c r="AA375" s="267"/>
      <c r="AB375" s="224">
        <v>1</v>
      </c>
      <c r="AC375" s="267"/>
      <c r="AD375" s="267"/>
      <c r="AE375" s="267">
        <v>1</v>
      </c>
      <c r="AF375" s="267"/>
      <c r="AG375" s="224">
        <v>1</v>
      </c>
      <c r="AH375" s="267"/>
      <c r="AI375" s="267"/>
      <c r="AJ375" s="267">
        <v>1</v>
      </c>
      <c r="AK375" s="267"/>
      <c r="AL375" s="224">
        <v>1</v>
      </c>
      <c r="AM375" s="104">
        <v>3</v>
      </c>
      <c r="AN375" s="103" t="s">
        <v>685</v>
      </c>
      <c r="AO375" s="103" t="s">
        <v>617</v>
      </c>
      <c r="AP375" s="103" t="s">
        <v>1230</v>
      </c>
      <c r="AQ375" s="103" t="s">
        <v>1202</v>
      </c>
      <c r="AR375" s="103" t="s">
        <v>951</v>
      </c>
      <c r="AS375" s="271"/>
      <c r="AT375" s="271"/>
      <c r="AU375" s="271"/>
      <c r="AV375" s="271"/>
      <c r="AW375" s="271"/>
      <c r="AX375" s="271"/>
      <c r="AY375" s="271"/>
      <c r="AZ375" s="271"/>
      <c r="BA375" s="271"/>
      <c r="BB375" s="271"/>
      <c r="BC375" s="271"/>
      <c r="BD375" s="271"/>
      <c r="BE375" s="271"/>
      <c r="BF375" s="271"/>
      <c r="BG375" s="271"/>
      <c r="BH375" s="235">
        <f t="shared" si="141"/>
        <v>0</v>
      </c>
      <c r="BI375" s="271"/>
      <c r="BJ375" s="271"/>
      <c r="BK375" s="271"/>
      <c r="BL375" s="271"/>
      <c r="BM375" s="271">
        <v>190000000</v>
      </c>
      <c r="BN375" s="271"/>
      <c r="BO375" s="271"/>
      <c r="BP375" s="271"/>
      <c r="BQ375" s="271"/>
      <c r="BR375" s="271"/>
      <c r="BS375" s="271"/>
      <c r="BT375" s="271"/>
      <c r="BU375" s="271"/>
      <c r="BV375" s="271"/>
      <c r="BW375" s="271"/>
      <c r="BX375" s="235">
        <f t="shared" si="142"/>
        <v>190000000</v>
      </c>
      <c r="BY375" s="271"/>
      <c r="BZ375" s="271"/>
      <c r="CA375" s="271"/>
      <c r="CB375" s="271"/>
      <c r="CC375" s="271">
        <v>100000000</v>
      </c>
      <c r="CD375" s="271"/>
      <c r="CE375" s="271"/>
      <c r="CF375" s="271"/>
      <c r="CG375" s="271"/>
      <c r="CH375" s="271"/>
      <c r="CI375" s="271"/>
      <c r="CJ375" s="271"/>
      <c r="CK375" s="271"/>
      <c r="CL375" s="271"/>
      <c r="CM375" s="271"/>
      <c r="CN375" s="235">
        <f t="shared" si="143"/>
        <v>100000000</v>
      </c>
      <c r="CO375" s="271"/>
      <c r="CP375" s="271"/>
      <c r="CQ375" s="271"/>
      <c r="CR375" s="271"/>
      <c r="CS375" s="271">
        <v>100000000</v>
      </c>
      <c r="CT375" s="271"/>
      <c r="CU375" s="271"/>
      <c r="CV375" s="271"/>
      <c r="CW375" s="271"/>
      <c r="CX375" s="271"/>
      <c r="CY375" s="271"/>
      <c r="CZ375" s="271"/>
      <c r="DA375" s="271"/>
      <c r="DB375" s="271"/>
      <c r="DC375" s="271"/>
      <c r="DD375" s="234">
        <f t="shared" si="144"/>
        <v>100000000</v>
      </c>
      <c r="DE375" s="244">
        <f t="shared" si="145"/>
        <v>390000000</v>
      </c>
    </row>
    <row r="376" spans="1:110" s="98" customFormat="1" ht="89.1" customHeight="1">
      <c r="A376" s="103" t="s">
        <v>1237</v>
      </c>
      <c r="B376" s="279" t="s">
        <v>9</v>
      </c>
      <c r="C376" s="279" t="s">
        <v>1700</v>
      </c>
      <c r="D376" s="279">
        <v>31</v>
      </c>
      <c r="E376" s="279" t="s">
        <v>1164</v>
      </c>
      <c r="F376" s="280" t="s">
        <v>1165</v>
      </c>
      <c r="G376" s="279" t="s">
        <v>2821</v>
      </c>
      <c r="H376" s="279">
        <v>38</v>
      </c>
      <c r="I376" s="279" t="s">
        <v>1166</v>
      </c>
      <c r="J376" s="279" t="s">
        <v>683</v>
      </c>
      <c r="K376" s="279">
        <v>0</v>
      </c>
      <c r="L376" s="279">
        <v>3</v>
      </c>
      <c r="M376" s="279" t="s">
        <v>1167</v>
      </c>
      <c r="N376" s="279" t="s">
        <v>1168</v>
      </c>
      <c r="O376" s="279" t="s">
        <v>1169</v>
      </c>
      <c r="P376" s="283">
        <v>337</v>
      </c>
      <c r="Q376" s="279" t="s">
        <v>2825</v>
      </c>
      <c r="R376" s="279" t="s">
        <v>1174</v>
      </c>
      <c r="S376" s="279" t="s">
        <v>683</v>
      </c>
      <c r="T376" s="279">
        <v>0</v>
      </c>
      <c r="U376" s="267"/>
      <c r="V376" s="267"/>
      <c r="W376" s="224">
        <v>0</v>
      </c>
      <c r="X376" s="267"/>
      <c r="Y376" s="267">
        <v>0.25</v>
      </c>
      <c r="Z376" s="267"/>
      <c r="AA376" s="267">
        <v>0.25</v>
      </c>
      <c r="AB376" s="224">
        <v>0.5</v>
      </c>
      <c r="AC376" s="267"/>
      <c r="AD376" s="267"/>
      <c r="AE376" s="267">
        <v>0.25</v>
      </c>
      <c r="AF376" s="267"/>
      <c r="AG376" s="224">
        <v>0.25</v>
      </c>
      <c r="AH376" s="267"/>
      <c r="AI376" s="267"/>
      <c r="AJ376" s="267">
        <v>0.25</v>
      </c>
      <c r="AK376" s="267"/>
      <c r="AL376" s="224">
        <v>0.25</v>
      </c>
      <c r="AM376" s="104">
        <v>1</v>
      </c>
      <c r="AN376" s="103" t="s">
        <v>685</v>
      </c>
      <c r="AO376" s="103" t="s">
        <v>617</v>
      </c>
      <c r="AP376" s="103" t="s">
        <v>1230</v>
      </c>
      <c r="AQ376" s="103" t="s">
        <v>1202</v>
      </c>
      <c r="AR376" s="103" t="s">
        <v>951</v>
      </c>
      <c r="AS376" s="271"/>
      <c r="AT376" s="271"/>
      <c r="AU376" s="271"/>
      <c r="AV376" s="271"/>
      <c r="AW376" s="271"/>
      <c r="AX376" s="271"/>
      <c r="AY376" s="271"/>
      <c r="AZ376" s="271"/>
      <c r="BA376" s="271"/>
      <c r="BB376" s="271"/>
      <c r="BC376" s="271"/>
      <c r="BD376" s="271"/>
      <c r="BE376" s="271"/>
      <c r="BF376" s="271"/>
      <c r="BG376" s="271"/>
      <c r="BH376" s="235">
        <f t="shared" si="141"/>
        <v>0</v>
      </c>
      <c r="BI376" s="271"/>
      <c r="BJ376" s="271"/>
      <c r="BK376" s="271"/>
      <c r="BL376" s="271"/>
      <c r="BM376" s="271">
        <v>200000000</v>
      </c>
      <c r="BN376" s="271"/>
      <c r="BO376" s="271"/>
      <c r="BP376" s="271"/>
      <c r="BQ376" s="271"/>
      <c r="BR376" s="271"/>
      <c r="BS376" s="271"/>
      <c r="BT376" s="271"/>
      <c r="BU376" s="271"/>
      <c r="BV376" s="271"/>
      <c r="BW376" s="271"/>
      <c r="BX376" s="235">
        <f t="shared" si="142"/>
        <v>200000000</v>
      </c>
      <c r="BY376" s="271"/>
      <c r="BZ376" s="271"/>
      <c r="CA376" s="271"/>
      <c r="CB376" s="271"/>
      <c r="CC376" s="271">
        <v>200000000</v>
      </c>
      <c r="CD376" s="271"/>
      <c r="CE376" s="271"/>
      <c r="CF376" s="271"/>
      <c r="CG376" s="271"/>
      <c r="CH376" s="271"/>
      <c r="CI376" s="271"/>
      <c r="CJ376" s="271"/>
      <c r="CK376" s="271"/>
      <c r="CL376" s="271"/>
      <c r="CM376" s="271"/>
      <c r="CN376" s="235">
        <f t="shared" si="143"/>
        <v>200000000</v>
      </c>
      <c r="CO376" s="271"/>
      <c r="CP376" s="271"/>
      <c r="CQ376" s="271"/>
      <c r="CR376" s="271"/>
      <c r="CS376" s="271">
        <v>200000000</v>
      </c>
      <c r="CT376" s="271"/>
      <c r="CU376" s="271"/>
      <c r="CV376" s="271"/>
      <c r="CW376" s="271"/>
      <c r="CX376" s="271"/>
      <c r="CY376" s="271"/>
      <c r="CZ376" s="271"/>
      <c r="DA376" s="271"/>
      <c r="DB376" s="271"/>
      <c r="DC376" s="271"/>
      <c r="DD376" s="234">
        <f t="shared" si="144"/>
        <v>200000000</v>
      </c>
      <c r="DE376" s="244">
        <f t="shared" si="145"/>
        <v>600000000</v>
      </c>
    </row>
    <row r="377" spans="1:110" s="98" customFormat="1" ht="89.1" customHeight="1">
      <c r="A377" s="103" t="s">
        <v>1237</v>
      </c>
      <c r="B377" s="279" t="s">
        <v>9</v>
      </c>
      <c r="C377" s="279" t="s">
        <v>1700</v>
      </c>
      <c r="D377" s="279">
        <v>31</v>
      </c>
      <c r="E377" s="279" t="s">
        <v>1164</v>
      </c>
      <c r="F377" s="280" t="s">
        <v>1165</v>
      </c>
      <c r="G377" s="279" t="s">
        <v>2821</v>
      </c>
      <c r="H377" s="279">
        <v>38</v>
      </c>
      <c r="I377" s="279" t="s">
        <v>1166</v>
      </c>
      <c r="J377" s="279" t="s">
        <v>683</v>
      </c>
      <c r="K377" s="279">
        <v>0</v>
      </c>
      <c r="L377" s="279">
        <v>3</v>
      </c>
      <c r="M377" s="279" t="s">
        <v>1167</v>
      </c>
      <c r="N377" s="279" t="s">
        <v>1168</v>
      </c>
      <c r="O377" s="279" t="s">
        <v>1169</v>
      </c>
      <c r="P377" s="283">
        <v>338</v>
      </c>
      <c r="Q377" s="279" t="s">
        <v>2826</v>
      </c>
      <c r="R377" s="279" t="s">
        <v>1175</v>
      </c>
      <c r="S377" s="279" t="s">
        <v>677</v>
      </c>
      <c r="T377" s="279">
        <v>0</v>
      </c>
      <c r="U377" s="267">
        <v>7</v>
      </c>
      <c r="V377" s="267">
        <v>7</v>
      </c>
      <c r="W377" s="224">
        <v>14</v>
      </c>
      <c r="X377" s="267">
        <v>7</v>
      </c>
      <c r="Y377" s="267">
        <v>7</v>
      </c>
      <c r="Z377" s="267">
        <v>8</v>
      </c>
      <c r="AA377" s="267">
        <v>7</v>
      </c>
      <c r="AB377" s="224">
        <v>29</v>
      </c>
      <c r="AC377" s="267">
        <v>7</v>
      </c>
      <c r="AD377" s="267">
        <v>7</v>
      </c>
      <c r="AE377" s="267">
        <v>7</v>
      </c>
      <c r="AF377" s="267">
        <v>8</v>
      </c>
      <c r="AG377" s="224">
        <v>29</v>
      </c>
      <c r="AH377" s="267">
        <v>7</v>
      </c>
      <c r="AI377" s="267">
        <v>7</v>
      </c>
      <c r="AJ377" s="267">
        <v>7</v>
      </c>
      <c r="AK377" s="267">
        <v>7</v>
      </c>
      <c r="AL377" s="224">
        <v>28</v>
      </c>
      <c r="AM377" s="104">
        <v>100</v>
      </c>
      <c r="AN377" s="103" t="s">
        <v>685</v>
      </c>
      <c r="AO377" s="103" t="s">
        <v>617</v>
      </c>
      <c r="AP377" s="103" t="s">
        <v>1230</v>
      </c>
      <c r="AQ377" s="103" t="s">
        <v>1202</v>
      </c>
      <c r="AR377" s="103" t="s">
        <v>951</v>
      </c>
      <c r="AS377" s="271"/>
      <c r="AT377" s="271"/>
      <c r="AU377" s="271"/>
      <c r="AV377" s="271"/>
      <c r="AW377" s="271">
        <v>2300000000</v>
      </c>
      <c r="AX377" s="271"/>
      <c r="AY377" s="271"/>
      <c r="AZ377" s="271"/>
      <c r="BA377" s="271"/>
      <c r="BB377" s="271"/>
      <c r="BC377" s="271"/>
      <c r="BD377" s="271"/>
      <c r="BE377" s="271"/>
      <c r="BF377" s="271"/>
      <c r="BG377" s="271"/>
      <c r="BH377" s="235">
        <f t="shared" si="141"/>
        <v>2300000000</v>
      </c>
      <c r="BI377" s="271"/>
      <c r="BJ377" s="271"/>
      <c r="BK377" s="271"/>
      <c r="BL377" s="271"/>
      <c r="BM377" s="271">
        <v>2000000000</v>
      </c>
      <c r="BN377" s="271"/>
      <c r="BO377" s="271"/>
      <c r="BP377" s="271"/>
      <c r="BQ377" s="271"/>
      <c r="BR377" s="271"/>
      <c r="BS377" s="271"/>
      <c r="BT377" s="271"/>
      <c r="BU377" s="271"/>
      <c r="BV377" s="271"/>
      <c r="BW377" s="271"/>
      <c r="BX377" s="235">
        <f t="shared" si="142"/>
        <v>2000000000</v>
      </c>
      <c r="BY377" s="271"/>
      <c r="BZ377" s="271"/>
      <c r="CA377" s="271"/>
      <c r="CB377" s="271"/>
      <c r="CC377" s="271">
        <v>3500000000</v>
      </c>
      <c r="CD377" s="271"/>
      <c r="CE377" s="271"/>
      <c r="CF377" s="271"/>
      <c r="CG377" s="271"/>
      <c r="CH377" s="271"/>
      <c r="CI377" s="271"/>
      <c r="CJ377" s="271"/>
      <c r="CK377" s="271"/>
      <c r="CL377" s="271"/>
      <c r="CM377" s="271"/>
      <c r="CN377" s="235">
        <f t="shared" si="143"/>
        <v>3500000000</v>
      </c>
      <c r="CO377" s="271"/>
      <c r="CP377" s="271"/>
      <c r="CQ377" s="271"/>
      <c r="CR377" s="271"/>
      <c r="CS377" s="271">
        <v>4026282000</v>
      </c>
      <c r="CT377" s="271"/>
      <c r="CU377" s="271"/>
      <c r="CV377" s="271"/>
      <c r="CW377" s="271"/>
      <c r="CX377" s="271"/>
      <c r="CY377" s="271"/>
      <c r="CZ377" s="271"/>
      <c r="DA377" s="271"/>
      <c r="DB377" s="271"/>
      <c r="DC377" s="271"/>
      <c r="DD377" s="234">
        <f t="shared" si="144"/>
        <v>4026282000</v>
      </c>
      <c r="DE377" s="244">
        <f t="shared" si="145"/>
        <v>11826282000</v>
      </c>
    </row>
    <row r="378" spans="1:110" s="98" customFormat="1" ht="89.1" customHeight="1">
      <c r="A378" s="103" t="s">
        <v>1237</v>
      </c>
      <c r="B378" s="279" t="s">
        <v>9</v>
      </c>
      <c r="C378" s="279" t="s">
        <v>1700</v>
      </c>
      <c r="D378" s="279">
        <v>31</v>
      </c>
      <c r="E378" s="279" t="s">
        <v>1164</v>
      </c>
      <c r="F378" s="280" t="s">
        <v>1165</v>
      </c>
      <c r="G378" s="279" t="s">
        <v>2821</v>
      </c>
      <c r="H378" s="279">
        <v>38</v>
      </c>
      <c r="I378" s="279" t="s">
        <v>1166</v>
      </c>
      <c r="J378" s="279" t="s">
        <v>683</v>
      </c>
      <c r="K378" s="279">
        <v>0</v>
      </c>
      <c r="L378" s="279">
        <v>3</v>
      </c>
      <c r="M378" s="279" t="s">
        <v>1167</v>
      </c>
      <c r="N378" s="279" t="s">
        <v>1168</v>
      </c>
      <c r="O378" s="279" t="s">
        <v>1169</v>
      </c>
      <c r="P378" s="283">
        <v>339</v>
      </c>
      <c r="Q378" s="279" t="s">
        <v>2827</v>
      </c>
      <c r="R378" s="279" t="s">
        <v>1176</v>
      </c>
      <c r="S378" s="279" t="s">
        <v>683</v>
      </c>
      <c r="T378" s="279">
        <v>0</v>
      </c>
      <c r="U378" s="267"/>
      <c r="V378" s="267">
        <v>7.0000000000000007E-2</v>
      </c>
      <c r="W378" s="224">
        <v>7.0000000000000007E-2</v>
      </c>
      <c r="X378" s="267">
        <v>0.08</v>
      </c>
      <c r="Y378" s="267">
        <v>0.08</v>
      </c>
      <c r="Z378" s="267">
        <v>0.08</v>
      </c>
      <c r="AA378" s="267">
        <v>0.08</v>
      </c>
      <c r="AB378" s="224">
        <v>0.32</v>
      </c>
      <c r="AC378" s="267">
        <v>0.08</v>
      </c>
      <c r="AD378" s="267">
        <v>0.08</v>
      </c>
      <c r="AE378" s="267">
        <v>0.08</v>
      </c>
      <c r="AF378" s="267">
        <v>7.0000000000000007E-2</v>
      </c>
      <c r="AG378" s="224">
        <v>0.31</v>
      </c>
      <c r="AH378" s="267">
        <v>7.0000000000000007E-2</v>
      </c>
      <c r="AI378" s="267">
        <v>0.08</v>
      </c>
      <c r="AJ378" s="267">
        <v>0.08</v>
      </c>
      <c r="AK378" s="267">
        <v>7.0000000000000007E-2</v>
      </c>
      <c r="AL378" s="224">
        <v>0.30000000000000004</v>
      </c>
      <c r="AM378" s="104">
        <v>1</v>
      </c>
      <c r="AN378" s="103" t="s">
        <v>685</v>
      </c>
      <c r="AO378" s="103" t="s">
        <v>617</v>
      </c>
      <c r="AP378" s="103" t="s">
        <v>1230</v>
      </c>
      <c r="AQ378" s="103" t="s">
        <v>1202</v>
      </c>
      <c r="AR378" s="103" t="s">
        <v>951</v>
      </c>
      <c r="AS378" s="271"/>
      <c r="AT378" s="271"/>
      <c r="AU378" s="271"/>
      <c r="AV378" s="271"/>
      <c r="AW378" s="271">
        <v>300000000</v>
      </c>
      <c r="AX378" s="271"/>
      <c r="AY378" s="271"/>
      <c r="AZ378" s="271"/>
      <c r="BA378" s="271"/>
      <c r="BB378" s="271"/>
      <c r="BC378" s="271"/>
      <c r="BD378" s="271"/>
      <c r="BE378" s="271"/>
      <c r="BF378" s="271"/>
      <c r="BG378" s="271"/>
      <c r="BH378" s="235">
        <f t="shared" si="141"/>
        <v>300000000</v>
      </c>
      <c r="BI378" s="271"/>
      <c r="BJ378" s="271"/>
      <c r="BK378" s="271"/>
      <c r="BL378" s="271"/>
      <c r="BM378" s="271">
        <v>100000000</v>
      </c>
      <c r="BN378" s="271"/>
      <c r="BO378" s="271"/>
      <c r="BP378" s="271"/>
      <c r="BQ378" s="271"/>
      <c r="BR378" s="271"/>
      <c r="BS378" s="271"/>
      <c r="BT378" s="271"/>
      <c r="BU378" s="271"/>
      <c r="BV378" s="271"/>
      <c r="BW378" s="271"/>
      <c r="BX378" s="235">
        <f t="shared" si="142"/>
        <v>100000000</v>
      </c>
      <c r="BY378" s="271"/>
      <c r="BZ378" s="271"/>
      <c r="CA378" s="271"/>
      <c r="CB378" s="271"/>
      <c r="CC378" s="271">
        <v>200000000</v>
      </c>
      <c r="CD378" s="271"/>
      <c r="CE378" s="271"/>
      <c r="CF378" s="271"/>
      <c r="CG378" s="271"/>
      <c r="CH378" s="271"/>
      <c r="CI378" s="271"/>
      <c r="CJ378" s="271"/>
      <c r="CK378" s="271"/>
      <c r="CL378" s="271"/>
      <c r="CM378" s="271"/>
      <c r="CN378" s="235">
        <f t="shared" si="143"/>
        <v>200000000</v>
      </c>
      <c r="CO378" s="271"/>
      <c r="CP378" s="271"/>
      <c r="CQ378" s="271"/>
      <c r="CR378" s="271"/>
      <c r="CS378" s="271">
        <v>30000000</v>
      </c>
      <c r="CT378" s="271"/>
      <c r="CU378" s="271"/>
      <c r="CV378" s="271"/>
      <c r="CW378" s="271"/>
      <c r="CX378" s="271"/>
      <c r="CY378" s="271"/>
      <c r="CZ378" s="271"/>
      <c r="DA378" s="271"/>
      <c r="DB378" s="271"/>
      <c r="DC378" s="271"/>
      <c r="DD378" s="234">
        <f t="shared" si="144"/>
        <v>30000000</v>
      </c>
      <c r="DE378" s="244">
        <f t="shared" si="145"/>
        <v>630000000</v>
      </c>
    </row>
    <row r="379" spans="1:110" s="98" customFormat="1" ht="89.1" customHeight="1">
      <c r="A379" s="103" t="s">
        <v>1237</v>
      </c>
      <c r="B379" s="279" t="s">
        <v>9</v>
      </c>
      <c r="C379" s="279" t="s">
        <v>1700</v>
      </c>
      <c r="D379" s="279">
        <v>31</v>
      </c>
      <c r="E379" s="279" t="s">
        <v>1164</v>
      </c>
      <c r="F379" s="280" t="s">
        <v>1165</v>
      </c>
      <c r="G379" s="279" t="s">
        <v>2821</v>
      </c>
      <c r="H379" s="279">
        <v>38</v>
      </c>
      <c r="I379" s="279" t="s">
        <v>1166</v>
      </c>
      <c r="J379" s="279" t="s">
        <v>683</v>
      </c>
      <c r="K379" s="279">
        <v>0</v>
      </c>
      <c r="L379" s="279">
        <v>3</v>
      </c>
      <c r="M379" s="279" t="s">
        <v>1167</v>
      </c>
      <c r="N379" s="279" t="s">
        <v>1168</v>
      </c>
      <c r="O379" s="279" t="s">
        <v>1169</v>
      </c>
      <c r="P379" s="283">
        <v>340</v>
      </c>
      <c r="Q379" s="279" t="s">
        <v>3433</v>
      </c>
      <c r="R379" s="279" t="s">
        <v>412</v>
      </c>
      <c r="S379" s="279" t="s">
        <v>683</v>
      </c>
      <c r="T379" s="279">
        <v>0</v>
      </c>
      <c r="U379" s="267">
        <v>0.3</v>
      </c>
      <c r="V379" s="267"/>
      <c r="W379" s="224">
        <v>0.3</v>
      </c>
      <c r="X379" s="267"/>
      <c r="Y379" s="267">
        <v>0.7</v>
      </c>
      <c r="Z379" s="267"/>
      <c r="AA379" s="267"/>
      <c r="AB379" s="224">
        <v>0.7</v>
      </c>
      <c r="AC379" s="267"/>
      <c r="AD379" s="267"/>
      <c r="AE379" s="267"/>
      <c r="AF379" s="267"/>
      <c r="AG379" s="224">
        <v>0</v>
      </c>
      <c r="AH379" s="267"/>
      <c r="AI379" s="267"/>
      <c r="AJ379" s="267"/>
      <c r="AK379" s="267"/>
      <c r="AL379" s="224">
        <v>0</v>
      </c>
      <c r="AM379" s="104">
        <v>1</v>
      </c>
      <c r="AN379" s="103" t="s">
        <v>685</v>
      </c>
      <c r="AO379" s="103" t="s">
        <v>617</v>
      </c>
      <c r="AP379" s="103" t="s">
        <v>1230</v>
      </c>
      <c r="AQ379" s="103" t="s">
        <v>1202</v>
      </c>
      <c r="AR379" s="103" t="s">
        <v>951</v>
      </c>
      <c r="AS379" s="271"/>
      <c r="AT379" s="271"/>
      <c r="AU379" s="271"/>
      <c r="AV379" s="271"/>
      <c r="AW379" s="271">
        <v>500000000</v>
      </c>
      <c r="AX379" s="271"/>
      <c r="AY379" s="271"/>
      <c r="AZ379" s="271"/>
      <c r="BA379" s="271"/>
      <c r="BB379" s="271"/>
      <c r="BC379" s="271"/>
      <c r="BD379" s="271"/>
      <c r="BE379" s="271"/>
      <c r="BF379" s="271"/>
      <c r="BG379" s="271"/>
      <c r="BH379" s="235">
        <f t="shared" si="141"/>
        <v>500000000</v>
      </c>
      <c r="BI379" s="271"/>
      <c r="BJ379" s="271"/>
      <c r="BK379" s="271"/>
      <c r="BL379" s="271"/>
      <c r="BM379" s="271">
        <v>100000000</v>
      </c>
      <c r="BN379" s="271"/>
      <c r="BO379" s="271"/>
      <c r="BP379" s="271"/>
      <c r="BQ379" s="271"/>
      <c r="BR379" s="271"/>
      <c r="BS379" s="271"/>
      <c r="BT379" s="271"/>
      <c r="BU379" s="271"/>
      <c r="BV379" s="271"/>
      <c r="BW379" s="271"/>
      <c r="BX379" s="235">
        <f t="shared" si="142"/>
        <v>100000000</v>
      </c>
      <c r="BY379" s="271"/>
      <c r="BZ379" s="271"/>
      <c r="CA379" s="271"/>
      <c r="CB379" s="271"/>
      <c r="CC379" s="271"/>
      <c r="CD379" s="271"/>
      <c r="CE379" s="271"/>
      <c r="CF379" s="271"/>
      <c r="CG379" s="271"/>
      <c r="CH379" s="271"/>
      <c r="CI379" s="271"/>
      <c r="CJ379" s="271"/>
      <c r="CK379" s="271"/>
      <c r="CL379" s="271"/>
      <c r="CM379" s="271"/>
      <c r="CN379" s="235">
        <f t="shared" si="143"/>
        <v>0</v>
      </c>
      <c r="CO379" s="271"/>
      <c r="CP379" s="271"/>
      <c r="CQ379" s="271"/>
      <c r="CR379" s="271"/>
      <c r="CS379" s="271"/>
      <c r="CT379" s="271"/>
      <c r="CU379" s="271"/>
      <c r="CV379" s="271"/>
      <c r="CW379" s="271"/>
      <c r="CX379" s="271"/>
      <c r="CY379" s="271"/>
      <c r="CZ379" s="271"/>
      <c r="DA379" s="271"/>
      <c r="DB379" s="271"/>
      <c r="DC379" s="271"/>
      <c r="DD379" s="234">
        <f t="shared" si="144"/>
        <v>0</v>
      </c>
      <c r="DE379" s="244">
        <f t="shared" si="145"/>
        <v>600000000</v>
      </c>
    </row>
    <row r="380" spans="1:110" s="98" customFormat="1" ht="89.1" customHeight="1">
      <c r="A380" s="103" t="s">
        <v>1237</v>
      </c>
      <c r="B380" s="279" t="s">
        <v>9</v>
      </c>
      <c r="C380" s="279" t="s">
        <v>1700</v>
      </c>
      <c r="D380" s="279">
        <v>31</v>
      </c>
      <c r="E380" s="279" t="s">
        <v>1164</v>
      </c>
      <c r="F380" s="280" t="s">
        <v>1165</v>
      </c>
      <c r="G380" s="279" t="s">
        <v>2821</v>
      </c>
      <c r="H380" s="279">
        <v>38</v>
      </c>
      <c r="I380" s="279" t="s">
        <v>1166</v>
      </c>
      <c r="J380" s="279" t="s">
        <v>683</v>
      </c>
      <c r="K380" s="279">
        <v>0</v>
      </c>
      <c r="L380" s="279">
        <v>3</v>
      </c>
      <c r="M380" s="279" t="s">
        <v>1167</v>
      </c>
      <c r="N380" s="279" t="s">
        <v>1168</v>
      </c>
      <c r="O380" s="279" t="s">
        <v>1169</v>
      </c>
      <c r="P380" s="283">
        <v>341</v>
      </c>
      <c r="Q380" s="279" t="s">
        <v>2828</v>
      </c>
      <c r="R380" s="279" t="s">
        <v>1177</v>
      </c>
      <c r="S380" s="279" t="s">
        <v>683</v>
      </c>
      <c r="T380" s="279">
        <v>0</v>
      </c>
      <c r="U380" s="267"/>
      <c r="V380" s="267"/>
      <c r="W380" s="224">
        <v>0</v>
      </c>
      <c r="X380" s="267"/>
      <c r="Y380" s="267">
        <v>0.5</v>
      </c>
      <c r="Z380" s="267"/>
      <c r="AA380" s="267">
        <v>0.5</v>
      </c>
      <c r="AB380" s="224">
        <v>1</v>
      </c>
      <c r="AC380" s="267"/>
      <c r="AD380" s="267"/>
      <c r="AE380" s="267"/>
      <c r="AF380" s="267"/>
      <c r="AG380" s="224">
        <v>0</v>
      </c>
      <c r="AH380" s="267"/>
      <c r="AI380" s="267"/>
      <c r="AJ380" s="267"/>
      <c r="AK380" s="267"/>
      <c r="AL380" s="224">
        <v>0</v>
      </c>
      <c r="AM380" s="104">
        <v>1</v>
      </c>
      <c r="AN380" s="103" t="s">
        <v>685</v>
      </c>
      <c r="AO380" s="103" t="s">
        <v>617</v>
      </c>
      <c r="AP380" s="103" t="s">
        <v>1230</v>
      </c>
      <c r="AQ380" s="103" t="s">
        <v>1202</v>
      </c>
      <c r="AR380" s="103" t="s">
        <v>951</v>
      </c>
      <c r="AS380" s="271"/>
      <c r="AT380" s="271"/>
      <c r="AU380" s="271"/>
      <c r="AV380" s="271"/>
      <c r="AW380" s="271"/>
      <c r="AX380" s="271"/>
      <c r="AY380" s="271"/>
      <c r="AZ380" s="271"/>
      <c r="BA380" s="271"/>
      <c r="BB380" s="271"/>
      <c r="BC380" s="271"/>
      <c r="BD380" s="271"/>
      <c r="BE380" s="271"/>
      <c r="BF380" s="271"/>
      <c r="BG380" s="271"/>
      <c r="BH380" s="235">
        <f t="shared" si="141"/>
        <v>0</v>
      </c>
      <c r="BI380" s="271"/>
      <c r="BJ380" s="271"/>
      <c r="BK380" s="271"/>
      <c r="BL380" s="271"/>
      <c r="BM380" s="271">
        <v>100000000</v>
      </c>
      <c r="BN380" s="271"/>
      <c r="BO380" s="271"/>
      <c r="BP380" s="271"/>
      <c r="BQ380" s="271"/>
      <c r="BR380" s="271"/>
      <c r="BS380" s="271"/>
      <c r="BT380" s="271"/>
      <c r="BU380" s="271"/>
      <c r="BV380" s="271"/>
      <c r="BW380" s="271"/>
      <c r="BX380" s="235">
        <f t="shared" si="142"/>
        <v>100000000</v>
      </c>
      <c r="BY380" s="271"/>
      <c r="BZ380" s="271"/>
      <c r="CA380" s="271"/>
      <c r="CB380" s="271"/>
      <c r="CC380" s="271"/>
      <c r="CD380" s="271"/>
      <c r="CE380" s="271"/>
      <c r="CF380" s="271"/>
      <c r="CG380" s="271"/>
      <c r="CH380" s="271"/>
      <c r="CI380" s="271"/>
      <c r="CJ380" s="271"/>
      <c r="CK380" s="271"/>
      <c r="CL380" s="271"/>
      <c r="CM380" s="271"/>
      <c r="CN380" s="235">
        <f t="shared" si="143"/>
        <v>0</v>
      </c>
      <c r="CO380" s="271"/>
      <c r="CP380" s="271"/>
      <c r="CQ380" s="271"/>
      <c r="CR380" s="271"/>
      <c r="CS380" s="271"/>
      <c r="CT380" s="271"/>
      <c r="CU380" s="271"/>
      <c r="CV380" s="271"/>
      <c r="CW380" s="271"/>
      <c r="CX380" s="271"/>
      <c r="CY380" s="271"/>
      <c r="CZ380" s="271"/>
      <c r="DA380" s="271"/>
      <c r="DB380" s="271"/>
      <c r="DC380" s="271"/>
      <c r="DD380" s="234">
        <f t="shared" si="144"/>
        <v>0</v>
      </c>
      <c r="DE380" s="244">
        <f t="shared" si="145"/>
        <v>100000000</v>
      </c>
    </row>
    <row r="381" spans="1:110" s="98" customFormat="1" ht="89.1" customHeight="1">
      <c r="A381" s="120" t="s">
        <v>1237</v>
      </c>
      <c r="B381" s="281" t="s">
        <v>9</v>
      </c>
      <c r="C381" s="281" t="s">
        <v>1700</v>
      </c>
      <c r="D381" s="281">
        <v>31</v>
      </c>
      <c r="E381" s="281" t="s">
        <v>1164</v>
      </c>
      <c r="F381" s="282" t="s">
        <v>1165</v>
      </c>
      <c r="G381" s="281" t="s">
        <v>2821</v>
      </c>
      <c r="H381" s="281">
        <v>38</v>
      </c>
      <c r="I381" s="281" t="s">
        <v>1166</v>
      </c>
      <c r="J381" s="281" t="s">
        <v>683</v>
      </c>
      <c r="K381" s="281">
        <v>0</v>
      </c>
      <c r="L381" s="281">
        <v>3</v>
      </c>
      <c r="M381" s="281" t="s">
        <v>1178</v>
      </c>
      <c r="N381" s="281" t="s">
        <v>1179</v>
      </c>
      <c r="O381" s="281" t="s">
        <v>413</v>
      </c>
      <c r="P381" s="283">
        <v>342</v>
      </c>
      <c r="Q381" s="281" t="s">
        <v>2829</v>
      </c>
      <c r="R381" s="281" t="s">
        <v>414</v>
      </c>
      <c r="S381" s="281" t="s">
        <v>683</v>
      </c>
      <c r="T381" s="281">
        <v>0</v>
      </c>
      <c r="U381" s="275"/>
      <c r="V381" s="275"/>
      <c r="W381" s="225">
        <v>0</v>
      </c>
      <c r="X381" s="275"/>
      <c r="Y381" s="275"/>
      <c r="Z381" s="275">
        <v>0.5</v>
      </c>
      <c r="AA381" s="275"/>
      <c r="AB381" s="225">
        <v>0.5</v>
      </c>
      <c r="AC381" s="275"/>
      <c r="AD381" s="275">
        <v>0.5</v>
      </c>
      <c r="AE381" s="275"/>
      <c r="AF381" s="275"/>
      <c r="AG381" s="225">
        <v>0.5</v>
      </c>
      <c r="AH381" s="275"/>
      <c r="AI381" s="275"/>
      <c r="AJ381" s="275"/>
      <c r="AK381" s="275"/>
      <c r="AL381" s="225">
        <v>0</v>
      </c>
      <c r="AM381" s="119">
        <v>1</v>
      </c>
      <c r="AN381" s="120" t="s">
        <v>685</v>
      </c>
      <c r="AO381" s="120" t="s">
        <v>1211</v>
      </c>
      <c r="AP381" s="120" t="s">
        <v>1223</v>
      </c>
      <c r="AQ381" s="120" t="s">
        <v>1207</v>
      </c>
      <c r="AR381" s="120" t="s">
        <v>951</v>
      </c>
      <c r="AS381" s="276"/>
      <c r="AT381" s="276"/>
      <c r="AU381" s="276"/>
      <c r="AV381" s="276"/>
      <c r="AW381" s="276"/>
      <c r="AX381" s="276"/>
      <c r="AY381" s="276"/>
      <c r="AZ381" s="276"/>
      <c r="BA381" s="276"/>
      <c r="BB381" s="276"/>
      <c r="BC381" s="276"/>
      <c r="BD381" s="276"/>
      <c r="BE381" s="276"/>
      <c r="BF381" s="276"/>
      <c r="BG381" s="276"/>
      <c r="BH381" s="236">
        <f t="shared" si="141"/>
        <v>0</v>
      </c>
      <c r="BI381" s="276"/>
      <c r="BJ381" s="276"/>
      <c r="BK381" s="276"/>
      <c r="BL381" s="276"/>
      <c r="BM381" s="276">
        <v>100000000</v>
      </c>
      <c r="BN381" s="276"/>
      <c r="BO381" s="276"/>
      <c r="BP381" s="276"/>
      <c r="BQ381" s="276"/>
      <c r="BR381" s="276"/>
      <c r="BS381" s="276"/>
      <c r="BT381" s="276"/>
      <c r="BU381" s="276"/>
      <c r="BV381" s="276"/>
      <c r="BW381" s="276"/>
      <c r="BX381" s="236">
        <f t="shared" si="142"/>
        <v>100000000</v>
      </c>
      <c r="BY381" s="276"/>
      <c r="BZ381" s="276"/>
      <c r="CA381" s="276"/>
      <c r="CB381" s="276"/>
      <c r="CC381" s="276">
        <v>109700000</v>
      </c>
      <c r="CD381" s="276"/>
      <c r="CE381" s="276"/>
      <c r="CF381" s="276"/>
      <c r="CG381" s="276"/>
      <c r="CH381" s="276"/>
      <c r="CI381" s="276"/>
      <c r="CJ381" s="276"/>
      <c r="CK381" s="276"/>
      <c r="CL381" s="276"/>
      <c r="CM381" s="276"/>
      <c r="CN381" s="236">
        <f t="shared" si="143"/>
        <v>109700000</v>
      </c>
      <c r="CO381" s="276"/>
      <c r="CP381" s="276"/>
      <c r="CQ381" s="276"/>
      <c r="CR381" s="276"/>
      <c r="CS381" s="276"/>
      <c r="CT381" s="276"/>
      <c r="CU381" s="276"/>
      <c r="CV381" s="276"/>
      <c r="CW381" s="276"/>
      <c r="CX381" s="276"/>
      <c r="CY381" s="276"/>
      <c r="CZ381" s="276"/>
      <c r="DA381" s="276"/>
      <c r="DB381" s="276"/>
      <c r="DC381" s="276"/>
      <c r="DD381" s="240">
        <f t="shared" si="144"/>
        <v>0</v>
      </c>
      <c r="DE381" s="245">
        <f t="shared" si="145"/>
        <v>209700000</v>
      </c>
    </row>
    <row r="382" spans="1:110" ht="65.099999999999994" customHeight="1">
      <c r="A382" s="134" t="s">
        <v>1237</v>
      </c>
      <c r="B382" s="134" t="s">
        <v>9</v>
      </c>
      <c r="C382" s="134" t="s">
        <v>1700</v>
      </c>
      <c r="D382" s="134">
        <v>31</v>
      </c>
      <c r="E382" s="134" t="s">
        <v>1164</v>
      </c>
      <c r="F382" s="135"/>
      <c r="G382" s="136"/>
      <c r="H382" s="137"/>
      <c r="I382" s="137"/>
      <c r="J382" s="137"/>
      <c r="K382" s="138"/>
      <c r="L382" s="137"/>
      <c r="M382" s="137"/>
      <c r="N382" s="137"/>
      <c r="O382" s="137"/>
      <c r="P382" s="137"/>
      <c r="Q382" s="136"/>
      <c r="R382" s="139"/>
      <c r="S382" s="137"/>
      <c r="T382" s="137"/>
      <c r="U382" s="140"/>
      <c r="V382" s="140"/>
      <c r="W382" s="138"/>
      <c r="X382" s="140"/>
      <c r="Y382" s="140"/>
      <c r="Z382" s="140"/>
      <c r="AA382" s="140"/>
      <c r="AB382" s="138"/>
      <c r="AC382" s="140"/>
      <c r="AD382" s="140"/>
      <c r="AE382" s="140"/>
      <c r="AF382" s="140"/>
      <c r="AG382" s="138"/>
      <c r="AH382" s="140"/>
      <c r="AI382" s="140"/>
      <c r="AJ382" s="140"/>
      <c r="AK382" s="140"/>
      <c r="AL382" s="138"/>
      <c r="AM382" s="141"/>
      <c r="AN382" s="142"/>
      <c r="AO382" s="142"/>
      <c r="AP382" s="143"/>
      <c r="AQ382" s="143"/>
      <c r="AR382" s="144"/>
      <c r="AS382" s="132">
        <f>SUM(AS372:AS381)</f>
        <v>0</v>
      </c>
      <c r="AT382" s="132">
        <f t="shared" ref="AT382:DE382" si="146">SUM(AT372:AT381)</f>
        <v>0</v>
      </c>
      <c r="AU382" s="132">
        <f t="shared" si="146"/>
        <v>0</v>
      </c>
      <c r="AV382" s="132">
        <f t="shared" si="146"/>
        <v>0</v>
      </c>
      <c r="AW382" s="132">
        <f t="shared" si="146"/>
        <v>3800000000</v>
      </c>
      <c r="AX382" s="132">
        <f t="shared" si="146"/>
        <v>0</v>
      </c>
      <c r="AY382" s="132">
        <f t="shared" si="146"/>
        <v>0</v>
      </c>
      <c r="AZ382" s="132">
        <f t="shared" si="146"/>
        <v>0</v>
      </c>
      <c r="BA382" s="132">
        <f t="shared" si="146"/>
        <v>0</v>
      </c>
      <c r="BB382" s="132">
        <f t="shared" si="146"/>
        <v>0</v>
      </c>
      <c r="BC382" s="132">
        <f t="shared" si="146"/>
        <v>0</v>
      </c>
      <c r="BD382" s="132">
        <f t="shared" si="146"/>
        <v>0</v>
      </c>
      <c r="BE382" s="132">
        <f t="shared" si="146"/>
        <v>0</v>
      </c>
      <c r="BF382" s="132">
        <f t="shared" si="146"/>
        <v>0</v>
      </c>
      <c r="BG382" s="132">
        <f t="shared" si="146"/>
        <v>0</v>
      </c>
      <c r="BH382" s="133">
        <f>IF(OR(AND(BH372=0,W372&lt;&gt;0),AND(BH373=0,W373&lt;&gt;0),AND(BH374=0,W374&lt;&gt;0),AND(BH375=0,W375&lt;&gt;0),AND(BH376=0,W376&lt;&gt;0),AND(BH377=0,W377&lt;&gt;0),AND(BH378=0,W378&lt;&gt;0),AND(BH379=0,W379&lt;&gt;0),AND(BH380=0,W380&lt;&gt;0),AND(BH381=0,W381&lt;&gt;0)),"NO DEBEN QUEDAR CELDAS EN ROJO",SUM(BH372:BH381))</f>
        <v>3800000000</v>
      </c>
      <c r="BI382" s="132">
        <f t="shared" si="146"/>
        <v>0</v>
      </c>
      <c r="BJ382" s="132">
        <f t="shared" si="146"/>
        <v>0</v>
      </c>
      <c r="BK382" s="132">
        <f t="shared" si="146"/>
        <v>0</v>
      </c>
      <c r="BL382" s="132">
        <f t="shared" si="146"/>
        <v>0</v>
      </c>
      <c r="BM382" s="132">
        <f t="shared" si="146"/>
        <v>3990000000</v>
      </c>
      <c r="BN382" s="132">
        <f t="shared" si="146"/>
        <v>0</v>
      </c>
      <c r="BO382" s="132">
        <f t="shared" si="146"/>
        <v>0</v>
      </c>
      <c r="BP382" s="132">
        <f t="shared" si="146"/>
        <v>0</v>
      </c>
      <c r="BQ382" s="132">
        <f t="shared" si="146"/>
        <v>0</v>
      </c>
      <c r="BR382" s="132">
        <f t="shared" si="146"/>
        <v>0</v>
      </c>
      <c r="BS382" s="132">
        <f t="shared" si="146"/>
        <v>0</v>
      </c>
      <c r="BT382" s="132">
        <f t="shared" si="146"/>
        <v>0</v>
      </c>
      <c r="BU382" s="132">
        <f t="shared" si="146"/>
        <v>0</v>
      </c>
      <c r="BV382" s="132">
        <f t="shared" si="146"/>
        <v>0</v>
      </c>
      <c r="BW382" s="132">
        <f t="shared" si="146"/>
        <v>0</v>
      </c>
      <c r="BX382" s="133">
        <f>IF(OR(AND(BX372=0,AB372&lt;&gt;0),AND(BX373=0,AB373&lt;&gt;0),AND(BX374=0,AB374&lt;&gt;0),AND(BX375=0,AB375&lt;&gt;0),AND(BX376=0,AB376&lt;&gt;0),AND(BX377=0,AB377&lt;&gt;0),AND(BX378=0,AB378&lt;&gt;0),AND(BX379=0,AB379&lt;&gt;0),AND(BX380=0,AB380&lt;&gt;0),AND(BX381=0,AB381&lt;&gt;0)),"NO DEBEN QUEDAR CELDAS EN ROJO",SUM(BX372:BX381))</f>
        <v>3990000000</v>
      </c>
      <c r="BY382" s="132">
        <f t="shared" si="146"/>
        <v>0</v>
      </c>
      <c r="BZ382" s="132">
        <f t="shared" si="146"/>
        <v>0</v>
      </c>
      <c r="CA382" s="132">
        <f t="shared" si="146"/>
        <v>0</v>
      </c>
      <c r="CB382" s="132">
        <f t="shared" si="146"/>
        <v>0</v>
      </c>
      <c r="CC382" s="132">
        <f t="shared" si="146"/>
        <v>4109700000</v>
      </c>
      <c r="CD382" s="132">
        <f t="shared" si="146"/>
        <v>0</v>
      </c>
      <c r="CE382" s="132">
        <f t="shared" si="146"/>
        <v>0</v>
      </c>
      <c r="CF382" s="132">
        <f t="shared" si="146"/>
        <v>0</v>
      </c>
      <c r="CG382" s="132">
        <f t="shared" si="146"/>
        <v>0</v>
      </c>
      <c r="CH382" s="132">
        <f t="shared" si="146"/>
        <v>0</v>
      </c>
      <c r="CI382" s="132">
        <f t="shared" si="146"/>
        <v>0</v>
      </c>
      <c r="CJ382" s="132">
        <f t="shared" si="146"/>
        <v>0</v>
      </c>
      <c r="CK382" s="132">
        <f t="shared" si="146"/>
        <v>0</v>
      </c>
      <c r="CL382" s="132">
        <f t="shared" si="146"/>
        <v>0</v>
      </c>
      <c r="CM382" s="132">
        <f t="shared" si="146"/>
        <v>0</v>
      </c>
      <c r="CN382" s="133">
        <f>IF(OR(AND(CN372=0,AG372&lt;&gt;0),AND(CN373=0,AG373&lt;&gt;0),AND(CN374=0,AG374&lt;&gt;0),AND(CN375=0,AG375&lt;&gt;0),AND(CN376=0,AG376&lt;&gt;0),AND(CN377=0,AG377&lt;&gt;0),AND(CN378=0,AG378&lt;&gt;0),AND(CN379=0,AG379&lt;&gt;0),AND(CN380=0,AG380&lt;&gt;0),AND(CN381=0,AG381&lt;&gt;0)),"NO DEBEN QUEDAR CELDAS EN ROJO",SUM(CN372:CN381))</f>
        <v>4109700000</v>
      </c>
      <c r="CO382" s="132">
        <f t="shared" si="146"/>
        <v>0</v>
      </c>
      <c r="CP382" s="132">
        <f t="shared" si="146"/>
        <v>0</v>
      </c>
      <c r="CQ382" s="132">
        <f t="shared" si="146"/>
        <v>0</v>
      </c>
      <c r="CR382" s="132">
        <f t="shared" si="146"/>
        <v>0</v>
      </c>
      <c r="CS382" s="132">
        <f t="shared" si="146"/>
        <v>4356282000</v>
      </c>
      <c r="CT382" s="132">
        <f t="shared" si="146"/>
        <v>0</v>
      </c>
      <c r="CU382" s="132">
        <f t="shared" si="146"/>
        <v>0</v>
      </c>
      <c r="CV382" s="132">
        <f t="shared" si="146"/>
        <v>0</v>
      </c>
      <c r="CW382" s="132">
        <f t="shared" si="146"/>
        <v>0</v>
      </c>
      <c r="CX382" s="132">
        <f t="shared" si="146"/>
        <v>0</v>
      </c>
      <c r="CY382" s="132">
        <f t="shared" si="146"/>
        <v>0</v>
      </c>
      <c r="CZ382" s="132">
        <f t="shared" si="146"/>
        <v>0</v>
      </c>
      <c r="DA382" s="132">
        <f t="shared" si="146"/>
        <v>0</v>
      </c>
      <c r="DB382" s="132">
        <f t="shared" si="146"/>
        <v>0</v>
      </c>
      <c r="DC382" s="132">
        <f t="shared" si="146"/>
        <v>0</v>
      </c>
      <c r="DD382" s="133">
        <f>IF(OR(AND(DD372=0,AL372&lt;&gt;0),AND(DD373=0,AL373&lt;&gt;0),AND(DD374=0,AL374&lt;&gt;0),AND(DD375=0,AL375&lt;&gt;0),AND(DD376=0,AL376&lt;&gt;0),AND(DD377=0,AL377&lt;&gt;0),AND(DD378=0,AL378&lt;&gt;0),AND(DD379=0,AL379&lt;&gt;0),AND(DD380=0,AL380&lt;&gt;0),AND(DD381=0,AL381&lt;&gt;0)),"NO DEBEN QUEDAR CELDAS EN ROJO",SUM(DD372:DD381))</f>
        <v>4356282000</v>
      </c>
      <c r="DE382" s="133">
        <f t="shared" si="146"/>
        <v>16255982000</v>
      </c>
      <c r="DF382" s="101"/>
    </row>
    <row r="383" spans="1:110" s="98" customFormat="1" ht="85.05" customHeight="1">
      <c r="A383" s="103" t="s">
        <v>1237</v>
      </c>
      <c r="B383" s="103" t="s">
        <v>9</v>
      </c>
      <c r="C383" s="103" t="s">
        <v>1700</v>
      </c>
      <c r="D383" s="103">
        <v>32</v>
      </c>
      <c r="E383" s="103" t="s">
        <v>1180</v>
      </c>
      <c r="F383" s="278" t="s">
        <v>1181</v>
      </c>
      <c r="G383" s="103" t="s">
        <v>2830</v>
      </c>
      <c r="H383" s="103">
        <v>39</v>
      </c>
      <c r="I383" s="103" t="s">
        <v>415</v>
      </c>
      <c r="J383" s="103" t="s">
        <v>683</v>
      </c>
      <c r="K383" s="103">
        <v>0</v>
      </c>
      <c r="L383" s="103">
        <v>1</v>
      </c>
      <c r="M383" s="103" t="s">
        <v>1182</v>
      </c>
      <c r="N383" s="103" t="s">
        <v>1183</v>
      </c>
      <c r="O383" s="103" t="s">
        <v>1184</v>
      </c>
      <c r="P383" s="283">
        <v>343</v>
      </c>
      <c r="Q383" s="103" t="s">
        <v>2831</v>
      </c>
      <c r="R383" s="103" t="s">
        <v>1185</v>
      </c>
      <c r="S383" s="103" t="s">
        <v>683</v>
      </c>
      <c r="T383" s="103">
        <v>0</v>
      </c>
      <c r="U383" s="267"/>
      <c r="V383" s="267">
        <v>0.25</v>
      </c>
      <c r="W383" s="224">
        <v>0.25</v>
      </c>
      <c r="X383" s="267"/>
      <c r="Y383" s="267">
        <v>0.25</v>
      </c>
      <c r="Z383" s="267"/>
      <c r="AA383" s="267"/>
      <c r="AB383" s="224">
        <v>0.25</v>
      </c>
      <c r="AC383" s="267"/>
      <c r="AD383" s="267">
        <v>0.25</v>
      </c>
      <c r="AE383" s="267"/>
      <c r="AF383" s="267"/>
      <c r="AG383" s="224">
        <v>0.25</v>
      </c>
      <c r="AH383" s="267"/>
      <c r="AI383" s="267">
        <v>0.25</v>
      </c>
      <c r="AJ383" s="267"/>
      <c r="AK383" s="267"/>
      <c r="AL383" s="224">
        <v>0.25</v>
      </c>
      <c r="AM383" s="102">
        <v>1</v>
      </c>
      <c r="AN383" s="103" t="s">
        <v>685</v>
      </c>
      <c r="AO383" s="103" t="s">
        <v>617</v>
      </c>
      <c r="AP383" s="103" t="s">
        <v>1230</v>
      </c>
      <c r="AQ383" s="103" t="s">
        <v>1207</v>
      </c>
      <c r="AR383" s="103" t="s">
        <v>951</v>
      </c>
      <c r="AS383" s="268"/>
      <c r="AT383" s="268"/>
      <c r="AU383" s="268"/>
      <c r="AV383" s="268"/>
      <c r="AW383" s="268">
        <v>4000000</v>
      </c>
      <c r="AX383" s="268"/>
      <c r="AY383" s="268"/>
      <c r="AZ383" s="268"/>
      <c r="BA383" s="268"/>
      <c r="BB383" s="268"/>
      <c r="BC383" s="268"/>
      <c r="BD383" s="268"/>
      <c r="BE383" s="268"/>
      <c r="BF383" s="268"/>
      <c r="BG383" s="268"/>
      <c r="BH383" s="234">
        <f>IF(W383=0,0,BG383+BF383+BE383+BD383+BC383+BB383+BA383+AZ383+AY383+AX383+AW383+AV383+AU383+AT383+AS383)</f>
        <v>4000000</v>
      </c>
      <c r="BI383" s="268"/>
      <c r="BJ383" s="268"/>
      <c r="BK383" s="268"/>
      <c r="BL383" s="268"/>
      <c r="BM383" s="268">
        <v>1000000</v>
      </c>
      <c r="BN383" s="268"/>
      <c r="BO383" s="268"/>
      <c r="BP383" s="268"/>
      <c r="BQ383" s="268"/>
      <c r="BR383" s="268"/>
      <c r="BS383" s="268"/>
      <c r="BT383" s="268"/>
      <c r="BU383" s="268"/>
      <c r="BV383" s="268"/>
      <c r="BW383" s="268"/>
      <c r="BX383" s="234">
        <f>IF(AB383=0,0,BI383+BJ383+BK383+BL383+BM383+BN383+BO383+BP383+BQ383+BR383+BS383+BT383+BU383+BV383+BW383)</f>
        <v>1000000</v>
      </c>
      <c r="BY383" s="268"/>
      <c r="BZ383" s="268"/>
      <c r="CA383" s="268"/>
      <c r="CB383" s="268"/>
      <c r="CC383" s="268">
        <v>30000000</v>
      </c>
      <c r="CD383" s="268"/>
      <c r="CE383" s="268"/>
      <c r="CF383" s="268"/>
      <c r="CG383" s="268"/>
      <c r="CH383" s="268"/>
      <c r="CI383" s="268"/>
      <c r="CJ383" s="268"/>
      <c r="CK383" s="268"/>
      <c r="CL383" s="268"/>
      <c r="CM383" s="268"/>
      <c r="CN383" s="234">
        <f>IF(AG383=0,0,(BY383+BZ383+CA383+CB383+CC383+CD383+CE383+CF383+CG383+CH383+CI383+CJ383+CK383+CL383+CM383))</f>
        <v>30000000</v>
      </c>
      <c r="CO383" s="268"/>
      <c r="CP383" s="268"/>
      <c r="CQ383" s="268"/>
      <c r="CR383" s="268"/>
      <c r="CS383" s="268">
        <v>30000000</v>
      </c>
      <c r="CT383" s="268"/>
      <c r="CU383" s="268"/>
      <c r="CV383" s="268"/>
      <c r="CW383" s="268"/>
      <c r="CX383" s="268"/>
      <c r="CY383" s="268"/>
      <c r="CZ383" s="268"/>
      <c r="DA383" s="268"/>
      <c r="DB383" s="268"/>
      <c r="DC383" s="268"/>
      <c r="DD383" s="234">
        <f>IF(AL383=0,0,(CO383+CP383+CQ383+CR383+CS383+CT383+CU383+CV383+CW383+CX383+CY383+CZ383+DA383+DB383+DC383))</f>
        <v>30000000</v>
      </c>
      <c r="DE383" s="243">
        <f t="shared" ref="DE383:DE385" si="147">SUM(DD383+CN383+BX383+BH383)</f>
        <v>65000000</v>
      </c>
    </row>
    <row r="384" spans="1:110" s="98" customFormat="1" ht="85.05" customHeight="1">
      <c r="A384" s="103" t="s">
        <v>1237</v>
      </c>
      <c r="B384" s="279" t="s">
        <v>9</v>
      </c>
      <c r="C384" s="279" t="s">
        <v>1700</v>
      </c>
      <c r="D384" s="279">
        <v>32</v>
      </c>
      <c r="E384" s="279" t="s">
        <v>1180</v>
      </c>
      <c r="F384" s="280" t="s">
        <v>1181</v>
      </c>
      <c r="G384" s="279" t="s">
        <v>2830</v>
      </c>
      <c r="H384" s="279">
        <v>39</v>
      </c>
      <c r="I384" s="279" t="s">
        <v>415</v>
      </c>
      <c r="J384" s="279" t="s">
        <v>683</v>
      </c>
      <c r="K384" s="279">
        <v>0</v>
      </c>
      <c r="L384" s="279">
        <v>1</v>
      </c>
      <c r="M384" s="279" t="s">
        <v>1182</v>
      </c>
      <c r="N384" s="279" t="s">
        <v>1183</v>
      </c>
      <c r="O384" s="279" t="s">
        <v>1184</v>
      </c>
      <c r="P384" s="283">
        <v>344</v>
      </c>
      <c r="Q384" s="279" t="s">
        <v>2832</v>
      </c>
      <c r="R384" s="279" t="s">
        <v>1186</v>
      </c>
      <c r="S384" s="279" t="s">
        <v>683</v>
      </c>
      <c r="T384" s="279">
        <v>0</v>
      </c>
      <c r="U384" s="267"/>
      <c r="V384" s="267"/>
      <c r="W384" s="224">
        <v>0</v>
      </c>
      <c r="X384" s="267"/>
      <c r="Y384" s="267">
        <v>0.5</v>
      </c>
      <c r="Z384" s="267"/>
      <c r="AA384" s="267">
        <v>0.5</v>
      </c>
      <c r="AB384" s="224">
        <v>1</v>
      </c>
      <c r="AC384" s="267"/>
      <c r="AD384" s="267"/>
      <c r="AE384" s="267"/>
      <c r="AF384" s="267"/>
      <c r="AG384" s="224">
        <v>0</v>
      </c>
      <c r="AH384" s="267"/>
      <c r="AI384" s="267"/>
      <c r="AJ384" s="267"/>
      <c r="AK384" s="267"/>
      <c r="AL384" s="224">
        <v>0</v>
      </c>
      <c r="AM384" s="104">
        <v>1</v>
      </c>
      <c r="AN384" s="103" t="s">
        <v>685</v>
      </c>
      <c r="AO384" s="103" t="s">
        <v>617</v>
      </c>
      <c r="AP384" s="103" t="s">
        <v>1230</v>
      </c>
      <c r="AQ384" s="103" t="s">
        <v>1207</v>
      </c>
      <c r="AR384" s="103" t="s">
        <v>951</v>
      </c>
      <c r="AS384" s="271"/>
      <c r="AT384" s="271"/>
      <c r="AU384" s="271"/>
      <c r="AV384" s="271"/>
      <c r="AW384" s="271"/>
      <c r="AX384" s="271"/>
      <c r="AY384" s="271"/>
      <c r="AZ384" s="271"/>
      <c r="BA384" s="271"/>
      <c r="BB384" s="271"/>
      <c r="BC384" s="271"/>
      <c r="BD384" s="271"/>
      <c r="BE384" s="271"/>
      <c r="BF384" s="271"/>
      <c r="BG384" s="271"/>
      <c r="BH384" s="235">
        <f>IF(W384=0,0,BG384+BF384+BE384+BD384+BC384+BB384+BA384+AZ384+AY384+AX384+AW384+AV384+AU384+AT384+AS384)</f>
        <v>0</v>
      </c>
      <c r="BI384" s="271"/>
      <c r="BJ384" s="271"/>
      <c r="BK384" s="271"/>
      <c r="BL384" s="271"/>
      <c r="BM384" s="271">
        <v>1000000</v>
      </c>
      <c r="BN384" s="271"/>
      <c r="BO384" s="271"/>
      <c r="BP384" s="271"/>
      <c r="BQ384" s="271"/>
      <c r="BR384" s="271"/>
      <c r="BS384" s="271"/>
      <c r="BT384" s="271"/>
      <c r="BU384" s="271"/>
      <c r="BV384" s="271"/>
      <c r="BW384" s="271"/>
      <c r="BX384" s="235">
        <f>IF(AB384=0,0,BI384+BJ384+BK384+BL384+BM384+BN384+BO384+BP384+BQ384+BR384+BS384+BT384+BU384+BV384+BW384)</f>
        <v>1000000</v>
      </c>
      <c r="BY384" s="271"/>
      <c r="BZ384" s="271"/>
      <c r="CA384" s="271"/>
      <c r="CB384" s="271"/>
      <c r="CC384" s="271"/>
      <c r="CD384" s="271"/>
      <c r="CE384" s="271"/>
      <c r="CF384" s="271"/>
      <c r="CG384" s="271"/>
      <c r="CH384" s="271"/>
      <c r="CI384" s="271"/>
      <c r="CJ384" s="271"/>
      <c r="CK384" s="271"/>
      <c r="CL384" s="271"/>
      <c r="CM384" s="271"/>
      <c r="CN384" s="235">
        <f>IF(AG384=0,0,(BY384+BZ384+CA384+CB384+CC384+CD384+CE384+CF384+CG384+CH384+CI384+CJ384+CK384+CL384+CM384))</f>
        <v>0</v>
      </c>
      <c r="CO384" s="271"/>
      <c r="CP384" s="271"/>
      <c r="CQ384" s="271"/>
      <c r="CR384" s="271"/>
      <c r="CS384" s="271"/>
      <c r="CT384" s="271"/>
      <c r="CU384" s="271"/>
      <c r="CV384" s="271"/>
      <c r="CW384" s="271"/>
      <c r="CX384" s="271"/>
      <c r="CY384" s="271"/>
      <c r="CZ384" s="271"/>
      <c r="DA384" s="271"/>
      <c r="DB384" s="271"/>
      <c r="DC384" s="271"/>
      <c r="DD384" s="234">
        <f>IF(AL384=0,0,(CO384+CP384+CQ384+CR384+CS384+CT384+CU384+CV384+CW384+CX384+CY384+CZ384+DA384+DB384+DC384))</f>
        <v>0</v>
      </c>
      <c r="DE384" s="244">
        <f t="shared" si="147"/>
        <v>1000000</v>
      </c>
    </row>
    <row r="385" spans="1:110" s="98" customFormat="1" ht="85.05" customHeight="1">
      <c r="A385" s="120" t="s">
        <v>1237</v>
      </c>
      <c r="B385" s="281" t="s">
        <v>9</v>
      </c>
      <c r="C385" s="281" t="s">
        <v>1700</v>
      </c>
      <c r="D385" s="281">
        <v>32</v>
      </c>
      <c r="E385" s="281" t="s">
        <v>1180</v>
      </c>
      <c r="F385" s="282" t="s">
        <v>1181</v>
      </c>
      <c r="G385" s="281" t="s">
        <v>2830</v>
      </c>
      <c r="H385" s="281">
        <v>39</v>
      </c>
      <c r="I385" s="281" t="s">
        <v>415</v>
      </c>
      <c r="J385" s="281" t="s">
        <v>683</v>
      </c>
      <c r="K385" s="281">
        <v>0</v>
      </c>
      <c r="L385" s="281">
        <v>1</v>
      </c>
      <c r="M385" s="281" t="s">
        <v>1187</v>
      </c>
      <c r="N385" s="281" t="s">
        <v>1188</v>
      </c>
      <c r="O385" s="281" t="s">
        <v>1189</v>
      </c>
      <c r="P385" s="283">
        <v>345</v>
      </c>
      <c r="Q385" s="281" t="s">
        <v>2833</v>
      </c>
      <c r="R385" s="281" t="s">
        <v>1190</v>
      </c>
      <c r="S385" s="281" t="s">
        <v>683</v>
      </c>
      <c r="T385" s="281">
        <v>0</v>
      </c>
      <c r="U385" s="275"/>
      <c r="V385" s="275"/>
      <c r="W385" s="225">
        <v>0</v>
      </c>
      <c r="X385" s="275"/>
      <c r="Y385" s="275"/>
      <c r="Z385" s="275">
        <v>0.5</v>
      </c>
      <c r="AA385" s="275">
        <v>0.5</v>
      </c>
      <c r="AB385" s="225">
        <v>1</v>
      </c>
      <c r="AC385" s="275"/>
      <c r="AD385" s="275"/>
      <c r="AE385" s="275"/>
      <c r="AF385" s="275"/>
      <c r="AG385" s="225">
        <v>0</v>
      </c>
      <c r="AH385" s="275"/>
      <c r="AI385" s="275"/>
      <c r="AJ385" s="275"/>
      <c r="AK385" s="275"/>
      <c r="AL385" s="225">
        <v>0</v>
      </c>
      <c r="AM385" s="119">
        <v>1</v>
      </c>
      <c r="AN385" s="120" t="s">
        <v>685</v>
      </c>
      <c r="AO385" s="120" t="s">
        <v>617</v>
      </c>
      <c r="AP385" s="120" t="s">
        <v>1230</v>
      </c>
      <c r="AQ385" s="120" t="s">
        <v>1207</v>
      </c>
      <c r="AR385" s="120" t="s">
        <v>951</v>
      </c>
      <c r="AS385" s="276"/>
      <c r="AT385" s="276"/>
      <c r="AU385" s="276"/>
      <c r="AV385" s="276"/>
      <c r="AW385" s="276"/>
      <c r="AX385" s="276"/>
      <c r="AY385" s="276"/>
      <c r="AZ385" s="276"/>
      <c r="BA385" s="276"/>
      <c r="BB385" s="276"/>
      <c r="BC385" s="276"/>
      <c r="BD385" s="276"/>
      <c r="BE385" s="276"/>
      <c r="BF385" s="276"/>
      <c r="BG385" s="276"/>
      <c r="BH385" s="236">
        <f>IF(W385=0,0,BG385+BF385+BE385+BD385+BC385+BB385+BA385+AZ385+AY385+AX385+AW385+AV385+AU385+AT385+AS385)</f>
        <v>0</v>
      </c>
      <c r="BI385" s="276"/>
      <c r="BJ385" s="276"/>
      <c r="BK385" s="276"/>
      <c r="BL385" s="276"/>
      <c r="BM385" s="276">
        <v>1000000</v>
      </c>
      <c r="BN385" s="276"/>
      <c r="BO385" s="276"/>
      <c r="BP385" s="276"/>
      <c r="BQ385" s="276"/>
      <c r="BR385" s="276"/>
      <c r="BS385" s="276"/>
      <c r="BT385" s="276"/>
      <c r="BU385" s="276"/>
      <c r="BV385" s="276"/>
      <c r="BW385" s="276"/>
      <c r="BX385" s="236">
        <f>IF(AB385=0,0,BI385+BJ385+BK385+BL385+BM385+BN385+BO385+BP385+BQ385+BR385+BS385+BT385+BU385+BV385+BW385)</f>
        <v>1000000</v>
      </c>
      <c r="BY385" s="276"/>
      <c r="BZ385" s="276"/>
      <c r="CA385" s="276"/>
      <c r="CB385" s="276"/>
      <c r="CC385" s="276"/>
      <c r="CD385" s="276"/>
      <c r="CE385" s="276"/>
      <c r="CF385" s="276"/>
      <c r="CG385" s="276"/>
      <c r="CH385" s="276"/>
      <c r="CI385" s="276"/>
      <c r="CJ385" s="276"/>
      <c r="CK385" s="276"/>
      <c r="CL385" s="276"/>
      <c r="CM385" s="276"/>
      <c r="CN385" s="236">
        <f>IF(AG385=0,0,(BY385+BZ385+CA385+CB385+CC385+CD385+CE385+CF385+CG385+CH385+CI385+CJ385+CK385+CL385+CM385))</f>
        <v>0</v>
      </c>
      <c r="CO385" s="276"/>
      <c r="CP385" s="276"/>
      <c r="CQ385" s="276"/>
      <c r="CR385" s="276"/>
      <c r="CS385" s="276"/>
      <c r="CT385" s="276"/>
      <c r="CU385" s="276"/>
      <c r="CV385" s="276"/>
      <c r="CW385" s="276"/>
      <c r="CX385" s="276"/>
      <c r="CY385" s="276"/>
      <c r="CZ385" s="276"/>
      <c r="DA385" s="276"/>
      <c r="DB385" s="276"/>
      <c r="DC385" s="276"/>
      <c r="DD385" s="240">
        <f>IF(AL385=0,0,(CO385+CP385+CQ385+CR385+CS385+CT385+CU385+CV385+CW385+CX385+CY385+CZ385+DA385+DB385+DC385))</f>
        <v>0</v>
      </c>
      <c r="DE385" s="245">
        <f t="shared" si="147"/>
        <v>1000000</v>
      </c>
    </row>
    <row r="386" spans="1:110" ht="65.099999999999994" customHeight="1">
      <c r="A386" s="118" t="s">
        <v>1237</v>
      </c>
      <c r="B386" s="118" t="s">
        <v>9</v>
      </c>
      <c r="C386" s="118" t="s">
        <v>1700</v>
      </c>
      <c r="D386" s="159">
        <v>32</v>
      </c>
      <c r="E386" s="159" t="s">
        <v>1180</v>
      </c>
      <c r="F386" s="149"/>
      <c r="G386" s="150"/>
      <c r="H386" s="151"/>
      <c r="I386" s="151"/>
      <c r="J386" s="151"/>
      <c r="K386" s="152"/>
      <c r="L386" s="151"/>
      <c r="M386" s="151"/>
      <c r="N386" s="151"/>
      <c r="O386" s="151"/>
      <c r="P386" s="151"/>
      <c r="Q386" s="150"/>
      <c r="R386" s="153"/>
      <c r="S386" s="151"/>
      <c r="T386" s="151"/>
      <c r="U386" s="154"/>
      <c r="V386" s="154"/>
      <c r="W386" s="152"/>
      <c r="X386" s="154"/>
      <c r="Y386" s="154"/>
      <c r="Z386" s="154"/>
      <c r="AA386" s="154"/>
      <c r="AB386" s="152"/>
      <c r="AC386" s="154"/>
      <c r="AD386" s="154"/>
      <c r="AE386" s="154"/>
      <c r="AF386" s="154"/>
      <c r="AG386" s="152"/>
      <c r="AH386" s="154"/>
      <c r="AI386" s="154"/>
      <c r="AJ386" s="154"/>
      <c r="AK386" s="154"/>
      <c r="AL386" s="152"/>
      <c r="AM386" s="155"/>
      <c r="AN386" s="156"/>
      <c r="AO386" s="156"/>
      <c r="AP386" s="157"/>
      <c r="AQ386" s="157"/>
      <c r="AR386" s="158"/>
      <c r="AS386" s="132">
        <f>SUM(AS383:AS385)</f>
        <v>0</v>
      </c>
      <c r="AT386" s="132">
        <f t="shared" ref="AT386:DE386" si="148">SUM(AT383:AT385)</f>
        <v>0</v>
      </c>
      <c r="AU386" s="132">
        <f t="shared" si="148"/>
        <v>0</v>
      </c>
      <c r="AV386" s="132">
        <f t="shared" si="148"/>
        <v>0</v>
      </c>
      <c r="AW386" s="132">
        <f t="shared" si="148"/>
        <v>4000000</v>
      </c>
      <c r="AX386" s="132">
        <f t="shared" si="148"/>
        <v>0</v>
      </c>
      <c r="AY386" s="132">
        <f t="shared" si="148"/>
        <v>0</v>
      </c>
      <c r="AZ386" s="132">
        <f t="shared" si="148"/>
        <v>0</v>
      </c>
      <c r="BA386" s="132">
        <f t="shared" si="148"/>
        <v>0</v>
      </c>
      <c r="BB386" s="132">
        <f t="shared" si="148"/>
        <v>0</v>
      </c>
      <c r="BC386" s="132">
        <f t="shared" si="148"/>
        <v>0</v>
      </c>
      <c r="BD386" s="132">
        <f t="shared" si="148"/>
        <v>0</v>
      </c>
      <c r="BE386" s="132">
        <f t="shared" si="148"/>
        <v>0</v>
      </c>
      <c r="BF386" s="132">
        <f t="shared" si="148"/>
        <v>0</v>
      </c>
      <c r="BG386" s="132">
        <f t="shared" si="148"/>
        <v>0</v>
      </c>
      <c r="BH386" s="132">
        <f>IF(OR(AND(BH383=0,W383&lt;&gt;0),AND(BH384=0,W384&lt;&gt;0),AND(BH385=0,W385&lt;&gt;0)),"NO DEBEN QUEDAR CELDAS EN ROJO",SUM(BH383:BH385))</f>
        <v>4000000</v>
      </c>
      <c r="BI386" s="132">
        <f t="shared" si="148"/>
        <v>0</v>
      </c>
      <c r="BJ386" s="132">
        <f t="shared" si="148"/>
        <v>0</v>
      </c>
      <c r="BK386" s="132">
        <f t="shared" si="148"/>
        <v>0</v>
      </c>
      <c r="BL386" s="132">
        <f t="shared" si="148"/>
        <v>0</v>
      </c>
      <c r="BM386" s="132">
        <f t="shared" si="148"/>
        <v>3000000</v>
      </c>
      <c r="BN386" s="132">
        <f t="shared" si="148"/>
        <v>0</v>
      </c>
      <c r="BO386" s="132">
        <f t="shared" si="148"/>
        <v>0</v>
      </c>
      <c r="BP386" s="132">
        <f t="shared" si="148"/>
        <v>0</v>
      </c>
      <c r="BQ386" s="132">
        <f t="shared" si="148"/>
        <v>0</v>
      </c>
      <c r="BR386" s="132">
        <f t="shared" si="148"/>
        <v>0</v>
      </c>
      <c r="BS386" s="132">
        <f t="shared" si="148"/>
        <v>0</v>
      </c>
      <c r="BT386" s="132">
        <f t="shared" si="148"/>
        <v>0</v>
      </c>
      <c r="BU386" s="132">
        <f t="shared" si="148"/>
        <v>0</v>
      </c>
      <c r="BV386" s="132">
        <f t="shared" si="148"/>
        <v>0</v>
      </c>
      <c r="BW386" s="132">
        <f t="shared" si="148"/>
        <v>0</v>
      </c>
      <c r="BX386" s="132">
        <f>IF(OR(AND(BX383=0,AB383&lt;&gt;0),AND(BX384=0,AB384&lt;&gt;0),AND(BX385=0,AB385&lt;&gt;0)),"NO DEBEN QUEDAR CELDAS EN ROJO",SUM(BX383:BX385))</f>
        <v>3000000</v>
      </c>
      <c r="BY386" s="132">
        <f t="shared" si="148"/>
        <v>0</v>
      </c>
      <c r="BZ386" s="132">
        <f t="shared" si="148"/>
        <v>0</v>
      </c>
      <c r="CA386" s="132">
        <f t="shared" si="148"/>
        <v>0</v>
      </c>
      <c r="CB386" s="132">
        <f t="shared" si="148"/>
        <v>0</v>
      </c>
      <c r="CC386" s="132">
        <f t="shared" si="148"/>
        <v>30000000</v>
      </c>
      <c r="CD386" s="132">
        <f t="shared" si="148"/>
        <v>0</v>
      </c>
      <c r="CE386" s="132">
        <f t="shared" si="148"/>
        <v>0</v>
      </c>
      <c r="CF386" s="132">
        <f t="shared" si="148"/>
        <v>0</v>
      </c>
      <c r="CG386" s="132">
        <f t="shared" si="148"/>
        <v>0</v>
      </c>
      <c r="CH386" s="132">
        <f t="shared" si="148"/>
        <v>0</v>
      </c>
      <c r="CI386" s="132">
        <f t="shared" si="148"/>
        <v>0</v>
      </c>
      <c r="CJ386" s="132">
        <f t="shared" si="148"/>
        <v>0</v>
      </c>
      <c r="CK386" s="132">
        <f t="shared" si="148"/>
        <v>0</v>
      </c>
      <c r="CL386" s="132">
        <f t="shared" si="148"/>
        <v>0</v>
      </c>
      <c r="CM386" s="132">
        <f t="shared" si="148"/>
        <v>0</v>
      </c>
      <c r="CN386" s="132">
        <f>IF(OR(AND(CN383=0,AG383&lt;&gt;0),AND(CN384=0,AG384&lt;&gt;0),AND(CN385=0,AG385&lt;&gt;0)),"NO DEBEN QUEDAR CELDAS EN ROJO",SUM(CN383:CN385))</f>
        <v>30000000</v>
      </c>
      <c r="CO386" s="132">
        <f t="shared" si="148"/>
        <v>0</v>
      </c>
      <c r="CP386" s="132">
        <f t="shared" si="148"/>
        <v>0</v>
      </c>
      <c r="CQ386" s="132">
        <f t="shared" si="148"/>
        <v>0</v>
      </c>
      <c r="CR386" s="132">
        <f t="shared" si="148"/>
        <v>0</v>
      </c>
      <c r="CS386" s="132">
        <f t="shared" si="148"/>
        <v>30000000</v>
      </c>
      <c r="CT386" s="132">
        <f t="shared" si="148"/>
        <v>0</v>
      </c>
      <c r="CU386" s="132">
        <f t="shared" si="148"/>
        <v>0</v>
      </c>
      <c r="CV386" s="132">
        <f t="shared" si="148"/>
        <v>0</v>
      </c>
      <c r="CW386" s="132">
        <f t="shared" si="148"/>
        <v>0</v>
      </c>
      <c r="CX386" s="132">
        <f t="shared" si="148"/>
        <v>0</v>
      </c>
      <c r="CY386" s="132">
        <f t="shared" si="148"/>
        <v>0</v>
      </c>
      <c r="CZ386" s="132">
        <f t="shared" si="148"/>
        <v>0</v>
      </c>
      <c r="DA386" s="132">
        <f t="shared" si="148"/>
        <v>0</v>
      </c>
      <c r="DB386" s="132">
        <f t="shared" si="148"/>
        <v>0</v>
      </c>
      <c r="DC386" s="132">
        <f t="shared" si="148"/>
        <v>0</v>
      </c>
      <c r="DD386" s="132">
        <f>IF(OR(AND(DD383=0,AL383&lt;&gt;0),AND(DD384=0,AL384&lt;&gt;0),AND(DD385=0,AL385&lt;&gt;0)),"NO DEBEN QUEDAR CELDAS EN ROJO",SUM(DD383:DD385))</f>
        <v>30000000</v>
      </c>
      <c r="DE386" s="132">
        <f t="shared" si="148"/>
        <v>67000000</v>
      </c>
      <c r="DF386" s="101"/>
    </row>
    <row r="387" spans="1:110" s="117" customFormat="1" ht="55.05" customHeight="1">
      <c r="A387" s="127" t="s">
        <v>1237</v>
      </c>
      <c r="B387" s="126" t="s">
        <v>9</v>
      </c>
      <c r="C387" s="146" t="s">
        <v>1700</v>
      </c>
      <c r="D387" s="160"/>
      <c r="E387" s="161"/>
      <c r="F387" s="162"/>
      <c r="G387" s="163"/>
      <c r="H387" s="161"/>
      <c r="I387" s="161"/>
      <c r="J387" s="161"/>
      <c r="K387" s="161"/>
      <c r="L387" s="161"/>
      <c r="M387" s="161"/>
      <c r="N387" s="161"/>
      <c r="O387" s="161"/>
      <c r="P387" s="161"/>
      <c r="Q387" s="163"/>
      <c r="R387" s="164"/>
      <c r="S387" s="161"/>
      <c r="T387" s="161"/>
      <c r="U387" s="165"/>
      <c r="V387" s="165"/>
      <c r="W387" s="166"/>
      <c r="X387" s="165"/>
      <c r="Y387" s="165"/>
      <c r="Z387" s="165"/>
      <c r="AA387" s="165"/>
      <c r="AB387" s="166"/>
      <c r="AC387" s="165"/>
      <c r="AD387" s="165"/>
      <c r="AE387" s="165"/>
      <c r="AF387" s="165"/>
      <c r="AG387" s="166"/>
      <c r="AH387" s="165"/>
      <c r="AI387" s="165"/>
      <c r="AJ387" s="165"/>
      <c r="AK387" s="165"/>
      <c r="AL387" s="166"/>
      <c r="AM387" s="167"/>
      <c r="AN387" s="168"/>
      <c r="AO387" s="168"/>
      <c r="AP387" s="163"/>
      <c r="AQ387" s="163"/>
      <c r="AR387" s="169"/>
      <c r="AS387" s="147">
        <f>SUM(AS386+AS382+AS371+AS367+AS357+AS353)</f>
        <v>0</v>
      </c>
      <c r="AT387" s="130">
        <f t="shared" ref="AT387:DE387" si="149">SUM(AT386+AT382+AT371+AT367+AT357+AT353)</f>
        <v>0</v>
      </c>
      <c r="AU387" s="130">
        <f t="shared" si="149"/>
        <v>0</v>
      </c>
      <c r="AV387" s="130">
        <f t="shared" si="149"/>
        <v>0</v>
      </c>
      <c r="AW387" s="130">
        <f t="shared" si="149"/>
        <v>3915000000</v>
      </c>
      <c r="AX387" s="130">
        <f t="shared" si="149"/>
        <v>0</v>
      </c>
      <c r="AY387" s="130">
        <f t="shared" si="149"/>
        <v>0</v>
      </c>
      <c r="AZ387" s="130">
        <f t="shared" si="149"/>
        <v>0</v>
      </c>
      <c r="BA387" s="130">
        <f t="shared" si="149"/>
        <v>0</v>
      </c>
      <c r="BB387" s="130">
        <f t="shared" si="149"/>
        <v>0</v>
      </c>
      <c r="BC387" s="130">
        <f t="shared" si="149"/>
        <v>0</v>
      </c>
      <c r="BD387" s="130">
        <f t="shared" si="149"/>
        <v>0</v>
      </c>
      <c r="BE387" s="130">
        <f t="shared" si="149"/>
        <v>0</v>
      </c>
      <c r="BF387" s="130">
        <f t="shared" si="149"/>
        <v>0</v>
      </c>
      <c r="BG387" s="130">
        <f t="shared" si="149"/>
        <v>0</v>
      </c>
      <c r="BH387" s="130">
        <f t="shared" si="149"/>
        <v>3915000000</v>
      </c>
      <c r="BI387" s="130">
        <f t="shared" si="149"/>
        <v>0</v>
      </c>
      <c r="BJ387" s="130">
        <f t="shared" si="149"/>
        <v>0</v>
      </c>
      <c r="BK387" s="130">
        <f t="shared" si="149"/>
        <v>0</v>
      </c>
      <c r="BL387" s="130">
        <f t="shared" si="149"/>
        <v>0</v>
      </c>
      <c r="BM387" s="130">
        <f t="shared" si="149"/>
        <v>4109025000</v>
      </c>
      <c r="BN387" s="130">
        <f t="shared" si="149"/>
        <v>0</v>
      </c>
      <c r="BO387" s="130">
        <f t="shared" si="149"/>
        <v>0</v>
      </c>
      <c r="BP387" s="130">
        <f t="shared" si="149"/>
        <v>0</v>
      </c>
      <c r="BQ387" s="130">
        <f t="shared" si="149"/>
        <v>0</v>
      </c>
      <c r="BR387" s="130">
        <f t="shared" si="149"/>
        <v>0</v>
      </c>
      <c r="BS387" s="130">
        <f t="shared" si="149"/>
        <v>0</v>
      </c>
      <c r="BT387" s="130">
        <f t="shared" si="149"/>
        <v>0</v>
      </c>
      <c r="BU387" s="130">
        <f t="shared" si="149"/>
        <v>0</v>
      </c>
      <c r="BV387" s="130">
        <f t="shared" si="149"/>
        <v>0</v>
      </c>
      <c r="BW387" s="130">
        <f t="shared" si="149"/>
        <v>0</v>
      </c>
      <c r="BX387" s="130">
        <f t="shared" si="149"/>
        <v>4109025000</v>
      </c>
      <c r="BY387" s="130">
        <f t="shared" si="149"/>
        <v>0</v>
      </c>
      <c r="BZ387" s="130">
        <f t="shared" si="149"/>
        <v>0</v>
      </c>
      <c r="CA387" s="130">
        <f t="shared" si="149"/>
        <v>0</v>
      </c>
      <c r="CB387" s="130">
        <f t="shared" si="149"/>
        <v>0</v>
      </c>
      <c r="CC387" s="130">
        <f t="shared" si="149"/>
        <v>4309700000</v>
      </c>
      <c r="CD387" s="130">
        <f t="shared" si="149"/>
        <v>0</v>
      </c>
      <c r="CE387" s="130">
        <f t="shared" si="149"/>
        <v>0</v>
      </c>
      <c r="CF387" s="130">
        <f t="shared" si="149"/>
        <v>0</v>
      </c>
      <c r="CG387" s="130">
        <f t="shared" si="149"/>
        <v>0</v>
      </c>
      <c r="CH387" s="130">
        <f t="shared" si="149"/>
        <v>0</v>
      </c>
      <c r="CI387" s="130">
        <f t="shared" si="149"/>
        <v>0</v>
      </c>
      <c r="CJ387" s="130">
        <f t="shared" si="149"/>
        <v>0</v>
      </c>
      <c r="CK387" s="130">
        <f t="shared" si="149"/>
        <v>0</v>
      </c>
      <c r="CL387" s="130">
        <f t="shared" si="149"/>
        <v>0</v>
      </c>
      <c r="CM387" s="130">
        <f t="shared" si="149"/>
        <v>0</v>
      </c>
      <c r="CN387" s="130">
        <f t="shared" si="149"/>
        <v>4309700000</v>
      </c>
      <c r="CO387" s="130">
        <f t="shared" si="149"/>
        <v>0</v>
      </c>
      <c r="CP387" s="130">
        <f t="shared" si="149"/>
        <v>0</v>
      </c>
      <c r="CQ387" s="130">
        <f t="shared" si="149"/>
        <v>0</v>
      </c>
      <c r="CR387" s="130">
        <f t="shared" si="149"/>
        <v>0</v>
      </c>
      <c r="CS387" s="130">
        <f t="shared" si="149"/>
        <v>4556282000</v>
      </c>
      <c r="CT387" s="130">
        <f t="shared" si="149"/>
        <v>0</v>
      </c>
      <c r="CU387" s="130">
        <f t="shared" si="149"/>
        <v>0</v>
      </c>
      <c r="CV387" s="130">
        <f t="shared" si="149"/>
        <v>0</v>
      </c>
      <c r="CW387" s="130">
        <f t="shared" si="149"/>
        <v>0</v>
      </c>
      <c r="CX387" s="130">
        <f t="shared" si="149"/>
        <v>0</v>
      </c>
      <c r="CY387" s="130">
        <f t="shared" si="149"/>
        <v>0</v>
      </c>
      <c r="CZ387" s="130">
        <f t="shared" si="149"/>
        <v>0</v>
      </c>
      <c r="DA387" s="130">
        <f t="shared" si="149"/>
        <v>0</v>
      </c>
      <c r="DB387" s="130">
        <f t="shared" si="149"/>
        <v>0</v>
      </c>
      <c r="DC387" s="130">
        <f t="shared" si="149"/>
        <v>0</v>
      </c>
      <c r="DD387" s="130">
        <f t="shared" si="149"/>
        <v>4556282000</v>
      </c>
      <c r="DE387" s="130">
        <f t="shared" si="149"/>
        <v>16890007000</v>
      </c>
    </row>
    <row r="388" spans="1:110" s="99" customFormat="1" ht="94.05" customHeight="1">
      <c r="A388" s="103" t="s">
        <v>1239</v>
      </c>
      <c r="B388" s="103" t="s">
        <v>9</v>
      </c>
      <c r="C388" s="103" t="s">
        <v>1694</v>
      </c>
      <c r="D388" s="103">
        <v>33</v>
      </c>
      <c r="E388" s="103" t="s">
        <v>1261</v>
      </c>
      <c r="F388" s="278" t="s">
        <v>1262</v>
      </c>
      <c r="G388" s="103" t="s">
        <v>3532</v>
      </c>
      <c r="H388" s="103">
        <v>40</v>
      </c>
      <c r="I388" s="103" t="s">
        <v>1263</v>
      </c>
      <c r="J388" s="103" t="s">
        <v>683</v>
      </c>
      <c r="K388" s="102">
        <v>45057</v>
      </c>
      <c r="L388" s="103" t="s">
        <v>1264</v>
      </c>
      <c r="M388" s="103" t="s">
        <v>1265</v>
      </c>
      <c r="N388" s="103" t="s">
        <v>1266</v>
      </c>
      <c r="O388" s="103" t="s">
        <v>1267</v>
      </c>
      <c r="P388" s="283">
        <v>346</v>
      </c>
      <c r="Q388" s="103" t="s">
        <v>3434</v>
      </c>
      <c r="R388" s="103" t="s">
        <v>1268</v>
      </c>
      <c r="S388" s="103" t="s">
        <v>683</v>
      </c>
      <c r="T388" s="102">
        <v>13534</v>
      </c>
      <c r="U388" s="267">
        <v>13534</v>
      </c>
      <c r="V388" s="267">
        <v>13534</v>
      </c>
      <c r="W388" s="224">
        <v>13534</v>
      </c>
      <c r="X388" s="267">
        <v>3383</v>
      </c>
      <c r="Y388" s="267">
        <v>3384</v>
      </c>
      <c r="Z388" s="267">
        <v>3383</v>
      </c>
      <c r="AA388" s="267">
        <v>3384</v>
      </c>
      <c r="AB388" s="224">
        <v>13534</v>
      </c>
      <c r="AC388" s="267">
        <v>3383</v>
      </c>
      <c r="AD388" s="267">
        <v>3384</v>
      </c>
      <c r="AE388" s="267">
        <v>3383</v>
      </c>
      <c r="AF388" s="267">
        <v>3384</v>
      </c>
      <c r="AG388" s="224">
        <v>13534</v>
      </c>
      <c r="AH388" s="267">
        <v>3383</v>
      </c>
      <c r="AI388" s="267">
        <v>3384</v>
      </c>
      <c r="AJ388" s="267">
        <v>3383</v>
      </c>
      <c r="AK388" s="267">
        <v>3384</v>
      </c>
      <c r="AL388" s="224">
        <v>13534</v>
      </c>
      <c r="AM388" s="102">
        <v>13534</v>
      </c>
      <c r="AN388" s="103" t="s">
        <v>686</v>
      </c>
      <c r="AO388" s="103" t="s">
        <v>618</v>
      </c>
      <c r="AP388" s="103" t="s">
        <v>1216</v>
      </c>
      <c r="AQ388" s="103" t="s">
        <v>1194</v>
      </c>
      <c r="AR388" s="103" t="s">
        <v>938</v>
      </c>
      <c r="AS388" s="268"/>
      <c r="AT388" s="268"/>
      <c r="AU388" s="268"/>
      <c r="AV388" s="268">
        <v>53900000</v>
      </c>
      <c r="AW388" s="268"/>
      <c r="AX388" s="268"/>
      <c r="AY388" s="268"/>
      <c r="AZ388" s="268"/>
      <c r="BA388" s="268"/>
      <c r="BB388" s="268"/>
      <c r="BC388" s="268"/>
      <c r="BD388" s="268"/>
      <c r="BE388" s="268"/>
      <c r="BF388" s="268"/>
      <c r="BG388" s="268"/>
      <c r="BH388" s="234">
        <f t="shared" ref="BH388:BH411" si="150">IF(W388=0,0,BG388+BF388+BE388+BD388+BC388+BB388+BA388+AZ388+AY388+AX388+AW388+AV388+AU388+AT388+AS388)</f>
        <v>53900000</v>
      </c>
      <c r="BI388" s="268"/>
      <c r="BJ388" s="268"/>
      <c r="BK388" s="268"/>
      <c r="BL388" s="268">
        <v>53900000</v>
      </c>
      <c r="BM388" s="268"/>
      <c r="BN388" s="268"/>
      <c r="BO388" s="268"/>
      <c r="BP388" s="268"/>
      <c r="BQ388" s="268"/>
      <c r="BR388" s="268"/>
      <c r="BS388" s="268"/>
      <c r="BT388" s="268"/>
      <c r="BU388" s="268"/>
      <c r="BV388" s="268"/>
      <c r="BW388" s="268"/>
      <c r="BX388" s="234">
        <f t="shared" ref="BX388:BX411" si="151">IF(AB388=0,0,BI388+BJ388+BK388+BL388+BM388+BN388+BO388+BP388+BQ388+BR388+BS388+BT388+BU388+BV388+BW388)</f>
        <v>53900000</v>
      </c>
      <c r="BY388" s="268"/>
      <c r="BZ388" s="268"/>
      <c r="CA388" s="268"/>
      <c r="CB388" s="268">
        <v>53900000</v>
      </c>
      <c r="CC388" s="268"/>
      <c r="CD388" s="268"/>
      <c r="CE388" s="268"/>
      <c r="CF388" s="268"/>
      <c r="CG388" s="268"/>
      <c r="CH388" s="268"/>
      <c r="CI388" s="268"/>
      <c r="CJ388" s="268"/>
      <c r="CK388" s="268"/>
      <c r="CL388" s="268"/>
      <c r="CM388" s="268"/>
      <c r="CN388" s="234">
        <f t="shared" ref="CN388:CN411" si="152">IF(AG388=0,0,(BY388+BZ388+CA388+CB388+CC388+CD388+CE388+CF388+CG388+CH388+CI388+CJ388+CK388+CL388+CM388))</f>
        <v>53900000</v>
      </c>
      <c r="CO388" s="268"/>
      <c r="CP388" s="268"/>
      <c r="CQ388" s="268"/>
      <c r="CR388" s="268">
        <v>50000000</v>
      </c>
      <c r="CS388" s="268"/>
      <c r="CT388" s="268"/>
      <c r="CU388" s="268"/>
      <c r="CV388" s="268"/>
      <c r="CW388" s="268"/>
      <c r="CX388" s="268"/>
      <c r="CY388" s="268"/>
      <c r="CZ388" s="268"/>
      <c r="DA388" s="268"/>
      <c r="DB388" s="268"/>
      <c r="DC388" s="268"/>
      <c r="DD388" s="234">
        <f t="shared" ref="DD388:DD411" si="153">IF(AL388=0,0,(CO388+CP388+CQ388+CR388+CS388+CT388+CU388+CV388+CW388+CX388+CY388+CZ388+DA388+DB388+DC388))</f>
        <v>50000000</v>
      </c>
      <c r="DE388" s="243">
        <f t="shared" ref="DE388:DE408" si="154">SUM(DD388+CN388+BX388+BH388)</f>
        <v>211700000</v>
      </c>
    </row>
    <row r="389" spans="1:110" s="99" customFormat="1" ht="94.05" customHeight="1">
      <c r="A389" s="103" t="s">
        <v>1239</v>
      </c>
      <c r="B389" s="279" t="s">
        <v>9</v>
      </c>
      <c r="C389" s="279" t="s">
        <v>1694</v>
      </c>
      <c r="D389" s="279">
        <v>33</v>
      </c>
      <c r="E389" s="279" t="s">
        <v>1261</v>
      </c>
      <c r="F389" s="280" t="s">
        <v>1262</v>
      </c>
      <c r="G389" s="279" t="s">
        <v>3532</v>
      </c>
      <c r="H389" s="279">
        <v>40</v>
      </c>
      <c r="I389" s="279" t="s">
        <v>1263</v>
      </c>
      <c r="J389" s="279" t="s">
        <v>683</v>
      </c>
      <c r="K389" s="104">
        <v>45057</v>
      </c>
      <c r="L389" s="279" t="s">
        <v>1264</v>
      </c>
      <c r="M389" s="279" t="s">
        <v>1265</v>
      </c>
      <c r="N389" s="279" t="s">
        <v>1266</v>
      </c>
      <c r="O389" s="279" t="s">
        <v>1267</v>
      </c>
      <c r="P389" s="283">
        <v>347</v>
      </c>
      <c r="Q389" s="279" t="s">
        <v>3435</v>
      </c>
      <c r="R389" s="279" t="s">
        <v>1268</v>
      </c>
      <c r="S389" s="279" t="s">
        <v>683</v>
      </c>
      <c r="T389" s="104">
        <v>13534</v>
      </c>
      <c r="U389" s="267"/>
      <c r="V389" s="267"/>
      <c r="W389" s="224">
        <v>0</v>
      </c>
      <c r="X389" s="267"/>
      <c r="Y389" s="267"/>
      <c r="Z389" s="267"/>
      <c r="AA389" s="267"/>
      <c r="AB389" s="224">
        <v>0</v>
      </c>
      <c r="AC389" s="267"/>
      <c r="AD389" s="267"/>
      <c r="AE389" s="267"/>
      <c r="AF389" s="267"/>
      <c r="AG389" s="224">
        <v>0</v>
      </c>
      <c r="AH389" s="267"/>
      <c r="AI389" s="267"/>
      <c r="AJ389" s="267">
        <v>200</v>
      </c>
      <c r="AK389" s="267"/>
      <c r="AL389" s="224">
        <v>200</v>
      </c>
      <c r="AM389" s="104">
        <v>200</v>
      </c>
      <c r="AN389" s="103" t="s">
        <v>685</v>
      </c>
      <c r="AO389" s="103" t="s">
        <v>618</v>
      </c>
      <c r="AP389" s="103" t="s">
        <v>1216</v>
      </c>
      <c r="AQ389" s="103" t="s">
        <v>1194</v>
      </c>
      <c r="AR389" s="103" t="s">
        <v>938</v>
      </c>
      <c r="AS389" s="271"/>
      <c r="AT389" s="271"/>
      <c r="AU389" s="271"/>
      <c r="AV389" s="271"/>
      <c r="AW389" s="271"/>
      <c r="AX389" s="271"/>
      <c r="AY389" s="271"/>
      <c r="AZ389" s="271"/>
      <c r="BA389" s="271"/>
      <c r="BB389" s="271"/>
      <c r="BC389" s="271"/>
      <c r="BD389" s="271"/>
      <c r="BE389" s="271"/>
      <c r="BF389" s="271"/>
      <c r="BG389" s="271"/>
      <c r="BH389" s="235">
        <f t="shared" si="150"/>
        <v>0</v>
      </c>
      <c r="BI389" s="271"/>
      <c r="BJ389" s="271"/>
      <c r="BK389" s="271"/>
      <c r="BL389" s="271"/>
      <c r="BM389" s="271"/>
      <c r="BN389" s="271"/>
      <c r="BO389" s="271"/>
      <c r="BP389" s="271"/>
      <c r="BQ389" s="271"/>
      <c r="BR389" s="271"/>
      <c r="BS389" s="271"/>
      <c r="BT389" s="271"/>
      <c r="BU389" s="271"/>
      <c r="BV389" s="271"/>
      <c r="BW389" s="271"/>
      <c r="BX389" s="235">
        <f t="shared" si="151"/>
        <v>0</v>
      </c>
      <c r="BY389" s="271"/>
      <c r="BZ389" s="271"/>
      <c r="CA389" s="271"/>
      <c r="CB389" s="271"/>
      <c r="CC389" s="271"/>
      <c r="CD389" s="271"/>
      <c r="CE389" s="271"/>
      <c r="CF389" s="271"/>
      <c r="CG389" s="271"/>
      <c r="CH389" s="271"/>
      <c r="CI389" s="271"/>
      <c r="CJ389" s="271"/>
      <c r="CK389" s="271"/>
      <c r="CL389" s="271"/>
      <c r="CM389" s="271"/>
      <c r="CN389" s="235">
        <f t="shared" si="152"/>
        <v>0</v>
      </c>
      <c r="CO389" s="271"/>
      <c r="CP389" s="271"/>
      <c r="CQ389" s="271"/>
      <c r="CR389" s="271">
        <v>3900000</v>
      </c>
      <c r="CS389" s="271"/>
      <c r="CT389" s="271"/>
      <c r="CU389" s="271"/>
      <c r="CV389" s="271"/>
      <c r="CW389" s="271"/>
      <c r="CX389" s="271"/>
      <c r="CY389" s="271"/>
      <c r="CZ389" s="271"/>
      <c r="DA389" s="271"/>
      <c r="DB389" s="271"/>
      <c r="DC389" s="271"/>
      <c r="DD389" s="234">
        <f t="shared" si="153"/>
        <v>3900000</v>
      </c>
      <c r="DE389" s="244">
        <f t="shared" si="154"/>
        <v>3900000</v>
      </c>
    </row>
    <row r="390" spans="1:110" s="99" customFormat="1" ht="94.05" customHeight="1">
      <c r="A390" s="103" t="s">
        <v>1239</v>
      </c>
      <c r="B390" s="279" t="s">
        <v>9</v>
      </c>
      <c r="C390" s="279" t="s">
        <v>1694</v>
      </c>
      <c r="D390" s="279">
        <v>33</v>
      </c>
      <c r="E390" s="279" t="s">
        <v>1261</v>
      </c>
      <c r="F390" s="280" t="s">
        <v>1262</v>
      </c>
      <c r="G390" s="279" t="s">
        <v>3532</v>
      </c>
      <c r="H390" s="279">
        <v>40</v>
      </c>
      <c r="I390" s="279" t="s">
        <v>1263</v>
      </c>
      <c r="J390" s="279" t="s">
        <v>683</v>
      </c>
      <c r="K390" s="104">
        <v>45057</v>
      </c>
      <c r="L390" s="279" t="s">
        <v>1264</v>
      </c>
      <c r="M390" s="279" t="s">
        <v>1265</v>
      </c>
      <c r="N390" s="279" t="s">
        <v>1266</v>
      </c>
      <c r="O390" s="279" t="s">
        <v>1267</v>
      </c>
      <c r="P390" s="283">
        <v>348</v>
      </c>
      <c r="Q390" s="279" t="s">
        <v>3533</v>
      </c>
      <c r="R390" s="279" t="s">
        <v>1269</v>
      </c>
      <c r="S390" s="279" t="s">
        <v>683</v>
      </c>
      <c r="T390" s="279">
        <v>0</v>
      </c>
      <c r="U390" s="267">
        <v>10</v>
      </c>
      <c r="V390" s="267">
        <v>10</v>
      </c>
      <c r="W390" s="224">
        <v>20</v>
      </c>
      <c r="X390" s="267">
        <v>15</v>
      </c>
      <c r="Y390" s="267">
        <v>15</v>
      </c>
      <c r="Z390" s="267">
        <v>15</v>
      </c>
      <c r="AA390" s="267">
        <v>15</v>
      </c>
      <c r="AB390" s="224">
        <v>60</v>
      </c>
      <c r="AC390" s="267">
        <v>15</v>
      </c>
      <c r="AD390" s="267">
        <v>15</v>
      </c>
      <c r="AE390" s="267">
        <v>15</v>
      </c>
      <c r="AF390" s="267">
        <v>15</v>
      </c>
      <c r="AG390" s="224">
        <v>60</v>
      </c>
      <c r="AH390" s="267">
        <v>15</v>
      </c>
      <c r="AI390" s="267">
        <v>15</v>
      </c>
      <c r="AJ390" s="267">
        <v>15</v>
      </c>
      <c r="AK390" s="267">
        <v>15</v>
      </c>
      <c r="AL390" s="224">
        <v>60</v>
      </c>
      <c r="AM390" s="104">
        <v>200</v>
      </c>
      <c r="AN390" s="103" t="s">
        <v>685</v>
      </c>
      <c r="AO390" s="103" t="s">
        <v>618</v>
      </c>
      <c r="AP390" s="103" t="s">
        <v>1216</v>
      </c>
      <c r="AQ390" s="103" t="s">
        <v>1194</v>
      </c>
      <c r="AR390" s="103" t="s">
        <v>938</v>
      </c>
      <c r="AS390" s="271"/>
      <c r="AT390" s="271"/>
      <c r="AU390" s="271"/>
      <c r="AV390" s="271">
        <v>1100000</v>
      </c>
      <c r="AW390" s="271"/>
      <c r="AX390" s="271"/>
      <c r="AY390" s="271"/>
      <c r="AZ390" s="271"/>
      <c r="BA390" s="271"/>
      <c r="BB390" s="271"/>
      <c r="BC390" s="271"/>
      <c r="BD390" s="271"/>
      <c r="BE390" s="271"/>
      <c r="BF390" s="271"/>
      <c r="BG390" s="271"/>
      <c r="BH390" s="235">
        <f t="shared" si="150"/>
        <v>1100000</v>
      </c>
      <c r="BI390" s="271"/>
      <c r="BJ390" s="271"/>
      <c r="BK390" s="271"/>
      <c r="BL390" s="271">
        <v>1100000</v>
      </c>
      <c r="BM390" s="271"/>
      <c r="BN390" s="271"/>
      <c r="BO390" s="271"/>
      <c r="BP390" s="271"/>
      <c r="BQ390" s="271"/>
      <c r="BR390" s="271"/>
      <c r="BS390" s="271"/>
      <c r="BT390" s="271"/>
      <c r="BU390" s="271"/>
      <c r="BV390" s="271"/>
      <c r="BW390" s="271"/>
      <c r="BX390" s="235">
        <f t="shared" si="151"/>
        <v>1100000</v>
      </c>
      <c r="BY390" s="271"/>
      <c r="BZ390" s="271"/>
      <c r="CA390" s="271"/>
      <c r="CB390" s="271">
        <v>1100000</v>
      </c>
      <c r="CC390" s="271"/>
      <c r="CD390" s="271"/>
      <c r="CE390" s="271"/>
      <c r="CF390" s="271"/>
      <c r="CG390" s="271"/>
      <c r="CH390" s="271"/>
      <c r="CI390" s="271"/>
      <c r="CJ390" s="271"/>
      <c r="CK390" s="271"/>
      <c r="CL390" s="271"/>
      <c r="CM390" s="271"/>
      <c r="CN390" s="235">
        <f t="shared" si="152"/>
        <v>1100000</v>
      </c>
      <c r="CO390" s="271"/>
      <c r="CP390" s="271"/>
      <c r="CQ390" s="271"/>
      <c r="CR390" s="271">
        <v>1100000</v>
      </c>
      <c r="CS390" s="271"/>
      <c r="CT390" s="271"/>
      <c r="CU390" s="271"/>
      <c r="CV390" s="271"/>
      <c r="CW390" s="271"/>
      <c r="CX390" s="271"/>
      <c r="CY390" s="271"/>
      <c r="CZ390" s="271"/>
      <c r="DA390" s="271"/>
      <c r="DB390" s="271"/>
      <c r="DC390" s="271"/>
      <c r="DD390" s="234">
        <f t="shared" si="153"/>
        <v>1100000</v>
      </c>
      <c r="DE390" s="244">
        <f t="shared" si="154"/>
        <v>4400000</v>
      </c>
    </row>
    <row r="391" spans="1:110" s="99" customFormat="1" ht="94.05" customHeight="1">
      <c r="A391" s="103" t="s">
        <v>1239</v>
      </c>
      <c r="B391" s="279" t="s">
        <v>9</v>
      </c>
      <c r="C391" s="279" t="s">
        <v>1694</v>
      </c>
      <c r="D391" s="279">
        <v>33</v>
      </c>
      <c r="E391" s="279" t="s">
        <v>1261</v>
      </c>
      <c r="F391" s="280" t="s">
        <v>1262</v>
      </c>
      <c r="G391" s="279" t="s">
        <v>3532</v>
      </c>
      <c r="H391" s="279">
        <v>40</v>
      </c>
      <c r="I391" s="279" t="s">
        <v>1263</v>
      </c>
      <c r="J391" s="279" t="s">
        <v>683</v>
      </c>
      <c r="K391" s="104">
        <v>45057</v>
      </c>
      <c r="L391" s="279" t="s">
        <v>1264</v>
      </c>
      <c r="M391" s="279" t="s">
        <v>1265</v>
      </c>
      <c r="N391" s="279" t="s">
        <v>1266</v>
      </c>
      <c r="O391" s="279" t="s">
        <v>1267</v>
      </c>
      <c r="P391" s="283">
        <v>349</v>
      </c>
      <c r="Q391" s="279" t="s">
        <v>3133</v>
      </c>
      <c r="R391" s="279" t="s">
        <v>1270</v>
      </c>
      <c r="S391" s="279" t="s">
        <v>683</v>
      </c>
      <c r="T391" s="279">
        <v>0</v>
      </c>
      <c r="U391" s="267"/>
      <c r="V391" s="267"/>
      <c r="W391" s="224">
        <v>0</v>
      </c>
      <c r="X391" s="267"/>
      <c r="Y391" s="267"/>
      <c r="Z391" s="267"/>
      <c r="AA391" s="267">
        <v>1</v>
      </c>
      <c r="AB391" s="224">
        <v>1</v>
      </c>
      <c r="AC391" s="267"/>
      <c r="AD391" s="267"/>
      <c r="AE391" s="267"/>
      <c r="AF391" s="267">
        <v>1</v>
      </c>
      <c r="AG391" s="224">
        <v>1</v>
      </c>
      <c r="AH391" s="267"/>
      <c r="AI391" s="267"/>
      <c r="AJ391" s="267">
        <v>1</v>
      </c>
      <c r="AK391" s="267">
        <v>1</v>
      </c>
      <c r="AL391" s="224">
        <v>2</v>
      </c>
      <c r="AM391" s="104">
        <v>4</v>
      </c>
      <c r="AN391" s="103" t="s">
        <v>685</v>
      </c>
      <c r="AO391" s="103" t="s">
        <v>618</v>
      </c>
      <c r="AP391" s="103" t="s">
        <v>1216</v>
      </c>
      <c r="AQ391" s="103" t="s">
        <v>1194</v>
      </c>
      <c r="AR391" s="103" t="s">
        <v>938</v>
      </c>
      <c r="AS391" s="271"/>
      <c r="AT391" s="271"/>
      <c r="AU391" s="271"/>
      <c r="AV391" s="271"/>
      <c r="AW391" s="271"/>
      <c r="AX391" s="271"/>
      <c r="AY391" s="271"/>
      <c r="AZ391" s="271"/>
      <c r="BA391" s="271"/>
      <c r="BB391" s="271"/>
      <c r="BC391" s="271"/>
      <c r="BD391" s="271"/>
      <c r="BE391" s="271"/>
      <c r="BF391" s="271"/>
      <c r="BG391" s="271"/>
      <c r="BH391" s="235">
        <f t="shared" si="150"/>
        <v>0</v>
      </c>
      <c r="BI391" s="271"/>
      <c r="BJ391" s="271"/>
      <c r="BK391" s="271"/>
      <c r="BL391" s="271"/>
      <c r="BM391" s="271">
        <v>100000000</v>
      </c>
      <c r="BN391" s="271"/>
      <c r="BO391" s="271"/>
      <c r="BP391" s="271"/>
      <c r="BQ391" s="271"/>
      <c r="BR391" s="271"/>
      <c r="BS391" s="271"/>
      <c r="BT391" s="271"/>
      <c r="BU391" s="271"/>
      <c r="BV391" s="271"/>
      <c r="BW391" s="271"/>
      <c r="BX391" s="235">
        <f t="shared" si="151"/>
        <v>100000000</v>
      </c>
      <c r="BY391" s="271"/>
      <c r="BZ391" s="271"/>
      <c r="CA391" s="271"/>
      <c r="CB391" s="271"/>
      <c r="CC391" s="271">
        <v>100000000</v>
      </c>
      <c r="CD391" s="271"/>
      <c r="CE391" s="271"/>
      <c r="CF391" s="271"/>
      <c r="CG391" s="271"/>
      <c r="CH391" s="271"/>
      <c r="CI391" s="271"/>
      <c r="CJ391" s="271"/>
      <c r="CK391" s="271"/>
      <c r="CL391" s="271"/>
      <c r="CM391" s="271"/>
      <c r="CN391" s="235">
        <f t="shared" si="152"/>
        <v>100000000</v>
      </c>
      <c r="CO391" s="271"/>
      <c r="CP391" s="271"/>
      <c r="CQ391" s="271"/>
      <c r="CR391" s="271"/>
      <c r="CS391" s="271">
        <v>200000000</v>
      </c>
      <c r="CT391" s="271"/>
      <c r="CU391" s="271"/>
      <c r="CV391" s="271"/>
      <c r="CW391" s="271"/>
      <c r="CX391" s="271"/>
      <c r="CY391" s="271"/>
      <c r="CZ391" s="271"/>
      <c r="DA391" s="271"/>
      <c r="DB391" s="271"/>
      <c r="DC391" s="271"/>
      <c r="DD391" s="234">
        <f t="shared" si="153"/>
        <v>200000000</v>
      </c>
      <c r="DE391" s="244">
        <f t="shared" si="154"/>
        <v>400000000</v>
      </c>
    </row>
    <row r="392" spans="1:110" s="99" customFormat="1" ht="94.05" customHeight="1">
      <c r="A392" s="103" t="s">
        <v>1239</v>
      </c>
      <c r="B392" s="279" t="s">
        <v>9</v>
      </c>
      <c r="C392" s="279" t="s">
        <v>1694</v>
      </c>
      <c r="D392" s="279">
        <v>33</v>
      </c>
      <c r="E392" s="279" t="s">
        <v>1261</v>
      </c>
      <c r="F392" s="280" t="s">
        <v>1262</v>
      </c>
      <c r="G392" s="279" t="s">
        <v>3532</v>
      </c>
      <c r="H392" s="279">
        <v>40</v>
      </c>
      <c r="I392" s="279" t="s">
        <v>1263</v>
      </c>
      <c r="J392" s="279" t="s">
        <v>683</v>
      </c>
      <c r="K392" s="104">
        <v>45057</v>
      </c>
      <c r="L392" s="279" t="s">
        <v>1264</v>
      </c>
      <c r="M392" s="279" t="s">
        <v>1265</v>
      </c>
      <c r="N392" s="279" t="s">
        <v>1266</v>
      </c>
      <c r="O392" s="279" t="s">
        <v>1267</v>
      </c>
      <c r="P392" s="283">
        <v>350</v>
      </c>
      <c r="Q392" s="279" t="s">
        <v>3436</v>
      </c>
      <c r="R392" s="279" t="s">
        <v>1271</v>
      </c>
      <c r="S392" s="279" t="s">
        <v>683</v>
      </c>
      <c r="T392" s="279">
        <v>7</v>
      </c>
      <c r="U392" s="267">
        <v>7</v>
      </c>
      <c r="V392" s="267">
        <v>7</v>
      </c>
      <c r="W392" s="224">
        <v>7</v>
      </c>
      <c r="X392" s="267">
        <v>1</v>
      </c>
      <c r="Y392" s="267">
        <v>2</v>
      </c>
      <c r="Z392" s="267">
        <v>2</v>
      </c>
      <c r="AA392" s="267">
        <v>2</v>
      </c>
      <c r="AB392" s="224">
        <v>7</v>
      </c>
      <c r="AC392" s="267">
        <v>1</v>
      </c>
      <c r="AD392" s="267">
        <v>2</v>
      </c>
      <c r="AE392" s="267">
        <v>2</v>
      </c>
      <c r="AF392" s="267">
        <v>2</v>
      </c>
      <c r="AG392" s="224">
        <v>7</v>
      </c>
      <c r="AH392" s="267">
        <v>1</v>
      </c>
      <c r="AI392" s="267">
        <v>2</v>
      </c>
      <c r="AJ392" s="267">
        <v>2</v>
      </c>
      <c r="AK392" s="267">
        <v>2</v>
      </c>
      <c r="AL392" s="224">
        <v>7</v>
      </c>
      <c r="AM392" s="104">
        <v>7</v>
      </c>
      <c r="AN392" s="103" t="s">
        <v>686</v>
      </c>
      <c r="AO392" s="103" t="s">
        <v>618</v>
      </c>
      <c r="AP392" s="103" t="s">
        <v>1216</v>
      </c>
      <c r="AQ392" s="103" t="s">
        <v>1194</v>
      </c>
      <c r="AR392" s="103" t="s">
        <v>938</v>
      </c>
      <c r="AS392" s="271"/>
      <c r="AT392" s="271"/>
      <c r="AU392" s="271"/>
      <c r="AV392" s="271">
        <v>300000000</v>
      </c>
      <c r="AW392" s="271"/>
      <c r="AX392" s="271"/>
      <c r="AY392" s="271"/>
      <c r="AZ392" s="271"/>
      <c r="BA392" s="271"/>
      <c r="BB392" s="271"/>
      <c r="BC392" s="271"/>
      <c r="BD392" s="271"/>
      <c r="BE392" s="271"/>
      <c r="BF392" s="271"/>
      <c r="BG392" s="271"/>
      <c r="BH392" s="235">
        <f t="shared" si="150"/>
        <v>300000000</v>
      </c>
      <c r="BI392" s="271"/>
      <c r="BJ392" s="271"/>
      <c r="BK392" s="271"/>
      <c r="BL392" s="271">
        <v>245000000</v>
      </c>
      <c r="BM392" s="271"/>
      <c r="BN392" s="271"/>
      <c r="BO392" s="271"/>
      <c r="BP392" s="271"/>
      <c r="BQ392" s="271"/>
      <c r="BR392" s="271"/>
      <c r="BS392" s="271"/>
      <c r="BT392" s="271"/>
      <c r="BU392" s="271"/>
      <c r="BV392" s="271"/>
      <c r="BW392" s="271"/>
      <c r="BX392" s="235">
        <f t="shared" si="151"/>
        <v>245000000</v>
      </c>
      <c r="BY392" s="271"/>
      <c r="BZ392" s="271"/>
      <c r="CA392" s="271"/>
      <c r="CB392" s="271">
        <v>245000000</v>
      </c>
      <c r="CC392" s="271">
        <v>487029844</v>
      </c>
      <c r="CD392" s="271"/>
      <c r="CE392" s="271"/>
      <c r="CF392" s="271"/>
      <c r="CG392" s="271"/>
      <c r="CH392" s="271"/>
      <c r="CI392" s="271"/>
      <c r="CJ392" s="271"/>
      <c r="CK392" s="271"/>
      <c r="CL392" s="271"/>
      <c r="CM392" s="271"/>
      <c r="CN392" s="235">
        <f t="shared" si="152"/>
        <v>732029844</v>
      </c>
      <c r="CO392" s="271"/>
      <c r="CP392" s="271"/>
      <c r="CQ392" s="271"/>
      <c r="CR392" s="271">
        <v>275000000</v>
      </c>
      <c r="CS392" s="271">
        <v>423589635</v>
      </c>
      <c r="CT392" s="271"/>
      <c r="CU392" s="271"/>
      <c r="CV392" s="271"/>
      <c r="CW392" s="271"/>
      <c r="CX392" s="271"/>
      <c r="CY392" s="271"/>
      <c r="CZ392" s="271"/>
      <c r="DA392" s="271"/>
      <c r="DB392" s="271"/>
      <c r="DC392" s="271"/>
      <c r="DD392" s="234">
        <f t="shared" si="153"/>
        <v>698589635</v>
      </c>
      <c r="DE392" s="244">
        <f t="shared" si="154"/>
        <v>1975619479</v>
      </c>
    </row>
    <row r="393" spans="1:110" s="99" customFormat="1" ht="94.05" customHeight="1">
      <c r="A393" s="103" t="s">
        <v>1239</v>
      </c>
      <c r="B393" s="279" t="s">
        <v>9</v>
      </c>
      <c r="C393" s="279" t="s">
        <v>1694</v>
      </c>
      <c r="D393" s="279">
        <v>33</v>
      </c>
      <c r="E393" s="279" t="s">
        <v>1261</v>
      </c>
      <c r="F393" s="280" t="s">
        <v>1262</v>
      </c>
      <c r="G393" s="279" t="s">
        <v>3532</v>
      </c>
      <c r="H393" s="279">
        <v>40</v>
      </c>
      <c r="I393" s="279" t="s">
        <v>1263</v>
      </c>
      <c r="J393" s="279" t="s">
        <v>683</v>
      </c>
      <c r="K393" s="104">
        <v>45057</v>
      </c>
      <c r="L393" s="279" t="s">
        <v>1264</v>
      </c>
      <c r="M393" s="279" t="s">
        <v>1265</v>
      </c>
      <c r="N393" s="279" t="s">
        <v>1266</v>
      </c>
      <c r="O393" s="279" t="s">
        <v>1267</v>
      </c>
      <c r="P393" s="283">
        <v>351</v>
      </c>
      <c r="Q393" s="279" t="s">
        <v>3437</v>
      </c>
      <c r="R393" s="279" t="s">
        <v>1271</v>
      </c>
      <c r="S393" s="279" t="s">
        <v>683</v>
      </c>
      <c r="T393" s="279">
        <v>7</v>
      </c>
      <c r="U393" s="267"/>
      <c r="V393" s="267"/>
      <c r="W393" s="224">
        <v>0</v>
      </c>
      <c r="X393" s="267">
        <v>3</v>
      </c>
      <c r="Y393" s="267">
        <v>3</v>
      </c>
      <c r="Z393" s="267">
        <v>3</v>
      </c>
      <c r="AA393" s="267">
        <v>4</v>
      </c>
      <c r="AB393" s="224">
        <v>13</v>
      </c>
      <c r="AC393" s="267"/>
      <c r="AD393" s="267"/>
      <c r="AE393" s="267"/>
      <c r="AF393" s="267"/>
      <c r="AG393" s="224">
        <v>0</v>
      </c>
      <c r="AH393" s="267"/>
      <c r="AI393" s="267"/>
      <c r="AJ393" s="267"/>
      <c r="AK393" s="267"/>
      <c r="AL393" s="224">
        <v>0</v>
      </c>
      <c r="AM393" s="104">
        <v>13</v>
      </c>
      <c r="AN393" s="103" t="s">
        <v>685</v>
      </c>
      <c r="AO393" s="103" t="s">
        <v>618</v>
      </c>
      <c r="AP393" s="103" t="s">
        <v>1216</v>
      </c>
      <c r="AQ393" s="103" t="s">
        <v>1194</v>
      </c>
      <c r="AR393" s="103" t="s">
        <v>938</v>
      </c>
      <c r="AS393" s="271"/>
      <c r="AT393" s="271"/>
      <c r="AU393" s="271"/>
      <c r="AV393" s="271"/>
      <c r="AW393" s="271"/>
      <c r="AX393" s="271"/>
      <c r="AY393" s="271"/>
      <c r="AZ393" s="271"/>
      <c r="BA393" s="271"/>
      <c r="BB393" s="271"/>
      <c r="BC393" s="271"/>
      <c r="BD393" s="271"/>
      <c r="BE393" s="271"/>
      <c r="BF393" s="271"/>
      <c r="BG393" s="271"/>
      <c r="BH393" s="235">
        <f t="shared" si="150"/>
        <v>0</v>
      </c>
      <c r="BI393" s="271"/>
      <c r="BJ393" s="271"/>
      <c r="BK393" s="271"/>
      <c r="BL393" s="271"/>
      <c r="BM393" s="271">
        <v>454314137</v>
      </c>
      <c r="BN393" s="271"/>
      <c r="BO393" s="271"/>
      <c r="BP393" s="271"/>
      <c r="BQ393" s="271"/>
      <c r="BR393" s="271"/>
      <c r="BS393" s="271"/>
      <c r="BT393" s="271"/>
      <c r="BU393" s="271"/>
      <c r="BV393" s="271"/>
      <c r="BW393" s="271"/>
      <c r="BX393" s="235">
        <f t="shared" si="151"/>
        <v>454314137</v>
      </c>
      <c r="BY393" s="271"/>
      <c r="BZ393" s="271"/>
      <c r="CA393" s="271"/>
      <c r="CB393" s="271"/>
      <c r="CC393" s="271"/>
      <c r="CD393" s="271"/>
      <c r="CE393" s="271"/>
      <c r="CF393" s="271"/>
      <c r="CG393" s="271"/>
      <c r="CH393" s="271"/>
      <c r="CI393" s="271"/>
      <c r="CJ393" s="271"/>
      <c r="CK393" s="271"/>
      <c r="CL393" s="271"/>
      <c r="CM393" s="271"/>
      <c r="CN393" s="235">
        <f t="shared" si="152"/>
        <v>0</v>
      </c>
      <c r="CO393" s="271"/>
      <c r="CP393" s="271"/>
      <c r="CQ393" s="271"/>
      <c r="CR393" s="271"/>
      <c r="CS393" s="271"/>
      <c r="CT393" s="271"/>
      <c r="CU393" s="271"/>
      <c r="CV393" s="271"/>
      <c r="CW393" s="271"/>
      <c r="CX393" s="271"/>
      <c r="CY393" s="271"/>
      <c r="CZ393" s="271"/>
      <c r="DA393" s="271"/>
      <c r="DB393" s="271"/>
      <c r="DC393" s="271"/>
      <c r="DD393" s="234">
        <f t="shared" si="153"/>
        <v>0</v>
      </c>
      <c r="DE393" s="244">
        <f t="shared" si="154"/>
        <v>454314137</v>
      </c>
    </row>
    <row r="394" spans="1:110" s="99" customFormat="1" ht="94.05" customHeight="1">
      <c r="A394" s="103" t="s">
        <v>1239</v>
      </c>
      <c r="B394" s="279" t="s">
        <v>9</v>
      </c>
      <c r="C394" s="279" t="s">
        <v>1694</v>
      </c>
      <c r="D394" s="279">
        <v>33</v>
      </c>
      <c r="E394" s="279" t="s">
        <v>1261</v>
      </c>
      <c r="F394" s="280" t="s">
        <v>1262</v>
      </c>
      <c r="G394" s="279" t="s">
        <v>3532</v>
      </c>
      <c r="H394" s="279">
        <v>40</v>
      </c>
      <c r="I394" s="279" t="s">
        <v>1263</v>
      </c>
      <c r="J394" s="279" t="s">
        <v>683</v>
      </c>
      <c r="K394" s="104">
        <v>45057</v>
      </c>
      <c r="L394" s="279" t="s">
        <v>1264</v>
      </c>
      <c r="M394" s="279" t="s">
        <v>1265</v>
      </c>
      <c r="N394" s="279" t="s">
        <v>1266</v>
      </c>
      <c r="O394" s="279" t="s">
        <v>1267</v>
      </c>
      <c r="P394" s="283">
        <v>352</v>
      </c>
      <c r="Q394" s="279" t="s">
        <v>3534</v>
      </c>
      <c r="R394" s="279" t="s">
        <v>1272</v>
      </c>
      <c r="S394" s="279" t="s">
        <v>683</v>
      </c>
      <c r="T394" s="279" t="s">
        <v>244</v>
      </c>
      <c r="U394" s="267"/>
      <c r="V394" s="267">
        <v>1</v>
      </c>
      <c r="W394" s="224">
        <v>1</v>
      </c>
      <c r="X394" s="267"/>
      <c r="Y394" s="267">
        <v>1</v>
      </c>
      <c r="Z394" s="267"/>
      <c r="AA394" s="267"/>
      <c r="AB394" s="224">
        <v>1</v>
      </c>
      <c r="AC394" s="267"/>
      <c r="AD394" s="267">
        <v>1</v>
      </c>
      <c r="AE394" s="267"/>
      <c r="AF394" s="267"/>
      <c r="AG394" s="224">
        <v>1</v>
      </c>
      <c r="AH394" s="267"/>
      <c r="AI394" s="267">
        <v>1</v>
      </c>
      <c r="AJ394" s="267"/>
      <c r="AK394" s="267"/>
      <c r="AL394" s="224">
        <v>1</v>
      </c>
      <c r="AM394" s="104">
        <v>4</v>
      </c>
      <c r="AN394" s="103" t="s">
        <v>685</v>
      </c>
      <c r="AO394" s="103" t="s">
        <v>618</v>
      </c>
      <c r="AP394" s="103" t="s">
        <v>1216</v>
      </c>
      <c r="AQ394" s="103" t="s">
        <v>1194</v>
      </c>
      <c r="AR394" s="103" t="s">
        <v>938</v>
      </c>
      <c r="AS394" s="271"/>
      <c r="AT394" s="271"/>
      <c r="AU394" s="271"/>
      <c r="AV394" s="271"/>
      <c r="AW394" s="271">
        <v>122355460</v>
      </c>
      <c r="AX394" s="271"/>
      <c r="AY394" s="271"/>
      <c r="AZ394" s="271"/>
      <c r="BA394" s="271"/>
      <c r="BB394" s="271"/>
      <c r="BC394" s="271"/>
      <c r="BD394" s="271"/>
      <c r="BE394" s="271"/>
      <c r="BF394" s="271"/>
      <c r="BG394" s="271"/>
      <c r="BH394" s="235">
        <f t="shared" si="150"/>
        <v>122355460</v>
      </c>
      <c r="BI394" s="271"/>
      <c r="BJ394" s="271"/>
      <c r="BK394" s="271"/>
      <c r="BL394" s="271">
        <v>100000000</v>
      </c>
      <c r="BM394" s="271">
        <v>100000000</v>
      </c>
      <c r="BN394" s="271"/>
      <c r="BO394" s="271"/>
      <c r="BP394" s="271"/>
      <c r="BQ394" s="271"/>
      <c r="BR394" s="271"/>
      <c r="BS394" s="271"/>
      <c r="BT394" s="271"/>
      <c r="BU394" s="271"/>
      <c r="BV394" s="271"/>
      <c r="BW394" s="271"/>
      <c r="BX394" s="235">
        <f t="shared" si="151"/>
        <v>200000000</v>
      </c>
      <c r="BY394" s="271"/>
      <c r="BZ394" s="271"/>
      <c r="CA394" s="271"/>
      <c r="CB394" s="271">
        <v>100000000</v>
      </c>
      <c r="CC394" s="271">
        <v>100000000</v>
      </c>
      <c r="CD394" s="271"/>
      <c r="CE394" s="271"/>
      <c r="CF394" s="271"/>
      <c r="CG394" s="271"/>
      <c r="CH394" s="271"/>
      <c r="CI394" s="271"/>
      <c r="CJ394" s="271"/>
      <c r="CK394" s="271"/>
      <c r="CL394" s="271"/>
      <c r="CM394" s="271"/>
      <c r="CN394" s="235">
        <f t="shared" si="152"/>
        <v>200000000</v>
      </c>
      <c r="CO394" s="271"/>
      <c r="CP394" s="271"/>
      <c r="CQ394" s="271"/>
      <c r="CR394" s="271">
        <v>100000000</v>
      </c>
      <c r="CS394" s="271">
        <v>100000000</v>
      </c>
      <c r="CT394" s="271"/>
      <c r="CU394" s="271"/>
      <c r="CV394" s="271"/>
      <c r="CW394" s="271"/>
      <c r="CX394" s="271"/>
      <c r="CY394" s="271"/>
      <c r="CZ394" s="271"/>
      <c r="DA394" s="271"/>
      <c r="DB394" s="271"/>
      <c r="DC394" s="271"/>
      <c r="DD394" s="234">
        <f t="shared" si="153"/>
        <v>200000000</v>
      </c>
      <c r="DE394" s="244">
        <f t="shared" si="154"/>
        <v>722355460</v>
      </c>
    </row>
    <row r="395" spans="1:110" s="99" customFormat="1" ht="94.05" customHeight="1">
      <c r="A395" s="103" t="s">
        <v>1239</v>
      </c>
      <c r="B395" s="279" t="s">
        <v>9</v>
      </c>
      <c r="C395" s="279" t="s">
        <v>1694</v>
      </c>
      <c r="D395" s="279">
        <v>33</v>
      </c>
      <c r="E395" s="279" t="s">
        <v>1261</v>
      </c>
      <c r="F395" s="280" t="s">
        <v>1262</v>
      </c>
      <c r="G395" s="279" t="s">
        <v>3532</v>
      </c>
      <c r="H395" s="279">
        <v>40</v>
      </c>
      <c r="I395" s="279" t="s">
        <v>1263</v>
      </c>
      <c r="J395" s="279" t="s">
        <v>683</v>
      </c>
      <c r="K395" s="104">
        <v>45057</v>
      </c>
      <c r="L395" s="279" t="s">
        <v>1264</v>
      </c>
      <c r="M395" s="279" t="s">
        <v>1265</v>
      </c>
      <c r="N395" s="279" t="s">
        <v>1266</v>
      </c>
      <c r="O395" s="279" t="s">
        <v>1267</v>
      </c>
      <c r="P395" s="283">
        <v>353</v>
      </c>
      <c r="Q395" s="279" t="s">
        <v>3535</v>
      </c>
      <c r="R395" s="279" t="s">
        <v>1273</v>
      </c>
      <c r="S395" s="279" t="s">
        <v>683</v>
      </c>
      <c r="T395" s="279">
        <v>0</v>
      </c>
      <c r="U395" s="267">
        <v>9</v>
      </c>
      <c r="V395" s="267"/>
      <c r="W395" s="224">
        <v>9</v>
      </c>
      <c r="X395" s="267"/>
      <c r="Y395" s="267"/>
      <c r="Z395" s="267"/>
      <c r="AA395" s="267"/>
      <c r="AB395" s="224">
        <v>0</v>
      </c>
      <c r="AC395" s="267"/>
      <c r="AD395" s="267"/>
      <c r="AE395" s="267"/>
      <c r="AF395" s="267"/>
      <c r="AG395" s="224">
        <v>0</v>
      </c>
      <c r="AH395" s="267"/>
      <c r="AI395" s="267"/>
      <c r="AJ395" s="267"/>
      <c r="AK395" s="267"/>
      <c r="AL395" s="224">
        <v>0</v>
      </c>
      <c r="AM395" s="104">
        <v>9</v>
      </c>
      <c r="AN395" s="103" t="s">
        <v>685</v>
      </c>
      <c r="AO395" s="103" t="s">
        <v>618</v>
      </c>
      <c r="AP395" s="103" t="s">
        <v>1216</v>
      </c>
      <c r="AQ395" s="103" t="s">
        <v>1194</v>
      </c>
      <c r="AR395" s="103" t="s">
        <v>938</v>
      </c>
      <c r="AS395" s="271"/>
      <c r="AT395" s="271"/>
      <c r="AU395" s="271"/>
      <c r="AV395" s="271">
        <v>45000000</v>
      </c>
      <c r="AW395" s="271"/>
      <c r="AX395" s="271"/>
      <c r="AY395" s="271"/>
      <c r="AZ395" s="271"/>
      <c r="BA395" s="271"/>
      <c r="BB395" s="271"/>
      <c r="BC395" s="271"/>
      <c r="BD395" s="271"/>
      <c r="BE395" s="271"/>
      <c r="BF395" s="271"/>
      <c r="BG395" s="271"/>
      <c r="BH395" s="235">
        <f t="shared" si="150"/>
        <v>45000000</v>
      </c>
      <c r="BI395" s="271"/>
      <c r="BJ395" s="271"/>
      <c r="BK395" s="271"/>
      <c r="BL395" s="271"/>
      <c r="BM395" s="271"/>
      <c r="BN395" s="271"/>
      <c r="BO395" s="271"/>
      <c r="BP395" s="271"/>
      <c r="BQ395" s="271"/>
      <c r="BR395" s="271"/>
      <c r="BS395" s="271"/>
      <c r="BT395" s="271"/>
      <c r="BU395" s="271"/>
      <c r="BV395" s="271"/>
      <c r="BW395" s="271"/>
      <c r="BX395" s="235">
        <f t="shared" si="151"/>
        <v>0</v>
      </c>
      <c r="BY395" s="271"/>
      <c r="BZ395" s="271"/>
      <c r="CA395" s="271"/>
      <c r="CB395" s="271"/>
      <c r="CC395" s="271"/>
      <c r="CD395" s="271"/>
      <c r="CE395" s="271"/>
      <c r="CF395" s="271"/>
      <c r="CG395" s="271"/>
      <c r="CH395" s="271"/>
      <c r="CI395" s="271"/>
      <c r="CJ395" s="271"/>
      <c r="CK395" s="271"/>
      <c r="CL395" s="271"/>
      <c r="CM395" s="271"/>
      <c r="CN395" s="235">
        <f t="shared" si="152"/>
        <v>0</v>
      </c>
      <c r="CO395" s="271"/>
      <c r="CP395" s="271"/>
      <c r="CQ395" s="271"/>
      <c r="CR395" s="271"/>
      <c r="CS395" s="271"/>
      <c r="CT395" s="271"/>
      <c r="CU395" s="271"/>
      <c r="CV395" s="271"/>
      <c r="CW395" s="271"/>
      <c r="CX395" s="271"/>
      <c r="CY395" s="271"/>
      <c r="CZ395" s="271"/>
      <c r="DA395" s="271"/>
      <c r="DB395" s="271"/>
      <c r="DC395" s="271"/>
      <c r="DD395" s="234">
        <f t="shared" si="153"/>
        <v>0</v>
      </c>
      <c r="DE395" s="244">
        <f t="shared" si="154"/>
        <v>45000000</v>
      </c>
    </row>
    <row r="396" spans="1:110" s="99" customFormat="1" ht="94.05" customHeight="1">
      <c r="A396" s="103" t="s">
        <v>1239</v>
      </c>
      <c r="B396" s="279" t="s">
        <v>9</v>
      </c>
      <c r="C396" s="279" t="s">
        <v>1694</v>
      </c>
      <c r="D396" s="279">
        <v>33</v>
      </c>
      <c r="E396" s="279" t="s">
        <v>1261</v>
      </c>
      <c r="F396" s="280" t="s">
        <v>1262</v>
      </c>
      <c r="G396" s="279" t="s">
        <v>3532</v>
      </c>
      <c r="H396" s="279">
        <v>40</v>
      </c>
      <c r="I396" s="279" t="s">
        <v>1263</v>
      </c>
      <c r="J396" s="279" t="s">
        <v>683</v>
      </c>
      <c r="K396" s="104">
        <v>45057</v>
      </c>
      <c r="L396" s="279" t="s">
        <v>1264</v>
      </c>
      <c r="M396" s="279" t="s">
        <v>1274</v>
      </c>
      <c r="N396" s="279" t="s">
        <v>1275</v>
      </c>
      <c r="O396" s="279" t="s">
        <v>1276</v>
      </c>
      <c r="P396" s="283">
        <v>354</v>
      </c>
      <c r="Q396" s="279" t="s">
        <v>3536</v>
      </c>
      <c r="R396" s="279" t="s">
        <v>416</v>
      </c>
      <c r="S396" s="279" t="s">
        <v>683</v>
      </c>
      <c r="T396" s="104">
        <v>28233</v>
      </c>
      <c r="U396" s="267"/>
      <c r="V396" s="267">
        <v>28233</v>
      </c>
      <c r="W396" s="224">
        <v>28233</v>
      </c>
      <c r="X396" s="267"/>
      <c r="Y396" s="267"/>
      <c r="Z396" s="267">
        <v>28233</v>
      </c>
      <c r="AA396" s="267"/>
      <c r="AB396" s="224">
        <v>28233</v>
      </c>
      <c r="AC396" s="267"/>
      <c r="AD396" s="267"/>
      <c r="AE396" s="267">
        <v>28233</v>
      </c>
      <c r="AF396" s="267"/>
      <c r="AG396" s="224">
        <v>28233</v>
      </c>
      <c r="AH396" s="267"/>
      <c r="AI396" s="267"/>
      <c r="AJ396" s="267">
        <v>28233</v>
      </c>
      <c r="AK396" s="267"/>
      <c r="AL396" s="224">
        <v>28233</v>
      </c>
      <c r="AM396" s="104">
        <v>28233</v>
      </c>
      <c r="AN396" s="103" t="s">
        <v>686</v>
      </c>
      <c r="AO396" s="103" t="s">
        <v>618</v>
      </c>
      <c r="AP396" s="103" t="s">
        <v>1216</v>
      </c>
      <c r="AQ396" s="103" t="s">
        <v>1194</v>
      </c>
      <c r="AR396" s="103" t="s">
        <v>938</v>
      </c>
      <c r="AS396" s="271"/>
      <c r="AT396" s="271"/>
      <c r="AU396" s="271"/>
      <c r="AV396" s="271">
        <v>454301155</v>
      </c>
      <c r="AW396" s="271"/>
      <c r="AX396" s="271"/>
      <c r="AY396" s="271"/>
      <c r="AZ396" s="271"/>
      <c r="BA396" s="271"/>
      <c r="BB396" s="271"/>
      <c r="BC396" s="271"/>
      <c r="BD396" s="271"/>
      <c r="BE396" s="271"/>
      <c r="BF396" s="271"/>
      <c r="BG396" s="271"/>
      <c r="BH396" s="235">
        <f t="shared" si="150"/>
        <v>454301155</v>
      </c>
      <c r="BI396" s="271"/>
      <c r="BJ396" s="271"/>
      <c r="BK396" s="271"/>
      <c r="BL396" s="271"/>
      <c r="BM396" s="271">
        <v>1200000000</v>
      </c>
      <c r="BN396" s="271"/>
      <c r="BO396" s="271"/>
      <c r="BP396" s="271"/>
      <c r="BQ396" s="271"/>
      <c r="BR396" s="271"/>
      <c r="BS396" s="271"/>
      <c r="BT396" s="271"/>
      <c r="BU396" s="271"/>
      <c r="BV396" s="271"/>
      <c r="BW396" s="271"/>
      <c r="BX396" s="235">
        <f t="shared" si="151"/>
        <v>1200000000</v>
      </c>
      <c r="BY396" s="271"/>
      <c r="BZ396" s="271"/>
      <c r="CA396" s="271"/>
      <c r="CB396" s="271"/>
      <c r="CC396" s="271">
        <v>1200000000</v>
      </c>
      <c r="CD396" s="271"/>
      <c r="CE396" s="271"/>
      <c r="CF396" s="271"/>
      <c r="CG396" s="271"/>
      <c r="CH396" s="271"/>
      <c r="CI396" s="271"/>
      <c r="CJ396" s="271"/>
      <c r="CK396" s="271"/>
      <c r="CL396" s="271"/>
      <c r="CM396" s="271"/>
      <c r="CN396" s="235">
        <f t="shared" si="152"/>
        <v>1200000000</v>
      </c>
      <c r="CO396" s="271"/>
      <c r="CP396" s="271"/>
      <c r="CQ396" s="271"/>
      <c r="CR396" s="271"/>
      <c r="CS396" s="271">
        <v>1200000000</v>
      </c>
      <c r="CT396" s="271"/>
      <c r="CU396" s="271"/>
      <c r="CV396" s="271"/>
      <c r="CW396" s="271"/>
      <c r="CX396" s="271"/>
      <c r="CY396" s="271"/>
      <c r="CZ396" s="271"/>
      <c r="DA396" s="271"/>
      <c r="DB396" s="271"/>
      <c r="DC396" s="271"/>
      <c r="DD396" s="234">
        <f t="shared" si="153"/>
        <v>1200000000</v>
      </c>
      <c r="DE396" s="244">
        <f t="shared" si="154"/>
        <v>4054301155</v>
      </c>
    </row>
    <row r="397" spans="1:110" s="99" customFormat="1" ht="94.05" customHeight="1">
      <c r="A397" s="103" t="s">
        <v>1239</v>
      </c>
      <c r="B397" s="279" t="s">
        <v>9</v>
      </c>
      <c r="C397" s="279" t="s">
        <v>1694</v>
      </c>
      <c r="D397" s="279">
        <v>33</v>
      </c>
      <c r="E397" s="279" t="s">
        <v>1261</v>
      </c>
      <c r="F397" s="280" t="s">
        <v>1262</v>
      </c>
      <c r="G397" s="279" t="s">
        <v>3532</v>
      </c>
      <c r="H397" s="279">
        <v>40</v>
      </c>
      <c r="I397" s="279" t="s">
        <v>1263</v>
      </c>
      <c r="J397" s="279" t="s">
        <v>683</v>
      </c>
      <c r="K397" s="104">
        <v>45057</v>
      </c>
      <c r="L397" s="279" t="s">
        <v>1264</v>
      </c>
      <c r="M397" s="279" t="s">
        <v>1274</v>
      </c>
      <c r="N397" s="279" t="s">
        <v>1275</v>
      </c>
      <c r="O397" s="279" t="s">
        <v>1276</v>
      </c>
      <c r="P397" s="283">
        <v>355</v>
      </c>
      <c r="Q397" s="279" t="s">
        <v>3537</v>
      </c>
      <c r="R397" s="279" t="s">
        <v>1277</v>
      </c>
      <c r="S397" s="279" t="s">
        <v>683</v>
      </c>
      <c r="T397" s="279">
        <v>10</v>
      </c>
      <c r="U397" s="267"/>
      <c r="V397" s="267"/>
      <c r="W397" s="224">
        <v>0</v>
      </c>
      <c r="X397" s="267"/>
      <c r="Y397" s="267"/>
      <c r="Z397" s="267">
        <v>10</v>
      </c>
      <c r="AA397" s="267"/>
      <c r="AB397" s="224">
        <v>10</v>
      </c>
      <c r="AC397" s="267"/>
      <c r="AD397" s="267"/>
      <c r="AE397" s="267">
        <v>10</v>
      </c>
      <c r="AF397" s="267"/>
      <c r="AG397" s="224">
        <v>10</v>
      </c>
      <c r="AH397" s="267"/>
      <c r="AI397" s="267"/>
      <c r="AJ397" s="267">
        <v>10</v>
      </c>
      <c r="AK397" s="267"/>
      <c r="AL397" s="224">
        <v>10</v>
      </c>
      <c r="AM397" s="104">
        <v>10</v>
      </c>
      <c r="AN397" s="103" t="s">
        <v>686</v>
      </c>
      <c r="AO397" s="103" t="s">
        <v>618</v>
      </c>
      <c r="AP397" s="103" t="s">
        <v>1216</v>
      </c>
      <c r="AQ397" s="103" t="s">
        <v>1194</v>
      </c>
      <c r="AR397" s="103" t="s">
        <v>938</v>
      </c>
      <c r="AS397" s="271"/>
      <c r="AT397" s="271"/>
      <c r="AU397" s="271"/>
      <c r="AV397" s="271"/>
      <c r="AW397" s="271"/>
      <c r="AX397" s="271"/>
      <c r="AY397" s="271"/>
      <c r="AZ397" s="271"/>
      <c r="BA397" s="271"/>
      <c r="BB397" s="271"/>
      <c r="BC397" s="271"/>
      <c r="BD397" s="271"/>
      <c r="BE397" s="271"/>
      <c r="BF397" s="271"/>
      <c r="BG397" s="271"/>
      <c r="BH397" s="235">
        <f t="shared" si="150"/>
        <v>0</v>
      </c>
      <c r="BI397" s="271"/>
      <c r="BJ397" s="271"/>
      <c r="BK397" s="271"/>
      <c r="BL397" s="271"/>
      <c r="BM397" s="271">
        <v>20000000</v>
      </c>
      <c r="BN397" s="271"/>
      <c r="BO397" s="271"/>
      <c r="BP397" s="271"/>
      <c r="BQ397" s="271"/>
      <c r="BR397" s="271"/>
      <c r="BS397" s="271"/>
      <c r="BT397" s="271"/>
      <c r="BU397" s="271"/>
      <c r="BV397" s="271"/>
      <c r="BW397" s="271"/>
      <c r="BX397" s="235">
        <f t="shared" si="151"/>
        <v>20000000</v>
      </c>
      <c r="BY397" s="271"/>
      <c r="BZ397" s="271"/>
      <c r="CA397" s="271"/>
      <c r="CB397" s="271"/>
      <c r="CC397" s="271">
        <v>20000000</v>
      </c>
      <c r="CD397" s="271"/>
      <c r="CE397" s="271"/>
      <c r="CF397" s="271"/>
      <c r="CG397" s="271"/>
      <c r="CH397" s="271"/>
      <c r="CI397" s="271"/>
      <c r="CJ397" s="271"/>
      <c r="CK397" s="271"/>
      <c r="CL397" s="271"/>
      <c r="CM397" s="271"/>
      <c r="CN397" s="235">
        <f t="shared" si="152"/>
        <v>20000000</v>
      </c>
      <c r="CO397" s="271"/>
      <c r="CP397" s="271"/>
      <c r="CQ397" s="271"/>
      <c r="CR397" s="271"/>
      <c r="CS397" s="271">
        <v>20000000</v>
      </c>
      <c r="CT397" s="271"/>
      <c r="CU397" s="271"/>
      <c r="CV397" s="271"/>
      <c r="CW397" s="271"/>
      <c r="CX397" s="271"/>
      <c r="CY397" s="271"/>
      <c r="CZ397" s="271"/>
      <c r="DA397" s="271"/>
      <c r="DB397" s="271"/>
      <c r="DC397" s="271"/>
      <c r="DD397" s="234">
        <f t="shared" si="153"/>
        <v>20000000</v>
      </c>
      <c r="DE397" s="244">
        <f t="shared" si="154"/>
        <v>60000000</v>
      </c>
    </row>
    <row r="398" spans="1:110" s="99" customFormat="1" ht="94.05" customHeight="1">
      <c r="A398" s="103" t="s">
        <v>1239</v>
      </c>
      <c r="B398" s="279" t="s">
        <v>9</v>
      </c>
      <c r="C398" s="279" t="s">
        <v>1694</v>
      </c>
      <c r="D398" s="279">
        <v>33</v>
      </c>
      <c r="E398" s="279" t="s">
        <v>1261</v>
      </c>
      <c r="F398" s="280" t="s">
        <v>1262</v>
      </c>
      <c r="G398" s="279" t="s">
        <v>3532</v>
      </c>
      <c r="H398" s="279">
        <v>40</v>
      </c>
      <c r="I398" s="279" t="s">
        <v>1263</v>
      </c>
      <c r="J398" s="279" t="s">
        <v>683</v>
      </c>
      <c r="K398" s="104">
        <v>45057</v>
      </c>
      <c r="L398" s="279" t="s">
        <v>1264</v>
      </c>
      <c r="M398" s="279" t="s">
        <v>1274</v>
      </c>
      <c r="N398" s="279" t="s">
        <v>1275</v>
      </c>
      <c r="O398" s="279" t="s">
        <v>1276</v>
      </c>
      <c r="P398" s="283">
        <v>356</v>
      </c>
      <c r="Q398" s="279" t="s">
        <v>3538</v>
      </c>
      <c r="R398" s="279" t="s">
        <v>1277</v>
      </c>
      <c r="S398" s="279" t="s">
        <v>683</v>
      </c>
      <c r="T398" s="279">
        <v>10</v>
      </c>
      <c r="U398" s="267"/>
      <c r="V398" s="267"/>
      <c r="W398" s="224">
        <v>0</v>
      </c>
      <c r="X398" s="267"/>
      <c r="Y398" s="267"/>
      <c r="Z398" s="267">
        <v>50</v>
      </c>
      <c r="AA398" s="267"/>
      <c r="AB398" s="224">
        <v>50</v>
      </c>
      <c r="AC398" s="267"/>
      <c r="AD398" s="267"/>
      <c r="AE398" s="267">
        <v>50</v>
      </c>
      <c r="AF398" s="267"/>
      <c r="AG398" s="224">
        <v>50</v>
      </c>
      <c r="AH398" s="267"/>
      <c r="AI398" s="267"/>
      <c r="AJ398" s="267">
        <v>40</v>
      </c>
      <c r="AK398" s="267"/>
      <c r="AL398" s="224">
        <v>40</v>
      </c>
      <c r="AM398" s="104">
        <v>140</v>
      </c>
      <c r="AN398" s="103" t="s">
        <v>685</v>
      </c>
      <c r="AO398" s="103" t="s">
        <v>618</v>
      </c>
      <c r="AP398" s="103" t="s">
        <v>1216</v>
      </c>
      <c r="AQ398" s="103" t="s">
        <v>1194</v>
      </c>
      <c r="AR398" s="103" t="s">
        <v>938</v>
      </c>
      <c r="AS398" s="271"/>
      <c r="AT398" s="271"/>
      <c r="AU398" s="271"/>
      <c r="AV398" s="271"/>
      <c r="AW398" s="271"/>
      <c r="AX398" s="271"/>
      <c r="AY398" s="271"/>
      <c r="AZ398" s="271"/>
      <c r="BA398" s="271"/>
      <c r="BB398" s="271"/>
      <c r="BC398" s="271"/>
      <c r="BD398" s="271"/>
      <c r="BE398" s="271"/>
      <c r="BF398" s="271"/>
      <c r="BG398" s="271"/>
      <c r="BH398" s="235">
        <f t="shared" si="150"/>
        <v>0</v>
      </c>
      <c r="BI398" s="271"/>
      <c r="BJ398" s="271"/>
      <c r="BK398" s="271"/>
      <c r="BL398" s="271"/>
      <c r="BM398" s="271">
        <v>180000000</v>
      </c>
      <c r="BN398" s="271"/>
      <c r="BO398" s="271"/>
      <c r="BP398" s="271"/>
      <c r="BQ398" s="271"/>
      <c r="BR398" s="271"/>
      <c r="BS398" s="271"/>
      <c r="BT398" s="271"/>
      <c r="BU398" s="271"/>
      <c r="BV398" s="271"/>
      <c r="BW398" s="271"/>
      <c r="BX398" s="235">
        <f t="shared" si="151"/>
        <v>180000000</v>
      </c>
      <c r="BY398" s="271"/>
      <c r="BZ398" s="271"/>
      <c r="CA398" s="271"/>
      <c r="CB398" s="271"/>
      <c r="CC398" s="271">
        <v>180000000</v>
      </c>
      <c r="CD398" s="271"/>
      <c r="CE398" s="271"/>
      <c r="CF398" s="271"/>
      <c r="CG398" s="271"/>
      <c r="CH398" s="271"/>
      <c r="CI398" s="271"/>
      <c r="CJ398" s="271"/>
      <c r="CK398" s="271"/>
      <c r="CL398" s="271"/>
      <c r="CM398" s="271"/>
      <c r="CN398" s="235">
        <f t="shared" si="152"/>
        <v>180000000</v>
      </c>
      <c r="CO398" s="271"/>
      <c r="CP398" s="271"/>
      <c r="CQ398" s="271"/>
      <c r="CR398" s="271"/>
      <c r="CS398" s="271">
        <v>180000000</v>
      </c>
      <c r="CT398" s="271"/>
      <c r="CU398" s="271"/>
      <c r="CV398" s="271"/>
      <c r="CW398" s="271"/>
      <c r="CX398" s="271"/>
      <c r="CY398" s="271"/>
      <c r="CZ398" s="271"/>
      <c r="DA398" s="271"/>
      <c r="DB398" s="271"/>
      <c r="DC398" s="271"/>
      <c r="DD398" s="234">
        <f t="shared" si="153"/>
        <v>180000000</v>
      </c>
      <c r="DE398" s="244">
        <f t="shared" si="154"/>
        <v>540000000</v>
      </c>
    </row>
    <row r="399" spans="1:110" s="99" customFormat="1" ht="94.05" customHeight="1">
      <c r="A399" s="103" t="s">
        <v>1239</v>
      </c>
      <c r="B399" s="279" t="s">
        <v>9</v>
      </c>
      <c r="C399" s="279" t="s">
        <v>1694</v>
      </c>
      <c r="D399" s="279">
        <v>33</v>
      </c>
      <c r="E399" s="279" t="s">
        <v>1261</v>
      </c>
      <c r="F399" s="280" t="s">
        <v>1262</v>
      </c>
      <c r="G399" s="279" t="s">
        <v>3532</v>
      </c>
      <c r="H399" s="279">
        <v>40</v>
      </c>
      <c r="I399" s="279" t="s">
        <v>1263</v>
      </c>
      <c r="J399" s="279" t="s">
        <v>683</v>
      </c>
      <c r="K399" s="104">
        <v>45057</v>
      </c>
      <c r="L399" s="279" t="s">
        <v>1264</v>
      </c>
      <c r="M399" s="279" t="s">
        <v>1274</v>
      </c>
      <c r="N399" s="279" t="s">
        <v>1275</v>
      </c>
      <c r="O399" s="279" t="s">
        <v>1276</v>
      </c>
      <c r="P399" s="283">
        <v>357</v>
      </c>
      <c r="Q399" s="279" t="s">
        <v>3438</v>
      </c>
      <c r="R399" s="279" t="s">
        <v>3539</v>
      </c>
      <c r="S399" s="279" t="s">
        <v>683</v>
      </c>
      <c r="T399" s="279">
        <v>123</v>
      </c>
      <c r="U399" s="267"/>
      <c r="V399" s="267"/>
      <c r="W399" s="224">
        <v>0</v>
      </c>
      <c r="X399" s="267"/>
      <c r="Y399" s="267"/>
      <c r="Z399" s="267">
        <v>123</v>
      </c>
      <c r="AA399" s="267"/>
      <c r="AB399" s="224">
        <v>123</v>
      </c>
      <c r="AC399" s="267"/>
      <c r="AD399" s="267"/>
      <c r="AE399" s="267">
        <v>123</v>
      </c>
      <c r="AF399" s="267"/>
      <c r="AG399" s="224">
        <v>123</v>
      </c>
      <c r="AH399" s="267"/>
      <c r="AI399" s="267"/>
      <c r="AJ399" s="267">
        <v>123</v>
      </c>
      <c r="AK399" s="267"/>
      <c r="AL399" s="224">
        <v>123</v>
      </c>
      <c r="AM399" s="104">
        <v>123</v>
      </c>
      <c r="AN399" s="103" t="s">
        <v>686</v>
      </c>
      <c r="AO399" s="103" t="s">
        <v>618</v>
      </c>
      <c r="AP399" s="103" t="s">
        <v>1216</v>
      </c>
      <c r="AQ399" s="103" t="s">
        <v>1194</v>
      </c>
      <c r="AR399" s="103" t="s">
        <v>938</v>
      </c>
      <c r="AS399" s="271"/>
      <c r="AT399" s="271"/>
      <c r="AU399" s="271"/>
      <c r="AV399" s="271"/>
      <c r="AW399" s="271"/>
      <c r="AX399" s="271"/>
      <c r="AY399" s="271"/>
      <c r="AZ399" s="271"/>
      <c r="BA399" s="271"/>
      <c r="BB399" s="271"/>
      <c r="BC399" s="271"/>
      <c r="BD399" s="271"/>
      <c r="BE399" s="271"/>
      <c r="BF399" s="271"/>
      <c r="BG399" s="271"/>
      <c r="BH399" s="235">
        <f t="shared" si="150"/>
        <v>0</v>
      </c>
      <c r="BI399" s="271"/>
      <c r="BJ399" s="271"/>
      <c r="BK399" s="271"/>
      <c r="BL399" s="271">
        <v>376000000</v>
      </c>
      <c r="BM399" s="271"/>
      <c r="BN399" s="271"/>
      <c r="BO399" s="271"/>
      <c r="BP399" s="271"/>
      <c r="BQ399" s="271"/>
      <c r="BR399" s="271"/>
      <c r="BS399" s="271"/>
      <c r="BT399" s="271"/>
      <c r="BU399" s="271"/>
      <c r="BV399" s="271"/>
      <c r="BW399" s="271"/>
      <c r="BX399" s="235">
        <f t="shared" si="151"/>
        <v>376000000</v>
      </c>
      <c r="BY399" s="271"/>
      <c r="BZ399" s="271"/>
      <c r="CA399" s="271"/>
      <c r="CB399" s="271">
        <v>376000000</v>
      </c>
      <c r="CC399" s="271"/>
      <c r="CD399" s="271"/>
      <c r="CE399" s="271"/>
      <c r="CF399" s="271"/>
      <c r="CG399" s="271"/>
      <c r="CH399" s="271"/>
      <c r="CI399" s="271"/>
      <c r="CJ399" s="271"/>
      <c r="CK399" s="271"/>
      <c r="CL399" s="271"/>
      <c r="CM399" s="271"/>
      <c r="CN399" s="235">
        <f t="shared" si="152"/>
        <v>376000000</v>
      </c>
      <c r="CO399" s="271"/>
      <c r="CP399" s="271"/>
      <c r="CQ399" s="271"/>
      <c r="CR399" s="271">
        <v>376000000</v>
      </c>
      <c r="CS399" s="271"/>
      <c r="CT399" s="271"/>
      <c r="CU399" s="271"/>
      <c r="CV399" s="271"/>
      <c r="CW399" s="271"/>
      <c r="CX399" s="271"/>
      <c r="CY399" s="271"/>
      <c r="CZ399" s="271"/>
      <c r="DA399" s="271"/>
      <c r="DB399" s="271"/>
      <c r="DC399" s="271"/>
      <c r="DD399" s="234">
        <f t="shared" si="153"/>
        <v>376000000</v>
      </c>
      <c r="DE399" s="244">
        <f t="shared" si="154"/>
        <v>1128000000</v>
      </c>
    </row>
    <row r="400" spans="1:110" s="99" customFormat="1" ht="94.05" customHeight="1">
      <c r="A400" s="103" t="s">
        <v>1239</v>
      </c>
      <c r="B400" s="279" t="s">
        <v>9</v>
      </c>
      <c r="C400" s="279" t="s">
        <v>1694</v>
      </c>
      <c r="D400" s="279">
        <v>33</v>
      </c>
      <c r="E400" s="279" t="s">
        <v>1261</v>
      </c>
      <c r="F400" s="280" t="s">
        <v>1262</v>
      </c>
      <c r="G400" s="279" t="s">
        <v>3532</v>
      </c>
      <c r="H400" s="279">
        <v>40</v>
      </c>
      <c r="I400" s="279" t="s">
        <v>1263</v>
      </c>
      <c r="J400" s="279" t="s">
        <v>683</v>
      </c>
      <c r="K400" s="104">
        <v>45057</v>
      </c>
      <c r="L400" s="279" t="s">
        <v>1264</v>
      </c>
      <c r="M400" s="279" t="s">
        <v>1278</v>
      </c>
      <c r="N400" s="279" t="s">
        <v>1279</v>
      </c>
      <c r="O400" s="279" t="s">
        <v>1280</v>
      </c>
      <c r="P400" s="283">
        <v>358</v>
      </c>
      <c r="Q400" s="279" t="s">
        <v>3540</v>
      </c>
      <c r="R400" s="279" t="s">
        <v>1281</v>
      </c>
      <c r="S400" s="279" t="s">
        <v>683</v>
      </c>
      <c r="T400" s="279">
        <v>0</v>
      </c>
      <c r="U400" s="267"/>
      <c r="V400" s="267">
        <v>10</v>
      </c>
      <c r="W400" s="224">
        <v>10</v>
      </c>
      <c r="X400" s="267"/>
      <c r="Y400" s="267">
        <v>10</v>
      </c>
      <c r="Z400" s="267">
        <v>10</v>
      </c>
      <c r="AA400" s="267">
        <v>10</v>
      </c>
      <c r="AB400" s="224">
        <v>30</v>
      </c>
      <c r="AC400" s="267"/>
      <c r="AD400" s="267">
        <v>10</v>
      </c>
      <c r="AE400" s="267">
        <v>10</v>
      </c>
      <c r="AF400" s="267">
        <v>10</v>
      </c>
      <c r="AG400" s="224">
        <v>30</v>
      </c>
      <c r="AH400" s="267"/>
      <c r="AI400" s="267">
        <v>10</v>
      </c>
      <c r="AJ400" s="267">
        <v>10</v>
      </c>
      <c r="AK400" s="267">
        <v>10</v>
      </c>
      <c r="AL400" s="224">
        <v>30</v>
      </c>
      <c r="AM400" s="104">
        <v>100</v>
      </c>
      <c r="AN400" s="103" t="s">
        <v>685</v>
      </c>
      <c r="AO400" s="103" t="s">
        <v>618</v>
      </c>
      <c r="AP400" s="103" t="s">
        <v>1216</v>
      </c>
      <c r="AQ400" s="103" t="s">
        <v>1194</v>
      </c>
      <c r="AR400" s="103" t="s">
        <v>938</v>
      </c>
      <c r="AS400" s="271"/>
      <c r="AT400" s="271"/>
      <c r="AU400" s="271"/>
      <c r="AV400" s="271">
        <v>130000000</v>
      </c>
      <c r="AW400" s="271"/>
      <c r="AX400" s="271"/>
      <c r="AY400" s="271"/>
      <c r="AZ400" s="271"/>
      <c r="BA400" s="271"/>
      <c r="BB400" s="271"/>
      <c r="BC400" s="271"/>
      <c r="BD400" s="271"/>
      <c r="BE400" s="271"/>
      <c r="BF400" s="271"/>
      <c r="BG400" s="271"/>
      <c r="BH400" s="235">
        <f t="shared" si="150"/>
        <v>130000000</v>
      </c>
      <c r="BI400" s="271"/>
      <c r="BJ400" s="271"/>
      <c r="BK400" s="271"/>
      <c r="BL400" s="271">
        <v>150000000</v>
      </c>
      <c r="BM400" s="271"/>
      <c r="BN400" s="271"/>
      <c r="BO400" s="271"/>
      <c r="BP400" s="271"/>
      <c r="BQ400" s="271"/>
      <c r="BR400" s="271"/>
      <c r="BS400" s="271"/>
      <c r="BT400" s="271"/>
      <c r="BU400" s="271"/>
      <c r="BV400" s="271"/>
      <c r="BW400" s="271"/>
      <c r="BX400" s="235">
        <f t="shared" si="151"/>
        <v>150000000</v>
      </c>
      <c r="BY400" s="271"/>
      <c r="BZ400" s="271"/>
      <c r="CA400" s="271"/>
      <c r="CB400" s="271">
        <v>150000000</v>
      </c>
      <c r="CC400" s="271"/>
      <c r="CD400" s="271"/>
      <c r="CE400" s="271"/>
      <c r="CF400" s="271"/>
      <c r="CG400" s="271"/>
      <c r="CH400" s="271"/>
      <c r="CI400" s="271"/>
      <c r="CJ400" s="271"/>
      <c r="CK400" s="271"/>
      <c r="CL400" s="271"/>
      <c r="CM400" s="271"/>
      <c r="CN400" s="235">
        <f t="shared" si="152"/>
        <v>150000000</v>
      </c>
      <c r="CO400" s="271"/>
      <c r="CP400" s="271"/>
      <c r="CQ400" s="271"/>
      <c r="CR400" s="271">
        <v>150000000</v>
      </c>
      <c r="CS400" s="271"/>
      <c r="CT400" s="271"/>
      <c r="CU400" s="271"/>
      <c r="CV400" s="271"/>
      <c r="CW400" s="271"/>
      <c r="CX400" s="271"/>
      <c r="CY400" s="271"/>
      <c r="CZ400" s="271"/>
      <c r="DA400" s="271"/>
      <c r="DB400" s="271"/>
      <c r="DC400" s="271"/>
      <c r="DD400" s="234">
        <f t="shared" si="153"/>
        <v>150000000</v>
      </c>
      <c r="DE400" s="244">
        <f t="shared" si="154"/>
        <v>580000000</v>
      </c>
    </row>
    <row r="401" spans="1:109" s="99" customFormat="1" ht="94.05" customHeight="1">
      <c r="A401" s="103" t="s">
        <v>1239</v>
      </c>
      <c r="B401" s="279" t="s">
        <v>9</v>
      </c>
      <c r="C401" s="279" t="s">
        <v>1694</v>
      </c>
      <c r="D401" s="279">
        <v>33</v>
      </c>
      <c r="E401" s="279" t="s">
        <v>1261</v>
      </c>
      <c r="F401" s="280" t="s">
        <v>1262</v>
      </c>
      <c r="G401" s="279" t="s">
        <v>3532</v>
      </c>
      <c r="H401" s="279">
        <v>40</v>
      </c>
      <c r="I401" s="279" t="s">
        <v>1263</v>
      </c>
      <c r="J401" s="279" t="s">
        <v>683</v>
      </c>
      <c r="K401" s="104">
        <v>45057</v>
      </c>
      <c r="L401" s="279" t="s">
        <v>1264</v>
      </c>
      <c r="M401" s="279" t="s">
        <v>1282</v>
      </c>
      <c r="N401" s="279" t="s">
        <v>1283</v>
      </c>
      <c r="O401" s="279" t="s">
        <v>1284</v>
      </c>
      <c r="P401" s="283">
        <v>359</v>
      </c>
      <c r="Q401" s="279" t="s">
        <v>3439</v>
      </c>
      <c r="R401" s="279" t="s">
        <v>1285</v>
      </c>
      <c r="S401" s="279" t="s">
        <v>683</v>
      </c>
      <c r="T401" s="279">
        <v>123</v>
      </c>
      <c r="U401" s="267"/>
      <c r="V401" s="267">
        <v>123</v>
      </c>
      <c r="W401" s="224">
        <v>123</v>
      </c>
      <c r="X401" s="267"/>
      <c r="Y401" s="267">
        <v>40</v>
      </c>
      <c r="Z401" s="267">
        <v>43</v>
      </c>
      <c r="AA401" s="267">
        <v>40</v>
      </c>
      <c r="AB401" s="224">
        <v>123</v>
      </c>
      <c r="AC401" s="267"/>
      <c r="AD401" s="267">
        <v>40</v>
      </c>
      <c r="AE401" s="267">
        <v>43</v>
      </c>
      <c r="AF401" s="267">
        <v>40</v>
      </c>
      <c r="AG401" s="224">
        <v>123</v>
      </c>
      <c r="AH401" s="267"/>
      <c r="AI401" s="267">
        <v>40</v>
      </c>
      <c r="AJ401" s="267">
        <v>43</v>
      </c>
      <c r="AK401" s="267">
        <v>40</v>
      </c>
      <c r="AL401" s="224">
        <v>123</v>
      </c>
      <c r="AM401" s="104">
        <v>123</v>
      </c>
      <c r="AN401" s="103" t="s">
        <v>686</v>
      </c>
      <c r="AO401" s="103" t="s">
        <v>1212</v>
      </c>
      <c r="AP401" s="103" t="s">
        <v>1229</v>
      </c>
      <c r="AQ401" s="103" t="s">
        <v>1194</v>
      </c>
      <c r="AR401" s="103" t="s">
        <v>938</v>
      </c>
      <c r="AS401" s="271"/>
      <c r="AT401" s="271"/>
      <c r="AU401" s="271"/>
      <c r="AV401" s="271">
        <v>150000000</v>
      </c>
      <c r="AW401" s="271"/>
      <c r="AX401" s="271"/>
      <c r="AY401" s="271"/>
      <c r="AZ401" s="271"/>
      <c r="BA401" s="271"/>
      <c r="BB401" s="271"/>
      <c r="BC401" s="271"/>
      <c r="BD401" s="271"/>
      <c r="BE401" s="271"/>
      <c r="BF401" s="271"/>
      <c r="BG401" s="271"/>
      <c r="BH401" s="235">
        <f t="shared" si="150"/>
        <v>150000000</v>
      </c>
      <c r="BI401" s="271"/>
      <c r="BJ401" s="271"/>
      <c r="BK401" s="271"/>
      <c r="BL401" s="271"/>
      <c r="BM401" s="271">
        <v>350000000</v>
      </c>
      <c r="BN401" s="271"/>
      <c r="BO401" s="271"/>
      <c r="BP401" s="271"/>
      <c r="BQ401" s="271"/>
      <c r="BR401" s="271"/>
      <c r="BS401" s="271"/>
      <c r="BT401" s="271"/>
      <c r="BU401" s="271"/>
      <c r="BV401" s="271"/>
      <c r="BW401" s="271"/>
      <c r="BX401" s="235">
        <f t="shared" si="151"/>
        <v>350000000</v>
      </c>
      <c r="BY401" s="271"/>
      <c r="BZ401" s="271"/>
      <c r="CA401" s="271"/>
      <c r="CB401" s="271"/>
      <c r="CC401" s="271">
        <v>360000000</v>
      </c>
      <c r="CD401" s="271"/>
      <c r="CE401" s="271"/>
      <c r="CF401" s="271"/>
      <c r="CG401" s="271"/>
      <c r="CH401" s="271"/>
      <c r="CI401" s="271"/>
      <c r="CJ401" s="271"/>
      <c r="CK401" s="271"/>
      <c r="CL401" s="271"/>
      <c r="CM401" s="271"/>
      <c r="CN401" s="235">
        <f t="shared" si="152"/>
        <v>360000000</v>
      </c>
      <c r="CO401" s="271"/>
      <c r="CP401" s="271"/>
      <c r="CQ401" s="271"/>
      <c r="CR401" s="271"/>
      <c r="CS401" s="271">
        <v>360000000</v>
      </c>
      <c r="CT401" s="271"/>
      <c r="CU401" s="271"/>
      <c r="CV401" s="271"/>
      <c r="CW401" s="271"/>
      <c r="CX401" s="271"/>
      <c r="CY401" s="271"/>
      <c r="CZ401" s="271"/>
      <c r="DA401" s="271"/>
      <c r="DB401" s="271"/>
      <c r="DC401" s="271"/>
      <c r="DD401" s="234">
        <f t="shared" si="153"/>
        <v>360000000</v>
      </c>
      <c r="DE401" s="244">
        <f t="shared" si="154"/>
        <v>1220000000</v>
      </c>
    </row>
    <row r="402" spans="1:109" s="99" customFormat="1" ht="94.05" customHeight="1">
      <c r="A402" s="103" t="s">
        <v>1239</v>
      </c>
      <c r="B402" s="279" t="s">
        <v>9</v>
      </c>
      <c r="C402" s="279" t="s">
        <v>1694</v>
      </c>
      <c r="D402" s="279">
        <v>33</v>
      </c>
      <c r="E402" s="279" t="s">
        <v>1261</v>
      </c>
      <c r="F402" s="280" t="s">
        <v>1262</v>
      </c>
      <c r="G402" s="279" t="s">
        <v>3532</v>
      </c>
      <c r="H402" s="279">
        <v>40</v>
      </c>
      <c r="I402" s="279" t="s">
        <v>1263</v>
      </c>
      <c r="J402" s="279" t="s">
        <v>683</v>
      </c>
      <c r="K402" s="104">
        <v>45057</v>
      </c>
      <c r="L402" s="279" t="s">
        <v>1264</v>
      </c>
      <c r="M402" s="279" t="s">
        <v>1282</v>
      </c>
      <c r="N402" s="279" t="s">
        <v>1283</v>
      </c>
      <c r="O402" s="279" t="s">
        <v>1284</v>
      </c>
      <c r="P402" s="283">
        <v>360</v>
      </c>
      <c r="Q402" s="279" t="s">
        <v>3541</v>
      </c>
      <c r="R402" s="279" t="s">
        <v>1286</v>
      </c>
      <c r="S402" s="279" t="s">
        <v>683</v>
      </c>
      <c r="T402" s="279">
        <v>10</v>
      </c>
      <c r="U402" s="267">
        <v>1</v>
      </c>
      <c r="V402" s="267">
        <v>2</v>
      </c>
      <c r="W402" s="224">
        <v>3</v>
      </c>
      <c r="X402" s="267">
        <v>1</v>
      </c>
      <c r="Y402" s="267">
        <v>1</v>
      </c>
      <c r="Z402" s="267">
        <v>2</v>
      </c>
      <c r="AA402" s="267">
        <v>1</v>
      </c>
      <c r="AB402" s="224">
        <v>5</v>
      </c>
      <c r="AC402" s="267">
        <v>1</v>
      </c>
      <c r="AD402" s="267">
        <v>1</v>
      </c>
      <c r="AE402" s="267">
        <v>2</v>
      </c>
      <c r="AF402" s="267">
        <v>1</v>
      </c>
      <c r="AG402" s="224">
        <v>5</v>
      </c>
      <c r="AH402" s="267">
        <v>1</v>
      </c>
      <c r="AI402" s="267">
        <v>1</v>
      </c>
      <c r="AJ402" s="267">
        <v>2</v>
      </c>
      <c r="AK402" s="267">
        <v>1</v>
      </c>
      <c r="AL402" s="224">
        <v>5</v>
      </c>
      <c r="AM402" s="104">
        <v>18</v>
      </c>
      <c r="AN402" s="103" t="s">
        <v>685</v>
      </c>
      <c r="AO402" s="103" t="s">
        <v>1212</v>
      </c>
      <c r="AP402" s="103" t="s">
        <v>1229</v>
      </c>
      <c r="AQ402" s="103" t="s">
        <v>1194</v>
      </c>
      <c r="AR402" s="103" t="s">
        <v>938</v>
      </c>
      <c r="AS402" s="271"/>
      <c r="AT402" s="271"/>
      <c r="AU402" s="271"/>
      <c r="AV402" s="271"/>
      <c r="AW402" s="271">
        <v>2615268</v>
      </c>
      <c r="AX402" s="271"/>
      <c r="AY402" s="271"/>
      <c r="AZ402" s="271"/>
      <c r="BA402" s="271"/>
      <c r="BB402" s="271"/>
      <c r="BC402" s="271"/>
      <c r="BD402" s="271"/>
      <c r="BE402" s="271"/>
      <c r="BF402" s="271"/>
      <c r="BG402" s="271"/>
      <c r="BH402" s="235">
        <f t="shared" si="150"/>
        <v>2615268</v>
      </c>
      <c r="BI402" s="271"/>
      <c r="BJ402" s="271"/>
      <c r="BK402" s="271"/>
      <c r="BL402" s="271"/>
      <c r="BM402" s="271">
        <v>40000000</v>
      </c>
      <c r="BN402" s="271"/>
      <c r="BO402" s="271"/>
      <c r="BP402" s="271"/>
      <c r="BQ402" s="271"/>
      <c r="BR402" s="271"/>
      <c r="BS402" s="271"/>
      <c r="BT402" s="271"/>
      <c r="BU402" s="271"/>
      <c r="BV402" s="271"/>
      <c r="BW402" s="271"/>
      <c r="BX402" s="235">
        <f t="shared" si="151"/>
        <v>40000000</v>
      </c>
      <c r="BY402" s="271"/>
      <c r="BZ402" s="271"/>
      <c r="CA402" s="271"/>
      <c r="CB402" s="271"/>
      <c r="CC402" s="271">
        <v>40000000</v>
      </c>
      <c r="CD402" s="271"/>
      <c r="CE402" s="271"/>
      <c r="CF402" s="271"/>
      <c r="CG402" s="271"/>
      <c r="CH402" s="271"/>
      <c r="CI402" s="271"/>
      <c r="CJ402" s="271"/>
      <c r="CK402" s="271"/>
      <c r="CL402" s="271"/>
      <c r="CM402" s="271"/>
      <c r="CN402" s="235">
        <f t="shared" si="152"/>
        <v>40000000</v>
      </c>
      <c r="CO402" s="271"/>
      <c r="CP402" s="271"/>
      <c r="CQ402" s="271"/>
      <c r="CR402" s="271"/>
      <c r="CS402" s="271">
        <v>40000000</v>
      </c>
      <c r="CT402" s="271"/>
      <c r="CU402" s="271"/>
      <c r="CV402" s="271"/>
      <c r="CW402" s="271"/>
      <c r="CX402" s="271"/>
      <c r="CY402" s="271"/>
      <c r="CZ402" s="271"/>
      <c r="DA402" s="271"/>
      <c r="DB402" s="271"/>
      <c r="DC402" s="271"/>
      <c r="DD402" s="234">
        <f t="shared" si="153"/>
        <v>40000000</v>
      </c>
      <c r="DE402" s="244">
        <f t="shared" si="154"/>
        <v>122615268</v>
      </c>
    </row>
    <row r="403" spans="1:109" s="99" customFormat="1" ht="94.05" customHeight="1">
      <c r="A403" s="103" t="s">
        <v>1239</v>
      </c>
      <c r="B403" s="279" t="s">
        <v>9</v>
      </c>
      <c r="C403" s="279" t="s">
        <v>1694</v>
      </c>
      <c r="D403" s="279">
        <v>33</v>
      </c>
      <c r="E403" s="279" t="s">
        <v>1261</v>
      </c>
      <c r="F403" s="280" t="s">
        <v>1262</v>
      </c>
      <c r="G403" s="279" t="s">
        <v>3532</v>
      </c>
      <c r="H403" s="279">
        <v>40</v>
      </c>
      <c r="I403" s="279" t="s">
        <v>1263</v>
      </c>
      <c r="J403" s="279" t="s">
        <v>683</v>
      </c>
      <c r="K403" s="104">
        <v>45057</v>
      </c>
      <c r="L403" s="279" t="s">
        <v>1264</v>
      </c>
      <c r="M403" s="279" t="s">
        <v>1282</v>
      </c>
      <c r="N403" s="279" t="s">
        <v>1283</v>
      </c>
      <c r="O403" s="279" t="s">
        <v>1284</v>
      </c>
      <c r="P403" s="283">
        <v>361</v>
      </c>
      <c r="Q403" s="279" t="s">
        <v>3440</v>
      </c>
      <c r="R403" s="279" t="s">
        <v>1287</v>
      </c>
      <c r="S403" s="279" t="s">
        <v>683</v>
      </c>
      <c r="T403" s="279">
        <v>16</v>
      </c>
      <c r="U403" s="267">
        <v>16</v>
      </c>
      <c r="V403" s="267">
        <v>16</v>
      </c>
      <c r="W403" s="224">
        <v>16</v>
      </c>
      <c r="X403" s="267">
        <v>4</v>
      </c>
      <c r="Y403" s="267">
        <v>4</v>
      </c>
      <c r="Z403" s="267">
        <v>4</v>
      </c>
      <c r="AA403" s="267">
        <v>4</v>
      </c>
      <c r="AB403" s="224">
        <v>16</v>
      </c>
      <c r="AC403" s="267">
        <v>4</v>
      </c>
      <c r="AD403" s="267">
        <v>4</v>
      </c>
      <c r="AE403" s="267">
        <v>4</v>
      </c>
      <c r="AF403" s="267">
        <v>4</v>
      </c>
      <c r="AG403" s="224">
        <v>16</v>
      </c>
      <c r="AH403" s="267">
        <v>4</v>
      </c>
      <c r="AI403" s="267">
        <v>4</v>
      </c>
      <c r="AJ403" s="267">
        <v>4</v>
      </c>
      <c r="AK403" s="267">
        <v>4</v>
      </c>
      <c r="AL403" s="224">
        <v>16</v>
      </c>
      <c r="AM403" s="104">
        <v>16</v>
      </c>
      <c r="AN403" s="103" t="s">
        <v>686</v>
      </c>
      <c r="AO403" s="103" t="s">
        <v>1212</v>
      </c>
      <c r="AP403" s="103" t="s">
        <v>1229</v>
      </c>
      <c r="AQ403" s="103" t="s">
        <v>1194</v>
      </c>
      <c r="AR403" s="103" t="s">
        <v>938</v>
      </c>
      <c r="AS403" s="271"/>
      <c r="AT403" s="271"/>
      <c r="AU403" s="271"/>
      <c r="AV403" s="271">
        <v>100000000</v>
      </c>
      <c r="AW403" s="271"/>
      <c r="AX403" s="271"/>
      <c r="AY403" s="271"/>
      <c r="AZ403" s="271"/>
      <c r="BA403" s="271"/>
      <c r="BB403" s="271"/>
      <c r="BC403" s="271"/>
      <c r="BD403" s="271"/>
      <c r="BE403" s="271"/>
      <c r="BF403" s="271"/>
      <c r="BG403" s="271"/>
      <c r="BH403" s="235">
        <f t="shared" si="150"/>
        <v>100000000</v>
      </c>
      <c r="BI403" s="271"/>
      <c r="BJ403" s="271"/>
      <c r="BK403" s="271"/>
      <c r="BL403" s="271"/>
      <c r="BM403" s="271">
        <v>50000000</v>
      </c>
      <c r="BN403" s="271"/>
      <c r="BO403" s="271"/>
      <c r="BP403" s="271"/>
      <c r="BQ403" s="271"/>
      <c r="BR403" s="271"/>
      <c r="BS403" s="271"/>
      <c r="BT403" s="271"/>
      <c r="BU403" s="271"/>
      <c r="BV403" s="271"/>
      <c r="BW403" s="271"/>
      <c r="BX403" s="235">
        <f t="shared" si="151"/>
        <v>50000000</v>
      </c>
      <c r="BY403" s="271"/>
      <c r="BZ403" s="271"/>
      <c r="CA403" s="271"/>
      <c r="CB403" s="271"/>
      <c r="CC403" s="271">
        <v>50000000</v>
      </c>
      <c r="CD403" s="271"/>
      <c r="CE403" s="271"/>
      <c r="CF403" s="271"/>
      <c r="CG403" s="271"/>
      <c r="CH403" s="271"/>
      <c r="CI403" s="271"/>
      <c r="CJ403" s="271"/>
      <c r="CK403" s="271"/>
      <c r="CL403" s="271"/>
      <c r="CM403" s="271"/>
      <c r="CN403" s="235">
        <f t="shared" si="152"/>
        <v>50000000</v>
      </c>
      <c r="CO403" s="271"/>
      <c r="CP403" s="271"/>
      <c r="CQ403" s="271"/>
      <c r="CR403" s="271"/>
      <c r="CS403" s="271">
        <v>50000000</v>
      </c>
      <c r="CT403" s="271"/>
      <c r="CU403" s="271"/>
      <c r="CV403" s="271"/>
      <c r="CW403" s="271"/>
      <c r="CX403" s="271"/>
      <c r="CY403" s="271"/>
      <c r="CZ403" s="271"/>
      <c r="DA403" s="271"/>
      <c r="DB403" s="271"/>
      <c r="DC403" s="271"/>
      <c r="DD403" s="234">
        <f t="shared" si="153"/>
        <v>50000000</v>
      </c>
      <c r="DE403" s="244">
        <f t="shared" si="154"/>
        <v>250000000</v>
      </c>
    </row>
    <row r="404" spans="1:109" s="99" customFormat="1" ht="94.05" customHeight="1">
      <c r="A404" s="103" t="s">
        <v>1239</v>
      </c>
      <c r="B404" s="279" t="s">
        <v>9</v>
      </c>
      <c r="C404" s="279" t="s">
        <v>1694</v>
      </c>
      <c r="D404" s="279">
        <v>33</v>
      </c>
      <c r="E404" s="279" t="s">
        <v>1261</v>
      </c>
      <c r="F404" s="280" t="s">
        <v>1262</v>
      </c>
      <c r="G404" s="279" t="s">
        <v>3532</v>
      </c>
      <c r="H404" s="279">
        <v>40</v>
      </c>
      <c r="I404" s="279" t="s">
        <v>1263</v>
      </c>
      <c r="J404" s="279" t="s">
        <v>683</v>
      </c>
      <c r="K404" s="104">
        <v>45057</v>
      </c>
      <c r="L404" s="279" t="s">
        <v>1264</v>
      </c>
      <c r="M404" s="279" t="s">
        <v>1282</v>
      </c>
      <c r="N404" s="279" t="s">
        <v>1283</v>
      </c>
      <c r="O404" s="279" t="s">
        <v>1284</v>
      </c>
      <c r="P404" s="283">
        <v>362</v>
      </c>
      <c r="Q404" s="279" t="s">
        <v>3441</v>
      </c>
      <c r="R404" s="279" t="s">
        <v>1288</v>
      </c>
      <c r="S404" s="279" t="s">
        <v>683</v>
      </c>
      <c r="T404" s="279">
        <v>0</v>
      </c>
      <c r="U404" s="267">
        <v>1</v>
      </c>
      <c r="V404" s="267">
        <v>1</v>
      </c>
      <c r="W404" s="224">
        <v>2</v>
      </c>
      <c r="X404" s="267">
        <v>1</v>
      </c>
      <c r="Y404" s="267">
        <v>1</v>
      </c>
      <c r="Z404" s="267">
        <v>1</v>
      </c>
      <c r="AA404" s="267">
        <v>1</v>
      </c>
      <c r="AB404" s="224">
        <v>4</v>
      </c>
      <c r="AC404" s="267">
        <v>1</v>
      </c>
      <c r="AD404" s="267">
        <v>1</v>
      </c>
      <c r="AE404" s="267">
        <v>1</v>
      </c>
      <c r="AF404" s="267">
        <v>1</v>
      </c>
      <c r="AG404" s="224">
        <v>4</v>
      </c>
      <c r="AH404" s="267">
        <v>1</v>
      </c>
      <c r="AI404" s="267">
        <v>1</v>
      </c>
      <c r="AJ404" s="267">
        <v>1</v>
      </c>
      <c r="AK404" s="267">
        <v>1</v>
      </c>
      <c r="AL404" s="224">
        <v>4</v>
      </c>
      <c r="AM404" s="104">
        <v>14</v>
      </c>
      <c r="AN404" s="103" t="s">
        <v>685</v>
      </c>
      <c r="AO404" s="103" t="s">
        <v>1212</v>
      </c>
      <c r="AP404" s="103" t="s">
        <v>1229</v>
      </c>
      <c r="AQ404" s="103" t="s">
        <v>1194</v>
      </c>
      <c r="AR404" s="103" t="s">
        <v>938</v>
      </c>
      <c r="AS404" s="271"/>
      <c r="AT404" s="271"/>
      <c r="AU404" s="271"/>
      <c r="AV404" s="271">
        <v>15000000</v>
      </c>
      <c r="AW404" s="271"/>
      <c r="AX404" s="271"/>
      <c r="AY404" s="271"/>
      <c r="AZ404" s="271"/>
      <c r="BA404" s="271"/>
      <c r="BB404" s="271"/>
      <c r="BC404" s="271"/>
      <c r="BD404" s="271"/>
      <c r="BE404" s="271"/>
      <c r="BF404" s="271"/>
      <c r="BG404" s="271"/>
      <c r="BH404" s="235">
        <f t="shared" si="150"/>
        <v>15000000</v>
      </c>
      <c r="BI404" s="271"/>
      <c r="BJ404" s="271"/>
      <c r="BK404" s="271"/>
      <c r="BL404" s="271"/>
      <c r="BM404" s="271">
        <v>10000000</v>
      </c>
      <c r="BN404" s="271"/>
      <c r="BO404" s="271"/>
      <c r="BP404" s="271"/>
      <c r="BQ404" s="271"/>
      <c r="BR404" s="271"/>
      <c r="BS404" s="271"/>
      <c r="BT404" s="271"/>
      <c r="BU404" s="271"/>
      <c r="BV404" s="271"/>
      <c r="BW404" s="271"/>
      <c r="BX404" s="235">
        <f t="shared" si="151"/>
        <v>10000000</v>
      </c>
      <c r="BY404" s="271"/>
      <c r="BZ404" s="271"/>
      <c r="CA404" s="271"/>
      <c r="CB404" s="271"/>
      <c r="CC404" s="271">
        <v>10000000</v>
      </c>
      <c r="CD404" s="271"/>
      <c r="CE404" s="271"/>
      <c r="CF404" s="271"/>
      <c r="CG404" s="271"/>
      <c r="CH404" s="271"/>
      <c r="CI404" s="271"/>
      <c r="CJ404" s="271"/>
      <c r="CK404" s="271"/>
      <c r="CL404" s="271"/>
      <c r="CM404" s="271"/>
      <c r="CN404" s="235">
        <f t="shared" si="152"/>
        <v>10000000</v>
      </c>
      <c r="CO404" s="271"/>
      <c r="CP404" s="271"/>
      <c r="CQ404" s="271"/>
      <c r="CR404" s="271"/>
      <c r="CS404" s="271">
        <v>10000000</v>
      </c>
      <c r="CT404" s="271"/>
      <c r="CU404" s="271"/>
      <c r="CV404" s="271"/>
      <c r="CW404" s="271"/>
      <c r="CX404" s="271"/>
      <c r="CY404" s="271"/>
      <c r="CZ404" s="271"/>
      <c r="DA404" s="271"/>
      <c r="DB404" s="271"/>
      <c r="DC404" s="271"/>
      <c r="DD404" s="234">
        <f t="shared" si="153"/>
        <v>10000000</v>
      </c>
      <c r="DE404" s="244">
        <f t="shared" si="154"/>
        <v>45000000</v>
      </c>
    </row>
    <row r="405" spans="1:109" s="99" customFormat="1" ht="94.05" customHeight="1">
      <c r="A405" s="103" t="s">
        <v>1239</v>
      </c>
      <c r="B405" s="279" t="s">
        <v>9</v>
      </c>
      <c r="C405" s="279" t="s">
        <v>1694</v>
      </c>
      <c r="D405" s="279">
        <v>33</v>
      </c>
      <c r="E405" s="279" t="s">
        <v>1261</v>
      </c>
      <c r="F405" s="280" t="s">
        <v>1262</v>
      </c>
      <c r="G405" s="279" t="s">
        <v>3532</v>
      </c>
      <c r="H405" s="279">
        <v>40</v>
      </c>
      <c r="I405" s="279" t="s">
        <v>1263</v>
      </c>
      <c r="J405" s="279" t="s">
        <v>683</v>
      </c>
      <c r="K405" s="104">
        <v>45057</v>
      </c>
      <c r="L405" s="279" t="s">
        <v>1264</v>
      </c>
      <c r="M405" s="279" t="s">
        <v>1289</v>
      </c>
      <c r="N405" s="279" t="s">
        <v>1290</v>
      </c>
      <c r="O405" s="279" t="s">
        <v>1291</v>
      </c>
      <c r="P405" s="283">
        <v>363</v>
      </c>
      <c r="Q405" s="279" t="s">
        <v>3442</v>
      </c>
      <c r="R405" s="279" t="s">
        <v>1292</v>
      </c>
      <c r="S405" s="279" t="s">
        <v>683</v>
      </c>
      <c r="T405" s="104">
        <v>3280</v>
      </c>
      <c r="U405" s="267"/>
      <c r="V405" s="267">
        <v>130</v>
      </c>
      <c r="W405" s="224">
        <v>130</v>
      </c>
      <c r="X405" s="267"/>
      <c r="Y405" s="267">
        <v>1150</v>
      </c>
      <c r="Z405" s="267"/>
      <c r="AA405" s="267"/>
      <c r="AB405" s="224">
        <v>1150</v>
      </c>
      <c r="AC405" s="267"/>
      <c r="AD405" s="267">
        <v>1000</v>
      </c>
      <c r="AE405" s="267"/>
      <c r="AF405" s="267"/>
      <c r="AG405" s="224">
        <v>1000</v>
      </c>
      <c r="AH405" s="267"/>
      <c r="AI405" s="267">
        <v>1000</v>
      </c>
      <c r="AJ405" s="267"/>
      <c r="AK405" s="267"/>
      <c r="AL405" s="224">
        <v>1000</v>
      </c>
      <c r="AM405" s="104">
        <v>3280</v>
      </c>
      <c r="AN405" s="103" t="s">
        <v>685</v>
      </c>
      <c r="AO405" s="103" t="s">
        <v>618</v>
      </c>
      <c r="AP405" s="103" t="s">
        <v>1216</v>
      </c>
      <c r="AQ405" s="103" t="s">
        <v>1194</v>
      </c>
      <c r="AR405" s="103" t="s">
        <v>938</v>
      </c>
      <c r="AS405" s="271"/>
      <c r="AT405" s="271"/>
      <c r="AU405" s="271"/>
      <c r="AV405" s="271"/>
      <c r="AW405" s="271">
        <v>207851534</v>
      </c>
      <c r="AX405" s="271"/>
      <c r="AY405" s="271"/>
      <c r="AZ405" s="271"/>
      <c r="BA405" s="271"/>
      <c r="BB405" s="271"/>
      <c r="BC405" s="271"/>
      <c r="BD405" s="271"/>
      <c r="BE405" s="271"/>
      <c r="BF405" s="271"/>
      <c r="BG405" s="271"/>
      <c r="BH405" s="235">
        <f t="shared" si="150"/>
        <v>207851534</v>
      </c>
      <c r="BI405" s="271"/>
      <c r="BJ405" s="271"/>
      <c r="BK405" s="271"/>
      <c r="BL405" s="271"/>
      <c r="BM405" s="271">
        <v>1281047125</v>
      </c>
      <c r="BN405" s="271"/>
      <c r="BO405" s="271"/>
      <c r="BP405" s="271"/>
      <c r="BQ405" s="271"/>
      <c r="BR405" s="271"/>
      <c r="BS405" s="271"/>
      <c r="BT405" s="271"/>
      <c r="BU405" s="271"/>
      <c r="BV405" s="271"/>
      <c r="BW405" s="271"/>
      <c r="BX405" s="235">
        <f t="shared" si="151"/>
        <v>1281047125</v>
      </c>
      <c r="BY405" s="271"/>
      <c r="BZ405" s="271"/>
      <c r="CA405" s="271"/>
      <c r="CB405" s="271"/>
      <c r="CC405" s="271">
        <v>1390099480</v>
      </c>
      <c r="CD405" s="271"/>
      <c r="CE405" s="271"/>
      <c r="CF405" s="271"/>
      <c r="CG405" s="271"/>
      <c r="CH405" s="271"/>
      <c r="CI405" s="271"/>
      <c r="CJ405" s="271"/>
      <c r="CK405" s="271"/>
      <c r="CL405" s="271"/>
      <c r="CM405" s="271"/>
      <c r="CN405" s="235">
        <f t="shared" si="152"/>
        <v>1390099480</v>
      </c>
      <c r="CO405" s="271"/>
      <c r="CP405" s="271"/>
      <c r="CQ405" s="271"/>
      <c r="CR405" s="271"/>
      <c r="CS405" s="271">
        <v>1511965449</v>
      </c>
      <c r="CT405" s="271"/>
      <c r="CU405" s="271"/>
      <c r="CV405" s="271"/>
      <c r="CW405" s="271"/>
      <c r="CX405" s="271"/>
      <c r="CY405" s="271"/>
      <c r="CZ405" s="271"/>
      <c r="DA405" s="271"/>
      <c r="DB405" s="271"/>
      <c r="DC405" s="271"/>
      <c r="DD405" s="234">
        <f t="shared" si="153"/>
        <v>1511965449</v>
      </c>
      <c r="DE405" s="244">
        <f t="shared" si="154"/>
        <v>4390963588</v>
      </c>
    </row>
    <row r="406" spans="1:109" s="99" customFormat="1" ht="94.05" customHeight="1">
      <c r="A406" s="103" t="s">
        <v>1239</v>
      </c>
      <c r="B406" s="279" t="s">
        <v>9</v>
      </c>
      <c r="C406" s="279" t="s">
        <v>1694</v>
      </c>
      <c r="D406" s="279">
        <v>33</v>
      </c>
      <c r="E406" s="279" t="s">
        <v>1261</v>
      </c>
      <c r="F406" s="280" t="s">
        <v>1262</v>
      </c>
      <c r="G406" s="279" t="s">
        <v>3532</v>
      </c>
      <c r="H406" s="279">
        <v>40</v>
      </c>
      <c r="I406" s="279" t="s">
        <v>1263</v>
      </c>
      <c r="J406" s="279" t="s">
        <v>683</v>
      </c>
      <c r="K406" s="104">
        <v>45057</v>
      </c>
      <c r="L406" s="279" t="s">
        <v>1264</v>
      </c>
      <c r="M406" s="279" t="s">
        <v>1289</v>
      </c>
      <c r="N406" s="279" t="s">
        <v>1290</v>
      </c>
      <c r="O406" s="279" t="s">
        <v>1291</v>
      </c>
      <c r="P406" s="283">
        <v>364</v>
      </c>
      <c r="Q406" s="279" t="s">
        <v>3134</v>
      </c>
      <c r="R406" s="279" t="s">
        <v>417</v>
      </c>
      <c r="S406" s="279" t="s">
        <v>683</v>
      </c>
      <c r="T406" s="279">
        <v>95</v>
      </c>
      <c r="U406" s="267"/>
      <c r="V406" s="267">
        <v>3</v>
      </c>
      <c r="W406" s="224">
        <v>3</v>
      </c>
      <c r="X406" s="267">
        <v>5</v>
      </c>
      <c r="Y406" s="267">
        <v>5</v>
      </c>
      <c r="Z406" s="267">
        <v>6</v>
      </c>
      <c r="AA406" s="267">
        <v>5</v>
      </c>
      <c r="AB406" s="224">
        <v>21</v>
      </c>
      <c r="AC406" s="267">
        <v>5</v>
      </c>
      <c r="AD406" s="267">
        <v>5</v>
      </c>
      <c r="AE406" s="267">
        <v>6</v>
      </c>
      <c r="AF406" s="267">
        <v>5</v>
      </c>
      <c r="AG406" s="224">
        <v>21</v>
      </c>
      <c r="AH406" s="267">
        <v>5</v>
      </c>
      <c r="AI406" s="267">
        <v>5</v>
      </c>
      <c r="AJ406" s="267">
        <v>5</v>
      </c>
      <c r="AK406" s="267">
        <v>5</v>
      </c>
      <c r="AL406" s="224">
        <v>20</v>
      </c>
      <c r="AM406" s="104">
        <v>65</v>
      </c>
      <c r="AN406" s="103" t="s">
        <v>685</v>
      </c>
      <c r="AO406" s="103" t="s">
        <v>618</v>
      </c>
      <c r="AP406" s="103" t="s">
        <v>1216</v>
      </c>
      <c r="AQ406" s="103" t="s">
        <v>1194</v>
      </c>
      <c r="AR406" s="103" t="s">
        <v>938</v>
      </c>
      <c r="AS406" s="271"/>
      <c r="AT406" s="271"/>
      <c r="AU406" s="271"/>
      <c r="AV406" s="271"/>
      <c r="AW406" s="271">
        <v>200000000</v>
      </c>
      <c r="AX406" s="271"/>
      <c r="AY406" s="271"/>
      <c r="AZ406" s="271"/>
      <c r="BA406" s="271"/>
      <c r="BB406" s="271"/>
      <c r="BC406" s="271"/>
      <c r="BD406" s="271"/>
      <c r="BE406" s="271"/>
      <c r="BF406" s="271"/>
      <c r="BG406" s="271"/>
      <c r="BH406" s="235">
        <f t="shared" si="150"/>
        <v>200000000</v>
      </c>
      <c r="BI406" s="271"/>
      <c r="BJ406" s="271"/>
      <c r="BK406" s="271"/>
      <c r="BL406" s="271"/>
      <c r="BM406" s="271">
        <v>500000000</v>
      </c>
      <c r="BN406" s="271"/>
      <c r="BO406" s="271"/>
      <c r="BP406" s="271"/>
      <c r="BQ406" s="271"/>
      <c r="BR406" s="271"/>
      <c r="BS406" s="271"/>
      <c r="BT406" s="271"/>
      <c r="BU406" s="271"/>
      <c r="BV406" s="271"/>
      <c r="BW406" s="271"/>
      <c r="BX406" s="235">
        <f t="shared" si="151"/>
        <v>500000000</v>
      </c>
      <c r="BY406" s="271"/>
      <c r="BZ406" s="271"/>
      <c r="CA406" s="271"/>
      <c r="CB406" s="271"/>
      <c r="CC406" s="271">
        <v>500000000</v>
      </c>
      <c r="CD406" s="271"/>
      <c r="CE406" s="271"/>
      <c r="CF406" s="271"/>
      <c r="CG406" s="271"/>
      <c r="CH406" s="271"/>
      <c r="CI406" s="271"/>
      <c r="CJ406" s="271"/>
      <c r="CK406" s="271"/>
      <c r="CL406" s="271"/>
      <c r="CM406" s="271"/>
      <c r="CN406" s="235">
        <f t="shared" si="152"/>
        <v>500000000</v>
      </c>
      <c r="CO406" s="271"/>
      <c r="CP406" s="271"/>
      <c r="CQ406" s="271"/>
      <c r="CR406" s="271"/>
      <c r="CS406" s="271">
        <v>500000000</v>
      </c>
      <c r="CT406" s="271"/>
      <c r="CU406" s="271"/>
      <c r="CV406" s="271"/>
      <c r="CW406" s="271"/>
      <c r="CX406" s="271"/>
      <c r="CY406" s="271"/>
      <c r="CZ406" s="271"/>
      <c r="DA406" s="271"/>
      <c r="DB406" s="271"/>
      <c r="DC406" s="271"/>
      <c r="DD406" s="234">
        <f t="shared" si="153"/>
        <v>500000000</v>
      </c>
      <c r="DE406" s="244">
        <f t="shared" si="154"/>
        <v>1700000000</v>
      </c>
    </row>
    <row r="407" spans="1:109" s="99" customFormat="1" ht="94.05" customHeight="1">
      <c r="A407" s="103" t="s">
        <v>1239</v>
      </c>
      <c r="B407" s="279" t="s">
        <v>9</v>
      </c>
      <c r="C407" s="279" t="s">
        <v>1694</v>
      </c>
      <c r="D407" s="279">
        <v>33</v>
      </c>
      <c r="E407" s="279" t="s">
        <v>1261</v>
      </c>
      <c r="F407" s="280" t="s">
        <v>1262</v>
      </c>
      <c r="G407" s="279" t="s">
        <v>3532</v>
      </c>
      <c r="H407" s="279">
        <v>40</v>
      </c>
      <c r="I407" s="279" t="s">
        <v>1263</v>
      </c>
      <c r="J407" s="279" t="s">
        <v>683</v>
      </c>
      <c r="K407" s="104">
        <v>45057</v>
      </c>
      <c r="L407" s="279" t="s">
        <v>1264</v>
      </c>
      <c r="M407" s="279" t="s">
        <v>1289</v>
      </c>
      <c r="N407" s="279" t="s">
        <v>1290</v>
      </c>
      <c r="O407" s="279" t="s">
        <v>1291</v>
      </c>
      <c r="P407" s="283">
        <v>365</v>
      </c>
      <c r="Q407" s="279" t="s">
        <v>3443</v>
      </c>
      <c r="R407" s="279" t="s">
        <v>1293</v>
      </c>
      <c r="S407" s="279" t="s">
        <v>683</v>
      </c>
      <c r="T407" s="279">
        <v>45</v>
      </c>
      <c r="U407" s="267">
        <v>1</v>
      </c>
      <c r="V407" s="267">
        <v>2</v>
      </c>
      <c r="W407" s="224">
        <v>3</v>
      </c>
      <c r="X407" s="267">
        <v>1</v>
      </c>
      <c r="Y407" s="267">
        <v>3</v>
      </c>
      <c r="Z407" s="267">
        <v>3</v>
      </c>
      <c r="AA407" s="267">
        <v>2</v>
      </c>
      <c r="AB407" s="224">
        <v>9</v>
      </c>
      <c r="AC407" s="267">
        <v>1</v>
      </c>
      <c r="AD407" s="267">
        <v>3</v>
      </c>
      <c r="AE407" s="267">
        <v>3</v>
      </c>
      <c r="AF407" s="267">
        <v>2</v>
      </c>
      <c r="AG407" s="224">
        <v>9</v>
      </c>
      <c r="AH407" s="267">
        <v>1</v>
      </c>
      <c r="AI407" s="267">
        <v>3</v>
      </c>
      <c r="AJ407" s="267">
        <v>3</v>
      </c>
      <c r="AK407" s="267">
        <v>2</v>
      </c>
      <c r="AL407" s="224">
        <v>9</v>
      </c>
      <c r="AM407" s="104">
        <v>30</v>
      </c>
      <c r="AN407" s="103" t="s">
        <v>685</v>
      </c>
      <c r="AO407" s="103" t="s">
        <v>618</v>
      </c>
      <c r="AP407" s="103" t="s">
        <v>1216</v>
      </c>
      <c r="AQ407" s="103" t="s">
        <v>1194</v>
      </c>
      <c r="AR407" s="103" t="s">
        <v>938</v>
      </c>
      <c r="AS407" s="271"/>
      <c r="AT407" s="271"/>
      <c r="AU407" s="271"/>
      <c r="AV407" s="271">
        <v>150000000</v>
      </c>
      <c r="AW407" s="271"/>
      <c r="AX407" s="271"/>
      <c r="AY407" s="271"/>
      <c r="AZ407" s="271"/>
      <c r="BA407" s="271"/>
      <c r="BB407" s="271"/>
      <c r="BC407" s="271"/>
      <c r="BD407" s="271"/>
      <c r="BE407" s="271"/>
      <c r="BF407" s="271"/>
      <c r="BG407" s="271"/>
      <c r="BH407" s="235">
        <f t="shared" si="150"/>
        <v>150000000</v>
      </c>
      <c r="BI407" s="271"/>
      <c r="BJ407" s="271"/>
      <c r="BK407" s="271"/>
      <c r="BL407" s="271"/>
      <c r="BM407" s="271">
        <v>300000000</v>
      </c>
      <c r="BN407" s="271"/>
      <c r="BO407" s="271"/>
      <c r="BP407" s="271"/>
      <c r="BQ407" s="271"/>
      <c r="BR407" s="271"/>
      <c r="BS407" s="271"/>
      <c r="BT407" s="271"/>
      <c r="BU407" s="271"/>
      <c r="BV407" s="271"/>
      <c r="BW407" s="271"/>
      <c r="BX407" s="235">
        <f t="shared" si="151"/>
        <v>300000000</v>
      </c>
      <c r="BY407" s="271"/>
      <c r="BZ407" s="271"/>
      <c r="CA407" s="271"/>
      <c r="CB407" s="271"/>
      <c r="CC407" s="271">
        <v>300000000</v>
      </c>
      <c r="CD407" s="271"/>
      <c r="CE407" s="271"/>
      <c r="CF407" s="271"/>
      <c r="CG407" s="271"/>
      <c r="CH407" s="271"/>
      <c r="CI407" s="271"/>
      <c r="CJ407" s="271"/>
      <c r="CK407" s="271"/>
      <c r="CL407" s="271"/>
      <c r="CM407" s="271"/>
      <c r="CN407" s="235">
        <f t="shared" si="152"/>
        <v>300000000</v>
      </c>
      <c r="CO407" s="271"/>
      <c r="CP407" s="271"/>
      <c r="CQ407" s="271"/>
      <c r="CR407" s="271"/>
      <c r="CS407" s="271">
        <v>300000000</v>
      </c>
      <c r="CT407" s="271"/>
      <c r="CU407" s="271"/>
      <c r="CV407" s="271"/>
      <c r="CW407" s="271"/>
      <c r="CX407" s="271"/>
      <c r="CY407" s="271"/>
      <c r="CZ407" s="271"/>
      <c r="DA407" s="271"/>
      <c r="DB407" s="271"/>
      <c r="DC407" s="271"/>
      <c r="DD407" s="234">
        <f t="shared" si="153"/>
        <v>300000000</v>
      </c>
      <c r="DE407" s="244">
        <f t="shared" si="154"/>
        <v>1050000000</v>
      </c>
    </row>
    <row r="408" spans="1:109" s="99" customFormat="1" ht="94.05" customHeight="1">
      <c r="A408" s="103" t="s">
        <v>1239</v>
      </c>
      <c r="B408" s="279" t="s">
        <v>9</v>
      </c>
      <c r="C408" s="279" t="s">
        <v>1694</v>
      </c>
      <c r="D408" s="279">
        <v>33</v>
      </c>
      <c r="E408" s="279" t="s">
        <v>1261</v>
      </c>
      <c r="F408" s="280" t="s">
        <v>1262</v>
      </c>
      <c r="G408" s="279" t="s">
        <v>3532</v>
      </c>
      <c r="H408" s="279">
        <v>40</v>
      </c>
      <c r="I408" s="279" t="s">
        <v>1263</v>
      </c>
      <c r="J408" s="279" t="s">
        <v>683</v>
      </c>
      <c r="K408" s="104">
        <v>45057</v>
      </c>
      <c r="L408" s="279" t="s">
        <v>1264</v>
      </c>
      <c r="M408" s="279" t="s">
        <v>1289</v>
      </c>
      <c r="N408" s="279" t="s">
        <v>1290</v>
      </c>
      <c r="O408" s="279" t="s">
        <v>1291</v>
      </c>
      <c r="P408" s="283">
        <v>366</v>
      </c>
      <c r="Q408" s="279" t="s">
        <v>3135</v>
      </c>
      <c r="R408" s="279" t="s">
        <v>1294</v>
      </c>
      <c r="S408" s="279" t="s">
        <v>683</v>
      </c>
      <c r="T408" s="279">
        <v>8</v>
      </c>
      <c r="U408" s="267"/>
      <c r="V408" s="267">
        <v>1</v>
      </c>
      <c r="W408" s="224">
        <v>1</v>
      </c>
      <c r="X408" s="267">
        <v>1</v>
      </c>
      <c r="Y408" s="267">
        <v>1</v>
      </c>
      <c r="Z408" s="267">
        <v>1</v>
      </c>
      <c r="AA408" s="267">
        <v>1</v>
      </c>
      <c r="AB408" s="224">
        <v>4</v>
      </c>
      <c r="AC408" s="267">
        <v>1</v>
      </c>
      <c r="AD408" s="267">
        <v>1</v>
      </c>
      <c r="AE408" s="267">
        <v>1</v>
      </c>
      <c r="AF408" s="267">
        <v>1</v>
      </c>
      <c r="AG408" s="224">
        <v>4</v>
      </c>
      <c r="AH408" s="267">
        <v>1</v>
      </c>
      <c r="AI408" s="267">
        <v>1</v>
      </c>
      <c r="AJ408" s="267">
        <v>1</v>
      </c>
      <c r="AK408" s="267"/>
      <c r="AL408" s="224">
        <v>3</v>
      </c>
      <c r="AM408" s="104">
        <v>12</v>
      </c>
      <c r="AN408" s="103" t="s">
        <v>685</v>
      </c>
      <c r="AO408" s="103" t="s">
        <v>618</v>
      </c>
      <c r="AP408" s="103" t="s">
        <v>1216</v>
      </c>
      <c r="AQ408" s="103" t="s">
        <v>1194</v>
      </c>
      <c r="AR408" s="103" t="s">
        <v>938</v>
      </c>
      <c r="AS408" s="271"/>
      <c r="AT408" s="271"/>
      <c r="AU408" s="271"/>
      <c r="AV408" s="271">
        <v>50000000</v>
      </c>
      <c r="AW408" s="271"/>
      <c r="AX408" s="271"/>
      <c r="AY408" s="271"/>
      <c r="AZ408" s="271"/>
      <c r="BA408" s="271"/>
      <c r="BB408" s="271"/>
      <c r="BC408" s="271"/>
      <c r="BD408" s="271"/>
      <c r="BE408" s="271"/>
      <c r="BF408" s="271"/>
      <c r="BG408" s="271"/>
      <c r="BH408" s="235">
        <f t="shared" si="150"/>
        <v>50000000</v>
      </c>
      <c r="BI408" s="271"/>
      <c r="BJ408" s="271"/>
      <c r="BK408" s="271"/>
      <c r="BL408" s="271"/>
      <c r="BM408" s="271">
        <v>100000000</v>
      </c>
      <c r="BN408" s="271"/>
      <c r="BO408" s="271"/>
      <c r="BP408" s="271"/>
      <c r="BQ408" s="271"/>
      <c r="BR408" s="271"/>
      <c r="BS408" s="271"/>
      <c r="BT408" s="271"/>
      <c r="BU408" s="271"/>
      <c r="BV408" s="271"/>
      <c r="BW408" s="271"/>
      <c r="BX408" s="235">
        <f t="shared" si="151"/>
        <v>100000000</v>
      </c>
      <c r="BY408" s="271"/>
      <c r="BZ408" s="271"/>
      <c r="CA408" s="271"/>
      <c r="CB408" s="271"/>
      <c r="CC408" s="271">
        <v>100000000</v>
      </c>
      <c r="CD408" s="271"/>
      <c r="CE408" s="271"/>
      <c r="CF408" s="271"/>
      <c r="CG408" s="271"/>
      <c r="CH408" s="271"/>
      <c r="CI408" s="271"/>
      <c r="CJ408" s="271"/>
      <c r="CK408" s="271"/>
      <c r="CL408" s="271"/>
      <c r="CM408" s="271"/>
      <c r="CN408" s="235">
        <f t="shared" si="152"/>
        <v>100000000</v>
      </c>
      <c r="CO408" s="271"/>
      <c r="CP408" s="271"/>
      <c r="CQ408" s="271"/>
      <c r="CR408" s="271"/>
      <c r="CS408" s="271">
        <v>100000000</v>
      </c>
      <c r="CT408" s="271"/>
      <c r="CU408" s="271"/>
      <c r="CV408" s="271"/>
      <c r="CW408" s="271"/>
      <c r="CX408" s="271"/>
      <c r="CY408" s="271"/>
      <c r="CZ408" s="271"/>
      <c r="DA408" s="271"/>
      <c r="DB408" s="271"/>
      <c r="DC408" s="271"/>
      <c r="DD408" s="234">
        <f t="shared" si="153"/>
        <v>100000000</v>
      </c>
      <c r="DE408" s="244">
        <f t="shared" si="154"/>
        <v>350000000</v>
      </c>
    </row>
    <row r="409" spans="1:109" s="99" customFormat="1" ht="94.05" customHeight="1">
      <c r="A409" s="103" t="s">
        <v>1239</v>
      </c>
      <c r="B409" s="279" t="s">
        <v>9</v>
      </c>
      <c r="C409" s="279" t="s">
        <v>1694</v>
      </c>
      <c r="D409" s="279">
        <v>33</v>
      </c>
      <c r="E409" s="279" t="s">
        <v>1261</v>
      </c>
      <c r="F409" s="280" t="s">
        <v>1262</v>
      </c>
      <c r="G409" s="279" t="s">
        <v>3532</v>
      </c>
      <c r="H409" s="279">
        <v>40</v>
      </c>
      <c r="I409" s="279" t="s">
        <v>1263</v>
      </c>
      <c r="J409" s="279" t="s">
        <v>683</v>
      </c>
      <c r="K409" s="104">
        <v>45057</v>
      </c>
      <c r="L409" s="279" t="s">
        <v>1264</v>
      </c>
      <c r="M409" s="279" t="s">
        <v>1295</v>
      </c>
      <c r="N409" s="279" t="s">
        <v>1296</v>
      </c>
      <c r="O409" s="279" t="s">
        <v>1297</v>
      </c>
      <c r="P409" s="283">
        <v>367</v>
      </c>
      <c r="Q409" s="279" t="s">
        <v>3136</v>
      </c>
      <c r="R409" s="279" t="s">
        <v>1298</v>
      </c>
      <c r="S409" s="279" t="s">
        <v>683</v>
      </c>
      <c r="T409" s="279">
        <v>0</v>
      </c>
      <c r="U409" s="267"/>
      <c r="V409" s="267"/>
      <c r="W409" s="224">
        <v>0</v>
      </c>
      <c r="X409" s="267">
        <v>10</v>
      </c>
      <c r="Y409" s="267">
        <v>10</v>
      </c>
      <c r="Z409" s="267">
        <v>10</v>
      </c>
      <c r="AA409" s="267">
        <v>10</v>
      </c>
      <c r="AB409" s="224">
        <v>40</v>
      </c>
      <c r="AC409" s="267">
        <v>10</v>
      </c>
      <c r="AD409" s="267">
        <v>10</v>
      </c>
      <c r="AE409" s="267">
        <v>10</v>
      </c>
      <c r="AF409" s="267">
        <v>10</v>
      </c>
      <c r="AG409" s="224">
        <v>40</v>
      </c>
      <c r="AH409" s="267">
        <v>10</v>
      </c>
      <c r="AI409" s="267">
        <v>10</v>
      </c>
      <c r="AJ409" s="267">
        <v>10</v>
      </c>
      <c r="AK409" s="267">
        <v>10</v>
      </c>
      <c r="AL409" s="224">
        <v>40</v>
      </c>
      <c r="AM409" s="104">
        <v>120</v>
      </c>
      <c r="AN409" s="103" t="s">
        <v>685</v>
      </c>
      <c r="AO409" s="103" t="s">
        <v>618</v>
      </c>
      <c r="AP409" s="103" t="s">
        <v>1216</v>
      </c>
      <c r="AQ409" s="103" t="s">
        <v>1194</v>
      </c>
      <c r="AR409" s="103" t="s">
        <v>938</v>
      </c>
      <c r="AS409" s="271"/>
      <c r="AT409" s="271"/>
      <c r="AU409" s="271"/>
      <c r="AV409" s="271"/>
      <c r="AW409" s="271"/>
      <c r="AX409" s="271"/>
      <c r="AY409" s="271"/>
      <c r="AZ409" s="271"/>
      <c r="BA409" s="271"/>
      <c r="BB409" s="271"/>
      <c r="BC409" s="271"/>
      <c r="BD409" s="271"/>
      <c r="BE409" s="271"/>
      <c r="BF409" s="271"/>
      <c r="BG409" s="271"/>
      <c r="BH409" s="235">
        <f t="shared" si="150"/>
        <v>0</v>
      </c>
      <c r="BI409" s="271"/>
      <c r="BJ409" s="271"/>
      <c r="BK409" s="271"/>
      <c r="BL409" s="271">
        <v>100000000</v>
      </c>
      <c r="BM409" s="271"/>
      <c r="BN409" s="271"/>
      <c r="BO409" s="271"/>
      <c r="BP409" s="271"/>
      <c r="BQ409" s="271"/>
      <c r="BR409" s="271"/>
      <c r="BS409" s="271"/>
      <c r="BT409" s="271"/>
      <c r="BU409" s="271"/>
      <c r="BV409" s="271"/>
      <c r="BW409" s="271"/>
      <c r="BX409" s="235">
        <f t="shared" si="151"/>
        <v>100000000</v>
      </c>
      <c r="BY409" s="271"/>
      <c r="BZ409" s="271"/>
      <c r="CA409" s="271"/>
      <c r="CB409" s="271">
        <v>100000000</v>
      </c>
      <c r="CC409" s="271"/>
      <c r="CD409" s="271"/>
      <c r="CE409" s="271"/>
      <c r="CF409" s="271"/>
      <c r="CG409" s="271"/>
      <c r="CH409" s="271"/>
      <c r="CI409" s="271"/>
      <c r="CJ409" s="271"/>
      <c r="CK409" s="271"/>
      <c r="CL409" s="271"/>
      <c r="CM409" s="271"/>
      <c r="CN409" s="235">
        <f t="shared" si="152"/>
        <v>100000000</v>
      </c>
      <c r="CO409" s="271"/>
      <c r="CP409" s="271"/>
      <c r="CQ409" s="271"/>
      <c r="CR409" s="271">
        <v>100000000</v>
      </c>
      <c r="CS409" s="271"/>
      <c r="CT409" s="271"/>
      <c r="CU409" s="271"/>
      <c r="CV409" s="271"/>
      <c r="CW409" s="271"/>
      <c r="CX409" s="271"/>
      <c r="CY409" s="271"/>
      <c r="CZ409" s="271"/>
      <c r="DA409" s="271"/>
      <c r="DB409" s="271"/>
      <c r="DC409" s="271"/>
      <c r="DD409" s="234">
        <f t="shared" si="153"/>
        <v>100000000</v>
      </c>
      <c r="DE409" s="244">
        <f t="shared" ref="DE409:DE411" si="155">SUM(DD409+CN409+BX409+BH409)</f>
        <v>300000000</v>
      </c>
    </row>
    <row r="410" spans="1:109" s="99" customFormat="1" ht="94.05" customHeight="1">
      <c r="A410" s="103" t="s">
        <v>1239</v>
      </c>
      <c r="B410" s="279" t="s">
        <v>9</v>
      </c>
      <c r="C410" s="279" t="s">
        <v>1694</v>
      </c>
      <c r="D410" s="279">
        <v>33</v>
      </c>
      <c r="E410" s="279" t="s">
        <v>1261</v>
      </c>
      <c r="F410" s="280" t="s">
        <v>1262</v>
      </c>
      <c r="G410" s="279" t="s">
        <v>3532</v>
      </c>
      <c r="H410" s="279">
        <v>40</v>
      </c>
      <c r="I410" s="279" t="s">
        <v>1263</v>
      </c>
      <c r="J410" s="279" t="s">
        <v>683</v>
      </c>
      <c r="K410" s="104">
        <v>45057</v>
      </c>
      <c r="L410" s="279" t="s">
        <v>1264</v>
      </c>
      <c r="M410" s="279" t="s">
        <v>1295</v>
      </c>
      <c r="N410" s="279" t="s">
        <v>1296</v>
      </c>
      <c r="O410" s="279" t="s">
        <v>1297</v>
      </c>
      <c r="P410" s="283">
        <v>368</v>
      </c>
      <c r="Q410" s="279" t="s">
        <v>3542</v>
      </c>
      <c r="R410" s="279" t="s">
        <v>1299</v>
      </c>
      <c r="S410" s="279" t="s">
        <v>683</v>
      </c>
      <c r="T410" s="279">
        <v>0</v>
      </c>
      <c r="U410" s="267"/>
      <c r="V410" s="267"/>
      <c r="W410" s="224">
        <v>0</v>
      </c>
      <c r="X410" s="267"/>
      <c r="Y410" s="267"/>
      <c r="Z410" s="267"/>
      <c r="AA410" s="267">
        <v>40</v>
      </c>
      <c r="AB410" s="224">
        <v>40</v>
      </c>
      <c r="AC410" s="267"/>
      <c r="AD410" s="267"/>
      <c r="AE410" s="267"/>
      <c r="AF410" s="267">
        <v>40</v>
      </c>
      <c r="AG410" s="224">
        <v>40</v>
      </c>
      <c r="AH410" s="267"/>
      <c r="AI410" s="267"/>
      <c r="AJ410" s="267"/>
      <c r="AK410" s="267">
        <v>40</v>
      </c>
      <c r="AL410" s="224">
        <v>40</v>
      </c>
      <c r="AM410" s="104">
        <v>120</v>
      </c>
      <c r="AN410" s="103" t="s">
        <v>685</v>
      </c>
      <c r="AO410" s="103" t="s">
        <v>618</v>
      </c>
      <c r="AP410" s="103" t="s">
        <v>1216</v>
      </c>
      <c r="AQ410" s="103" t="s">
        <v>1194</v>
      </c>
      <c r="AR410" s="103" t="s">
        <v>938</v>
      </c>
      <c r="AS410" s="271"/>
      <c r="AT410" s="271"/>
      <c r="AU410" s="271"/>
      <c r="AV410" s="271"/>
      <c r="AW410" s="271"/>
      <c r="AX410" s="271"/>
      <c r="AY410" s="271"/>
      <c r="AZ410" s="271"/>
      <c r="BA410" s="271"/>
      <c r="BB410" s="271"/>
      <c r="BC410" s="271"/>
      <c r="BD410" s="271"/>
      <c r="BE410" s="271"/>
      <c r="BF410" s="271"/>
      <c r="BG410" s="271"/>
      <c r="BH410" s="235">
        <f t="shared" si="150"/>
        <v>0</v>
      </c>
      <c r="BI410" s="271"/>
      <c r="BJ410" s="271"/>
      <c r="BK410" s="271"/>
      <c r="BL410" s="271">
        <v>200000000</v>
      </c>
      <c r="BM410" s="271"/>
      <c r="BN410" s="271"/>
      <c r="BO410" s="271"/>
      <c r="BP410" s="271"/>
      <c r="BQ410" s="271"/>
      <c r="BR410" s="271"/>
      <c r="BS410" s="271"/>
      <c r="BT410" s="271"/>
      <c r="BU410" s="271"/>
      <c r="BV410" s="271"/>
      <c r="BW410" s="271"/>
      <c r="BX410" s="235">
        <f t="shared" si="151"/>
        <v>200000000</v>
      </c>
      <c r="BY410" s="271"/>
      <c r="BZ410" s="271"/>
      <c r="CA410" s="271"/>
      <c r="CB410" s="271">
        <v>200000000</v>
      </c>
      <c r="CC410" s="271"/>
      <c r="CD410" s="271"/>
      <c r="CE410" s="271"/>
      <c r="CF410" s="271"/>
      <c r="CG410" s="271"/>
      <c r="CH410" s="271"/>
      <c r="CI410" s="271"/>
      <c r="CJ410" s="271"/>
      <c r="CK410" s="271"/>
      <c r="CL410" s="271"/>
      <c r="CM410" s="271"/>
      <c r="CN410" s="235">
        <f t="shared" si="152"/>
        <v>200000000</v>
      </c>
      <c r="CO410" s="271"/>
      <c r="CP410" s="271"/>
      <c r="CQ410" s="271"/>
      <c r="CR410" s="271">
        <v>200000000</v>
      </c>
      <c r="CS410" s="271"/>
      <c r="CT410" s="271"/>
      <c r="CU410" s="271"/>
      <c r="CV410" s="271"/>
      <c r="CW410" s="271"/>
      <c r="CX410" s="271"/>
      <c r="CY410" s="271"/>
      <c r="CZ410" s="271"/>
      <c r="DA410" s="271"/>
      <c r="DB410" s="271"/>
      <c r="DC410" s="271"/>
      <c r="DD410" s="234">
        <f t="shared" si="153"/>
        <v>200000000</v>
      </c>
      <c r="DE410" s="244">
        <f t="shared" si="155"/>
        <v>600000000</v>
      </c>
    </row>
    <row r="411" spans="1:109" s="99" customFormat="1" ht="94.05" customHeight="1">
      <c r="A411" s="120" t="s">
        <v>1239</v>
      </c>
      <c r="B411" s="281" t="s">
        <v>9</v>
      </c>
      <c r="C411" s="281" t="s">
        <v>1694</v>
      </c>
      <c r="D411" s="281">
        <v>33</v>
      </c>
      <c r="E411" s="281" t="s">
        <v>1261</v>
      </c>
      <c r="F411" s="282" t="s">
        <v>1262</v>
      </c>
      <c r="G411" s="281" t="s">
        <v>3532</v>
      </c>
      <c r="H411" s="281">
        <v>40</v>
      </c>
      <c r="I411" s="281" t="s">
        <v>1263</v>
      </c>
      <c r="J411" s="281" t="s">
        <v>683</v>
      </c>
      <c r="K411" s="119">
        <v>45057</v>
      </c>
      <c r="L411" s="281" t="s">
        <v>1264</v>
      </c>
      <c r="M411" s="281" t="s">
        <v>1295</v>
      </c>
      <c r="N411" s="281" t="s">
        <v>1296</v>
      </c>
      <c r="O411" s="281" t="s">
        <v>1297</v>
      </c>
      <c r="P411" s="283">
        <v>369</v>
      </c>
      <c r="Q411" s="281" t="s">
        <v>3444</v>
      </c>
      <c r="R411" s="281" t="s">
        <v>1300</v>
      </c>
      <c r="S411" s="281" t="s">
        <v>683</v>
      </c>
      <c r="T411" s="281">
        <v>0</v>
      </c>
      <c r="U411" s="275"/>
      <c r="V411" s="275"/>
      <c r="W411" s="225">
        <v>0</v>
      </c>
      <c r="X411" s="275"/>
      <c r="Y411" s="275"/>
      <c r="Z411" s="275"/>
      <c r="AA411" s="275">
        <v>40</v>
      </c>
      <c r="AB411" s="225">
        <v>40</v>
      </c>
      <c r="AC411" s="275"/>
      <c r="AD411" s="275"/>
      <c r="AE411" s="275"/>
      <c r="AF411" s="275">
        <v>40</v>
      </c>
      <c r="AG411" s="225">
        <v>40</v>
      </c>
      <c r="AH411" s="275"/>
      <c r="AI411" s="275"/>
      <c r="AJ411" s="275"/>
      <c r="AK411" s="275">
        <v>40</v>
      </c>
      <c r="AL411" s="225">
        <v>40</v>
      </c>
      <c r="AM411" s="119">
        <v>120</v>
      </c>
      <c r="AN411" s="120" t="s">
        <v>685</v>
      </c>
      <c r="AO411" s="120" t="s">
        <v>618</v>
      </c>
      <c r="AP411" s="120" t="s">
        <v>1216</v>
      </c>
      <c r="AQ411" s="120" t="s">
        <v>1194</v>
      </c>
      <c r="AR411" s="120" t="s">
        <v>938</v>
      </c>
      <c r="AS411" s="276"/>
      <c r="AT411" s="276"/>
      <c r="AU411" s="276"/>
      <c r="AV411" s="276"/>
      <c r="AW411" s="276"/>
      <c r="AX411" s="276"/>
      <c r="AY411" s="276"/>
      <c r="AZ411" s="276"/>
      <c r="BA411" s="276"/>
      <c r="BB411" s="276"/>
      <c r="BC411" s="276"/>
      <c r="BD411" s="276"/>
      <c r="BE411" s="276"/>
      <c r="BF411" s="276"/>
      <c r="BG411" s="276"/>
      <c r="BH411" s="236">
        <f t="shared" si="150"/>
        <v>0</v>
      </c>
      <c r="BI411" s="276"/>
      <c r="BJ411" s="276"/>
      <c r="BK411" s="276"/>
      <c r="BL411" s="276">
        <v>100000000</v>
      </c>
      <c r="BM411" s="276"/>
      <c r="BN411" s="276"/>
      <c r="BO411" s="276"/>
      <c r="BP411" s="276"/>
      <c r="BQ411" s="276"/>
      <c r="BR411" s="276"/>
      <c r="BS411" s="276"/>
      <c r="BT411" s="276"/>
      <c r="BU411" s="276"/>
      <c r="BV411" s="276"/>
      <c r="BW411" s="276"/>
      <c r="BX411" s="236">
        <f t="shared" si="151"/>
        <v>100000000</v>
      </c>
      <c r="BY411" s="276"/>
      <c r="BZ411" s="276"/>
      <c r="CA411" s="276"/>
      <c r="CB411" s="276">
        <v>100000000</v>
      </c>
      <c r="CC411" s="276"/>
      <c r="CD411" s="276"/>
      <c r="CE411" s="276"/>
      <c r="CF411" s="276"/>
      <c r="CG411" s="276"/>
      <c r="CH411" s="276"/>
      <c r="CI411" s="276"/>
      <c r="CJ411" s="276"/>
      <c r="CK411" s="276"/>
      <c r="CL411" s="276"/>
      <c r="CM411" s="276"/>
      <c r="CN411" s="236">
        <f t="shared" si="152"/>
        <v>100000000</v>
      </c>
      <c r="CO411" s="276"/>
      <c r="CP411" s="276"/>
      <c r="CQ411" s="276"/>
      <c r="CR411" s="276">
        <v>100000000</v>
      </c>
      <c r="CS411" s="276"/>
      <c r="CT411" s="276"/>
      <c r="CU411" s="276"/>
      <c r="CV411" s="276"/>
      <c r="CW411" s="276"/>
      <c r="CX411" s="276"/>
      <c r="CY411" s="276"/>
      <c r="CZ411" s="276"/>
      <c r="DA411" s="276"/>
      <c r="DB411" s="276"/>
      <c r="DC411" s="276"/>
      <c r="DD411" s="240">
        <f t="shared" si="153"/>
        <v>100000000</v>
      </c>
      <c r="DE411" s="245">
        <f t="shared" si="155"/>
        <v>300000000</v>
      </c>
    </row>
    <row r="412" spans="1:109" s="46" customFormat="1" ht="65.099999999999994" customHeight="1">
      <c r="A412" s="134" t="s">
        <v>1239</v>
      </c>
      <c r="B412" s="134" t="s">
        <v>9</v>
      </c>
      <c r="C412" s="134" t="s">
        <v>1694</v>
      </c>
      <c r="D412" s="134">
        <v>33</v>
      </c>
      <c r="E412" s="134" t="s">
        <v>1261</v>
      </c>
      <c r="F412" s="135"/>
      <c r="G412" s="136"/>
      <c r="H412" s="137"/>
      <c r="I412" s="137"/>
      <c r="J412" s="137"/>
      <c r="K412" s="138"/>
      <c r="L412" s="137"/>
      <c r="M412" s="137"/>
      <c r="N412" s="137"/>
      <c r="O412" s="137"/>
      <c r="P412" s="137"/>
      <c r="Q412" s="136"/>
      <c r="R412" s="139"/>
      <c r="S412" s="137"/>
      <c r="T412" s="137"/>
      <c r="U412" s="140"/>
      <c r="V412" s="140"/>
      <c r="W412" s="138"/>
      <c r="X412" s="140"/>
      <c r="Y412" s="140"/>
      <c r="Z412" s="140"/>
      <c r="AA412" s="140"/>
      <c r="AB412" s="138"/>
      <c r="AC412" s="140"/>
      <c r="AD412" s="140"/>
      <c r="AE412" s="140"/>
      <c r="AF412" s="140"/>
      <c r="AG412" s="138"/>
      <c r="AH412" s="140"/>
      <c r="AI412" s="140"/>
      <c r="AJ412" s="140"/>
      <c r="AK412" s="140"/>
      <c r="AL412" s="138"/>
      <c r="AM412" s="141"/>
      <c r="AN412" s="142"/>
      <c r="AO412" s="142"/>
      <c r="AP412" s="143"/>
      <c r="AQ412" s="143"/>
      <c r="AR412" s="144"/>
      <c r="AS412" s="132">
        <f>SUM(AS388:AS411)</f>
        <v>0</v>
      </c>
      <c r="AT412" s="132">
        <f t="shared" ref="AT412:DE412" si="156">SUM(AT388:AT411)</f>
        <v>0</v>
      </c>
      <c r="AU412" s="132">
        <f t="shared" si="156"/>
        <v>0</v>
      </c>
      <c r="AV412" s="132">
        <f t="shared" si="156"/>
        <v>1449301155</v>
      </c>
      <c r="AW412" s="132">
        <f t="shared" si="156"/>
        <v>532822262</v>
      </c>
      <c r="AX412" s="132">
        <f t="shared" si="156"/>
        <v>0</v>
      </c>
      <c r="AY412" s="132">
        <f t="shared" si="156"/>
        <v>0</v>
      </c>
      <c r="AZ412" s="132">
        <f t="shared" si="156"/>
        <v>0</v>
      </c>
      <c r="BA412" s="132">
        <f t="shared" si="156"/>
        <v>0</v>
      </c>
      <c r="BB412" s="132">
        <f t="shared" si="156"/>
        <v>0</v>
      </c>
      <c r="BC412" s="132">
        <f t="shared" si="156"/>
        <v>0</v>
      </c>
      <c r="BD412" s="132">
        <f t="shared" si="156"/>
        <v>0</v>
      </c>
      <c r="BE412" s="132">
        <f t="shared" si="156"/>
        <v>0</v>
      </c>
      <c r="BF412" s="132">
        <f t="shared" si="156"/>
        <v>0</v>
      </c>
      <c r="BG412" s="132">
        <f t="shared" si="156"/>
        <v>0</v>
      </c>
      <c r="BH412" s="133">
        <f>IF(OR(AND(BH388=0,W388&lt;&gt;0),AND(BH389=0,W389&lt;&gt;0),AND(BH390=0,W390&lt;&gt;0),AND(BH391=0,W391&lt;&gt;0),AND(BH392=0,W392&lt;&gt;0),AND(BH393=0,W393&lt;&gt;0),AND(BH394=0,W394&lt;&gt;0),AND(BH395=0,W395&lt;&gt;0),AND(BH396=0,W396&lt;&gt;0),AND(BH397=0,W397&lt;&gt;0),AND(BH398=0,W398&lt;&gt;0),AND(BH399=0,W399&lt;&gt;0),AND(BH400=0,W400&lt;&gt;0),AND(BH401=0,W401&lt;&gt;0),AND(BH402=0,W402&lt;&gt;0),AND(BH403=0,W403&lt;&gt;0),AND(BH404=0,W404&lt;&gt;0),AND(BH405=0,W405&lt;&gt;0),AND(BH406=0,W406&lt;&gt;0),AND(BH407=0,W407&lt;&gt;0),AND(BH408=0,W408&lt;&gt;0),AND(BH409=0,W409&lt;&gt;0),AND(BH410=0,W410&lt;&gt;0),AND(BH411=0,W411&lt;&gt;0)),"NO DEBEN QUEDAR CELDAS EN ROJO",SUM(BH388:BH411))</f>
        <v>1982123417</v>
      </c>
      <c r="BI412" s="132">
        <f t="shared" si="156"/>
        <v>0</v>
      </c>
      <c r="BJ412" s="132">
        <f t="shared" si="156"/>
        <v>0</v>
      </c>
      <c r="BK412" s="132">
        <f t="shared" si="156"/>
        <v>0</v>
      </c>
      <c r="BL412" s="132">
        <f t="shared" si="156"/>
        <v>1326000000</v>
      </c>
      <c r="BM412" s="132">
        <f t="shared" si="156"/>
        <v>4685361262</v>
      </c>
      <c r="BN412" s="132">
        <f t="shared" si="156"/>
        <v>0</v>
      </c>
      <c r="BO412" s="132">
        <f t="shared" si="156"/>
        <v>0</v>
      </c>
      <c r="BP412" s="132">
        <f t="shared" si="156"/>
        <v>0</v>
      </c>
      <c r="BQ412" s="132">
        <f t="shared" si="156"/>
        <v>0</v>
      </c>
      <c r="BR412" s="132">
        <f t="shared" si="156"/>
        <v>0</v>
      </c>
      <c r="BS412" s="132">
        <f t="shared" si="156"/>
        <v>0</v>
      </c>
      <c r="BT412" s="132">
        <f t="shared" si="156"/>
        <v>0</v>
      </c>
      <c r="BU412" s="132">
        <f t="shared" si="156"/>
        <v>0</v>
      </c>
      <c r="BV412" s="132">
        <f t="shared" si="156"/>
        <v>0</v>
      </c>
      <c r="BW412" s="132">
        <f t="shared" si="156"/>
        <v>0</v>
      </c>
      <c r="BX412" s="133">
        <f>IF(OR(AND(BX388=0,AB388&lt;&gt;0),AND(BX389=0,AB389&lt;&gt;0),AND(BX390=0,AB390&lt;&gt;0),AND(BX391=0,AB391&lt;&gt;0),AND(BX392=0,AB392&lt;&gt;0),AND(BX393=0,AB393&lt;&gt;0),AND(BX394=0,AB394&lt;&gt;0),AND(BX395=0,AB395&lt;&gt;0),AND(BX396=0,AB396&lt;&gt;0),AND(BX397=0,AB397&lt;&gt;0),AND(BX398=0,AB398&lt;&gt;0),AND(BX399=0,AB399&lt;&gt;0),AND(BX400=0,AB400&lt;&gt;0),AND(BX401=0,AB401&lt;&gt;0),AND(BX402=0,AB402&lt;&gt;0),AND(BX403=0,AB403&lt;&gt;0),AND(BX404=0,AB404&lt;&gt;0),AND(BX405=0,AB405&lt;&gt;0),AND(BX406=0,AB406&lt;&gt;0),AND(BX407=0,AB407&lt;&gt;0),AND(BX408=0,AB408&lt;&gt;0),AND(BX409=0,AB409&lt;&gt;0),AND(BX410=0,AB410&lt;&gt;0),AND(BX411=0,AB411&lt;&gt;0)),"NO DEBEN QUEDAR CELDAS EN ROJO",SUM(BX388:BX411))</f>
        <v>6011361262</v>
      </c>
      <c r="BY412" s="132">
        <f t="shared" si="156"/>
        <v>0</v>
      </c>
      <c r="BZ412" s="132">
        <f t="shared" si="156"/>
        <v>0</v>
      </c>
      <c r="CA412" s="132">
        <f t="shared" si="156"/>
        <v>0</v>
      </c>
      <c r="CB412" s="132">
        <f t="shared" si="156"/>
        <v>1326000000</v>
      </c>
      <c r="CC412" s="132">
        <f t="shared" si="156"/>
        <v>4837129324</v>
      </c>
      <c r="CD412" s="132">
        <f t="shared" si="156"/>
        <v>0</v>
      </c>
      <c r="CE412" s="132">
        <f t="shared" si="156"/>
        <v>0</v>
      </c>
      <c r="CF412" s="132">
        <f t="shared" si="156"/>
        <v>0</v>
      </c>
      <c r="CG412" s="132">
        <f t="shared" si="156"/>
        <v>0</v>
      </c>
      <c r="CH412" s="132">
        <f t="shared" si="156"/>
        <v>0</v>
      </c>
      <c r="CI412" s="132">
        <f t="shared" si="156"/>
        <v>0</v>
      </c>
      <c r="CJ412" s="132">
        <f t="shared" si="156"/>
        <v>0</v>
      </c>
      <c r="CK412" s="132">
        <f t="shared" si="156"/>
        <v>0</v>
      </c>
      <c r="CL412" s="132">
        <f t="shared" si="156"/>
        <v>0</v>
      </c>
      <c r="CM412" s="132">
        <f t="shared" si="156"/>
        <v>0</v>
      </c>
      <c r="CN412" s="133">
        <f>IF(OR(AND(CN388=0,AG388&lt;&gt;0),AND(CN389=0,AG389&lt;&gt;0),AND(CN390=0,AG390&lt;&gt;0),AND(CN391=0,AG391&lt;&gt;0),AND(CN392=0,AG392&lt;&gt;0),AND(CN393=0,AG393&lt;&gt;0),AND(CN394=0,AG394&lt;&gt;0),AND(CN395=0,AG395&lt;&gt;0),AND(CN396=0,AG396&lt;&gt;0),AND(CN397=0,AG397&lt;&gt;0),AND(CN398=0,AG398&lt;&gt;0),AND(CN399=0,AG399&lt;&gt;0),AND(CN400=0,AG400&lt;&gt;0),AND(CN401=0,AG401&lt;&gt;0),AND(CN402=0,AG402&lt;&gt;0),AND(CN403=0,AG403&lt;&gt;0),AND(CN404=0,AG404&lt;&gt;0),AND(CN405=0,AG405&lt;&gt;0),AND(CN406=0,AG406&lt;&gt;0),AND(CN407=0,AG407&lt;&gt;0),AND(CN408=0,AG408&lt;&gt;0),AND(CN409=0,AG409&lt;&gt;0),AND(CN410=0,AG410&lt;&gt;0),AND(CN411=0,AG411&lt;&gt;0)),"NO DEBEN QUEDAR CELDAS EN ROJO",SUM(CN388:CN411))</f>
        <v>6163129324</v>
      </c>
      <c r="CO412" s="132">
        <f t="shared" si="156"/>
        <v>0</v>
      </c>
      <c r="CP412" s="132">
        <f t="shared" si="156"/>
        <v>0</v>
      </c>
      <c r="CQ412" s="132">
        <f t="shared" si="156"/>
        <v>0</v>
      </c>
      <c r="CR412" s="132">
        <f t="shared" si="156"/>
        <v>1356000000</v>
      </c>
      <c r="CS412" s="132">
        <f t="shared" si="156"/>
        <v>4995555084</v>
      </c>
      <c r="CT412" s="132">
        <f t="shared" si="156"/>
        <v>0</v>
      </c>
      <c r="CU412" s="132">
        <f t="shared" si="156"/>
        <v>0</v>
      </c>
      <c r="CV412" s="132">
        <f t="shared" si="156"/>
        <v>0</v>
      </c>
      <c r="CW412" s="132">
        <f t="shared" si="156"/>
        <v>0</v>
      </c>
      <c r="CX412" s="132">
        <f t="shared" si="156"/>
        <v>0</v>
      </c>
      <c r="CY412" s="132">
        <f t="shared" si="156"/>
        <v>0</v>
      </c>
      <c r="CZ412" s="132">
        <f t="shared" si="156"/>
        <v>0</v>
      </c>
      <c r="DA412" s="132">
        <f t="shared" si="156"/>
        <v>0</v>
      </c>
      <c r="DB412" s="132">
        <f t="shared" si="156"/>
        <v>0</v>
      </c>
      <c r="DC412" s="132">
        <f t="shared" si="156"/>
        <v>0</v>
      </c>
      <c r="DD412" s="133">
        <f>IF(OR(AND(DD388=0,AL388&lt;&gt;0),AND(DD389=0,AL389&lt;&gt;0),AND(DD390=0,AL390&lt;&gt;0),AND(DD391=0,AL391&lt;&gt;0),AND(DD392=0,AL392&lt;&gt;0),AND(DD393=0,AL393&lt;&gt;0),AND(DD394=0,AL394&lt;&gt;0),AND(DD395=0,AL395&lt;&gt;0),AND(DD396=0,AL396&lt;&gt;0),AND(DD397=0,AL397&lt;&gt;0),AND(DD398=0,AL398&lt;&gt;0),AND(DD399=0,AL399&lt;&gt;0),AND(DD400=0,AL400&lt;&gt;0),AND(DD401=0,AL401&lt;&gt;0),AND(DD402=0,AL402&lt;&gt;0),AND(DD403=0,AL403&lt;&gt;0),AND(DD404=0,AL404&lt;&gt;0),AND(DD405=0,AL405&lt;&gt;0),AND(DD406=0,AL406&lt;&gt;0),AND(DD407=0,AL407&lt;&gt;0),AND(DD408=0,AL408&lt;&gt;0),AND(DD409=0,AL409&lt;&gt;0),AND(DD410=0,AL410&lt;&gt;0),AND(DD411=0,AL411&lt;&gt;0)),"NO DEBEN QUEDAR CELDAS EN ROJO",SUM(DD388:DD411))</f>
        <v>6351555084</v>
      </c>
      <c r="DE412" s="133">
        <f t="shared" si="156"/>
        <v>20508169087</v>
      </c>
    </row>
    <row r="413" spans="1:109" s="99" customFormat="1" ht="82.05" customHeight="1">
      <c r="A413" s="103" t="s">
        <v>1239</v>
      </c>
      <c r="B413" s="103" t="s">
        <v>9</v>
      </c>
      <c r="C413" s="103" t="s">
        <v>1694</v>
      </c>
      <c r="D413" s="103">
        <v>34</v>
      </c>
      <c r="E413" s="103" t="s">
        <v>1301</v>
      </c>
      <c r="F413" s="278" t="s">
        <v>418</v>
      </c>
      <c r="G413" s="103" t="s">
        <v>3543</v>
      </c>
      <c r="H413" s="103">
        <v>41</v>
      </c>
      <c r="I413" s="103" t="s">
        <v>1302</v>
      </c>
      <c r="J413" s="103" t="s">
        <v>683</v>
      </c>
      <c r="K413" s="103">
        <v>115645</v>
      </c>
      <c r="L413" s="103" t="s">
        <v>1304</v>
      </c>
      <c r="M413" s="103" t="s">
        <v>1306</v>
      </c>
      <c r="N413" s="103" t="s">
        <v>1307</v>
      </c>
      <c r="O413" s="103" t="s">
        <v>1308</v>
      </c>
      <c r="P413" s="283">
        <v>370</v>
      </c>
      <c r="Q413" s="103" t="s">
        <v>3544</v>
      </c>
      <c r="R413" s="103" t="s">
        <v>1309</v>
      </c>
      <c r="S413" s="103" t="s">
        <v>683</v>
      </c>
      <c r="T413" s="102">
        <v>80970</v>
      </c>
      <c r="U413" s="267">
        <v>1072</v>
      </c>
      <c r="V413" s="267">
        <v>1072</v>
      </c>
      <c r="W413" s="224">
        <v>2144</v>
      </c>
      <c r="X413" s="267">
        <v>536</v>
      </c>
      <c r="Y413" s="267">
        <v>536</v>
      </c>
      <c r="Z413" s="267">
        <v>536</v>
      </c>
      <c r="AA413" s="267">
        <v>536</v>
      </c>
      <c r="AB413" s="224">
        <v>2144</v>
      </c>
      <c r="AC413" s="267">
        <v>536</v>
      </c>
      <c r="AD413" s="267">
        <v>536</v>
      </c>
      <c r="AE413" s="267">
        <v>536</v>
      </c>
      <c r="AF413" s="267">
        <v>536</v>
      </c>
      <c r="AG413" s="224">
        <v>2144</v>
      </c>
      <c r="AH413" s="267">
        <v>536</v>
      </c>
      <c r="AI413" s="267">
        <v>536</v>
      </c>
      <c r="AJ413" s="267">
        <v>536</v>
      </c>
      <c r="AK413" s="267">
        <v>536</v>
      </c>
      <c r="AL413" s="224">
        <v>2144</v>
      </c>
      <c r="AM413" s="102">
        <v>8576</v>
      </c>
      <c r="AN413" s="103" t="s">
        <v>685</v>
      </c>
      <c r="AO413" s="103" t="s">
        <v>618</v>
      </c>
      <c r="AP413" s="103" t="s">
        <v>1216</v>
      </c>
      <c r="AQ413" s="103" t="s">
        <v>1194</v>
      </c>
      <c r="AR413" s="103" t="s">
        <v>938</v>
      </c>
      <c r="AS413" s="268"/>
      <c r="AT413" s="268"/>
      <c r="AU413" s="268"/>
      <c r="AV413" s="268"/>
      <c r="AW413" s="268">
        <v>50049900</v>
      </c>
      <c r="AX413" s="268"/>
      <c r="AY413" s="268"/>
      <c r="AZ413" s="268"/>
      <c r="BA413" s="268"/>
      <c r="BB413" s="268"/>
      <c r="BC413" s="268"/>
      <c r="BD413" s="268"/>
      <c r="BE413" s="268"/>
      <c r="BF413" s="268"/>
      <c r="BG413" s="268"/>
      <c r="BH413" s="234">
        <v>50049900</v>
      </c>
      <c r="BI413" s="268"/>
      <c r="BJ413" s="268"/>
      <c r="BK413" s="268"/>
      <c r="BL413" s="268"/>
      <c r="BM413" s="268">
        <v>90000000</v>
      </c>
      <c r="BN413" s="268"/>
      <c r="BO413" s="268"/>
      <c r="BP413" s="268"/>
      <c r="BQ413" s="268"/>
      <c r="BR413" s="268"/>
      <c r="BS413" s="268"/>
      <c r="BT413" s="268"/>
      <c r="BU413" s="268"/>
      <c r="BV413" s="268"/>
      <c r="BW413" s="268"/>
      <c r="BX413" s="234">
        <v>90000000</v>
      </c>
      <c r="BY413" s="268"/>
      <c r="BZ413" s="268"/>
      <c r="CA413" s="268"/>
      <c r="CB413" s="268"/>
      <c r="CC413" s="268">
        <v>95000000</v>
      </c>
      <c r="CD413" s="268"/>
      <c r="CE413" s="268"/>
      <c r="CF413" s="268"/>
      <c r="CG413" s="268"/>
      <c r="CH413" s="268"/>
      <c r="CI413" s="268"/>
      <c r="CJ413" s="268"/>
      <c r="CK413" s="268"/>
      <c r="CL413" s="268"/>
      <c r="CM413" s="268"/>
      <c r="CN413" s="234">
        <v>95000000</v>
      </c>
      <c r="CO413" s="268"/>
      <c r="CP413" s="268"/>
      <c r="CQ413" s="268"/>
      <c r="CR413" s="268"/>
      <c r="CS413" s="268">
        <v>95000000</v>
      </c>
      <c r="CT413" s="268"/>
      <c r="CU413" s="268"/>
      <c r="CV413" s="268"/>
      <c r="CW413" s="268"/>
      <c r="CX413" s="268"/>
      <c r="CY413" s="268"/>
      <c r="CZ413" s="268"/>
      <c r="DA413" s="268"/>
      <c r="DB413" s="268"/>
      <c r="DC413" s="268"/>
      <c r="DD413" s="234">
        <v>95000000</v>
      </c>
      <c r="DE413" s="243">
        <v>330049900</v>
      </c>
    </row>
    <row r="414" spans="1:109" s="99" customFormat="1" ht="82.05" customHeight="1">
      <c r="A414" s="103" t="s">
        <v>1239</v>
      </c>
      <c r="B414" s="279" t="s">
        <v>9</v>
      </c>
      <c r="C414" s="279" t="s">
        <v>1694</v>
      </c>
      <c r="D414" s="279">
        <v>34</v>
      </c>
      <c r="E414" s="279" t="s">
        <v>1301</v>
      </c>
      <c r="F414" s="280" t="s">
        <v>418</v>
      </c>
      <c r="G414" s="279" t="s">
        <v>3543</v>
      </c>
      <c r="H414" s="279">
        <v>41</v>
      </c>
      <c r="I414" s="279" t="s">
        <v>1302</v>
      </c>
      <c r="J414" s="279" t="s">
        <v>683</v>
      </c>
      <c r="K414" s="279">
        <v>115645</v>
      </c>
      <c r="L414" s="279" t="s">
        <v>1304</v>
      </c>
      <c r="M414" s="279" t="s">
        <v>1306</v>
      </c>
      <c r="N414" s="279" t="s">
        <v>1307</v>
      </c>
      <c r="O414" s="279" t="s">
        <v>1308</v>
      </c>
      <c r="P414" s="283">
        <v>371</v>
      </c>
      <c r="Q414" s="279" t="s">
        <v>3545</v>
      </c>
      <c r="R414" s="279" t="s">
        <v>1310</v>
      </c>
      <c r="S414" s="279" t="s">
        <v>683</v>
      </c>
      <c r="T414" s="279">
        <v>55</v>
      </c>
      <c r="U414" s="267">
        <v>55</v>
      </c>
      <c r="V414" s="267"/>
      <c r="W414" s="224">
        <v>55</v>
      </c>
      <c r="X414" s="267"/>
      <c r="Y414" s="267">
        <v>30</v>
      </c>
      <c r="Z414" s="267">
        <v>25</v>
      </c>
      <c r="AA414" s="267"/>
      <c r="AB414" s="224">
        <v>55</v>
      </c>
      <c r="AC414" s="267">
        <v>15</v>
      </c>
      <c r="AD414" s="267">
        <v>15</v>
      </c>
      <c r="AE414" s="267">
        <v>15</v>
      </c>
      <c r="AF414" s="267">
        <v>10</v>
      </c>
      <c r="AG414" s="224">
        <v>55</v>
      </c>
      <c r="AH414" s="267">
        <v>15</v>
      </c>
      <c r="AI414" s="267">
        <v>15</v>
      </c>
      <c r="AJ414" s="267">
        <v>15</v>
      </c>
      <c r="AK414" s="267">
        <v>10</v>
      </c>
      <c r="AL414" s="224">
        <v>55</v>
      </c>
      <c r="AM414" s="104">
        <v>55</v>
      </c>
      <c r="AN414" s="103" t="s">
        <v>686</v>
      </c>
      <c r="AO414" s="103" t="s">
        <v>618</v>
      </c>
      <c r="AP414" s="103" t="s">
        <v>1216</v>
      </c>
      <c r="AQ414" s="103" t="s">
        <v>1194</v>
      </c>
      <c r="AR414" s="103" t="s">
        <v>938</v>
      </c>
      <c r="AS414" s="271"/>
      <c r="AT414" s="271"/>
      <c r="AU414" s="271"/>
      <c r="AV414" s="271"/>
      <c r="AW414" s="271">
        <v>40000000</v>
      </c>
      <c r="AX414" s="271"/>
      <c r="AY414" s="271"/>
      <c r="AZ414" s="271"/>
      <c r="BA414" s="271"/>
      <c r="BB414" s="271"/>
      <c r="BC414" s="271"/>
      <c r="BD414" s="271"/>
      <c r="BE414" s="271"/>
      <c r="BF414" s="271"/>
      <c r="BG414" s="271"/>
      <c r="BH414" s="235">
        <v>40000000</v>
      </c>
      <c r="BI414" s="271"/>
      <c r="BJ414" s="271"/>
      <c r="BK414" s="271"/>
      <c r="BL414" s="271"/>
      <c r="BM414" s="271">
        <v>20000000</v>
      </c>
      <c r="BN414" s="271"/>
      <c r="BO414" s="271"/>
      <c r="BP414" s="271"/>
      <c r="BQ414" s="271"/>
      <c r="BR414" s="271"/>
      <c r="BS414" s="271"/>
      <c r="BT414" s="271"/>
      <c r="BU414" s="271"/>
      <c r="BV414" s="271"/>
      <c r="BW414" s="271"/>
      <c r="BX414" s="235">
        <v>20000000</v>
      </c>
      <c r="BY414" s="271"/>
      <c r="BZ414" s="271"/>
      <c r="CA414" s="271"/>
      <c r="CB414" s="271"/>
      <c r="CC414" s="271">
        <v>20000000</v>
      </c>
      <c r="CD414" s="271"/>
      <c r="CE414" s="271"/>
      <c r="CF414" s="271"/>
      <c r="CG414" s="271"/>
      <c r="CH414" s="271"/>
      <c r="CI414" s="271"/>
      <c r="CJ414" s="271"/>
      <c r="CK414" s="271"/>
      <c r="CL414" s="271"/>
      <c r="CM414" s="271"/>
      <c r="CN414" s="235">
        <v>20000000</v>
      </c>
      <c r="CO414" s="271"/>
      <c r="CP414" s="271"/>
      <c r="CQ414" s="271"/>
      <c r="CR414" s="271"/>
      <c r="CS414" s="271">
        <v>20000000</v>
      </c>
      <c r="CT414" s="271"/>
      <c r="CU414" s="271"/>
      <c r="CV414" s="271"/>
      <c r="CW414" s="271"/>
      <c r="CX414" s="271"/>
      <c r="CY414" s="271"/>
      <c r="CZ414" s="271"/>
      <c r="DA414" s="271"/>
      <c r="DB414" s="271"/>
      <c r="DC414" s="271"/>
      <c r="DD414" s="234">
        <v>20000000</v>
      </c>
      <c r="DE414" s="244">
        <v>100000000</v>
      </c>
    </row>
    <row r="415" spans="1:109" s="99" customFormat="1" ht="82.05" customHeight="1">
      <c r="A415" s="103" t="s">
        <v>1239</v>
      </c>
      <c r="B415" s="279" t="s">
        <v>9</v>
      </c>
      <c r="C415" s="279" t="s">
        <v>1694</v>
      </c>
      <c r="D415" s="279">
        <v>34</v>
      </c>
      <c r="E415" s="279" t="s">
        <v>1301</v>
      </c>
      <c r="F415" s="280" t="s">
        <v>418</v>
      </c>
      <c r="G415" s="279" t="s">
        <v>3543</v>
      </c>
      <c r="H415" s="279">
        <v>41</v>
      </c>
      <c r="I415" s="279" t="s">
        <v>1302</v>
      </c>
      <c r="J415" s="279" t="s">
        <v>683</v>
      </c>
      <c r="K415" s="279">
        <v>115645</v>
      </c>
      <c r="L415" s="279" t="s">
        <v>1304</v>
      </c>
      <c r="M415" s="279" t="s">
        <v>1306</v>
      </c>
      <c r="N415" s="279" t="s">
        <v>1307</v>
      </c>
      <c r="O415" s="279" t="s">
        <v>1308</v>
      </c>
      <c r="P415" s="283">
        <v>372</v>
      </c>
      <c r="Q415" s="279" t="s">
        <v>3546</v>
      </c>
      <c r="R415" s="279" t="s">
        <v>1310</v>
      </c>
      <c r="S415" s="279" t="s">
        <v>683</v>
      </c>
      <c r="T415" s="279">
        <v>55</v>
      </c>
      <c r="U415" s="267"/>
      <c r="V415" s="267"/>
      <c r="W415" s="224">
        <v>0</v>
      </c>
      <c r="X415" s="267"/>
      <c r="Y415" s="267">
        <v>2</v>
      </c>
      <c r="Z415" s="267"/>
      <c r="AA415" s="267"/>
      <c r="AB415" s="224">
        <v>2</v>
      </c>
      <c r="AC415" s="267"/>
      <c r="AD415" s="267">
        <v>2</v>
      </c>
      <c r="AE415" s="267"/>
      <c r="AF415" s="267"/>
      <c r="AG415" s="224">
        <v>2</v>
      </c>
      <c r="AH415" s="267"/>
      <c r="AI415" s="267">
        <v>1</v>
      </c>
      <c r="AJ415" s="267"/>
      <c r="AK415" s="267"/>
      <c r="AL415" s="224">
        <v>1</v>
      </c>
      <c r="AM415" s="104">
        <v>5</v>
      </c>
      <c r="AN415" s="103" t="s">
        <v>685</v>
      </c>
      <c r="AO415" s="103" t="s">
        <v>618</v>
      </c>
      <c r="AP415" s="103" t="s">
        <v>1216</v>
      </c>
      <c r="AQ415" s="103" t="s">
        <v>1194</v>
      </c>
      <c r="AR415" s="103" t="s">
        <v>938</v>
      </c>
      <c r="AS415" s="271"/>
      <c r="AT415" s="271"/>
      <c r="AU415" s="271"/>
      <c r="AV415" s="271"/>
      <c r="AW415" s="271"/>
      <c r="AX415" s="271"/>
      <c r="AY415" s="271"/>
      <c r="AZ415" s="271"/>
      <c r="BA415" s="271"/>
      <c r="BB415" s="271"/>
      <c r="BC415" s="271"/>
      <c r="BD415" s="271"/>
      <c r="BE415" s="271"/>
      <c r="BF415" s="271"/>
      <c r="BG415" s="271"/>
      <c r="BH415" s="235">
        <v>0</v>
      </c>
      <c r="BI415" s="271"/>
      <c r="BJ415" s="271"/>
      <c r="BK415" s="271"/>
      <c r="BL415" s="271"/>
      <c r="BM415" s="271">
        <v>10000000</v>
      </c>
      <c r="BN415" s="271"/>
      <c r="BO415" s="271"/>
      <c r="BP415" s="271"/>
      <c r="BQ415" s="271"/>
      <c r="BR415" s="271"/>
      <c r="BS415" s="271"/>
      <c r="BT415" s="271"/>
      <c r="BU415" s="271"/>
      <c r="BV415" s="271"/>
      <c r="BW415" s="271"/>
      <c r="BX415" s="235">
        <v>10000000</v>
      </c>
      <c r="BY415" s="271"/>
      <c r="BZ415" s="271"/>
      <c r="CA415" s="271"/>
      <c r="CB415" s="271"/>
      <c r="CC415" s="271">
        <v>10000000</v>
      </c>
      <c r="CD415" s="271"/>
      <c r="CE415" s="271"/>
      <c r="CF415" s="271"/>
      <c r="CG415" s="271"/>
      <c r="CH415" s="271"/>
      <c r="CI415" s="271"/>
      <c r="CJ415" s="271"/>
      <c r="CK415" s="271"/>
      <c r="CL415" s="271"/>
      <c r="CM415" s="271"/>
      <c r="CN415" s="235">
        <v>10000000</v>
      </c>
      <c r="CO415" s="271"/>
      <c r="CP415" s="271"/>
      <c r="CQ415" s="271"/>
      <c r="CR415" s="271"/>
      <c r="CS415" s="271">
        <v>10000000</v>
      </c>
      <c r="CT415" s="271"/>
      <c r="CU415" s="271"/>
      <c r="CV415" s="271"/>
      <c r="CW415" s="271"/>
      <c r="CX415" s="271"/>
      <c r="CY415" s="271"/>
      <c r="CZ415" s="271"/>
      <c r="DA415" s="271"/>
      <c r="DB415" s="271"/>
      <c r="DC415" s="271"/>
      <c r="DD415" s="234">
        <v>10000000</v>
      </c>
      <c r="DE415" s="244">
        <v>30000000</v>
      </c>
    </row>
    <row r="416" spans="1:109" s="99" customFormat="1" ht="82.05" customHeight="1">
      <c r="A416" s="103" t="s">
        <v>1239</v>
      </c>
      <c r="B416" s="279" t="s">
        <v>9</v>
      </c>
      <c r="C416" s="279" t="s">
        <v>1694</v>
      </c>
      <c r="D416" s="279">
        <v>34</v>
      </c>
      <c r="E416" s="279" t="s">
        <v>1301</v>
      </c>
      <c r="F416" s="280" t="s">
        <v>418</v>
      </c>
      <c r="G416" s="279" t="s">
        <v>3543</v>
      </c>
      <c r="H416" s="279">
        <v>41</v>
      </c>
      <c r="I416" s="279" t="s">
        <v>1302</v>
      </c>
      <c r="J416" s="279" t="s">
        <v>683</v>
      </c>
      <c r="K416" s="279">
        <v>115645</v>
      </c>
      <c r="L416" s="279" t="s">
        <v>1304</v>
      </c>
      <c r="M416" s="279" t="s">
        <v>1306</v>
      </c>
      <c r="N416" s="279" t="s">
        <v>1307</v>
      </c>
      <c r="O416" s="279" t="s">
        <v>1308</v>
      </c>
      <c r="P416" s="283">
        <v>373</v>
      </c>
      <c r="Q416" s="279" t="s">
        <v>3446</v>
      </c>
      <c r="R416" s="279" t="s">
        <v>1311</v>
      </c>
      <c r="S416" s="279" t="s">
        <v>683</v>
      </c>
      <c r="T416" s="279">
        <v>40</v>
      </c>
      <c r="U416" s="267">
        <v>23</v>
      </c>
      <c r="V416" s="267">
        <v>23</v>
      </c>
      <c r="W416" s="224">
        <v>46</v>
      </c>
      <c r="X416" s="267">
        <v>10</v>
      </c>
      <c r="Y416" s="267">
        <v>12</v>
      </c>
      <c r="Z416" s="267">
        <v>12</v>
      </c>
      <c r="AA416" s="267">
        <v>12</v>
      </c>
      <c r="AB416" s="224">
        <v>46</v>
      </c>
      <c r="AC416" s="267">
        <v>10</v>
      </c>
      <c r="AD416" s="267">
        <v>12</v>
      </c>
      <c r="AE416" s="267">
        <v>12</v>
      </c>
      <c r="AF416" s="267">
        <v>12</v>
      </c>
      <c r="AG416" s="224">
        <v>46</v>
      </c>
      <c r="AH416" s="267">
        <v>10</v>
      </c>
      <c r="AI416" s="267">
        <v>12</v>
      </c>
      <c r="AJ416" s="267">
        <v>12</v>
      </c>
      <c r="AK416" s="267">
        <v>12</v>
      </c>
      <c r="AL416" s="224">
        <v>46</v>
      </c>
      <c r="AM416" s="104">
        <v>184</v>
      </c>
      <c r="AN416" s="103" t="s">
        <v>685</v>
      </c>
      <c r="AO416" s="103" t="s">
        <v>618</v>
      </c>
      <c r="AP416" s="103" t="s">
        <v>1216</v>
      </c>
      <c r="AQ416" s="103" t="s">
        <v>1194</v>
      </c>
      <c r="AR416" s="103" t="s">
        <v>938</v>
      </c>
      <c r="AS416" s="271"/>
      <c r="AT416" s="271"/>
      <c r="AU416" s="271"/>
      <c r="AV416" s="271"/>
      <c r="AW416" s="271">
        <v>25000000</v>
      </c>
      <c r="AX416" s="271"/>
      <c r="AY416" s="271"/>
      <c r="AZ416" s="271"/>
      <c r="BA416" s="271"/>
      <c r="BB416" s="271"/>
      <c r="BC416" s="271"/>
      <c r="BD416" s="271"/>
      <c r="BE416" s="271"/>
      <c r="BF416" s="271"/>
      <c r="BG416" s="271"/>
      <c r="BH416" s="235">
        <v>25000000</v>
      </c>
      <c r="BI416" s="271"/>
      <c r="BJ416" s="271"/>
      <c r="BK416" s="271"/>
      <c r="BL416" s="271"/>
      <c r="BM416" s="271">
        <v>20000000</v>
      </c>
      <c r="BN416" s="271"/>
      <c r="BO416" s="271"/>
      <c r="BP416" s="271"/>
      <c r="BQ416" s="271"/>
      <c r="BR416" s="271"/>
      <c r="BS416" s="271"/>
      <c r="BT416" s="271"/>
      <c r="BU416" s="271"/>
      <c r="BV416" s="271"/>
      <c r="BW416" s="271"/>
      <c r="BX416" s="235">
        <v>20000000</v>
      </c>
      <c r="BY416" s="271"/>
      <c r="BZ416" s="271"/>
      <c r="CA416" s="271"/>
      <c r="CB416" s="271"/>
      <c r="CC416" s="271">
        <v>20000000</v>
      </c>
      <c r="CD416" s="271"/>
      <c r="CE416" s="271"/>
      <c r="CF416" s="271"/>
      <c r="CG416" s="271"/>
      <c r="CH416" s="271"/>
      <c r="CI416" s="271"/>
      <c r="CJ416" s="271"/>
      <c r="CK416" s="271"/>
      <c r="CL416" s="271"/>
      <c r="CM416" s="271"/>
      <c r="CN416" s="235">
        <v>20000000</v>
      </c>
      <c r="CO416" s="271"/>
      <c r="CP416" s="271"/>
      <c r="CQ416" s="271"/>
      <c r="CR416" s="271"/>
      <c r="CS416" s="271">
        <v>20000000</v>
      </c>
      <c r="CT416" s="271"/>
      <c r="CU416" s="271"/>
      <c r="CV416" s="271"/>
      <c r="CW416" s="271"/>
      <c r="CX416" s="271"/>
      <c r="CY416" s="271"/>
      <c r="CZ416" s="271"/>
      <c r="DA416" s="271"/>
      <c r="DB416" s="271"/>
      <c r="DC416" s="271"/>
      <c r="DD416" s="234">
        <v>20000000</v>
      </c>
      <c r="DE416" s="244">
        <v>85000000</v>
      </c>
    </row>
    <row r="417" spans="1:109" s="99" customFormat="1" ht="82.05" customHeight="1">
      <c r="A417" s="103" t="s">
        <v>1239</v>
      </c>
      <c r="B417" s="279" t="s">
        <v>9</v>
      </c>
      <c r="C417" s="279" t="s">
        <v>1694</v>
      </c>
      <c r="D417" s="279">
        <v>34</v>
      </c>
      <c r="E417" s="279" t="s">
        <v>1301</v>
      </c>
      <c r="F417" s="280" t="s">
        <v>418</v>
      </c>
      <c r="G417" s="279" t="s">
        <v>3445</v>
      </c>
      <c r="H417" s="279">
        <v>42</v>
      </c>
      <c r="I417" s="279" t="s">
        <v>1303</v>
      </c>
      <c r="J417" s="279" t="s">
        <v>677</v>
      </c>
      <c r="K417" s="279">
        <v>30</v>
      </c>
      <c r="L417" s="279" t="s">
        <v>1305</v>
      </c>
      <c r="M417" s="279" t="s">
        <v>1306</v>
      </c>
      <c r="N417" s="279" t="s">
        <v>1307</v>
      </c>
      <c r="O417" s="279" t="s">
        <v>1308</v>
      </c>
      <c r="P417" s="283">
        <v>374</v>
      </c>
      <c r="Q417" s="279" t="s">
        <v>3547</v>
      </c>
      <c r="R417" s="279" t="s">
        <v>1312</v>
      </c>
      <c r="S417" s="279" t="s">
        <v>683</v>
      </c>
      <c r="T417" s="279">
        <v>35</v>
      </c>
      <c r="U417" s="267">
        <v>5</v>
      </c>
      <c r="V417" s="267">
        <v>35</v>
      </c>
      <c r="W417" s="224">
        <v>40</v>
      </c>
      <c r="X417" s="267"/>
      <c r="Y417" s="267"/>
      <c r="Z417" s="267">
        <v>20</v>
      </c>
      <c r="AA417" s="267">
        <v>20</v>
      </c>
      <c r="AB417" s="224">
        <v>40</v>
      </c>
      <c r="AC417" s="267">
        <v>10</v>
      </c>
      <c r="AD417" s="267">
        <v>10</v>
      </c>
      <c r="AE417" s="267">
        <v>10</v>
      </c>
      <c r="AF417" s="267">
        <v>10</v>
      </c>
      <c r="AG417" s="224">
        <v>40</v>
      </c>
      <c r="AH417" s="267">
        <v>10</v>
      </c>
      <c r="AI417" s="267">
        <v>10</v>
      </c>
      <c r="AJ417" s="267">
        <v>10</v>
      </c>
      <c r="AK417" s="267">
        <v>10</v>
      </c>
      <c r="AL417" s="224">
        <v>40</v>
      </c>
      <c r="AM417" s="104">
        <v>160</v>
      </c>
      <c r="AN417" s="103" t="s">
        <v>685</v>
      </c>
      <c r="AO417" s="103" t="s">
        <v>618</v>
      </c>
      <c r="AP417" s="103" t="s">
        <v>1216</v>
      </c>
      <c r="AQ417" s="103" t="s">
        <v>1194</v>
      </c>
      <c r="AR417" s="103" t="s">
        <v>938</v>
      </c>
      <c r="AS417" s="271"/>
      <c r="AT417" s="271"/>
      <c r="AU417" s="271"/>
      <c r="AV417" s="271"/>
      <c r="AW417" s="271">
        <v>20000000</v>
      </c>
      <c r="AX417" s="271"/>
      <c r="AY417" s="271"/>
      <c r="AZ417" s="271"/>
      <c r="BA417" s="271"/>
      <c r="BB417" s="271"/>
      <c r="BC417" s="271"/>
      <c r="BD417" s="271"/>
      <c r="BE417" s="271"/>
      <c r="BF417" s="271"/>
      <c r="BG417" s="271"/>
      <c r="BH417" s="235">
        <v>20000000</v>
      </c>
      <c r="BI417" s="271"/>
      <c r="BJ417" s="271"/>
      <c r="BK417" s="271"/>
      <c r="BL417" s="271"/>
      <c r="BM417" s="271">
        <v>10000000</v>
      </c>
      <c r="BN417" s="271"/>
      <c r="BO417" s="271"/>
      <c r="BP417" s="271"/>
      <c r="BQ417" s="271"/>
      <c r="BR417" s="271"/>
      <c r="BS417" s="271"/>
      <c r="BT417" s="271"/>
      <c r="BU417" s="271"/>
      <c r="BV417" s="271"/>
      <c r="BW417" s="271"/>
      <c r="BX417" s="235">
        <v>10000000</v>
      </c>
      <c r="BY417" s="271"/>
      <c r="BZ417" s="271"/>
      <c r="CA417" s="271"/>
      <c r="CB417" s="271"/>
      <c r="CC417" s="271">
        <v>10000000</v>
      </c>
      <c r="CD417" s="271"/>
      <c r="CE417" s="271"/>
      <c r="CF417" s="271"/>
      <c r="CG417" s="271"/>
      <c r="CH417" s="271"/>
      <c r="CI417" s="271"/>
      <c r="CJ417" s="271"/>
      <c r="CK417" s="271"/>
      <c r="CL417" s="271"/>
      <c r="CM417" s="271"/>
      <c r="CN417" s="235">
        <v>10000000</v>
      </c>
      <c r="CO417" s="271"/>
      <c r="CP417" s="271"/>
      <c r="CQ417" s="271"/>
      <c r="CR417" s="271"/>
      <c r="CS417" s="271">
        <v>10000000</v>
      </c>
      <c r="CT417" s="271"/>
      <c r="CU417" s="271"/>
      <c r="CV417" s="271"/>
      <c r="CW417" s="271"/>
      <c r="CX417" s="271"/>
      <c r="CY417" s="271"/>
      <c r="CZ417" s="271"/>
      <c r="DA417" s="271"/>
      <c r="DB417" s="271"/>
      <c r="DC417" s="271"/>
      <c r="DD417" s="234">
        <v>10000000</v>
      </c>
      <c r="DE417" s="244">
        <v>50000000</v>
      </c>
    </row>
    <row r="418" spans="1:109" s="99" customFormat="1" ht="82.05" customHeight="1">
      <c r="A418" s="103" t="s">
        <v>1239</v>
      </c>
      <c r="B418" s="279" t="s">
        <v>9</v>
      </c>
      <c r="C418" s="279" t="s">
        <v>1694</v>
      </c>
      <c r="D418" s="279">
        <v>34</v>
      </c>
      <c r="E418" s="279" t="s">
        <v>1301</v>
      </c>
      <c r="F418" s="280" t="s">
        <v>418</v>
      </c>
      <c r="G418" s="279" t="s">
        <v>3543</v>
      </c>
      <c r="H418" s="279">
        <v>41</v>
      </c>
      <c r="I418" s="279" t="s">
        <v>1302</v>
      </c>
      <c r="J418" s="279" t="s">
        <v>683</v>
      </c>
      <c r="K418" s="279">
        <v>115645</v>
      </c>
      <c r="L418" s="279" t="s">
        <v>1304</v>
      </c>
      <c r="M418" s="279" t="s">
        <v>1306</v>
      </c>
      <c r="N418" s="279" t="s">
        <v>1307</v>
      </c>
      <c r="O418" s="279" t="s">
        <v>1308</v>
      </c>
      <c r="P418" s="283">
        <v>375</v>
      </c>
      <c r="Q418" s="279" t="s">
        <v>3548</v>
      </c>
      <c r="R418" s="279" t="s">
        <v>1313</v>
      </c>
      <c r="S418" s="279" t="s">
        <v>683</v>
      </c>
      <c r="T418" s="279">
        <v>40</v>
      </c>
      <c r="U418" s="267">
        <v>20</v>
      </c>
      <c r="V418" s="267">
        <v>20</v>
      </c>
      <c r="W418" s="224">
        <v>40</v>
      </c>
      <c r="X418" s="267"/>
      <c r="Y418" s="267">
        <v>20</v>
      </c>
      <c r="Z418" s="267">
        <v>20</v>
      </c>
      <c r="AA418" s="267"/>
      <c r="AB418" s="224">
        <v>40</v>
      </c>
      <c r="AC418" s="267"/>
      <c r="AD418" s="267">
        <v>20</v>
      </c>
      <c r="AE418" s="267">
        <v>20</v>
      </c>
      <c r="AF418" s="267"/>
      <c r="AG418" s="224">
        <v>40</v>
      </c>
      <c r="AH418" s="267"/>
      <c r="AI418" s="267">
        <v>20</v>
      </c>
      <c r="AJ418" s="267">
        <v>20</v>
      </c>
      <c r="AK418" s="267"/>
      <c r="AL418" s="224">
        <v>40</v>
      </c>
      <c r="AM418" s="104">
        <v>40</v>
      </c>
      <c r="AN418" s="103" t="s">
        <v>686</v>
      </c>
      <c r="AO418" s="103" t="s">
        <v>618</v>
      </c>
      <c r="AP418" s="103" t="s">
        <v>1216</v>
      </c>
      <c r="AQ418" s="103" t="s">
        <v>1194</v>
      </c>
      <c r="AR418" s="103" t="s">
        <v>938</v>
      </c>
      <c r="AS418" s="271"/>
      <c r="AT418" s="271"/>
      <c r="AU418" s="271"/>
      <c r="AV418" s="271"/>
      <c r="AW418" s="271">
        <v>20845258</v>
      </c>
      <c r="AX418" s="271"/>
      <c r="AY418" s="271"/>
      <c r="AZ418" s="271"/>
      <c r="BA418" s="271"/>
      <c r="BB418" s="271"/>
      <c r="BC418" s="271"/>
      <c r="BD418" s="271"/>
      <c r="BE418" s="271"/>
      <c r="BF418" s="271"/>
      <c r="BG418" s="271"/>
      <c r="BH418" s="235">
        <v>20845258</v>
      </c>
      <c r="BI418" s="271"/>
      <c r="BJ418" s="271"/>
      <c r="BK418" s="271"/>
      <c r="BL418" s="271"/>
      <c r="BM418" s="271">
        <v>20000000</v>
      </c>
      <c r="BN418" s="271"/>
      <c r="BO418" s="271"/>
      <c r="BP418" s="271"/>
      <c r="BQ418" s="271"/>
      <c r="BR418" s="271"/>
      <c r="BS418" s="271"/>
      <c r="BT418" s="271"/>
      <c r="BU418" s="271"/>
      <c r="BV418" s="271"/>
      <c r="BW418" s="271"/>
      <c r="BX418" s="235">
        <v>20000000</v>
      </c>
      <c r="BY418" s="271"/>
      <c r="BZ418" s="271"/>
      <c r="CA418" s="271"/>
      <c r="CB418" s="271"/>
      <c r="CC418" s="271">
        <v>30000000</v>
      </c>
      <c r="CD418" s="271"/>
      <c r="CE418" s="271"/>
      <c r="CF418" s="271"/>
      <c r="CG418" s="271"/>
      <c r="CH418" s="271"/>
      <c r="CI418" s="271"/>
      <c r="CJ418" s="271"/>
      <c r="CK418" s="271"/>
      <c r="CL418" s="271"/>
      <c r="CM418" s="271"/>
      <c r="CN418" s="235">
        <v>30000000</v>
      </c>
      <c r="CO418" s="271"/>
      <c r="CP418" s="271"/>
      <c r="CQ418" s="271"/>
      <c r="CR418" s="271"/>
      <c r="CS418" s="271">
        <v>30000000</v>
      </c>
      <c r="CT418" s="271"/>
      <c r="CU418" s="271"/>
      <c r="CV418" s="271"/>
      <c r="CW418" s="271"/>
      <c r="CX418" s="271"/>
      <c r="CY418" s="271"/>
      <c r="CZ418" s="271"/>
      <c r="DA418" s="271"/>
      <c r="DB418" s="271"/>
      <c r="DC418" s="271"/>
      <c r="DD418" s="234">
        <v>30000000</v>
      </c>
      <c r="DE418" s="244">
        <v>100845258</v>
      </c>
    </row>
    <row r="419" spans="1:109" s="99" customFormat="1" ht="82.05" customHeight="1">
      <c r="A419" s="103" t="s">
        <v>1239</v>
      </c>
      <c r="B419" s="279" t="s">
        <v>9</v>
      </c>
      <c r="C419" s="279" t="s">
        <v>1694</v>
      </c>
      <c r="D419" s="279">
        <v>34</v>
      </c>
      <c r="E419" s="279" t="s">
        <v>1301</v>
      </c>
      <c r="F419" s="280" t="s">
        <v>418</v>
      </c>
      <c r="G419" s="279" t="s">
        <v>3543</v>
      </c>
      <c r="H419" s="279">
        <v>41</v>
      </c>
      <c r="I419" s="279" t="s">
        <v>1302</v>
      </c>
      <c r="J419" s="279" t="s">
        <v>683</v>
      </c>
      <c r="K419" s="279">
        <v>115645</v>
      </c>
      <c r="L419" s="279" t="s">
        <v>1304</v>
      </c>
      <c r="M419" s="279" t="s">
        <v>1306</v>
      </c>
      <c r="N419" s="279" t="s">
        <v>1307</v>
      </c>
      <c r="O419" s="279" t="s">
        <v>1308</v>
      </c>
      <c r="P419" s="283">
        <v>376</v>
      </c>
      <c r="Q419" s="279" t="s">
        <v>3549</v>
      </c>
      <c r="R419" s="279" t="s">
        <v>1313</v>
      </c>
      <c r="S419" s="279" t="s">
        <v>683</v>
      </c>
      <c r="T419" s="279">
        <v>40</v>
      </c>
      <c r="U419" s="267"/>
      <c r="V419" s="267"/>
      <c r="W419" s="224">
        <v>0</v>
      </c>
      <c r="X419" s="267"/>
      <c r="Y419" s="267"/>
      <c r="Z419" s="267"/>
      <c r="AA419" s="267">
        <v>4</v>
      </c>
      <c r="AB419" s="224">
        <v>4</v>
      </c>
      <c r="AC419" s="267"/>
      <c r="AD419" s="267"/>
      <c r="AE419" s="267"/>
      <c r="AF419" s="267">
        <v>4</v>
      </c>
      <c r="AG419" s="224">
        <v>4</v>
      </c>
      <c r="AH419" s="267"/>
      <c r="AI419" s="267"/>
      <c r="AJ419" s="267"/>
      <c r="AK419" s="267">
        <v>4</v>
      </c>
      <c r="AL419" s="224">
        <v>4</v>
      </c>
      <c r="AM419" s="104">
        <v>12</v>
      </c>
      <c r="AN419" s="103" t="s">
        <v>685</v>
      </c>
      <c r="AO419" s="103" t="s">
        <v>618</v>
      </c>
      <c r="AP419" s="103" t="s">
        <v>1216</v>
      </c>
      <c r="AQ419" s="103" t="s">
        <v>1194</v>
      </c>
      <c r="AR419" s="103" t="s">
        <v>938</v>
      </c>
      <c r="AS419" s="271"/>
      <c r="AT419" s="271"/>
      <c r="AU419" s="271"/>
      <c r="AV419" s="271"/>
      <c r="AW419" s="271"/>
      <c r="AX419" s="271"/>
      <c r="AY419" s="271"/>
      <c r="AZ419" s="271"/>
      <c r="BA419" s="271"/>
      <c r="BB419" s="271"/>
      <c r="BC419" s="271"/>
      <c r="BD419" s="271"/>
      <c r="BE419" s="271"/>
      <c r="BF419" s="271"/>
      <c r="BG419" s="271"/>
      <c r="BH419" s="235">
        <v>0</v>
      </c>
      <c r="BI419" s="271"/>
      <c r="BJ419" s="271"/>
      <c r="BK419" s="271"/>
      <c r="BL419" s="271"/>
      <c r="BM419" s="271">
        <v>15000000</v>
      </c>
      <c r="BN419" s="271"/>
      <c r="BO419" s="271"/>
      <c r="BP419" s="271"/>
      <c r="BQ419" s="271"/>
      <c r="BR419" s="271"/>
      <c r="BS419" s="271"/>
      <c r="BT419" s="271"/>
      <c r="BU419" s="271"/>
      <c r="BV419" s="271"/>
      <c r="BW419" s="271"/>
      <c r="BX419" s="235">
        <v>15000000</v>
      </c>
      <c r="BY419" s="271"/>
      <c r="BZ419" s="271"/>
      <c r="CA419" s="271"/>
      <c r="CB419" s="271"/>
      <c r="CC419" s="271">
        <v>10000000</v>
      </c>
      <c r="CD419" s="271"/>
      <c r="CE419" s="271"/>
      <c r="CF419" s="271"/>
      <c r="CG419" s="271"/>
      <c r="CH419" s="271"/>
      <c r="CI419" s="271"/>
      <c r="CJ419" s="271"/>
      <c r="CK419" s="271"/>
      <c r="CL419" s="271"/>
      <c r="CM419" s="271"/>
      <c r="CN419" s="235">
        <v>10000000</v>
      </c>
      <c r="CO419" s="271"/>
      <c r="CP419" s="271"/>
      <c r="CQ419" s="271"/>
      <c r="CR419" s="271"/>
      <c r="CS419" s="271">
        <v>10000000</v>
      </c>
      <c r="CT419" s="271"/>
      <c r="CU419" s="271"/>
      <c r="CV419" s="271"/>
      <c r="CW419" s="271"/>
      <c r="CX419" s="271"/>
      <c r="CY419" s="271"/>
      <c r="CZ419" s="271"/>
      <c r="DA419" s="271"/>
      <c r="DB419" s="271"/>
      <c r="DC419" s="271"/>
      <c r="DD419" s="234">
        <v>10000000</v>
      </c>
      <c r="DE419" s="244">
        <v>35000000</v>
      </c>
    </row>
    <row r="420" spans="1:109" s="99" customFormat="1" ht="82.05" customHeight="1">
      <c r="A420" s="103" t="s">
        <v>1239</v>
      </c>
      <c r="B420" s="279" t="s">
        <v>9</v>
      </c>
      <c r="C420" s="279" t="s">
        <v>1694</v>
      </c>
      <c r="D420" s="279">
        <v>34</v>
      </c>
      <c r="E420" s="279" t="s">
        <v>1301</v>
      </c>
      <c r="F420" s="280" t="s">
        <v>418</v>
      </c>
      <c r="G420" s="279" t="s">
        <v>3543</v>
      </c>
      <c r="H420" s="279">
        <v>41</v>
      </c>
      <c r="I420" s="279" t="s">
        <v>1302</v>
      </c>
      <c r="J420" s="279" t="s">
        <v>683</v>
      </c>
      <c r="K420" s="279">
        <v>115645</v>
      </c>
      <c r="L420" s="279" t="s">
        <v>1304</v>
      </c>
      <c r="M420" s="279" t="s">
        <v>1306</v>
      </c>
      <c r="N420" s="279" t="s">
        <v>1307</v>
      </c>
      <c r="O420" s="279" t="s">
        <v>1308</v>
      </c>
      <c r="P420" s="283">
        <v>377</v>
      </c>
      <c r="Q420" s="279" t="s">
        <v>3550</v>
      </c>
      <c r="R420" s="279" t="s">
        <v>1314</v>
      </c>
      <c r="S420" s="279" t="s">
        <v>683</v>
      </c>
      <c r="T420" s="279">
        <v>0</v>
      </c>
      <c r="U420" s="267"/>
      <c r="V420" s="267"/>
      <c r="W420" s="224">
        <v>0</v>
      </c>
      <c r="X420" s="267"/>
      <c r="Y420" s="267"/>
      <c r="Z420" s="267">
        <v>1</v>
      </c>
      <c r="AA420" s="267">
        <v>2</v>
      </c>
      <c r="AB420" s="224">
        <v>3</v>
      </c>
      <c r="AC420" s="267"/>
      <c r="AD420" s="267"/>
      <c r="AE420" s="267">
        <v>1</v>
      </c>
      <c r="AF420" s="267">
        <v>2</v>
      </c>
      <c r="AG420" s="224">
        <v>3</v>
      </c>
      <c r="AH420" s="267"/>
      <c r="AI420" s="267"/>
      <c r="AJ420" s="267">
        <v>1</v>
      </c>
      <c r="AK420" s="267">
        <v>1</v>
      </c>
      <c r="AL420" s="224">
        <v>2</v>
      </c>
      <c r="AM420" s="104">
        <v>8</v>
      </c>
      <c r="AN420" s="103" t="s">
        <v>685</v>
      </c>
      <c r="AO420" s="103" t="s">
        <v>618</v>
      </c>
      <c r="AP420" s="103" t="s">
        <v>1216</v>
      </c>
      <c r="AQ420" s="103" t="s">
        <v>1194</v>
      </c>
      <c r="AR420" s="103" t="s">
        <v>938</v>
      </c>
      <c r="AS420" s="271"/>
      <c r="AT420" s="271"/>
      <c r="AU420" s="271"/>
      <c r="AV420" s="271"/>
      <c r="AW420" s="271"/>
      <c r="AX420" s="271"/>
      <c r="AY420" s="271"/>
      <c r="AZ420" s="271"/>
      <c r="BA420" s="271"/>
      <c r="BB420" s="271"/>
      <c r="BC420" s="271"/>
      <c r="BD420" s="271"/>
      <c r="BE420" s="271"/>
      <c r="BF420" s="271"/>
      <c r="BG420" s="271"/>
      <c r="BH420" s="235">
        <v>0</v>
      </c>
      <c r="BI420" s="271"/>
      <c r="BJ420" s="271"/>
      <c r="BK420" s="271"/>
      <c r="BL420" s="271"/>
      <c r="BM420" s="271">
        <v>15000000</v>
      </c>
      <c r="BN420" s="271"/>
      <c r="BO420" s="271"/>
      <c r="BP420" s="271"/>
      <c r="BQ420" s="271"/>
      <c r="BR420" s="271"/>
      <c r="BS420" s="271"/>
      <c r="BT420" s="271"/>
      <c r="BU420" s="271"/>
      <c r="BV420" s="271"/>
      <c r="BW420" s="271"/>
      <c r="BX420" s="235">
        <v>15000000</v>
      </c>
      <c r="BY420" s="271"/>
      <c r="BZ420" s="271"/>
      <c r="CA420" s="271"/>
      <c r="CB420" s="271"/>
      <c r="CC420" s="271">
        <v>15000000</v>
      </c>
      <c r="CD420" s="271"/>
      <c r="CE420" s="271"/>
      <c r="CF420" s="271"/>
      <c r="CG420" s="271"/>
      <c r="CH420" s="271"/>
      <c r="CI420" s="271"/>
      <c r="CJ420" s="271"/>
      <c r="CK420" s="271"/>
      <c r="CL420" s="271"/>
      <c r="CM420" s="271"/>
      <c r="CN420" s="235">
        <v>15000000</v>
      </c>
      <c r="CO420" s="271"/>
      <c r="CP420" s="271"/>
      <c r="CQ420" s="271"/>
      <c r="CR420" s="271"/>
      <c r="CS420" s="271">
        <v>15000000</v>
      </c>
      <c r="CT420" s="271"/>
      <c r="CU420" s="271"/>
      <c r="CV420" s="271"/>
      <c r="CW420" s="271"/>
      <c r="CX420" s="271"/>
      <c r="CY420" s="271"/>
      <c r="CZ420" s="271"/>
      <c r="DA420" s="271"/>
      <c r="DB420" s="271"/>
      <c r="DC420" s="271"/>
      <c r="DD420" s="234">
        <v>15000000</v>
      </c>
      <c r="DE420" s="244">
        <v>45000000</v>
      </c>
    </row>
    <row r="421" spans="1:109" s="99" customFormat="1" ht="82.05" customHeight="1">
      <c r="A421" s="103" t="s">
        <v>1239</v>
      </c>
      <c r="B421" s="279" t="s">
        <v>9</v>
      </c>
      <c r="C421" s="279" t="s">
        <v>1694</v>
      </c>
      <c r="D421" s="279">
        <v>34</v>
      </c>
      <c r="E421" s="279" t="s">
        <v>1301</v>
      </c>
      <c r="F421" s="280" t="s">
        <v>418</v>
      </c>
      <c r="G421" s="279" t="s">
        <v>3543</v>
      </c>
      <c r="H421" s="279">
        <v>41</v>
      </c>
      <c r="I421" s="279" t="s">
        <v>1302</v>
      </c>
      <c r="J421" s="279" t="s">
        <v>683</v>
      </c>
      <c r="K421" s="279">
        <v>115645</v>
      </c>
      <c r="L421" s="279" t="s">
        <v>1304</v>
      </c>
      <c r="M421" s="279" t="s">
        <v>1306</v>
      </c>
      <c r="N421" s="279" t="s">
        <v>1307</v>
      </c>
      <c r="O421" s="279" t="s">
        <v>1308</v>
      </c>
      <c r="P421" s="283">
        <v>378</v>
      </c>
      <c r="Q421" s="279" t="s">
        <v>3551</v>
      </c>
      <c r="R421" s="279" t="s">
        <v>1315</v>
      </c>
      <c r="S421" s="279" t="s">
        <v>683</v>
      </c>
      <c r="T421" s="279">
        <v>0</v>
      </c>
      <c r="U421" s="267">
        <v>25</v>
      </c>
      <c r="V421" s="267">
        <v>25</v>
      </c>
      <c r="W421" s="224">
        <v>50</v>
      </c>
      <c r="X421" s="267"/>
      <c r="Y421" s="267"/>
      <c r="Z421" s="267"/>
      <c r="AA421" s="267"/>
      <c r="AB421" s="224">
        <v>0</v>
      </c>
      <c r="AC421" s="267"/>
      <c r="AD421" s="267"/>
      <c r="AE421" s="267"/>
      <c r="AF421" s="267"/>
      <c r="AG421" s="224">
        <v>0</v>
      </c>
      <c r="AH421" s="267"/>
      <c r="AI421" s="267"/>
      <c r="AJ421" s="267"/>
      <c r="AK421" s="267"/>
      <c r="AL421" s="224">
        <v>0</v>
      </c>
      <c r="AM421" s="104">
        <v>50</v>
      </c>
      <c r="AN421" s="103" t="s">
        <v>685</v>
      </c>
      <c r="AO421" s="103" t="s">
        <v>618</v>
      </c>
      <c r="AP421" s="103" t="s">
        <v>1216</v>
      </c>
      <c r="AQ421" s="103" t="s">
        <v>1194</v>
      </c>
      <c r="AR421" s="103" t="s">
        <v>938</v>
      </c>
      <c r="AS421" s="271"/>
      <c r="AT421" s="271"/>
      <c r="AU421" s="271"/>
      <c r="AV421" s="271"/>
      <c r="AW421" s="271">
        <v>10000000</v>
      </c>
      <c r="AX421" s="271"/>
      <c r="AY421" s="271"/>
      <c r="AZ421" s="271"/>
      <c r="BA421" s="271"/>
      <c r="BB421" s="271"/>
      <c r="BC421" s="271"/>
      <c r="BD421" s="271"/>
      <c r="BE421" s="271"/>
      <c r="BF421" s="271"/>
      <c r="BG421" s="271"/>
      <c r="BH421" s="235">
        <v>10000000</v>
      </c>
      <c r="BI421" s="271"/>
      <c r="BJ421" s="271"/>
      <c r="BK421" s="271"/>
      <c r="BL421" s="271"/>
      <c r="BM421" s="271"/>
      <c r="BN421" s="271"/>
      <c r="BO421" s="271"/>
      <c r="BP421" s="271"/>
      <c r="BQ421" s="271"/>
      <c r="BR421" s="271"/>
      <c r="BS421" s="271"/>
      <c r="BT421" s="271"/>
      <c r="BU421" s="271"/>
      <c r="BV421" s="271"/>
      <c r="BW421" s="271"/>
      <c r="BX421" s="235">
        <v>0</v>
      </c>
      <c r="BY421" s="271"/>
      <c r="BZ421" s="271"/>
      <c r="CA421" s="271"/>
      <c r="CB421" s="271"/>
      <c r="CC421" s="271"/>
      <c r="CD421" s="271"/>
      <c r="CE421" s="271"/>
      <c r="CF421" s="271"/>
      <c r="CG421" s="271"/>
      <c r="CH421" s="271"/>
      <c r="CI421" s="271"/>
      <c r="CJ421" s="271"/>
      <c r="CK421" s="271"/>
      <c r="CL421" s="271"/>
      <c r="CM421" s="271"/>
      <c r="CN421" s="235">
        <v>0</v>
      </c>
      <c r="CO421" s="271"/>
      <c r="CP421" s="271"/>
      <c r="CQ421" s="271"/>
      <c r="CR421" s="271"/>
      <c r="CS421" s="271"/>
      <c r="CT421" s="271"/>
      <c r="CU421" s="271"/>
      <c r="CV421" s="271"/>
      <c r="CW421" s="271"/>
      <c r="CX421" s="271"/>
      <c r="CY421" s="271"/>
      <c r="CZ421" s="271"/>
      <c r="DA421" s="271"/>
      <c r="DB421" s="271"/>
      <c r="DC421" s="271"/>
      <c r="DD421" s="234">
        <v>0</v>
      </c>
      <c r="DE421" s="244">
        <v>10000000</v>
      </c>
    </row>
    <row r="422" spans="1:109" s="99" customFormat="1" ht="82.05" customHeight="1">
      <c r="A422" s="103" t="s">
        <v>1239</v>
      </c>
      <c r="B422" s="279" t="s">
        <v>9</v>
      </c>
      <c r="C422" s="279" t="s">
        <v>1694</v>
      </c>
      <c r="D422" s="279">
        <v>34</v>
      </c>
      <c r="E422" s="279" t="s">
        <v>1301</v>
      </c>
      <c r="F422" s="280" t="s">
        <v>418</v>
      </c>
      <c r="G422" s="279" t="s">
        <v>3543</v>
      </c>
      <c r="H422" s="279">
        <v>41</v>
      </c>
      <c r="I422" s="279" t="s">
        <v>1302</v>
      </c>
      <c r="J422" s="279" t="s">
        <v>683</v>
      </c>
      <c r="K422" s="279">
        <v>115645</v>
      </c>
      <c r="L422" s="279" t="s">
        <v>1304</v>
      </c>
      <c r="M422" s="279" t="s">
        <v>1306</v>
      </c>
      <c r="N422" s="279" t="s">
        <v>1307</v>
      </c>
      <c r="O422" s="279" t="s">
        <v>1308</v>
      </c>
      <c r="P422" s="283">
        <v>379</v>
      </c>
      <c r="Q422" s="279" t="s">
        <v>3552</v>
      </c>
      <c r="R422" s="279" t="s">
        <v>1316</v>
      </c>
      <c r="S422" s="279" t="s">
        <v>683</v>
      </c>
      <c r="T422" s="279">
        <v>0</v>
      </c>
      <c r="U422" s="267">
        <v>7</v>
      </c>
      <c r="V422" s="267"/>
      <c r="W422" s="224">
        <v>7</v>
      </c>
      <c r="X422" s="267"/>
      <c r="Y422" s="267"/>
      <c r="Z422" s="267"/>
      <c r="AA422" s="267"/>
      <c r="AB422" s="224">
        <v>0</v>
      </c>
      <c r="AC422" s="267"/>
      <c r="AD422" s="267"/>
      <c r="AE422" s="267"/>
      <c r="AF422" s="267"/>
      <c r="AG422" s="224">
        <v>0</v>
      </c>
      <c r="AH422" s="267"/>
      <c r="AI422" s="267"/>
      <c r="AJ422" s="267"/>
      <c r="AK422" s="267"/>
      <c r="AL422" s="224">
        <v>0</v>
      </c>
      <c r="AM422" s="104">
        <v>7</v>
      </c>
      <c r="AN422" s="103" t="s">
        <v>685</v>
      </c>
      <c r="AO422" s="103" t="s">
        <v>618</v>
      </c>
      <c r="AP422" s="103" t="s">
        <v>1216</v>
      </c>
      <c r="AQ422" s="103" t="s">
        <v>1194</v>
      </c>
      <c r="AR422" s="103" t="s">
        <v>938</v>
      </c>
      <c r="AS422" s="271"/>
      <c r="AT422" s="271"/>
      <c r="AU422" s="271"/>
      <c r="AV422" s="271"/>
      <c r="AW422" s="271">
        <v>10000000</v>
      </c>
      <c r="AX422" s="271"/>
      <c r="AY422" s="271"/>
      <c r="AZ422" s="271"/>
      <c r="BA422" s="271"/>
      <c r="BB422" s="271"/>
      <c r="BC422" s="271"/>
      <c r="BD422" s="271"/>
      <c r="BE422" s="271"/>
      <c r="BF422" s="271"/>
      <c r="BG422" s="271"/>
      <c r="BH422" s="235">
        <v>10000000</v>
      </c>
      <c r="BI422" s="271"/>
      <c r="BJ422" s="271"/>
      <c r="BK422" s="271"/>
      <c r="BL422" s="271"/>
      <c r="BM422" s="271"/>
      <c r="BN422" s="271"/>
      <c r="BO422" s="271"/>
      <c r="BP422" s="271"/>
      <c r="BQ422" s="271"/>
      <c r="BR422" s="271"/>
      <c r="BS422" s="271"/>
      <c r="BT422" s="271"/>
      <c r="BU422" s="271"/>
      <c r="BV422" s="271"/>
      <c r="BW422" s="271"/>
      <c r="BX422" s="235">
        <v>0</v>
      </c>
      <c r="BY422" s="271"/>
      <c r="BZ422" s="271"/>
      <c r="CA422" s="271"/>
      <c r="CB422" s="271"/>
      <c r="CC422" s="271"/>
      <c r="CD422" s="271"/>
      <c r="CE422" s="271"/>
      <c r="CF422" s="271"/>
      <c r="CG422" s="271"/>
      <c r="CH422" s="271"/>
      <c r="CI422" s="271"/>
      <c r="CJ422" s="271"/>
      <c r="CK422" s="271"/>
      <c r="CL422" s="271"/>
      <c r="CM422" s="271"/>
      <c r="CN422" s="235">
        <v>0</v>
      </c>
      <c r="CO422" s="271"/>
      <c r="CP422" s="271"/>
      <c r="CQ422" s="271"/>
      <c r="CR422" s="271"/>
      <c r="CS422" s="271"/>
      <c r="CT422" s="271"/>
      <c r="CU422" s="271"/>
      <c r="CV422" s="271"/>
      <c r="CW422" s="271"/>
      <c r="CX422" s="271"/>
      <c r="CY422" s="271"/>
      <c r="CZ422" s="271"/>
      <c r="DA422" s="271"/>
      <c r="DB422" s="271"/>
      <c r="DC422" s="271"/>
      <c r="DD422" s="234">
        <v>0</v>
      </c>
      <c r="DE422" s="244">
        <v>10000000</v>
      </c>
    </row>
    <row r="423" spans="1:109" s="99" customFormat="1" ht="82.05" customHeight="1">
      <c r="A423" s="103" t="s">
        <v>1239</v>
      </c>
      <c r="B423" s="279" t="s">
        <v>9</v>
      </c>
      <c r="C423" s="279" t="s">
        <v>1694</v>
      </c>
      <c r="D423" s="279">
        <v>34</v>
      </c>
      <c r="E423" s="279" t="s">
        <v>1301</v>
      </c>
      <c r="F423" s="280" t="s">
        <v>418</v>
      </c>
      <c r="G423" s="279" t="s">
        <v>3543</v>
      </c>
      <c r="H423" s="279">
        <v>41</v>
      </c>
      <c r="I423" s="279" t="s">
        <v>1302</v>
      </c>
      <c r="J423" s="279" t="s">
        <v>683</v>
      </c>
      <c r="K423" s="279">
        <v>115645</v>
      </c>
      <c r="L423" s="279" t="s">
        <v>1304</v>
      </c>
      <c r="M423" s="279" t="s">
        <v>1317</v>
      </c>
      <c r="N423" s="279" t="s">
        <v>1318</v>
      </c>
      <c r="O423" s="279" t="s">
        <v>1319</v>
      </c>
      <c r="P423" s="283">
        <v>380</v>
      </c>
      <c r="Q423" s="279" t="s">
        <v>3553</v>
      </c>
      <c r="R423" s="279" t="s">
        <v>1320</v>
      </c>
      <c r="S423" s="279" t="s">
        <v>683</v>
      </c>
      <c r="T423" s="104">
        <v>1119</v>
      </c>
      <c r="U423" s="267">
        <v>200</v>
      </c>
      <c r="V423" s="267">
        <v>919</v>
      </c>
      <c r="W423" s="224">
        <v>1119</v>
      </c>
      <c r="X423" s="267">
        <v>280</v>
      </c>
      <c r="Y423" s="267">
        <v>280</v>
      </c>
      <c r="Z423" s="267">
        <v>280</v>
      </c>
      <c r="AA423" s="267">
        <v>279</v>
      </c>
      <c r="AB423" s="224">
        <v>1119</v>
      </c>
      <c r="AC423" s="267">
        <v>280</v>
      </c>
      <c r="AD423" s="267">
        <v>280</v>
      </c>
      <c r="AE423" s="267">
        <v>280</v>
      </c>
      <c r="AF423" s="267">
        <v>279</v>
      </c>
      <c r="AG423" s="224">
        <v>1119</v>
      </c>
      <c r="AH423" s="267">
        <v>280</v>
      </c>
      <c r="AI423" s="267">
        <v>280</v>
      </c>
      <c r="AJ423" s="267">
        <v>280</v>
      </c>
      <c r="AK423" s="267">
        <v>279</v>
      </c>
      <c r="AL423" s="224">
        <v>1119</v>
      </c>
      <c r="AM423" s="104">
        <v>1119</v>
      </c>
      <c r="AN423" s="103" t="s">
        <v>686</v>
      </c>
      <c r="AO423" s="103" t="s">
        <v>618</v>
      </c>
      <c r="AP423" s="103" t="s">
        <v>1216</v>
      </c>
      <c r="AQ423" s="103" t="s">
        <v>1194</v>
      </c>
      <c r="AR423" s="103" t="s">
        <v>938</v>
      </c>
      <c r="AS423" s="271"/>
      <c r="AT423" s="271"/>
      <c r="AU423" s="271"/>
      <c r="AV423" s="271"/>
      <c r="AW423" s="271">
        <v>130000000</v>
      </c>
      <c r="AX423" s="271"/>
      <c r="AY423" s="271"/>
      <c r="AZ423" s="271"/>
      <c r="BA423" s="271"/>
      <c r="BB423" s="271"/>
      <c r="BC423" s="271"/>
      <c r="BD423" s="271"/>
      <c r="BE423" s="271"/>
      <c r="BF423" s="271"/>
      <c r="BG423" s="271"/>
      <c r="BH423" s="235">
        <v>130000000</v>
      </c>
      <c r="BI423" s="271"/>
      <c r="BJ423" s="271"/>
      <c r="BK423" s="271"/>
      <c r="BL423" s="271"/>
      <c r="BM423" s="271">
        <v>130000000</v>
      </c>
      <c r="BN423" s="271"/>
      <c r="BO423" s="271"/>
      <c r="BP423" s="271"/>
      <c r="BQ423" s="271"/>
      <c r="BR423" s="271"/>
      <c r="BS423" s="271"/>
      <c r="BT423" s="271"/>
      <c r="BU423" s="271"/>
      <c r="BV423" s="271"/>
      <c r="BW423" s="271"/>
      <c r="BX423" s="235">
        <v>130000000</v>
      </c>
      <c r="BY423" s="271"/>
      <c r="BZ423" s="271"/>
      <c r="CA423" s="271"/>
      <c r="CB423" s="271"/>
      <c r="CC423" s="271">
        <v>140000000</v>
      </c>
      <c r="CD423" s="271"/>
      <c r="CE423" s="271"/>
      <c r="CF423" s="271"/>
      <c r="CG423" s="271"/>
      <c r="CH423" s="271"/>
      <c r="CI423" s="271"/>
      <c r="CJ423" s="271"/>
      <c r="CK423" s="271"/>
      <c r="CL423" s="271"/>
      <c r="CM423" s="271"/>
      <c r="CN423" s="235">
        <v>140000000</v>
      </c>
      <c r="CO423" s="271"/>
      <c r="CP423" s="271"/>
      <c r="CQ423" s="271"/>
      <c r="CR423" s="271"/>
      <c r="CS423" s="271">
        <v>140000000</v>
      </c>
      <c r="CT423" s="271"/>
      <c r="CU423" s="271"/>
      <c r="CV423" s="271"/>
      <c r="CW423" s="271"/>
      <c r="CX423" s="271"/>
      <c r="CY423" s="271"/>
      <c r="CZ423" s="271"/>
      <c r="DA423" s="271"/>
      <c r="DB423" s="271"/>
      <c r="DC423" s="271"/>
      <c r="DD423" s="234">
        <v>140000000</v>
      </c>
      <c r="DE423" s="244">
        <v>540000000</v>
      </c>
    </row>
    <row r="424" spans="1:109" s="99" customFormat="1" ht="82.05" customHeight="1">
      <c r="A424" s="103" t="s">
        <v>1239</v>
      </c>
      <c r="B424" s="279" t="s">
        <v>9</v>
      </c>
      <c r="C424" s="279" t="s">
        <v>1694</v>
      </c>
      <c r="D424" s="279">
        <v>34</v>
      </c>
      <c r="E424" s="279" t="s">
        <v>1301</v>
      </c>
      <c r="F424" s="280" t="s">
        <v>418</v>
      </c>
      <c r="G424" s="279" t="s">
        <v>3543</v>
      </c>
      <c r="H424" s="279">
        <v>41</v>
      </c>
      <c r="I424" s="279" t="s">
        <v>1302</v>
      </c>
      <c r="J424" s="279" t="s">
        <v>683</v>
      </c>
      <c r="K424" s="279">
        <v>115645</v>
      </c>
      <c r="L424" s="279" t="s">
        <v>1304</v>
      </c>
      <c r="M424" s="279" t="s">
        <v>1317</v>
      </c>
      <c r="N424" s="279" t="s">
        <v>1318</v>
      </c>
      <c r="O424" s="279" t="s">
        <v>1319</v>
      </c>
      <c r="P424" s="283">
        <v>381</v>
      </c>
      <c r="Q424" s="279" t="s">
        <v>3554</v>
      </c>
      <c r="R424" s="279" t="s">
        <v>1320</v>
      </c>
      <c r="S424" s="279" t="s">
        <v>683</v>
      </c>
      <c r="T424" s="104">
        <v>1119</v>
      </c>
      <c r="U424" s="267"/>
      <c r="V424" s="267"/>
      <c r="W424" s="224">
        <v>0</v>
      </c>
      <c r="X424" s="267">
        <v>32</v>
      </c>
      <c r="Y424" s="267">
        <v>32</v>
      </c>
      <c r="Z424" s="267">
        <v>32</v>
      </c>
      <c r="AA424" s="267">
        <v>31</v>
      </c>
      <c r="AB424" s="224">
        <v>127</v>
      </c>
      <c r="AC424" s="267">
        <v>32</v>
      </c>
      <c r="AD424" s="267">
        <v>32</v>
      </c>
      <c r="AE424" s="267">
        <v>32</v>
      </c>
      <c r="AF424" s="267">
        <v>31</v>
      </c>
      <c r="AG424" s="224">
        <v>127</v>
      </c>
      <c r="AH424" s="267">
        <v>32</v>
      </c>
      <c r="AI424" s="267">
        <v>32</v>
      </c>
      <c r="AJ424" s="267">
        <v>32</v>
      </c>
      <c r="AK424" s="267">
        <v>31</v>
      </c>
      <c r="AL424" s="224">
        <v>127</v>
      </c>
      <c r="AM424" s="104">
        <v>381</v>
      </c>
      <c r="AN424" s="103" t="s">
        <v>685</v>
      </c>
      <c r="AO424" s="103" t="s">
        <v>618</v>
      </c>
      <c r="AP424" s="103" t="s">
        <v>1216</v>
      </c>
      <c r="AQ424" s="103" t="s">
        <v>1194</v>
      </c>
      <c r="AR424" s="103" t="s">
        <v>938</v>
      </c>
      <c r="AS424" s="271"/>
      <c r="AT424" s="271"/>
      <c r="AU424" s="271"/>
      <c r="AV424" s="271"/>
      <c r="AW424" s="271"/>
      <c r="AX424" s="271"/>
      <c r="AY424" s="271"/>
      <c r="AZ424" s="271"/>
      <c r="BA424" s="271"/>
      <c r="BB424" s="271"/>
      <c r="BC424" s="271"/>
      <c r="BD424" s="271"/>
      <c r="BE424" s="271"/>
      <c r="BF424" s="271"/>
      <c r="BG424" s="271"/>
      <c r="BH424" s="235">
        <v>0</v>
      </c>
      <c r="BI424" s="271"/>
      <c r="BJ424" s="271"/>
      <c r="BK424" s="271"/>
      <c r="BL424" s="271"/>
      <c r="BM424" s="271">
        <v>40000000</v>
      </c>
      <c r="BN424" s="271"/>
      <c r="BO424" s="271"/>
      <c r="BP424" s="271"/>
      <c r="BQ424" s="271"/>
      <c r="BR424" s="271"/>
      <c r="BS424" s="271"/>
      <c r="BT424" s="271"/>
      <c r="BU424" s="271"/>
      <c r="BV424" s="271"/>
      <c r="BW424" s="271"/>
      <c r="BX424" s="235">
        <v>40000000</v>
      </c>
      <c r="BY424" s="271"/>
      <c r="BZ424" s="271"/>
      <c r="CA424" s="271"/>
      <c r="CB424" s="271"/>
      <c r="CC424" s="271">
        <v>40000000</v>
      </c>
      <c r="CD424" s="271"/>
      <c r="CE424" s="271"/>
      <c r="CF424" s="271"/>
      <c r="CG424" s="271"/>
      <c r="CH424" s="271"/>
      <c r="CI424" s="271"/>
      <c r="CJ424" s="271"/>
      <c r="CK424" s="271"/>
      <c r="CL424" s="271"/>
      <c r="CM424" s="271"/>
      <c r="CN424" s="235">
        <v>40000000</v>
      </c>
      <c r="CO424" s="271"/>
      <c r="CP424" s="271"/>
      <c r="CQ424" s="271"/>
      <c r="CR424" s="271"/>
      <c r="CS424" s="271">
        <v>40000000</v>
      </c>
      <c r="CT424" s="271"/>
      <c r="CU424" s="271"/>
      <c r="CV424" s="271"/>
      <c r="CW424" s="271"/>
      <c r="CX424" s="271"/>
      <c r="CY424" s="271"/>
      <c r="CZ424" s="271"/>
      <c r="DA424" s="271"/>
      <c r="DB424" s="271"/>
      <c r="DC424" s="271"/>
      <c r="DD424" s="234">
        <v>40000000</v>
      </c>
      <c r="DE424" s="244">
        <v>120000000</v>
      </c>
    </row>
    <row r="425" spans="1:109" s="99" customFormat="1" ht="82.05" customHeight="1">
      <c r="A425" s="103" t="s">
        <v>1239</v>
      </c>
      <c r="B425" s="279" t="s">
        <v>9</v>
      </c>
      <c r="C425" s="279" t="s">
        <v>1694</v>
      </c>
      <c r="D425" s="279">
        <v>34</v>
      </c>
      <c r="E425" s="279" t="s">
        <v>1301</v>
      </c>
      <c r="F425" s="280" t="s">
        <v>418</v>
      </c>
      <c r="G425" s="279" t="s">
        <v>3543</v>
      </c>
      <c r="H425" s="279">
        <v>41</v>
      </c>
      <c r="I425" s="279" t="s">
        <v>1302</v>
      </c>
      <c r="J425" s="279" t="s">
        <v>683</v>
      </c>
      <c r="K425" s="279">
        <v>115645</v>
      </c>
      <c r="L425" s="279" t="s">
        <v>1304</v>
      </c>
      <c r="M425" s="279" t="s">
        <v>1317</v>
      </c>
      <c r="N425" s="279" t="s">
        <v>1318</v>
      </c>
      <c r="O425" s="279" t="s">
        <v>1319</v>
      </c>
      <c r="P425" s="283">
        <v>382</v>
      </c>
      <c r="Q425" s="279" t="s">
        <v>3555</v>
      </c>
      <c r="R425" s="279" t="s">
        <v>1321</v>
      </c>
      <c r="S425" s="279" t="s">
        <v>683</v>
      </c>
      <c r="T425" s="279">
        <v>0</v>
      </c>
      <c r="U425" s="267"/>
      <c r="V425" s="267">
        <v>100</v>
      </c>
      <c r="W425" s="224">
        <v>100</v>
      </c>
      <c r="X425" s="267"/>
      <c r="Y425" s="267"/>
      <c r="Z425" s="267"/>
      <c r="AA425" s="267">
        <v>300</v>
      </c>
      <c r="AB425" s="224">
        <v>300</v>
      </c>
      <c r="AC425" s="267"/>
      <c r="AD425" s="267"/>
      <c r="AE425" s="267"/>
      <c r="AF425" s="267">
        <v>200</v>
      </c>
      <c r="AG425" s="224">
        <v>200</v>
      </c>
      <c r="AH425" s="267"/>
      <c r="AI425" s="267"/>
      <c r="AJ425" s="267"/>
      <c r="AK425" s="267">
        <v>200</v>
      </c>
      <c r="AL425" s="224">
        <v>200</v>
      </c>
      <c r="AM425" s="104">
        <v>800</v>
      </c>
      <c r="AN425" s="103" t="s">
        <v>685</v>
      </c>
      <c r="AO425" s="103" t="s">
        <v>618</v>
      </c>
      <c r="AP425" s="103" t="s">
        <v>1216</v>
      </c>
      <c r="AQ425" s="103" t="s">
        <v>1194</v>
      </c>
      <c r="AR425" s="103" t="s">
        <v>938</v>
      </c>
      <c r="AS425" s="271"/>
      <c r="AT425" s="271"/>
      <c r="AU425" s="271"/>
      <c r="AV425" s="271"/>
      <c r="AW425" s="271">
        <v>10000000</v>
      </c>
      <c r="AX425" s="271"/>
      <c r="AY425" s="271"/>
      <c r="AZ425" s="271"/>
      <c r="BA425" s="271"/>
      <c r="BB425" s="271"/>
      <c r="BC425" s="271"/>
      <c r="BD425" s="271"/>
      <c r="BE425" s="271"/>
      <c r="BF425" s="271"/>
      <c r="BG425" s="271"/>
      <c r="BH425" s="235">
        <v>10000000</v>
      </c>
      <c r="BI425" s="271"/>
      <c r="BJ425" s="271"/>
      <c r="BK425" s="271"/>
      <c r="BL425" s="271"/>
      <c r="BM425" s="271">
        <v>30000000</v>
      </c>
      <c r="BN425" s="271"/>
      <c r="BO425" s="271"/>
      <c r="BP425" s="271"/>
      <c r="BQ425" s="271"/>
      <c r="BR425" s="271"/>
      <c r="BS425" s="271"/>
      <c r="BT425" s="271"/>
      <c r="BU425" s="271"/>
      <c r="BV425" s="271"/>
      <c r="BW425" s="271"/>
      <c r="BX425" s="235">
        <v>30000000</v>
      </c>
      <c r="BY425" s="271"/>
      <c r="BZ425" s="271"/>
      <c r="CA425" s="271"/>
      <c r="CB425" s="271"/>
      <c r="CC425" s="271">
        <v>30000000</v>
      </c>
      <c r="CD425" s="271"/>
      <c r="CE425" s="271"/>
      <c r="CF425" s="271"/>
      <c r="CG425" s="271"/>
      <c r="CH425" s="271"/>
      <c r="CI425" s="271"/>
      <c r="CJ425" s="271"/>
      <c r="CK425" s="271"/>
      <c r="CL425" s="271"/>
      <c r="CM425" s="271"/>
      <c r="CN425" s="235">
        <v>30000000</v>
      </c>
      <c r="CO425" s="271"/>
      <c r="CP425" s="271"/>
      <c r="CQ425" s="271"/>
      <c r="CR425" s="271"/>
      <c r="CS425" s="271">
        <v>30000000</v>
      </c>
      <c r="CT425" s="271"/>
      <c r="CU425" s="271"/>
      <c r="CV425" s="271"/>
      <c r="CW425" s="271"/>
      <c r="CX425" s="271"/>
      <c r="CY425" s="271"/>
      <c r="CZ425" s="271"/>
      <c r="DA425" s="271"/>
      <c r="DB425" s="271"/>
      <c r="DC425" s="271"/>
      <c r="DD425" s="234">
        <v>30000000</v>
      </c>
      <c r="DE425" s="244">
        <v>100000000</v>
      </c>
    </row>
    <row r="426" spans="1:109" s="99" customFormat="1" ht="82.05" customHeight="1">
      <c r="A426" s="103" t="s">
        <v>1239</v>
      </c>
      <c r="B426" s="279" t="s">
        <v>9</v>
      </c>
      <c r="C426" s="279" t="s">
        <v>1694</v>
      </c>
      <c r="D426" s="279">
        <v>34</v>
      </c>
      <c r="E426" s="279" t="s">
        <v>1301</v>
      </c>
      <c r="F426" s="280" t="s">
        <v>418</v>
      </c>
      <c r="G426" s="279" t="s">
        <v>3543</v>
      </c>
      <c r="H426" s="279">
        <v>41</v>
      </c>
      <c r="I426" s="279" t="s">
        <v>1302</v>
      </c>
      <c r="J426" s="279" t="s">
        <v>683</v>
      </c>
      <c r="K426" s="279">
        <v>115645</v>
      </c>
      <c r="L426" s="279" t="s">
        <v>1304</v>
      </c>
      <c r="M426" s="279" t="s">
        <v>1317</v>
      </c>
      <c r="N426" s="279" t="s">
        <v>1318</v>
      </c>
      <c r="O426" s="279" t="s">
        <v>1319</v>
      </c>
      <c r="P426" s="283">
        <v>383</v>
      </c>
      <c r="Q426" s="279" t="s">
        <v>3556</v>
      </c>
      <c r="R426" s="279" t="s">
        <v>1322</v>
      </c>
      <c r="S426" s="279" t="s">
        <v>683</v>
      </c>
      <c r="T426" s="279">
        <v>0</v>
      </c>
      <c r="U426" s="267">
        <v>15</v>
      </c>
      <c r="V426" s="267">
        <v>15</v>
      </c>
      <c r="W426" s="224">
        <v>30</v>
      </c>
      <c r="X426" s="267"/>
      <c r="Y426" s="267"/>
      <c r="Z426" s="267"/>
      <c r="AA426" s="267"/>
      <c r="AB426" s="224">
        <v>0</v>
      </c>
      <c r="AC426" s="267"/>
      <c r="AD426" s="267"/>
      <c r="AE426" s="267"/>
      <c r="AF426" s="267"/>
      <c r="AG426" s="224">
        <v>0</v>
      </c>
      <c r="AH426" s="267"/>
      <c r="AI426" s="267"/>
      <c r="AJ426" s="267"/>
      <c r="AK426" s="267"/>
      <c r="AL426" s="224">
        <v>0</v>
      </c>
      <c r="AM426" s="104">
        <v>30</v>
      </c>
      <c r="AN426" s="103" t="s">
        <v>685</v>
      </c>
      <c r="AO426" s="103" t="s">
        <v>618</v>
      </c>
      <c r="AP426" s="103" t="s">
        <v>1216</v>
      </c>
      <c r="AQ426" s="103" t="s">
        <v>1194</v>
      </c>
      <c r="AR426" s="103" t="s">
        <v>938</v>
      </c>
      <c r="AS426" s="271"/>
      <c r="AT426" s="271"/>
      <c r="AU426" s="271"/>
      <c r="AV426" s="271"/>
      <c r="AW426" s="271">
        <v>20000000</v>
      </c>
      <c r="AX426" s="271"/>
      <c r="AY426" s="271"/>
      <c r="AZ426" s="271"/>
      <c r="BA426" s="271"/>
      <c r="BB426" s="271"/>
      <c r="BC426" s="271"/>
      <c r="BD426" s="271"/>
      <c r="BE426" s="271"/>
      <c r="BF426" s="271"/>
      <c r="BG426" s="271"/>
      <c r="BH426" s="235">
        <v>20000000</v>
      </c>
      <c r="BI426" s="271"/>
      <c r="BJ426" s="271"/>
      <c r="BK426" s="271"/>
      <c r="BL426" s="271"/>
      <c r="BM426" s="271"/>
      <c r="BN426" s="271"/>
      <c r="BO426" s="271"/>
      <c r="BP426" s="271"/>
      <c r="BQ426" s="271"/>
      <c r="BR426" s="271"/>
      <c r="BS426" s="271"/>
      <c r="BT426" s="271"/>
      <c r="BU426" s="271"/>
      <c r="BV426" s="271"/>
      <c r="BW426" s="271"/>
      <c r="BX426" s="235">
        <v>0</v>
      </c>
      <c r="BY426" s="271"/>
      <c r="BZ426" s="271"/>
      <c r="CA426" s="271"/>
      <c r="CB426" s="271"/>
      <c r="CC426" s="271"/>
      <c r="CD426" s="271"/>
      <c r="CE426" s="271"/>
      <c r="CF426" s="271"/>
      <c r="CG426" s="271"/>
      <c r="CH426" s="271"/>
      <c r="CI426" s="271"/>
      <c r="CJ426" s="271"/>
      <c r="CK426" s="271"/>
      <c r="CL426" s="271"/>
      <c r="CM426" s="271"/>
      <c r="CN426" s="235">
        <v>0</v>
      </c>
      <c r="CO426" s="271"/>
      <c r="CP426" s="271"/>
      <c r="CQ426" s="271"/>
      <c r="CR426" s="271"/>
      <c r="CS426" s="271"/>
      <c r="CT426" s="271"/>
      <c r="CU426" s="271"/>
      <c r="CV426" s="271"/>
      <c r="CW426" s="271"/>
      <c r="CX426" s="271"/>
      <c r="CY426" s="271"/>
      <c r="CZ426" s="271"/>
      <c r="DA426" s="271"/>
      <c r="DB426" s="271"/>
      <c r="DC426" s="271"/>
      <c r="DD426" s="234">
        <v>0</v>
      </c>
      <c r="DE426" s="244">
        <v>20000000</v>
      </c>
    </row>
    <row r="427" spans="1:109" s="99" customFormat="1" ht="82.05" customHeight="1">
      <c r="A427" s="103" t="s">
        <v>1239</v>
      </c>
      <c r="B427" s="279" t="s">
        <v>9</v>
      </c>
      <c r="C427" s="279" t="s">
        <v>1694</v>
      </c>
      <c r="D427" s="279">
        <v>34</v>
      </c>
      <c r="E427" s="279" t="s">
        <v>1301</v>
      </c>
      <c r="F427" s="280" t="s">
        <v>418</v>
      </c>
      <c r="G427" s="279" t="s">
        <v>3543</v>
      </c>
      <c r="H427" s="279">
        <v>41</v>
      </c>
      <c r="I427" s="279" t="s">
        <v>1302</v>
      </c>
      <c r="J427" s="279" t="s">
        <v>683</v>
      </c>
      <c r="K427" s="279">
        <v>115645</v>
      </c>
      <c r="L427" s="279" t="s">
        <v>1304</v>
      </c>
      <c r="M427" s="279" t="s">
        <v>1323</v>
      </c>
      <c r="N427" s="279" t="s">
        <v>1324</v>
      </c>
      <c r="O427" s="279" t="s">
        <v>419</v>
      </c>
      <c r="P427" s="283">
        <v>384</v>
      </c>
      <c r="Q427" s="279" t="s">
        <v>3557</v>
      </c>
      <c r="R427" s="279" t="s">
        <v>1325</v>
      </c>
      <c r="S427" s="279" t="s">
        <v>683</v>
      </c>
      <c r="T427" s="104">
        <v>1200</v>
      </c>
      <c r="U427" s="267"/>
      <c r="V427" s="267">
        <v>100</v>
      </c>
      <c r="W427" s="224">
        <v>100</v>
      </c>
      <c r="X427" s="267"/>
      <c r="Y427" s="267"/>
      <c r="Z427" s="267"/>
      <c r="AA427" s="267">
        <v>200</v>
      </c>
      <c r="AB427" s="224">
        <v>200</v>
      </c>
      <c r="AC427" s="267"/>
      <c r="AD427" s="267"/>
      <c r="AE427" s="267"/>
      <c r="AF427" s="267">
        <v>200</v>
      </c>
      <c r="AG427" s="224">
        <v>200</v>
      </c>
      <c r="AH427" s="267"/>
      <c r="AI427" s="267"/>
      <c r="AJ427" s="267"/>
      <c r="AK427" s="267">
        <v>300</v>
      </c>
      <c r="AL427" s="224">
        <v>300</v>
      </c>
      <c r="AM427" s="104">
        <v>800</v>
      </c>
      <c r="AN427" s="103" t="s">
        <v>685</v>
      </c>
      <c r="AO427" s="103" t="s">
        <v>618</v>
      </c>
      <c r="AP427" s="103" t="s">
        <v>1216</v>
      </c>
      <c r="AQ427" s="103" t="s">
        <v>1194</v>
      </c>
      <c r="AR427" s="103" t="s">
        <v>938</v>
      </c>
      <c r="AS427" s="271"/>
      <c r="AT427" s="271"/>
      <c r="AU427" s="271"/>
      <c r="AV427" s="271"/>
      <c r="AW427" s="271">
        <v>100000000</v>
      </c>
      <c r="AX427" s="271"/>
      <c r="AY427" s="271"/>
      <c r="AZ427" s="271"/>
      <c r="BA427" s="271"/>
      <c r="BB427" s="271"/>
      <c r="BC427" s="271"/>
      <c r="BD427" s="271"/>
      <c r="BE427" s="271"/>
      <c r="BF427" s="271"/>
      <c r="BG427" s="271"/>
      <c r="BH427" s="235">
        <v>100000000</v>
      </c>
      <c r="BI427" s="271"/>
      <c r="BJ427" s="271"/>
      <c r="BK427" s="271"/>
      <c r="BL427" s="271"/>
      <c r="BM427" s="271">
        <v>75000000</v>
      </c>
      <c r="BN427" s="271"/>
      <c r="BO427" s="271"/>
      <c r="BP427" s="271"/>
      <c r="BQ427" s="271"/>
      <c r="BR427" s="271"/>
      <c r="BS427" s="271"/>
      <c r="BT427" s="271"/>
      <c r="BU427" s="271"/>
      <c r="BV427" s="271"/>
      <c r="BW427" s="271"/>
      <c r="BX427" s="235">
        <v>75000000</v>
      </c>
      <c r="BY427" s="271"/>
      <c r="BZ427" s="271"/>
      <c r="CA427" s="271"/>
      <c r="CB427" s="271"/>
      <c r="CC427" s="271">
        <v>75000000</v>
      </c>
      <c r="CD427" s="271"/>
      <c r="CE427" s="271"/>
      <c r="CF427" s="271"/>
      <c r="CG427" s="271"/>
      <c r="CH427" s="271"/>
      <c r="CI427" s="271"/>
      <c r="CJ427" s="271"/>
      <c r="CK427" s="271"/>
      <c r="CL427" s="271"/>
      <c r="CM427" s="271"/>
      <c r="CN427" s="235">
        <v>75000000</v>
      </c>
      <c r="CO427" s="271"/>
      <c r="CP427" s="271"/>
      <c r="CQ427" s="271"/>
      <c r="CR427" s="271"/>
      <c r="CS427" s="271">
        <v>75000000</v>
      </c>
      <c r="CT427" s="271"/>
      <c r="CU427" s="271"/>
      <c r="CV427" s="271"/>
      <c r="CW427" s="271"/>
      <c r="CX427" s="271"/>
      <c r="CY427" s="271"/>
      <c r="CZ427" s="271"/>
      <c r="DA427" s="271"/>
      <c r="DB427" s="271"/>
      <c r="DC427" s="271"/>
      <c r="DD427" s="234">
        <v>75000000</v>
      </c>
      <c r="DE427" s="244">
        <v>325000000</v>
      </c>
    </row>
    <row r="428" spans="1:109" s="99" customFormat="1" ht="82.05" customHeight="1">
      <c r="A428" s="103" t="s">
        <v>1239</v>
      </c>
      <c r="B428" s="279" t="s">
        <v>9</v>
      </c>
      <c r="C428" s="279" t="s">
        <v>1694</v>
      </c>
      <c r="D428" s="279">
        <v>34</v>
      </c>
      <c r="E428" s="279" t="s">
        <v>1301</v>
      </c>
      <c r="F428" s="280" t="s">
        <v>418</v>
      </c>
      <c r="G428" s="279" t="s">
        <v>3543</v>
      </c>
      <c r="H428" s="279">
        <v>41</v>
      </c>
      <c r="I428" s="279" t="s">
        <v>1302</v>
      </c>
      <c r="J428" s="279" t="s">
        <v>683</v>
      </c>
      <c r="K428" s="279">
        <v>115645</v>
      </c>
      <c r="L428" s="279" t="s">
        <v>1304</v>
      </c>
      <c r="M428" s="279" t="s">
        <v>1323</v>
      </c>
      <c r="N428" s="279" t="s">
        <v>1324</v>
      </c>
      <c r="O428" s="279" t="s">
        <v>419</v>
      </c>
      <c r="P428" s="283">
        <v>385</v>
      </c>
      <c r="Q428" s="279" t="s">
        <v>3558</v>
      </c>
      <c r="R428" s="279" t="s">
        <v>1326</v>
      </c>
      <c r="S428" s="279" t="s">
        <v>683</v>
      </c>
      <c r="T428" s="279">
        <v>0</v>
      </c>
      <c r="U428" s="267">
        <v>5</v>
      </c>
      <c r="V428" s="267"/>
      <c r="W428" s="224">
        <v>5</v>
      </c>
      <c r="X428" s="267"/>
      <c r="Y428" s="267">
        <v>4</v>
      </c>
      <c r="Z428" s="267">
        <v>4</v>
      </c>
      <c r="AA428" s="267">
        <v>4</v>
      </c>
      <c r="AB428" s="224">
        <v>12</v>
      </c>
      <c r="AC428" s="267"/>
      <c r="AD428" s="267">
        <v>4</v>
      </c>
      <c r="AE428" s="267">
        <v>4</v>
      </c>
      <c r="AF428" s="267">
        <v>3</v>
      </c>
      <c r="AG428" s="224">
        <v>11</v>
      </c>
      <c r="AH428" s="267"/>
      <c r="AI428" s="267">
        <v>4</v>
      </c>
      <c r="AJ428" s="267">
        <v>4</v>
      </c>
      <c r="AK428" s="267">
        <v>4</v>
      </c>
      <c r="AL428" s="224">
        <v>12</v>
      </c>
      <c r="AM428" s="104">
        <v>40</v>
      </c>
      <c r="AN428" s="103" t="s">
        <v>685</v>
      </c>
      <c r="AO428" s="103" t="s">
        <v>618</v>
      </c>
      <c r="AP428" s="103" t="s">
        <v>1216</v>
      </c>
      <c r="AQ428" s="103" t="s">
        <v>1194</v>
      </c>
      <c r="AR428" s="103" t="s">
        <v>938</v>
      </c>
      <c r="AS428" s="271"/>
      <c r="AT428" s="271"/>
      <c r="AU428" s="271"/>
      <c r="AV428" s="271"/>
      <c r="AW428" s="271">
        <v>54773665</v>
      </c>
      <c r="AX428" s="271"/>
      <c r="AY428" s="271"/>
      <c r="AZ428" s="271"/>
      <c r="BA428" s="271"/>
      <c r="BB428" s="271"/>
      <c r="BC428" s="271"/>
      <c r="BD428" s="271"/>
      <c r="BE428" s="271"/>
      <c r="BF428" s="271"/>
      <c r="BG428" s="271"/>
      <c r="BH428" s="235">
        <v>54773665</v>
      </c>
      <c r="BI428" s="271"/>
      <c r="BJ428" s="271"/>
      <c r="BK428" s="271"/>
      <c r="BL428" s="271"/>
      <c r="BM428" s="271">
        <v>30000000</v>
      </c>
      <c r="BN428" s="271"/>
      <c r="BO428" s="271"/>
      <c r="BP428" s="271"/>
      <c r="BQ428" s="271"/>
      <c r="BR428" s="271"/>
      <c r="BS428" s="271"/>
      <c r="BT428" s="271"/>
      <c r="BU428" s="271"/>
      <c r="BV428" s="271"/>
      <c r="BW428" s="271"/>
      <c r="BX428" s="235">
        <v>30000000</v>
      </c>
      <c r="BY428" s="271"/>
      <c r="BZ428" s="271"/>
      <c r="CA428" s="271"/>
      <c r="CB428" s="271"/>
      <c r="CC428" s="271">
        <v>30000000</v>
      </c>
      <c r="CD428" s="271"/>
      <c r="CE428" s="271"/>
      <c r="CF428" s="271"/>
      <c r="CG428" s="271"/>
      <c r="CH428" s="271"/>
      <c r="CI428" s="271"/>
      <c r="CJ428" s="271"/>
      <c r="CK428" s="271"/>
      <c r="CL428" s="271"/>
      <c r="CM428" s="271"/>
      <c r="CN428" s="235">
        <v>30000000</v>
      </c>
      <c r="CO428" s="271"/>
      <c r="CP428" s="271"/>
      <c r="CQ428" s="271"/>
      <c r="CR428" s="271"/>
      <c r="CS428" s="271">
        <v>30000000</v>
      </c>
      <c r="CT428" s="271"/>
      <c r="CU428" s="271"/>
      <c r="CV428" s="271"/>
      <c r="CW428" s="271"/>
      <c r="CX428" s="271"/>
      <c r="CY428" s="271"/>
      <c r="CZ428" s="271"/>
      <c r="DA428" s="271"/>
      <c r="DB428" s="271"/>
      <c r="DC428" s="271"/>
      <c r="DD428" s="234">
        <v>30000000</v>
      </c>
      <c r="DE428" s="244">
        <v>144773665</v>
      </c>
    </row>
    <row r="429" spans="1:109" s="99" customFormat="1" ht="82.05" customHeight="1">
      <c r="A429" s="103" t="s">
        <v>1239</v>
      </c>
      <c r="B429" s="279" t="s">
        <v>9</v>
      </c>
      <c r="C429" s="279" t="s">
        <v>1694</v>
      </c>
      <c r="D429" s="279">
        <v>34</v>
      </c>
      <c r="E429" s="279" t="s">
        <v>1301</v>
      </c>
      <c r="F429" s="280" t="s">
        <v>418</v>
      </c>
      <c r="G429" s="279" t="s">
        <v>3543</v>
      </c>
      <c r="H429" s="279">
        <v>41</v>
      </c>
      <c r="I429" s="279" t="s">
        <v>1302</v>
      </c>
      <c r="J429" s="279" t="s">
        <v>683</v>
      </c>
      <c r="K429" s="279">
        <v>115645</v>
      </c>
      <c r="L429" s="279" t="s">
        <v>1304</v>
      </c>
      <c r="M429" s="279" t="s">
        <v>1323</v>
      </c>
      <c r="N429" s="279" t="s">
        <v>1324</v>
      </c>
      <c r="O429" s="279" t="s">
        <v>419</v>
      </c>
      <c r="P429" s="283">
        <v>386</v>
      </c>
      <c r="Q429" s="279" t="s">
        <v>3559</v>
      </c>
      <c r="R429" s="279" t="s">
        <v>1327</v>
      </c>
      <c r="S429" s="279" t="s">
        <v>683</v>
      </c>
      <c r="T429" s="279">
        <v>5</v>
      </c>
      <c r="U429" s="267">
        <v>1</v>
      </c>
      <c r="V429" s="267">
        <v>1</v>
      </c>
      <c r="W429" s="224">
        <v>2</v>
      </c>
      <c r="X429" s="267"/>
      <c r="Y429" s="267">
        <v>1</v>
      </c>
      <c r="Z429" s="267">
        <v>1</v>
      </c>
      <c r="AA429" s="267"/>
      <c r="AB429" s="224">
        <v>2</v>
      </c>
      <c r="AC429" s="267"/>
      <c r="AD429" s="267">
        <v>1</v>
      </c>
      <c r="AE429" s="267">
        <v>1</v>
      </c>
      <c r="AF429" s="267"/>
      <c r="AG429" s="224">
        <v>2</v>
      </c>
      <c r="AH429" s="267"/>
      <c r="AI429" s="267">
        <v>1</v>
      </c>
      <c r="AJ429" s="267">
        <v>1</v>
      </c>
      <c r="AK429" s="267"/>
      <c r="AL429" s="224">
        <v>2</v>
      </c>
      <c r="AM429" s="104">
        <v>8</v>
      </c>
      <c r="AN429" s="103" t="s">
        <v>685</v>
      </c>
      <c r="AO429" s="103" t="s">
        <v>618</v>
      </c>
      <c r="AP429" s="103" t="s">
        <v>1216</v>
      </c>
      <c r="AQ429" s="103" t="s">
        <v>1194</v>
      </c>
      <c r="AR429" s="103" t="s">
        <v>938</v>
      </c>
      <c r="AS429" s="271"/>
      <c r="AT429" s="271"/>
      <c r="AU429" s="271"/>
      <c r="AV429" s="271"/>
      <c r="AW429" s="271">
        <v>105179994</v>
      </c>
      <c r="AX429" s="271"/>
      <c r="AY429" s="271"/>
      <c r="AZ429" s="271"/>
      <c r="BA429" s="271"/>
      <c r="BB429" s="271"/>
      <c r="BC429" s="271"/>
      <c r="BD429" s="271"/>
      <c r="BE429" s="271"/>
      <c r="BF429" s="271"/>
      <c r="BG429" s="271"/>
      <c r="BH429" s="235">
        <v>105179994</v>
      </c>
      <c r="BI429" s="271"/>
      <c r="BJ429" s="271"/>
      <c r="BK429" s="271"/>
      <c r="BL429" s="271"/>
      <c r="BM429" s="271">
        <v>110000000</v>
      </c>
      <c r="BN429" s="271"/>
      <c r="BO429" s="271"/>
      <c r="BP429" s="271"/>
      <c r="BQ429" s="271"/>
      <c r="BR429" s="271"/>
      <c r="BS429" s="271"/>
      <c r="BT429" s="271"/>
      <c r="BU429" s="271"/>
      <c r="BV429" s="271"/>
      <c r="BW429" s="271"/>
      <c r="BX429" s="235">
        <v>110000000</v>
      </c>
      <c r="BY429" s="271"/>
      <c r="BZ429" s="271"/>
      <c r="CA429" s="271"/>
      <c r="CB429" s="271"/>
      <c r="CC429" s="271">
        <v>115000000</v>
      </c>
      <c r="CD429" s="271"/>
      <c r="CE429" s="271"/>
      <c r="CF429" s="271"/>
      <c r="CG429" s="271"/>
      <c r="CH429" s="271"/>
      <c r="CI429" s="271"/>
      <c r="CJ429" s="271"/>
      <c r="CK429" s="271"/>
      <c r="CL429" s="271"/>
      <c r="CM429" s="271"/>
      <c r="CN429" s="235">
        <v>115000000</v>
      </c>
      <c r="CO429" s="271"/>
      <c r="CP429" s="271"/>
      <c r="CQ429" s="271"/>
      <c r="CR429" s="271"/>
      <c r="CS429" s="271">
        <v>115000000</v>
      </c>
      <c r="CT429" s="271"/>
      <c r="CU429" s="271"/>
      <c r="CV429" s="271"/>
      <c r="CW429" s="271"/>
      <c r="CX429" s="271"/>
      <c r="CY429" s="271"/>
      <c r="CZ429" s="271"/>
      <c r="DA429" s="271"/>
      <c r="DB429" s="271"/>
      <c r="DC429" s="271"/>
      <c r="DD429" s="234">
        <v>115000000</v>
      </c>
      <c r="DE429" s="244">
        <v>445179994</v>
      </c>
    </row>
    <row r="430" spans="1:109" s="99" customFormat="1" ht="82.05" customHeight="1">
      <c r="A430" s="103" t="s">
        <v>1239</v>
      </c>
      <c r="B430" s="279" t="s">
        <v>9</v>
      </c>
      <c r="C430" s="279" t="s">
        <v>1694</v>
      </c>
      <c r="D430" s="279">
        <v>34</v>
      </c>
      <c r="E430" s="279" t="s">
        <v>1301</v>
      </c>
      <c r="F430" s="280" t="s">
        <v>418</v>
      </c>
      <c r="G430" s="279" t="s">
        <v>3543</v>
      </c>
      <c r="H430" s="279">
        <v>41</v>
      </c>
      <c r="I430" s="279" t="s">
        <v>1302</v>
      </c>
      <c r="J430" s="279" t="s">
        <v>683</v>
      </c>
      <c r="K430" s="279">
        <v>115645</v>
      </c>
      <c r="L430" s="279" t="s">
        <v>1304</v>
      </c>
      <c r="M430" s="279" t="s">
        <v>1323</v>
      </c>
      <c r="N430" s="279" t="s">
        <v>1324</v>
      </c>
      <c r="O430" s="279" t="s">
        <v>419</v>
      </c>
      <c r="P430" s="283">
        <v>387</v>
      </c>
      <c r="Q430" s="279" t="s">
        <v>3560</v>
      </c>
      <c r="R430" s="279" t="s">
        <v>1328</v>
      </c>
      <c r="S430" s="279" t="s">
        <v>683</v>
      </c>
      <c r="T430" s="279">
        <v>35</v>
      </c>
      <c r="U430" s="267"/>
      <c r="V430" s="267"/>
      <c r="W430" s="224">
        <v>0</v>
      </c>
      <c r="X430" s="267"/>
      <c r="Y430" s="267"/>
      <c r="Z430" s="267"/>
      <c r="AA430" s="267">
        <v>35</v>
      </c>
      <c r="AB430" s="224">
        <v>35</v>
      </c>
      <c r="AC430" s="267"/>
      <c r="AD430" s="267"/>
      <c r="AE430" s="267"/>
      <c r="AF430" s="267">
        <v>35</v>
      </c>
      <c r="AG430" s="224">
        <v>35</v>
      </c>
      <c r="AH430" s="267"/>
      <c r="AI430" s="267"/>
      <c r="AJ430" s="267"/>
      <c r="AK430" s="267">
        <v>35</v>
      </c>
      <c r="AL430" s="224">
        <v>35</v>
      </c>
      <c r="AM430" s="104">
        <v>35</v>
      </c>
      <c r="AN430" s="103" t="s">
        <v>686</v>
      </c>
      <c r="AO430" s="103" t="s">
        <v>618</v>
      </c>
      <c r="AP430" s="103" t="s">
        <v>1216</v>
      </c>
      <c r="AQ430" s="103" t="s">
        <v>1194</v>
      </c>
      <c r="AR430" s="103" t="s">
        <v>938</v>
      </c>
      <c r="AS430" s="271"/>
      <c r="AT430" s="271"/>
      <c r="AU430" s="271"/>
      <c r="AV430" s="271"/>
      <c r="AW430" s="271"/>
      <c r="AX430" s="271"/>
      <c r="AY430" s="271"/>
      <c r="AZ430" s="271"/>
      <c r="BA430" s="271"/>
      <c r="BB430" s="271"/>
      <c r="BC430" s="271"/>
      <c r="BD430" s="271"/>
      <c r="BE430" s="271"/>
      <c r="BF430" s="271"/>
      <c r="BG430" s="271"/>
      <c r="BH430" s="235">
        <v>0</v>
      </c>
      <c r="BI430" s="271"/>
      <c r="BJ430" s="271"/>
      <c r="BK430" s="271"/>
      <c r="BL430" s="271"/>
      <c r="BM430" s="271">
        <v>25000000</v>
      </c>
      <c r="BN430" s="271"/>
      <c r="BO430" s="271"/>
      <c r="BP430" s="271"/>
      <c r="BQ430" s="271"/>
      <c r="BR430" s="271"/>
      <c r="BS430" s="271"/>
      <c r="BT430" s="271"/>
      <c r="BU430" s="271"/>
      <c r="BV430" s="271"/>
      <c r="BW430" s="271"/>
      <c r="BX430" s="235">
        <v>25000000</v>
      </c>
      <c r="BY430" s="271"/>
      <c r="BZ430" s="271"/>
      <c r="CA430" s="271"/>
      <c r="CB430" s="271"/>
      <c r="CC430" s="271">
        <v>30000000</v>
      </c>
      <c r="CD430" s="271"/>
      <c r="CE430" s="271"/>
      <c r="CF430" s="271"/>
      <c r="CG430" s="271"/>
      <c r="CH430" s="271"/>
      <c r="CI430" s="271"/>
      <c r="CJ430" s="271"/>
      <c r="CK430" s="271"/>
      <c r="CL430" s="271"/>
      <c r="CM430" s="271"/>
      <c r="CN430" s="235">
        <v>30000000</v>
      </c>
      <c r="CO430" s="271"/>
      <c r="CP430" s="271"/>
      <c r="CQ430" s="271"/>
      <c r="CR430" s="271"/>
      <c r="CS430" s="271">
        <v>30000000</v>
      </c>
      <c r="CT430" s="271"/>
      <c r="CU430" s="271"/>
      <c r="CV430" s="271"/>
      <c r="CW430" s="271"/>
      <c r="CX430" s="271"/>
      <c r="CY430" s="271"/>
      <c r="CZ430" s="271"/>
      <c r="DA430" s="271"/>
      <c r="DB430" s="271"/>
      <c r="DC430" s="271"/>
      <c r="DD430" s="234">
        <v>30000000</v>
      </c>
      <c r="DE430" s="244">
        <v>85000000</v>
      </c>
    </row>
    <row r="431" spans="1:109" s="99" customFormat="1" ht="82.05" customHeight="1">
      <c r="A431" s="103" t="s">
        <v>1239</v>
      </c>
      <c r="B431" s="279" t="s">
        <v>9</v>
      </c>
      <c r="C431" s="279" t="s">
        <v>1694</v>
      </c>
      <c r="D431" s="279">
        <v>34</v>
      </c>
      <c r="E431" s="279" t="s">
        <v>1301</v>
      </c>
      <c r="F431" s="280" t="s">
        <v>418</v>
      </c>
      <c r="G431" s="279" t="s">
        <v>3543</v>
      </c>
      <c r="H431" s="279">
        <v>41</v>
      </c>
      <c r="I431" s="279" t="s">
        <v>1302</v>
      </c>
      <c r="J431" s="279" t="s">
        <v>683</v>
      </c>
      <c r="K431" s="279">
        <v>115645</v>
      </c>
      <c r="L431" s="279" t="s">
        <v>1304</v>
      </c>
      <c r="M431" s="279" t="s">
        <v>1323</v>
      </c>
      <c r="N431" s="279" t="s">
        <v>1324</v>
      </c>
      <c r="O431" s="279" t="s">
        <v>419</v>
      </c>
      <c r="P431" s="283">
        <v>388</v>
      </c>
      <c r="Q431" s="279" t="s">
        <v>3561</v>
      </c>
      <c r="R431" s="279" t="s">
        <v>1328</v>
      </c>
      <c r="S431" s="279" t="s">
        <v>683</v>
      </c>
      <c r="T431" s="279">
        <v>35</v>
      </c>
      <c r="U431" s="267"/>
      <c r="V431" s="267"/>
      <c r="W431" s="224">
        <v>0</v>
      </c>
      <c r="X431" s="267"/>
      <c r="Y431" s="267"/>
      <c r="Z431" s="267"/>
      <c r="AA431" s="267">
        <v>5</v>
      </c>
      <c r="AB431" s="224">
        <v>5</v>
      </c>
      <c r="AC431" s="267"/>
      <c r="AD431" s="267"/>
      <c r="AE431" s="267"/>
      <c r="AF431" s="267">
        <v>5</v>
      </c>
      <c r="AG431" s="224">
        <v>5</v>
      </c>
      <c r="AH431" s="267"/>
      <c r="AI431" s="267"/>
      <c r="AJ431" s="267"/>
      <c r="AK431" s="267">
        <v>5</v>
      </c>
      <c r="AL431" s="224">
        <v>5</v>
      </c>
      <c r="AM431" s="104">
        <v>15</v>
      </c>
      <c r="AN431" s="103" t="s">
        <v>685</v>
      </c>
      <c r="AO431" s="103" t="s">
        <v>618</v>
      </c>
      <c r="AP431" s="103" t="s">
        <v>1216</v>
      </c>
      <c r="AQ431" s="103" t="s">
        <v>1194</v>
      </c>
      <c r="AR431" s="103" t="s">
        <v>938</v>
      </c>
      <c r="AS431" s="271"/>
      <c r="AT431" s="271"/>
      <c r="AU431" s="271"/>
      <c r="AV431" s="271"/>
      <c r="AW431" s="271"/>
      <c r="AX431" s="271"/>
      <c r="AY431" s="271"/>
      <c r="AZ431" s="271"/>
      <c r="BA431" s="271"/>
      <c r="BB431" s="271"/>
      <c r="BC431" s="271"/>
      <c r="BD431" s="271"/>
      <c r="BE431" s="271"/>
      <c r="BF431" s="271"/>
      <c r="BG431" s="271"/>
      <c r="BH431" s="235">
        <v>0</v>
      </c>
      <c r="BI431" s="271"/>
      <c r="BJ431" s="271"/>
      <c r="BK431" s="271"/>
      <c r="BL431" s="271"/>
      <c r="BM431" s="271">
        <v>10000000</v>
      </c>
      <c r="BN431" s="271"/>
      <c r="BO431" s="271"/>
      <c r="BP431" s="271"/>
      <c r="BQ431" s="271"/>
      <c r="BR431" s="271"/>
      <c r="BS431" s="271"/>
      <c r="BT431" s="271"/>
      <c r="BU431" s="271"/>
      <c r="BV431" s="271"/>
      <c r="BW431" s="271"/>
      <c r="BX431" s="235">
        <v>10000000</v>
      </c>
      <c r="BY431" s="271"/>
      <c r="BZ431" s="271"/>
      <c r="CA431" s="271"/>
      <c r="CB431" s="271"/>
      <c r="CC431" s="271">
        <v>10000000</v>
      </c>
      <c r="CD431" s="271"/>
      <c r="CE431" s="271"/>
      <c r="CF431" s="271"/>
      <c r="CG431" s="271"/>
      <c r="CH431" s="271"/>
      <c r="CI431" s="271"/>
      <c r="CJ431" s="271"/>
      <c r="CK431" s="271"/>
      <c r="CL431" s="271"/>
      <c r="CM431" s="271"/>
      <c r="CN431" s="235">
        <v>10000000</v>
      </c>
      <c r="CO431" s="271"/>
      <c r="CP431" s="271"/>
      <c r="CQ431" s="271"/>
      <c r="CR431" s="271"/>
      <c r="CS431" s="271">
        <v>10000000</v>
      </c>
      <c r="CT431" s="271"/>
      <c r="CU431" s="271"/>
      <c r="CV431" s="271"/>
      <c r="CW431" s="271"/>
      <c r="CX431" s="271"/>
      <c r="CY431" s="271"/>
      <c r="CZ431" s="271"/>
      <c r="DA431" s="271"/>
      <c r="DB431" s="271"/>
      <c r="DC431" s="271"/>
      <c r="DD431" s="234">
        <v>10000000</v>
      </c>
      <c r="DE431" s="244">
        <v>30000000</v>
      </c>
    </row>
    <row r="432" spans="1:109" s="99" customFormat="1" ht="82.05" customHeight="1">
      <c r="A432" s="103" t="s">
        <v>1239</v>
      </c>
      <c r="B432" s="279" t="s">
        <v>9</v>
      </c>
      <c r="C432" s="279" t="s">
        <v>1694</v>
      </c>
      <c r="D432" s="279">
        <v>34</v>
      </c>
      <c r="E432" s="279" t="s">
        <v>1301</v>
      </c>
      <c r="F432" s="280" t="s">
        <v>418</v>
      </c>
      <c r="G432" s="279" t="s">
        <v>3543</v>
      </c>
      <c r="H432" s="279">
        <v>41</v>
      </c>
      <c r="I432" s="279" t="s">
        <v>1302</v>
      </c>
      <c r="J432" s="279" t="s">
        <v>683</v>
      </c>
      <c r="K432" s="279">
        <v>115645</v>
      </c>
      <c r="L432" s="279" t="s">
        <v>1304</v>
      </c>
      <c r="M432" s="279" t="s">
        <v>1323</v>
      </c>
      <c r="N432" s="279" t="s">
        <v>1324</v>
      </c>
      <c r="O432" s="279" t="s">
        <v>419</v>
      </c>
      <c r="P432" s="283">
        <v>389</v>
      </c>
      <c r="Q432" s="279" t="s">
        <v>3562</v>
      </c>
      <c r="R432" s="279" t="s">
        <v>1329</v>
      </c>
      <c r="S432" s="279" t="s">
        <v>683</v>
      </c>
      <c r="T432" s="279">
        <v>0</v>
      </c>
      <c r="U432" s="267">
        <v>10</v>
      </c>
      <c r="V432" s="267">
        <v>10</v>
      </c>
      <c r="W432" s="224">
        <v>20</v>
      </c>
      <c r="X432" s="267"/>
      <c r="Y432" s="267"/>
      <c r="Z432" s="267"/>
      <c r="AA432" s="267"/>
      <c r="AB432" s="224">
        <v>0</v>
      </c>
      <c r="AC432" s="267"/>
      <c r="AD432" s="267"/>
      <c r="AE432" s="267"/>
      <c r="AF432" s="267"/>
      <c r="AG432" s="224">
        <v>0</v>
      </c>
      <c r="AH432" s="267"/>
      <c r="AI432" s="267"/>
      <c r="AJ432" s="267"/>
      <c r="AK432" s="267"/>
      <c r="AL432" s="224">
        <v>0</v>
      </c>
      <c r="AM432" s="104">
        <v>20</v>
      </c>
      <c r="AN432" s="103" t="s">
        <v>685</v>
      </c>
      <c r="AO432" s="103" t="s">
        <v>618</v>
      </c>
      <c r="AP432" s="103" t="s">
        <v>1216</v>
      </c>
      <c r="AQ432" s="103" t="s">
        <v>1194</v>
      </c>
      <c r="AR432" s="103" t="s">
        <v>938</v>
      </c>
      <c r="AS432" s="271"/>
      <c r="AT432" s="271"/>
      <c r="AU432" s="271"/>
      <c r="AV432" s="271"/>
      <c r="AW432" s="271">
        <v>33825000</v>
      </c>
      <c r="AX432" s="271"/>
      <c r="AY432" s="271"/>
      <c r="AZ432" s="271"/>
      <c r="BA432" s="271"/>
      <c r="BB432" s="271"/>
      <c r="BC432" s="271"/>
      <c r="BD432" s="271"/>
      <c r="BE432" s="271"/>
      <c r="BF432" s="271"/>
      <c r="BG432" s="271"/>
      <c r="BH432" s="235">
        <v>33825000</v>
      </c>
      <c r="BI432" s="271"/>
      <c r="BJ432" s="271"/>
      <c r="BK432" s="271"/>
      <c r="BL432" s="271"/>
      <c r="BM432" s="271"/>
      <c r="BN432" s="271"/>
      <c r="BO432" s="271"/>
      <c r="BP432" s="271"/>
      <c r="BQ432" s="271"/>
      <c r="BR432" s="271"/>
      <c r="BS432" s="271"/>
      <c r="BT432" s="271"/>
      <c r="BU432" s="271"/>
      <c r="BV432" s="271"/>
      <c r="BW432" s="271"/>
      <c r="BX432" s="235">
        <v>0</v>
      </c>
      <c r="BY432" s="271"/>
      <c r="BZ432" s="271"/>
      <c r="CA432" s="271"/>
      <c r="CB432" s="271"/>
      <c r="CC432" s="271"/>
      <c r="CD432" s="271"/>
      <c r="CE432" s="271"/>
      <c r="CF432" s="271"/>
      <c r="CG432" s="271"/>
      <c r="CH432" s="271"/>
      <c r="CI432" s="271"/>
      <c r="CJ432" s="271"/>
      <c r="CK432" s="271"/>
      <c r="CL432" s="271"/>
      <c r="CM432" s="271"/>
      <c r="CN432" s="235">
        <v>0</v>
      </c>
      <c r="CO432" s="271"/>
      <c r="CP432" s="271"/>
      <c r="CQ432" s="271"/>
      <c r="CR432" s="271"/>
      <c r="CS432" s="271"/>
      <c r="CT432" s="271"/>
      <c r="CU432" s="271"/>
      <c r="CV432" s="271"/>
      <c r="CW432" s="271"/>
      <c r="CX432" s="271"/>
      <c r="CY432" s="271"/>
      <c r="CZ432" s="271"/>
      <c r="DA432" s="271"/>
      <c r="DB432" s="271"/>
      <c r="DC432" s="271"/>
      <c r="DD432" s="234">
        <v>0</v>
      </c>
      <c r="DE432" s="244">
        <v>33825000</v>
      </c>
    </row>
    <row r="433" spans="1:109" s="99" customFormat="1" ht="82.05" customHeight="1">
      <c r="A433" s="103" t="s">
        <v>1239</v>
      </c>
      <c r="B433" s="279" t="s">
        <v>9</v>
      </c>
      <c r="C433" s="279" t="s">
        <v>1694</v>
      </c>
      <c r="D433" s="279">
        <v>34</v>
      </c>
      <c r="E433" s="279" t="s">
        <v>1301</v>
      </c>
      <c r="F433" s="280" t="s">
        <v>418</v>
      </c>
      <c r="G433" s="279" t="s">
        <v>3543</v>
      </c>
      <c r="H433" s="279">
        <v>41</v>
      </c>
      <c r="I433" s="279" t="s">
        <v>1302</v>
      </c>
      <c r="J433" s="279" t="s">
        <v>683</v>
      </c>
      <c r="K433" s="279">
        <v>115645</v>
      </c>
      <c r="L433" s="279" t="s">
        <v>1304</v>
      </c>
      <c r="M433" s="279" t="s">
        <v>2694</v>
      </c>
      <c r="N433" s="279" t="s">
        <v>2695</v>
      </c>
      <c r="O433" s="279" t="s">
        <v>2696</v>
      </c>
      <c r="P433" s="283">
        <v>390</v>
      </c>
      <c r="Q433" s="279" t="s">
        <v>3563</v>
      </c>
      <c r="R433" s="279" t="s">
        <v>2697</v>
      </c>
      <c r="S433" s="279" t="s">
        <v>683</v>
      </c>
      <c r="T433" s="279">
        <v>25079</v>
      </c>
      <c r="U433" s="267">
        <v>579</v>
      </c>
      <c r="V433" s="267">
        <v>500</v>
      </c>
      <c r="W433" s="224">
        <v>1079</v>
      </c>
      <c r="X433" s="267"/>
      <c r="Y433" s="267">
        <v>3000</v>
      </c>
      <c r="Z433" s="267">
        <v>3000</v>
      </c>
      <c r="AA433" s="267">
        <v>2000</v>
      </c>
      <c r="AB433" s="224">
        <v>8000</v>
      </c>
      <c r="AC433" s="267"/>
      <c r="AD433" s="267">
        <v>3000</v>
      </c>
      <c r="AE433" s="267">
        <v>3000</v>
      </c>
      <c r="AF433" s="267">
        <v>2000</v>
      </c>
      <c r="AG433" s="224">
        <v>8000</v>
      </c>
      <c r="AH433" s="267"/>
      <c r="AI433" s="267">
        <v>3000</v>
      </c>
      <c r="AJ433" s="267">
        <v>3000</v>
      </c>
      <c r="AK433" s="267">
        <v>2000</v>
      </c>
      <c r="AL433" s="224">
        <v>8000</v>
      </c>
      <c r="AM433" s="107">
        <v>25079</v>
      </c>
      <c r="AN433" s="103" t="s">
        <v>685</v>
      </c>
      <c r="AO433" s="103" t="s">
        <v>618</v>
      </c>
      <c r="AP433" s="103" t="s">
        <v>1216</v>
      </c>
      <c r="AQ433" s="103" t="s">
        <v>1194</v>
      </c>
      <c r="AR433" s="103" t="s">
        <v>938</v>
      </c>
      <c r="AS433" s="271"/>
      <c r="AT433" s="271"/>
      <c r="AU433" s="271"/>
      <c r="AV433" s="271"/>
      <c r="AW433" s="271">
        <v>55635803</v>
      </c>
      <c r="AX433" s="271"/>
      <c r="AY433" s="271"/>
      <c r="AZ433" s="271"/>
      <c r="BA433" s="271"/>
      <c r="BB433" s="271"/>
      <c r="BC433" s="271"/>
      <c r="BD433" s="271"/>
      <c r="BE433" s="271"/>
      <c r="BF433" s="271"/>
      <c r="BG433" s="271"/>
      <c r="BH433" s="235">
        <v>55635803</v>
      </c>
      <c r="BI433" s="271"/>
      <c r="BJ433" s="271"/>
      <c r="BK433" s="271"/>
      <c r="BL433" s="271"/>
      <c r="BM433" s="271">
        <v>80000000</v>
      </c>
      <c r="BN433" s="271"/>
      <c r="BO433" s="271"/>
      <c r="BP433" s="271"/>
      <c r="BQ433" s="271"/>
      <c r="BR433" s="271"/>
      <c r="BS433" s="271"/>
      <c r="BT433" s="271"/>
      <c r="BU433" s="271"/>
      <c r="BV433" s="271"/>
      <c r="BW433" s="271"/>
      <c r="BX433" s="235">
        <v>80000000</v>
      </c>
      <c r="BY433" s="271"/>
      <c r="BZ433" s="271"/>
      <c r="CA433" s="271"/>
      <c r="CB433" s="271"/>
      <c r="CC433" s="271">
        <v>90000000</v>
      </c>
      <c r="CD433" s="271"/>
      <c r="CE433" s="271"/>
      <c r="CF433" s="271"/>
      <c r="CG433" s="271"/>
      <c r="CH433" s="271"/>
      <c r="CI433" s="271"/>
      <c r="CJ433" s="271"/>
      <c r="CK433" s="271"/>
      <c r="CL433" s="271"/>
      <c r="CM433" s="271"/>
      <c r="CN433" s="235">
        <v>90000000</v>
      </c>
      <c r="CO433" s="271"/>
      <c r="CP433" s="271"/>
      <c r="CQ433" s="271"/>
      <c r="CR433" s="271"/>
      <c r="CS433" s="271">
        <v>90000000</v>
      </c>
      <c r="CT433" s="271"/>
      <c r="CU433" s="271"/>
      <c r="CV433" s="271"/>
      <c r="CW433" s="271"/>
      <c r="CX433" s="271"/>
      <c r="CY433" s="271"/>
      <c r="CZ433" s="271"/>
      <c r="DA433" s="271"/>
      <c r="DB433" s="271"/>
      <c r="DC433" s="271"/>
      <c r="DD433" s="234">
        <v>90000000</v>
      </c>
      <c r="DE433" s="244">
        <v>315635803</v>
      </c>
    </row>
    <row r="434" spans="1:109" s="99" customFormat="1" ht="82.05" customHeight="1">
      <c r="A434" s="103" t="s">
        <v>1239</v>
      </c>
      <c r="B434" s="279" t="s">
        <v>9</v>
      </c>
      <c r="C434" s="279" t="s">
        <v>1694</v>
      </c>
      <c r="D434" s="279">
        <v>34</v>
      </c>
      <c r="E434" s="279" t="s">
        <v>1301</v>
      </c>
      <c r="F434" s="280" t="s">
        <v>418</v>
      </c>
      <c r="G434" s="279" t="s">
        <v>3543</v>
      </c>
      <c r="H434" s="279">
        <v>41</v>
      </c>
      <c r="I434" s="279" t="s">
        <v>1302</v>
      </c>
      <c r="J434" s="279" t="s">
        <v>683</v>
      </c>
      <c r="K434" s="279">
        <v>115645</v>
      </c>
      <c r="L434" s="279" t="s">
        <v>1304</v>
      </c>
      <c r="M434" s="279" t="s">
        <v>2694</v>
      </c>
      <c r="N434" s="279" t="s">
        <v>2695</v>
      </c>
      <c r="O434" s="279" t="s">
        <v>2696</v>
      </c>
      <c r="P434" s="283">
        <v>391</v>
      </c>
      <c r="Q434" s="279" t="s">
        <v>3564</v>
      </c>
      <c r="R434" s="279" t="s">
        <v>2698</v>
      </c>
      <c r="S434" s="279" t="s">
        <v>683</v>
      </c>
      <c r="T434" s="279">
        <v>89</v>
      </c>
      <c r="U434" s="267"/>
      <c r="V434" s="267"/>
      <c r="W434" s="224">
        <v>0</v>
      </c>
      <c r="X434" s="267"/>
      <c r="Y434" s="267">
        <v>2</v>
      </c>
      <c r="Z434" s="267"/>
      <c r="AA434" s="267"/>
      <c r="AB434" s="224">
        <v>2</v>
      </c>
      <c r="AC434" s="267"/>
      <c r="AD434" s="267">
        <v>2</v>
      </c>
      <c r="AE434" s="267"/>
      <c r="AF434" s="267"/>
      <c r="AG434" s="224">
        <v>2</v>
      </c>
      <c r="AH434" s="267"/>
      <c r="AI434" s="267">
        <v>2</v>
      </c>
      <c r="AJ434" s="267"/>
      <c r="AK434" s="267"/>
      <c r="AL434" s="224">
        <v>2</v>
      </c>
      <c r="AM434" s="104">
        <v>6</v>
      </c>
      <c r="AN434" s="103" t="s">
        <v>685</v>
      </c>
      <c r="AO434" s="103" t="s">
        <v>618</v>
      </c>
      <c r="AP434" s="103" t="s">
        <v>1216</v>
      </c>
      <c r="AQ434" s="103" t="s">
        <v>1194</v>
      </c>
      <c r="AR434" s="103" t="s">
        <v>938</v>
      </c>
      <c r="AS434" s="271"/>
      <c r="AT434" s="271"/>
      <c r="AU434" s="271"/>
      <c r="AV434" s="271"/>
      <c r="AW434" s="271"/>
      <c r="AX434" s="271"/>
      <c r="AY434" s="271"/>
      <c r="AZ434" s="271"/>
      <c r="BA434" s="271"/>
      <c r="BB434" s="271"/>
      <c r="BC434" s="271"/>
      <c r="BD434" s="271"/>
      <c r="BE434" s="271"/>
      <c r="BF434" s="271"/>
      <c r="BG434" s="271"/>
      <c r="BH434" s="235">
        <v>0</v>
      </c>
      <c r="BI434" s="271"/>
      <c r="BJ434" s="271"/>
      <c r="BK434" s="271"/>
      <c r="BL434" s="271"/>
      <c r="BM434" s="271">
        <v>5000000</v>
      </c>
      <c r="BN434" s="271"/>
      <c r="BO434" s="271"/>
      <c r="BP434" s="271"/>
      <c r="BQ434" s="271"/>
      <c r="BR434" s="271"/>
      <c r="BS434" s="271"/>
      <c r="BT434" s="271"/>
      <c r="BU434" s="271"/>
      <c r="BV434" s="271"/>
      <c r="BW434" s="271"/>
      <c r="BX434" s="235">
        <v>5000000</v>
      </c>
      <c r="BY434" s="271"/>
      <c r="BZ434" s="271"/>
      <c r="CA434" s="271"/>
      <c r="CB434" s="271"/>
      <c r="CC434" s="271">
        <v>5000000</v>
      </c>
      <c r="CD434" s="271"/>
      <c r="CE434" s="271"/>
      <c r="CF434" s="271"/>
      <c r="CG434" s="271"/>
      <c r="CH434" s="271"/>
      <c r="CI434" s="271"/>
      <c r="CJ434" s="271"/>
      <c r="CK434" s="271"/>
      <c r="CL434" s="271"/>
      <c r="CM434" s="271"/>
      <c r="CN434" s="235">
        <v>5000000</v>
      </c>
      <c r="CO434" s="271"/>
      <c r="CP434" s="271"/>
      <c r="CQ434" s="271"/>
      <c r="CR434" s="271"/>
      <c r="CS434" s="271">
        <v>5000000</v>
      </c>
      <c r="CT434" s="271"/>
      <c r="CU434" s="271"/>
      <c r="CV434" s="271"/>
      <c r="CW434" s="271"/>
      <c r="CX434" s="271"/>
      <c r="CY434" s="271"/>
      <c r="CZ434" s="271"/>
      <c r="DA434" s="271"/>
      <c r="DB434" s="271"/>
      <c r="DC434" s="271"/>
      <c r="DD434" s="234">
        <v>5000000</v>
      </c>
      <c r="DE434" s="244">
        <v>15000000</v>
      </c>
    </row>
    <row r="435" spans="1:109" s="99" customFormat="1" ht="82.05" customHeight="1">
      <c r="A435" s="103" t="s">
        <v>1239</v>
      </c>
      <c r="B435" s="279" t="s">
        <v>9</v>
      </c>
      <c r="C435" s="279" t="s">
        <v>1694</v>
      </c>
      <c r="D435" s="279">
        <v>34</v>
      </c>
      <c r="E435" s="279" t="s">
        <v>1301</v>
      </c>
      <c r="F435" s="280" t="s">
        <v>418</v>
      </c>
      <c r="G435" s="279" t="s">
        <v>3543</v>
      </c>
      <c r="H435" s="279">
        <v>41</v>
      </c>
      <c r="I435" s="279" t="s">
        <v>1302</v>
      </c>
      <c r="J435" s="279" t="s">
        <v>683</v>
      </c>
      <c r="K435" s="279">
        <v>115645</v>
      </c>
      <c r="L435" s="279" t="s">
        <v>1304</v>
      </c>
      <c r="M435" s="279" t="s">
        <v>2694</v>
      </c>
      <c r="N435" s="279" t="s">
        <v>2695</v>
      </c>
      <c r="O435" s="279" t="s">
        <v>2696</v>
      </c>
      <c r="P435" s="283">
        <v>392</v>
      </c>
      <c r="Q435" s="279" t="s">
        <v>3565</v>
      </c>
      <c r="R435" s="279" t="s">
        <v>2698</v>
      </c>
      <c r="S435" s="279" t="s">
        <v>683</v>
      </c>
      <c r="T435" s="279">
        <v>89</v>
      </c>
      <c r="U435" s="267">
        <v>89</v>
      </c>
      <c r="V435" s="267"/>
      <c r="W435" s="224">
        <v>89</v>
      </c>
      <c r="X435" s="267"/>
      <c r="Y435" s="267">
        <v>89</v>
      </c>
      <c r="Z435" s="267"/>
      <c r="AA435" s="267"/>
      <c r="AB435" s="224">
        <v>89</v>
      </c>
      <c r="AC435" s="267"/>
      <c r="AD435" s="267">
        <v>89</v>
      </c>
      <c r="AE435" s="267"/>
      <c r="AF435" s="267"/>
      <c r="AG435" s="224">
        <v>89</v>
      </c>
      <c r="AH435" s="267"/>
      <c r="AI435" s="267">
        <v>89</v>
      </c>
      <c r="AJ435" s="267"/>
      <c r="AK435" s="267"/>
      <c r="AL435" s="224">
        <v>89</v>
      </c>
      <c r="AM435" s="104">
        <v>89</v>
      </c>
      <c r="AN435" s="103" t="s">
        <v>686</v>
      </c>
      <c r="AO435" s="103" t="s">
        <v>618</v>
      </c>
      <c r="AP435" s="103" t="s">
        <v>1216</v>
      </c>
      <c r="AQ435" s="103" t="s">
        <v>1194</v>
      </c>
      <c r="AR435" s="103" t="s">
        <v>938</v>
      </c>
      <c r="AS435" s="271"/>
      <c r="AT435" s="271"/>
      <c r="AU435" s="271"/>
      <c r="AV435" s="271"/>
      <c r="AW435" s="271">
        <v>20000000</v>
      </c>
      <c r="AX435" s="271"/>
      <c r="AY435" s="271"/>
      <c r="AZ435" s="271"/>
      <c r="BA435" s="271"/>
      <c r="BB435" s="271"/>
      <c r="BC435" s="271"/>
      <c r="BD435" s="271"/>
      <c r="BE435" s="271"/>
      <c r="BF435" s="271"/>
      <c r="BG435" s="271"/>
      <c r="BH435" s="235">
        <v>20000000</v>
      </c>
      <c r="BI435" s="271"/>
      <c r="BJ435" s="271"/>
      <c r="BK435" s="271"/>
      <c r="BL435" s="271"/>
      <c r="BM435" s="271">
        <v>35000000</v>
      </c>
      <c r="BN435" s="271"/>
      <c r="BO435" s="271"/>
      <c r="BP435" s="271"/>
      <c r="BQ435" s="271"/>
      <c r="BR435" s="271"/>
      <c r="BS435" s="271"/>
      <c r="BT435" s="271"/>
      <c r="BU435" s="271"/>
      <c r="BV435" s="271"/>
      <c r="BW435" s="271"/>
      <c r="BX435" s="235">
        <v>35000000</v>
      </c>
      <c r="BY435" s="271"/>
      <c r="BZ435" s="271"/>
      <c r="CA435" s="271"/>
      <c r="CB435" s="271"/>
      <c r="CC435" s="271">
        <v>35000000</v>
      </c>
      <c r="CD435" s="271"/>
      <c r="CE435" s="271"/>
      <c r="CF435" s="271"/>
      <c r="CG435" s="271"/>
      <c r="CH435" s="271"/>
      <c r="CI435" s="271"/>
      <c r="CJ435" s="271"/>
      <c r="CK435" s="271"/>
      <c r="CL435" s="271"/>
      <c r="CM435" s="271"/>
      <c r="CN435" s="235">
        <v>35000000</v>
      </c>
      <c r="CO435" s="271"/>
      <c r="CP435" s="271"/>
      <c r="CQ435" s="271"/>
      <c r="CR435" s="271"/>
      <c r="CS435" s="271">
        <v>35000000</v>
      </c>
      <c r="CT435" s="271"/>
      <c r="CU435" s="271"/>
      <c r="CV435" s="271"/>
      <c r="CW435" s="271"/>
      <c r="CX435" s="271"/>
      <c r="CY435" s="271"/>
      <c r="CZ435" s="271"/>
      <c r="DA435" s="271"/>
      <c r="DB435" s="271"/>
      <c r="DC435" s="271"/>
      <c r="DD435" s="234">
        <v>35000000</v>
      </c>
      <c r="DE435" s="244">
        <v>125000000</v>
      </c>
    </row>
    <row r="436" spans="1:109" s="99" customFormat="1" ht="82.05" customHeight="1">
      <c r="A436" s="103" t="s">
        <v>1239</v>
      </c>
      <c r="B436" s="279" t="s">
        <v>9</v>
      </c>
      <c r="C436" s="279" t="s">
        <v>1694</v>
      </c>
      <c r="D436" s="279">
        <v>34</v>
      </c>
      <c r="E436" s="279" t="s">
        <v>1301</v>
      </c>
      <c r="F436" s="280" t="s">
        <v>418</v>
      </c>
      <c r="G436" s="279" t="s">
        <v>3543</v>
      </c>
      <c r="H436" s="279">
        <v>41</v>
      </c>
      <c r="I436" s="279" t="s">
        <v>1302</v>
      </c>
      <c r="J436" s="279" t="s">
        <v>683</v>
      </c>
      <c r="K436" s="279">
        <v>115645</v>
      </c>
      <c r="L436" s="279" t="s">
        <v>1304</v>
      </c>
      <c r="M436" s="279" t="s">
        <v>2694</v>
      </c>
      <c r="N436" s="279" t="s">
        <v>2695</v>
      </c>
      <c r="O436" s="279" t="s">
        <v>2696</v>
      </c>
      <c r="P436" s="283">
        <v>393</v>
      </c>
      <c r="Q436" s="279" t="s">
        <v>3566</v>
      </c>
      <c r="R436" s="279" t="s">
        <v>2699</v>
      </c>
      <c r="S436" s="279" t="s">
        <v>683</v>
      </c>
      <c r="T436" s="279">
        <v>0</v>
      </c>
      <c r="U436" s="267">
        <v>14</v>
      </c>
      <c r="V436" s="267"/>
      <c r="W436" s="224">
        <v>14</v>
      </c>
      <c r="X436" s="267"/>
      <c r="Y436" s="267"/>
      <c r="Z436" s="267"/>
      <c r="AA436" s="267"/>
      <c r="AB436" s="224">
        <v>0</v>
      </c>
      <c r="AC436" s="267"/>
      <c r="AD436" s="267"/>
      <c r="AE436" s="267"/>
      <c r="AF436" s="267"/>
      <c r="AG436" s="224">
        <v>0</v>
      </c>
      <c r="AH436" s="267"/>
      <c r="AI436" s="267"/>
      <c r="AJ436" s="267"/>
      <c r="AK436" s="267"/>
      <c r="AL436" s="224">
        <v>0</v>
      </c>
      <c r="AM436" s="104">
        <v>14</v>
      </c>
      <c r="AN436" s="103" t="s">
        <v>685</v>
      </c>
      <c r="AO436" s="103" t="s">
        <v>618</v>
      </c>
      <c r="AP436" s="103" t="s">
        <v>1216</v>
      </c>
      <c r="AQ436" s="103" t="s">
        <v>1194</v>
      </c>
      <c r="AR436" s="103" t="s">
        <v>938</v>
      </c>
      <c r="AS436" s="271"/>
      <c r="AT436" s="271"/>
      <c r="AU436" s="271"/>
      <c r="AV436" s="271"/>
      <c r="AW436" s="271">
        <v>20000000</v>
      </c>
      <c r="AX436" s="271"/>
      <c r="AY436" s="271"/>
      <c r="AZ436" s="271"/>
      <c r="BA436" s="271"/>
      <c r="BB436" s="271"/>
      <c r="BC436" s="271"/>
      <c r="BD436" s="271"/>
      <c r="BE436" s="271"/>
      <c r="BF436" s="271"/>
      <c r="BG436" s="271"/>
      <c r="BH436" s="235">
        <v>20000000</v>
      </c>
      <c r="BI436" s="271"/>
      <c r="BJ436" s="271"/>
      <c r="BK436" s="271"/>
      <c r="BL436" s="271"/>
      <c r="BM436" s="271"/>
      <c r="BN436" s="271"/>
      <c r="BO436" s="271"/>
      <c r="BP436" s="271"/>
      <c r="BQ436" s="271"/>
      <c r="BR436" s="271"/>
      <c r="BS436" s="271"/>
      <c r="BT436" s="271"/>
      <c r="BU436" s="271"/>
      <c r="BV436" s="271"/>
      <c r="BW436" s="271"/>
      <c r="BX436" s="235">
        <v>0</v>
      </c>
      <c r="BY436" s="271"/>
      <c r="BZ436" s="271"/>
      <c r="CA436" s="271"/>
      <c r="CB436" s="271"/>
      <c r="CC436" s="271"/>
      <c r="CD436" s="271"/>
      <c r="CE436" s="271"/>
      <c r="CF436" s="271"/>
      <c r="CG436" s="271"/>
      <c r="CH436" s="271"/>
      <c r="CI436" s="271"/>
      <c r="CJ436" s="271"/>
      <c r="CK436" s="271"/>
      <c r="CL436" s="271"/>
      <c r="CM436" s="271"/>
      <c r="CN436" s="235">
        <v>0</v>
      </c>
      <c r="CO436" s="271"/>
      <c r="CP436" s="271"/>
      <c r="CQ436" s="271"/>
      <c r="CR436" s="271"/>
      <c r="CS436" s="271"/>
      <c r="CT436" s="271"/>
      <c r="CU436" s="271"/>
      <c r="CV436" s="271"/>
      <c r="CW436" s="271"/>
      <c r="CX436" s="271"/>
      <c r="CY436" s="271"/>
      <c r="CZ436" s="271"/>
      <c r="DA436" s="271"/>
      <c r="DB436" s="271"/>
      <c r="DC436" s="271"/>
      <c r="DD436" s="234">
        <v>0</v>
      </c>
      <c r="DE436" s="244">
        <v>20000000</v>
      </c>
    </row>
    <row r="437" spans="1:109" s="99" customFormat="1" ht="82.05" customHeight="1">
      <c r="A437" s="103" t="s">
        <v>1239</v>
      </c>
      <c r="B437" s="279" t="s">
        <v>9</v>
      </c>
      <c r="C437" s="279" t="s">
        <v>1694</v>
      </c>
      <c r="D437" s="279">
        <v>34</v>
      </c>
      <c r="E437" s="279" t="s">
        <v>1301</v>
      </c>
      <c r="F437" s="280" t="s">
        <v>418</v>
      </c>
      <c r="G437" s="279" t="s">
        <v>3543</v>
      </c>
      <c r="H437" s="279">
        <v>41</v>
      </c>
      <c r="I437" s="279" t="s">
        <v>1302</v>
      </c>
      <c r="J437" s="279" t="s">
        <v>683</v>
      </c>
      <c r="K437" s="279">
        <v>115645</v>
      </c>
      <c r="L437" s="279" t="s">
        <v>1304</v>
      </c>
      <c r="M437" s="279" t="s">
        <v>1330</v>
      </c>
      <c r="N437" s="279" t="s">
        <v>1331</v>
      </c>
      <c r="O437" s="279" t="s">
        <v>1332</v>
      </c>
      <c r="P437" s="283">
        <v>394</v>
      </c>
      <c r="Q437" s="279" t="s">
        <v>3137</v>
      </c>
      <c r="R437" s="279" t="s">
        <v>1333</v>
      </c>
      <c r="S437" s="279" t="s">
        <v>683</v>
      </c>
      <c r="T437" s="104">
        <v>3198</v>
      </c>
      <c r="U437" s="267">
        <v>200</v>
      </c>
      <c r="V437" s="267">
        <v>200</v>
      </c>
      <c r="W437" s="224">
        <v>400</v>
      </c>
      <c r="X437" s="267">
        <v>150</v>
      </c>
      <c r="Y437" s="267">
        <v>250</v>
      </c>
      <c r="Z437" s="267">
        <v>348</v>
      </c>
      <c r="AA437" s="267">
        <v>250</v>
      </c>
      <c r="AB437" s="224">
        <v>998</v>
      </c>
      <c r="AC437" s="267">
        <v>150</v>
      </c>
      <c r="AD437" s="267">
        <v>250</v>
      </c>
      <c r="AE437" s="267">
        <v>250</v>
      </c>
      <c r="AF437" s="267">
        <v>250</v>
      </c>
      <c r="AG437" s="224">
        <v>900</v>
      </c>
      <c r="AH437" s="267">
        <v>150</v>
      </c>
      <c r="AI437" s="267">
        <v>250</v>
      </c>
      <c r="AJ437" s="267">
        <v>250</v>
      </c>
      <c r="AK437" s="267">
        <v>250</v>
      </c>
      <c r="AL437" s="224">
        <v>900</v>
      </c>
      <c r="AM437" s="104">
        <v>3198</v>
      </c>
      <c r="AN437" s="103" t="s">
        <v>685</v>
      </c>
      <c r="AO437" s="103" t="s">
        <v>618</v>
      </c>
      <c r="AP437" s="103" t="s">
        <v>1216</v>
      </c>
      <c r="AQ437" s="103" t="s">
        <v>1194</v>
      </c>
      <c r="AR437" s="103" t="s">
        <v>938</v>
      </c>
      <c r="AS437" s="271"/>
      <c r="AT437" s="271"/>
      <c r="AU437" s="271"/>
      <c r="AV437" s="271"/>
      <c r="AW437" s="271">
        <v>44228572</v>
      </c>
      <c r="AX437" s="271"/>
      <c r="AY437" s="271"/>
      <c r="AZ437" s="271"/>
      <c r="BA437" s="271"/>
      <c r="BB437" s="271"/>
      <c r="BC437" s="271"/>
      <c r="BD437" s="271"/>
      <c r="BE437" s="271"/>
      <c r="BF437" s="271"/>
      <c r="BG437" s="271"/>
      <c r="BH437" s="235">
        <v>44228572</v>
      </c>
      <c r="BI437" s="271"/>
      <c r="BJ437" s="271"/>
      <c r="BK437" s="271"/>
      <c r="BL437" s="271"/>
      <c r="BM437" s="271">
        <v>80000000</v>
      </c>
      <c r="BN437" s="271"/>
      <c r="BO437" s="271"/>
      <c r="BP437" s="271"/>
      <c r="BQ437" s="271"/>
      <c r="BR437" s="271"/>
      <c r="BS437" s="271"/>
      <c r="BT437" s="271"/>
      <c r="BU437" s="271"/>
      <c r="BV437" s="271"/>
      <c r="BW437" s="271"/>
      <c r="BX437" s="235">
        <v>80000000</v>
      </c>
      <c r="BY437" s="271"/>
      <c r="BZ437" s="271"/>
      <c r="CA437" s="271"/>
      <c r="CB437" s="271"/>
      <c r="CC437" s="271">
        <v>90000000</v>
      </c>
      <c r="CD437" s="271"/>
      <c r="CE437" s="271"/>
      <c r="CF437" s="271"/>
      <c r="CG437" s="271"/>
      <c r="CH437" s="271"/>
      <c r="CI437" s="271"/>
      <c r="CJ437" s="271"/>
      <c r="CK437" s="271"/>
      <c r="CL437" s="271"/>
      <c r="CM437" s="271"/>
      <c r="CN437" s="235">
        <v>90000000</v>
      </c>
      <c r="CO437" s="271"/>
      <c r="CP437" s="271"/>
      <c r="CQ437" s="271"/>
      <c r="CR437" s="271"/>
      <c r="CS437" s="271">
        <v>90000000</v>
      </c>
      <c r="CT437" s="271"/>
      <c r="CU437" s="271"/>
      <c r="CV437" s="271"/>
      <c r="CW437" s="271"/>
      <c r="CX437" s="271"/>
      <c r="CY437" s="271"/>
      <c r="CZ437" s="271"/>
      <c r="DA437" s="271"/>
      <c r="DB437" s="271"/>
      <c r="DC437" s="271"/>
      <c r="DD437" s="234">
        <v>90000000</v>
      </c>
      <c r="DE437" s="244">
        <v>304228572</v>
      </c>
    </row>
    <row r="438" spans="1:109" s="99" customFormat="1" ht="82.05" customHeight="1">
      <c r="A438" s="103" t="s">
        <v>1239</v>
      </c>
      <c r="B438" s="279" t="s">
        <v>9</v>
      </c>
      <c r="C438" s="279" t="s">
        <v>1694</v>
      </c>
      <c r="D438" s="279">
        <v>34</v>
      </c>
      <c r="E438" s="279" t="s">
        <v>1301</v>
      </c>
      <c r="F438" s="280" t="s">
        <v>418</v>
      </c>
      <c r="G438" s="279" t="s">
        <v>3543</v>
      </c>
      <c r="H438" s="279">
        <v>41</v>
      </c>
      <c r="I438" s="279" t="s">
        <v>1302</v>
      </c>
      <c r="J438" s="279" t="s">
        <v>683</v>
      </c>
      <c r="K438" s="279">
        <v>115645</v>
      </c>
      <c r="L438" s="279" t="s">
        <v>1304</v>
      </c>
      <c r="M438" s="279" t="s">
        <v>1330</v>
      </c>
      <c r="N438" s="279" t="s">
        <v>1331</v>
      </c>
      <c r="O438" s="279" t="s">
        <v>1332</v>
      </c>
      <c r="P438" s="283">
        <v>395</v>
      </c>
      <c r="Q438" s="279" t="s">
        <v>3567</v>
      </c>
      <c r="R438" s="279" t="s">
        <v>1334</v>
      </c>
      <c r="S438" s="279" t="s">
        <v>683</v>
      </c>
      <c r="T438" s="279">
        <v>0</v>
      </c>
      <c r="U438" s="267">
        <v>2</v>
      </c>
      <c r="V438" s="267"/>
      <c r="W438" s="224">
        <v>2</v>
      </c>
      <c r="X438" s="267"/>
      <c r="Y438" s="267"/>
      <c r="Z438" s="267"/>
      <c r="AA438" s="267"/>
      <c r="AB438" s="224">
        <v>0</v>
      </c>
      <c r="AC438" s="267"/>
      <c r="AD438" s="267"/>
      <c r="AE438" s="267"/>
      <c r="AF438" s="267"/>
      <c r="AG438" s="224">
        <v>0</v>
      </c>
      <c r="AH438" s="267"/>
      <c r="AI438" s="267"/>
      <c r="AJ438" s="267"/>
      <c r="AK438" s="267"/>
      <c r="AL438" s="224">
        <v>0</v>
      </c>
      <c r="AM438" s="104">
        <v>2</v>
      </c>
      <c r="AN438" s="103" t="s">
        <v>685</v>
      </c>
      <c r="AO438" s="103" t="s">
        <v>618</v>
      </c>
      <c r="AP438" s="103" t="s">
        <v>1216</v>
      </c>
      <c r="AQ438" s="103" t="s">
        <v>1194</v>
      </c>
      <c r="AR438" s="103" t="s">
        <v>938</v>
      </c>
      <c r="AS438" s="271"/>
      <c r="AT438" s="271"/>
      <c r="AU438" s="271"/>
      <c r="AV438" s="271"/>
      <c r="AW438" s="271">
        <v>15000000</v>
      </c>
      <c r="AX438" s="271"/>
      <c r="AY438" s="271"/>
      <c r="AZ438" s="271"/>
      <c r="BA438" s="271"/>
      <c r="BB438" s="271"/>
      <c r="BC438" s="271"/>
      <c r="BD438" s="271"/>
      <c r="BE438" s="271"/>
      <c r="BF438" s="271"/>
      <c r="BG438" s="271"/>
      <c r="BH438" s="235">
        <v>15000000</v>
      </c>
      <c r="BI438" s="271"/>
      <c r="BJ438" s="271"/>
      <c r="BK438" s="271"/>
      <c r="BL438" s="271"/>
      <c r="BM438" s="271"/>
      <c r="BN438" s="271"/>
      <c r="BO438" s="271"/>
      <c r="BP438" s="271"/>
      <c r="BQ438" s="271"/>
      <c r="BR438" s="271"/>
      <c r="BS438" s="271"/>
      <c r="BT438" s="271"/>
      <c r="BU438" s="271"/>
      <c r="BV438" s="271"/>
      <c r="BW438" s="271"/>
      <c r="BX438" s="235">
        <v>0</v>
      </c>
      <c r="BY438" s="271"/>
      <c r="BZ438" s="271"/>
      <c r="CA438" s="271"/>
      <c r="CB438" s="271"/>
      <c r="CC438" s="271"/>
      <c r="CD438" s="271"/>
      <c r="CE438" s="271"/>
      <c r="CF438" s="271"/>
      <c r="CG438" s="271"/>
      <c r="CH438" s="271"/>
      <c r="CI438" s="271"/>
      <c r="CJ438" s="271"/>
      <c r="CK438" s="271"/>
      <c r="CL438" s="271"/>
      <c r="CM438" s="271"/>
      <c r="CN438" s="235">
        <v>0</v>
      </c>
      <c r="CO438" s="271"/>
      <c r="CP438" s="271"/>
      <c r="CQ438" s="271"/>
      <c r="CR438" s="271"/>
      <c r="CS438" s="271"/>
      <c r="CT438" s="271"/>
      <c r="CU438" s="271"/>
      <c r="CV438" s="271"/>
      <c r="CW438" s="271"/>
      <c r="CX438" s="271"/>
      <c r="CY438" s="271"/>
      <c r="CZ438" s="271"/>
      <c r="DA438" s="271"/>
      <c r="DB438" s="271"/>
      <c r="DC438" s="271"/>
      <c r="DD438" s="234">
        <v>0</v>
      </c>
      <c r="DE438" s="244">
        <v>15000000</v>
      </c>
    </row>
    <row r="439" spans="1:109" s="99" customFormat="1" ht="82.05" customHeight="1">
      <c r="A439" s="103" t="s">
        <v>1239</v>
      </c>
      <c r="B439" s="279" t="s">
        <v>9</v>
      </c>
      <c r="C439" s="279" t="s">
        <v>1694</v>
      </c>
      <c r="D439" s="279">
        <v>34</v>
      </c>
      <c r="E439" s="279" t="s">
        <v>1301</v>
      </c>
      <c r="F439" s="280" t="s">
        <v>418</v>
      </c>
      <c r="G439" s="279" t="s">
        <v>3543</v>
      </c>
      <c r="H439" s="279">
        <v>41</v>
      </c>
      <c r="I439" s="279" t="s">
        <v>1302</v>
      </c>
      <c r="J439" s="279" t="s">
        <v>683</v>
      </c>
      <c r="K439" s="279">
        <v>115645</v>
      </c>
      <c r="L439" s="279" t="s">
        <v>1304</v>
      </c>
      <c r="M439" s="279" t="s">
        <v>1335</v>
      </c>
      <c r="N439" s="279" t="s">
        <v>1336</v>
      </c>
      <c r="O439" s="279" t="s">
        <v>1337</v>
      </c>
      <c r="P439" s="283">
        <v>396</v>
      </c>
      <c r="Q439" s="279" t="s">
        <v>3138</v>
      </c>
      <c r="R439" s="279" t="s">
        <v>1338</v>
      </c>
      <c r="S439" s="279" t="s">
        <v>683</v>
      </c>
      <c r="T439" s="104">
        <v>4079</v>
      </c>
      <c r="U439" s="267"/>
      <c r="V439" s="267"/>
      <c r="W439" s="224">
        <v>0</v>
      </c>
      <c r="X439" s="267"/>
      <c r="Y439" s="267"/>
      <c r="Z439" s="267">
        <v>600</v>
      </c>
      <c r="AA439" s="267">
        <v>400</v>
      </c>
      <c r="AB439" s="224">
        <v>1000</v>
      </c>
      <c r="AC439" s="267"/>
      <c r="AD439" s="267"/>
      <c r="AE439" s="267">
        <v>600</v>
      </c>
      <c r="AF439" s="267">
        <v>400</v>
      </c>
      <c r="AG439" s="224">
        <v>1000</v>
      </c>
      <c r="AH439" s="267"/>
      <c r="AI439" s="267"/>
      <c r="AJ439" s="267">
        <v>600</v>
      </c>
      <c r="AK439" s="267">
        <v>400</v>
      </c>
      <c r="AL439" s="224">
        <v>1000</v>
      </c>
      <c r="AM439" s="104">
        <v>3000</v>
      </c>
      <c r="AN439" s="103" t="s">
        <v>685</v>
      </c>
      <c r="AO439" s="103" t="s">
        <v>618</v>
      </c>
      <c r="AP439" s="103" t="s">
        <v>1216</v>
      </c>
      <c r="AQ439" s="103" t="s">
        <v>1194</v>
      </c>
      <c r="AR439" s="103" t="s">
        <v>938</v>
      </c>
      <c r="AS439" s="271"/>
      <c r="AT439" s="271"/>
      <c r="AU439" s="271"/>
      <c r="AV439" s="271"/>
      <c r="AW439" s="271"/>
      <c r="AX439" s="271"/>
      <c r="AY439" s="271"/>
      <c r="AZ439" s="271"/>
      <c r="BA439" s="271"/>
      <c r="BB439" s="271"/>
      <c r="BC439" s="271"/>
      <c r="BD439" s="271"/>
      <c r="BE439" s="271"/>
      <c r="BF439" s="271"/>
      <c r="BG439" s="271"/>
      <c r="BH439" s="235">
        <v>0</v>
      </c>
      <c r="BI439" s="271"/>
      <c r="BJ439" s="271"/>
      <c r="BK439" s="271"/>
      <c r="BL439" s="271"/>
      <c r="BM439" s="271">
        <v>20000000</v>
      </c>
      <c r="BN439" s="271"/>
      <c r="BO439" s="271"/>
      <c r="BP439" s="271"/>
      <c r="BQ439" s="271"/>
      <c r="BR439" s="271"/>
      <c r="BS439" s="271"/>
      <c r="BT439" s="271"/>
      <c r="BU439" s="271"/>
      <c r="BV439" s="271"/>
      <c r="BW439" s="271"/>
      <c r="BX439" s="235">
        <v>20000000</v>
      </c>
      <c r="BY439" s="271"/>
      <c r="BZ439" s="271"/>
      <c r="CA439" s="271"/>
      <c r="CB439" s="271"/>
      <c r="CC439" s="271">
        <v>20000000</v>
      </c>
      <c r="CD439" s="271"/>
      <c r="CE439" s="271"/>
      <c r="CF439" s="271"/>
      <c r="CG439" s="271"/>
      <c r="CH439" s="271"/>
      <c r="CI439" s="271"/>
      <c r="CJ439" s="271"/>
      <c r="CK439" s="271"/>
      <c r="CL439" s="271"/>
      <c r="CM439" s="271"/>
      <c r="CN439" s="235">
        <v>20000000</v>
      </c>
      <c r="CO439" s="271"/>
      <c r="CP439" s="271"/>
      <c r="CQ439" s="271"/>
      <c r="CR439" s="271"/>
      <c r="CS439" s="271">
        <v>20000000</v>
      </c>
      <c r="CT439" s="271"/>
      <c r="CU439" s="271"/>
      <c r="CV439" s="271"/>
      <c r="CW439" s="271"/>
      <c r="CX439" s="271"/>
      <c r="CY439" s="271"/>
      <c r="CZ439" s="271"/>
      <c r="DA439" s="271"/>
      <c r="DB439" s="271"/>
      <c r="DC439" s="271"/>
      <c r="DD439" s="234">
        <v>20000000</v>
      </c>
      <c r="DE439" s="244">
        <v>60000000</v>
      </c>
    </row>
    <row r="440" spans="1:109" s="99" customFormat="1" ht="82.05" customHeight="1">
      <c r="A440" s="103" t="s">
        <v>1239</v>
      </c>
      <c r="B440" s="279" t="s">
        <v>9</v>
      </c>
      <c r="C440" s="279" t="s">
        <v>1694</v>
      </c>
      <c r="D440" s="279">
        <v>34</v>
      </c>
      <c r="E440" s="279" t="s">
        <v>1301</v>
      </c>
      <c r="F440" s="280" t="s">
        <v>418</v>
      </c>
      <c r="G440" s="279" t="s">
        <v>3445</v>
      </c>
      <c r="H440" s="279">
        <v>42</v>
      </c>
      <c r="I440" s="279" t="s">
        <v>1303</v>
      </c>
      <c r="J440" s="279" t="s">
        <v>677</v>
      </c>
      <c r="K440" s="279">
        <v>30</v>
      </c>
      <c r="L440" s="279" t="s">
        <v>1305</v>
      </c>
      <c r="M440" s="279" t="s">
        <v>1335</v>
      </c>
      <c r="N440" s="279" t="s">
        <v>1336</v>
      </c>
      <c r="O440" s="279" t="s">
        <v>1337</v>
      </c>
      <c r="P440" s="283">
        <v>397</v>
      </c>
      <c r="Q440" s="279" t="s">
        <v>3447</v>
      </c>
      <c r="R440" s="279" t="s">
        <v>1339</v>
      </c>
      <c r="S440" s="279" t="s">
        <v>683</v>
      </c>
      <c r="T440" s="279">
        <v>1</v>
      </c>
      <c r="U440" s="267"/>
      <c r="V440" s="267"/>
      <c r="W440" s="224">
        <v>0</v>
      </c>
      <c r="X440" s="267"/>
      <c r="Y440" s="267"/>
      <c r="Z440" s="267"/>
      <c r="AA440" s="267"/>
      <c r="AB440" s="224">
        <v>0</v>
      </c>
      <c r="AC440" s="267"/>
      <c r="AD440" s="267"/>
      <c r="AE440" s="267"/>
      <c r="AF440" s="267"/>
      <c r="AG440" s="224">
        <v>0</v>
      </c>
      <c r="AH440" s="267"/>
      <c r="AI440" s="267"/>
      <c r="AJ440" s="267"/>
      <c r="AK440" s="267">
        <v>1</v>
      </c>
      <c r="AL440" s="224">
        <v>1</v>
      </c>
      <c r="AM440" s="104">
        <v>1</v>
      </c>
      <c r="AN440" s="103" t="s">
        <v>686</v>
      </c>
      <c r="AO440" s="103" t="s">
        <v>618</v>
      </c>
      <c r="AP440" s="103" t="s">
        <v>1216</v>
      </c>
      <c r="AQ440" s="103" t="s">
        <v>1194</v>
      </c>
      <c r="AR440" s="103" t="s">
        <v>938</v>
      </c>
      <c r="AS440" s="271"/>
      <c r="AT440" s="271"/>
      <c r="AU440" s="271"/>
      <c r="AV440" s="271"/>
      <c r="AW440" s="271"/>
      <c r="AX440" s="271"/>
      <c r="AY440" s="271"/>
      <c r="AZ440" s="271"/>
      <c r="BA440" s="271"/>
      <c r="BB440" s="271"/>
      <c r="BC440" s="271"/>
      <c r="BD440" s="271"/>
      <c r="BE440" s="271"/>
      <c r="BF440" s="271"/>
      <c r="BG440" s="271"/>
      <c r="BH440" s="235">
        <v>0</v>
      </c>
      <c r="BI440" s="271"/>
      <c r="BJ440" s="271"/>
      <c r="BK440" s="271"/>
      <c r="BL440" s="271"/>
      <c r="BM440" s="271"/>
      <c r="BN440" s="271"/>
      <c r="BO440" s="271"/>
      <c r="BP440" s="271"/>
      <c r="BQ440" s="271"/>
      <c r="BR440" s="271"/>
      <c r="BS440" s="271"/>
      <c r="BT440" s="271"/>
      <c r="BU440" s="271"/>
      <c r="BV440" s="271"/>
      <c r="BW440" s="271"/>
      <c r="BX440" s="235">
        <v>0</v>
      </c>
      <c r="BY440" s="271"/>
      <c r="BZ440" s="271"/>
      <c r="CA440" s="271"/>
      <c r="CB440" s="271"/>
      <c r="CC440" s="271"/>
      <c r="CD440" s="271"/>
      <c r="CE440" s="271"/>
      <c r="CF440" s="271"/>
      <c r="CG440" s="271"/>
      <c r="CH440" s="271"/>
      <c r="CI440" s="271"/>
      <c r="CJ440" s="271"/>
      <c r="CK440" s="271"/>
      <c r="CL440" s="271"/>
      <c r="CM440" s="271"/>
      <c r="CN440" s="235">
        <v>0</v>
      </c>
      <c r="CO440" s="271"/>
      <c r="CP440" s="271"/>
      <c r="CQ440" s="271"/>
      <c r="CR440" s="271"/>
      <c r="CS440" s="271">
        <v>60000000</v>
      </c>
      <c r="CT440" s="271"/>
      <c r="CU440" s="271"/>
      <c r="CV440" s="271"/>
      <c r="CW440" s="271"/>
      <c r="CX440" s="271"/>
      <c r="CY440" s="271"/>
      <c r="CZ440" s="271"/>
      <c r="DA440" s="271"/>
      <c r="DB440" s="271"/>
      <c r="DC440" s="271"/>
      <c r="DD440" s="234">
        <v>60000000</v>
      </c>
      <c r="DE440" s="244">
        <v>60000000</v>
      </c>
    </row>
    <row r="441" spans="1:109" s="99" customFormat="1" ht="82.05" customHeight="1">
      <c r="A441" s="103" t="s">
        <v>1239</v>
      </c>
      <c r="B441" s="279" t="s">
        <v>9</v>
      </c>
      <c r="C441" s="279" t="s">
        <v>1694</v>
      </c>
      <c r="D441" s="279">
        <v>34</v>
      </c>
      <c r="E441" s="279" t="s">
        <v>1301</v>
      </c>
      <c r="F441" s="280" t="s">
        <v>418</v>
      </c>
      <c r="G441" s="279" t="s">
        <v>3445</v>
      </c>
      <c r="H441" s="279">
        <v>42</v>
      </c>
      <c r="I441" s="279" t="s">
        <v>1303</v>
      </c>
      <c r="J441" s="279" t="s">
        <v>677</v>
      </c>
      <c r="K441" s="279">
        <v>30</v>
      </c>
      <c r="L441" s="279" t="s">
        <v>1305</v>
      </c>
      <c r="M441" s="279" t="s">
        <v>1335</v>
      </c>
      <c r="N441" s="279" t="s">
        <v>1336</v>
      </c>
      <c r="O441" s="279" t="s">
        <v>1337</v>
      </c>
      <c r="P441" s="283">
        <v>398</v>
      </c>
      <c r="Q441" s="279" t="s">
        <v>3139</v>
      </c>
      <c r="R441" s="279" t="s">
        <v>1339</v>
      </c>
      <c r="S441" s="279" t="s">
        <v>683</v>
      </c>
      <c r="T441" s="279">
        <v>1</v>
      </c>
      <c r="U441" s="267"/>
      <c r="V441" s="267"/>
      <c r="W441" s="224">
        <v>0</v>
      </c>
      <c r="X441" s="267"/>
      <c r="Y441" s="267"/>
      <c r="Z441" s="267"/>
      <c r="AA441" s="267">
        <v>1</v>
      </c>
      <c r="AB441" s="224">
        <v>1</v>
      </c>
      <c r="AC441" s="267"/>
      <c r="AD441" s="267"/>
      <c r="AE441" s="267"/>
      <c r="AF441" s="267">
        <v>1</v>
      </c>
      <c r="AG441" s="224">
        <v>1</v>
      </c>
      <c r="AH441" s="267"/>
      <c r="AI441" s="267"/>
      <c r="AJ441" s="267"/>
      <c r="AK441" s="267"/>
      <c r="AL441" s="224">
        <v>0</v>
      </c>
      <c r="AM441" s="104">
        <v>2</v>
      </c>
      <c r="AN441" s="103" t="s">
        <v>685</v>
      </c>
      <c r="AO441" s="103" t="s">
        <v>618</v>
      </c>
      <c r="AP441" s="103" t="s">
        <v>1216</v>
      </c>
      <c r="AQ441" s="103" t="s">
        <v>1194</v>
      </c>
      <c r="AR441" s="103" t="s">
        <v>938</v>
      </c>
      <c r="AS441" s="271"/>
      <c r="AT441" s="271"/>
      <c r="AU441" s="271"/>
      <c r="AV441" s="271"/>
      <c r="AW441" s="271"/>
      <c r="AX441" s="271"/>
      <c r="AY441" s="271"/>
      <c r="AZ441" s="271"/>
      <c r="BA441" s="271"/>
      <c r="BB441" s="271"/>
      <c r="BC441" s="271"/>
      <c r="BD441" s="271"/>
      <c r="BE441" s="271"/>
      <c r="BF441" s="271"/>
      <c r="BG441" s="271"/>
      <c r="BH441" s="235">
        <v>0</v>
      </c>
      <c r="BI441" s="271"/>
      <c r="BJ441" s="271"/>
      <c r="BK441" s="271"/>
      <c r="BL441" s="271"/>
      <c r="BM441" s="271">
        <v>60000000</v>
      </c>
      <c r="BN441" s="271"/>
      <c r="BO441" s="271"/>
      <c r="BP441" s="271"/>
      <c r="BQ441" s="271"/>
      <c r="BR441" s="271"/>
      <c r="BS441" s="271"/>
      <c r="BT441" s="271"/>
      <c r="BU441" s="271"/>
      <c r="BV441" s="271"/>
      <c r="BW441" s="271"/>
      <c r="BX441" s="235">
        <v>60000000</v>
      </c>
      <c r="BY441" s="271"/>
      <c r="BZ441" s="271"/>
      <c r="CA441" s="271"/>
      <c r="CB441" s="271"/>
      <c r="CC441" s="271">
        <v>60000000</v>
      </c>
      <c r="CD441" s="271"/>
      <c r="CE441" s="271"/>
      <c r="CF441" s="271"/>
      <c r="CG441" s="271"/>
      <c r="CH441" s="271"/>
      <c r="CI441" s="271"/>
      <c r="CJ441" s="271"/>
      <c r="CK441" s="271"/>
      <c r="CL441" s="271"/>
      <c r="CM441" s="271"/>
      <c r="CN441" s="235">
        <v>60000000</v>
      </c>
      <c r="CO441" s="271"/>
      <c r="CP441" s="271"/>
      <c r="CQ441" s="271"/>
      <c r="CR441" s="271"/>
      <c r="CS441" s="271"/>
      <c r="CT441" s="271"/>
      <c r="CU441" s="271"/>
      <c r="CV441" s="271"/>
      <c r="CW441" s="271"/>
      <c r="CX441" s="271"/>
      <c r="CY441" s="271"/>
      <c r="CZ441" s="271"/>
      <c r="DA441" s="271"/>
      <c r="DB441" s="271"/>
      <c r="DC441" s="271"/>
      <c r="DD441" s="234">
        <v>0</v>
      </c>
      <c r="DE441" s="244">
        <v>120000000</v>
      </c>
    </row>
    <row r="442" spans="1:109" s="99" customFormat="1" ht="82.05" customHeight="1">
      <c r="A442" s="120" t="s">
        <v>1239</v>
      </c>
      <c r="B442" s="281" t="s">
        <v>9</v>
      </c>
      <c r="C442" s="281" t="s">
        <v>1694</v>
      </c>
      <c r="D442" s="281">
        <v>34</v>
      </c>
      <c r="E442" s="281" t="s">
        <v>1301</v>
      </c>
      <c r="F442" s="282" t="s">
        <v>418</v>
      </c>
      <c r="G442" s="281" t="s">
        <v>3445</v>
      </c>
      <c r="H442" s="281">
        <v>42</v>
      </c>
      <c r="I442" s="281" t="s">
        <v>1303</v>
      </c>
      <c r="J442" s="281" t="s">
        <v>677</v>
      </c>
      <c r="K442" s="281">
        <v>30</v>
      </c>
      <c r="L442" s="281" t="s">
        <v>1305</v>
      </c>
      <c r="M442" s="281" t="s">
        <v>1335</v>
      </c>
      <c r="N442" s="281" t="s">
        <v>1336</v>
      </c>
      <c r="O442" s="281" t="s">
        <v>1337</v>
      </c>
      <c r="P442" s="283">
        <v>399</v>
      </c>
      <c r="Q442" s="281" t="s">
        <v>3140</v>
      </c>
      <c r="R442" s="281" t="s">
        <v>1340</v>
      </c>
      <c r="S442" s="281" t="s">
        <v>683</v>
      </c>
      <c r="T442" s="281">
        <v>3</v>
      </c>
      <c r="U442" s="275"/>
      <c r="V442" s="275"/>
      <c r="W442" s="225">
        <v>0</v>
      </c>
      <c r="X442" s="275"/>
      <c r="Y442" s="275"/>
      <c r="Z442" s="275">
        <v>1</v>
      </c>
      <c r="AA442" s="275"/>
      <c r="AB442" s="225">
        <v>1</v>
      </c>
      <c r="AC442" s="275"/>
      <c r="AD442" s="275"/>
      <c r="AE442" s="275">
        <v>1</v>
      </c>
      <c r="AF442" s="275"/>
      <c r="AG442" s="225">
        <v>1</v>
      </c>
      <c r="AH442" s="275"/>
      <c r="AI442" s="275"/>
      <c r="AJ442" s="275">
        <v>1</v>
      </c>
      <c r="AK442" s="275"/>
      <c r="AL442" s="225">
        <v>1</v>
      </c>
      <c r="AM442" s="119">
        <v>3</v>
      </c>
      <c r="AN442" s="120" t="s">
        <v>685</v>
      </c>
      <c r="AO442" s="120" t="s">
        <v>618</v>
      </c>
      <c r="AP442" s="120" t="s">
        <v>1216</v>
      </c>
      <c r="AQ442" s="120" t="s">
        <v>1194</v>
      </c>
      <c r="AR442" s="120" t="s">
        <v>938</v>
      </c>
      <c r="AS442" s="276"/>
      <c r="AT442" s="276"/>
      <c r="AU442" s="276"/>
      <c r="AV442" s="276"/>
      <c r="AW442" s="276"/>
      <c r="AX442" s="276"/>
      <c r="AY442" s="276"/>
      <c r="AZ442" s="276"/>
      <c r="BA442" s="276"/>
      <c r="BB442" s="276"/>
      <c r="BC442" s="276"/>
      <c r="BD442" s="276"/>
      <c r="BE442" s="276"/>
      <c r="BF442" s="276"/>
      <c r="BG442" s="276"/>
      <c r="BH442" s="236">
        <v>0</v>
      </c>
      <c r="BI442" s="276"/>
      <c r="BJ442" s="276"/>
      <c r="BK442" s="276"/>
      <c r="BL442" s="276"/>
      <c r="BM442" s="276">
        <v>120000000</v>
      </c>
      <c r="BN442" s="276"/>
      <c r="BO442" s="276"/>
      <c r="BP442" s="276"/>
      <c r="BQ442" s="276"/>
      <c r="BR442" s="276"/>
      <c r="BS442" s="276"/>
      <c r="BT442" s="276"/>
      <c r="BU442" s="276"/>
      <c r="BV442" s="276"/>
      <c r="BW442" s="276"/>
      <c r="BX442" s="236">
        <v>120000000</v>
      </c>
      <c r="BY442" s="276"/>
      <c r="BZ442" s="276"/>
      <c r="CA442" s="276"/>
      <c r="CB442" s="276"/>
      <c r="CC442" s="276">
        <v>130000000</v>
      </c>
      <c r="CD442" s="276"/>
      <c r="CE442" s="276"/>
      <c r="CF442" s="276"/>
      <c r="CG442" s="276"/>
      <c r="CH442" s="276"/>
      <c r="CI442" s="276"/>
      <c r="CJ442" s="276"/>
      <c r="CK442" s="276"/>
      <c r="CL442" s="276"/>
      <c r="CM442" s="276"/>
      <c r="CN442" s="236">
        <v>130000000</v>
      </c>
      <c r="CO442" s="276"/>
      <c r="CP442" s="276"/>
      <c r="CQ442" s="276"/>
      <c r="CR442" s="276"/>
      <c r="CS442" s="276">
        <v>130000000</v>
      </c>
      <c r="CT442" s="276"/>
      <c r="CU442" s="276"/>
      <c r="CV442" s="276"/>
      <c r="CW442" s="276"/>
      <c r="CX442" s="276"/>
      <c r="CY442" s="276"/>
      <c r="CZ442" s="276"/>
      <c r="DA442" s="276"/>
      <c r="DB442" s="276"/>
      <c r="DC442" s="276"/>
      <c r="DD442" s="240">
        <v>130000000</v>
      </c>
      <c r="DE442" s="245">
        <v>380000000</v>
      </c>
    </row>
    <row r="443" spans="1:109" s="46" customFormat="1" ht="65.099999999999994" customHeight="1">
      <c r="A443" s="134" t="s">
        <v>1239</v>
      </c>
      <c r="B443" s="134" t="s">
        <v>9</v>
      </c>
      <c r="C443" s="134" t="s">
        <v>1694</v>
      </c>
      <c r="D443" s="134">
        <v>34</v>
      </c>
      <c r="E443" s="134" t="s">
        <v>1301</v>
      </c>
      <c r="F443" s="135"/>
      <c r="G443" s="136"/>
      <c r="H443" s="137"/>
      <c r="I443" s="137"/>
      <c r="J443" s="137"/>
      <c r="K443" s="138"/>
      <c r="L443" s="137"/>
      <c r="M443" s="137"/>
      <c r="N443" s="137"/>
      <c r="O443" s="137"/>
      <c r="P443" s="137"/>
      <c r="Q443" s="136"/>
      <c r="R443" s="139"/>
      <c r="S443" s="137"/>
      <c r="T443" s="137"/>
      <c r="U443" s="140"/>
      <c r="V443" s="140"/>
      <c r="W443" s="138"/>
      <c r="X443" s="140"/>
      <c r="Y443" s="140"/>
      <c r="Z443" s="140"/>
      <c r="AA443" s="140"/>
      <c r="AB443" s="138"/>
      <c r="AC443" s="140"/>
      <c r="AD443" s="140"/>
      <c r="AE443" s="140"/>
      <c r="AF443" s="140"/>
      <c r="AG443" s="138"/>
      <c r="AH443" s="140"/>
      <c r="AI443" s="140"/>
      <c r="AJ443" s="140"/>
      <c r="AK443" s="140"/>
      <c r="AL443" s="138"/>
      <c r="AM443" s="141"/>
      <c r="AN443" s="142"/>
      <c r="AO443" s="142"/>
      <c r="AP443" s="143"/>
      <c r="AQ443" s="143"/>
      <c r="AR443" s="144"/>
      <c r="AS443" s="132">
        <f t="shared" ref="AS443:BG443" si="157">SUM(AS413:AS442)</f>
        <v>0</v>
      </c>
      <c r="AT443" s="132">
        <f t="shared" si="157"/>
        <v>0</v>
      </c>
      <c r="AU443" s="132">
        <f t="shared" si="157"/>
        <v>0</v>
      </c>
      <c r="AV443" s="132">
        <f t="shared" si="157"/>
        <v>0</v>
      </c>
      <c r="AW443" s="132">
        <f t="shared" si="157"/>
        <v>784538192</v>
      </c>
      <c r="AX443" s="132">
        <f t="shared" si="157"/>
        <v>0</v>
      </c>
      <c r="AY443" s="132">
        <f t="shared" si="157"/>
        <v>0</v>
      </c>
      <c r="AZ443" s="132">
        <f t="shared" si="157"/>
        <v>0</v>
      </c>
      <c r="BA443" s="132">
        <f t="shared" si="157"/>
        <v>0</v>
      </c>
      <c r="BB443" s="132">
        <f t="shared" si="157"/>
        <v>0</v>
      </c>
      <c r="BC443" s="132">
        <f t="shared" si="157"/>
        <v>0</v>
      </c>
      <c r="BD443" s="132">
        <f t="shared" si="157"/>
        <v>0</v>
      </c>
      <c r="BE443" s="132">
        <f t="shared" si="157"/>
        <v>0</v>
      </c>
      <c r="BF443" s="132">
        <f t="shared" si="157"/>
        <v>0</v>
      </c>
      <c r="BG443" s="132">
        <f t="shared" si="157"/>
        <v>0</v>
      </c>
      <c r="BH443" s="133">
        <f>IF(OR(AND(BH413=0,W413&lt;&gt;0),AND(BH414=0,W414&lt;&gt;0),AND(BH415=0,W415&lt;&gt;0),AND(BH416=0,W416&lt;&gt;0),AND(BH417=0,W417&lt;&gt;0),AND(BH418=0,W418&lt;&gt;0),AND(BH419=0,W419&lt;&gt;0),AND(BH420=0,W420&lt;&gt;0),AND(BH421=0,W421&lt;&gt;0),AND(BH422=0,W422&lt;&gt;0),AND(BH423=0,W423&lt;&gt;0),AND(BH424=0,W424&lt;&gt;0),AND(BH425=0,W425&lt;&gt;0),AND(BH426=0,W426&lt;&gt;0),AND(BH427=0,W427&lt;&gt;0),AND(BH428=0,W428&lt;&gt;0),AND(BH429=0,W429&lt;&gt;0),AND(BH430=0,W430&lt;&gt;0),AND(BH431=0,W431&lt;&gt;0),AND(BH432=0,W432&lt;&gt;0),AND(DD433=0,AL433&lt;&gt;0),AND(DD434=0,AL434&lt;&gt;0),AND(DD435=0,AL435&lt;&gt;0),AND(DD436=0,AL436&lt;&gt;0),AND(BH437=0,W437&lt;&gt;0),AND(BH438=0,W438&lt;&gt;0),AND(BH439=0,W439&lt;&gt;0),AND(BH440=0,W440&lt;&gt;0),AND(BH441=0,W441&lt;&gt;0),AND(BH442=0,W442&lt;&gt;0)),"NO DEBEN QUEDAR CELDAS EN ROJO",SUM(BH413:BH442))</f>
        <v>784538192</v>
      </c>
      <c r="BI443" s="132">
        <f t="shared" ref="BI443:BW443" si="158">SUM(BI413:BI442)</f>
        <v>0</v>
      </c>
      <c r="BJ443" s="132">
        <f t="shared" si="158"/>
        <v>0</v>
      </c>
      <c r="BK443" s="132">
        <f t="shared" si="158"/>
        <v>0</v>
      </c>
      <c r="BL443" s="132">
        <f t="shared" si="158"/>
        <v>0</v>
      </c>
      <c r="BM443" s="132">
        <f t="shared" si="158"/>
        <v>1050000000</v>
      </c>
      <c r="BN443" s="132">
        <f t="shared" si="158"/>
        <v>0</v>
      </c>
      <c r="BO443" s="132">
        <f t="shared" si="158"/>
        <v>0</v>
      </c>
      <c r="BP443" s="132">
        <f t="shared" si="158"/>
        <v>0</v>
      </c>
      <c r="BQ443" s="132">
        <f t="shared" si="158"/>
        <v>0</v>
      </c>
      <c r="BR443" s="132">
        <f t="shared" si="158"/>
        <v>0</v>
      </c>
      <c r="BS443" s="132">
        <f t="shared" si="158"/>
        <v>0</v>
      </c>
      <c r="BT443" s="132">
        <f t="shared" si="158"/>
        <v>0</v>
      </c>
      <c r="BU443" s="132">
        <f t="shared" si="158"/>
        <v>0</v>
      </c>
      <c r="BV443" s="132">
        <f t="shared" si="158"/>
        <v>0</v>
      </c>
      <c r="BW443" s="132">
        <f t="shared" si="158"/>
        <v>0</v>
      </c>
      <c r="BX443" s="133">
        <f>IF(OR(AND(BX413=0,AB413&lt;&gt;0),AND(BX414=0,AB414&lt;&gt;0),AND(BX415=0,AB415&lt;&gt;0),AND(BX416=0,AB416&lt;&gt;0),AND(BX417=0,AB417&lt;&gt;0),AND(BX418=0,AB418&lt;&gt;0),AND(BX419=0,AB419&lt;&gt;0),AND(BX420=0,AB420&lt;&gt;0),AND(BX421=0,AB421&lt;&gt;0),AND(BX422=0,AB422&lt;&gt;0),AND(BX423=0,AB423&lt;&gt;0),AND(BX424=0,AB424&lt;&gt;0),AND(BX425=0,AB425&lt;&gt;0),AND(BX426=0,AB426&lt;&gt;0),AND(BX427=0,AB427&lt;&gt;0),AND(BX428=0,AB428&lt;&gt;0),AND(BX429=0,AB429&lt;&gt;0),AND(BX430=0,AB430&lt;&gt;0),AND(BX431=0,AB431&lt;&gt;0),AND(BX432=0,AB432&lt;&gt;0),AND(DD433=0,AL433&lt;&gt;0),AND(DD434=0,AL434&lt;&gt;0),AND(DD435=0,AL435&lt;&gt;0),AND(DD436=0,AL436&lt;&gt;0),AND(BX437=0,AB437&lt;&gt;0),AND(BX438=0,AB438&lt;&gt;0),AND(BX439=0,AB439&lt;&gt;0),AND(BX440=0,AB440&lt;&gt;0),AND(BX441=0,AB441&lt;&gt;0),AND(BX442=0,AB442&lt;&gt;0)),"NO DEBEN QUEDAR CELDAS EN ROJO",SUM(BX413:BX442))</f>
        <v>1050000000</v>
      </c>
      <c r="BY443" s="132">
        <f t="shared" ref="BY443:CM443" si="159">SUM(BY413:BY442)</f>
        <v>0</v>
      </c>
      <c r="BZ443" s="132">
        <f t="shared" si="159"/>
        <v>0</v>
      </c>
      <c r="CA443" s="132">
        <f t="shared" si="159"/>
        <v>0</v>
      </c>
      <c r="CB443" s="132">
        <f t="shared" si="159"/>
        <v>0</v>
      </c>
      <c r="CC443" s="132">
        <f t="shared" si="159"/>
        <v>1110000000</v>
      </c>
      <c r="CD443" s="132">
        <f t="shared" si="159"/>
        <v>0</v>
      </c>
      <c r="CE443" s="132">
        <f t="shared" si="159"/>
        <v>0</v>
      </c>
      <c r="CF443" s="132">
        <f t="shared" si="159"/>
        <v>0</v>
      </c>
      <c r="CG443" s="132">
        <f t="shared" si="159"/>
        <v>0</v>
      </c>
      <c r="CH443" s="132">
        <f t="shared" si="159"/>
        <v>0</v>
      </c>
      <c r="CI443" s="132">
        <f t="shared" si="159"/>
        <v>0</v>
      </c>
      <c r="CJ443" s="132">
        <f t="shared" si="159"/>
        <v>0</v>
      </c>
      <c r="CK443" s="132">
        <f t="shared" si="159"/>
        <v>0</v>
      </c>
      <c r="CL443" s="132">
        <f t="shared" si="159"/>
        <v>0</v>
      </c>
      <c r="CM443" s="132">
        <f t="shared" si="159"/>
        <v>0</v>
      </c>
      <c r="CN443" s="133">
        <f>IF(OR(AND(CN413=0,AG413&lt;&gt;0),AND(CN414=0,AG414&lt;&gt;0),AND(CN415=0,AG415&lt;&gt;0),AND(CN416=0,AG416&lt;&gt;0),AND(CN417=0,AG417&lt;&gt;0),AND(CN418=0,AG418&lt;&gt;0),AND(CN419=0,AG419&lt;&gt;0),AND(CN420=0,AG420&lt;&gt;0),AND(CN421=0,AG421&lt;&gt;0),AND(CN422=0,AG422&lt;&gt;0),AND(CN423=0,AG423&lt;&gt;0),AND(CN424=0,AG424&lt;&gt;0),AND(CN425=0,AG425&lt;&gt;0),AND(CN426=0,AG426&lt;&gt;0),AND(CN427=0,AG427&lt;&gt;0),AND(CN428=0,AG428&lt;&gt;0),AND(CN429=0,AG429&lt;&gt;0),AND(CN430=0,AG430&lt;&gt;0),AND(CN431=0,AG431&lt;&gt;0),AND(CN432=0,AG432&lt;&gt;0),AND(DD433=0,AL433&lt;&gt;0),AND(DD434=0,AL434&lt;&gt;0),AND(DD435=0,AL435&lt;&gt;0),AND(DD436=0,AL436&lt;&gt;0),AND(CN437=0,AG437&lt;&gt;0),AND(CN438=0,AG438&lt;&gt;0),AND(CN439=0,AG439&lt;&gt;0),AND(CN440=0,AG440&lt;&gt;0),AND(CN441=0,AG441&lt;&gt;0),AND(CN442=0,AG442&lt;&gt;0)),"NO DEBEN QUEDAR CELDAS EN ROJO",SUM(CN413:CN442))</f>
        <v>1110000000</v>
      </c>
      <c r="CO443" s="132">
        <f t="shared" ref="CO443:DC443" si="160">SUM(CO413:CO442)</f>
        <v>0</v>
      </c>
      <c r="CP443" s="132">
        <f t="shared" si="160"/>
        <v>0</v>
      </c>
      <c r="CQ443" s="132">
        <f t="shared" si="160"/>
        <v>0</v>
      </c>
      <c r="CR443" s="132">
        <f t="shared" si="160"/>
        <v>0</v>
      </c>
      <c r="CS443" s="132">
        <f t="shared" si="160"/>
        <v>1110000000</v>
      </c>
      <c r="CT443" s="132">
        <f t="shared" si="160"/>
        <v>0</v>
      </c>
      <c r="CU443" s="132">
        <f t="shared" si="160"/>
        <v>0</v>
      </c>
      <c r="CV443" s="132">
        <f t="shared" si="160"/>
        <v>0</v>
      </c>
      <c r="CW443" s="132">
        <f t="shared" si="160"/>
        <v>0</v>
      </c>
      <c r="CX443" s="132">
        <f t="shared" si="160"/>
        <v>0</v>
      </c>
      <c r="CY443" s="132">
        <f t="shared" si="160"/>
        <v>0</v>
      </c>
      <c r="CZ443" s="132">
        <f t="shared" si="160"/>
        <v>0</v>
      </c>
      <c r="DA443" s="132">
        <f t="shared" si="160"/>
        <v>0</v>
      </c>
      <c r="DB443" s="132">
        <f t="shared" si="160"/>
        <v>0</v>
      </c>
      <c r="DC443" s="132">
        <f t="shared" si="160"/>
        <v>0</v>
      </c>
      <c r="DD443" s="133">
        <f>IF(OR(AND(DD413=0,AL413&lt;&gt;0),AND(DD414=0,AL414&lt;&gt;0),AND(DD415=0,AL415&lt;&gt;0),AND(DD416=0,AL416&lt;&gt;0),AND(DD417=0,AL417&lt;&gt;0),AND(DD418=0,AL418&lt;&gt;0),AND(DD419=0,AL419&lt;&gt;0),AND(DD420=0,AL420&lt;&gt;0),AND(DD421=0,AL421&lt;&gt;0),AND(DD422=0,AL422&lt;&gt;0),AND(DD423=0,AL423&lt;&gt;0),AND(DD424=0,AL424&lt;&gt;0),AND(DD425=0,AL425&lt;&gt;0),AND(DD426=0,AL426&lt;&gt;0),AND(DD427=0,AL427&lt;&gt;0),AND(DD428=0,AL428&lt;&gt;0),AND(DD429=0,AL429&lt;&gt;0),AND(DD430=0,AL430&lt;&gt;0),AND(DD431=0,AL431&lt;&gt;0),AND(DD432=0,AL432&lt;&gt;0),AND(DD433=0,AL433&lt;&gt;0),AND(DD434=0,AL434&lt;&gt;0),AND(DD435=0,AL435&lt;&gt;0),AND(DD436=0,AL436&lt;&gt;0),AND(DD437=0,AL437&lt;&gt;0),AND(DD438=0,AL438&lt;&gt;0),AND(DD439=0,AL439&lt;&gt;0),AND(DD440=0,AL440&lt;&gt;0),AND(DD441=0,AL441&lt;&gt;0),AND(DD442=0,AL442&lt;&gt;0)),"NO DEBEN QUEDAR CELDAS EN ROJO",SUM(DD413:DD442))</f>
        <v>1110000000</v>
      </c>
      <c r="DE443" s="133">
        <f>SUM(DE413:DE442)</f>
        <v>4054538192</v>
      </c>
    </row>
    <row r="444" spans="1:109" s="99" customFormat="1" ht="94.05" customHeight="1">
      <c r="A444" s="103" t="s">
        <v>1239</v>
      </c>
      <c r="B444" s="103" t="s">
        <v>9</v>
      </c>
      <c r="C444" s="103" t="s">
        <v>1694</v>
      </c>
      <c r="D444" s="103">
        <v>35</v>
      </c>
      <c r="E444" s="103" t="s">
        <v>1341</v>
      </c>
      <c r="F444" s="278" t="s">
        <v>1343</v>
      </c>
      <c r="G444" s="103" t="s">
        <v>3448</v>
      </c>
      <c r="H444" s="103">
        <v>43</v>
      </c>
      <c r="I444" s="103" t="s">
        <v>1342</v>
      </c>
      <c r="J444" s="103" t="s">
        <v>683</v>
      </c>
      <c r="K444" s="103">
        <v>759</v>
      </c>
      <c r="L444" s="103">
        <v>759</v>
      </c>
      <c r="M444" s="103" t="s">
        <v>1344</v>
      </c>
      <c r="N444" s="103" t="s">
        <v>1345</v>
      </c>
      <c r="O444" s="103" t="s">
        <v>1346</v>
      </c>
      <c r="P444" s="283">
        <v>400</v>
      </c>
      <c r="Q444" s="103" t="s">
        <v>3449</v>
      </c>
      <c r="R444" s="103" t="s">
        <v>1347</v>
      </c>
      <c r="S444" s="103" t="s">
        <v>683</v>
      </c>
      <c r="T444" s="103">
        <v>210</v>
      </c>
      <c r="U444" s="267">
        <v>210</v>
      </c>
      <c r="V444" s="267">
        <v>210</v>
      </c>
      <c r="W444" s="224">
        <v>210</v>
      </c>
      <c r="X444" s="267"/>
      <c r="Y444" s="267"/>
      <c r="Z444" s="267"/>
      <c r="AA444" s="267">
        <v>210</v>
      </c>
      <c r="AB444" s="224">
        <v>210</v>
      </c>
      <c r="AC444" s="267"/>
      <c r="AD444" s="267"/>
      <c r="AE444" s="267"/>
      <c r="AF444" s="267">
        <v>210</v>
      </c>
      <c r="AG444" s="224">
        <v>210</v>
      </c>
      <c r="AH444" s="267"/>
      <c r="AI444" s="267"/>
      <c r="AJ444" s="267"/>
      <c r="AK444" s="267">
        <v>210</v>
      </c>
      <c r="AL444" s="224">
        <v>210</v>
      </c>
      <c r="AM444" s="102">
        <v>210</v>
      </c>
      <c r="AN444" s="103" t="s">
        <v>686</v>
      </c>
      <c r="AO444" s="103" t="s">
        <v>618</v>
      </c>
      <c r="AP444" s="103" t="s">
        <v>1216</v>
      </c>
      <c r="AQ444" s="103" t="s">
        <v>1194</v>
      </c>
      <c r="AR444" s="103" t="s">
        <v>938</v>
      </c>
      <c r="AS444" s="268"/>
      <c r="AT444" s="268"/>
      <c r="AU444" s="268"/>
      <c r="AV444" s="268"/>
      <c r="AW444" s="268">
        <v>693347638</v>
      </c>
      <c r="AX444" s="268"/>
      <c r="AY444" s="268"/>
      <c r="AZ444" s="268"/>
      <c r="BA444" s="268"/>
      <c r="BB444" s="268"/>
      <c r="BC444" s="268"/>
      <c r="BD444" s="268"/>
      <c r="BE444" s="268"/>
      <c r="BF444" s="268"/>
      <c r="BG444" s="268"/>
      <c r="BH444" s="234">
        <f t="shared" ref="BH444:BH459" si="161">IF(W444=0,0,BG444+BF444+BE444+BD444+BC444+BB444+BA444+AZ444+AY444+AX444+AW444+AV444+AU444+AT444+AS444)</f>
        <v>693347638</v>
      </c>
      <c r="BI444" s="268"/>
      <c r="BJ444" s="268"/>
      <c r="BK444" s="268"/>
      <c r="BL444" s="268"/>
      <c r="BM444" s="268">
        <v>1200000000</v>
      </c>
      <c r="BN444" s="268"/>
      <c r="BO444" s="268"/>
      <c r="BP444" s="268"/>
      <c r="BQ444" s="268"/>
      <c r="BR444" s="268"/>
      <c r="BS444" s="268"/>
      <c r="BT444" s="268"/>
      <c r="BU444" s="268"/>
      <c r="BV444" s="268"/>
      <c r="BW444" s="268"/>
      <c r="BX444" s="234">
        <f t="shared" ref="BX444:BX459" si="162">IF(AB444=0,0,BI444+BJ444+BK444+BL444+BM444+BN444+BO444+BP444+BQ444+BR444+BS444+BT444+BU444+BV444+BW444)</f>
        <v>1200000000</v>
      </c>
      <c r="BY444" s="268"/>
      <c r="BZ444" s="268"/>
      <c r="CA444" s="268"/>
      <c r="CB444" s="268"/>
      <c r="CC444" s="268">
        <v>1200000000</v>
      </c>
      <c r="CD444" s="268"/>
      <c r="CE444" s="268"/>
      <c r="CF444" s="268"/>
      <c r="CG444" s="268"/>
      <c r="CH444" s="268"/>
      <c r="CI444" s="268"/>
      <c r="CJ444" s="268"/>
      <c r="CK444" s="268"/>
      <c r="CL444" s="268"/>
      <c r="CM444" s="268"/>
      <c r="CN444" s="234">
        <f t="shared" ref="CN444:CN459" si="163">IF(AG444=0,0,(BY444+BZ444+CA444+CB444+CC444+CD444+CE444+CF444+CG444+CH444+CI444+CJ444+CK444+CL444+CM444))</f>
        <v>1200000000</v>
      </c>
      <c r="CO444" s="268"/>
      <c r="CP444" s="268"/>
      <c r="CQ444" s="268"/>
      <c r="CR444" s="268"/>
      <c r="CS444" s="268">
        <v>1200000000</v>
      </c>
      <c r="CT444" s="268"/>
      <c r="CU444" s="268"/>
      <c r="CV444" s="268"/>
      <c r="CW444" s="268"/>
      <c r="CX444" s="268"/>
      <c r="CY444" s="268"/>
      <c r="CZ444" s="268"/>
      <c r="DA444" s="268"/>
      <c r="DB444" s="268"/>
      <c r="DC444" s="268"/>
      <c r="DD444" s="234">
        <f t="shared" ref="DD444:DD459" si="164">IF(AL444=0,0,(CO444+CP444+CQ444+CR444+CS444+CT444+CU444+CV444+CW444+CX444+CY444+CZ444+DA444+DB444+DC444))</f>
        <v>1200000000</v>
      </c>
      <c r="DE444" s="243">
        <f t="shared" ref="DE444:DE470" si="165">SUM(DD444+CN444+BX444+BH444)</f>
        <v>4293347638</v>
      </c>
    </row>
    <row r="445" spans="1:109" s="99" customFormat="1" ht="94.05" customHeight="1">
      <c r="A445" s="103" t="s">
        <v>1239</v>
      </c>
      <c r="B445" s="279" t="s">
        <v>9</v>
      </c>
      <c r="C445" s="279" t="s">
        <v>1694</v>
      </c>
      <c r="D445" s="279">
        <v>35</v>
      </c>
      <c r="E445" s="279" t="s">
        <v>1341</v>
      </c>
      <c r="F445" s="280" t="s">
        <v>1343</v>
      </c>
      <c r="G445" s="279" t="s">
        <v>3448</v>
      </c>
      <c r="H445" s="279">
        <v>43</v>
      </c>
      <c r="I445" s="279" t="s">
        <v>1342</v>
      </c>
      <c r="J445" s="279" t="s">
        <v>683</v>
      </c>
      <c r="K445" s="279">
        <v>759</v>
      </c>
      <c r="L445" s="279">
        <v>759</v>
      </c>
      <c r="M445" s="279" t="s">
        <v>1344</v>
      </c>
      <c r="N445" s="279" t="s">
        <v>1345</v>
      </c>
      <c r="O445" s="279" t="s">
        <v>1346</v>
      </c>
      <c r="P445" s="283">
        <v>401</v>
      </c>
      <c r="Q445" s="279" t="s">
        <v>3141</v>
      </c>
      <c r="R445" s="279" t="s">
        <v>1348</v>
      </c>
      <c r="S445" s="279" t="s">
        <v>683</v>
      </c>
      <c r="T445" s="279">
        <v>35</v>
      </c>
      <c r="U445" s="267"/>
      <c r="V445" s="267">
        <v>35</v>
      </c>
      <c r="W445" s="224">
        <v>35</v>
      </c>
      <c r="X445" s="267"/>
      <c r="Y445" s="267"/>
      <c r="Z445" s="267"/>
      <c r="AA445" s="267">
        <v>35</v>
      </c>
      <c r="AB445" s="224">
        <v>35</v>
      </c>
      <c r="AC445" s="267"/>
      <c r="AD445" s="267"/>
      <c r="AE445" s="267"/>
      <c r="AF445" s="267">
        <v>35</v>
      </c>
      <c r="AG445" s="224">
        <v>35</v>
      </c>
      <c r="AH445" s="267"/>
      <c r="AI445" s="267"/>
      <c r="AJ445" s="267"/>
      <c r="AK445" s="267">
        <v>35</v>
      </c>
      <c r="AL445" s="224">
        <v>35</v>
      </c>
      <c r="AM445" s="104">
        <v>35</v>
      </c>
      <c r="AN445" s="103" t="s">
        <v>686</v>
      </c>
      <c r="AO445" s="103" t="s">
        <v>618</v>
      </c>
      <c r="AP445" s="103" t="s">
        <v>1216</v>
      </c>
      <c r="AQ445" s="103" t="s">
        <v>1194</v>
      </c>
      <c r="AR445" s="103" t="s">
        <v>938</v>
      </c>
      <c r="AS445" s="271"/>
      <c r="AT445" s="271"/>
      <c r="AU445" s="271"/>
      <c r="AV445" s="271">
        <v>619840845</v>
      </c>
      <c r="AW445" s="271"/>
      <c r="AX445" s="271"/>
      <c r="AY445" s="271"/>
      <c r="AZ445" s="271"/>
      <c r="BA445" s="271"/>
      <c r="BB445" s="271"/>
      <c r="BC445" s="271"/>
      <c r="BD445" s="271"/>
      <c r="BE445" s="271"/>
      <c r="BF445" s="271"/>
      <c r="BG445" s="271"/>
      <c r="BH445" s="235">
        <f t="shared" si="161"/>
        <v>619840845</v>
      </c>
      <c r="BI445" s="271"/>
      <c r="BJ445" s="271"/>
      <c r="BK445" s="271"/>
      <c r="BL445" s="271"/>
      <c r="BM445" s="271">
        <v>3860453410</v>
      </c>
      <c r="BN445" s="271"/>
      <c r="BO445" s="271"/>
      <c r="BP445" s="271"/>
      <c r="BQ445" s="271"/>
      <c r="BR445" s="271"/>
      <c r="BS445" s="271"/>
      <c r="BT445" s="271"/>
      <c r="BU445" s="271"/>
      <c r="BV445" s="271"/>
      <c r="BW445" s="271"/>
      <c r="BX445" s="235">
        <f t="shared" si="162"/>
        <v>3860453410</v>
      </c>
      <c r="BY445" s="271"/>
      <c r="BZ445" s="271"/>
      <c r="CA445" s="271"/>
      <c r="CB445" s="271"/>
      <c r="CC445" s="271">
        <v>4053476081</v>
      </c>
      <c r="CD445" s="271"/>
      <c r="CE445" s="271"/>
      <c r="CF445" s="271"/>
      <c r="CG445" s="271"/>
      <c r="CH445" s="271"/>
      <c r="CI445" s="271"/>
      <c r="CJ445" s="271"/>
      <c r="CK445" s="271"/>
      <c r="CL445" s="271"/>
      <c r="CM445" s="271"/>
      <c r="CN445" s="235">
        <f t="shared" si="163"/>
        <v>4053476081</v>
      </c>
      <c r="CO445" s="271"/>
      <c r="CP445" s="271"/>
      <c r="CQ445" s="271"/>
      <c r="CR445" s="271"/>
      <c r="CS445" s="271">
        <v>4000000000</v>
      </c>
      <c r="CT445" s="271"/>
      <c r="CU445" s="271"/>
      <c r="CV445" s="271"/>
      <c r="CW445" s="271"/>
      <c r="CX445" s="271"/>
      <c r="CY445" s="271"/>
      <c r="CZ445" s="271"/>
      <c r="DA445" s="271"/>
      <c r="DB445" s="271"/>
      <c r="DC445" s="271"/>
      <c r="DD445" s="234">
        <f t="shared" si="164"/>
        <v>4000000000</v>
      </c>
      <c r="DE445" s="244">
        <f t="shared" si="165"/>
        <v>12533770336</v>
      </c>
    </row>
    <row r="446" spans="1:109" s="99" customFormat="1" ht="94.05" customHeight="1">
      <c r="A446" s="103" t="s">
        <v>1239</v>
      </c>
      <c r="B446" s="279" t="s">
        <v>9</v>
      </c>
      <c r="C446" s="279" t="s">
        <v>1694</v>
      </c>
      <c r="D446" s="279">
        <v>35</v>
      </c>
      <c r="E446" s="279" t="s">
        <v>1341</v>
      </c>
      <c r="F446" s="280" t="s">
        <v>1343</v>
      </c>
      <c r="G446" s="279" t="s">
        <v>3448</v>
      </c>
      <c r="H446" s="279">
        <v>43</v>
      </c>
      <c r="I446" s="279" t="s">
        <v>1342</v>
      </c>
      <c r="J446" s="279" t="s">
        <v>683</v>
      </c>
      <c r="K446" s="279">
        <v>759</v>
      </c>
      <c r="L446" s="279">
        <v>759</v>
      </c>
      <c r="M446" s="279" t="s">
        <v>1344</v>
      </c>
      <c r="N446" s="279" t="s">
        <v>1345</v>
      </c>
      <c r="O446" s="279" t="s">
        <v>1346</v>
      </c>
      <c r="P446" s="283">
        <v>402</v>
      </c>
      <c r="Q446" s="279" t="s">
        <v>3450</v>
      </c>
      <c r="R446" s="279" t="s">
        <v>1348</v>
      </c>
      <c r="S446" s="279" t="s">
        <v>683</v>
      </c>
      <c r="T446" s="279">
        <v>35</v>
      </c>
      <c r="U446" s="267"/>
      <c r="V446" s="267"/>
      <c r="W446" s="224">
        <v>0</v>
      </c>
      <c r="X446" s="267"/>
      <c r="Y446" s="267"/>
      <c r="Z446" s="267"/>
      <c r="AA446" s="267"/>
      <c r="AB446" s="224">
        <v>0</v>
      </c>
      <c r="AC446" s="267"/>
      <c r="AD446" s="267"/>
      <c r="AE446" s="267"/>
      <c r="AF446" s="267"/>
      <c r="AG446" s="224">
        <v>0</v>
      </c>
      <c r="AH446" s="267"/>
      <c r="AI446" s="267"/>
      <c r="AJ446" s="267"/>
      <c r="AK446" s="267">
        <v>3</v>
      </c>
      <c r="AL446" s="224">
        <v>3</v>
      </c>
      <c r="AM446" s="104">
        <v>3</v>
      </c>
      <c r="AN446" s="103" t="s">
        <v>685</v>
      </c>
      <c r="AO446" s="103" t="s">
        <v>618</v>
      </c>
      <c r="AP446" s="103" t="s">
        <v>1216</v>
      </c>
      <c r="AQ446" s="103" t="s">
        <v>1194</v>
      </c>
      <c r="AR446" s="103" t="s">
        <v>938</v>
      </c>
      <c r="AS446" s="271"/>
      <c r="AT446" s="271"/>
      <c r="AU446" s="271"/>
      <c r="AV446" s="271"/>
      <c r="AW446" s="271"/>
      <c r="AX446" s="271"/>
      <c r="AY446" s="271"/>
      <c r="AZ446" s="271"/>
      <c r="BA446" s="271"/>
      <c r="BB446" s="271"/>
      <c r="BC446" s="271"/>
      <c r="BD446" s="271"/>
      <c r="BE446" s="271"/>
      <c r="BF446" s="271"/>
      <c r="BG446" s="271"/>
      <c r="BH446" s="235">
        <f t="shared" si="161"/>
        <v>0</v>
      </c>
      <c r="BI446" s="271"/>
      <c r="BJ446" s="271"/>
      <c r="BK446" s="271"/>
      <c r="BL446" s="271"/>
      <c r="BM446" s="271"/>
      <c r="BN446" s="271"/>
      <c r="BO446" s="271"/>
      <c r="BP446" s="271"/>
      <c r="BQ446" s="271"/>
      <c r="BR446" s="271"/>
      <c r="BS446" s="271"/>
      <c r="BT446" s="271"/>
      <c r="BU446" s="271"/>
      <c r="BV446" s="271"/>
      <c r="BW446" s="271"/>
      <c r="BX446" s="235">
        <f t="shared" si="162"/>
        <v>0</v>
      </c>
      <c r="BY446" s="271"/>
      <c r="BZ446" s="271"/>
      <c r="CA446" s="271"/>
      <c r="CB446" s="271"/>
      <c r="CC446" s="271"/>
      <c r="CD446" s="271"/>
      <c r="CE446" s="271"/>
      <c r="CF446" s="271"/>
      <c r="CG446" s="271"/>
      <c r="CH446" s="271"/>
      <c r="CI446" s="271"/>
      <c r="CJ446" s="271"/>
      <c r="CK446" s="271"/>
      <c r="CL446" s="271"/>
      <c r="CM446" s="271"/>
      <c r="CN446" s="235">
        <f t="shared" si="163"/>
        <v>0</v>
      </c>
      <c r="CO446" s="271"/>
      <c r="CP446" s="271"/>
      <c r="CQ446" s="271"/>
      <c r="CR446" s="271"/>
      <c r="CS446" s="271">
        <v>504380165</v>
      </c>
      <c r="CT446" s="271"/>
      <c r="CU446" s="271"/>
      <c r="CV446" s="271"/>
      <c r="CW446" s="271"/>
      <c r="CX446" s="271"/>
      <c r="CY446" s="271"/>
      <c r="CZ446" s="271"/>
      <c r="DA446" s="271"/>
      <c r="DB446" s="271"/>
      <c r="DC446" s="271"/>
      <c r="DD446" s="234">
        <f t="shared" si="164"/>
        <v>504380165</v>
      </c>
      <c r="DE446" s="244">
        <f t="shared" si="165"/>
        <v>504380165</v>
      </c>
    </row>
    <row r="447" spans="1:109" s="99" customFormat="1" ht="94.05" customHeight="1">
      <c r="A447" s="103" t="s">
        <v>1239</v>
      </c>
      <c r="B447" s="279" t="s">
        <v>9</v>
      </c>
      <c r="C447" s="279" t="s">
        <v>1694</v>
      </c>
      <c r="D447" s="279">
        <v>35</v>
      </c>
      <c r="E447" s="279" t="s">
        <v>1341</v>
      </c>
      <c r="F447" s="280" t="s">
        <v>1343</v>
      </c>
      <c r="G447" s="279" t="s">
        <v>3448</v>
      </c>
      <c r="H447" s="279">
        <v>43</v>
      </c>
      <c r="I447" s="279" t="s">
        <v>1342</v>
      </c>
      <c r="J447" s="279" t="s">
        <v>683</v>
      </c>
      <c r="K447" s="279">
        <v>759</v>
      </c>
      <c r="L447" s="279">
        <v>759</v>
      </c>
      <c r="M447" s="279" t="s">
        <v>1344</v>
      </c>
      <c r="N447" s="279" t="s">
        <v>1345</v>
      </c>
      <c r="O447" s="279" t="s">
        <v>1346</v>
      </c>
      <c r="P447" s="283">
        <v>403</v>
      </c>
      <c r="Q447" s="279" t="s">
        <v>3451</v>
      </c>
      <c r="R447" s="279" t="s">
        <v>1351</v>
      </c>
      <c r="S447" s="279" t="s">
        <v>683</v>
      </c>
      <c r="T447" s="279">
        <v>0</v>
      </c>
      <c r="U447" s="267"/>
      <c r="V447" s="267"/>
      <c r="W447" s="224">
        <v>0</v>
      </c>
      <c r="X447" s="267"/>
      <c r="Y447" s="267"/>
      <c r="Z447" s="267">
        <v>1</v>
      </c>
      <c r="AA447" s="267"/>
      <c r="AB447" s="224">
        <v>1</v>
      </c>
      <c r="AC447" s="267"/>
      <c r="AD447" s="267">
        <v>1</v>
      </c>
      <c r="AE447" s="267">
        <v>1</v>
      </c>
      <c r="AF447" s="267"/>
      <c r="AG447" s="224">
        <v>2</v>
      </c>
      <c r="AH447" s="267"/>
      <c r="AI447" s="267">
        <v>1</v>
      </c>
      <c r="AJ447" s="267"/>
      <c r="AK447" s="267"/>
      <c r="AL447" s="224">
        <v>1</v>
      </c>
      <c r="AM447" s="104">
        <v>4</v>
      </c>
      <c r="AN447" s="103" t="s">
        <v>685</v>
      </c>
      <c r="AO447" s="103" t="s">
        <v>618</v>
      </c>
      <c r="AP447" s="103" t="s">
        <v>1216</v>
      </c>
      <c r="AQ447" s="103" t="s">
        <v>1194</v>
      </c>
      <c r="AR447" s="103" t="s">
        <v>938</v>
      </c>
      <c r="AS447" s="271"/>
      <c r="AT447" s="271"/>
      <c r="AU447" s="271"/>
      <c r="AV447" s="271"/>
      <c r="AW447" s="271"/>
      <c r="AX447" s="271"/>
      <c r="AY447" s="271"/>
      <c r="AZ447" s="271"/>
      <c r="BA447" s="271"/>
      <c r="BB447" s="271"/>
      <c r="BC447" s="271"/>
      <c r="BD447" s="271"/>
      <c r="BE447" s="271"/>
      <c r="BF447" s="271"/>
      <c r="BG447" s="271"/>
      <c r="BH447" s="235">
        <f t="shared" si="161"/>
        <v>0</v>
      </c>
      <c r="BI447" s="271"/>
      <c r="BJ447" s="271"/>
      <c r="BK447" s="271"/>
      <c r="BL447" s="271">
        <v>300000000</v>
      </c>
      <c r="BM447" s="271"/>
      <c r="BN447" s="271"/>
      <c r="BO447" s="271"/>
      <c r="BP447" s="271"/>
      <c r="BQ447" s="271"/>
      <c r="BR447" s="271"/>
      <c r="BS447" s="271"/>
      <c r="BT447" s="271"/>
      <c r="BU447" s="271"/>
      <c r="BV447" s="271"/>
      <c r="BW447" s="271"/>
      <c r="BX447" s="235">
        <f t="shared" si="162"/>
        <v>300000000</v>
      </c>
      <c r="BY447" s="271"/>
      <c r="BZ447" s="271"/>
      <c r="CA447" s="271"/>
      <c r="CB447" s="271">
        <v>429780000</v>
      </c>
      <c r="CC447" s="271"/>
      <c r="CD447" s="271"/>
      <c r="CE447" s="271"/>
      <c r="CF447" s="271"/>
      <c r="CG447" s="271"/>
      <c r="CH447" s="271"/>
      <c r="CI447" s="271"/>
      <c r="CJ447" s="271"/>
      <c r="CK447" s="271"/>
      <c r="CL447" s="271"/>
      <c r="CM447" s="271"/>
      <c r="CN447" s="235">
        <f t="shared" si="163"/>
        <v>429780000</v>
      </c>
      <c r="CO447" s="271"/>
      <c r="CP447" s="271"/>
      <c r="CQ447" s="271"/>
      <c r="CR447" s="271">
        <v>233453400</v>
      </c>
      <c r="CS447" s="271"/>
      <c r="CT447" s="271"/>
      <c r="CU447" s="271"/>
      <c r="CV447" s="271"/>
      <c r="CW447" s="271"/>
      <c r="CX447" s="271"/>
      <c r="CY447" s="271"/>
      <c r="CZ447" s="271"/>
      <c r="DA447" s="271"/>
      <c r="DB447" s="271"/>
      <c r="DC447" s="271"/>
      <c r="DD447" s="234">
        <f t="shared" si="164"/>
        <v>233453400</v>
      </c>
      <c r="DE447" s="244">
        <f t="shared" si="165"/>
        <v>963233400</v>
      </c>
    </row>
    <row r="448" spans="1:109" s="99" customFormat="1" ht="94.05" customHeight="1">
      <c r="A448" s="103" t="s">
        <v>1239</v>
      </c>
      <c r="B448" s="279" t="s">
        <v>9</v>
      </c>
      <c r="C448" s="279" t="s">
        <v>1694</v>
      </c>
      <c r="D448" s="279">
        <v>35</v>
      </c>
      <c r="E448" s="279" t="s">
        <v>1341</v>
      </c>
      <c r="F448" s="280" t="s">
        <v>1343</v>
      </c>
      <c r="G448" s="279" t="s">
        <v>3448</v>
      </c>
      <c r="H448" s="279">
        <v>43</v>
      </c>
      <c r="I448" s="279" t="s">
        <v>1342</v>
      </c>
      <c r="J448" s="279" t="s">
        <v>683</v>
      </c>
      <c r="K448" s="279">
        <v>759</v>
      </c>
      <c r="L448" s="279">
        <v>759</v>
      </c>
      <c r="M448" s="279" t="s">
        <v>1344</v>
      </c>
      <c r="N448" s="279" t="s">
        <v>1345</v>
      </c>
      <c r="O448" s="279" t="s">
        <v>1346</v>
      </c>
      <c r="P448" s="283">
        <v>404</v>
      </c>
      <c r="Q448" s="279" t="s">
        <v>3568</v>
      </c>
      <c r="R448" s="279" t="s">
        <v>3569</v>
      </c>
      <c r="S448" s="279" t="s">
        <v>683</v>
      </c>
      <c r="T448" s="279">
        <v>509</v>
      </c>
      <c r="U448" s="267"/>
      <c r="V448" s="267"/>
      <c r="W448" s="224">
        <v>0</v>
      </c>
      <c r="X448" s="267"/>
      <c r="Y448" s="267"/>
      <c r="Z448" s="267"/>
      <c r="AA448" s="267"/>
      <c r="AB448" s="224">
        <v>0</v>
      </c>
      <c r="AC448" s="267"/>
      <c r="AD448" s="267"/>
      <c r="AE448" s="267"/>
      <c r="AF448" s="267"/>
      <c r="AG448" s="224">
        <v>0</v>
      </c>
      <c r="AH448" s="267"/>
      <c r="AI448" s="267"/>
      <c r="AJ448" s="267"/>
      <c r="AK448" s="267">
        <v>509</v>
      </c>
      <c r="AL448" s="224">
        <v>509</v>
      </c>
      <c r="AM448" s="104">
        <v>509</v>
      </c>
      <c r="AN448" s="103" t="s">
        <v>686</v>
      </c>
      <c r="AO448" s="103" t="s">
        <v>618</v>
      </c>
      <c r="AP448" s="103" t="s">
        <v>1216</v>
      </c>
      <c r="AQ448" s="103" t="s">
        <v>1194</v>
      </c>
      <c r="AR448" s="103" t="s">
        <v>938</v>
      </c>
      <c r="AS448" s="271"/>
      <c r="AT448" s="271"/>
      <c r="AU448" s="271"/>
      <c r="AV448" s="271"/>
      <c r="AW448" s="271"/>
      <c r="AX448" s="271"/>
      <c r="AY448" s="271"/>
      <c r="AZ448" s="271"/>
      <c r="BA448" s="271"/>
      <c r="BB448" s="271"/>
      <c r="BC448" s="271"/>
      <c r="BD448" s="271"/>
      <c r="BE448" s="271"/>
      <c r="BF448" s="271"/>
      <c r="BG448" s="271"/>
      <c r="BH448" s="235">
        <f t="shared" si="161"/>
        <v>0</v>
      </c>
      <c r="BI448" s="271"/>
      <c r="BJ448" s="271"/>
      <c r="BK448" s="271"/>
      <c r="BL448" s="271"/>
      <c r="BM448" s="271"/>
      <c r="BN448" s="271"/>
      <c r="BO448" s="271"/>
      <c r="BP448" s="271"/>
      <c r="BQ448" s="271"/>
      <c r="BR448" s="271"/>
      <c r="BS448" s="271"/>
      <c r="BT448" s="271"/>
      <c r="BU448" s="271"/>
      <c r="BV448" s="271"/>
      <c r="BW448" s="271"/>
      <c r="BX448" s="235">
        <f t="shared" si="162"/>
        <v>0</v>
      </c>
      <c r="BY448" s="271"/>
      <c r="BZ448" s="271"/>
      <c r="CA448" s="271"/>
      <c r="CB448" s="271"/>
      <c r="CC448" s="271"/>
      <c r="CD448" s="271"/>
      <c r="CE448" s="271"/>
      <c r="CF448" s="271"/>
      <c r="CG448" s="271"/>
      <c r="CH448" s="271"/>
      <c r="CI448" s="271"/>
      <c r="CJ448" s="271"/>
      <c r="CK448" s="271"/>
      <c r="CL448" s="271"/>
      <c r="CM448" s="271"/>
      <c r="CN448" s="235">
        <f t="shared" si="163"/>
        <v>0</v>
      </c>
      <c r="CO448" s="271"/>
      <c r="CP448" s="271"/>
      <c r="CQ448" s="271"/>
      <c r="CR448" s="271">
        <v>250000000</v>
      </c>
      <c r="CS448" s="271"/>
      <c r="CT448" s="271"/>
      <c r="CU448" s="271"/>
      <c r="CV448" s="271"/>
      <c r="CW448" s="271"/>
      <c r="CX448" s="271"/>
      <c r="CY448" s="271"/>
      <c r="CZ448" s="271"/>
      <c r="DA448" s="271"/>
      <c r="DB448" s="271"/>
      <c r="DC448" s="271"/>
      <c r="DD448" s="234">
        <f t="shared" si="164"/>
        <v>250000000</v>
      </c>
      <c r="DE448" s="244">
        <f t="shared" si="165"/>
        <v>250000000</v>
      </c>
    </row>
    <row r="449" spans="1:109" s="99" customFormat="1" ht="94.05" customHeight="1">
      <c r="A449" s="103" t="s">
        <v>1239</v>
      </c>
      <c r="B449" s="279" t="s">
        <v>9</v>
      </c>
      <c r="C449" s="279" t="s">
        <v>1694</v>
      </c>
      <c r="D449" s="279">
        <v>35</v>
      </c>
      <c r="E449" s="279" t="s">
        <v>1341</v>
      </c>
      <c r="F449" s="280" t="s">
        <v>1343</v>
      </c>
      <c r="G449" s="279" t="s">
        <v>3448</v>
      </c>
      <c r="H449" s="279">
        <v>43</v>
      </c>
      <c r="I449" s="279" t="s">
        <v>1342</v>
      </c>
      <c r="J449" s="279" t="s">
        <v>683</v>
      </c>
      <c r="K449" s="279">
        <v>759</v>
      </c>
      <c r="L449" s="279">
        <v>759</v>
      </c>
      <c r="M449" s="279" t="s">
        <v>1344</v>
      </c>
      <c r="N449" s="279" t="s">
        <v>1345</v>
      </c>
      <c r="O449" s="279" t="s">
        <v>1346</v>
      </c>
      <c r="P449" s="283">
        <v>405</v>
      </c>
      <c r="Q449" s="279" t="s">
        <v>3570</v>
      </c>
      <c r="R449" s="279" t="s">
        <v>3569</v>
      </c>
      <c r="S449" s="279" t="s">
        <v>683</v>
      </c>
      <c r="T449" s="279">
        <v>509</v>
      </c>
      <c r="U449" s="267"/>
      <c r="V449" s="267"/>
      <c r="W449" s="224">
        <v>0</v>
      </c>
      <c r="X449" s="267"/>
      <c r="Y449" s="267"/>
      <c r="Z449" s="267"/>
      <c r="AA449" s="267"/>
      <c r="AB449" s="224">
        <v>0</v>
      </c>
      <c r="AC449" s="267"/>
      <c r="AD449" s="267"/>
      <c r="AE449" s="267"/>
      <c r="AF449" s="267"/>
      <c r="AG449" s="224">
        <v>0</v>
      </c>
      <c r="AH449" s="267"/>
      <c r="AI449" s="267"/>
      <c r="AJ449" s="267"/>
      <c r="AK449" s="267">
        <v>41</v>
      </c>
      <c r="AL449" s="224">
        <v>41</v>
      </c>
      <c r="AM449" s="104">
        <v>41</v>
      </c>
      <c r="AN449" s="103" t="s">
        <v>685</v>
      </c>
      <c r="AO449" s="103" t="s">
        <v>618</v>
      </c>
      <c r="AP449" s="103" t="s">
        <v>1216</v>
      </c>
      <c r="AQ449" s="103" t="s">
        <v>1194</v>
      </c>
      <c r="AR449" s="103" t="s">
        <v>938</v>
      </c>
      <c r="AS449" s="271"/>
      <c r="AT449" s="271"/>
      <c r="AU449" s="271"/>
      <c r="AV449" s="271"/>
      <c r="AW449" s="271"/>
      <c r="AX449" s="271"/>
      <c r="AY449" s="271"/>
      <c r="AZ449" s="271"/>
      <c r="BA449" s="271"/>
      <c r="BB449" s="271"/>
      <c r="BC449" s="271"/>
      <c r="BD449" s="271"/>
      <c r="BE449" s="271"/>
      <c r="BF449" s="271"/>
      <c r="BG449" s="271"/>
      <c r="BH449" s="235">
        <f t="shared" si="161"/>
        <v>0</v>
      </c>
      <c r="BI449" s="271"/>
      <c r="BJ449" s="271"/>
      <c r="BK449" s="271"/>
      <c r="BL449" s="271"/>
      <c r="BM449" s="271"/>
      <c r="BN449" s="271"/>
      <c r="BO449" s="271"/>
      <c r="BP449" s="271"/>
      <c r="BQ449" s="271"/>
      <c r="BR449" s="271"/>
      <c r="BS449" s="271"/>
      <c r="BT449" s="271"/>
      <c r="BU449" s="271"/>
      <c r="BV449" s="271"/>
      <c r="BW449" s="271"/>
      <c r="BX449" s="235">
        <f t="shared" si="162"/>
        <v>0</v>
      </c>
      <c r="BY449" s="271"/>
      <c r="BZ449" s="271"/>
      <c r="CA449" s="271"/>
      <c r="CB449" s="271"/>
      <c r="CC449" s="271"/>
      <c r="CD449" s="271"/>
      <c r="CE449" s="271"/>
      <c r="CF449" s="271"/>
      <c r="CG449" s="271"/>
      <c r="CH449" s="271"/>
      <c r="CI449" s="271"/>
      <c r="CJ449" s="271"/>
      <c r="CK449" s="271"/>
      <c r="CL449" s="271"/>
      <c r="CM449" s="271"/>
      <c r="CN449" s="235">
        <f t="shared" si="163"/>
        <v>0</v>
      </c>
      <c r="CO449" s="271"/>
      <c r="CP449" s="271"/>
      <c r="CQ449" s="271"/>
      <c r="CR449" s="271">
        <v>50000000</v>
      </c>
      <c r="CS449" s="271"/>
      <c r="CT449" s="271"/>
      <c r="CU449" s="271"/>
      <c r="CV449" s="271"/>
      <c r="CW449" s="271"/>
      <c r="CX449" s="271"/>
      <c r="CY449" s="271"/>
      <c r="CZ449" s="271"/>
      <c r="DA449" s="271"/>
      <c r="DB449" s="271"/>
      <c r="DC449" s="271"/>
      <c r="DD449" s="234">
        <f t="shared" si="164"/>
        <v>50000000</v>
      </c>
      <c r="DE449" s="244">
        <f t="shared" si="165"/>
        <v>50000000</v>
      </c>
    </row>
    <row r="450" spans="1:109" s="99" customFormat="1" ht="94.05" customHeight="1">
      <c r="A450" s="103" t="s">
        <v>1239</v>
      </c>
      <c r="B450" s="279" t="s">
        <v>9</v>
      </c>
      <c r="C450" s="279" t="s">
        <v>1694</v>
      </c>
      <c r="D450" s="279">
        <v>35</v>
      </c>
      <c r="E450" s="279" t="s">
        <v>1341</v>
      </c>
      <c r="F450" s="280" t="s">
        <v>1343</v>
      </c>
      <c r="G450" s="279" t="s">
        <v>3448</v>
      </c>
      <c r="H450" s="279">
        <v>43</v>
      </c>
      <c r="I450" s="279" t="s">
        <v>1342</v>
      </c>
      <c r="J450" s="279" t="s">
        <v>683</v>
      </c>
      <c r="K450" s="279">
        <v>759</v>
      </c>
      <c r="L450" s="279">
        <v>759</v>
      </c>
      <c r="M450" s="279" t="s">
        <v>1344</v>
      </c>
      <c r="N450" s="279" t="s">
        <v>1345</v>
      </c>
      <c r="O450" s="279" t="s">
        <v>1346</v>
      </c>
      <c r="P450" s="283">
        <v>406</v>
      </c>
      <c r="Q450" s="279" t="s">
        <v>3571</v>
      </c>
      <c r="R450" s="279" t="s">
        <v>3572</v>
      </c>
      <c r="S450" s="279" t="s">
        <v>683</v>
      </c>
      <c r="T450" s="279">
        <v>190</v>
      </c>
      <c r="U450" s="267"/>
      <c r="V450" s="267"/>
      <c r="W450" s="224">
        <v>0</v>
      </c>
      <c r="X450" s="267"/>
      <c r="Y450" s="267"/>
      <c r="Z450" s="267"/>
      <c r="AA450" s="267"/>
      <c r="AB450" s="224">
        <v>0</v>
      </c>
      <c r="AC450" s="267"/>
      <c r="AD450" s="267"/>
      <c r="AE450" s="267"/>
      <c r="AF450" s="267"/>
      <c r="AG450" s="224">
        <v>0</v>
      </c>
      <c r="AH450" s="267"/>
      <c r="AI450" s="267"/>
      <c r="AJ450" s="267"/>
      <c r="AK450" s="267">
        <v>190</v>
      </c>
      <c r="AL450" s="224">
        <v>190</v>
      </c>
      <c r="AM450" s="104">
        <v>190</v>
      </c>
      <c r="AN450" s="103" t="s">
        <v>686</v>
      </c>
      <c r="AO450" s="103" t="s">
        <v>618</v>
      </c>
      <c r="AP450" s="103" t="s">
        <v>1216</v>
      </c>
      <c r="AQ450" s="103" t="s">
        <v>1194</v>
      </c>
      <c r="AR450" s="103" t="s">
        <v>938</v>
      </c>
      <c r="AS450" s="271"/>
      <c r="AT450" s="271"/>
      <c r="AU450" s="271"/>
      <c r="AV450" s="271"/>
      <c r="AW450" s="271"/>
      <c r="AX450" s="271"/>
      <c r="AY450" s="271"/>
      <c r="AZ450" s="271"/>
      <c r="BA450" s="271"/>
      <c r="BB450" s="271"/>
      <c r="BC450" s="271"/>
      <c r="BD450" s="271"/>
      <c r="BE450" s="271"/>
      <c r="BF450" s="271"/>
      <c r="BG450" s="271"/>
      <c r="BH450" s="235">
        <f t="shared" si="161"/>
        <v>0</v>
      </c>
      <c r="BI450" s="271"/>
      <c r="BJ450" s="271"/>
      <c r="BK450" s="271"/>
      <c r="BL450" s="271"/>
      <c r="BM450" s="271"/>
      <c r="BN450" s="271"/>
      <c r="BO450" s="271"/>
      <c r="BP450" s="271"/>
      <c r="BQ450" s="271"/>
      <c r="BR450" s="271"/>
      <c r="BS450" s="271"/>
      <c r="BT450" s="271"/>
      <c r="BU450" s="271"/>
      <c r="BV450" s="271"/>
      <c r="BW450" s="271"/>
      <c r="BX450" s="235">
        <f t="shared" si="162"/>
        <v>0</v>
      </c>
      <c r="BY450" s="271"/>
      <c r="BZ450" s="271"/>
      <c r="CA450" s="271"/>
      <c r="CB450" s="271"/>
      <c r="CC450" s="271"/>
      <c r="CD450" s="271"/>
      <c r="CE450" s="271"/>
      <c r="CF450" s="271"/>
      <c r="CG450" s="271"/>
      <c r="CH450" s="271"/>
      <c r="CI450" s="271"/>
      <c r="CJ450" s="271"/>
      <c r="CK450" s="271"/>
      <c r="CL450" s="271"/>
      <c r="CM450" s="271"/>
      <c r="CN450" s="235">
        <f t="shared" si="163"/>
        <v>0</v>
      </c>
      <c r="CO450" s="271"/>
      <c r="CP450" s="271"/>
      <c r="CQ450" s="271"/>
      <c r="CR450" s="271"/>
      <c r="CS450" s="271">
        <v>1800000000</v>
      </c>
      <c r="CT450" s="271"/>
      <c r="CU450" s="271"/>
      <c r="CV450" s="271"/>
      <c r="CW450" s="271"/>
      <c r="CX450" s="271"/>
      <c r="CY450" s="271"/>
      <c r="CZ450" s="271"/>
      <c r="DA450" s="271"/>
      <c r="DB450" s="271"/>
      <c r="DC450" s="271"/>
      <c r="DD450" s="234">
        <f t="shared" si="164"/>
        <v>1800000000</v>
      </c>
      <c r="DE450" s="244">
        <f t="shared" si="165"/>
        <v>1800000000</v>
      </c>
    </row>
    <row r="451" spans="1:109" s="99" customFormat="1" ht="94.05" customHeight="1">
      <c r="A451" s="103" t="s">
        <v>1239</v>
      </c>
      <c r="B451" s="279" t="s">
        <v>9</v>
      </c>
      <c r="C451" s="279" t="s">
        <v>1694</v>
      </c>
      <c r="D451" s="279">
        <v>35</v>
      </c>
      <c r="E451" s="279" t="s">
        <v>1341</v>
      </c>
      <c r="F451" s="280" t="s">
        <v>1343</v>
      </c>
      <c r="G451" s="279" t="s">
        <v>3448</v>
      </c>
      <c r="H451" s="279">
        <v>43</v>
      </c>
      <c r="I451" s="279" t="s">
        <v>1342</v>
      </c>
      <c r="J451" s="279" t="s">
        <v>683</v>
      </c>
      <c r="K451" s="279">
        <v>759</v>
      </c>
      <c r="L451" s="279">
        <v>759</v>
      </c>
      <c r="M451" s="279" t="s">
        <v>1344</v>
      </c>
      <c r="N451" s="279" t="s">
        <v>1345</v>
      </c>
      <c r="O451" s="279" t="s">
        <v>1346</v>
      </c>
      <c r="P451" s="283">
        <v>407</v>
      </c>
      <c r="Q451" s="279" t="s">
        <v>3573</v>
      </c>
      <c r="R451" s="279" t="s">
        <v>3572</v>
      </c>
      <c r="S451" s="279" t="s">
        <v>683</v>
      </c>
      <c r="T451" s="279">
        <v>190</v>
      </c>
      <c r="U451" s="267"/>
      <c r="V451" s="267"/>
      <c r="W451" s="224">
        <v>0</v>
      </c>
      <c r="X451" s="267"/>
      <c r="Y451" s="267"/>
      <c r="Z451" s="267"/>
      <c r="AA451" s="267"/>
      <c r="AB451" s="224">
        <v>0</v>
      </c>
      <c r="AC451" s="267"/>
      <c r="AD451" s="267"/>
      <c r="AE451" s="267"/>
      <c r="AF451" s="267"/>
      <c r="AG451" s="224">
        <v>0</v>
      </c>
      <c r="AH451" s="267"/>
      <c r="AI451" s="267"/>
      <c r="AJ451" s="267"/>
      <c r="AK451" s="267">
        <v>10</v>
      </c>
      <c r="AL451" s="224">
        <v>10</v>
      </c>
      <c r="AM451" s="104">
        <v>10</v>
      </c>
      <c r="AN451" s="103" t="s">
        <v>685</v>
      </c>
      <c r="AO451" s="103" t="s">
        <v>618</v>
      </c>
      <c r="AP451" s="103" t="s">
        <v>1216</v>
      </c>
      <c r="AQ451" s="103" t="s">
        <v>1194</v>
      </c>
      <c r="AR451" s="103" t="s">
        <v>938</v>
      </c>
      <c r="AS451" s="271"/>
      <c r="AT451" s="271"/>
      <c r="AU451" s="271"/>
      <c r="AV451" s="271"/>
      <c r="AW451" s="271"/>
      <c r="AX451" s="271"/>
      <c r="AY451" s="271"/>
      <c r="AZ451" s="271"/>
      <c r="BA451" s="271"/>
      <c r="BB451" s="271"/>
      <c r="BC451" s="271"/>
      <c r="BD451" s="271"/>
      <c r="BE451" s="271"/>
      <c r="BF451" s="271"/>
      <c r="BG451" s="271"/>
      <c r="BH451" s="235">
        <f t="shared" si="161"/>
        <v>0</v>
      </c>
      <c r="BI451" s="271"/>
      <c r="BJ451" s="271"/>
      <c r="BK451" s="271"/>
      <c r="BL451" s="271"/>
      <c r="BM451" s="271"/>
      <c r="BN451" s="271"/>
      <c r="BO451" s="271"/>
      <c r="BP451" s="271"/>
      <c r="BQ451" s="271"/>
      <c r="BR451" s="271"/>
      <c r="BS451" s="271"/>
      <c r="BT451" s="271"/>
      <c r="BU451" s="271"/>
      <c r="BV451" s="271"/>
      <c r="BW451" s="271"/>
      <c r="BX451" s="235">
        <f t="shared" si="162"/>
        <v>0</v>
      </c>
      <c r="BY451" s="271"/>
      <c r="BZ451" s="271"/>
      <c r="CA451" s="271"/>
      <c r="CB451" s="271"/>
      <c r="CC451" s="271"/>
      <c r="CD451" s="271"/>
      <c r="CE451" s="271"/>
      <c r="CF451" s="271"/>
      <c r="CG451" s="271"/>
      <c r="CH451" s="271"/>
      <c r="CI451" s="271"/>
      <c r="CJ451" s="271"/>
      <c r="CK451" s="271"/>
      <c r="CL451" s="271"/>
      <c r="CM451" s="271"/>
      <c r="CN451" s="235">
        <f t="shared" si="163"/>
        <v>0</v>
      </c>
      <c r="CO451" s="271"/>
      <c r="CP451" s="271"/>
      <c r="CQ451" s="271"/>
      <c r="CR451" s="271"/>
      <c r="CS451" s="271">
        <v>200000000</v>
      </c>
      <c r="CT451" s="271"/>
      <c r="CU451" s="271"/>
      <c r="CV451" s="271"/>
      <c r="CW451" s="271"/>
      <c r="CX451" s="271"/>
      <c r="CY451" s="271"/>
      <c r="CZ451" s="271"/>
      <c r="DA451" s="271"/>
      <c r="DB451" s="271"/>
      <c r="DC451" s="271"/>
      <c r="DD451" s="234">
        <f t="shared" si="164"/>
        <v>200000000</v>
      </c>
      <c r="DE451" s="244">
        <f t="shared" si="165"/>
        <v>200000000</v>
      </c>
    </row>
    <row r="452" spans="1:109" s="99" customFormat="1" ht="94.05" customHeight="1">
      <c r="A452" s="103" t="s">
        <v>1239</v>
      </c>
      <c r="B452" s="279" t="s">
        <v>9</v>
      </c>
      <c r="C452" s="279" t="s">
        <v>1694</v>
      </c>
      <c r="D452" s="279">
        <v>35</v>
      </c>
      <c r="E452" s="279" t="s">
        <v>1341</v>
      </c>
      <c r="F452" s="280" t="s">
        <v>1343</v>
      </c>
      <c r="G452" s="279" t="s">
        <v>3448</v>
      </c>
      <c r="H452" s="279">
        <v>43</v>
      </c>
      <c r="I452" s="279" t="s">
        <v>1342</v>
      </c>
      <c r="J452" s="279" t="s">
        <v>683</v>
      </c>
      <c r="K452" s="279">
        <v>759</v>
      </c>
      <c r="L452" s="279">
        <v>759</v>
      </c>
      <c r="M452" s="279" t="s">
        <v>1344</v>
      </c>
      <c r="N452" s="279" t="s">
        <v>1345</v>
      </c>
      <c r="O452" s="279" t="s">
        <v>1346</v>
      </c>
      <c r="P452" s="283">
        <v>408</v>
      </c>
      <c r="Q452" s="279" t="s">
        <v>3574</v>
      </c>
      <c r="R452" s="279" t="s">
        <v>1349</v>
      </c>
      <c r="S452" s="279" t="s">
        <v>683</v>
      </c>
      <c r="T452" s="279">
        <v>5</v>
      </c>
      <c r="U452" s="267"/>
      <c r="V452" s="267">
        <v>5</v>
      </c>
      <c r="W452" s="224">
        <v>5</v>
      </c>
      <c r="X452" s="267"/>
      <c r="Y452" s="267"/>
      <c r="Z452" s="267"/>
      <c r="AA452" s="267">
        <v>5</v>
      </c>
      <c r="AB452" s="224">
        <v>5</v>
      </c>
      <c r="AC452" s="267"/>
      <c r="AD452" s="267"/>
      <c r="AE452" s="267"/>
      <c r="AF452" s="267">
        <v>5</v>
      </c>
      <c r="AG452" s="224">
        <v>5</v>
      </c>
      <c r="AH452" s="267"/>
      <c r="AI452" s="267"/>
      <c r="AJ452" s="267"/>
      <c r="AK452" s="267">
        <v>5</v>
      </c>
      <c r="AL452" s="224">
        <v>5</v>
      </c>
      <c r="AM452" s="104">
        <v>5</v>
      </c>
      <c r="AN452" s="103" t="s">
        <v>686</v>
      </c>
      <c r="AO452" s="103" t="s">
        <v>618</v>
      </c>
      <c r="AP452" s="103" t="s">
        <v>1216</v>
      </c>
      <c r="AQ452" s="103" t="s">
        <v>1194</v>
      </c>
      <c r="AR452" s="103" t="s">
        <v>938</v>
      </c>
      <c r="AS452" s="271"/>
      <c r="AT452" s="271"/>
      <c r="AU452" s="271"/>
      <c r="AV452" s="271"/>
      <c r="AW452" s="271">
        <v>28549607</v>
      </c>
      <c r="AX452" s="271"/>
      <c r="AY452" s="271"/>
      <c r="AZ452" s="271"/>
      <c r="BA452" s="271"/>
      <c r="BB452" s="271"/>
      <c r="BC452" s="271"/>
      <c r="BD452" s="271"/>
      <c r="BE452" s="271"/>
      <c r="BF452" s="271"/>
      <c r="BG452" s="271"/>
      <c r="BH452" s="235">
        <f t="shared" si="161"/>
        <v>28549607</v>
      </c>
      <c r="BI452" s="271"/>
      <c r="BJ452" s="271"/>
      <c r="BK452" s="271"/>
      <c r="BL452" s="271">
        <v>200000000</v>
      </c>
      <c r="BM452" s="271"/>
      <c r="BN452" s="271"/>
      <c r="BO452" s="271"/>
      <c r="BP452" s="271"/>
      <c r="BQ452" s="271"/>
      <c r="BR452" s="271"/>
      <c r="BS452" s="271"/>
      <c r="BT452" s="271"/>
      <c r="BU452" s="271"/>
      <c r="BV452" s="271"/>
      <c r="BW452" s="271"/>
      <c r="BX452" s="235">
        <f t="shared" si="162"/>
        <v>200000000</v>
      </c>
      <c r="BY452" s="271"/>
      <c r="BZ452" s="271"/>
      <c r="CA452" s="271"/>
      <c r="CB452" s="271">
        <v>200000000</v>
      </c>
      <c r="CC452" s="271"/>
      <c r="CD452" s="271"/>
      <c r="CE452" s="271"/>
      <c r="CF452" s="271"/>
      <c r="CG452" s="271"/>
      <c r="CH452" s="271"/>
      <c r="CI452" s="271"/>
      <c r="CJ452" s="271"/>
      <c r="CK452" s="271"/>
      <c r="CL452" s="271"/>
      <c r="CM452" s="271"/>
      <c r="CN452" s="235">
        <f t="shared" si="163"/>
        <v>200000000</v>
      </c>
      <c r="CO452" s="271"/>
      <c r="CP452" s="271"/>
      <c r="CQ452" s="271"/>
      <c r="CR452" s="271">
        <v>150000000</v>
      </c>
      <c r="CS452" s="271"/>
      <c r="CT452" s="271"/>
      <c r="CU452" s="271"/>
      <c r="CV452" s="271"/>
      <c r="CW452" s="271"/>
      <c r="CX452" s="271"/>
      <c r="CY452" s="271"/>
      <c r="CZ452" s="271"/>
      <c r="DA452" s="271"/>
      <c r="DB452" s="271"/>
      <c r="DC452" s="271"/>
      <c r="DD452" s="234">
        <f t="shared" si="164"/>
        <v>150000000</v>
      </c>
      <c r="DE452" s="244">
        <f t="shared" si="165"/>
        <v>578549607</v>
      </c>
    </row>
    <row r="453" spans="1:109" s="99" customFormat="1" ht="94.05" customHeight="1">
      <c r="A453" s="103" t="s">
        <v>1239</v>
      </c>
      <c r="B453" s="279" t="s">
        <v>9</v>
      </c>
      <c r="C453" s="279" t="s">
        <v>1694</v>
      </c>
      <c r="D453" s="279">
        <v>35</v>
      </c>
      <c r="E453" s="279" t="s">
        <v>1341</v>
      </c>
      <c r="F453" s="280" t="s">
        <v>1343</v>
      </c>
      <c r="G453" s="279" t="s">
        <v>3448</v>
      </c>
      <c r="H453" s="279">
        <v>43</v>
      </c>
      <c r="I453" s="279" t="s">
        <v>1342</v>
      </c>
      <c r="J453" s="279" t="s">
        <v>683</v>
      </c>
      <c r="K453" s="279">
        <v>759</v>
      </c>
      <c r="L453" s="279">
        <v>759</v>
      </c>
      <c r="M453" s="279" t="s">
        <v>1344</v>
      </c>
      <c r="N453" s="279" t="s">
        <v>1345</v>
      </c>
      <c r="O453" s="279" t="s">
        <v>1346</v>
      </c>
      <c r="P453" s="283">
        <v>409</v>
      </c>
      <c r="Q453" s="279" t="s">
        <v>3575</v>
      </c>
      <c r="R453" s="279" t="s">
        <v>1349</v>
      </c>
      <c r="S453" s="279" t="s">
        <v>683</v>
      </c>
      <c r="T453" s="279">
        <v>5</v>
      </c>
      <c r="U453" s="267"/>
      <c r="V453" s="267"/>
      <c r="W453" s="224">
        <v>0</v>
      </c>
      <c r="X453" s="267"/>
      <c r="Y453" s="267"/>
      <c r="Z453" s="267"/>
      <c r="AA453" s="267"/>
      <c r="AB453" s="224">
        <v>0</v>
      </c>
      <c r="AC453" s="267"/>
      <c r="AD453" s="267"/>
      <c r="AE453" s="267"/>
      <c r="AF453" s="267"/>
      <c r="AG453" s="224">
        <v>0</v>
      </c>
      <c r="AH453" s="267"/>
      <c r="AI453" s="267"/>
      <c r="AJ453" s="267"/>
      <c r="AK453" s="267">
        <v>3</v>
      </c>
      <c r="AL453" s="224">
        <v>3</v>
      </c>
      <c r="AM453" s="104">
        <v>3</v>
      </c>
      <c r="AN453" s="103" t="s">
        <v>685</v>
      </c>
      <c r="AO453" s="103" t="s">
        <v>618</v>
      </c>
      <c r="AP453" s="103" t="s">
        <v>1216</v>
      </c>
      <c r="AQ453" s="103" t="s">
        <v>1194</v>
      </c>
      <c r="AR453" s="103" t="s">
        <v>938</v>
      </c>
      <c r="AS453" s="271"/>
      <c r="AT453" s="271"/>
      <c r="AU453" s="271"/>
      <c r="AV453" s="271"/>
      <c r="AW453" s="271"/>
      <c r="AX453" s="271"/>
      <c r="AY453" s="271"/>
      <c r="AZ453" s="271"/>
      <c r="BA453" s="271"/>
      <c r="BB453" s="271"/>
      <c r="BC453" s="271"/>
      <c r="BD453" s="271"/>
      <c r="BE453" s="271"/>
      <c r="BF453" s="271"/>
      <c r="BG453" s="271"/>
      <c r="BH453" s="235">
        <f t="shared" si="161"/>
        <v>0</v>
      </c>
      <c r="BI453" s="271"/>
      <c r="BJ453" s="271"/>
      <c r="BK453" s="271"/>
      <c r="BL453" s="271"/>
      <c r="BM453" s="271"/>
      <c r="BN453" s="271"/>
      <c r="BO453" s="271"/>
      <c r="BP453" s="271"/>
      <c r="BQ453" s="271"/>
      <c r="BR453" s="271"/>
      <c r="BS453" s="271"/>
      <c r="BT453" s="271"/>
      <c r="BU453" s="271"/>
      <c r="BV453" s="271"/>
      <c r="BW453" s="271"/>
      <c r="BX453" s="235">
        <f t="shared" si="162"/>
        <v>0</v>
      </c>
      <c r="BY453" s="271"/>
      <c r="BZ453" s="271"/>
      <c r="CA453" s="271"/>
      <c r="CB453" s="271"/>
      <c r="CC453" s="271"/>
      <c r="CD453" s="271"/>
      <c r="CE453" s="271"/>
      <c r="CF453" s="271"/>
      <c r="CG453" s="271"/>
      <c r="CH453" s="271"/>
      <c r="CI453" s="271"/>
      <c r="CJ453" s="271"/>
      <c r="CK453" s="271"/>
      <c r="CL453" s="271"/>
      <c r="CM453" s="271"/>
      <c r="CN453" s="235">
        <f t="shared" si="163"/>
        <v>0</v>
      </c>
      <c r="CO453" s="271"/>
      <c r="CP453" s="271"/>
      <c r="CQ453" s="271"/>
      <c r="CR453" s="271">
        <v>50000000</v>
      </c>
      <c r="CS453" s="271"/>
      <c r="CT453" s="271"/>
      <c r="CU453" s="271"/>
      <c r="CV453" s="271"/>
      <c r="CW453" s="271"/>
      <c r="CX453" s="271"/>
      <c r="CY453" s="271"/>
      <c r="CZ453" s="271"/>
      <c r="DA453" s="271"/>
      <c r="DB453" s="271"/>
      <c r="DC453" s="271"/>
      <c r="DD453" s="234">
        <f t="shared" si="164"/>
        <v>50000000</v>
      </c>
      <c r="DE453" s="244">
        <f t="shared" si="165"/>
        <v>50000000</v>
      </c>
    </row>
    <row r="454" spans="1:109" s="99" customFormat="1" ht="94.05" customHeight="1">
      <c r="A454" s="103" t="s">
        <v>1239</v>
      </c>
      <c r="B454" s="279" t="s">
        <v>9</v>
      </c>
      <c r="C454" s="279" t="s">
        <v>1694</v>
      </c>
      <c r="D454" s="279">
        <v>35</v>
      </c>
      <c r="E454" s="279" t="s">
        <v>1341</v>
      </c>
      <c r="F454" s="280" t="s">
        <v>1343</v>
      </c>
      <c r="G454" s="279" t="s">
        <v>3448</v>
      </c>
      <c r="H454" s="279">
        <v>43</v>
      </c>
      <c r="I454" s="279" t="s">
        <v>1342</v>
      </c>
      <c r="J454" s="279" t="s">
        <v>683</v>
      </c>
      <c r="K454" s="279">
        <v>759</v>
      </c>
      <c r="L454" s="279">
        <v>759</v>
      </c>
      <c r="M454" s="279" t="s">
        <v>1344</v>
      </c>
      <c r="N454" s="279" t="s">
        <v>1345</v>
      </c>
      <c r="O454" s="279" t="s">
        <v>1346</v>
      </c>
      <c r="P454" s="283">
        <v>410</v>
      </c>
      <c r="Q454" s="279" t="s">
        <v>3576</v>
      </c>
      <c r="R454" s="279" t="s">
        <v>3577</v>
      </c>
      <c r="S454" s="279" t="s">
        <v>683</v>
      </c>
      <c r="T454" s="279">
        <v>274</v>
      </c>
      <c r="U454" s="267"/>
      <c r="V454" s="267"/>
      <c r="W454" s="224">
        <v>0</v>
      </c>
      <c r="X454" s="267"/>
      <c r="Y454" s="267"/>
      <c r="Z454" s="267"/>
      <c r="AA454" s="267"/>
      <c r="AB454" s="224">
        <v>0</v>
      </c>
      <c r="AC454" s="267"/>
      <c r="AD454" s="267"/>
      <c r="AE454" s="267"/>
      <c r="AF454" s="267"/>
      <c r="AG454" s="224">
        <v>0</v>
      </c>
      <c r="AH454" s="267"/>
      <c r="AI454" s="267"/>
      <c r="AJ454" s="267"/>
      <c r="AK454" s="267">
        <v>274</v>
      </c>
      <c r="AL454" s="224">
        <v>274</v>
      </c>
      <c r="AM454" s="104">
        <v>274</v>
      </c>
      <c r="AN454" s="103" t="s">
        <v>686</v>
      </c>
      <c r="AO454" s="103" t="s">
        <v>618</v>
      </c>
      <c r="AP454" s="103" t="s">
        <v>1216</v>
      </c>
      <c r="AQ454" s="103" t="s">
        <v>1194</v>
      </c>
      <c r="AR454" s="103" t="s">
        <v>938</v>
      </c>
      <c r="AS454" s="271"/>
      <c r="AT454" s="271"/>
      <c r="AU454" s="271"/>
      <c r="AV454" s="271"/>
      <c r="AW454" s="271"/>
      <c r="AX454" s="271"/>
      <c r="AY454" s="271"/>
      <c r="AZ454" s="271"/>
      <c r="BA454" s="271"/>
      <c r="BB454" s="271"/>
      <c r="BC454" s="271"/>
      <c r="BD454" s="271"/>
      <c r="BE454" s="271"/>
      <c r="BF454" s="271"/>
      <c r="BG454" s="271"/>
      <c r="BH454" s="235">
        <f t="shared" si="161"/>
        <v>0</v>
      </c>
      <c r="BI454" s="271"/>
      <c r="BJ454" s="271"/>
      <c r="BK454" s="271"/>
      <c r="BL454" s="271"/>
      <c r="BM454" s="271"/>
      <c r="BN454" s="271"/>
      <c r="BO454" s="271"/>
      <c r="BP454" s="271"/>
      <c r="BQ454" s="271"/>
      <c r="BR454" s="271"/>
      <c r="BS454" s="271"/>
      <c r="BT454" s="271"/>
      <c r="BU454" s="271"/>
      <c r="BV454" s="271"/>
      <c r="BW454" s="271"/>
      <c r="BX454" s="235">
        <f t="shared" si="162"/>
        <v>0</v>
      </c>
      <c r="BY454" s="271"/>
      <c r="BZ454" s="271"/>
      <c r="CA454" s="271"/>
      <c r="CB454" s="271"/>
      <c r="CC454" s="271"/>
      <c r="CD454" s="271"/>
      <c r="CE454" s="271"/>
      <c r="CF454" s="271"/>
      <c r="CG454" s="271"/>
      <c r="CH454" s="271"/>
      <c r="CI454" s="271"/>
      <c r="CJ454" s="271"/>
      <c r="CK454" s="271"/>
      <c r="CL454" s="271"/>
      <c r="CM454" s="271"/>
      <c r="CN454" s="235">
        <f t="shared" si="163"/>
        <v>0</v>
      </c>
      <c r="CO454" s="271"/>
      <c r="CP454" s="271"/>
      <c r="CQ454" s="271"/>
      <c r="CR454" s="271"/>
      <c r="CS454" s="271">
        <v>411965450</v>
      </c>
      <c r="CT454" s="271"/>
      <c r="CU454" s="271"/>
      <c r="CV454" s="271"/>
      <c r="CW454" s="271"/>
      <c r="CX454" s="271"/>
      <c r="CY454" s="271"/>
      <c r="CZ454" s="271"/>
      <c r="DA454" s="271"/>
      <c r="DB454" s="271"/>
      <c r="DC454" s="271"/>
      <c r="DD454" s="234">
        <f t="shared" si="164"/>
        <v>411965450</v>
      </c>
      <c r="DE454" s="244">
        <f t="shared" si="165"/>
        <v>411965450</v>
      </c>
    </row>
    <row r="455" spans="1:109" s="99" customFormat="1" ht="94.05" customHeight="1">
      <c r="A455" s="103" t="s">
        <v>1239</v>
      </c>
      <c r="B455" s="279" t="s">
        <v>9</v>
      </c>
      <c r="C455" s="279" t="s">
        <v>1694</v>
      </c>
      <c r="D455" s="279">
        <v>35</v>
      </c>
      <c r="E455" s="279" t="s">
        <v>1341</v>
      </c>
      <c r="F455" s="280" t="s">
        <v>1343</v>
      </c>
      <c r="G455" s="279" t="s">
        <v>3448</v>
      </c>
      <c r="H455" s="279">
        <v>43</v>
      </c>
      <c r="I455" s="279" t="s">
        <v>1342</v>
      </c>
      <c r="J455" s="279" t="s">
        <v>683</v>
      </c>
      <c r="K455" s="279">
        <v>759</v>
      </c>
      <c r="L455" s="279">
        <v>759</v>
      </c>
      <c r="M455" s="279" t="s">
        <v>1344</v>
      </c>
      <c r="N455" s="279" t="s">
        <v>1345</v>
      </c>
      <c r="O455" s="279" t="s">
        <v>1346</v>
      </c>
      <c r="P455" s="283">
        <v>411</v>
      </c>
      <c r="Q455" s="279" t="s">
        <v>3452</v>
      </c>
      <c r="R455" s="279" t="s">
        <v>1350</v>
      </c>
      <c r="S455" s="279" t="s">
        <v>683</v>
      </c>
      <c r="T455" s="279">
        <v>0</v>
      </c>
      <c r="U455" s="267"/>
      <c r="V455" s="267">
        <v>94</v>
      </c>
      <c r="W455" s="224">
        <v>94</v>
      </c>
      <c r="X455" s="267"/>
      <c r="Y455" s="267"/>
      <c r="Z455" s="267"/>
      <c r="AA455" s="267"/>
      <c r="AB455" s="224">
        <v>0</v>
      </c>
      <c r="AC455" s="267"/>
      <c r="AD455" s="267"/>
      <c r="AE455" s="267"/>
      <c r="AF455" s="267"/>
      <c r="AG455" s="224">
        <v>0</v>
      </c>
      <c r="AH455" s="267"/>
      <c r="AI455" s="267"/>
      <c r="AJ455" s="267"/>
      <c r="AK455" s="267"/>
      <c r="AL455" s="224">
        <v>0</v>
      </c>
      <c r="AM455" s="104">
        <v>94</v>
      </c>
      <c r="AN455" s="103" t="s">
        <v>685</v>
      </c>
      <c r="AO455" s="103" t="s">
        <v>618</v>
      </c>
      <c r="AP455" s="103" t="s">
        <v>1216</v>
      </c>
      <c r="AQ455" s="103" t="s">
        <v>1194</v>
      </c>
      <c r="AR455" s="103" t="s">
        <v>938</v>
      </c>
      <c r="AS455" s="271"/>
      <c r="AT455" s="271"/>
      <c r="AU455" s="271"/>
      <c r="AV455" s="271">
        <v>250000000</v>
      </c>
      <c r="AW455" s="271"/>
      <c r="AX455" s="271"/>
      <c r="AY455" s="271"/>
      <c r="AZ455" s="271"/>
      <c r="BA455" s="271"/>
      <c r="BB455" s="271"/>
      <c r="BC455" s="271"/>
      <c r="BD455" s="271"/>
      <c r="BE455" s="271"/>
      <c r="BF455" s="271"/>
      <c r="BG455" s="271"/>
      <c r="BH455" s="235">
        <f t="shared" si="161"/>
        <v>250000000</v>
      </c>
      <c r="BI455" s="271"/>
      <c r="BJ455" s="271"/>
      <c r="BK455" s="271"/>
      <c r="BL455" s="271"/>
      <c r="BM455" s="271"/>
      <c r="BN455" s="271"/>
      <c r="BO455" s="271"/>
      <c r="BP455" s="271"/>
      <c r="BQ455" s="271"/>
      <c r="BR455" s="271"/>
      <c r="BS455" s="271"/>
      <c r="BT455" s="271"/>
      <c r="BU455" s="271"/>
      <c r="BV455" s="271"/>
      <c r="BW455" s="271"/>
      <c r="BX455" s="235">
        <f t="shared" si="162"/>
        <v>0</v>
      </c>
      <c r="BY455" s="271"/>
      <c r="BZ455" s="271"/>
      <c r="CA455" s="271"/>
      <c r="CB455" s="271"/>
      <c r="CC455" s="271"/>
      <c r="CD455" s="271"/>
      <c r="CE455" s="271"/>
      <c r="CF455" s="271"/>
      <c r="CG455" s="271"/>
      <c r="CH455" s="271"/>
      <c r="CI455" s="271"/>
      <c r="CJ455" s="271"/>
      <c r="CK455" s="271"/>
      <c r="CL455" s="271"/>
      <c r="CM455" s="271"/>
      <c r="CN455" s="235">
        <f t="shared" si="163"/>
        <v>0</v>
      </c>
      <c r="CO455" s="271"/>
      <c r="CP455" s="271"/>
      <c r="CQ455" s="271"/>
      <c r="CR455" s="271"/>
      <c r="CS455" s="271"/>
      <c r="CT455" s="271"/>
      <c r="CU455" s="271"/>
      <c r="CV455" s="271"/>
      <c r="CW455" s="271"/>
      <c r="CX455" s="271"/>
      <c r="CY455" s="271"/>
      <c r="CZ455" s="271"/>
      <c r="DA455" s="271"/>
      <c r="DB455" s="271"/>
      <c r="DC455" s="271"/>
      <c r="DD455" s="234">
        <f t="shared" si="164"/>
        <v>0</v>
      </c>
      <c r="DE455" s="244">
        <f t="shared" si="165"/>
        <v>250000000</v>
      </c>
    </row>
    <row r="456" spans="1:109" s="99" customFormat="1" ht="94.05" customHeight="1">
      <c r="A456" s="103" t="s">
        <v>1239</v>
      </c>
      <c r="B456" s="279" t="s">
        <v>9</v>
      </c>
      <c r="C456" s="279" t="s">
        <v>1694</v>
      </c>
      <c r="D456" s="279">
        <v>35</v>
      </c>
      <c r="E456" s="279" t="s">
        <v>1341</v>
      </c>
      <c r="F456" s="280" t="s">
        <v>1343</v>
      </c>
      <c r="G456" s="279" t="s">
        <v>3448</v>
      </c>
      <c r="H456" s="279">
        <v>43</v>
      </c>
      <c r="I456" s="279" t="s">
        <v>1342</v>
      </c>
      <c r="J456" s="279" t="s">
        <v>683</v>
      </c>
      <c r="K456" s="279">
        <v>759</v>
      </c>
      <c r="L456" s="279">
        <v>759</v>
      </c>
      <c r="M456" s="279" t="s">
        <v>1352</v>
      </c>
      <c r="N456" s="279" t="s">
        <v>1353</v>
      </c>
      <c r="O456" s="279" t="s">
        <v>1354</v>
      </c>
      <c r="P456" s="283">
        <v>412</v>
      </c>
      <c r="Q456" s="279" t="s">
        <v>3453</v>
      </c>
      <c r="R456" s="279" t="s">
        <v>1355</v>
      </c>
      <c r="S456" s="279" t="s">
        <v>683</v>
      </c>
      <c r="T456" s="279">
        <v>210</v>
      </c>
      <c r="U456" s="267"/>
      <c r="V456" s="267">
        <v>210</v>
      </c>
      <c r="W456" s="224">
        <v>210</v>
      </c>
      <c r="X456" s="267">
        <v>30</v>
      </c>
      <c r="Y456" s="267">
        <v>60</v>
      </c>
      <c r="Z456" s="267">
        <v>60</v>
      </c>
      <c r="AA456" s="267">
        <v>60</v>
      </c>
      <c r="AB456" s="224">
        <v>210</v>
      </c>
      <c r="AC456" s="267">
        <v>30</v>
      </c>
      <c r="AD456" s="267">
        <v>60</v>
      </c>
      <c r="AE456" s="267">
        <v>60</v>
      </c>
      <c r="AF456" s="267">
        <v>60</v>
      </c>
      <c r="AG456" s="224">
        <v>210</v>
      </c>
      <c r="AH456" s="267">
        <v>30</v>
      </c>
      <c r="AI456" s="267">
        <v>60</v>
      </c>
      <c r="AJ456" s="267">
        <v>60</v>
      </c>
      <c r="AK456" s="267">
        <v>60</v>
      </c>
      <c r="AL456" s="224">
        <v>210</v>
      </c>
      <c r="AM456" s="104">
        <v>210</v>
      </c>
      <c r="AN456" s="103" t="s">
        <v>686</v>
      </c>
      <c r="AO456" s="103" t="s">
        <v>618</v>
      </c>
      <c r="AP456" s="103" t="s">
        <v>1216</v>
      </c>
      <c r="AQ456" s="103" t="s">
        <v>1194</v>
      </c>
      <c r="AR456" s="103" t="s">
        <v>938</v>
      </c>
      <c r="AS456" s="271"/>
      <c r="AT456" s="271"/>
      <c r="AU456" s="271"/>
      <c r="AV456" s="271">
        <v>300000000</v>
      </c>
      <c r="AW456" s="271"/>
      <c r="AX456" s="271"/>
      <c r="AY456" s="271"/>
      <c r="AZ456" s="271"/>
      <c r="BA456" s="271"/>
      <c r="BB456" s="271"/>
      <c r="BC456" s="271"/>
      <c r="BD456" s="271"/>
      <c r="BE456" s="271"/>
      <c r="BF456" s="271"/>
      <c r="BG456" s="271"/>
      <c r="BH456" s="235">
        <f t="shared" si="161"/>
        <v>300000000</v>
      </c>
      <c r="BI456" s="271"/>
      <c r="BJ456" s="271"/>
      <c r="BK456" s="271"/>
      <c r="BL456" s="271">
        <v>300000000</v>
      </c>
      <c r="BM456" s="271"/>
      <c r="BN456" s="271"/>
      <c r="BO456" s="271"/>
      <c r="BP456" s="271"/>
      <c r="BQ456" s="271"/>
      <c r="BR456" s="271"/>
      <c r="BS456" s="271"/>
      <c r="BT456" s="271"/>
      <c r="BU456" s="271"/>
      <c r="BV456" s="271"/>
      <c r="BW456" s="271"/>
      <c r="BX456" s="235">
        <f t="shared" si="162"/>
        <v>300000000</v>
      </c>
      <c r="BY456" s="271"/>
      <c r="BZ456" s="271"/>
      <c r="CA456" s="271"/>
      <c r="CB456" s="271">
        <v>250000000</v>
      </c>
      <c r="CC456" s="271"/>
      <c r="CD456" s="271"/>
      <c r="CE456" s="271"/>
      <c r="CF456" s="271"/>
      <c r="CG456" s="271"/>
      <c r="CH456" s="271"/>
      <c r="CI456" s="271"/>
      <c r="CJ456" s="271"/>
      <c r="CK456" s="271"/>
      <c r="CL456" s="271"/>
      <c r="CM456" s="271"/>
      <c r="CN456" s="235">
        <f t="shared" si="163"/>
        <v>250000000</v>
      </c>
      <c r="CO456" s="271"/>
      <c r="CP456" s="271"/>
      <c r="CQ456" s="271"/>
      <c r="CR456" s="271">
        <v>300000000</v>
      </c>
      <c r="CS456" s="271"/>
      <c r="CT456" s="271"/>
      <c r="CU456" s="271"/>
      <c r="CV456" s="271"/>
      <c r="CW456" s="271"/>
      <c r="CX456" s="271"/>
      <c r="CY456" s="271"/>
      <c r="CZ456" s="271"/>
      <c r="DA456" s="271"/>
      <c r="DB456" s="271"/>
      <c r="DC456" s="271"/>
      <c r="DD456" s="234">
        <f t="shared" si="164"/>
        <v>300000000</v>
      </c>
      <c r="DE456" s="244">
        <f t="shared" si="165"/>
        <v>1150000000</v>
      </c>
    </row>
    <row r="457" spans="1:109" s="99" customFormat="1" ht="94.05" customHeight="1">
      <c r="A457" s="103" t="s">
        <v>1239</v>
      </c>
      <c r="B457" s="279" t="s">
        <v>9</v>
      </c>
      <c r="C457" s="279" t="s">
        <v>1694</v>
      </c>
      <c r="D457" s="279">
        <v>35</v>
      </c>
      <c r="E457" s="279" t="s">
        <v>1341</v>
      </c>
      <c r="F457" s="280" t="s">
        <v>1343</v>
      </c>
      <c r="G457" s="279" t="s">
        <v>3448</v>
      </c>
      <c r="H457" s="279">
        <v>43</v>
      </c>
      <c r="I457" s="279" t="s">
        <v>1342</v>
      </c>
      <c r="J457" s="279" t="s">
        <v>683</v>
      </c>
      <c r="K457" s="279">
        <v>759</v>
      </c>
      <c r="L457" s="279">
        <v>759</v>
      </c>
      <c r="M457" s="279" t="s">
        <v>1352</v>
      </c>
      <c r="N457" s="279" t="s">
        <v>1353</v>
      </c>
      <c r="O457" s="279" t="s">
        <v>1354</v>
      </c>
      <c r="P457" s="283">
        <v>413</v>
      </c>
      <c r="Q457" s="279" t="s">
        <v>3578</v>
      </c>
      <c r="R457" s="279" t="s">
        <v>1355</v>
      </c>
      <c r="S457" s="279" t="s">
        <v>683</v>
      </c>
      <c r="T457" s="279">
        <v>210</v>
      </c>
      <c r="U457" s="267"/>
      <c r="V457" s="267"/>
      <c r="W457" s="224">
        <v>0</v>
      </c>
      <c r="X457" s="267">
        <v>10</v>
      </c>
      <c r="Y457" s="267">
        <v>10</v>
      </c>
      <c r="Z457" s="267">
        <v>10</v>
      </c>
      <c r="AA457" s="267">
        <v>10</v>
      </c>
      <c r="AB457" s="224">
        <v>40</v>
      </c>
      <c r="AC457" s="267">
        <v>10</v>
      </c>
      <c r="AD457" s="267">
        <v>10</v>
      </c>
      <c r="AE457" s="267">
        <v>10</v>
      </c>
      <c r="AF457" s="267">
        <v>10</v>
      </c>
      <c r="AG457" s="224">
        <v>40</v>
      </c>
      <c r="AH457" s="267">
        <v>10</v>
      </c>
      <c r="AI457" s="267">
        <v>10</v>
      </c>
      <c r="AJ457" s="267">
        <v>10</v>
      </c>
      <c r="AK457" s="267">
        <v>10</v>
      </c>
      <c r="AL457" s="224">
        <v>40</v>
      </c>
      <c r="AM457" s="104">
        <v>120</v>
      </c>
      <c r="AN457" s="103" t="s">
        <v>685</v>
      </c>
      <c r="AO457" s="103" t="s">
        <v>618</v>
      </c>
      <c r="AP457" s="103" t="s">
        <v>1216</v>
      </c>
      <c r="AQ457" s="103" t="s">
        <v>1194</v>
      </c>
      <c r="AR457" s="103" t="s">
        <v>938</v>
      </c>
      <c r="AS457" s="271"/>
      <c r="AT457" s="271"/>
      <c r="AU457" s="271"/>
      <c r="AV457" s="271"/>
      <c r="AW457" s="271"/>
      <c r="AX457" s="271"/>
      <c r="AY457" s="271"/>
      <c r="AZ457" s="271"/>
      <c r="BA457" s="271"/>
      <c r="BB457" s="271"/>
      <c r="BC457" s="271"/>
      <c r="BD457" s="271"/>
      <c r="BE457" s="271"/>
      <c r="BF457" s="271"/>
      <c r="BG457" s="271"/>
      <c r="BH457" s="235">
        <f t="shared" si="161"/>
        <v>0</v>
      </c>
      <c r="BI457" s="271"/>
      <c r="BJ457" s="271"/>
      <c r="BK457" s="271"/>
      <c r="BL457" s="271">
        <v>40000000</v>
      </c>
      <c r="BM457" s="271"/>
      <c r="BN457" s="271"/>
      <c r="BO457" s="271"/>
      <c r="BP457" s="271"/>
      <c r="BQ457" s="271"/>
      <c r="BR457" s="271"/>
      <c r="BS457" s="271"/>
      <c r="BT457" s="271"/>
      <c r="BU457" s="271"/>
      <c r="BV457" s="271"/>
      <c r="BW457" s="271"/>
      <c r="BX457" s="235">
        <f t="shared" si="162"/>
        <v>40000000</v>
      </c>
      <c r="BY457" s="271"/>
      <c r="BZ457" s="271"/>
      <c r="CA457" s="271"/>
      <c r="CB457" s="271">
        <v>50000000</v>
      </c>
      <c r="CC457" s="271"/>
      <c r="CD457" s="271"/>
      <c r="CE457" s="271"/>
      <c r="CF457" s="271"/>
      <c r="CG457" s="271"/>
      <c r="CH457" s="271"/>
      <c r="CI457" s="271"/>
      <c r="CJ457" s="271"/>
      <c r="CK457" s="271"/>
      <c r="CL457" s="271"/>
      <c r="CM457" s="271"/>
      <c r="CN457" s="235">
        <f t="shared" si="163"/>
        <v>50000000</v>
      </c>
      <c r="CO457" s="271"/>
      <c r="CP457" s="271"/>
      <c r="CQ457" s="271"/>
      <c r="CR457" s="271">
        <v>50000000</v>
      </c>
      <c r="CS457" s="271"/>
      <c r="CT457" s="271"/>
      <c r="CU457" s="271"/>
      <c r="CV457" s="271"/>
      <c r="CW457" s="271"/>
      <c r="CX457" s="271"/>
      <c r="CY457" s="271"/>
      <c r="CZ457" s="271"/>
      <c r="DA457" s="271"/>
      <c r="DB457" s="271"/>
      <c r="DC457" s="271"/>
      <c r="DD457" s="234">
        <f t="shared" si="164"/>
        <v>50000000</v>
      </c>
      <c r="DE457" s="244">
        <f t="shared" si="165"/>
        <v>140000000</v>
      </c>
    </row>
    <row r="458" spans="1:109" s="99" customFormat="1" ht="94.05" customHeight="1">
      <c r="A458" s="103" t="s">
        <v>1239</v>
      </c>
      <c r="B458" s="279" t="s">
        <v>9</v>
      </c>
      <c r="C458" s="279" t="s">
        <v>1694</v>
      </c>
      <c r="D458" s="279">
        <v>35</v>
      </c>
      <c r="E458" s="279" t="s">
        <v>1341</v>
      </c>
      <c r="F458" s="280" t="s">
        <v>1343</v>
      </c>
      <c r="G458" s="279" t="s">
        <v>3448</v>
      </c>
      <c r="H458" s="279">
        <v>43</v>
      </c>
      <c r="I458" s="279" t="s">
        <v>1342</v>
      </c>
      <c r="J458" s="279" t="s">
        <v>683</v>
      </c>
      <c r="K458" s="279">
        <v>759</v>
      </c>
      <c r="L458" s="279">
        <v>759</v>
      </c>
      <c r="M458" s="279" t="s">
        <v>1352</v>
      </c>
      <c r="N458" s="279" t="s">
        <v>1353</v>
      </c>
      <c r="O458" s="279" t="s">
        <v>1354</v>
      </c>
      <c r="P458" s="283">
        <v>414</v>
      </c>
      <c r="Q458" s="279" t="s">
        <v>3454</v>
      </c>
      <c r="R458" s="279" t="s">
        <v>1356</v>
      </c>
      <c r="S458" s="279" t="s">
        <v>683</v>
      </c>
      <c r="T458" s="279">
        <v>0</v>
      </c>
      <c r="U458" s="267"/>
      <c r="V458" s="267"/>
      <c r="W458" s="224">
        <v>0</v>
      </c>
      <c r="X458" s="267"/>
      <c r="Y458" s="267"/>
      <c r="Z458" s="267"/>
      <c r="AA458" s="267"/>
      <c r="AB458" s="224">
        <v>0</v>
      </c>
      <c r="AC458" s="267">
        <v>1</v>
      </c>
      <c r="AD458" s="267"/>
      <c r="AE458" s="267"/>
      <c r="AF458" s="267"/>
      <c r="AG458" s="224">
        <v>1</v>
      </c>
      <c r="AH458" s="267"/>
      <c r="AI458" s="267"/>
      <c r="AJ458" s="267"/>
      <c r="AK458" s="267"/>
      <c r="AL458" s="224">
        <v>0</v>
      </c>
      <c r="AM458" s="104">
        <v>1</v>
      </c>
      <c r="AN458" s="103" t="s">
        <v>685</v>
      </c>
      <c r="AO458" s="103" t="s">
        <v>618</v>
      </c>
      <c r="AP458" s="103" t="s">
        <v>1216</v>
      </c>
      <c r="AQ458" s="103" t="s">
        <v>1194</v>
      </c>
      <c r="AR458" s="103" t="s">
        <v>938</v>
      </c>
      <c r="AS458" s="271"/>
      <c r="AT458" s="271"/>
      <c r="AU458" s="271"/>
      <c r="AV458" s="271"/>
      <c r="AW458" s="271"/>
      <c r="AX458" s="271"/>
      <c r="AY458" s="271"/>
      <c r="AZ458" s="271"/>
      <c r="BA458" s="271"/>
      <c r="BB458" s="271"/>
      <c r="BC458" s="271"/>
      <c r="BD458" s="271"/>
      <c r="BE458" s="271"/>
      <c r="BF458" s="271"/>
      <c r="BG458" s="271"/>
      <c r="BH458" s="235">
        <f t="shared" si="161"/>
        <v>0</v>
      </c>
      <c r="BI458" s="271"/>
      <c r="BJ458" s="271"/>
      <c r="BK458" s="271"/>
      <c r="BL458" s="271"/>
      <c r="BM458" s="271"/>
      <c r="BN458" s="271"/>
      <c r="BO458" s="271"/>
      <c r="BP458" s="271"/>
      <c r="BQ458" s="271"/>
      <c r="BR458" s="271"/>
      <c r="BS458" s="271"/>
      <c r="BT458" s="271"/>
      <c r="BU458" s="271"/>
      <c r="BV458" s="271"/>
      <c r="BW458" s="271"/>
      <c r="BX458" s="235">
        <f t="shared" si="162"/>
        <v>0</v>
      </c>
      <c r="BY458" s="271"/>
      <c r="BZ458" s="271"/>
      <c r="CA458" s="271"/>
      <c r="CB458" s="271">
        <v>150000000</v>
      </c>
      <c r="CC458" s="271"/>
      <c r="CD458" s="271"/>
      <c r="CE458" s="271"/>
      <c r="CF458" s="271"/>
      <c r="CG458" s="271"/>
      <c r="CH458" s="271"/>
      <c r="CI458" s="271"/>
      <c r="CJ458" s="271"/>
      <c r="CK458" s="271"/>
      <c r="CL458" s="271"/>
      <c r="CM458" s="271"/>
      <c r="CN458" s="235">
        <f t="shared" si="163"/>
        <v>150000000</v>
      </c>
      <c r="CO458" s="271"/>
      <c r="CP458" s="271"/>
      <c r="CQ458" s="271"/>
      <c r="CR458" s="271"/>
      <c r="CS458" s="271"/>
      <c r="CT458" s="271"/>
      <c r="CU458" s="271"/>
      <c r="CV458" s="271"/>
      <c r="CW458" s="271"/>
      <c r="CX458" s="271"/>
      <c r="CY458" s="271"/>
      <c r="CZ458" s="271"/>
      <c r="DA458" s="271"/>
      <c r="DB458" s="271"/>
      <c r="DC458" s="271"/>
      <c r="DD458" s="234">
        <f t="shared" si="164"/>
        <v>0</v>
      </c>
      <c r="DE458" s="244">
        <f t="shared" si="165"/>
        <v>150000000</v>
      </c>
    </row>
    <row r="459" spans="1:109" s="99" customFormat="1" ht="94.05" customHeight="1">
      <c r="A459" s="120" t="s">
        <v>1239</v>
      </c>
      <c r="B459" s="281" t="s">
        <v>9</v>
      </c>
      <c r="C459" s="281" t="s">
        <v>1694</v>
      </c>
      <c r="D459" s="281">
        <v>35</v>
      </c>
      <c r="E459" s="281" t="s">
        <v>1341</v>
      </c>
      <c r="F459" s="282" t="s">
        <v>1343</v>
      </c>
      <c r="G459" s="281" t="s">
        <v>3448</v>
      </c>
      <c r="H459" s="281">
        <v>43</v>
      </c>
      <c r="I459" s="281" t="s">
        <v>1342</v>
      </c>
      <c r="J459" s="281" t="s">
        <v>683</v>
      </c>
      <c r="K459" s="281">
        <v>759</v>
      </c>
      <c r="L459" s="281">
        <v>759</v>
      </c>
      <c r="M459" s="281" t="s">
        <v>1352</v>
      </c>
      <c r="N459" s="281" t="s">
        <v>1353</v>
      </c>
      <c r="O459" s="281" t="s">
        <v>1354</v>
      </c>
      <c r="P459" s="283">
        <v>415</v>
      </c>
      <c r="Q459" s="281" t="s">
        <v>3579</v>
      </c>
      <c r="R459" s="281" t="s">
        <v>1357</v>
      </c>
      <c r="S459" s="281" t="s">
        <v>683</v>
      </c>
      <c r="T459" s="281">
        <v>0</v>
      </c>
      <c r="U459" s="275"/>
      <c r="V459" s="275">
        <v>200</v>
      </c>
      <c r="W459" s="225">
        <v>200</v>
      </c>
      <c r="X459" s="275">
        <v>833</v>
      </c>
      <c r="Y459" s="275">
        <v>1700</v>
      </c>
      <c r="Z459" s="275">
        <v>1700</v>
      </c>
      <c r="AA459" s="275">
        <v>1700</v>
      </c>
      <c r="AB459" s="225">
        <v>5933</v>
      </c>
      <c r="AC459" s="275">
        <v>834</v>
      </c>
      <c r="AD459" s="275">
        <v>1700</v>
      </c>
      <c r="AE459" s="275">
        <v>1700</v>
      </c>
      <c r="AF459" s="275">
        <v>1700</v>
      </c>
      <c r="AG459" s="225">
        <v>5934</v>
      </c>
      <c r="AH459" s="275">
        <v>833</v>
      </c>
      <c r="AI459" s="275">
        <v>1700</v>
      </c>
      <c r="AJ459" s="275">
        <v>1700</v>
      </c>
      <c r="AK459" s="275">
        <v>1700</v>
      </c>
      <c r="AL459" s="225">
        <v>5933</v>
      </c>
      <c r="AM459" s="119">
        <v>18000</v>
      </c>
      <c r="AN459" s="120" t="s">
        <v>685</v>
      </c>
      <c r="AO459" s="120" t="s">
        <v>618</v>
      </c>
      <c r="AP459" s="120" t="s">
        <v>1216</v>
      </c>
      <c r="AQ459" s="120" t="s">
        <v>1194</v>
      </c>
      <c r="AR459" s="120" t="s">
        <v>938</v>
      </c>
      <c r="AS459" s="276"/>
      <c r="AT459" s="276"/>
      <c r="AU459" s="276"/>
      <c r="AV459" s="276">
        <v>208939452</v>
      </c>
      <c r="AW459" s="276"/>
      <c r="AX459" s="276"/>
      <c r="AY459" s="276"/>
      <c r="AZ459" s="276"/>
      <c r="BA459" s="276"/>
      <c r="BB459" s="276"/>
      <c r="BC459" s="276"/>
      <c r="BD459" s="276"/>
      <c r="BE459" s="276"/>
      <c r="BF459" s="276"/>
      <c r="BG459" s="276"/>
      <c r="BH459" s="236">
        <f t="shared" si="161"/>
        <v>208939452</v>
      </c>
      <c r="BI459" s="276"/>
      <c r="BJ459" s="276"/>
      <c r="BK459" s="276"/>
      <c r="BL459" s="276">
        <v>160000000</v>
      </c>
      <c r="BM459" s="276"/>
      <c r="BN459" s="276"/>
      <c r="BO459" s="276"/>
      <c r="BP459" s="276"/>
      <c r="BQ459" s="276"/>
      <c r="BR459" s="276"/>
      <c r="BS459" s="276"/>
      <c r="BT459" s="276"/>
      <c r="BU459" s="276"/>
      <c r="BV459" s="276"/>
      <c r="BW459" s="276"/>
      <c r="BX459" s="236">
        <f t="shared" si="162"/>
        <v>160000000</v>
      </c>
      <c r="BY459" s="276"/>
      <c r="BZ459" s="276"/>
      <c r="CA459" s="276"/>
      <c r="CB459" s="276">
        <v>50000000</v>
      </c>
      <c r="CC459" s="276"/>
      <c r="CD459" s="276"/>
      <c r="CE459" s="276"/>
      <c r="CF459" s="276"/>
      <c r="CG459" s="276"/>
      <c r="CH459" s="276"/>
      <c r="CI459" s="276"/>
      <c r="CJ459" s="276"/>
      <c r="CK459" s="276"/>
      <c r="CL459" s="276"/>
      <c r="CM459" s="276"/>
      <c r="CN459" s="236">
        <f t="shared" si="163"/>
        <v>50000000</v>
      </c>
      <c r="CO459" s="276"/>
      <c r="CP459" s="276"/>
      <c r="CQ459" s="276"/>
      <c r="CR459" s="276">
        <v>150000000</v>
      </c>
      <c r="CS459" s="276"/>
      <c r="CT459" s="276"/>
      <c r="CU459" s="276"/>
      <c r="CV459" s="276"/>
      <c r="CW459" s="276"/>
      <c r="CX459" s="276"/>
      <c r="CY459" s="276"/>
      <c r="CZ459" s="276"/>
      <c r="DA459" s="276"/>
      <c r="DB459" s="276"/>
      <c r="DC459" s="276"/>
      <c r="DD459" s="240">
        <f t="shared" si="164"/>
        <v>150000000</v>
      </c>
      <c r="DE459" s="245">
        <f t="shared" si="165"/>
        <v>568939452</v>
      </c>
    </row>
    <row r="460" spans="1:109" s="46" customFormat="1" ht="65.099999999999994" customHeight="1">
      <c r="A460" s="134" t="s">
        <v>1239</v>
      </c>
      <c r="B460" s="134" t="s">
        <v>9</v>
      </c>
      <c r="C460" s="134" t="s">
        <v>1694</v>
      </c>
      <c r="D460" s="134">
        <v>35</v>
      </c>
      <c r="E460" s="134" t="s">
        <v>1341</v>
      </c>
      <c r="F460" s="135"/>
      <c r="G460" s="136"/>
      <c r="H460" s="137"/>
      <c r="I460" s="137"/>
      <c r="J460" s="137"/>
      <c r="K460" s="138"/>
      <c r="L460" s="137"/>
      <c r="M460" s="137"/>
      <c r="N460" s="137"/>
      <c r="O460" s="137"/>
      <c r="P460" s="137"/>
      <c r="Q460" s="136"/>
      <c r="R460" s="139"/>
      <c r="S460" s="137"/>
      <c r="T460" s="137"/>
      <c r="U460" s="140"/>
      <c r="V460" s="140"/>
      <c r="W460" s="138"/>
      <c r="X460" s="140"/>
      <c r="Y460" s="140"/>
      <c r="Z460" s="140"/>
      <c r="AA460" s="140"/>
      <c r="AB460" s="138"/>
      <c r="AC460" s="140"/>
      <c r="AD460" s="140"/>
      <c r="AE460" s="140"/>
      <c r="AF460" s="140"/>
      <c r="AG460" s="138"/>
      <c r="AH460" s="140"/>
      <c r="AI460" s="140"/>
      <c r="AJ460" s="140"/>
      <c r="AK460" s="140"/>
      <c r="AL460" s="138"/>
      <c r="AM460" s="141"/>
      <c r="AN460" s="142"/>
      <c r="AO460" s="142"/>
      <c r="AP460" s="143"/>
      <c r="AQ460" s="143"/>
      <c r="AR460" s="144"/>
      <c r="AS460" s="132">
        <f>SUM(AS444:AS459)</f>
        <v>0</v>
      </c>
      <c r="AT460" s="132">
        <f t="shared" ref="AT460:DE460" si="166">SUM(AT444:AT459)</f>
        <v>0</v>
      </c>
      <c r="AU460" s="132">
        <f t="shared" si="166"/>
        <v>0</v>
      </c>
      <c r="AV460" s="132">
        <f t="shared" si="166"/>
        <v>1378780297</v>
      </c>
      <c r="AW460" s="132">
        <f t="shared" si="166"/>
        <v>721897245</v>
      </c>
      <c r="AX460" s="132">
        <f t="shared" si="166"/>
        <v>0</v>
      </c>
      <c r="AY460" s="132">
        <f t="shared" si="166"/>
        <v>0</v>
      </c>
      <c r="AZ460" s="132">
        <f t="shared" si="166"/>
        <v>0</v>
      </c>
      <c r="BA460" s="132">
        <f t="shared" si="166"/>
        <v>0</v>
      </c>
      <c r="BB460" s="132">
        <f t="shared" si="166"/>
        <v>0</v>
      </c>
      <c r="BC460" s="132">
        <f t="shared" si="166"/>
        <v>0</v>
      </c>
      <c r="BD460" s="132">
        <f t="shared" si="166"/>
        <v>0</v>
      </c>
      <c r="BE460" s="132">
        <f t="shared" si="166"/>
        <v>0</v>
      </c>
      <c r="BF460" s="132">
        <f t="shared" si="166"/>
        <v>0</v>
      </c>
      <c r="BG460" s="132">
        <f t="shared" si="166"/>
        <v>0</v>
      </c>
      <c r="BH460" s="133">
        <f>IF(OR(AND(BH444=0,W444&lt;&gt;0),AND(BH445=0,W445&lt;&gt;0),AND(BH446=0,W446&lt;&gt;0),AND(BH447=0,W447&lt;&gt;0),AND(BH448=0,W448&lt;&gt;0),AND(BH449=0,W449&lt;&gt;0),AND(BH450=0,W450&lt;&gt;0),AND(BH451=0,W451&lt;&gt;0),AND(BH452=0,W452&lt;&gt;0),AND(BH453=0,W453&lt;&gt;0),AND(BH454=0,W454&lt;&gt;0),AND(BH455=0,W455&lt;&gt;0),AND(BH456=0,W456&lt;&gt;0),AND(BH457=0,W457&lt;&gt;0),AND(BH458=0,W458&lt;&gt;0),AND(BH459=0,W459&lt;&gt;0)),"NO DEBEN QUEDAR CELDAS EN ROJO",SUM(BH444:BH459))</f>
        <v>2100677542</v>
      </c>
      <c r="BI460" s="132">
        <f t="shared" si="166"/>
        <v>0</v>
      </c>
      <c r="BJ460" s="132">
        <f t="shared" si="166"/>
        <v>0</v>
      </c>
      <c r="BK460" s="132">
        <f t="shared" si="166"/>
        <v>0</v>
      </c>
      <c r="BL460" s="132">
        <f t="shared" si="166"/>
        <v>1000000000</v>
      </c>
      <c r="BM460" s="132">
        <f t="shared" si="166"/>
        <v>5060453410</v>
      </c>
      <c r="BN460" s="132">
        <f t="shared" si="166"/>
        <v>0</v>
      </c>
      <c r="BO460" s="132">
        <f t="shared" si="166"/>
        <v>0</v>
      </c>
      <c r="BP460" s="132">
        <f t="shared" si="166"/>
        <v>0</v>
      </c>
      <c r="BQ460" s="132">
        <f t="shared" si="166"/>
        <v>0</v>
      </c>
      <c r="BR460" s="132">
        <f t="shared" si="166"/>
        <v>0</v>
      </c>
      <c r="BS460" s="132">
        <f t="shared" si="166"/>
        <v>0</v>
      </c>
      <c r="BT460" s="132">
        <f t="shared" si="166"/>
        <v>0</v>
      </c>
      <c r="BU460" s="132">
        <f t="shared" si="166"/>
        <v>0</v>
      </c>
      <c r="BV460" s="132">
        <f t="shared" si="166"/>
        <v>0</v>
      </c>
      <c r="BW460" s="132">
        <f t="shared" si="166"/>
        <v>0</v>
      </c>
      <c r="BX460" s="133">
        <f>IF(OR(AND(BX444=0,AB444&lt;&gt;0),AND(BX445=0,AB445&lt;&gt;0),AND(BX446=0,AB446&lt;&gt;0),AND(BX447=0,AB447&lt;&gt;0),AND(BX448=0,AB448&lt;&gt;0),AND(BX449=0,AB449&lt;&gt;0),AND(BX450=0,AB450&lt;&gt;0),AND(BX451=0,AB451&lt;&gt;0),AND(BX452=0,AB452&lt;&gt;0),AND(BX453=0,AB453&lt;&gt;0),AND(BX454=0,AB454&lt;&gt;0),AND(BX455=0,AB455&lt;&gt;0),AND(BX456=0,AB456&lt;&gt;0),AND(BX457=0,AB457&lt;&gt;0),AND(BX458=0,AB458&lt;&gt;0),AND(BX459=0,AB459&lt;&gt;0)),"NO DEBEN QUEDAR CELDAS EN ROJO",SUM(BX444:BX459))</f>
        <v>6060453410</v>
      </c>
      <c r="BY460" s="132">
        <f t="shared" si="166"/>
        <v>0</v>
      </c>
      <c r="BZ460" s="132">
        <f t="shared" si="166"/>
        <v>0</v>
      </c>
      <c r="CA460" s="132">
        <f t="shared" si="166"/>
        <v>0</v>
      </c>
      <c r="CB460" s="132">
        <f t="shared" si="166"/>
        <v>1129780000</v>
      </c>
      <c r="CC460" s="132">
        <f t="shared" si="166"/>
        <v>5253476081</v>
      </c>
      <c r="CD460" s="132">
        <f t="shared" si="166"/>
        <v>0</v>
      </c>
      <c r="CE460" s="132">
        <f t="shared" si="166"/>
        <v>0</v>
      </c>
      <c r="CF460" s="132">
        <f t="shared" si="166"/>
        <v>0</v>
      </c>
      <c r="CG460" s="132">
        <f t="shared" si="166"/>
        <v>0</v>
      </c>
      <c r="CH460" s="132">
        <f t="shared" si="166"/>
        <v>0</v>
      </c>
      <c r="CI460" s="132">
        <f t="shared" si="166"/>
        <v>0</v>
      </c>
      <c r="CJ460" s="132">
        <f t="shared" si="166"/>
        <v>0</v>
      </c>
      <c r="CK460" s="132">
        <f t="shared" si="166"/>
        <v>0</v>
      </c>
      <c r="CL460" s="132">
        <f t="shared" si="166"/>
        <v>0</v>
      </c>
      <c r="CM460" s="132">
        <f t="shared" si="166"/>
        <v>0</v>
      </c>
      <c r="CN460" s="133">
        <f>IF(OR(AND(CN444=0,AG444&lt;&gt;0),AND(CN445=0,AG445&lt;&gt;0),AND(CN446=0,AG446&lt;&gt;0),AND(CN447=0,AG447&lt;&gt;0),AND(CN448=0,AG448&lt;&gt;0),AND(CN449=0,AG449&lt;&gt;0),AND(CN450=0,AG450&lt;&gt;0),AND(CN451=0,AG451&lt;&gt;0),AND(CN452=0,AG452&lt;&gt;0),AND(CN453=0,AG453&lt;&gt;0),AND(CN454=0,AG454&lt;&gt;0),AND(CN455=0,AG455&lt;&gt;0),AND(CN456=0,AG456&lt;&gt;0),AND(CN457=0,AG457&lt;&gt;0),AND(CN458=0,AG458&lt;&gt;0),AND(CN459=0,AG459&lt;&gt;0)),"NO DEBEN QUEDAR CELDAS EN ROJO",SUM(CN444:CN459))</f>
        <v>6383256081</v>
      </c>
      <c r="CO460" s="132">
        <f t="shared" si="166"/>
        <v>0</v>
      </c>
      <c r="CP460" s="132">
        <f t="shared" si="166"/>
        <v>0</v>
      </c>
      <c r="CQ460" s="132">
        <f t="shared" si="166"/>
        <v>0</v>
      </c>
      <c r="CR460" s="132">
        <f t="shared" si="166"/>
        <v>1233453400</v>
      </c>
      <c r="CS460" s="132">
        <f t="shared" si="166"/>
        <v>8116345615</v>
      </c>
      <c r="CT460" s="132">
        <f t="shared" si="166"/>
        <v>0</v>
      </c>
      <c r="CU460" s="132">
        <f t="shared" si="166"/>
        <v>0</v>
      </c>
      <c r="CV460" s="132">
        <f t="shared" si="166"/>
        <v>0</v>
      </c>
      <c r="CW460" s="132">
        <f t="shared" si="166"/>
        <v>0</v>
      </c>
      <c r="CX460" s="132">
        <f t="shared" si="166"/>
        <v>0</v>
      </c>
      <c r="CY460" s="132">
        <f t="shared" si="166"/>
        <v>0</v>
      </c>
      <c r="CZ460" s="132">
        <f t="shared" si="166"/>
        <v>0</v>
      </c>
      <c r="DA460" s="132">
        <f t="shared" si="166"/>
        <v>0</v>
      </c>
      <c r="DB460" s="132">
        <f t="shared" si="166"/>
        <v>0</v>
      </c>
      <c r="DC460" s="132">
        <f t="shared" si="166"/>
        <v>0</v>
      </c>
      <c r="DD460" s="133">
        <f>IF(OR(AND(DD444=0,AL444&lt;&gt;0),AND(DD445=0,AL445&lt;&gt;0),AND(DD446=0,AL446&lt;&gt;0),AND(DD447=0,AL447&lt;&gt;0),AND(DD448=0,AL448&lt;&gt;0),AND(DD449=0,AL449&lt;&gt;0),AND(DD450=0,AL450&lt;&gt;0),AND(DD451=0,AL451&lt;&gt;0),AND(DD452=0,AL452&lt;&gt;0),AND(DD453=0,AL453&lt;&gt;0),AND(DD454=0,AL454&lt;&gt;0),AND(DD455=0,AL455&lt;&gt;0),AND(DD456=0,AL456&lt;&gt;0),AND(DD457=0,AL457&lt;&gt;0),AND(DD458=0,AL458&lt;&gt;0),AND(DD459=0,AL459&lt;&gt;0)),"NO DEBEN QUEDAR CELDAS EN ROJO",SUM(DD444:DD459))</f>
        <v>9349799015</v>
      </c>
      <c r="DE460" s="133">
        <f t="shared" si="166"/>
        <v>23894186048</v>
      </c>
    </row>
    <row r="461" spans="1:109" s="99" customFormat="1" ht="108" customHeight="1">
      <c r="A461" s="103" t="s">
        <v>1239</v>
      </c>
      <c r="B461" s="103" t="s">
        <v>9</v>
      </c>
      <c r="C461" s="103" t="s">
        <v>1694</v>
      </c>
      <c r="D461" s="103">
        <v>36</v>
      </c>
      <c r="E461" s="103" t="s">
        <v>1358</v>
      </c>
      <c r="F461" s="278" t="s">
        <v>1359</v>
      </c>
      <c r="G461" s="103" t="s">
        <v>3580</v>
      </c>
      <c r="H461" s="103">
        <v>44</v>
      </c>
      <c r="I461" s="103" t="s">
        <v>1360</v>
      </c>
      <c r="J461" s="103" t="s">
        <v>683</v>
      </c>
      <c r="K461" s="103">
        <v>8</v>
      </c>
      <c r="L461" s="103" t="s">
        <v>1361</v>
      </c>
      <c r="M461" s="103" t="s">
        <v>1362</v>
      </c>
      <c r="N461" s="103" t="s">
        <v>1363</v>
      </c>
      <c r="O461" s="103" t="s">
        <v>1364</v>
      </c>
      <c r="P461" s="283">
        <v>416</v>
      </c>
      <c r="Q461" s="103" t="s">
        <v>3142</v>
      </c>
      <c r="R461" s="103" t="s">
        <v>1365</v>
      </c>
      <c r="S461" s="103" t="s">
        <v>683</v>
      </c>
      <c r="T461" s="103">
        <v>0</v>
      </c>
      <c r="U461" s="267"/>
      <c r="V461" s="267"/>
      <c r="W461" s="224">
        <v>0</v>
      </c>
      <c r="X461" s="267"/>
      <c r="Y461" s="267"/>
      <c r="Z461" s="267"/>
      <c r="AA461" s="267"/>
      <c r="AB461" s="224">
        <v>0</v>
      </c>
      <c r="AC461" s="267"/>
      <c r="AD461" s="267"/>
      <c r="AE461" s="267"/>
      <c r="AF461" s="267"/>
      <c r="AG461" s="224">
        <v>0</v>
      </c>
      <c r="AH461" s="267"/>
      <c r="AI461" s="267"/>
      <c r="AJ461" s="267"/>
      <c r="AK461" s="267">
        <v>1</v>
      </c>
      <c r="AL461" s="224">
        <v>1</v>
      </c>
      <c r="AM461" s="102">
        <v>1</v>
      </c>
      <c r="AN461" s="103" t="s">
        <v>685</v>
      </c>
      <c r="AO461" s="103" t="s">
        <v>618</v>
      </c>
      <c r="AP461" s="103" t="s">
        <v>1216</v>
      </c>
      <c r="AQ461" s="103" t="s">
        <v>1193</v>
      </c>
      <c r="AR461" s="103" t="s">
        <v>938</v>
      </c>
      <c r="AS461" s="268"/>
      <c r="AT461" s="268"/>
      <c r="AU461" s="268"/>
      <c r="AV461" s="268"/>
      <c r="AW461" s="268"/>
      <c r="AX461" s="268"/>
      <c r="AY461" s="268"/>
      <c r="AZ461" s="268"/>
      <c r="BA461" s="268"/>
      <c r="BB461" s="268"/>
      <c r="BC461" s="268"/>
      <c r="BD461" s="268"/>
      <c r="BE461" s="268"/>
      <c r="BF461" s="268"/>
      <c r="BG461" s="268"/>
      <c r="BH461" s="234">
        <f t="shared" ref="BH461:BH467" si="167">IF(W461=0,0,BG461+BF461+BE461+BD461+BC461+BB461+BA461+AZ461+AY461+AX461+AW461+AV461+AU461+AT461+AS461)</f>
        <v>0</v>
      </c>
      <c r="BI461" s="268"/>
      <c r="BJ461" s="268"/>
      <c r="BK461" s="268"/>
      <c r="BL461" s="268"/>
      <c r="BM461" s="268"/>
      <c r="BN461" s="268"/>
      <c r="BO461" s="268"/>
      <c r="BP461" s="268"/>
      <c r="BQ461" s="268"/>
      <c r="BR461" s="268"/>
      <c r="BS461" s="268"/>
      <c r="BT461" s="268"/>
      <c r="BU461" s="268"/>
      <c r="BV461" s="268"/>
      <c r="BW461" s="268"/>
      <c r="BX461" s="234">
        <f t="shared" ref="BX461:BX467" si="168">IF(AB461=0,0,BI461+BJ461+BK461+BL461+BM461+BN461+BO461+BP461+BQ461+BR461+BS461+BT461+BU461+BV461+BW461)</f>
        <v>0</v>
      </c>
      <c r="BY461" s="268"/>
      <c r="BZ461" s="268"/>
      <c r="CA461" s="268"/>
      <c r="CB461" s="268"/>
      <c r="CC461" s="268"/>
      <c r="CD461" s="268"/>
      <c r="CE461" s="268"/>
      <c r="CF461" s="268"/>
      <c r="CG461" s="268"/>
      <c r="CH461" s="268"/>
      <c r="CI461" s="268"/>
      <c r="CJ461" s="268"/>
      <c r="CK461" s="268"/>
      <c r="CL461" s="268"/>
      <c r="CM461" s="268"/>
      <c r="CN461" s="234">
        <f t="shared" ref="CN461:CN467" si="169">IF(AG461=0,0,(BY461+BZ461+CA461+CB461+CC461+CD461+CE461+CF461+CG461+CH461+CI461+CJ461+CK461+CL461+CM461))</f>
        <v>0</v>
      </c>
      <c r="CO461" s="268"/>
      <c r="CP461" s="268"/>
      <c r="CQ461" s="268"/>
      <c r="CR461" s="268">
        <v>500000000</v>
      </c>
      <c r="CS461" s="268"/>
      <c r="CT461" s="268"/>
      <c r="CU461" s="268"/>
      <c r="CV461" s="268"/>
      <c r="CW461" s="268"/>
      <c r="CX461" s="268"/>
      <c r="CY461" s="268"/>
      <c r="CZ461" s="268"/>
      <c r="DA461" s="268"/>
      <c r="DB461" s="268"/>
      <c r="DC461" s="268"/>
      <c r="DD461" s="234">
        <f t="shared" ref="DD461:DD467" si="170">IF(AL461=0,0,(CO461+CP461+CQ461+CR461+CS461+CT461+CU461+CV461+CW461+CX461+CY461+CZ461+DA461+DB461+DC461))</f>
        <v>500000000</v>
      </c>
      <c r="DE461" s="243">
        <f t="shared" si="165"/>
        <v>500000000</v>
      </c>
    </row>
    <row r="462" spans="1:109" s="99" customFormat="1" ht="108" customHeight="1">
      <c r="A462" s="103" t="s">
        <v>1239</v>
      </c>
      <c r="B462" s="279" t="s">
        <v>9</v>
      </c>
      <c r="C462" s="279" t="s">
        <v>1694</v>
      </c>
      <c r="D462" s="279">
        <v>36</v>
      </c>
      <c r="E462" s="279" t="s">
        <v>1358</v>
      </c>
      <c r="F462" s="280" t="s">
        <v>1359</v>
      </c>
      <c r="G462" s="279" t="s">
        <v>3580</v>
      </c>
      <c r="H462" s="279">
        <v>44</v>
      </c>
      <c r="I462" s="279" t="s">
        <v>1360</v>
      </c>
      <c r="J462" s="279" t="s">
        <v>683</v>
      </c>
      <c r="K462" s="279">
        <v>8</v>
      </c>
      <c r="L462" s="279" t="s">
        <v>1361</v>
      </c>
      <c r="M462" s="279" t="s">
        <v>1362</v>
      </c>
      <c r="N462" s="279" t="s">
        <v>1363</v>
      </c>
      <c r="O462" s="279" t="s">
        <v>1364</v>
      </c>
      <c r="P462" s="283">
        <v>417</v>
      </c>
      <c r="Q462" s="279" t="s">
        <v>3455</v>
      </c>
      <c r="R462" s="279" t="s">
        <v>1366</v>
      </c>
      <c r="S462" s="279" t="s">
        <v>683</v>
      </c>
      <c r="T462" s="279">
        <v>0</v>
      </c>
      <c r="U462" s="267"/>
      <c r="V462" s="267"/>
      <c r="W462" s="224">
        <v>0</v>
      </c>
      <c r="X462" s="267">
        <v>1</v>
      </c>
      <c r="Y462" s="267">
        <v>2</v>
      </c>
      <c r="Z462" s="267">
        <v>2</v>
      </c>
      <c r="AA462" s="267">
        <v>2</v>
      </c>
      <c r="AB462" s="224">
        <v>7</v>
      </c>
      <c r="AC462" s="267">
        <v>1</v>
      </c>
      <c r="AD462" s="267">
        <v>1</v>
      </c>
      <c r="AE462" s="267">
        <v>2</v>
      </c>
      <c r="AF462" s="267">
        <v>2</v>
      </c>
      <c r="AG462" s="224">
        <v>6</v>
      </c>
      <c r="AH462" s="267">
        <v>1</v>
      </c>
      <c r="AI462" s="267">
        <v>1</v>
      </c>
      <c r="AJ462" s="267">
        <v>2</v>
      </c>
      <c r="AK462" s="267">
        <v>2</v>
      </c>
      <c r="AL462" s="224">
        <v>6</v>
      </c>
      <c r="AM462" s="104">
        <v>19</v>
      </c>
      <c r="AN462" s="103" t="s">
        <v>685</v>
      </c>
      <c r="AO462" s="103" t="s">
        <v>618</v>
      </c>
      <c r="AP462" s="103" t="s">
        <v>1216</v>
      </c>
      <c r="AQ462" s="103" t="s">
        <v>1193</v>
      </c>
      <c r="AR462" s="103" t="s">
        <v>938</v>
      </c>
      <c r="AS462" s="271"/>
      <c r="AT462" s="271"/>
      <c r="AU462" s="271"/>
      <c r="AV462" s="271"/>
      <c r="AW462" s="271"/>
      <c r="AX462" s="271"/>
      <c r="AY462" s="271"/>
      <c r="AZ462" s="271"/>
      <c r="BA462" s="271"/>
      <c r="BB462" s="271"/>
      <c r="BC462" s="271"/>
      <c r="BD462" s="271"/>
      <c r="BE462" s="271"/>
      <c r="BF462" s="271"/>
      <c r="BG462" s="271"/>
      <c r="BH462" s="235">
        <f t="shared" si="167"/>
        <v>0</v>
      </c>
      <c r="BI462" s="271"/>
      <c r="BJ462" s="271"/>
      <c r="BK462" s="271"/>
      <c r="BL462" s="271"/>
      <c r="BM462" s="271">
        <v>50000000</v>
      </c>
      <c r="BN462" s="271"/>
      <c r="BO462" s="271"/>
      <c r="BP462" s="271"/>
      <c r="BQ462" s="271"/>
      <c r="BR462" s="271"/>
      <c r="BS462" s="271"/>
      <c r="BT462" s="271"/>
      <c r="BU462" s="271"/>
      <c r="BV462" s="271"/>
      <c r="BW462" s="271"/>
      <c r="BX462" s="235">
        <f t="shared" si="168"/>
        <v>50000000</v>
      </c>
      <c r="BY462" s="271"/>
      <c r="BZ462" s="271"/>
      <c r="CA462" s="271"/>
      <c r="CB462" s="271"/>
      <c r="CC462" s="271">
        <v>100000000</v>
      </c>
      <c r="CD462" s="271"/>
      <c r="CE462" s="271"/>
      <c r="CF462" s="271"/>
      <c r="CG462" s="271"/>
      <c r="CH462" s="271"/>
      <c r="CI462" s="271"/>
      <c r="CJ462" s="271"/>
      <c r="CK462" s="271"/>
      <c r="CL462" s="271"/>
      <c r="CM462" s="271"/>
      <c r="CN462" s="235">
        <f t="shared" si="169"/>
        <v>100000000</v>
      </c>
      <c r="CO462" s="271"/>
      <c r="CP462" s="271"/>
      <c r="CQ462" s="271"/>
      <c r="CR462" s="271"/>
      <c r="CS462" s="271">
        <v>50000000</v>
      </c>
      <c r="CT462" s="271"/>
      <c r="CU462" s="271"/>
      <c r="CV462" s="271"/>
      <c r="CW462" s="271"/>
      <c r="CX462" s="271"/>
      <c r="CY462" s="271"/>
      <c r="CZ462" s="271"/>
      <c r="DA462" s="271"/>
      <c r="DB462" s="271"/>
      <c r="DC462" s="271"/>
      <c r="DD462" s="234">
        <f t="shared" si="170"/>
        <v>50000000</v>
      </c>
      <c r="DE462" s="244">
        <f t="shared" si="165"/>
        <v>200000000</v>
      </c>
    </row>
    <row r="463" spans="1:109" s="99" customFormat="1" ht="108" customHeight="1">
      <c r="A463" s="103" t="s">
        <v>1239</v>
      </c>
      <c r="B463" s="279" t="s">
        <v>9</v>
      </c>
      <c r="C463" s="279" t="s">
        <v>1694</v>
      </c>
      <c r="D463" s="279">
        <v>36</v>
      </c>
      <c r="E463" s="279" t="s">
        <v>1358</v>
      </c>
      <c r="F463" s="280" t="s">
        <v>1359</v>
      </c>
      <c r="G463" s="279" t="s">
        <v>3580</v>
      </c>
      <c r="H463" s="279">
        <v>44</v>
      </c>
      <c r="I463" s="279" t="s">
        <v>1360</v>
      </c>
      <c r="J463" s="279" t="s">
        <v>683</v>
      </c>
      <c r="K463" s="279">
        <v>8</v>
      </c>
      <c r="L463" s="279" t="s">
        <v>1361</v>
      </c>
      <c r="M463" s="279" t="s">
        <v>1362</v>
      </c>
      <c r="N463" s="279" t="s">
        <v>1363</v>
      </c>
      <c r="O463" s="279" t="s">
        <v>1364</v>
      </c>
      <c r="P463" s="283">
        <v>418</v>
      </c>
      <c r="Q463" s="279" t="s">
        <v>3456</v>
      </c>
      <c r="R463" s="279" t="s">
        <v>1367</v>
      </c>
      <c r="S463" s="279" t="s">
        <v>683</v>
      </c>
      <c r="T463" s="279">
        <v>1</v>
      </c>
      <c r="U463" s="267"/>
      <c r="V463" s="267"/>
      <c r="W463" s="224">
        <v>0</v>
      </c>
      <c r="X463" s="267"/>
      <c r="Y463" s="267"/>
      <c r="Z463" s="267"/>
      <c r="AA463" s="267"/>
      <c r="AB463" s="224">
        <v>0</v>
      </c>
      <c r="AC463" s="267"/>
      <c r="AD463" s="267"/>
      <c r="AE463" s="267"/>
      <c r="AF463" s="267"/>
      <c r="AG463" s="224">
        <v>0</v>
      </c>
      <c r="AH463" s="267"/>
      <c r="AI463" s="267"/>
      <c r="AJ463" s="267">
        <v>1</v>
      </c>
      <c r="AK463" s="267"/>
      <c r="AL463" s="224">
        <v>1</v>
      </c>
      <c r="AM463" s="104">
        <v>1</v>
      </c>
      <c r="AN463" s="103" t="s">
        <v>686</v>
      </c>
      <c r="AO463" s="103" t="s">
        <v>618</v>
      </c>
      <c r="AP463" s="103" t="s">
        <v>1216</v>
      </c>
      <c r="AQ463" s="103" t="s">
        <v>1193</v>
      </c>
      <c r="AR463" s="103" t="s">
        <v>938</v>
      </c>
      <c r="AS463" s="271"/>
      <c r="AT463" s="271"/>
      <c r="AU463" s="271"/>
      <c r="AV463" s="271"/>
      <c r="AW463" s="271"/>
      <c r="AX463" s="271"/>
      <c r="AY463" s="271"/>
      <c r="AZ463" s="271"/>
      <c r="BA463" s="271"/>
      <c r="BB463" s="271"/>
      <c r="BC463" s="271"/>
      <c r="BD463" s="271"/>
      <c r="BE463" s="271"/>
      <c r="BF463" s="271"/>
      <c r="BG463" s="271"/>
      <c r="BH463" s="235">
        <f t="shared" si="167"/>
        <v>0</v>
      </c>
      <c r="BI463" s="271"/>
      <c r="BJ463" s="271"/>
      <c r="BK463" s="271"/>
      <c r="BL463" s="271"/>
      <c r="BM463" s="271"/>
      <c r="BN463" s="271"/>
      <c r="BO463" s="271"/>
      <c r="BP463" s="271"/>
      <c r="BQ463" s="271"/>
      <c r="BR463" s="271"/>
      <c r="BS463" s="271"/>
      <c r="BT463" s="271"/>
      <c r="BU463" s="271"/>
      <c r="BV463" s="271"/>
      <c r="BW463" s="271"/>
      <c r="BX463" s="235">
        <f t="shared" si="168"/>
        <v>0</v>
      </c>
      <c r="BY463" s="271"/>
      <c r="BZ463" s="271"/>
      <c r="CA463" s="271"/>
      <c r="CB463" s="271"/>
      <c r="CC463" s="271"/>
      <c r="CD463" s="271"/>
      <c r="CE463" s="271"/>
      <c r="CF463" s="271"/>
      <c r="CG463" s="271"/>
      <c r="CH463" s="271"/>
      <c r="CI463" s="271"/>
      <c r="CJ463" s="271"/>
      <c r="CK463" s="271"/>
      <c r="CL463" s="271"/>
      <c r="CM463" s="271"/>
      <c r="CN463" s="235">
        <f t="shared" si="169"/>
        <v>0</v>
      </c>
      <c r="CO463" s="271"/>
      <c r="CP463" s="271"/>
      <c r="CQ463" s="271"/>
      <c r="CR463" s="271">
        <v>500000000</v>
      </c>
      <c r="CS463" s="271"/>
      <c r="CT463" s="271"/>
      <c r="CU463" s="271"/>
      <c r="CV463" s="271"/>
      <c r="CW463" s="271"/>
      <c r="CX463" s="271"/>
      <c r="CY463" s="271"/>
      <c r="CZ463" s="271"/>
      <c r="DA463" s="271"/>
      <c r="DB463" s="271"/>
      <c r="DC463" s="271"/>
      <c r="DD463" s="234">
        <f t="shared" si="170"/>
        <v>500000000</v>
      </c>
      <c r="DE463" s="244">
        <f t="shared" si="165"/>
        <v>500000000</v>
      </c>
    </row>
    <row r="464" spans="1:109" s="99" customFormat="1" ht="108" customHeight="1">
      <c r="A464" s="103" t="s">
        <v>1239</v>
      </c>
      <c r="B464" s="279" t="s">
        <v>9</v>
      </c>
      <c r="C464" s="279" t="s">
        <v>1694</v>
      </c>
      <c r="D464" s="279">
        <v>36</v>
      </c>
      <c r="E464" s="279" t="s">
        <v>1358</v>
      </c>
      <c r="F464" s="280" t="s">
        <v>1359</v>
      </c>
      <c r="G464" s="279" t="s">
        <v>3580</v>
      </c>
      <c r="H464" s="279">
        <v>44</v>
      </c>
      <c r="I464" s="279" t="s">
        <v>1360</v>
      </c>
      <c r="J464" s="279" t="s">
        <v>683</v>
      </c>
      <c r="K464" s="279">
        <v>8</v>
      </c>
      <c r="L464" s="279" t="s">
        <v>1361</v>
      </c>
      <c r="M464" s="279" t="s">
        <v>1362</v>
      </c>
      <c r="N464" s="279" t="s">
        <v>1363</v>
      </c>
      <c r="O464" s="279" t="s">
        <v>1364</v>
      </c>
      <c r="P464" s="283">
        <v>419</v>
      </c>
      <c r="Q464" s="279" t="s">
        <v>3581</v>
      </c>
      <c r="R464" s="279" t="s">
        <v>1368</v>
      </c>
      <c r="S464" s="279" t="s">
        <v>683</v>
      </c>
      <c r="T464" s="279">
        <v>8</v>
      </c>
      <c r="U464" s="267">
        <v>4</v>
      </c>
      <c r="V464" s="267">
        <v>4</v>
      </c>
      <c r="W464" s="224">
        <v>8</v>
      </c>
      <c r="X464" s="267">
        <v>2</v>
      </c>
      <c r="Y464" s="267">
        <v>2</v>
      </c>
      <c r="Z464" s="267">
        <v>2</v>
      </c>
      <c r="AA464" s="267">
        <v>2</v>
      </c>
      <c r="AB464" s="224">
        <v>8</v>
      </c>
      <c r="AC464" s="267">
        <v>2</v>
      </c>
      <c r="AD464" s="267">
        <v>2</v>
      </c>
      <c r="AE464" s="267">
        <v>2</v>
      </c>
      <c r="AF464" s="267">
        <v>2</v>
      </c>
      <c r="AG464" s="224">
        <v>8</v>
      </c>
      <c r="AH464" s="267">
        <v>2</v>
      </c>
      <c r="AI464" s="267">
        <v>2</v>
      </c>
      <c r="AJ464" s="267">
        <v>2</v>
      </c>
      <c r="AK464" s="267">
        <v>2</v>
      </c>
      <c r="AL464" s="224">
        <v>8</v>
      </c>
      <c r="AM464" s="104">
        <v>8</v>
      </c>
      <c r="AN464" s="103" t="s">
        <v>686</v>
      </c>
      <c r="AO464" s="103" t="s">
        <v>618</v>
      </c>
      <c r="AP464" s="103" t="s">
        <v>1216</v>
      </c>
      <c r="AQ464" s="103" t="s">
        <v>1193</v>
      </c>
      <c r="AR464" s="103" t="s">
        <v>938</v>
      </c>
      <c r="AS464" s="271"/>
      <c r="AT464" s="271"/>
      <c r="AU464" s="271"/>
      <c r="AV464" s="271">
        <v>750000000</v>
      </c>
      <c r="AW464" s="271"/>
      <c r="AX464" s="271"/>
      <c r="AY464" s="271"/>
      <c r="AZ464" s="271"/>
      <c r="BA464" s="271"/>
      <c r="BB464" s="271"/>
      <c r="BC464" s="271"/>
      <c r="BD464" s="271"/>
      <c r="BE464" s="271"/>
      <c r="BF464" s="271"/>
      <c r="BG464" s="271"/>
      <c r="BH464" s="235">
        <f t="shared" si="167"/>
        <v>750000000</v>
      </c>
      <c r="BI464" s="271"/>
      <c r="BJ464" s="271"/>
      <c r="BK464" s="271"/>
      <c r="BL464" s="271">
        <v>900000000</v>
      </c>
      <c r="BM464" s="271"/>
      <c r="BN464" s="271"/>
      <c r="BO464" s="271"/>
      <c r="BP464" s="271"/>
      <c r="BQ464" s="271"/>
      <c r="BR464" s="271"/>
      <c r="BS464" s="271"/>
      <c r="BT464" s="271"/>
      <c r="BU464" s="271"/>
      <c r="BV464" s="271"/>
      <c r="BW464" s="271"/>
      <c r="BX464" s="235">
        <f t="shared" si="168"/>
        <v>900000000</v>
      </c>
      <c r="BY464" s="271"/>
      <c r="BZ464" s="271"/>
      <c r="CA464" s="271"/>
      <c r="CB464" s="271">
        <v>1000000000</v>
      </c>
      <c r="CC464" s="271">
        <v>100000000</v>
      </c>
      <c r="CD464" s="271"/>
      <c r="CE464" s="271"/>
      <c r="CF464" s="271"/>
      <c r="CG464" s="271"/>
      <c r="CH464" s="271"/>
      <c r="CI464" s="271"/>
      <c r="CJ464" s="271"/>
      <c r="CK464" s="271"/>
      <c r="CL464" s="271"/>
      <c r="CM464" s="271"/>
      <c r="CN464" s="235">
        <f t="shared" si="169"/>
        <v>1100000000</v>
      </c>
      <c r="CO464" s="271"/>
      <c r="CP464" s="271"/>
      <c r="CQ464" s="271"/>
      <c r="CR464" s="271"/>
      <c r="CS464" s="271">
        <v>149891998</v>
      </c>
      <c r="CT464" s="271"/>
      <c r="CU464" s="271"/>
      <c r="CV464" s="271"/>
      <c r="CW464" s="271"/>
      <c r="CX464" s="271"/>
      <c r="CY464" s="271"/>
      <c r="CZ464" s="271"/>
      <c r="DA464" s="271"/>
      <c r="DB464" s="271"/>
      <c r="DC464" s="271"/>
      <c r="DD464" s="234">
        <f t="shared" si="170"/>
        <v>149891998</v>
      </c>
      <c r="DE464" s="244">
        <f t="shared" si="165"/>
        <v>2899891998</v>
      </c>
    </row>
    <row r="465" spans="1:110" s="99" customFormat="1" ht="108" customHeight="1">
      <c r="A465" s="103" t="s">
        <v>1239</v>
      </c>
      <c r="B465" s="279" t="s">
        <v>9</v>
      </c>
      <c r="C465" s="279" t="s">
        <v>1694</v>
      </c>
      <c r="D465" s="279">
        <v>36</v>
      </c>
      <c r="E465" s="279" t="s">
        <v>1358</v>
      </c>
      <c r="F465" s="280" t="s">
        <v>1359</v>
      </c>
      <c r="G465" s="279" t="s">
        <v>3580</v>
      </c>
      <c r="H465" s="279">
        <v>44</v>
      </c>
      <c r="I465" s="279" t="s">
        <v>1360</v>
      </c>
      <c r="J465" s="279" t="s">
        <v>683</v>
      </c>
      <c r="K465" s="279">
        <v>8</v>
      </c>
      <c r="L465" s="279" t="s">
        <v>1361</v>
      </c>
      <c r="M465" s="279" t="s">
        <v>1362</v>
      </c>
      <c r="N465" s="279" t="s">
        <v>1363</v>
      </c>
      <c r="O465" s="279" t="s">
        <v>1364</v>
      </c>
      <c r="P465" s="283">
        <v>420</v>
      </c>
      <c r="Q465" s="279" t="s">
        <v>3457</v>
      </c>
      <c r="R465" s="279" t="s">
        <v>1369</v>
      </c>
      <c r="S465" s="279" t="s">
        <v>683</v>
      </c>
      <c r="T465" s="279">
        <v>0</v>
      </c>
      <c r="U465" s="267"/>
      <c r="V465" s="267"/>
      <c r="W465" s="224">
        <v>0</v>
      </c>
      <c r="X465" s="267"/>
      <c r="Y465" s="267"/>
      <c r="Z465" s="267"/>
      <c r="AA465" s="267"/>
      <c r="AB465" s="224">
        <v>0</v>
      </c>
      <c r="AC465" s="267"/>
      <c r="AD465" s="267"/>
      <c r="AE465" s="267"/>
      <c r="AF465" s="267"/>
      <c r="AG465" s="224">
        <v>0</v>
      </c>
      <c r="AH465" s="267"/>
      <c r="AI465" s="267"/>
      <c r="AJ465" s="267">
        <v>1</v>
      </c>
      <c r="AK465" s="267"/>
      <c r="AL465" s="224">
        <v>1</v>
      </c>
      <c r="AM465" s="104">
        <v>1</v>
      </c>
      <c r="AN465" s="103" t="s">
        <v>685</v>
      </c>
      <c r="AO465" s="103" t="s">
        <v>618</v>
      </c>
      <c r="AP465" s="103" t="s">
        <v>1216</v>
      </c>
      <c r="AQ465" s="103" t="s">
        <v>1193</v>
      </c>
      <c r="AR465" s="103" t="s">
        <v>938</v>
      </c>
      <c r="AS465" s="271"/>
      <c r="AT465" s="271"/>
      <c r="AU465" s="271"/>
      <c r="AV465" s="271"/>
      <c r="AW465" s="271"/>
      <c r="AX465" s="271"/>
      <c r="AY465" s="271"/>
      <c r="AZ465" s="271"/>
      <c r="BA465" s="271"/>
      <c r="BB465" s="271"/>
      <c r="BC465" s="271"/>
      <c r="BD465" s="271"/>
      <c r="BE465" s="271"/>
      <c r="BF465" s="271"/>
      <c r="BG465" s="271"/>
      <c r="BH465" s="235">
        <f t="shared" si="167"/>
        <v>0</v>
      </c>
      <c r="BI465" s="271"/>
      <c r="BJ465" s="271"/>
      <c r="BK465" s="271"/>
      <c r="BL465" s="271"/>
      <c r="BM465" s="271"/>
      <c r="BN465" s="271"/>
      <c r="BO465" s="271"/>
      <c r="BP465" s="271"/>
      <c r="BQ465" s="271"/>
      <c r="BR465" s="271"/>
      <c r="BS465" s="271"/>
      <c r="BT465" s="271"/>
      <c r="BU465" s="271"/>
      <c r="BV465" s="271"/>
      <c r="BW465" s="271"/>
      <c r="BX465" s="235">
        <f t="shared" si="168"/>
        <v>0</v>
      </c>
      <c r="BY465" s="271"/>
      <c r="BZ465" s="271"/>
      <c r="CA465" s="271"/>
      <c r="CB465" s="271"/>
      <c r="CC465" s="271"/>
      <c r="CD465" s="271"/>
      <c r="CE465" s="271"/>
      <c r="CF465" s="271"/>
      <c r="CG465" s="271"/>
      <c r="CH465" s="271"/>
      <c r="CI465" s="271"/>
      <c r="CJ465" s="271"/>
      <c r="CK465" s="271"/>
      <c r="CL465" s="271"/>
      <c r="CM465" s="271"/>
      <c r="CN465" s="235">
        <f t="shared" si="169"/>
        <v>0</v>
      </c>
      <c r="CO465" s="271"/>
      <c r="CP465" s="271"/>
      <c r="CQ465" s="271"/>
      <c r="CR465" s="271"/>
      <c r="CS465" s="271">
        <v>50000000</v>
      </c>
      <c r="CT465" s="271"/>
      <c r="CU465" s="271"/>
      <c r="CV465" s="271"/>
      <c r="CW465" s="271"/>
      <c r="CX465" s="271"/>
      <c r="CY465" s="271"/>
      <c r="CZ465" s="271"/>
      <c r="DA465" s="271"/>
      <c r="DB465" s="271"/>
      <c r="DC465" s="271"/>
      <c r="DD465" s="234">
        <f t="shared" si="170"/>
        <v>50000000</v>
      </c>
      <c r="DE465" s="244">
        <f t="shared" si="165"/>
        <v>50000000</v>
      </c>
    </row>
    <row r="466" spans="1:110" s="99" customFormat="1" ht="108" customHeight="1">
      <c r="A466" s="103" t="s">
        <v>1239</v>
      </c>
      <c r="B466" s="279" t="s">
        <v>9</v>
      </c>
      <c r="C466" s="279" t="s">
        <v>1694</v>
      </c>
      <c r="D466" s="279">
        <v>36</v>
      </c>
      <c r="E466" s="279" t="s">
        <v>1358</v>
      </c>
      <c r="F466" s="280" t="s">
        <v>1359</v>
      </c>
      <c r="G466" s="279" t="s">
        <v>3580</v>
      </c>
      <c r="H466" s="279">
        <v>44</v>
      </c>
      <c r="I466" s="279" t="s">
        <v>1360</v>
      </c>
      <c r="J466" s="279" t="s">
        <v>683</v>
      </c>
      <c r="K466" s="279">
        <v>8</v>
      </c>
      <c r="L466" s="279" t="s">
        <v>1361</v>
      </c>
      <c r="M466" s="279" t="s">
        <v>1362</v>
      </c>
      <c r="N466" s="279" t="s">
        <v>1363</v>
      </c>
      <c r="O466" s="279" t="s">
        <v>1364</v>
      </c>
      <c r="P466" s="283">
        <v>421</v>
      </c>
      <c r="Q466" s="279" t="s">
        <v>3458</v>
      </c>
      <c r="R466" s="279" t="s">
        <v>1370</v>
      </c>
      <c r="S466" s="279" t="s">
        <v>683</v>
      </c>
      <c r="T466" s="279">
        <v>0</v>
      </c>
      <c r="U466" s="267"/>
      <c r="V466" s="267"/>
      <c r="W466" s="224">
        <v>0</v>
      </c>
      <c r="X466" s="267"/>
      <c r="Y466" s="267"/>
      <c r="Z466" s="267"/>
      <c r="AA466" s="267"/>
      <c r="AB466" s="224">
        <v>0</v>
      </c>
      <c r="AC466" s="267"/>
      <c r="AD466" s="267">
        <v>1</v>
      </c>
      <c r="AE466" s="267"/>
      <c r="AF466" s="267"/>
      <c r="AG466" s="224">
        <v>1</v>
      </c>
      <c r="AH466" s="267"/>
      <c r="AI466" s="267"/>
      <c r="AJ466" s="267"/>
      <c r="AK466" s="267"/>
      <c r="AL466" s="224">
        <v>0</v>
      </c>
      <c r="AM466" s="104">
        <v>1</v>
      </c>
      <c r="AN466" s="103" t="s">
        <v>685</v>
      </c>
      <c r="AO466" s="103" t="s">
        <v>618</v>
      </c>
      <c r="AP466" s="103" t="s">
        <v>1216</v>
      </c>
      <c r="AQ466" s="103" t="s">
        <v>1193</v>
      </c>
      <c r="AR466" s="103" t="s">
        <v>938</v>
      </c>
      <c r="AS466" s="271"/>
      <c r="AT466" s="271"/>
      <c r="AU466" s="271"/>
      <c r="AV466" s="271"/>
      <c r="AW466" s="271"/>
      <c r="AX466" s="271"/>
      <c r="AY466" s="271"/>
      <c r="AZ466" s="271"/>
      <c r="BA466" s="271"/>
      <c r="BB466" s="271"/>
      <c r="BC466" s="271"/>
      <c r="BD466" s="271"/>
      <c r="BE466" s="271"/>
      <c r="BF466" s="271"/>
      <c r="BG466" s="271"/>
      <c r="BH466" s="235">
        <f t="shared" si="167"/>
        <v>0</v>
      </c>
      <c r="BI466" s="271"/>
      <c r="BJ466" s="271"/>
      <c r="BK466" s="271"/>
      <c r="BL466" s="271"/>
      <c r="BM466" s="271"/>
      <c r="BN466" s="271"/>
      <c r="BO466" s="271"/>
      <c r="BP466" s="271"/>
      <c r="BQ466" s="271"/>
      <c r="BR466" s="271"/>
      <c r="BS466" s="271"/>
      <c r="BT466" s="271"/>
      <c r="BU466" s="271"/>
      <c r="BV466" s="271"/>
      <c r="BW466" s="271"/>
      <c r="BX466" s="235">
        <f t="shared" si="168"/>
        <v>0</v>
      </c>
      <c r="BY466" s="271"/>
      <c r="BZ466" s="271"/>
      <c r="CA466" s="271"/>
      <c r="CB466" s="271"/>
      <c r="CC466" s="271">
        <v>49891998</v>
      </c>
      <c r="CD466" s="271"/>
      <c r="CE466" s="271"/>
      <c r="CF466" s="271"/>
      <c r="CG466" s="271"/>
      <c r="CH466" s="271"/>
      <c r="CI466" s="271"/>
      <c r="CJ466" s="271"/>
      <c r="CK466" s="271"/>
      <c r="CL466" s="271"/>
      <c r="CM466" s="271"/>
      <c r="CN466" s="235">
        <f t="shared" si="169"/>
        <v>49891998</v>
      </c>
      <c r="CO466" s="271"/>
      <c r="CP466" s="271"/>
      <c r="CQ466" s="271"/>
      <c r="CR466" s="271"/>
      <c r="CS466" s="271"/>
      <c r="CT466" s="271"/>
      <c r="CU466" s="271"/>
      <c r="CV466" s="271"/>
      <c r="CW466" s="271"/>
      <c r="CX466" s="271"/>
      <c r="CY466" s="271"/>
      <c r="CZ466" s="271"/>
      <c r="DA466" s="271"/>
      <c r="DB466" s="271"/>
      <c r="DC466" s="271"/>
      <c r="DD466" s="234">
        <f t="shared" si="170"/>
        <v>0</v>
      </c>
      <c r="DE466" s="244">
        <f t="shared" si="165"/>
        <v>49891998</v>
      </c>
    </row>
    <row r="467" spans="1:110" s="99" customFormat="1" ht="108" customHeight="1">
      <c r="A467" s="120" t="s">
        <v>1239</v>
      </c>
      <c r="B467" s="281" t="s">
        <v>9</v>
      </c>
      <c r="C467" s="281" t="s">
        <v>1694</v>
      </c>
      <c r="D467" s="281">
        <v>36</v>
      </c>
      <c r="E467" s="281" t="s">
        <v>1358</v>
      </c>
      <c r="F467" s="282" t="s">
        <v>1359</v>
      </c>
      <c r="G467" s="281" t="s">
        <v>3580</v>
      </c>
      <c r="H467" s="281">
        <v>44</v>
      </c>
      <c r="I467" s="281" t="s">
        <v>1360</v>
      </c>
      <c r="J467" s="281" t="s">
        <v>683</v>
      </c>
      <c r="K467" s="281">
        <v>8</v>
      </c>
      <c r="L467" s="281" t="s">
        <v>1361</v>
      </c>
      <c r="M467" s="281" t="s">
        <v>1362</v>
      </c>
      <c r="N467" s="281" t="s">
        <v>1363</v>
      </c>
      <c r="O467" s="281" t="s">
        <v>1364</v>
      </c>
      <c r="P467" s="283">
        <v>422</v>
      </c>
      <c r="Q467" s="281" t="s">
        <v>3459</v>
      </c>
      <c r="R467" s="281" t="s">
        <v>1371</v>
      </c>
      <c r="S467" s="281" t="s">
        <v>677</v>
      </c>
      <c r="T467" s="281">
        <v>0</v>
      </c>
      <c r="U467" s="275"/>
      <c r="V467" s="275"/>
      <c r="W467" s="225">
        <v>0</v>
      </c>
      <c r="X467" s="275"/>
      <c r="Y467" s="275"/>
      <c r="Z467" s="275"/>
      <c r="AA467" s="275">
        <v>100</v>
      </c>
      <c r="AB467" s="225">
        <v>100</v>
      </c>
      <c r="AC467" s="275"/>
      <c r="AD467" s="275"/>
      <c r="AE467" s="275"/>
      <c r="AF467" s="275"/>
      <c r="AG467" s="225">
        <v>0</v>
      </c>
      <c r="AH467" s="275"/>
      <c r="AI467" s="275"/>
      <c r="AJ467" s="275"/>
      <c r="AK467" s="275"/>
      <c r="AL467" s="225">
        <v>0</v>
      </c>
      <c r="AM467" s="119">
        <v>100</v>
      </c>
      <c r="AN467" s="120" t="s">
        <v>685</v>
      </c>
      <c r="AO467" s="120" t="s">
        <v>618</v>
      </c>
      <c r="AP467" s="120" t="s">
        <v>1216</v>
      </c>
      <c r="AQ467" s="120" t="s">
        <v>1193</v>
      </c>
      <c r="AR467" s="120" t="s">
        <v>938</v>
      </c>
      <c r="AS467" s="276"/>
      <c r="AT467" s="276"/>
      <c r="AU467" s="276"/>
      <c r="AV467" s="276"/>
      <c r="AW467" s="276"/>
      <c r="AX467" s="276"/>
      <c r="AY467" s="276"/>
      <c r="AZ467" s="276"/>
      <c r="BA467" s="276"/>
      <c r="BB467" s="276"/>
      <c r="BC467" s="276"/>
      <c r="BD467" s="276"/>
      <c r="BE467" s="276"/>
      <c r="BF467" s="276"/>
      <c r="BG467" s="276"/>
      <c r="BH467" s="236">
        <f t="shared" si="167"/>
        <v>0</v>
      </c>
      <c r="BI467" s="276"/>
      <c r="BJ467" s="276"/>
      <c r="BK467" s="276"/>
      <c r="BL467" s="276">
        <v>100000000</v>
      </c>
      <c r="BM467" s="276">
        <v>59420950</v>
      </c>
      <c r="BN467" s="276"/>
      <c r="BO467" s="276"/>
      <c r="BP467" s="276"/>
      <c r="BQ467" s="276"/>
      <c r="BR467" s="276"/>
      <c r="BS467" s="276"/>
      <c r="BT467" s="276"/>
      <c r="BU467" s="276"/>
      <c r="BV467" s="276"/>
      <c r="BW467" s="276"/>
      <c r="BX467" s="236">
        <f t="shared" si="168"/>
        <v>159420950</v>
      </c>
      <c r="BY467" s="276"/>
      <c r="BZ467" s="276"/>
      <c r="CA467" s="276"/>
      <c r="CB467" s="276"/>
      <c r="CC467" s="276"/>
      <c r="CD467" s="276"/>
      <c r="CE467" s="276"/>
      <c r="CF467" s="276"/>
      <c r="CG467" s="276"/>
      <c r="CH467" s="276"/>
      <c r="CI467" s="276"/>
      <c r="CJ467" s="276"/>
      <c r="CK467" s="276"/>
      <c r="CL467" s="276"/>
      <c r="CM467" s="276"/>
      <c r="CN467" s="236">
        <f t="shared" si="169"/>
        <v>0</v>
      </c>
      <c r="CO467" s="276"/>
      <c r="CP467" s="276"/>
      <c r="CQ467" s="276"/>
      <c r="CR467" s="276"/>
      <c r="CS467" s="276"/>
      <c r="CT467" s="276"/>
      <c r="CU467" s="276"/>
      <c r="CV467" s="276"/>
      <c r="CW467" s="276"/>
      <c r="CX467" s="276"/>
      <c r="CY467" s="276"/>
      <c r="CZ467" s="276"/>
      <c r="DA467" s="276"/>
      <c r="DB467" s="276"/>
      <c r="DC467" s="276"/>
      <c r="DD467" s="240">
        <f t="shared" si="170"/>
        <v>0</v>
      </c>
      <c r="DE467" s="245">
        <f t="shared" si="165"/>
        <v>159420950</v>
      </c>
    </row>
    <row r="468" spans="1:110" s="46" customFormat="1" ht="65.099999999999994" customHeight="1">
      <c r="A468" s="134" t="s">
        <v>1239</v>
      </c>
      <c r="B468" s="134" t="s">
        <v>9</v>
      </c>
      <c r="C468" s="134" t="s">
        <v>1694</v>
      </c>
      <c r="D468" s="134">
        <v>36</v>
      </c>
      <c r="E468" s="134" t="s">
        <v>1358</v>
      </c>
      <c r="F468" s="135"/>
      <c r="G468" s="136"/>
      <c r="H468" s="137"/>
      <c r="I468" s="137"/>
      <c r="J468" s="137"/>
      <c r="K468" s="138"/>
      <c r="L468" s="137"/>
      <c r="M468" s="137"/>
      <c r="N468" s="137"/>
      <c r="O468" s="137"/>
      <c r="P468" s="137"/>
      <c r="Q468" s="136"/>
      <c r="R468" s="139"/>
      <c r="S468" s="137"/>
      <c r="T468" s="137"/>
      <c r="U468" s="140"/>
      <c r="V468" s="140"/>
      <c r="W468" s="138"/>
      <c r="X468" s="140"/>
      <c r="Y468" s="140"/>
      <c r="Z468" s="140"/>
      <c r="AA468" s="140"/>
      <c r="AB468" s="138"/>
      <c r="AC468" s="140"/>
      <c r="AD468" s="140"/>
      <c r="AE468" s="140"/>
      <c r="AF468" s="140"/>
      <c r="AG468" s="138"/>
      <c r="AH468" s="140"/>
      <c r="AI468" s="140"/>
      <c r="AJ468" s="140"/>
      <c r="AK468" s="140"/>
      <c r="AL468" s="138"/>
      <c r="AM468" s="141"/>
      <c r="AN468" s="142"/>
      <c r="AO468" s="142"/>
      <c r="AP468" s="143"/>
      <c r="AQ468" s="143"/>
      <c r="AR468" s="144"/>
      <c r="AS468" s="132">
        <f>SUM(AS461:AS467)</f>
        <v>0</v>
      </c>
      <c r="AT468" s="132">
        <f t="shared" ref="AT468:DE468" si="171">SUM(AT461:AT467)</f>
        <v>0</v>
      </c>
      <c r="AU468" s="132">
        <f t="shared" si="171"/>
        <v>0</v>
      </c>
      <c r="AV468" s="132">
        <f t="shared" si="171"/>
        <v>750000000</v>
      </c>
      <c r="AW468" s="132">
        <f t="shared" si="171"/>
        <v>0</v>
      </c>
      <c r="AX468" s="132">
        <f t="shared" si="171"/>
        <v>0</v>
      </c>
      <c r="AY468" s="132">
        <f t="shared" si="171"/>
        <v>0</v>
      </c>
      <c r="AZ468" s="132">
        <f t="shared" si="171"/>
        <v>0</v>
      </c>
      <c r="BA468" s="132">
        <f t="shared" si="171"/>
        <v>0</v>
      </c>
      <c r="BB468" s="132">
        <f t="shared" si="171"/>
        <v>0</v>
      </c>
      <c r="BC468" s="132">
        <f t="shared" si="171"/>
        <v>0</v>
      </c>
      <c r="BD468" s="132">
        <f t="shared" si="171"/>
        <v>0</v>
      </c>
      <c r="BE468" s="132">
        <f t="shared" si="171"/>
        <v>0</v>
      </c>
      <c r="BF468" s="132">
        <f t="shared" si="171"/>
        <v>0</v>
      </c>
      <c r="BG468" s="132">
        <f t="shared" si="171"/>
        <v>0</v>
      </c>
      <c r="BH468" s="133">
        <f>IF(OR(AND(BH461=0,W461&lt;&gt;0),AND(BH462=0,W462&lt;&gt;0),AND(BH463=0,W463&lt;&gt;0),AND(BH464=0,W464&lt;&gt;0),AND(BH465=0,W465&lt;&gt;0),AND(BH466=0,W466&lt;&gt;0),AND(BH467=0,W467&lt;&gt;0)),"NO DEBEN QUEDAR CELDAS EN ROJO",SUM(BH461:BH467))</f>
        <v>750000000</v>
      </c>
      <c r="BI468" s="132">
        <f t="shared" si="171"/>
        <v>0</v>
      </c>
      <c r="BJ468" s="132">
        <f t="shared" si="171"/>
        <v>0</v>
      </c>
      <c r="BK468" s="132">
        <f t="shared" si="171"/>
        <v>0</v>
      </c>
      <c r="BL468" s="132">
        <f t="shared" si="171"/>
        <v>1000000000</v>
      </c>
      <c r="BM468" s="132">
        <f t="shared" si="171"/>
        <v>109420950</v>
      </c>
      <c r="BN468" s="132">
        <f t="shared" si="171"/>
        <v>0</v>
      </c>
      <c r="BO468" s="132">
        <f t="shared" si="171"/>
        <v>0</v>
      </c>
      <c r="BP468" s="132">
        <f t="shared" si="171"/>
        <v>0</v>
      </c>
      <c r="BQ468" s="132">
        <f t="shared" si="171"/>
        <v>0</v>
      </c>
      <c r="BR468" s="132">
        <f t="shared" si="171"/>
        <v>0</v>
      </c>
      <c r="BS468" s="132">
        <f t="shared" si="171"/>
        <v>0</v>
      </c>
      <c r="BT468" s="132">
        <f t="shared" si="171"/>
        <v>0</v>
      </c>
      <c r="BU468" s="132">
        <f t="shared" si="171"/>
        <v>0</v>
      </c>
      <c r="BV468" s="132">
        <f t="shared" si="171"/>
        <v>0</v>
      </c>
      <c r="BW468" s="132">
        <f t="shared" si="171"/>
        <v>0</v>
      </c>
      <c r="BX468" s="133">
        <f>IF(OR(AND(BX461=0,AB461&lt;&gt;0),AND(BX462=0,AB462&lt;&gt;0),AND(BX463=0,AB463&lt;&gt;0),AND(BX464=0,AB464&lt;&gt;0),AND(BX465=0,AB465&lt;&gt;0),AND(BX466=0,AB466&lt;&gt;0),AND(BX467=0,AB467&lt;&gt;0)),"NO DEBEN QUEDAR CELDAS EN ROJO",SUM(BX461:BX467))</f>
        <v>1109420950</v>
      </c>
      <c r="BY468" s="132">
        <f t="shared" si="171"/>
        <v>0</v>
      </c>
      <c r="BZ468" s="132">
        <f t="shared" si="171"/>
        <v>0</v>
      </c>
      <c r="CA468" s="132">
        <f t="shared" si="171"/>
        <v>0</v>
      </c>
      <c r="CB468" s="132">
        <f t="shared" si="171"/>
        <v>1000000000</v>
      </c>
      <c r="CC468" s="132">
        <f t="shared" si="171"/>
        <v>249891998</v>
      </c>
      <c r="CD468" s="132">
        <f t="shared" si="171"/>
        <v>0</v>
      </c>
      <c r="CE468" s="132">
        <f t="shared" si="171"/>
        <v>0</v>
      </c>
      <c r="CF468" s="132">
        <f t="shared" si="171"/>
        <v>0</v>
      </c>
      <c r="CG468" s="132">
        <f t="shared" si="171"/>
        <v>0</v>
      </c>
      <c r="CH468" s="132">
        <f t="shared" si="171"/>
        <v>0</v>
      </c>
      <c r="CI468" s="132">
        <f t="shared" si="171"/>
        <v>0</v>
      </c>
      <c r="CJ468" s="132">
        <f t="shared" si="171"/>
        <v>0</v>
      </c>
      <c r="CK468" s="132">
        <f t="shared" si="171"/>
        <v>0</v>
      </c>
      <c r="CL468" s="132">
        <f t="shared" si="171"/>
        <v>0</v>
      </c>
      <c r="CM468" s="132">
        <f t="shared" si="171"/>
        <v>0</v>
      </c>
      <c r="CN468" s="133">
        <f>IF(OR(AND(CN461=0,AG461&lt;&gt;0),AND(CN462=0,AG462&lt;&gt;0),AND(CN463=0,AG463&lt;&gt;0),AND(CN464=0,AG464&lt;&gt;0),AND(CN465=0,AG465&lt;&gt;0),AND(CN466=0,AG466&lt;&gt;0),AND(CN467=0,AG467&lt;&gt;0)),"NO DEBEN QUEDAR CELDAS EN ROJO",SUM(CN461:CN467))</f>
        <v>1249891998</v>
      </c>
      <c r="CO468" s="132">
        <f t="shared" si="171"/>
        <v>0</v>
      </c>
      <c r="CP468" s="132">
        <f t="shared" si="171"/>
        <v>0</v>
      </c>
      <c r="CQ468" s="132">
        <f t="shared" si="171"/>
        <v>0</v>
      </c>
      <c r="CR468" s="132">
        <f t="shared" si="171"/>
        <v>1000000000</v>
      </c>
      <c r="CS468" s="132">
        <f t="shared" si="171"/>
        <v>249891998</v>
      </c>
      <c r="CT468" s="132">
        <f t="shared" si="171"/>
        <v>0</v>
      </c>
      <c r="CU468" s="132">
        <f t="shared" si="171"/>
        <v>0</v>
      </c>
      <c r="CV468" s="132">
        <f t="shared" si="171"/>
        <v>0</v>
      </c>
      <c r="CW468" s="132">
        <f t="shared" si="171"/>
        <v>0</v>
      </c>
      <c r="CX468" s="132">
        <f t="shared" si="171"/>
        <v>0</v>
      </c>
      <c r="CY468" s="132">
        <f t="shared" si="171"/>
        <v>0</v>
      </c>
      <c r="CZ468" s="132">
        <f t="shared" si="171"/>
        <v>0</v>
      </c>
      <c r="DA468" s="132">
        <f t="shared" si="171"/>
        <v>0</v>
      </c>
      <c r="DB468" s="132">
        <f t="shared" si="171"/>
        <v>0</v>
      </c>
      <c r="DC468" s="132">
        <f t="shared" si="171"/>
        <v>0</v>
      </c>
      <c r="DD468" s="133">
        <f>IF(OR(AND(DD461=0,AL461&lt;&gt;0),AND(DD462=0,AL462&lt;&gt;0),AND(DD463=0,AL463&lt;&gt;0),AND(DD464=0,AL464&lt;&gt;0),AND(DD465=0,AL465&lt;&gt;0),AND(DD466=0,AL466&lt;&gt;0),AND(DD467=0,AL467&lt;&gt;0)),"NO DEBEN QUEDAR CELDAS EN ROJO",SUM(DD461:DD467))</f>
        <v>1249891998</v>
      </c>
      <c r="DE468" s="133">
        <f t="shared" si="171"/>
        <v>4359204946</v>
      </c>
    </row>
    <row r="469" spans="1:110" s="99" customFormat="1" ht="90" customHeight="1">
      <c r="A469" s="103" t="s">
        <v>1239</v>
      </c>
      <c r="B469" s="103" t="s">
        <v>9</v>
      </c>
      <c r="C469" s="103" t="s">
        <v>1694</v>
      </c>
      <c r="D469" s="103">
        <v>37</v>
      </c>
      <c r="E469" s="103" t="s">
        <v>1372</v>
      </c>
      <c r="F469" s="278" t="s">
        <v>1373</v>
      </c>
      <c r="G469" s="103" t="s">
        <v>3460</v>
      </c>
      <c r="H469" s="103">
        <v>45</v>
      </c>
      <c r="I469" s="103" t="s">
        <v>1374</v>
      </c>
      <c r="J469" s="103" t="s">
        <v>677</v>
      </c>
      <c r="K469" s="103">
        <v>61.61</v>
      </c>
      <c r="L469" s="103" t="s">
        <v>1375</v>
      </c>
      <c r="M469" s="103" t="s">
        <v>1376</v>
      </c>
      <c r="N469" s="103" t="s">
        <v>1377</v>
      </c>
      <c r="O469" s="103" t="s">
        <v>1378</v>
      </c>
      <c r="P469" s="283">
        <v>423</v>
      </c>
      <c r="Q469" s="103" t="s">
        <v>3582</v>
      </c>
      <c r="R469" s="103" t="s">
        <v>1379</v>
      </c>
      <c r="S469" s="103" t="s">
        <v>683</v>
      </c>
      <c r="T469" s="103">
        <v>0</v>
      </c>
      <c r="U469" s="267">
        <v>3</v>
      </c>
      <c r="V469" s="267">
        <v>1</v>
      </c>
      <c r="W469" s="224">
        <v>4</v>
      </c>
      <c r="X469" s="267">
        <v>1</v>
      </c>
      <c r="Y469" s="267">
        <v>1</v>
      </c>
      <c r="Z469" s="267">
        <v>1</v>
      </c>
      <c r="AA469" s="267">
        <v>1</v>
      </c>
      <c r="AB469" s="224">
        <v>4</v>
      </c>
      <c r="AC469" s="267">
        <v>1</v>
      </c>
      <c r="AD469" s="267">
        <v>1</v>
      </c>
      <c r="AE469" s="267">
        <v>1</v>
      </c>
      <c r="AF469" s="267">
        <v>1</v>
      </c>
      <c r="AG469" s="224">
        <v>4</v>
      </c>
      <c r="AH469" s="267">
        <v>1</v>
      </c>
      <c r="AI469" s="267">
        <v>1</v>
      </c>
      <c r="AJ469" s="267">
        <v>1</v>
      </c>
      <c r="AK469" s="267">
        <v>1</v>
      </c>
      <c r="AL469" s="224">
        <v>4</v>
      </c>
      <c r="AM469" s="102">
        <v>16</v>
      </c>
      <c r="AN469" s="103" t="s">
        <v>685</v>
      </c>
      <c r="AO469" s="103" t="s">
        <v>1212</v>
      </c>
      <c r="AP469" s="103" t="s">
        <v>1229</v>
      </c>
      <c r="AQ469" s="103" t="s">
        <v>1194</v>
      </c>
      <c r="AR469" s="103" t="s">
        <v>938</v>
      </c>
      <c r="AS469" s="268"/>
      <c r="AT469" s="268"/>
      <c r="AU469" s="268"/>
      <c r="AV469" s="268">
        <v>221918548</v>
      </c>
      <c r="AW469" s="268"/>
      <c r="AX469" s="268"/>
      <c r="AY469" s="268"/>
      <c r="AZ469" s="268"/>
      <c r="BA469" s="268"/>
      <c r="BB469" s="268"/>
      <c r="BC469" s="268"/>
      <c r="BD469" s="268"/>
      <c r="BE469" s="268"/>
      <c r="BF469" s="268"/>
      <c r="BG469" s="268"/>
      <c r="BH469" s="234">
        <f>IF(W469=0,0,BG469+BF469+BE469+BD469+BC469+BB469+BA469+AZ469+AY469+AX469+AW469+AV469+AU469+AT469+AS469)</f>
        <v>221918548</v>
      </c>
      <c r="BI469" s="268"/>
      <c r="BJ469" s="268"/>
      <c r="BK469" s="268"/>
      <c r="BL469" s="268">
        <v>200000000</v>
      </c>
      <c r="BM469" s="268"/>
      <c r="BN469" s="268"/>
      <c r="BO469" s="268"/>
      <c r="BP469" s="268"/>
      <c r="BQ469" s="268"/>
      <c r="BR469" s="268"/>
      <c r="BS469" s="268"/>
      <c r="BT469" s="268"/>
      <c r="BU469" s="268"/>
      <c r="BV469" s="268"/>
      <c r="BW469" s="268"/>
      <c r="BX469" s="234">
        <f>IF(AB469=0,0,BI469+BJ469+BK469+BL469+BM469+BN469+BO469+BP469+BQ469+BR469+BS469+BT469+BU469+BV469+BW469)</f>
        <v>200000000</v>
      </c>
      <c r="BY469" s="268"/>
      <c r="BZ469" s="268"/>
      <c r="CA469" s="268"/>
      <c r="CB469" s="268">
        <v>400000000</v>
      </c>
      <c r="CC469" s="268"/>
      <c r="CD469" s="268"/>
      <c r="CE469" s="268"/>
      <c r="CF469" s="268"/>
      <c r="CG469" s="268"/>
      <c r="CH469" s="268"/>
      <c r="CI469" s="268"/>
      <c r="CJ469" s="268"/>
      <c r="CK469" s="268"/>
      <c r="CL469" s="268"/>
      <c r="CM469" s="268"/>
      <c r="CN469" s="234">
        <f>IF(AG469=0,0,(BY469+BZ469+CA469+CB469+CC469+CD469+CE469+CF469+CG469+CH469+CI469+CJ469+CK469+CL469+CM469))</f>
        <v>400000000</v>
      </c>
      <c r="CO469" s="268"/>
      <c r="CP469" s="268"/>
      <c r="CQ469" s="268"/>
      <c r="CR469" s="268">
        <v>400000000</v>
      </c>
      <c r="CS469" s="268"/>
      <c r="CT469" s="268"/>
      <c r="CU469" s="268"/>
      <c r="CV469" s="268"/>
      <c r="CW469" s="268"/>
      <c r="CX469" s="268"/>
      <c r="CY469" s="268"/>
      <c r="CZ469" s="268"/>
      <c r="DA469" s="268"/>
      <c r="DB469" s="268"/>
      <c r="DC469" s="268"/>
      <c r="DD469" s="234">
        <f>IF(AL469=0,0,(CO469+CP469+CQ469+CR469+CS469+CT469+CU469+CV469+CW469+CX469+CY469+CZ469+DA469+DB469+DC469))</f>
        <v>400000000</v>
      </c>
      <c r="DE469" s="243">
        <f t="shared" si="165"/>
        <v>1221918548</v>
      </c>
    </row>
    <row r="470" spans="1:110" s="99" customFormat="1" ht="90" customHeight="1">
      <c r="A470" s="103" t="s">
        <v>1239</v>
      </c>
      <c r="B470" s="279" t="s">
        <v>9</v>
      </c>
      <c r="C470" s="279" t="s">
        <v>1694</v>
      </c>
      <c r="D470" s="279">
        <v>37</v>
      </c>
      <c r="E470" s="279" t="s">
        <v>1372</v>
      </c>
      <c r="F470" s="280" t="s">
        <v>1373</v>
      </c>
      <c r="G470" s="279" t="s">
        <v>3460</v>
      </c>
      <c r="H470" s="279">
        <v>45</v>
      </c>
      <c r="I470" s="279" t="s">
        <v>1374</v>
      </c>
      <c r="J470" s="279" t="s">
        <v>677</v>
      </c>
      <c r="K470" s="279">
        <v>61.61</v>
      </c>
      <c r="L470" s="279" t="s">
        <v>1375</v>
      </c>
      <c r="M470" s="279" t="s">
        <v>1376</v>
      </c>
      <c r="N470" s="279" t="s">
        <v>1377</v>
      </c>
      <c r="O470" s="279" t="s">
        <v>1378</v>
      </c>
      <c r="P470" s="283">
        <v>424</v>
      </c>
      <c r="Q470" s="279" t="s">
        <v>3143</v>
      </c>
      <c r="R470" s="279" t="s">
        <v>1380</v>
      </c>
      <c r="S470" s="279" t="s">
        <v>683</v>
      </c>
      <c r="T470" s="279">
        <v>0</v>
      </c>
      <c r="U470" s="267"/>
      <c r="V470" s="267"/>
      <c r="W470" s="224">
        <v>0</v>
      </c>
      <c r="X470" s="267"/>
      <c r="Y470" s="267"/>
      <c r="Z470" s="267"/>
      <c r="AA470" s="267">
        <v>1</v>
      </c>
      <c r="AB470" s="224">
        <v>1</v>
      </c>
      <c r="AC470" s="267"/>
      <c r="AD470" s="267"/>
      <c r="AE470" s="267"/>
      <c r="AF470" s="267"/>
      <c r="AG470" s="224">
        <v>0</v>
      </c>
      <c r="AH470" s="267"/>
      <c r="AI470" s="267"/>
      <c r="AJ470" s="267"/>
      <c r="AK470" s="267"/>
      <c r="AL470" s="224">
        <v>0</v>
      </c>
      <c r="AM470" s="104">
        <v>1</v>
      </c>
      <c r="AN470" s="103" t="s">
        <v>685</v>
      </c>
      <c r="AO470" s="103" t="s">
        <v>1212</v>
      </c>
      <c r="AP470" s="103" t="s">
        <v>1229</v>
      </c>
      <c r="AQ470" s="103" t="s">
        <v>1194</v>
      </c>
      <c r="AR470" s="103" t="s">
        <v>938</v>
      </c>
      <c r="AS470" s="271"/>
      <c r="AT470" s="271"/>
      <c r="AU470" s="271"/>
      <c r="AV470" s="271"/>
      <c r="AW470" s="271"/>
      <c r="AX470" s="271"/>
      <c r="AY470" s="271"/>
      <c r="AZ470" s="271"/>
      <c r="BA470" s="271"/>
      <c r="BB470" s="271"/>
      <c r="BC470" s="271"/>
      <c r="BD470" s="271"/>
      <c r="BE470" s="271"/>
      <c r="BF470" s="271"/>
      <c r="BG470" s="271"/>
      <c r="BH470" s="235">
        <f>IF(W470=0,0,BG470+BF470+BE470+BD470+BC470+BB470+BA470+AZ470+AY470+AX470+AW470+AV470+AU470+AT470+AS470)</f>
        <v>0</v>
      </c>
      <c r="BI470" s="271"/>
      <c r="BJ470" s="271"/>
      <c r="BK470" s="271"/>
      <c r="BL470" s="271">
        <v>300000000</v>
      </c>
      <c r="BM470" s="271"/>
      <c r="BN470" s="271"/>
      <c r="BO470" s="271"/>
      <c r="BP470" s="271"/>
      <c r="BQ470" s="271"/>
      <c r="BR470" s="271"/>
      <c r="BS470" s="271"/>
      <c r="BT470" s="271"/>
      <c r="BU470" s="271"/>
      <c r="BV470" s="271"/>
      <c r="BW470" s="271"/>
      <c r="BX470" s="235">
        <f>IF(AB470=0,0,BI470+BJ470+BK470+BL470+BM470+BN470+BO470+BP470+BQ470+BR470+BS470+BT470+BU470+BV470+BW470)</f>
        <v>300000000</v>
      </c>
      <c r="BY470" s="271"/>
      <c r="BZ470" s="271"/>
      <c r="CA470" s="271"/>
      <c r="CB470" s="271"/>
      <c r="CC470" s="271"/>
      <c r="CD470" s="271"/>
      <c r="CE470" s="271"/>
      <c r="CF470" s="271"/>
      <c r="CG470" s="271"/>
      <c r="CH470" s="271"/>
      <c r="CI470" s="271"/>
      <c r="CJ470" s="271"/>
      <c r="CK470" s="271"/>
      <c r="CL470" s="271"/>
      <c r="CM470" s="271"/>
      <c r="CN470" s="235">
        <f>IF(AG470=0,0,(BY470+BZ470+CA470+CB470+CC470+CD470+CE470+CF470+CG470+CH470+CI470+CJ470+CK470+CL470+CM470))</f>
        <v>0</v>
      </c>
      <c r="CO470" s="271"/>
      <c r="CP470" s="271"/>
      <c r="CQ470" s="271"/>
      <c r="CR470" s="271"/>
      <c r="CS470" s="271"/>
      <c r="CT470" s="271"/>
      <c r="CU470" s="271"/>
      <c r="CV470" s="271"/>
      <c r="CW470" s="271"/>
      <c r="CX470" s="271"/>
      <c r="CY470" s="271"/>
      <c r="CZ470" s="271"/>
      <c r="DA470" s="271"/>
      <c r="DB470" s="271"/>
      <c r="DC470" s="271"/>
      <c r="DD470" s="234">
        <f>IF(AL470=0,0,(CO470+CP470+CQ470+CR470+CS470+CT470+CU470+CV470+CW470+CX470+CY470+CZ470+DA470+DB470+DC470))</f>
        <v>0</v>
      </c>
      <c r="DE470" s="244">
        <f t="shared" si="165"/>
        <v>300000000</v>
      </c>
    </row>
    <row r="471" spans="1:110" s="99" customFormat="1" ht="90" customHeight="1">
      <c r="A471" s="103" t="s">
        <v>1239</v>
      </c>
      <c r="B471" s="279" t="s">
        <v>9</v>
      </c>
      <c r="C471" s="279" t="s">
        <v>1694</v>
      </c>
      <c r="D471" s="279">
        <v>37</v>
      </c>
      <c r="E471" s="279" t="s">
        <v>1372</v>
      </c>
      <c r="F471" s="280" t="s">
        <v>1373</v>
      </c>
      <c r="G471" s="279" t="s">
        <v>3460</v>
      </c>
      <c r="H471" s="279">
        <v>45</v>
      </c>
      <c r="I471" s="279" t="s">
        <v>1374</v>
      </c>
      <c r="J471" s="279" t="s">
        <v>677</v>
      </c>
      <c r="K471" s="279">
        <v>61.61</v>
      </c>
      <c r="L471" s="279" t="s">
        <v>1375</v>
      </c>
      <c r="M471" s="279" t="s">
        <v>1376</v>
      </c>
      <c r="N471" s="279" t="s">
        <v>1377</v>
      </c>
      <c r="O471" s="279" t="s">
        <v>1378</v>
      </c>
      <c r="P471" s="283">
        <v>425</v>
      </c>
      <c r="Q471" s="279" t="s">
        <v>3583</v>
      </c>
      <c r="R471" s="279" t="s">
        <v>1381</v>
      </c>
      <c r="S471" s="279" t="s">
        <v>683</v>
      </c>
      <c r="T471" s="279">
        <v>0</v>
      </c>
      <c r="U471" s="267"/>
      <c r="V471" s="267">
        <v>1</v>
      </c>
      <c r="W471" s="224">
        <v>1</v>
      </c>
      <c r="X471" s="267"/>
      <c r="Y471" s="267"/>
      <c r="Z471" s="267"/>
      <c r="AA471" s="267">
        <v>1</v>
      </c>
      <c r="AB471" s="224">
        <v>1</v>
      </c>
      <c r="AC471" s="267"/>
      <c r="AD471" s="267"/>
      <c r="AE471" s="267"/>
      <c r="AF471" s="267">
        <v>1</v>
      </c>
      <c r="AG471" s="224">
        <v>1</v>
      </c>
      <c r="AH471" s="267"/>
      <c r="AI471" s="267"/>
      <c r="AJ471" s="267"/>
      <c r="AK471" s="267">
        <v>1</v>
      </c>
      <c r="AL471" s="224">
        <v>1</v>
      </c>
      <c r="AM471" s="104">
        <v>4</v>
      </c>
      <c r="AN471" s="103" t="s">
        <v>685</v>
      </c>
      <c r="AO471" s="103" t="s">
        <v>1212</v>
      </c>
      <c r="AP471" s="103" t="s">
        <v>1229</v>
      </c>
      <c r="AQ471" s="103" t="s">
        <v>1194</v>
      </c>
      <c r="AR471" s="103" t="s">
        <v>938</v>
      </c>
      <c r="AS471" s="271"/>
      <c r="AT471" s="271"/>
      <c r="AU471" s="271"/>
      <c r="AV471" s="271">
        <v>200000000</v>
      </c>
      <c r="AW471" s="271"/>
      <c r="AX471" s="271"/>
      <c r="AY471" s="271"/>
      <c r="AZ471" s="271"/>
      <c r="BA471" s="271"/>
      <c r="BB471" s="271"/>
      <c r="BC471" s="271"/>
      <c r="BD471" s="271"/>
      <c r="BE471" s="271"/>
      <c r="BF471" s="271"/>
      <c r="BG471" s="271"/>
      <c r="BH471" s="235">
        <f>IF(W471=0,0,BG471+BF471+BE471+BD471+BC471+BB471+BA471+AZ471+AY471+AX471+AW471+AV471+AU471+AT471+AS471)</f>
        <v>200000000</v>
      </c>
      <c r="BI471" s="271"/>
      <c r="BJ471" s="271"/>
      <c r="BK471" s="271"/>
      <c r="BL471" s="271">
        <v>200000000</v>
      </c>
      <c r="BM471" s="271"/>
      <c r="BN471" s="271"/>
      <c r="BO471" s="271"/>
      <c r="BP471" s="271"/>
      <c r="BQ471" s="271"/>
      <c r="BR471" s="271"/>
      <c r="BS471" s="271"/>
      <c r="BT471" s="271"/>
      <c r="BU471" s="271"/>
      <c r="BV471" s="271"/>
      <c r="BW471" s="271"/>
      <c r="BX471" s="235">
        <f>IF(AB471=0,0,BI471+BJ471+BK471+BL471+BM471+BN471+BO471+BP471+BQ471+BR471+BS471+BT471+BU471+BV471+BW471)</f>
        <v>200000000</v>
      </c>
      <c r="BY471" s="271"/>
      <c r="BZ471" s="271"/>
      <c r="CA471" s="271"/>
      <c r="CB471" s="271">
        <v>300000000</v>
      </c>
      <c r="CC471" s="271"/>
      <c r="CD471" s="271"/>
      <c r="CE471" s="271"/>
      <c r="CF471" s="271"/>
      <c r="CG471" s="271"/>
      <c r="CH471" s="271"/>
      <c r="CI471" s="271"/>
      <c r="CJ471" s="271"/>
      <c r="CK471" s="271"/>
      <c r="CL471" s="271"/>
      <c r="CM471" s="271"/>
      <c r="CN471" s="235">
        <f>IF(AG471=0,0,(BY471+BZ471+CA471+CB471+CC471+CD471+CE471+CF471+CG471+CH471+CI471+CJ471+CK471+CL471+CM471))</f>
        <v>300000000</v>
      </c>
      <c r="CO471" s="271"/>
      <c r="CP471" s="271"/>
      <c r="CQ471" s="271"/>
      <c r="CR471" s="271">
        <v>300000000</v>
      </c>
      <c r="CS471" s="271"/>
      <c r="CT471" s="271"/>
      <c r="CU471" s="271"/>
      <c r="CV471" s="271"/>
      <c r="CW471" s="271"/>
      <c r="CX471" s="271"/>
      <c r="CY471" s="271"/>
      <c r="CZ471" s="271"/>
      <c r="DA471" s="271"/>
      <c r="DB471" s="271"/>
      <c r="DC471" s="271"/>
      <c r="DD471" s="234">
        <f>IF(AL471=0,0,(CO471+CP471+CQ471+CR471+CS471+CT471+CU471+CV471+CW471+CX471+CY471+CZ471+DA471+DB471+DC471))</f>
        <v>300000000</v>
      </c>
      <c r="DE471" s="244">
        <f t="shared" ref="DE471:DE473" si="172">SUM(DD471+CN471+BX471+BH471)</f>
        <v>1000000000</v>
      </c>
    </row>
    <row r="472" spans="1:110" s="99" customFormat="1" ht="90" customHeight="1">
      <c r="A472" s="103" t="s">
        <v>1239</v>
      </c>
      <c r="B472" s="279" t="s">
        <v>9</v>
      </c>
      <c r="C472" s="279" t="s">
        <v>1694</v>
      </c>
      <c r="D472" s="279">
        <v>37</v>
      </c>
      <c r="E472" s="279" t="s">
        <v>1372</v>
      </c>
      <c r="F472" s="280" t="s">
        <v>1373</v>
      </c>
      <c r="G472" s="279" t="s">
        <v>3460</v>
      </c>
      <c r="H472" s="279">
        <v>45</v>
      </c>
      <c r="I472" s="279" t="s">
        <v>1374</v>
      </c>
      <c r="J472" s="279" t="s">
        <v>677</v>
      </c>
      <c r="K472" s="279">
        <v>61.61</v>
      </c>
      <c r="L472" s="279" t="s">
        <v>1375</v>
      </c>
      <c r="M472" s="279" t="s">
        <v>1382</v>
      </c>
      <c r="N472" s="279" t="s">
        <v>1383</v>
      </c>
      <c r="O472" s="279" t="s">
        <v>1384</v>
      </c>
      <c r="P472" s="283">
        <v>426</v>
      </c>
      <c r="Q472" s="279" t="s">
        <v>3144</v>
      </c>
      <c r="R472" s="279" t="s">
        <v>1385</v>
      </c>
      <c r="S472" s="279" t="s">
        <v>683</v>
      </c>
      <c r="T472" s="279">
        <v>3</v>
      </c>
      <c r="U472" s="267"/>
      <c r="V472" s="267"/>
      <c r="W472" s="224">
        <v>0</v>
      </c>
      <c r="X472" s="267"/>
      <c r="Y472" s="267">
        <v>1</v>
      </c>
      <c r="Z472" s="267">
        <v>1</v>
      </c>
      <c r="AA472" s="267"/>
      <c r="AB472" s="224">
        <v>2</v>
      </c>
      <c r="AC472" s="267"/>
      <c r="AD472" s="267">
        <v>1</v>
      </c>
      <c r="AE472" s="267">
        <v>2</v>
      </c>
      <c r="AF472" s="267"/>
      <c r="AG472" s="224">
        <v>3</v>
      </c>
      <c r="AH472" s="267"/>
      <c r="AI472" s="267">
        <v>1</v>
      </c>
      <c r="AJ472" s="267">
        <v>1</v>
      </c>
      <c r="AK472" s="267"/>
      <c r="AL472" s="224">
        <v>2</v>
      </c>
      <c r="AM472" s="104">
        <v>7</v>
      </c>
      <c r="AN472" s="103" t="s">
        <v>685</v>
      </c>
      <c r="AO472" s="103" t="s">
        <v>1212</v>
      </c>
      <c r="AP472" s="103" t="s">
        <v>1229</v>
      </c>
      <c r="AQ472" s="103" t="s">
        <v>1194</v>
      </c>
      <c r="AR472" s="103" t="s">
        <v>938</v>
      </c>
      <c r="AS472" s="271"/>
      <c r="AT472" s="271"/>
      <c r="AU472" s="271"/>
      <c r="AV472" s="271"/>
      <c r="AW472" s="271"/>
      <c r="AX472" s="271"/>
      <c r="AY472" s="271"/>
      <c r="AZ472" s="271"/>
      <c r="BA472" s="271"/>
      <c r="BB472" s="271"/>
      <c r="BC472" s="271"/>
      <c r="BD472" s="271"/>
      <c r="BE472" s="271"/>
      <c r="BF472" s="271"/>
      <c r="BG472" s="271"/>
      <c r="BH472" s="235">
        <f>IF(W472=0,0,BG472+BF472+BE472+BD472+BC472+BB472+BA472+AZ472+AY472+AX472+AW472+AV472+AU472+AT472+AS472)</f>
        <v>0</v>
      </c>
      <c r="BI472" s="271"/>
      <c r="BJ472" s="271"/>
      <c r="BK472" s="271"/>
      <c r="BL472" s="271">
        <v>300000000</v>
      </c>
      <c r="BM472" s="271"/>
      <c r="BN472" s="271"/>
      <c r="BO472" s="271"/>
      <c r="BP472" s="271"/>
      <c r="BQ472" s="271"/>
      <c r="BR472" s="271"/>
      <c r="BS472" s="271"/>
      <c r="BT472" s="271"/>
      <c r="BU472" s="271"/>
      <c r="BV472" s="271"/>
      <c r="BW472" s="271"/>
      <c r="BX472" s="235">
        <f>IF(AB472=0,0,BI472+BJ472+BK472+BL472+BM472+BN472+BO472+BP472+BQ472+BR472+BS472+BT472+BU472+BV472+BW472)</f>
        <v>300000000</v>
      </c>
      <c r="BY472" s="271"/>
      <c r="BZ472" s="271"/>
      <c r="CA472" s="271"/>
      <c r="CB472" s="271">
        <v>300000000</v>
      </c>
      <c r="CC472" s="271"/>
      <c r="CD472" s="271"/>
      <c r="CE472" s="271"/>
      <c r="CF472" s="271"/>
      <c r="CG472" s="271"/>
      <c r="CH472" s="271"/>
      <c r="CI472" s="271"/>
      <c r="CJ472" s="271"/>
      <c r="CK472" s="271"/>
      <c r="CL472" s="271"/>
      <c r="CM472" s="271"/>
      <c r="CN472" s="235">
        <f>IF(AG472=0,0,(BY472+BZ472+CA472+CB472+CC472+CD472+CE472+CF472+CG472+CH472+CI472+CJ472+CK472+CL472+CM472))</f>
        <v>300000000</v>
      </c>
      <c r="CO472" s="271"/>
      <c r="CP472" s="271"/>
      <c r="CQ472" s="271"/>
      <c r="CR472" s="271">
        <v>300000000</v>
      </c>
      <c r="CS472" s="271"/>
      <c r="CT472" s="271"/>
      <c r="CU472" s="271"/>
      <c r="CV472" s="271"/>
      <c r="CW472" s="271"/>
      <c r="CX472" s="271"/>
      <c r="CY472" s="271"/>
      <c r="CZ472" s="271"/>
      <c r="DA472" s="271"/>
      <c r="DB472" s="271"/>
      <c r="DC472" s="271"/>
      <c r="DD472" s="234">
        <f>IF(AL472=0,0,(CO472+CP472+CQ472+CR472+CS472+CT472+CU472+CV472+CW472+CX472+CY472+CZ472+DA472+DB472+DC472))</f>
        <v>300000000</v>
      </c>
      <c r="DE472" s="244">
        <f t="shared" si="172"/>
        <v>900000000</v>
      </c>
    </row>
    <row r="473" spans="1:110" s="99" customFormat="1" ht="90" customHeight="1">
      <c r="A473" s="120" t="s">
        <v>1239</v>
      </c>
      <c r="B473" s="281" t="s">
        <v>9</v>
      </c>
      <c r="C473" s="281" t="s">
        <v>1694</v>
      </c>
      <c r="D473" s="281">
        <v>37</v>
      </c>
      <c r="E473" s="281" t="s">
        <v>1372</v>
      </c>
      <c r="F473" s="282" t="s">
        <v>1373</v>
      </c>
      <c r="G473" s="281" t="s">
        <v>3460</v>
      </c>
      <c r="H473" s="281">
        <v>45</v>
      </c>
      <c r="I473" s="281" t="s">
        <v>1374</v>
      </c>
      <c r="J473" s="281" t="s">
        <v>677</v>
      </c>
      <c r="K473" s="281">
        <v>61.61</v>
      </c>
      <c r="L473" s="281" t="s">
        <v>1375</v>
      </c>
      <c r="M473" s="281" t="s">
        <v>1382</v>
      </c>
      <c r="N473" s="281" t="s">
        <v>1383</v>
      </c>
      <c r="O473" s="281" t="s">
        <v>1384</v>
      </c>
      <c r="P473" s="283">
        <v>427</v>
      </c>
      <c r="Q473" s="281" t="s">
        <v>3145</v>
      </c>
      <c r="R473" s="281" t="s">
        <v>1386</v>
      </c>
      <c r="S473" s="281" t="s">
        <v>683</v>
      </c>
      <c r="T473" s="281">
        <v>0</v>
      </c>
      <c r="U473" s="275"/>
      <c r="V473" s="275">
        <v>1</v>
      </c>
      <c r="W473" s="225">
        <v>1</v>
      </c>
      <c r="X473" s="275"/>
      <c r="Y473" s="275"/>
      <c r="Z473" s="275"/>
      <c r="AA473" s="275"/>
      <c r="AB473" s="225">
        <v>0</v>
      </c>
      <c r="AC473" s="275"/>
      <c r="AD473" s="275"/>
      <c r="AE473" s="275"/>
      <c r="AF473" s="275"/>
      <c r="AG473" s="225">
        <v>0</v>
      </c>
      <c r="AH473" s="275"/>
      <c r="AI473" s="275"/>
      <c r="AJ473" s="275"/>
      <c r="AK473" s="275"/>
      <c r="AL473" s="225">
        <v>0</v>
      </c>
      <c r="AM473" s="119">
        <v>1</v>
      </c>
      <c r="AN473" s="120" t="s">
        <v>685</v>
      </c>
      <c r="AO473" s="120" t="s">
        <v>1212</v>
      </c>
      <c r="AP473" s="120" t="s">
        <v>1229</v>
      </c>
      <c r="AQ473" s="120" t="s">
        <v>1194</v>
      </c>
      <c r="AR473" s="120" t="s">
        <v>938</v>
      </c>
      <c r="AS473" s="276"/>
      <c r="AT473" s="276"/>
      <c r="AU473" s="276"/>
      <c r="AV473" s="276">
        <v>200000000</v>
      </c>
      <c r="AW473" s="276"/>
      <c r="AX473" s="276"/>
      <c r="AY473" s="276"/>
      <c r="AZ473" s="276"/>
      <c r="BA473" s="276"/>
      <c r="BB473" s="276"/>
      <c r="BC473" s="276"/>
      <c r="BD473" s="276"/>
      <c r="BE473" s="276"/>
      <c r="BF473" s="276"/>
      <c r="BG473" s="276"/>
      <c r="BH473" s="236">
        <f>IF(W473=0,0,BG473+BF473+BE473+BD473+BC473+BB473+BA473+AZ473+AY473+AX473+AW473+AV473+AU473+AT473+AS473)</f>
        <v>200000000</v>
      </c>
      <c r="BI473" s="276"/>
      <c r="BJ473" s="276"/>
      <c r="BK473" s="276"/>
      <c r="BL473" s="276"/>
      <c r="BM473" s="276"/>
      <c r="BN473" s="276"/>
      <c r="BO473" s="276"/>
      <c r="BP473" s="276"/>
      <c r="BQ473" s="276"/>
      <c r="BR473" s="276"/>
      <c r="BS473" s="276"/>
      <c r="BT473" s="276"/>
      <c r="BU473" s="276"/>
      <c r="BV473" s="276"/>
      <c r="BW473" s="276"/>
      <c r="BX473" s="236">
        <f>IF(AB473=0,0,BI473+BJ473+BK473+BL473+BM473+BN473+BO473+BP473+BQ473+BR473+BS473+BT473+BU473+BV473+BW473)</f>
        <v>0</v>
      </c>
      <c r="BY473" s="276"/>
      <c r="BZ473" s="276"/>
      <c r="CA473" s="276"/>
      <c r="CB473" s="276"/>
      <c r="CC473" s="276"/>
      <c r="CD473" s="276"/>
      <c r="CE473" s="276"/>
      <c r="CF473" s="276"/>
      <c r="CG473" s="276"/>
      <c r="CH473" s="276"/>
      <c r="CI473" s="276"/>
      <c r="CJ473" s="276"/>
      <c r="CK473" s="276"/>
      <c r="CL473" s="276"/>
      <c r="CM473" s="276"/>
      <c r="CN473" s="236">
        <f>IF(AG473=0,0,(BY473+BZ473+CA473+CB473+CC473+CD473+CE473+CF473+CG473+CH473+CI473+CJ473+CK473+CL473+CM473))</f>
        <v>0</v>
      </c>
      <c r="CO473" s="276"/>
      <c r="CP473" s="276"/>
      <c r="CQ473" s="276"/>
      <c r="CR473" s="276"/>
      <c r="CS473" s="276"/>
      <c r="CT473" s="276"/>
      <c r="CU473" s="276"/>
      <c r="CV473" s="276"/>
      <c r="CW473" s="276"/>
      <c r="CX473" s="276"/>
      <c r="CY473" s="276"/>
      <c r="CZ473" s="276"/>
      <c r="DA473" s="276"/>
      <c r="DB473" s="276"/>
      <c r="DC473" s="276"/>
      <c r="DD473" s="240">
        <f>IF(AL473=0,0,(CO473+CP473+CQ473+CR473+CS473+CT473+CU473+CV473+CW473+CX473+CY473+CZ473+DA473+DB473+DC473))</f>
        <v>0</v>
      </c>
      <c r="DE473" s="245">
        <f t="shared" si="172"/>
        <v>200000000</v>
      </c>
    </row>
    <row r="474" spans="1:110" s="46" customFormat="1" ht="65.099999999999994" customHeight="1">
      <c r="A474" s="134" t="s">
        <v>1239</v>
      </c>
      <c r="B474" s="134" t="s">
        <v>9</v>
      </c>
      <c r="C474" s="134" t="s">
        <v>1694</v>
      </c>
      <c r="D474" s="148">
        <v>37</v>
      </c>
      <c r="E474" s="148" t="s">
        <v>1372</v>
      </c>
      <c r="F474" s="149"/>
      <c r="G474" s="150"/>
      <c r="H474" s="151"/>
      <c r="I474" s="151"/>
      <c r="J474" s="151"/>
      <c r="K474" s="152"/>
      <c r="L474" s="151"/>
      <c r="M474" s="151"/>
      <c r="N474" s="151"/>
      <c r="O474" s="151"/>
      <c r="P474" s="151"/>
      <c r="Q474" s="150"/>
      <c r="R474" s="153"/>
      <c r="S474" s="151"/>
      <c r="T474" s="151"/>
      <c r="U474" s="154"/>
      <c r="V474" s="154"/>
      <c r="W474" s="152"/>
      <c r="X474" s="154"/>
      <c r="Y474" s="154"/>
      <c r="Z474" s="154"/>
      <c r="AA474" s="154"/>
      <c r="AB474" s="152"/>
      <c r="AC474" s="154"/>
      <c r="AD474" s="154"/>
      <c r="AE474" s="154"/>
      <c r="AF474" s="154"/>
      <c r="AG474" s="152"/>
      <c r="AH474" s="154"/>
      <c r="AI474" s="154"/>
      <c r="AJ474" s="154"/>
      <c r="AK474" s="154"/>
      <c r="AL474" s="152"/>
      <c r="AM474" s="155"/>
      <c r="AN474" s="156"/>
      <c r="AO474" s="156"/>
      <c r="AP474" s="157"/>
      <c r="AQ474" s="157"/>
      <c r="AR474" s="158"/>
      <c r="AS474" s="132">
        <f>SUM(AS469:AS473)</f>
        <v>0</v>
      </c>
      <c r="AT474" s="132">
        <f t="shared" ref="AT474:DE474" si="173">SUM(AT469:AT473)</f>
        <v>0</v>
      </c>
      <c r="AU474" s="132">
        <f t="shared" si="173"/>
        <v>0</v>
      </c>
      <c r="AV474" s="132">
        <f t="shared" si="173"/>
        <v>621918548</v>
      </c>
      <c r="AW474" s="132">
        <f t="shared" si="173"/>
        <v>0</v>
      </c>
      <c r="AX474" s="132">
        <f t="shared" si="173"/>
        <v>0</v>
      </c>
      <c r="AY474" s="132">
        <f t="shared" si="173"/>
        <v>0</v>
      </c>
      <c r="AZ474" s="132">
        <f t="shared" si="173"/>
        <v>0</v>
      </c>
      <c r="BA474" s="132">
        <f t="shared" si="173"/>
        <v>0</v>
      </c>
      <c r="BB474" s="132">
        <f t="shared" si="173"/>
        <v>0</v>
      </c>
      <c r="BC474" s="132">
        <f t="shared" si="173"/>
        <v>0</v>
      </c>
      <c r="BD474" s="132">
        <f t="shared" si="173"/>
        <v>0</v>
      </c>
      <c r="BE474" s="132">
        <f t="shared" si="173"/>
        <v>0</v>
      </c>
      <c r="BF474" s="132">
        <f t="shared" si="173"/>
        <v>0</v>
      </c>
      <c r="BG474" s="132">
        <f t="shared" si="173"/>
        <v>0</v>
      </c>
      <c r="BH474" s="133">
        <f>IF(OR(AND(BH469=0,W469&lt;&gt;0),AND(BH470=0,W470&lt;&gt;0),AND(BH471=0,W471&lt;&gt;0),AND(BH472=0,W472&lt;&gt;0),AND(BH473=0,W473&lt;&gt;0)),"NO DEBEN QUEDAR CELDAS EN ROJO",SUM(BH469:BH473))</f>
        <v>621918548</v>
      </c>
      <c r="BI474" s="132">
        <f t="shared" si="173"/>
        <v>0</v>
      </c>
      <c r="BJ474" s="132">
        <f t="shared" si="173"/>
        <v>0</v>
      </c>
      <c r="BK474" s="132">
        <f t="shared" si="173"/>
        <v>0</v>
      </c>
      <c r="BL474" s="132">
        <f t="shared" si="173"/>
        <v>1000000000</v>
      </c>
      <c r="BM474" s="132">
        <f t="shared" si="173"/>
        <v>0</v>
      </c>
      <c r="BN474" s="132">
        <f t="shared" si="173"/>
        <v>0</v>
      </c>
      <c r="BO474" s="132">
        <f t="shared" si="173"/>
        <v>0</v>
      </c>
      <c r="BP474" s="132">
        <f t="shared" si="173"/>
        <v>0</v>
      </c>
      <c r="BQ474" s="132">
        <f t="shared" si="173"/>
        <v>0</v>
      </c>
      <c r="BR474" s="132">
        <f t="shared" si="173"/>
        <v>0</v>
      </c>
      <c r="BS474" s="132">
        <f t="shared" si="173"/>
        <v>0</v>
      </c>
      <c r="BT474" s="132">
        <f t="shared" si="173"/>
        <v>0</v>
      </c>
      <c r="BU474" s="132">
        <f t="shared" si="173"/>
        <v>0</v>
      </c>
      <c r="BV474" s="132">
        <f t="shared" si="173"/>
        <v>0</v>
      </c>
      <c r="BW474" s="132">
        <f t="shared" si="173"/>
        <v>0</v>
      </c>
      <c r="BX474" s="133">
        <f>IF(OR(AND(BX469=0,AB469&lt;&gt;0),AND(BX470=0,AB470&lt;&gt;0),AND(BX471=0,AB471&lt;&gt;0),AND(BX472=0,AB472&lt;&gt;0),AND(BX473=0,AB473&lt;&gt;0)),"NO DEBEN QUEDAR CELDAS EN ROJO",SUM(BX469:BX473))</f>
        <v>1000000000</v>
      </c>
      <c r="BY474" s="132">
        <f t="shared" si="173"/>
        <v>0</v>
      </c>
      <c r="BZ474" s="132">
        <f t="shared" si="173"/>
        <v>0</v>
      </c>
      <c r="CA474" s="132">
        <f t="shared" si="173"/>
        <v>0</v>
      </c>
      <c r="CB474" s="132">
        <f t="shared" si="173"/>
        <v>1000000000</v>
      </c>
      <c r="CC474" s="132">
        <f t="shared" si="173"/>
        <v>0</v>
      </c>
      <c r="CD474" s="132">
        <f t="shared" si="173"/>
        <v>0</v>
      </c>
      <c r="CE474" s="132">
        <f t="shared" si="173"/>
        <v>0</v>
      </c>
      <c r="CF474" s="132">
        <f t="shared" si="173"/>
        <v>0</v>
      </c>
      <c r="CG474" s="132">
        <f t="shared" si="173"/>
        <v>0</v>
      </c>
      <c r="CH474" s="132">
        <f t="shared" si="173"/>
        <v>0</v>
      </c>
      <c r="CI474" s="132">
        <f t="shared" si="173"/>
        <v>0</v>
      </c>
      <c r="CJ474" s="132">
        <f t="shared" si="173"/>
        <v>0</v>
      </c>
      <c r="CK474" s="132">
        <f t="shared" si="173"/>
        <v>0</v>
      </c>
      <c r="CL474" s="132">
        <f t="shared" si="173"/>
        <v>0</v>
      </c>
      <c r="CM474" s="132">
        <f t="shared" si="173"/>
        <v>0</v>
      </c>
      <c r="CN474" s="133">
        <f>IF(OR(AND(CN469=0,AG469&lt;&gt;0),AND(CN470=0,AG470&lt;&gt;0),AND(CN471=0,AG471&lt;&gt;0),AND(CN472=0,AG472&lt;&gt;0),AND(CN473=0,AG473&lt;&gt;0)),"NO DEBEN QUEDAR CELDAS EN ROJO",SUM(CN469:CN473))</f>
        <v>1000000000</v>
      </c>
      <c r="CO474" s="132">
        <f t="shared" si="173"/>
        <v>0</v>
      </c>
      <c r="CP474" s="132">
        <f t="shared" si="173"/>
        <v>0</v>
      </c>
      <c r="CQ474" s="132">
        <f t="shared" si="173"/>
        <v>0</v>
      </c>
      <c r="CR474" s="132">
        <f t="shared" si="173"/>
        <v>1000000000</v>
      </c>
      <c r="CS474" s="132">
        <f t="shared" si="173"/>
        <v>0</v>
      </c>
      <c r="CT474" s="132">
        <f t="shared" si="173"/>
        <v>0</v>
      </c>
      <c r="CU474" s="132">
        <f t="shared" si="173"/>
        <v>0</v>
      </c>
      <c r="CV474" s="132">
        <f t="shared" si="173"/>
        <v>0</v>
      </c>
      <c r="CW474" s="132">
        <f t="shared" si="173"/>
        <v>0</v>
      </c>
      <c r="CX474" s="132">
        <f t="shared" si="173"/>
        <v>0</v>
      </c>
      <c r="CY474" s="132">
        <f t="shared" si="173"/>
        <v>0</v>
      </c>
      <c r="CZ474" s="132">
        <f t="shared" si="173"/>
        <v>0</v>
      </c>
      <c r="DA474" s="132">
        <f t="shared" si="173"/>
        <v>0</v>
      </c>
      <c r="DB474" s="132">
        <f t="shared" si="173"/>
        <v>0</v>
      </c>
      <c r="DC474" s="132">
        <f t="shared" si="173"/>
        <v>0</v>
      </c>
      <c r="DD474" s="133">
        <f>IF(OR(AND(DD469=0,AL469&lt;&gt;0),AND(DD470=0,AL470&lt;&gt;0),AND(DD471=0,AL471&lt;&gt;0),AND(DD472=0,AL472&lt;&gt;0),AND(DD473=0,AL473&lt;&gt;0)),"NO DEBEN QUEDAR CELDAS EN ROJO",SUM(DD469:DD473))</f>
        <v>1000000000</v>
      </c>
      <c r="DE474" s="133">
        <f t="shared" si="173"/>
        <v>3621918548</v>
      </c>
    </row>
    <row r="475" spans="1:110" s="116" customFormat="1" ht="55.05" customHeight="1">
      <c r="A475" s="124" t="s">
        <v>1239</v>
      </c>
      <c r="B475" s="125" t="s">
        <v>9</v>
      </c>
      <c r="C475" s="145" t="s">
        <v>1694</v>
      </c>
      <c r="D475" s="160"/>
      <c r="E475" s="161"/>
      <c r="F475" s="162"/>
      <c r="G475" s="163"/>
      <c r="H475" s="161"/>
      <c r="I475" s="161"/>
      <c r="J475" s="161"/>
      <c r="K475" s="161"/>
      <c r="L475" s="161"/>
      <c r="M475" s="161"/>
      <c r="N475" s="161"/>
      <c r="O475" s="161"/>
      <c r="P475" s="161"/>
      <c r="Q475" s="163"/>
      <c r="R475" s="164"/>
      <c r="S475" s="161"/>
      <c r="T475" s="161"/>
      <c r="U475" s="165"/>
      <c r="V475" s="165"/>
      <c r="W475" s="166"/>
      <c r="X475" s="165"/>
      <c r="Y475" s="165"/>
      <c r="Z475" s="165"/>
      <c r="AA475" s="165"/>
      <c r="AB475" s="166"/>
      <c r="AC475" s="165"/>
      <c r="AD475" s="165"/>
      <c r="AE475" s="165"/>
      <c r="AF475" s="165"/>
      <c r="AG475" s="166"/>
      <c r="AH475" s="165"/>
      <c r="AI475" s="165"/>
      <c r="AJ475" s="165"/>
      <c r="AK475" s="165"/>
      <c r="AL475" s="166"/>
      <c r="AM475" s="167"/>
      <c r="AN475" s="168"/>
      <c r="AO475" s="168"/>
      <c r="AP475" s="163"/>
      <c r="AQ475" s="163"/>
      <c r="AR475" s="169"/>
      <c r="AS475" s="147">
        <f t="shared" ref="AS475:BX475" si="174">SUM(AS474+AS468+AS460+AS443+AS412)</f>
        <v>0</v>
      </c>
      <c r="AT475" s="130">
        <f t="shared" si="174"/>
        <v>0</v>
      </c>
      <c r="AU475" s="130">
        <f t="shared" si="174"/>
        <v>0</v>
      </c>
      <c r="AV475" s="130">
        <f t="shared" si="174"/>
        <v>4200000000</v>
      </c>
      <c r="AW475" s="130">
        <f t="shared" si="174"/>
        <v>2039257699</v>
      </c>
      <c r="AX475" s="130">
        <f t="shared" si="174"/>
        <v>0</v>
      </c>
      <c r="AY475" s="130">
        <f t="shared" si="174"/>
        <v>0</v>
      </c>
      <c r="AZ475" s="130">
        <f t="shared" si="174"/>
        <v>0</v>
      </c>
      <c r="BA475" s="130">
        <f t="shared" si="174"/>
        <v>0</v>
      </c>
      <c r="BB475" s="130">
        <f t="shared" si="174"/>
        <v>0</v>
      </c>
      <c r="BC475" s="130">
        <f t="shared" si="174"/>
        <v>0</v>
      </c>
      <c r="BD475" s="130">
        <f t="shared" si="174"/>
        <v>0</v>
      </c>
      <c r="BE475" s="130">
        <f t="shared" si="174"/>
        <v>0</v>
      </c>
      <c r="BF475" s="130">
        <f t="shared" si="174"/>
        <v>0</v>
      </c>
      <c r="BG475" s="130">
        <f t="shared" si="174"/>
        <v>0</v>
      </c>
      <c r="BH475" s="130">
        <f>SUM(BH474+BH468+BH460+BH443+BH412)</f>
        <v>6239257699</v>
      </c>
      <c r="BI475" s="130">
        <f t="shared" si="174"/>
        <v>0</v>
      </c>
      <c r="BJ475" s="130">
        <f t="shared" si="174"/>
        <v>0</v>
      </c>
      <c r="BK475" s="130">
        <f t="shared" si="174"/>
        <v>0</v>
      </c>
      <c r="BL475" s="130">
        <f t="shared" si="174"/>
        <v>4326000000</v>
      </c>
      <c r="BM475" s="130">
        <f t="shared" si="174"/>
        <v>10905235622</v>
      </c>
      <c r="BN475" s="130">
        <f t="shared" si="174"/>
        <v>0</v>
      </c>
      <c r="BO475" s="130">
        <f t="shared" si="174"/>
        <v>0</v>
      </c>
      <c r="BP475" s="130">
        <f t="shared" si="174"/>
        <v>0</v>
      </c>
      <c r="BQ475" s="130">
        <f t="shared" si="174"/>
        <v>0</v>
      </c>
      <c r="BR475" s="130">
        <f t="shared" si="174"/>
        <v>0</v>
      </c>
      <c r="BS475" s="130">
        <f t="shared" si="174"/>
        <v>0</v>
      </c>
      <c r="BT475" s="130">
        <f t="shared" si="174"/>
        <v>0</v>
      </c>
      <c r="BU475" s="130">
        <f t="shared" si="174"/>
        <v>0</v>
      </c>
      <c r="BV475" s="130">
        <f t="shared" si="174"/>
        <v>0</v>
      </c>
      <c r="BW475" s="130">
        <f t="shared" si="174"/>
        <v>0</v>
      </c>
      <c r="BX475" s="130">
        <f t="shared" si="174"/>
        <v>15231235622</v>
      </c>
      <c r="BY475" s="130">
        <f t="shared" ref="BY475:DD475" si="175">SUM(BY474+BY468+BY460+BY443+BY412)</f>
        <v>0</v>
      </c>
      <c r="BZ475" s="130">
        <f t="shared" si="175"/>
        <v>0</v>
      </c>
      <c r="CA475" s="130">
        <f t="shared" si="175"/>
        <v>0</v>
      </c>
      <c r="CB475" s="130">
        <f t="shared" si="175"/>
        <v>4455780000</v>
      </c>
      <c r="CC475" s="130">
        <f t="shared" si="175"/>
        <v>11450497403</v>
      </c>
      <c r="CD475" s="130">
        <f t="shared" si="175"/>
        <v>0</v>
      </c>
      <c r="CE475" s="130">
        <f t="shared" si="175"/>
        <v>0</v>
      </c>
      <c r="CF475" s="130">
        <f t="shared" si="175"/>
        <v>0</v>
      </c>
      <c r="CG475" s="130">
        <f t="shared" si="175"/>
        <v>0</v>
      </c>
      <c r="CH475" s="130">
        <f t="shared" si="175"/>
        <v>0</v>
      </c>
      <c r="CI475" s="130">
        <f t="shared" si="175"/>
        <v>0</v>
      </c>
      <c r="CJ475" s="130">
        <f t="shared" si="175"/>
        <v>0</v>
      </c>
      <c r="CK475" s="130">
        <f t="shared" si="175"/>
        <v>0</v>
      </c>
      <c r="CL475" s="130">
        <f t="shared" si="175"/>
        <v>0</v>
      </c>
      <c r="CM475" s="130">
        <f t="shared" si="175"/>
        <v>0</v>
      </c>
      <c r="CN475" s="130">
        <f t="shared" si="175"/>
        <v>15906277403</v>
      </c>
      <c r="CO475" s="130">
        <f t="shared" si="175"/>
        <v>0</v>
      </c>
      <c r="CP475" s="130">
        <f t="shared" si="175"/>
        <v>0</v>
      </c>
      <c r="CQ475" s="130">
        <f t="shared" si="175"/>
        <v>0</v>
      </c>
      <c r="CR475" s="130">
        <f t="shared" si="175"/>
        <v>4589453400</v>
      </c>
      <c r="CS475" s="130">
        <f t="shared" si="175"/>
        <v>14471792697</v>
      </c>
      <c r="CT475" s="130">
        <f t="shared" si="175"/>
        <v>0</v>
      </c>
      <c r="CU475" s="130">
        <f t="shared" si="175"/>
        <v>0</v>
      </c>
      <c r="CV475" s="130">
        <f t="shared" si="175"/>
        <v>0</v>
      </c>
      <c r="CW475" s="130">
        <f t="shared" si="175"/>
        <v>0</v>
      </c>
      <c r="CX475" s="130">
        <f t="shared" si="175"/>
        <v>0</v>
      </c>
      <c r="CY475" s="130">
        <f t="shared" si="175"/>
        <v>0</v>
      </c>
      <c r="CZ475" s="130">
        <f t="shared" si="175"/>
        <v>0</v>
      </c>
      <c r="DA475" s="130">
        <f t="shared" si="175"/>
        <v>0</v>
      </c>
      <c r="DB475" s="130">
        <f t="shared" si="175"/>
        <v>0</v>
      </c>
      <c r="DC475" s="130">
        <f t="shared" si="175"/>
        <v>0</v>
      </c>
      <c r="DD475" s="130">
        <f t="shared" si="175"/>
        <v>19061246097</v>
      </c>
      <c r="DE475" s="130">
        <f t="shared" ref="DE475" si="176">SUM(DE474+DE468+DE460+DE443+DE412)</f>
        <v>56438016821</v>
      </c>
    </row>
    <row r="476" spans="1:110" s="98" customFormat="1" ht="105" customHeight="1">
      <c r="A476" s="103" t="s">
        <v>1240</v>
      </c>
      <c r="B476" s="103" t="s">
        <v>9</v>
      </c>
      <c r="C476" s="103" t="s">
        <v>1695</v>
      </c>
      <c r="D476" s="103">
        <v>38</v>
      </c>
      <c r="E476" s="103" t="s">
        <v>1387</v>
      </c>
      <c r="F476" s="278" t="s">
        <v>1388</v>
      </c>
      <c r="G476" s="103" t="s">
        <v>3822</v>
      </c>
      <c r="H476" s="103">
        <v>46</v>
      </c>
      <c r="I476" s="103" t="s">
        <v>1389</v>
      </c>
      <c r="J476" s="103" t="s">
        <v>683</v>
      </c>
      <c r="K476" s="103">
        <v>0</v>
      </c>
      <c r="L476" s="103">
        <v>1</v>
      </c>
      <c r="M476" s="103" t="s">
        <v>1390</v>
      </c>
      <c r="N476" s="103" t="s">
        <v>1391</v>
      </c>
      <c r="O476" s="103" t="s">
        <v>1392</v>
      </c>
      <c r="P476" s="283">
        <v>428</v>
      </c>
      <c r="Q476" s="103" t="s">
        <v>3915</v>
      </c>
      <c r="R476" s="103" t="s">
        <v>1393</v>
      </c>
      <c r="S476" s="103" t="s">
        <v>683</v>
      </c>
      <c r="T476" s="103">
        <v>0</v>
      </c>
      <c r="U476" s="267"/>
      <c r="V476" s="267"/>
      <c r="W476" s="224">
        <v>0</v>
      </c>
      <c r="X476" s="267"/>
      <c r="Y476" s="267">
        <v>3</v>
      </c>
      <c r="Z476" s="267"/>
      <c r="AA476" s="267"/>
      <c r="AB476" s="224">
        <v>3</v>
      </c>
      <c r="AC476" s="267"/>
      <c r="AD476" s="267"/>
      <c r="AE476" s="267">
        <v>3</v>
      </c>
      <c r="AF476" s="267"/>
      <c r="AG476" s="224">
        <v>3</v>
      </c>
      <c r="AH476" s="267"/>
      <c r="AI476" s="267"/>
      <c r="AJ476" s="267">
        <v>3</v>
      </c>
      <c r="AK476" s="267"/>
      <c r="AL476" s="224">
        <v>3</v>
      </c>
      <c r="AM476" s="102">
        <v>9</v>
      </c>
      <c r="AN476" s="103" t="s">
        <v>685</v>
      </c>
      <c r="AO476" s="103" t="s">
        <v>616</v>
      </c>
      <c r="AP476" s="103" t="s">
        <v>1226</v>
      </c>
      <c r="AQ476" s="103" t="s">
        <v>1207</v>
      </c>
      <c r="AR476" s="103" t="s">
        <v>936</v>
      </c>
      <c r="AS476" s="268"/>
      <c r="AT476" s="268"/>
      <c r="AU476" s="268"/>
      <c r="AV476" s="268"/>
      <c r="AW476" s="268"/>
      <c r="AX476" s="268"/>
      <c r="AY476" s="268"/>
      <c r="AZ476" s="268"/>
      <c r="BA476" s="268"/>
      <c r="BB476" s="268"/>
      <c r="BC476" s="268"/>
      <c r="BD476" s="268"/>
      <c r="BE476" s="268"/>
      <c r="BF476" s="268"/>
      <c r="BG476" s="268"/>
      <c r="BH476" s="234">
        <v>0</v>
      </c>
      <c r="BI476" s="268"/>
      <c r="BJ476" s="268"/>
      <c r="BK476" s="268"/>
      <c r="BL476" s="268"/>
      <c r="BM476" s="268">
        <v>40000000</v>
      </c>
      <c r="BN476" s="268"/>
      <c r="BO476" s="268"/>
      <c r="BP476" s="268"/>
      <c r="BQ476" s="268"/>
      <c r="BR476" s="268"/>
      <c r="BS476" s="268"/>
      <c r="BT476" s="268"/>
      <c r="BU476" s="268"/>
      <c r="BV476" s="268"/>
      <c r="BW476" s="268"/>
      <c r="BX476" s="234">
        <v>40000000</v>
      </c>
      <c r="BY476" s="268"/>
      <c r="BZ476" s="268"/>
      <c r="CA476" s="268"/>
      <c r="CB476" s="268"/>
      <c r="CC476" s="268">
        <v>50000000</v>
      </c>
      <c r="CD476" s="268"/>
      <c r="CE476" s="268"/>
      <c r="CF476" s="268"/>
      <c r="CG476" s="268"/>
      <c r="CH476" s="268"/>
      <c r="CI476" s="268"/>
      <c r="CJ476" s="268"/>
      <c r="CK476" s="268"/>
      <c r="CL476" s="268"/>
      <c r="CM476" s="268"/>
      <c r="CN476" s="234">
        <v>50000000</v>
      </c>
      <c r="CO476" s="268"/>
      <c r="CP476" s="268"/>
      <c r="CQ476" s="268"/>
      <c r="CR476" s="268"/>
      <c r="CS476" s="268">
        <v>51000000</v>
      </c>
      <c r="CT476" s="268"/>
      <c r="CU476" s="268"/>
      <c r="CV476" s="268"/>
      <c r="CW476" s="268"/>
      <c r="CX476" s="268"/>
      <c r="CY476" s="268"/>
      <c r="CZ476" s="268"/>
      <c r="DA476" s="268"/>
      <c r="DB476" s="268"/>
      <c r="DC476" s="268"/>
      <c r="DD476" s="234">
        <v>51000000</v>
      </c>
      <c r="DE476" s="243">
        <v>141000000</v>
      </c>
    </row>
    <row r="477" spans="1:110" s="98" customFormat="1" ht="105" customHeight="1">
      <c r="A477" s="103" t="s">
        <v>1240</v>
      </c>
      <c r="B477" s="279" t="s">
        <v>9</v>
      </c>
      <c r="C477" s="279" t="s">
        <v>1695</v>
      </c>
      <c r="D477" s="279">
        <v>38</v>
      </c>
      <c r="E477" s="279" t="s">
        <v>1387</v>
      </c>
      <c r="F477" s="280" t="s">
        <v>1388</v>
      </c>
      <c r="G477" s="279" t="s">
        <v>3823</v>
      </c>
      <c r="H477" s="279">
        <v>46</v>
      </c>
      <c r="I477" s="279" t="s">
        <v>1389</v>
      </c>
      <c r="J477" s="279" t="s">
        <v>683</v>
      </c>
      <c r="K477" s="279">
        <v>0</v>
      </c>
      <c r="L477" s="279">
        <v>1</v>
      </c>
      <c r="M477" s="279" t="s">
        <v>1390</v>
      </c>
      <c r="N477" s="279" t="s">
        <v>1391</v>
      </c>
      <c r="O477" s="279" t="s">
        <v>1392</v>
      </c>
      <c r="P477" s="283">
        <v>429</v>
      </c>
      <c r="Q477" s="279" t="s">
        <v>3824</v>
      </c>
      <c r="R477" s="279" t="s">
        <v>1394</v>
      </c>
      <c r="S477" s="279" t="s">
        <v>683</v>
      </c>
      <c r="T477" s="279">
        <v>0</v>
      </c>
      <c r="U477" s="267"/>
      <c r="V477" s="267">
        <v>0.05</v>
      </c>
      <c r="W477" s="224">
        <v>0.05</v>
      </c>
      <c r="X477" s="267">
        <v>0.05</v>
      </c>
      <c r="Y477" s="267">
        <v>0.1</v>
      </c>
      <c r="Z477" s="267">
        <v>0.1</v>
      </c>
      <c r="AA477" s="267">
        <v>0.1</v>
      </c>
      <c r="AB477" s="224">
        <v>0.35</v>
      </c>
      <c r="AC477" s="267">
        <v>0.1</v>
      </c>
      <c r="AD477" s="267">
        <v>0.1</v>
      </c>
      <c r="AE477" s="267">
        <v>0.1</v>
      </c>
      <c r="AF477" s="267">
        <v>0.1</v>
      </c>
      <c r="AG477" s="224">
        <v>0.4</v>
      </c>
      <c r="AH477" s="267">
        <v>0.05</v>
      </c>
      <c r="AI477" s="267">
        <v>0.05</v>
      </c>
      <c r="AJ477" s="267">
        <v>0.05</v>
      </c>
      <c r="AK477" s="267">
        <v>0.05</v>
      </c>
      <c r="AL477" s="224">
        <v>0.2</v>
      </c>
      <c r="AM477" s="104">
        <v>1</v>
      </c>
      <c r="AN477" s="103" t="s">
        <v>685</v>
      </c>
      <c r="AO477" s="103" t="s">
        <v>616</v>
      </c>
      <c r="AP477" s="103" t="s">
        <v>1226</v>
      </c>
      <c r="AQ477" s="103" t="s">
        <v>1207</v>
      </c>
      <c r="AR477" s="103" t="s">
        <v>936</v>
      </c>
      <c r="AS477" s="271"/>
      <c r="AT477" s="271"/>
      <c r="AU477" s="271"/>
      <c r="AV477" s="271"/>
      <c r="AW477" s="271">
        <v>31000000</v>
      </c>
      <c r="AX477" s="271"/>
      <c r="AY477" s="271"/>
      <c r="AZ477" s="271"/>
      <c r="BA477" s="271"/>
      <c r="BB477" s="271"/>
      <c r="BC477" s="271"/>
      <c r="BD477" s="271"/>
      <c r="BE477" s="271"/>
      <c r="BF477" s="271"/>
      <c r="BG477" s="271"/>
      <c r="BH477" s="235">
        <v>31000000</v>
      </c>
      <c r="BI477" s="271"/>
      <c r="BJ477" s="271"/>
      <c r="BK477" s="271"/>
      <c r="BL477" s="271"/>
      <c r="BM477" s="271">
        <v>23000000</v>
      </c>
      <c r="BN477" s="271"/>
      <c r="BO477" s="271"/>
      <c r="BP477" s="271"/>
      <c r="BQ477" s="271"/>
      <c r="BR477" s="271"/>
      <c r="BS477" s="271"/>
      <c r="BT477" s="271"/>
      <c r="BU477" s="271"/>
      <c r="BV477" s="271"/>
      <c r="BW477" s="271"/>
      <c r="BX477" s="235">
        <v>23000000</v>
      </c>
      <c r="BY477" s="271"/>
      <c r="BZ477" s="271"/>
      <c r="CA477" s="271"/>
      <c r="CB477" s="271"/>
      <c r="CC477" s="271">
        <v>11000000</v>
      </c>
      <c r="CD477" s="271"/>
      <c r="CE477" s="271"/>
      <c r="CF477" s="271"/>
      <c r="CG477" s="271"/>
      <c r="CH477" s="271"/>
      <c r="CI477" s="271"/>
      <c r="CJ477" s="271"/>
      <c r="CK477" s="271"/>
      <c r="CL477" s="271"/>
      <c r="CM477" s="271"/>
      <c r="CN477" s="235">
        <v>11000000</v>
      </c>
      <c r="CO477" s="271"/>
      <c r="CP477" s="271"/>
      <c r="CQ477" s="271"/>
      <c r="CR477" s="271"/>
      <c r="CS477" s="271">
        <v>13000000</v>
      </c>
      <c r="CT477" s="271"/>
      <c r="CU477" s="271"/>
      <c r="CV477" s="271"/>
      <c r="CW477" s="271"/>
      <c r="CX477" s="271"/>
      <c r="CY477" s="271"/>
      <c r="CZ477" s="271"/>
      <c r="DA477" s="271"/>
      <c r="DB477" s="271"/>
      <c r="DC477" s="271"/>
      <c r="DD477" s="234">
        <v>13000000</v>
      </c>
      <c r="DE477" s="244">
        <v>78000000</v>
      </c>
    </row>
    <row r="478" spans="1:110" s="98" customFormat="1" ht="105" customHeight="1">
      <c r="A478" s="103" t="s">
        <v>1240</v>
      </c>
      <c r="B478" s="279" t="s">
        <v>9</v>
      </c>
      <c r="C478" s="279" t="s">
        <v>1695</v>
      </c>
      <c r="D478" s="279">
        <v>38</v>
      </c>
      <c r="E478" s="279" t="s">
        <v>1387</v>
      </c>
      <c r="F478" s="280" t="s">
        <v>1388</v>
      </c>
      <c r="G478" s="279" t="s">
        <v>3823</v>
      </c>
      <c r="H478" s="279">
        <v>46</v>
      </c>
      <c r="I478" s="279" t="s">
        <v>1389</v>
      </c>
      <c r="J478" s="279" t="s">
        <v>683</v>
      </c>
      <c r="K478" s="279">
        <v>0</v>
      </c>
      <c r="L478" s="279">
        <v>1</v>
      </c>
      <c r="M478" s="279" t="s">
        <v>1390</v>
      </c>
      <c r="N478" s="279" t="s">
        <v>1391</v>
      </c>
      <c r="O478" s="279" t="s">
        <v>1392</v>
      </c>
      <c r="P478" s="283">
        <v>430</v>
      </c>
      <c r="Q478" s="279" t="s">
        <v>3916</v>
      </c>
      <c r="R478" s="279" t="s">
        <v>1395</v>
      </c>
      <c r="S478" s="279" t="s">
        <v>683</v>
      </c>
      <c r="T478" s="279">
        <v>0</v>
      </c>
      <c r="U478" s="267"/>
      <c r="V478" s="267">
        <v>0.5</v>
      </c>
      <c r="W478" s="224">
        <v>0.5</v>
      </c>
      <c r="X478" s="267">
        <v>0.5</v>
      </c>
      <c r="Y478" s="267"/>
      <c r="Z478" s="267"/>
      <c r="AA478" s="267"/>
      <c r="AB478" s="224">
        <v>0.5</v>
      </c>
      <c r="AC478" s="267"/>
      <c r="AD478" s="267"/>
      <c r="AE478" s="267"/>
      <c r="AF478" s="267"/>
      <c r="AG478" s="224">
        <v>0</v>
      </c>
      <c r="AH478" s="267"/>
      <c r="AI478" s="267"/>
      <c r="AJ478" s="267"/>
      <c r="AK478" s="267"/>
      <c r="AL478" s="224">
        <v>0</v>
      </c>
      <c r="AM478" s="104">
        <v>1</v>
      </c>
      <c r="AN478" s="103" t="s">
        <v>685</v>
      </c>
      <c r="AO478" s="103" t="s">
        <v>616</v>
      </c>
      <c r="AP478" s="103" t="s">
        <v>1226</v>
      </c>
      <c r="AQ478" s="103" t="s">
        <v>1207</v>
      </c>
      <c r="AR478" s="103" t="s">
        <v>936</v>
      </c>
      <c r="AS478" s="271"/>
      <c r="AT478" s="271"/>
      <c r="AU478" s="271"/>
      <c r="AV478" s="271"/>
      <c r="AW478" s="271">
        <v>67000000</v>
      </c>
      <c r="AX478" s="271"/>
      <c r="AY478" s="271"/>
      <c r="AZ478" s="271"/>
      <c r="BA478" s="271"/>
      <c r="BB478" s="271"/>
      <c r="BC478" s="271"/>
      <c r="BD478" s="271"/>
      <c r="BE478" s="271"/>
      <c r="BF478" s="271"/>
      <c r="BG478" s="271"/>
      <c r="BH478" s="235">
        <v>67000000</v>
      </c>
      <c r="BI478" s="271"/>
      <c r="BJ478" s="271"/>
      <c r="BK478" s="271"/>
      <c r="BL478" s="271"/>
      <c r="BM478" s="271">
        <v>6400000</v>
      </c>
      <c r="BN478" s="271"/>
      <c r="BO478" s="271"/>
      <c r="BP478" s="271"/>
      <c r="BQ478" s="271"/>
      <c r="BR478" s="271"/>
      <c r="BS478" s="271"/>
      <c r="BT478" s="271"/>
      <c r="BU478" s="271"/>
      <c r="BV478" s="271"/>
      <c r="BW478" s="271"/>
      <c r="BX478" s="235">
        <v>6400000</v>
      </c>
      <c r="BY478" s="271"/>
      <c r="BZ478" s="271"/>
      <c r="CA478" s="271"/>
      <c r="CB478" s="271"/>
      <c r="CC478" s="271"/>
      <c r="CD478" s="271"/>
      <c r="CE478" s="271"/>
      <c r="CF478" s="271"/>
      <c r="CG478" s="271"/>
      <c r="CH478" s="271"/>
      <c r="CI478" s="271"/>
      <c r="CJ478" s="271"/>
      <c r="CK478" s="271"/>
      <c r="CL478" s="271"/>
      <c r="CM478" s="271"/>
      <c r="CN478" s="235">
        <v>0</v>
      </c>
      <c r="CO478" s="271"/>
      <c r="CP478" s="271"/>
      <c r="CQ478" s="271"/>
      <c r="CR478" s="271"/>
      <c r="CS478" s="271"/>
      <c r="CT478" s="271"/>
      <c r="CU478" s="271"/>
      <c r="CV478" s="271"/>
      <c r="CW478" s="271"/>
      <c r="CX478" s="271"/>
      <c r="CY478" s="271"/>
      <c r="CZ478" s="271"/>
      <c r="DA478" s="271"/>
      <c r="DB478" s="271"/>
      <c r="DC478" s="271"/>
      <c r="DD478" s="234">
        <v>0</v>
      </c>
      <c r="DE478" s="244">
        <v>73400000</v>
      </c>
    </row>
    <row r="479" spans="1:110" s="98" customFormat="1" ht="105" customHeight="1">
      <c r="A479" s="120" t="s">
        <v>1240</v>
      </c>
      <c r="B479" s="281" t="s">
        <v>9</v>
      </c>
      <c r="C479" s="281" t="s">
        <v>1695</v>
      </c>
      <c r="D479" s="281">
        <v>38</v>
      </c>
      <c r="E479" s="281" t="s">
        <v>1387</v>
      </c>
      <c r="F479" s="282" t="s">
        <v>1388</v>
      </c>
      <c r="G479" s="281" t="s">
        <v>3823</v>
      </c>
      <c r="H479" s="281">
        <v>46</v>
      </c>
      <c r="I479" s="281" t="s">
        <v>1389</v>
      </c>
      <c r="J479" s="281" t="s">
        <v>683</v>
      </c>
      <c r="K479" s="281">
        <v>0</v>
      </c>
      <c r="L479" s="281">
        <v>1</v>
      </c>
      <c r="M479" s="281" t="s">
        <v>1390</v>
      </c>
      <c r="N479" s="281" t="s">
        <v>1391</v>
      </c>
      <c r="O479" s="281" t="s">
        <v>1392</v>
      </c>
      <c r="P479" s="283">
        <v>431</v>
      </c>
      <c r="Q479" s="281" t="s">
        <v>3825</v>
      </c>
      <c r="R479" s="281" t="s">
        <v>1396</v>
      </c>
      <c r="S479" s="281" t="s">
        <v>683</v>
      </c>
      <c r="T479" s="281">
        <v>0</v>
      </c>
      <c r="U479" s="275"/>
      <c r="V479" s="275"/>
      <c r="W479" s="225">
        <v>0</v>
      </c>
      <c r="X479" s="275"/>
      <c r="Y479" s="275">
        <v>3</v>
      </c>
      <c r="Z479" s="275"/>
      <c r="AA479" s="275"/>
      <c r="AB479" s="225">
        <v>3</v>
      </c>
      <c r="AC479" s="275"/>
      <c r="AD479" s="275"/>
      <c r="AE479" s="275">
        <v>3</v>
      </c>
      <c r="AF479" s="275"/>
      <c r="AG479" s="225">
        <v>3</v>
      </c>
      <c r="AH479" s="275"/>
      <c r="AI479" s="275"/>
      <c r="AJ479" s="275">
        <v>3</v>
      </c>
      <c r="AK479" s="275"/>
      <c r="AL479" s="225">
        <v>3</v>
      </c>
      <c r="AM479" s="119">
        <v>9</v>
      </c>
      <c r="AN479" s="120" t="s">
        <v>685</v>
      </c>
      <c r="AO479" s="120" t="s">
        <v>616</v>
      </c>
      <c r="AP479" s="120" t="s">
        <v>1226</v>
      </c>
      <c r="AQ479" s="120" t="s">
        <v>1207</v>
      </c>
      <c r="AR479" s="120" t="s">
        <v>936</v>
      </c>
      <c r="AS479" s="276"/>
      <c r="AT479" s="276"/>
      <c r="AU479" s="276"/>
      <c r="AV479" s="276"/>
      <c r="AW479" s="276"/>
      <c r="AX479" s="276"/>
      <c r="AY479" s="276"/>
      <c r="AZ479" s="276"/>
      <c r="BA479" s="276"/>
      <c r="BB479" s="276"/>
      <c r="BC479" s="276"/>
      <c r="BD479" s="276"/>
      <c r="BE479" s="276"/>
      <c r="BF479" s="276"/>
      <c r="BG479" s="276"/>
      <c r="BH479" s="236">
        <v>0</v>
      </c>
      <c r="BI479" s="276"/>
      <c r="BJ479" s="276"/>
      <c r="BK479" s="276"/>
      <c r="BL479" s="276"/>
      <c r="BM479" s="276">
        <v>40000000</v>
      </c>
      <c r="BN479" s="276"/>
      <c r="BO479" s="276"/>
      <c r="BP479" s="276"/>
      <c r="BQ479" s="276"/>
      <c r="BR479" s="276"/>
      <c r="BS479" s="276"/>
      <c r="BT479" s="276"/>
      <c r="BU479" s="276"/>
      <c r="BV479" s="276"/>
      <c r="BW479" s="276"/>
      <c r="BX479" s="236">
        <v>40000000</v>
      </c>
      <c r="BY479" s="276"/>
      <c r="BZ479" s="276"/>
      <c r="CA479" s="276"/>
      <c r="CB479" s="276"/>
      <c r="CC479" s="276">
        <v>50000000</v>
      </c>
      <c r="CD479" s="276"/>
      <c r="CE479" s="276"/>
      <c r="CF479" s="276"/>
      <c r="CG479" s="276"/>
      <c r="CH479" s="276"/>
      <c r="CI479" s="276"/>
      <c r="CJ479" s="276"/>
      <c r="CK479" s="276"/>
      <c r="CL479" s="276"/>
      <c r="CM479" s="276"/>
      <c r="CN479" s="236">
        <v>50000000</v>
      </c>
      <c r="CO479" s="276"/>
      <c r="CP479" s="276"/>
      <c r="CQ479" s="276"/>
      <c r="CR479" s="276"/>
      <c r="CS479" s="276">
        <v>51000000</v>
      </c>
      <c r="CT479" s="276"/>
      <c r="CU479" s="276"/>
      <c r="CV479" s="276"/>
      <c r="CW479" s="276"/>
      <c r="CX479" s="276"/>
      <c r="CY479" s="276"/>
      <c r="CZ479" s="276"/>
      <c r="DA479" s="276"/>
      <c r="DB479" s="276"/>
      <c r="DC479" s="276"/>
      <c r="DD479" s="240">
        <v>51000000</v>
      </c>
      <c r="DE479" s="245">
        <v>141000000</v>
      </c>
    </row>
    <row r="480" spans="1:110" ht="65.099999999999994" customHeight="1">
      <c r="A480" s="118" t="s">
        <v>1240</v>
      </c>
      <c r="B480" s="118" t="s">
        <v>9</v>
      </c>
      <c r="C480" s="118" t="s">
        <v>1695</v>
      </c>
      <c r="D480" s="159">
        <v>38</v>
      </c>
      <c r="E480" s="159" t="s">
        <v>1387</v>
      </c>
      <c r="F480" s="149"/>
      <c r="G480" s="150"/>
      <c r="H480" s="151"/>
      <c r="I480" s="151"/>
      <c r="J480" s="151"/>
      <c r="K480" s="152"/>
      <c r="L480" s="151"/>
      <c r="M480" s="151"/>
      <c r="N480" s="151"/>
      <c r="O480" s="151"/>
      <c r="P480" s="151"/>
      <c r="Q480" s="150"/>
      <c r="R480" s="153"/>
      <c r="S480" s="151"/>
      <c r="T480" s="151"/>
      <c r="U480" s="154"/>
      <c r="V480" s="154"/>
      <c r="W480" s="152"/>
      <c r="X480" s="154"/>
      <c r="Y480" s="154"/>
      <c r="Z480" s="154"/>
      <c r="AA480" s="154"/>
      <c r="AB480" s="152"/>
      <c r="AC480" s="154"/>
      <c r="AD480" s="154"/>
      <c r="AE480" s="154"/>
      <c r="AF480" s="154"/>
      <c r="AG480" s="152"/>
      <c r="AH480" s="154"/>
      <c r="AI480" s="154"/>
      <c r="AJ480" s="154"/>
      <c r="AK480" s="154"/>
      <c r="AL480" s="152"/>
      <c r="AM480" s="155"/>
      <c r="AN480" s="156"/>
      <c r="AO480" s="156"/>
      <c r="AP480" s="157"/>
      <c r="AQ480" s="157"/>
      <c r="AR480" s="158"/>
      <c r="AS480" s="132">
        <f>SUM(AS476:AS479)</f>
        <v>0</v>
      </c>
      <c r="AT480" s="132">
        <f t="shared" ref="AT480:DE480" si="177">SUM(AT476:AT479)</f>
        <v>0</v>
      </c>
      <c r="AU480" s="132">
        <f t="shared" si="177"/>
        <v>0</v>
      </c>
      <c r="AV480" s="132">
        <f t="shared" si="177"/>
        <v>0</v>
      </c>
      <c r="AW480" s="132">
        <f t="shared" si="177"/>
        <v>98000000</v>
      </c>
      <c r="AX480" s="132">
        <f t="shared" si="177"/>
        <v>0</v>
      </c>
      <c r="AY480" s="132">
        <f t="shared" si="177"/>
        <v>0</v>
      </c>
      <c r="AZ480" s="132">
        <f t="shared" si="177"/>
        <v>0</v>
      </c>
      <c r="BA480" s="132">
        <f t="shared" si="177"/>
        <v>0</v>
      </c>
      <c r="BB480" s="132">
        <f t="shared" si="177"/>
        <v>0</v>
      </c>
      <c r="BC480" s="132">
        <f t="shared" si="177"/>
        <v>0</v>
      </c>
      <c r="BD480" s="132">
        <f t="shared" si="177"/>
        <v>0</v>
      </c>
      <c r="BE480" s="132">
        <f t="shared" si="177"/>
        <v>0</v>
      </c>
      <c r="BF480" s="132">
        <f t="shared" si="177"/>
        <v>0</v>
      </c>
      <c r="BG480" s="132">
        <f t="shared" si="177"/>
        <v>0</v>
      </c>
      <c r="BH480" s="132">
        <f>IF(OR(AND(BH476=0,W476&lt;&gt;0),AND(BH477=0,W477&lt;&gt;0),AND(BH478=0,W478&lt;&gt;0),AND(BH479=0,W479&lt;&gt;0)),"NO DEBEN QUEDAR CELDAS EN ROJO",SUM(BH476:BH479))</f>
        <v>98000000</v>
      </c>
      <c r="BI480" s="132">
        <f t="shared" si="177"/>
        <v>0</v>
      </c>
      <c r="BJ480" s="132">
        <f t="shared" si="177"/>
        <v>0</v>
      </c>
      <c r="BK480" s="132">
        <f t="shared" si="177"/>
        <v>0</v>
      </c>
      <c r="BL480" s="132">
        <f t="shared" si="177"/>
        <v>0</v>
      </c>
      <c r="BM480" s="132">
        <f t="shared" si="177"/>
        <v>109400000</v>
      </c>
      <c r="BN480" s="132">
        <f t="shared" si="177"/>
        <v>0</v>
      </c>
      <c r="BO480" s="132">
        <f t="shared" si="177"/>
        <v>0</v>
      </c>
      <c r="BP480" s="132">
        <f t="shared" si="177"/>
        <v>0</v>
      </c>
      <c r="BQ480" s="132">
        <f t="shared" si="177"/>
        <v>0</v>
      </c>
      <c r="BR480" s="132">
        <f t="shared" si="177"/>
        <v>0</v>
      </c>
      <c r="BS480" s="132">
        <f t="shared" si="177"/>
        <v>0</v>
      </c>
      <c r="BT480" s="132">
        <f t="shared" si="177"/>
        <v>0</v>
      </c>
      <c r="BU480" s="132">
        <f t="shared" si="177"/>
        <v>0</v>
      </c>
      <c r="BV480" s="132">
        <f t="shared" si="177"/>
        <v>0</v>
      </c>
      <c r="BW480" s="132">
        <f t="shared" si="177"/>
        <v>0</v>
      </c>
      <c r="BX480" s="132">
        <f>IF(OR(AND(BX476=0,AB476&lt;&gt;0),AND(BX477=0,AB477&lt;&gt;0),AND(BX478=0,AB478&lt;&gt;0),AND(BX479=0,AB479&lt;&gt;0)),"NO DEBEN QUEDAR CELDAS EN ROJO",SUM(BX476:BX479))</f>
        <v>109400000</v>
      </c>
      <c r="BY480" s="132">
        <f t="shared" si="177"/>
        <v>0</v>
      </c>
      <c r="BZ480" s="132">
        <f t="shared" si="177"/>
        <v>0</v>
      </c>
      <c r="CA480" s="132">
        <f t="shared" si="177"/>
        <v>0</v>
      </c>
      <c r="CB480" s="132">
        <f t="shared" si="177"/>
        <v>0</v>
      </c>
      <c r="CC480" s="132">
        <f t="shared" si="177"/>
        <v>111000000</v>
      </c>
      <c r="CD480" s="132">
        <f t="shared" si="177"/>
        <v>0</v>
      </c>
      <c r="CE480" s="132">
        <f t="shared" si="177"/>
        <v>0</v>
      </c>
      <c r="CF480" s="132">
        <f t="shared" si="177"/>
        <v>0</v>
      </c>
      <c r="CG480" s="132">
        <f t="shared" si="177"/>
        <v>0</v>
      </c>
      <c r="CH480" s="132">
        <f t="shared" si="177"/>
        <v>0</v>
      </c>
      <c r="CI480" s="132">
        <f t="shared" si="177"/>
        <v>0</v>
      </c>
      <c r="CJ480" s="132">
        <f t="shared" si="177"/>
        <v>0</v>
      </c>
      <c r="CK480" s="132">
        <f t="shared" si="177"/>
        <v>0</v>
      </c>
      <c r="CL480" s="132">
        <f t="shared" si="177"/>
        <v>0</v>
      </c>
      <c r="CM480" s="132">
        <f t="shared" si="177"/>
        <v>0</v>
      </c>
      <c r="CN480" s="132">
        <f>IF(OR(AND(CN476=0,AG476&lt;&gt;0),AND(CN477=0,AG477&lt;&gt;0),AND(CN478=0,AG478&lt;&gt;0),AND(CN479=0,AG479&lt;&gt;0)),"NO DEBEN QUEDAR CELDAS EN ROJO",SUM(CN476:CN479))</f>
        <v>111000000</v>
      </c>
      <c r="CO480" s="132">
        <f t="shared" si="177"/>
        <v>0</v>
      </c>
      <c r="CP480" s="132">
        <f t="shared" si="177"/>
        <v>0</v>
      </c>
      <c r="CQ480" s="132">
        <f t="shared" si="177"/>
        <v>0</v>
      </c>
      <c r="CR480" s="132">
        <f t="shared" si="177"/>
        <v>0</v>
      </c>
      <c r="CS480" s="132">
        <f t="shared" si="177"/>
        <v>115000000</v>
      </c>
      <c r="CT480" s="132">
        <f t="shared" si="177"/>
        <v>0</v>
      </c>
      <c r="CU480" s="132">
        <f t="shared" si="177"/>
        <v>0</v>
      </c>
      <c r="CV480" s="132">
        <f t="shared" si="177"/>
        <v>0</v>
      </c>
      <c r="CW480" s="132">
        <f t="shared" si="177"/>
        <v>0</v>
      </c>
      <c r="CX480" s="132">
        <f t="shared" si="177"/>
        <v>0</v>
      </c>
      <c r="CY480" s="132">
        <f t="shared" si="177"/>
        <v>0</v>
      </c>
      <c r="CZ480" s="132">
        <f t="shared" si="177"/>
        <v>0</v>
      </c>
      <c r="DA480" s="132">
        <f t="shared" si="177"/>
        <v>0</v>
      </c>
      <c r="DB480" s="132">
        <f t="shared" si="177"/>
        <v>0</v>
      </c>
      <c r="DC480" s="132">
        <f t="shared" si="177"/>
        <v>0</v>
      </c>
      <c r="DD480" s="132">
        <f>IF(OR(AND(DD476=0,AL476&lt;&gt;0),AND(DD477=0,AL477&lt;&gt;0),AND(DD478=0,AL478&lt;&gt;0),AND(DD479=0,AL479&lt;&gt;0)),"NO DEBEN QUEDAR CELDAS EN ROJO",SUM(DD476:DD479))</f>
        <v>115000000</v>
      </c>
      <c r="DE480" s="132">
        <f t="shared" si="177"/>
        <v>433400000</v>
      </c>
      <c r="DF480" s="101"/>
    </row>
    <row r="481" spans="1:109" s="117" customFormat="1" ht="55.05" customHeight="1">
      <c r="A481" s="127" t="s">
        <v>1240</v>
      </c>
      <c r="B481" s="126" t="s">
        <v>9</v>
      </c>
      <c r="C481" s="146" t="s">
        <v>1695</v>
      </c>
      <c r="D481" s="160"/>
      <c r="E481" s="161"/>
      <c r="F481" s="162"/>
      <c r="G481" s="163"/>
      <c r="H481" s="161"/>
      <c r="I481" s="161"/>
      <c r="J481" s="161"/>
      <c r="K481" s="161"/>
      <c r="L481" s="161"/>
      <c r="M481" s="161"/>
      <c r="N481" s="161"/>
      <c r="O481" s="161"/>
      <c r="P481" s="161"/>
      <c r="Q481" s="163"/>
      <c r="R481" s="164"/>
      <c r="S481" s="161"/>
      <c r="T481" s="161"/>
      <c r="U481" s="165"/>
      <c r="V481" s="165"/>
      <c r="W481" s="166"/>
      <c r="X481" s="165"/>
      <c r="Y481" s="165"/>
      <c r="Z481" s="165"/>
      <c r="AA481" s="165"/>
      <c r="AB481" s="166"/>
      <c r="AC481" s="165"/>
      <c r="AD481" s="165"/>
      <c r="AE481" s="165"/>
      <c r="AF481" s="165"/>
      <c r="AG481" s="166"/>
      <c r="AH481" s="165"/>
      <c r="AI481" s="165"/>
      <c r="AJ481" s="165"/>
      <c r="AK481" s="165"/>
      <c r="AL481" s="166"/>
      <c r="AM481" s="167"/>
      <c r="AN481" s="168"/>
      <c r="AO481" s="168"/>
      <c r="AP481" s="163"/>
      <c r="AQ481" s="163"/>
      <c r="AR481" s="169"/>
      <c r="AS481" s="147">
        <f>AS480</f>
        <v>0</v>
      </c>
      <c r="AT481" s="130">
        <f t="shared" ref="AT481:DE481" si="178">AT480</f>
        <v>0</v>
      </c>
      <c r="AU481" s="130">
        <f t="shared" si="178"/>
        <v>0</v>
      </c>
      <c r="AV481" s="130">
        <f t="shared" si="178"/>
        <v>0</v>
      </c>
      <c r="AW481" s="130">
        <f t="shared" si="178"/>
        <v>98000000</v>
      </c>
      <c r="AX481" s="130">
        <f t="shared" si="178"/>
        <v>0</v>
      </c>
      <c r="AY481" s="130">
        <f t="shared" si="178"/>
        <v>0</v>
      </c>
      <c r="AZ481" s="130">
        <f t="shared" si="178"/>
        <v>0</v>
      </c>
      <c r="BA481" s="130">
        <f t="shared" si="178"/>
        <v>0</v>
      </c>
      <c r="BB481" s="130">
        <f t="shared" si="178"/>
        <v>0</v>
      </c>
      <c r="BC481" s="130">
        <f t="shared" si="178"/>
        <v>0</v>
      </c>
      <c r="BD481" s="130">
        <f t="shared" si="178"/>
        <v>0</v>
      </c>
      <c r="BE481" s="130">
        <f t="shared" si="178"/>
        <v>0</v>
      </c>
      <c r="BF481" s="130">
        <f t="shared" si="178"/>
        <v>0</v>
      </c>
      <c r="BG481" s="130">
        <f t="shared" si="178"/>
        <v>0</v>
      </c>
      <c r="BH481" s="130">
        <f t="shared" si="178"/>
        <v>98000000</v>
      </c>
      <c r="BI481" s="130">
        <f t="shared" si="178"/>
        <v>0</v>
      </c>
      <c r="BJ481" s="130">
        <f t="shared" si="178"/>
        <v>0</v>
      </c>
      <c r="BK481" s="130">
        <f t="shared" si="178"/>
        <v>0</v>
      </c>
      <c r="BL481" s="130">
        <f t="shared" si="178"/>
        <v>0</v>
      </c>
      <c r="BM481" s="130">
        <f t="shared" si="178"/>
        <v>109400000</v>
      </c>
      <c r="BN481" s="130">
        <f t="shared" si="178"/>
        <v>0</v>
      </c>
      <c r="BO481" s="130">
        <f t="shared" si="178"/>
        <v>0</v>
      </c>
      <c r="BP481" s="130">
        <f t="shared" si="178"/>
        <v>0</v>
      </c>
      <c r="BQ481" s="130">
        <f t="shared" si="178"/>
        <v>0</v>
      </c>
      <c r="BR481" s="130">
        <f t="shared" si="178"/>
        <v>0</v>
      </c>
      <c r="BS481" s="130">
        <f t="shared" si="178"/>
        <v>0</v>
      </c>
      <c r="BT481" s="130">
        <f t="shared" si="178"/>
        <v>0</v>
      </c>
      <c r="BU481" s="130">
        <f t="shared" si="178"/>
        <v>0</v>
      </c>
      <c r="BV481" s="130">
        <f t="shared" si="178"/>
        <v>0</v>
      </c>
      <c r="BW481" s="130">
        <f t="shared" si="178"/>
        <v>0</v>
      </c>
      <c r="BX481" s="130">
        <f t="shared" si="178"/>
        <v>109400000</v>
      </c>
      <c r="BY481" s="130">
        <f t="shared" si="178"/>
        <v>0</v>
      </c>
      <c r="BZ481" s="130">
        <f t="shared" si="178"/>
        <v>0</v>
      </c>
      <c r="CA481" s="130">
        <f t="shared" si="178"/>
        <v>0</v>
      </c>
      <c r="CB481" s="130">
        <f t="shared" si="178"/>
        <v>0</v>
      </c>
      <c r="CC481" s="130">
        <f t="shared" si="178"/>
        <v>111000000</v>
      </c>
      <c r="CD481" s="130">
        <f t="shared" si="178"/>
        <v>0</v>
      </c>
      <c r="CE481" s="130">
        <f t="shared" si="178"/>
        <v>0</v>
      </c>
      <c r="CF481" s="130">
        <f t="shared" si="178"/>
        <v>0</v>
      </c>
      <c r="CG481" s="130">
        <f t="shared" si="178"/>
        <v>0</v>
      </c>
      <c r="CH481" s="130">
        <f t="shared" si="178"/>
        <v>0</v>
      </c>
      <c r="CI481" s="130">
        <f t="shared" si="178"/>
        <v>0</v>
      </c>
      <c r="CJ481" s="130">
        <f t="shared" si="178"/>
        <v>0</v>
      </c>
      <c r="CK481" s="130">
        <f t="shared" si="178"/>
        <v>0</v>
      </c>
      <c r="CL481" s="130">
        <f t="shared" si="178"/>
        <v>0</v>
      </c>
      <c r="CM481" s="130">
        <f t="shared" si="178"/>
        <v>0</v>
      </c>
      <c r="CN481" s="130">
        <f t="shared" si="178"/>
        <v>111000000</v>
      </c>
      <c r="CO481" s="130">
        <f t="shared" si="178"/>
        <v>0</v>
      </c>
      <c r="CP481" s="130">
        <f t="shared" si="178"/>
        <v>0</v>
      </c>
      <c r="CQ481" s="130">
        <f t="shared" si="178"/>
        <v>0</v>
      </c>
      <c r="CR481" s="130">
        <f t="shared" si="178"/>
        <v>0</v>
      </c>
      <c r="CS481" s="130">
        <f t="shared" si="178"/>
        <v>115000000</v>
      </c>
      <c r="CT481" s="130">
        <f t="shared" si="178"/>
        <v>0</v>
      </c>
      <c r="CU481" s="130">
        <f t="shared" si="178"/>
        <v>0</v>
      </c>
      <c r="CV481" s="130">
        <f t="shared" si="178"/>
        <v>0</v>
      </c>
      <c r="CW481" s="130">
        <f t="shared" si="178"/>
        <v>0</v>
      </c>
      <c r="CX481" s="130">
        <f t="shared" si="178"/>
        <v>0</v>
      </c>
      <c r="CY481" s="130">
        <f t="shared" si="178"/>
        <v>0</v>
      </c>
      <c r="CZ481" s="130">
        <f t="shared" si="178"/>
        <v>0</v>
      </c>
      <c r="DA481" s="130">
        <f t="shared" si="178"/>
        <v>0</v>
      </c>
      <c r="DB481" s="130">
        <f t="shared" si="178"/>
        <v>0</v>
      </c>
      <c r="DC481" s="130">
        <f t="shared" si="178"/>
        <v>0</v>
      </c>
      <c r="DD481" s="130">
        <f t="shared" si="178"/>
        <v>115000000</v>
      </c>
      <c r="DE481" s="130">
        <f t="shared" si="178"/>
        <v>433400000</v>
      </c>
    </row>
    <row r="482" spans="1:109" s="99" customFormat="1" ht="113.1" customHeight="1">
      <c r="A482" s="103" t="s">
        <v>1241</v>
      </c>
      <c r="B482" s="103" t="s">
        <v>9</v>
      </c>
      <c r="C482" s="103" t="s">
        <v>1693</v>
      </c>
      <c r="D482" s="103">
        <v>39</v>
      </c>
      <c r="E482" s="103" t="s">
        <v>1397</v>
      </c>
      <c r="F482" s="278" t="s">
        <v>1398</v>
      </c>
      <c r="G482" s="103" t="s">
        <v>3195</v>
      </c>
      <c r="H482" s="103">
        <v>47</v>
      </c>
      <c r="I482" s="103" t="s">
        <v>1399</v>
      </c>
      <c r="J482" s="103" t="s">
        <v>683</v>
      </c>
      <c r="K482" s="103">
        <v>123</v>
      </c>
      <c r="L482" s="103">
        <v>123</v>
      </c>
      <c r="M482" s="103" t="s">
        <v>1400</v>
      </c>
      <c r="N482" s="103" t="s">
        <v>1401</v>
      </c>
      <c r="O482" s="103" t="s">
        <v>1402</v>
      </c>
      <c r="P482" s="283">
        <v>432</v>
      </c>
      <c r="Q482" s="103" t="s">
        <v>3461</v>
      </c>
      <c r="R482" s="103" t="s">
        <v>1403</v>
      </c>
      <c r="S482" s="103" t="s">
        <v>683</v>
      </c>
      <c r="T482" s="103">
        <v>50</v>
      </c>
      <c r="U482" s="267">
        <v>25</v>
      </c>
      <c r="V482" s="267">
        <v>25</v>
      </c>
      <c r="W482" s="224">
        <v>50</v>
      </c>
      <c r="X482" s="267">
        <v>10</v>
      </c>
      <c r="Y482" s="267">
        <v>15</v>
      </c>
      <c r="Z482" s="267">
        <v>15</v>
      </c>
      <c r="AA482" s="267">
        <v>10</v>
      </c>
      <c r="AB482" s="224">
        <v>50</v>
      </c>
      <c r="AC482" s="267">
        <v>10</v>
      </c>
      <c r="AD482" s="267">
        <v>15</v>
      </c>
      <c r="AE482" s="267">
        <v>15</v>
      </c>
      <c r="AF482" s="267">
        <v>10</v>
      </c>
      <c r="AG482" s="224">
        <v>50</v>
      </c>
      <c r="AH482" s="267">
        <v>10</v>
      </c>
      <c r="AI482" s="267">
        <v>15</v>
      </c>
      <c r="AJ482" s="267">
        <v>15</v>
      </c>
      <c r="AK482" s="267">
        <v>10</v>
      </c>
      <c r="AL482" s="224">
        <v>50</v>
      </c>
      <c r="AM482" s="102">
        <v>50</v>
      </c>
      <c r="AN482" s="103" t="s">
        <v>686</v>
      </c>
      <c r="AO482" s="103" t="s">
        <v>619</v>
      </c>
      <c r="AP482" s="103" t="s">
        <v>1217</v>
      </c>
      <c r="AQ482" s="103" t="s">
        <v>1207</v>
      </c>
      <c r="AR482" s="103" t="s">
        <v>939</v>
      </c>
      <c r="AS482" s="268"/>
      <c r="AT482" s="268"/>
      <c r="AU482" s="268"/>
      <c r="AV482" s="268"/>
      <c r="AW482" s="268">
        <v>4000000</v>
      </c>
      <c r="AX482" s="268"/>
      <c r="AY482" s="268"/>
      <c r="AZ482" s="268"/>
      <c r="BA482" s="268"/>
      <c r="BB482" s="268"/>
      <c r="BC482" s="268"/>
      <c r="BD482" s="268"/>
      <c r="BE482" s="268"/>
      <c r="BF482" s="268"/>
      <c r="BG482" s="268"/>
      <c r="BH482" s="234">
        <f t="shared" ref="BH482:BH496" si="179">IF(W482=0,0,BG482+BF482+BE482+BD482+BC482+BB482+BA482+AZ482+AY482+AX482+AW482+AV482+AU482+AT482+AS482)</f>
        <v>4000000</v>
      </c>
      <c r="BI482" s="268"/>
      <c r="BJ482" s="268"/>
      <c r="BK482" s="268"/>
      <c r="BL482" s="268"/>
      <c r="BM482" s="268">
        <v>1116677405</v>
      </c>
      <c r="BN482" s="268"/>
      <c r="BO482" s="268"/>
      <c r="BP482" s="268"/>
      <c r="BQ482" s="268"/>
      <c r="BR482" s="268"/>
      <c r="BS482" s="268"/>
      <c r="BT482" s="268"/>
      <c r="BU482" s="268"/>
      <c r="BV482" s="268"/>
      <c r="BW482" s="268"/>
      <c r="BX482" s="234">
        <f t="shared" ref="BX482:BX496" si="180">IF(AB482=0,0,BI482+BJ482+BK482+BL482+BM482+BN482+BO482+BP482+BQ482+BR482+BS482+BT482+BU482+BV482+BW482)</f>
        <v>1116677405</v>
      </c>
      <c r="BY482" s="268"/>
      <c r="BZ482" s="268"/>
      <c r="CA482" s="268"/>
      <c r="CB482" s="268"/>
      <c r="CC482" s="268">
        <v>477702020</v>
      </c>
      <c r="CD482" s="268"/>
      <c r="CE482" s="268"/>
      <c r="CF482" s="268"/>
      <c r="CG482" s="268"/>
      <c r="CH482" s="268"/>
      <c r="CI482" s="268"/>
      <c r="CJ482" s="268"/>
      <c r="CK482" s="268"/>
      <c r="CL482" s="268"/>
      <c r="CM482" s="268"/>
      <c r="CN482" s="234">
        <f t="shared" ref="CN482:CN496" si="181">IF(AG482=0,0,(BY482+BZ482+CA482+CB482+CC482+CD482+CE482+CF482+CG482+CH482+CI482+CJ482+CK482+CL482+CM482))</f>
        <v>477702020</v>
      </c>
      <c r="CO482" s="268"/>
      <c r="CP482" s="268"/>
      <c r="CQ482" s="268"/>
      <c r="CR482" s="268"/>
      <c r="CS482" s="268">
        <v>332000000</v>
      </c>
      <c r="CT482" s="268"/>
      <c r="CU482" s="268"/>
      <c r="CV482" s="268"/>
      <c r="CW482" s="268"/>
      <c r="CX482" s="268"/>
      <c r="CY482" s="268"/>
      <c r="CZ482" s="268"/>
      <c r="DA482" s="268"/>
      <c r="DB482" s="268"/>
      <c r="DC482" s="268"/>
      <c r="DD482" s="234">
        <f t="shared" ref="DD482:DD496" si="182">IF(AL482=0,0,(CO482+CP482+CQ482+CR482+CS482+CT482+CU482+CV482+CW482+CX482+CY482+CZ482+DA482+DB482+DC482))</f>
        <v>332000000</v>
      </c>
      <c r="DE482" s="243">
        <f t="shared" ref="DE482:DE496" si="183">SUM(DD482+CN482+BX482+BH482)</f>
        <v>1930379425</v>
      </c>
    </row>
    <row r="483" spans="1:109" s="99" customFormat="1" ht="113.1" customHeight="1">
      <c r="A483" s="103" t="s">
        <v>1241</v>
      </c>
      <c r="B483" s="279" t="s">
        <v>9</v>
      </c>
      <c r="C483" s="279" t="s">
        <v>1693</v>
      </c>
      <c r="D483" s="279">
        <v>39</v>
      </c>
      <c r="E483" s="279" t="s">
        <v>1397</v>
      </c>
      <c r="F483" s="280" t="s">
        <v>1398</v>
      </c>
      <c r="G483" s="279" t="s">
        <v>3195</v>
      </c>
      <c r="H483" s="279">
        <v>47</v>
      </c>
      <c r="I483" s="279" t="s">
        <v>1399</v>
      </c>
      <c r="J483" s="279" t="s">
        <v>683</v>
      </c>
      <c r="K483" s="279">
        <v>123</v>
      </c>
      <c r="L483" s="279">
        <v>123</v>
      </c>
      <c r="M483" s="279" t="s">
        <v>1400</v>
      </c>
      <c r="N483" s="279" t="s">
        <v>1401</v>
      </c>
      <c r="O483" s="279" t="s">
        <v>1402</v>
      </c>
      <c r="P483" s="283">
        <v>433</v>
      </c>
      <c r="Q483" s="279" t="s">
        <v>3462</v>
      </c>
      <c r="R483" s="279" t="s">
        <v>1403</v>
      </c>
      <c r="S483" s="279" t="s">
        <v>683</v>
      </c>
      <c r="T483" s="279">
        <v>50</v>
      </c>
      <c r="U483" s="267"/>
      <c r="V483" s="267"/>
      <c r="W483" s="224">
        <v>0</v>
      </c>
      <c r="X483" s="267"/>
      <c r="Y483" s="267"/>
      <c r="Z483" s="267"/>
      <c r="AA483" s="267">
        <v>5</v>
      </c>
      <c r="AB483" s="224">
        <v>5</v>
      </c>
      <c r="AC483" s="267"/>
      <c r="AD483" s="267"/>
      <c r="AE483" s="267"/>
      <c r="AF483" s="267">
        <v>5</v>
      </c>
      <c r="AG483" s="224">
        <v>5</v>
      </c>
      <c r="AH483" s="267"/>
      <c r="AI483" s="267"/>
      <c r="AJ483" s="267"/>
      <c r="AK483" s="267">
        <v>10</v>
      </c>
      <c r="AL483" s="224">
        <v>10</v>
      </c>
      <c r="AM483" s="104">
        <v>20</v>
      </c>
      <c r="AN483" s="103" t="s">
        <v>685</v>
      </c>
      <c r="AO483" s="103" t="s">
        <v>619</v>
      </c>
      <c r="AP483" s="103" t="s">
        <v>1217</v>
      </c>
      <c r="AQ483" s="103" t="s">
        <v>1207</v>
      </c>
      <c r="AR483" s="103" t="s">
        <v>939</v>
      </c>
      <c r="AS483" s="271"/>
      <c r="AT483" s="271"/>
      <c r="AU483" s="271"/>
      <c r="AV483" s="271"/>
      <c r="AW483" s="271"/>
      <c r="AX483" s="271"/>
      <c r="AY483" s="271"/>
      <c r="AZ483" s="271"/>
      <c r="BA483" s="271"/>
      <c r="BB483" s="271"/>
      <c r="BC483" s="271"/>
      <c r="BD483" s="271"/>
      <c r="BE483" s="271"/>
      <c r="BF483" s="271"/>
      <c r="BG483" s="271"/>
      <c r="BH483" s="235">
        <f t="shared" si="179"/>
        <v>0</v>
      </c>
      <c r="BI483" s="271"/>
      <c r="BJ483" s="271"/>
      <c r="BK483" s="271"/>
      <c r="BL483" s="271"/>
      <c r="BM483" s="271">
        <v>170000000</v>
      </c>
      <c r="BN483" s="271"/>
      <c r="BO483" s="271"/>
      <c r="BP483" s="271"/>
      <c r="BQ483" s="271"/>
      <c r="BR483" s="271"/>
      <c r="BS483" s="271"/>
      <c r="BT483" s="271"/>
      <c r="BU483" s="271"/>
      <c r="BV483" s="271"/>
      <c r="BW483" s="271"/>
      <c r="BX483" s="235">
        <f t="shared" si="180"/>
        <v>170000000</v>
      </c>
      <c r="BY483" s="271"/>
      <c r="BZ483" s="271"/>
      <c r="CA483" s="271"/>
      <c r="CB483" s="271"/>
      <c r="CC483" s="271">
        <v>100000000</v>
      </c>
      <c r="CD483" s="271"/>
      <c r="CE483" s="271"/>
      <c r="CF483" s="271"/>
      <c r="CG483" s="271"/>
      <c r="CH483" s="271"/>
      <c r="CI483" s="271"/>
      <c r="CJ483" s="271"/>
      <c r="CK483" s="271"/>
      <c r="CL483" s="271"/>
      <c r="CM483" s="271"/>
      <c r="CN483" s="235">
        <f t="shared" si="181"/>
        <v>100000000</v>
      </c>
      <c r="CO483" s="271"/>
      <c r="CP483" s="271"/>
      <c r="CQ483" s="271"/>
      <c r="CR483" s="271"/>
      <c r="CS483" s="271">
        <v>121000000</v>
      </c>
      <c r="CT483" s="271"/>
      <c r="CU483" s="271"/>
      <c r="CV483" s="271"/>
      <c r="CW483" s="271"/>
      <c r="CX483" s="271"/>
      <c r="CY483" s="271"/>
      <c r="CZ483" s="271"/>
      <c r="DA483" s="271"/>
      <c r="DB483" s="271"/>
      <c r="DC483" s="271"/>
      <c r="DD483" s="234">
        <f t="shared" si="182"/>
        <v>121000000</v>
      </c>
      <c r="DE483" s="244">
        <f t="shared" si="183"/>
        <v>391000000</v>
      </c>
    </row>
    <row r="484" spans="1:109" s="99" customFormat="1" ht="113.1" customHeight="1">
      <c r="A484" s="103" t="s">
        <v>1241</v>
      </c>
      <c r="B484" s="279" t="s">
        <v>9</v>
      </c>
      <c r="C484" s="279" t="s">
        <v>1693</v>
      </c>
      <c r="D484" s="279">
        <v>39</v>
      </c>
      <c r="E484" s="279" t="s">
        <v>1397</v>
      </c>
      <c r="F484" s="280" t="s">
        <v>1398</v>
      </c>
      <c r="G484" s="279" t="s">
        <v>3195</v>
      </c>
      <c r="H484" s="279">
        <v>47</v>
      </c>
      <c r="I484" s="279" t="s">
        <v>1399</v>
      </c>
      <c r="J484" s="279" t="s">
        <v>683</v>
      </c>
      <c r="K484" s="279">
        <v>123</v>
      </c>
      <c r="L484" s="279">
        <v>123</v>
      </c>
      <c r="M484" s="279" t="s">
        <v>1400</v>
      </c>
      <c r="N484" s="279" t="s">
        <v>1401</v>
      </c>
      <c r="O484" s="279" t="s">
        <v>1402</v>
      </c>
      <c r="P484" s="283">
        <v>434</v>
      </c>
      <c r="Q484" s="279" t="s">
        <v>3196</v>
      </c>
      <c r="R484" s="279" t="s">
        <v>1404</v>
      </c>
      <c r="S484" s="279" t="s">
        <v>683</v>
      </c>
      <c r="T484" s="279">
        <v>0</v>
      </c>
      <c r="U484" s="267"/>
      <c r="V484" s="267"/>
      <c r="W484" s="224">
        <v>0</v>
      </c>
      <c r="X484" s="267"/>
      <c r="Y484" s="267"/>
      <c r="Z484" s="267">
        <v>0.25</v>
      </c>
      <c r="AA484" s="267">
        <v>0.25</v>
      </c>
      <c r="AB484" s="224">
        <v>0.5</v>
      </c>
      <c r="AC484" s="267">
        <v>0.25</v>
      </c>
      <c r="AD484" s="267">
        <v>0.25</v>
      </c>
      <c r="AE484" s="267">
        <v>0.25</v>
      </c>
      <c r="AF484" s="267">
        <v>0.25</v>
      </c>
      <c r="AG484" s="224">
        <v>1</v>
      </c>
      <c r="AH484" s="267"/>
      <c r="AI484" s="267">
        <v>0.25</v>
      </c>
      <c r="AJ484" s="267">
        <v>0.25</v>
      </c>
      <c r="AK484" s="267"/>
      <c r="AL484" s="224">
        <v>0.5</v>
      </c>
      <c r="AM484" s="104">
        <v>2</v>
      </c>
      <c r="AN484" s="103" t="s">
        <v>685</v>
      </c>
      <c r="AO484" s="103" t="s">
        <v>619</v>
      </c>
      <c r="AP484" s="103" t="s">
        <v>1217</v>
      </c>
      <c r="AQ484" s="103" t="s">
        <v>1207</v>
      </c>
      <c r="AR484" s="103" t="s">
        <v>939</v>
      </c>
      <c r="AS484" s="271"/>
      <c r="AT484" s="271"/>
      <c r="AU484" s="271"/>
      <c r="AV484" s="271"/>
      <c r="AW484" s="271"/>
      <c r="AX484" s="271"/>
      <c r="AY484" s="271"/>
      <c r="AZ484" s="271"/>
      <c r="BA484" s="271"/>
      <c r="BB484" s="271"/>
      <c r="BC484" s="271"/>
      <c r="BD484" s="271"/>
      <c r="BE484" s="271"/>
      <c r="BF484" s="271"/>
      <c r="BG484" s="271"/>
      <c r="BH484" s="235">
        <f t="shared" si="179"/>
        <v>0</v>
      </c>
      <c r="BI484" s="271"/>
      <c r="BJ484" s="271"/>
      <c r="BK484" s="271"/>
      <c r="BL484" s="271"/>
      <c r="BM484" s="271">
        <v>50000000</v>
      </c>
      <c r="BN484" s="271"/>
      <c r="BO484" s="271"/>
      <c r="BP484" s="271"/>
      <c r="BQ484" s="271"/>
      <c r="BR484" s="271"/>
      <c r="BS484" s="271"/>
      <c r="BT484" s="271"/>
      <c r="BU484" s="271"/>
      <c r="BV484" s="271"/>
      <c r="BW484" s="271"/>
      <c r="BX484" s="235">
        <f t="shared" si="180"/>
        <v>50000000</v>
      </c>
      <c r="BY484" s="271"/>
      <c r="BZ484" s="271"/>
      <c r="CA484" s="271"/>
      <c r="CB484" s="271"/>
      <c r="CC484" s="271">
        <v>40000000</v>
      </c>
      <c r="CD484" s="271"/>
      <c r="CE484" s="271"/>
      <c r="CF484" s="271"/>
      <c r="CG484" s="271"/>
      <c r="CH484" s="271"/>
      <c r="CI484" s="271"/>
      <c r="CJ484" s="271"/>
      <c r="CK484" s="271"/>
      <c r="CL484" s="271"/>
      <c r="CM484" s="271"/>
      <c r="CN484" s="235">
        <f t="shared" si="181"/>
        <v>40000000</v>
      </c>
      <c r="CO484" s="271"/>
      <c r="CP484" s="271"/>
      <c r="CQ484" s="271"/>
      <c r="CR484" s="271"/>
      <c r="CS484" s="271">
        <v>41000000</v>
      </c>
      <c r="CT484" s="271"/>
      <c r="CU484" s="271"/>
      <c r="CV484" s="271"/>
      <c r="CW484" s="271"/>
      <c r="CX484" s="271"/>
      <c r="CY484" s="271"/>
      <c r="CZ484" s="271"/>
      <c r="DA484" s="271"/>
      <c r="DB484" s="271"/>
      <c r="DC484" s="271"/>
      <c r="DD484" s="234">
        <f t="shared" si="182"/>
        <v>41000000</v>
      </c>
      <c r="DE484" s="244">
        <f t="shared" si="183"/>
        <v>131000000</v>
      </c>
    </row>
    <row r="485" spans="1:109" s="99" customFormat="1" ht="113.1" customHeight="1">
      <c r="A485" s="103" t="s">
        <v>1241</v>
      </c>
      <c r="B485" s="279" t="s">
        <v>9</v>
      </c>
      <c r="C485" s="279" t="s">
        <v>1693</v>
      </c>
      <c r="D485" s="279">
        <v>39</v>
      </c>
      <c r="E485" s="279" t="s">
        <v>1397</v>
      </c>
      <c r="F485" s="280" t="s">
        <v>1398</v>
      </c>
      <c r="G485" s="279" t="s">
        <v>3195</v>
      </c>
      <c r="H485" s="279">
        <v>47</v>
      </c>
      <c r="I485" s="279" t="s">
        <v>1399</v>
      </c>
      <c r="J485" s="279" t="s">
        <v>683</v>
      </c>
      <c r="K485" s="279">
        <v>123</v>
      </c>
      <c r="L485" s="279">
        <v>123</v>
      </c>
      <c r="M485" s="279" t="s">
        <v>1405</v>
      </c>
      <c r="N485" s="279" t="s">
        <v>1406</v>
      </c>
      <c r="O485" s="279" t="s">
        <v>420</v>
      </c>
      <c r="P485" s="283">
        <v>435</v>
      </c>
      <c r="Q485" s="279" t="s">
        <v>3463</v>
      </c>
      <c r="R485" s="279" t="s">
        <v>1407</v>
      </c>
      <c r="S485" s="279" t="s">
        <v>683</v>
      </c>
      <c r="T485" s="279">
        <v>1</v>
      </c>
      <c r="U485" s="267">
        <v>0.5</v>
      </c>
      <c r="V485" s="267">
        <v>0.5</v>
      </c>
      <c r="W485" s="224">
        <v>1</v>
      </c>
      <c r="X485" s="267">
        <v>0.1</v>
      </c>
      <c r="Y485" s="267">
        <v>0.4</v>
      </c>
      <c r="Z485" s="267">
        <v>0.4</v>
      </c>
      <c r="AA485" s="267">
        <v>0.1</v>
      </c>
      <c r="AB485" s="224">
        <v>1</v>
      </c>
      <c r="AC485" s="267">
        <v>0.1</v>
      </c>
      <c r="AD485" s="267">
        <v>0.4</v>
      </c>
      <c r="AE485" s="267">
        <v>0.4</v>
      </c>
      <c r="AF485" s="267">
        <v>0.1</v>
      </c>
      <c r="AG485" s="224">
        <v>1</v>
      </c>
      <c r="AH485" s="267">
        <v>0.1</v>
      </c>
      <c r="AI485" s="267">
        <v>0.4</v>
      </c>
      <c r="AJ485" s="267">
        <v>0.4</v>
      </c>
      <c r="AK485" s="267">
        <v>0.1</v>
      </c>
      <c r="AL485" s="224">
        <v>1</v>
      </c>
      <c r="AM485" s="104">
        <v>1</v>
      </c>
      <c r="AN485" s="103" t="s">
        <v>686</v>
      </c>
      <c r="AO485" s="103" t="s">
        <v>619</v>
      </c>
      <c r="AP485" s="103" t="s">
        <v>1217</v>
      </c>
      <c r="AQ485" s="103" t="s">
        <v>1207</v>
      </c>
      <c r="AR485" s="103" t="s">
        <v>939</v>
      </c>
      <c r="AS485" s="271"/>
      <c r="AT485" s="271"/>
      <c r="AU485" s="271"/>
      <c r="AV485" s="271"/>
      <c r="AW485" s="271">
        <v>3000000</v>
      </c>
      <c r="AX485" s="271"/>
      <c r="AY485" s="271"/>
      <c r="AZ485" s="271"/>
      <c r="BA485" s="271"/>
      <c r="BB485" s="271"/>
      <c r="BC485" s="271"/>
      <c r="BD485" s="271"/>
      <c r="BE485" s="271"/>
      <c r="BF485" s="271"/>
      <c r="BG485" s="271"/>
      <c r="BH485" s="235">
        <f t="shared" si="179"/>
        <v>3000000</v>
      </c>
      <c r="BI485" s="271"/>
      <c r="BJ485" s="271"/>
      <c r="BK485" s="271"/>
      <c r="BL485" s="271"/>
      <c r="BM485" s="271">
        <v>451600000</v>
      </c>
      <c r="BN485" s="271"/>
      <c r="BO485" s="271"/>
      <c r="BP485" s="271"/>
      <c r="BQ485" s="271"/>
      <c r="BR485" s="271"/>
      <c r="BS485" s="271"/>
      <c r="BT485" s="271"/>
      <c r="BU485" s="271"/>
      <c r="BV485" s="271"/>
      <c r="BW485" s="271"/>
      <c r="BX485" s="235">
        <f t="shared" si="180"/>
        <v>451600000</v>
      </c>
      <c r="BY485" s="271"/>
      <c r="BZ485" s="271"/>
      <c r="CA485" s="271"/>
      <c r="CB485" s="271"/>
      <c r="CC485" s="271">
        <v>477996000</v>
      </c>
      <c r="CD485" s="271"/>
      <c r="CE485" s="271"/>
      <c r="CF485" s="271"/>
      <c r="CG485" s="271"/>
      <c r="CH485" s="271"/>
      <c r="CI485" s="271"/>
      <c r="CJ485" s="271"/>
      <c r="CK485" s="271"/>
      <c r="CL485" s="271"/>
      <c r="CM485" s="271"/>
      <c r="CN485" s="235">
        <f t="shared" si="181"/>
        <v>477996000</v>
      </c>
      <c r="CO485" s="271"/>
      <c r="CP485" s="271"/>
      <c r="CQ485" s="271"/>
      <c r="CR485" s="271"/>
      <c r="CS485" s="271">
        <v>428765760</v>
      </c>
      <c r="CT485" s="271"/>
      <c r="CU485" s="271"/>
      <c r="CV485" s="271"/>
      <c r="CW485" s="271"/>
      <c r="CX485" s="271"/>
      <c r="CY485" s="271"/>
      <c r="CZ485" s="271"/>
      <c r="DA485" s="271"/>
      <c r="DB485" s="271"/>
      <c r="DC485" s="271"/>
      <c r="DD485" s="234">
        <f t="shared" si="182"/>
        <v>428765760</v>
      </c>
      <c r="DE485" s="244">
        <f t="shared" si="183"/>
        <v>1361361760</v>
      </c>
    </row>
    <row r="486" spans="1:109" s="99" customFormat="1" ht="113.1" customHeight="1">
      <c r="A486" s="103" t="s">
        <v>1241</v>
      </c>
      <c r="B486" s="279" t="s">
        <v>9</v>
      </c>
      <c r="C486" s="279" t="s">
        <v>1693</v>
      </c>
      <c r="D486" s="279">
        <v>39</v>
      </c>
      <c r="E486" s="279" t="s">
        <v>1397</v>
      </c>
      <c r="F486" s="280" t="s">
        <v>1398</v>
      </c>
      <c r="G486" s="279" t="s">
        <v>3195</v>
      </c>
      <c r="H486" s="279">
        <v>47</v>
      </c>
      <c r="I486" s="279" t="s">
        <v>1399</v>
      </c>
      <c r="J486" s="279" t="s">
        <v>683</v>
      </c>
      <c r="K486" s="279">
        <v>123</v>
      </c>
      <c r="L486" s="279">
        <v>123</v>
      </c>
      <c r="M486" s="279" t="s">
        <v>1405</v>
      </c>
      <c r="N486" s="279" t="s">
        <v>1406</v>
      </c>
      <c r="O486" s="279" t="s">
        <v>420</v>
      </c>
      <c r="P486" s="283">
        <v>436</v>
      </c>
      <c r="Q486" s="279" t="s">
        <v>3197</v>
      </c>
      <c r="R486" s="279" t="s">
        <v>1407</v>
      </c>
      <c r="S486" s="279" t="s">
        <v>683</v>
      </c>
      <c r="T486" s="279">
        <v>1</v>
      </c>
      <c r="U486" s="267"/>
      <c r="V486" s="267"/>
      <c r="W486" s="224">
        <v>0</v>
      </c>
      <c r="X486" s="267"/>
      <c r="Y486" s="267"/>
      <c r="Z486" s="267">
        <v>1</v>
      </c>
      <c r="AA486" s="267"/>
      <c r="AB486" s="224">
        <v>1</v>
      </c>
      <c r="AC486" s="267"/>
      <c r="AD486" s="267"/>
      <c r="AE486" s="267">
        <v>0.5</v>
      </c>
      <c r="AF486" s="267"/>
      <c r="AG486" s="224">
        <v>0.5</v>
      </c>
      <c r="AH486" s="267"/>
      <c r="AI486" s="267"/>
      <c r="AJ486" s="267">
        <v>0.5</v>
      </c>
      <c r="AK486" s="267"/>
      <c r="AL486" s="224">
        <v>0.5</v>
      </c>
      <c r="AM486" s="104">
        <v>2</v>
      </c>
      <c r="AN486" s="103" t="s">
        <v>685</v>
      </c>
      <c r="AO486" s="103" t="s">
        <v>619</v>
      </c>
      <c r="AP486" s="103" t="s">
        <v>1217</v>
      </c>
      <c r="AQ486" s="103" t="s">
        <v>1207</v>
      </c>
      <c r="AR486" s="103" t="s">
        <v>939</v>
      </c>
      <c r="AS486" s="271"/>
      <c r="AT486" s="271"/>
      <c r="AU486" s="271"/>
      <c r="AV486" s="271"/>
      <c r="AW486" s="271"/>
      <c r="AX486" s="271"/>
      <c r="AY486" s="271"/>
      <c r="AZ486" s="271"/>
      <c r="BA486" s="271"/>
      <c r="BB486" s="271"/>
      <c r="BC486" s="271"/>
      <c r="BD486" s="271"/>
      <c r="BE486" s="271"/>
      <c r="BF486" s="271"/>
      <c r="BG486" s="271"/>
      <c r="BH486" s="235">
        <f t="shared" si="179"/>
        <v>0</v>
      </c>
      <c r="BI486" s="271"/>
      <c r="BJ486" s="271"/>
      <c r="BK486" s="271"/>
      <c r="BL486" s="271"/>
      <c r="BM486" s="271">
        <v>254958945</v>
      </c>
      <c r="BN486" s="271"/>
      <c r="BO486" s="271"/>
      <c r="BP486" s="271"/>
      <c r="BQ486" s="271"/>
      <c r="BR486" s="271"/>
      <c r="BS486" s="271"/>
      <c r="BT486" s="271"/>
      <c r="BU486" s="271"/>
      <c r="BV486" s="271"/>
      <c r="BW486" s="271"/>
      <c r="BX486" s="235">
        <f t="shared" si="180"/>
        <v>254958945</v>
      </c>
      <c r="BY486" s="271"/>
      <c r="BZ486" s="271"/>
      <c r="CA486" s="271"/>
      <c r="CB486" s="271"/>
      <c r="CC486" s="271">
        <v>347474863</v>
      </c>
      <c r="CD486" s="271"/>
      <c r="CE486" s="271"/>
      <c r="CF486" s="271"/>
      <c r="CG486" s="271"/>
      <c r="CH486" s="271"/>
      <c r="CI486" s="271"/>
      <c r="CJ486" s="271"/>
      <c r="CK486" s="271"/>
      <c r="CL486" s="271"/>
      <c r="CM486" s="271"/>
      <c r="CN486" s="235">
        <f t="shared" si="181"/>
        <v>347474863</v>
      </c>
      <c r="CO486" s="271"/>
      <c r="CP486" s="271"/>
      <c r="CQ486" s="271"/>
      <c r="CR486" s="271"/>
      <c r="CS486" s="271">
        <v>407319950</v>
      </c>
      <c r="CT486" s="271"/>
      <c r="CU486" s="271"/>
      <c r="CV486" s="271"/>
      <c r="CW486" s="271"/>
      <c r="CX486" s="271"/>
      <c r="CY486" s="271"/>
      <c r="CZ486" s="271"/>
      <c r="DA486" s="271"/>
      <c r="DB486" s="271"/>
      <c r="DC486" s="271"/>
      <c r="DD486" s="234">
        <f t="shared" si="182"/>
        <v>407319950</v>
      </c>
      <c r="DE486" s="244">
        <f t="shared" si="183"/>
        <v>1009753758</v>
      </c>
    </row>
    <row r="487" spans="1:109" s="99" customFormat="1" ht="113.1" customHeight="1">
      <c r="A487" s="103" t="s">
        <v>1241</v>
      </c>
      <c r="B487" s="279" t="s">
        <v>9</v>
      </c>
      <c r="C487" s="279" t="s">
        <v>1693</v>
      </c>
      <c r="D487" s="279">
        <v>39</v>
      </c>
      <c r="E487" s="279" t="s">
        <v>1397</v>
      </c>
      <c r="F487" s="280" t="s">
        <v>1398</v>
      </c>
      <c r="G487" s="279" t="s">
        <v>3195</v>
      </c>
      <c r="H487" s="279">
        <v>47</v>
      </c>
      <c r="I487" s="279" t="s">
        <v>1399</v>
      </c>
      <c r="J487" s="279" t="s">
        <v>683</v>
      </c>
      <c r="K487" s="279">
        <v>123</v>
      </c>
      <c r="L487" s="279">
        <v>123</v>
      </c>
      <c r="M487" s="279" t="s">
        <v>1405</v>
      </c>
      <c r="N487" s="279" t="s">
        <v>1406</v>
      </c>
      <c r="O487" s="279" t="s">
        <v>420</v>
      </c>
      <c r="P487" s="283">
        <v>437</v>
      </c>
      <c r="Q487" s="279" t="s">
        <v>3464</v>
      </c>
      <c r="R487" s="279" t="s">
        <v>1408</v>
      </c>
      <c r="S487" s="279" t="s">
        <v>683</v>
      </c>
      <c r="T487" s="279">
        <v>145</v>
      </c>
      <c r="U487" s="267"/>
      <c r="V487" s="267"/>
      <c r="W487" s="224">
        <v>0</v>
      </c>
      <c r="X487" s="267"/>
      <c r="Y487" s="267">
        <v>0.25</v>
      </c>
      <c r="Z487" s="267">
        <v>0.25</v>
      </c>
      <c r="AA487" s="267">
        <v>0.5</v>
      </c>
      <c r="AB487" s="224">
        <v>1</v>
      </c>
      <c r="AC487" s="267"/>
      <c r="AD487" s="267">
        <v>0.25</v>
      </c>
      <c r="AE487" s="267">
        <v>0.25</v>
      </c>
      <c r="AF487" s="267">
        <v>0.5</v>
      </c>
      <c r="AG487" s="224">
        <v>1</v>
      </c>
      <c r="AH487" s="267"/>
      <c r="AI487" s="267">
        <v>0.25</v>
      </c>
      <c r="AJ487" s="267">
        <v>0.25</v>
      </c>
      <c r="AK487" s="267">
        <v>0.5</v>
      </c>
      <c r="AL487" s="224">
        <v>1</v>
      </c>
      <c r="AM487" s="104">
        <v>3</v>
      </c>
      <c r="AN487" s="103" t="s">
        <v>685</v>
      </c>
      <c r="AO487" s="103" t="s">
        <v>619</v>
      </c>
      <c r="AP487" s="103" t="s">
        <v>1217</v>
      </c>
      <c r="AQ487" s="103" t="s">
        <v>1207</v>
      </c>
      <c r="AR487" s="103" t="s">
        <v>939</v>
      </c>
      <c r="AS487" s="271"/>
      <c r="AT487" s="271"/>
      <c r="AU487" s="271"/>
      <c r="AV487" s="271"/>
      <c r="AW487" s="271"/>
      <c r="AX487" s="271"/>
      <c r="AY487" s="271"/>
      <c r="AZ487" s="271"/>
      <c r="BA487" s="271"/>
      <c r="BB487" s="271"/>
      <c r="BC487" s="271"/>
      <c r="BD487" s="271"/>
      <c r="BE487" s="271"/>
      <c r="BF487" s="271"/>
      <c r="BG487" s="271"/>
      <c r="BH487" s="235">
        <f t="shared" si="179"/>
        <v>0</v>
      </c>
      <c r="BI487" s="271"/>
      <c r="BJ487" s="271"/>
      <c r="BK487" s="271"/>
      <c r="BL487" s="271"/>
      <c r="BM487" s="271">
        <v>30000000</v>
      </c>
      <c r="BN487" s="271"/>
      <c r="BO487" s="271"/>
      <c r="BP487" s="271"/>
      <c r="BQ487" s="271"/>
      <c r="BR487" s="271"/>
      <c r="BS487" s="271"/>
      <c r="BT487" s="271"/>
      <c r="BU487" s="271"/>
      <c r="BV487" s="271"/>
      <c r="BW487" s="271"/>
      <c r="BX487" s="235">
        <f t="shared" si="180"/>
        <v>30000000</v>
      </c>
      <c r="BY487" s="271"/>
      <c r="BZ487" s="271"/>
      <c r="CA487" s="271"/>
      <c r="CB487" s="271"/>
      <c r="CC487" s="271">
        <v>34500000</v>
      </c>
      <c r="CD487" s="271"/>
      <c r="CE487" s="271"/>
      <c r="CF487" s="271"/>
      <c r="CG487" s="271"/>
      <c r="CH487" s="271"/>
      <c r="CI487" s="271"/>
      <c r="CJ487" s="271"/>
      <c r="CK487" s="271"/>
      <c r="CL487" s="271"/>
      <c r="CM487" s="271"/>
      <c r="CN487" s="235">
        <f t="shared" si="181"/>
        <v>34500000</v>
      </c>
      <c r="CO487" s="271"/>
      <c r="CP487" s="271"/>
      <c r="CQ487" s="271"/>
      <c r="CR487" s="271"/>
      <c r="CS487" s="271">
        <v>39000000</v>
      </c>
      <c r="CT487" s="271"/>
      <c r="CU487" s="271"/>
      <c r="CV487" s="271"/>
      <c r="CW487" s="271"/>
      <c r="CX487" s="271"/>
      <c r="CY487" s="271"/>
      <c r="CZ487" s="271"/>
      <c r="DA487" s="271"/>
      <c r="DB487" s="271"/>
      <c r="DC487" s="271"/>
      <c r="DD487" s="234">
        <f t="shared" si="182"/>
        <v>39000000</v>
      </c>
      <c r="DE487" s="244">
        <f t="shared" si="183"/>
        <v>103500000</v>
      </c>
    </row>
    <row r="488" spans="1:109" s="99" customFormat="1" ht="113.1" customHeight="1">
      <c r="A488" s="103" t="s">
        <v>1241</v>
      </c>
      <c r="B488" s="279" t="s">
        <v>9</v>
      </c>
      <c r="C488" s="279" t="s">
        <v>1693</v>
      </c>
      <c r="D488" s="279">
        <v>39</v>
      </c>
      <c r="E488" s="279" t="s">
        <v>1397</v>
      </c>
      <c r="F488" s="280" t="s">
        <v>1398</v>
      </c>
      <c r="G488" s="279" t="s">
        <v>3195</v>
      </c>
      <c r="H488" s="279">
        <v>47</v>
      </c>
      <c r="I488" s="279" t="s">
        <v>1399</v>
      </c>
      <c r="J488" s="279" t="s">
        <v>683</v>
      </c>
      <c r="K488" s="279">
        <v>123</v>
      </c>
      <c r="L488" s="279">
        <v>123</v>
      </c>
      <c r="M488" s="279" t="s">
        <v>1405</v>
      </c>
      <c r="N488" s="279" t="s">
        <v>1406</v>
      </c>
      <c r="O488" s="279" t="s">
        <v>420</v>
      </c>
      <c r="P488" s="283">
        <v>438</v>
      </c>
      <c r="Q488" s="279" t="s">
        <v>3198</v>
      </c>
      <c r="R488" s="279" t="s">
        <v>1409</v>
      </c>
      <c r="S488" s="279" t="s">
        <v>683</v>
      </c>
      <c r="T488" s="279">
        <v>105</v>
      </c>
      <c r="U488" s="267"/>
      <c r="V488" s="267">
        <v>2</v>
      </c>
      <c r="W488" s="224">
        <v>2</v>
      </c>
      <c r="X488" s="267"/>
      <c r="Y488" s="267"/>
      <c r="Z488" s="267">
        <v>3</v>
      </c>
      <c r="AA488" s="267">
        <v>4</v>
      </c>
      <c r="AB488" s="224">
        <v>7</v>
      </c>
      <c r="AC488" s="267"/>
      <c r="AD488" s="267"/>
      <c r="AE488" s="267">
        <v>3</v>
      </c>
      <c r="AF488" s="267">
        <v>4</v>
      </c>
      <c r="AG488" s="224">
        <v>7</v>
      </c>
      <c r="AH488" s="267"/>
      <c r="AI488" s="267"/>
      <c r="AJ488" s="267">
        <v>3</v>
      </c>
      <c r="AK488" s="267">
        <v>3</v>
      </c>
      <c r="AL488" s="224">
        <v>6</v>
      </c>
      <c r="AM488" s="104">
        <v>22</v>
      </c>
      <c r="AN488" s="103" t="s">
        <v>685</v>
      </c>
      <c r="AO488" s="103" t="s">
        <v>619</v>
      </c>
      <c r="AP488" s="103" t="s">
        <v>1217</v>
      </c>
      <c r="AQ488" s="103" t="s">
        <v>1207</v>
      </c>
      <c r="AR488" s="103" t="s">
        <v>939</v>
      </c>
      <c r="AS488" s="271"/>
      <c r="AT488" s="271"/>
      <c r="AU488" s="271"/>
      <c r="AV488" s="271"/>
      <c r="AW488" s="271">
        <v>10000000</v>
      </c>
      <c r="AX488" s="271"/>
      <c r="AY488" s="271"/>
      <c r="AZ488" s="271"/>
      <c r="BA488" s="271"/>
      <c r="BB488" s="271"/>
      <c r="BC488" s="271"/>
      <c r="BD488" s="271"/>
      <c r="BE488" s="271"/>
      <c r="BF488" s="271"/>
      <c r="BG488" s="271"/>
      <c r="BH488" s="235">
        <f t="shared" si="179"/>
        <v>10000000</v>
      </c>
      <c r="BI488" s="271"/>
      <c r="BJ488" s="271"/>
      <c r="BK488" s="271"/>
      <c r="BL488" s="271"/>
      <c r="BM488" s="271">
        <v>201094236</v>
      </c>
      <c r="BN488" s="271"/>
      <c r="BO488" s="271"/>
      <c r="BP488" s="271"/>
      <c r="BQ488" s="271"/>
      <c r="BR488" s="271"/>
      <c r="BS488" s="271"/>
      <c r="BT488" s="271"/>
      <c r="BU488" s="271"/>
      <c r="BV488" s="271"/>
      <c r="BW488" s="271"/>
      <c r="BX488" s="235">
        <f t="shared" si="180"/>
        <v>201094236</v>
      </c>
      <c r="BY488" s="271"/>
      <c r="BZ488" s="271"/>
      <c r="CA488" s="271"/>
      <c r="CB488" s="271"/>
      <c r="CC488" s="271">
        <v>213259891</v>
      </c>
      <c r="CD488" s="271"/>
      <c r="CE488" s="271"/>
      <c r="CF488" s="271"/>
      <c r="CG488" s="271"/>
      <c r="CH488" s="271"/>
      <c r="CI488" s="271"/>
      <c r="CJ488" s="271"/>
      <c r="CK488" s="271"/>
      <c r="CL488" s="271"/>
      <c r="CM488" s="271"/>
      <c r="CN488" s="235">
        <f t="shared" si="181"/>
        <v>213259891</v>
      </c>
      <c r="CO488" s="271"/>
      <c r="CP488" s="271"/>
      <c r="CQ488" s="271"/>
      <c r="CR488" s="271"/>
      <c r="CS488" s="271">
        <v>166815484</v>
      </c>
      <c r="CT488" s="271"/>
      <c r="CU488" s="271"/>
      <c r="CV488" s="271"/>
      <c r="CW488" s="271"/>
      <c r="CX488" s="271"/>
      <c r="CY488" s="271"/>
      <c r="CZ488" s="271"/>
      <c r="DA488" s="271"/>
      <c r="DB488" s="271"/>
      <c r="DC488" s="271"/>
      <c r="DD488" s="234">
        <f t="shared" si="182"/>
        <v>166815484</v>
      </c>
      <c r="DE488" s="244">
        <f t="shared" si="183"/>
        <v>591169611</v>
      </c>
    </row>
    <row r="489" spans="1:109" s="99" customFormat="1" ht="113.1" customHeight="1">
      <c r="A489" s="103" t="s">
        <v>1241</v>
      </c>
      <c r="B489" s="279" t="s">
        <v>9</v>
      </c>
      <c r="C489" s="279" t="s">
        <v>1693</v>
      </c>
      <c r="D489" s="279">
        <v>39</v>
      </c>
      <c r="E489" s="279" t="s">
        <v>1397</v>
      </c>
      <c r="F489" s="280" t="s">
        <v>1398</v>
      </c>
      <c r="G489" s="279" t="s">
        <v>3195</v>
      </c>
      <c r="H489" s="279">
        <v>47</v>
      </c>
      <c r="I489" s="279" t="s">
        <v>1399</v>
      </c>
      <c r="J489" s="279" t="s">
        <v>683</v>
      </c>
      <c r="K489" s="279">
        <v>123</v>
      </c>
      <c r="L489" s="279">
        <v>123</v>
      </c>
      <c r="M489" s="279" t="s">
        <v>1410</v>
      </c>
      <c r="N489" s="279" t="s">
        <v>1411</v>
      </c>
      <c r="O489" s="279" t="s">
        <v>421</v>
      </c>
      <c r="P489" s="283">
        <v>439</v>
      </c>
      <c r="Q489" s="279" t="s">
        <v>3199</v>
      </c>
      <c r="R489" s="279" t="s">
        <v>1412</v>
      </c>
      <c r="S489" s="279" t="s">
        <v>683</v>
      </c>
      <c r="T489" s="279">
        <v>21</v>
      </c>
      <c r="U489" s="267"/>
      <c r="V489" s="267"/>
      <c r="W489" s="224">
        <v>0</v>
      </c>
      <c r="X489" s="267">
        <v>0.25</v>
      </c>
      <c r="Y489" s="267">
        <v>0.25</v>
      </c>
      <c r="Z489" s="267">
        <v>0.25</v>
      </c>
      <c r="AA489" s="267">
        <v>0.25</v>
      </c>
      <c r="AB489" s="224">
        <v>1</v>
      </c>
      <c r="AC489" s="267">
        <v>0.25</v>
      </c>
      <c r="AD489" s="267">
        <v>0.25</v>
      </c>
      <c r="AE489" s="267">
        <v>0.25</v>
      </c>
      <c r="AF489" s="267">
        <v>0.25</v>
      </c>
      <c r="AG489" s="224">
        <v>1</v>
      </c>
      <c r="AH489" s="267">
        <v>0.25</v>
      </c>
      <c r="AI489" s="267">
        <v>0.25</v>
      </c>
      <c r="AJ489" s="267">
        <v>0.25</v>
      </c>
      <c r="AK489" s="267">
        <v>0.25</v>
      </c>
      <c r="AL489" s="224">
        <v>1</v>
      </c>
      <c r="AM489" s="104">
        <v>3</v>
      </c>
      <c r="AN489" s="103" t="s">
        <v>685</v>
      </c>
      <c r="AO489" s="103" t="s">
        <v>619</v>
      </c>
      <c r="AP489" s="103" t="s">
        <v>1217</v>
      </c>
      <c r="AQ489" s="103" t="s">
        <v>1207</v>
      </c>
      <c r="AR489" s="103" t="s">
        <v>951</v>
      </c>
      <c r="AS489" s="271"/>
      <c r="AT489" s="271"/>
      <c r="AU489" s="271"/>
      <c r="AV489" s="271"/>
      <c r="AW489" s="271"/>
      <c r="AX489" s="271"/>
      <c r="AY489" s="271"/>
      <c r="AZ489" s="271"/>
      <c r="BA489" s="271"/>
      <c r="BB489" s="271"/>
      <c r="BC489" s="271"/>
      <c r="BD489" s="271"/>
      <c r="BE489" s="271"/>
      <c r="BF489" s="271"/>
      <c r="BG489" s="271"/>
      <c r="BH489" s="235">
        <f t="shared" si="179"/>
        <v>0</v>
      </c>
      <c r="BI489" s="271"/>
      <c r="BJ489" s="271"/>
      <c r="BK489" s="271"/>
      <c r="BL489" s="271"/>
      <c r="BM489" s="271">
        <v>50000000</v>
      </c>
      <c r="BN489" s="271"/>
      <c r="BO489" s="271"/>
      <c r="BP489" s="271"/>
      <c r="BQ489" s="271"/>
      <c r="BR489" s="271"/>
      <c r="BS489" s="271"/>
      <c r="BT489" s="271"/>
      <c r="BU489" s="271"/>
      <c r="BV489" s="271"/>
      <c r="BW489" s="271"/>
      <c r="BX489" s="235">
        <f t="shared" si="180"/>
        <v>50000000</v>
      </c>
      <c r="BY489" s="271"/>
      <c r="BZ489" s="271"/>
      <c r="CA489" s="271"/>
      <c r="CB489" s="271"/>
      <c r="CC489" s="271">
        <v>47000000</v>
      </c>
      <c r="CD489" s="271"/>
      <c r="CE489" s="271"/>
      <c r="CF489" s="271"/>
      <c r="CG489" s="271"/>
      <c r="CH489" s="271"/>
      <c r="CI489" s="271"/>
      <c r="CJ489" s="271"/>
      <c r="CK489" s="271"/>
      <c r="CL489" s="271"/>
      <c r="CM489" s="271"/>
      <c r="CN489" s="235">
        <f t="shared" si="181"/>
        <v>47000000</v>
      </c>
      <c r="CO489" s="271"/>
      <c r="CP489" s="271"/>
      <c r="CQ489" s="271"/>
      <c r="CR489" s="271"/>
      <c r="CS489" s="271">
        <v>45000000</v>
      </c>
      <c r="CT489" s="271"/>
      <c r="CU489" s="271"/>
      <c r="CV489" s="271"/>
      <c r="CW489" s="271"/>
      <c r="CX489" s="271"/>
      <c r="CY489" s="271"/>
      <c r="CZ489" s="271"/>
      <c r="DA489" s="271"/>
      <c r="DB489" s="271"/>
      <c r="DC489" s="271"/>
      <c r="DD489" s="234">
        <f t="shared" si="182"/>
        <v>45000000</v>
      </c>
      <c r="DE489" s="244">
        <f t="shared" si="183"/>
        <v>142000000</v>
      </c>
    </row>
    <row r="490" spans="1:109" s="99" customFormat="1" ht="113.1" customHeight="1">
      <c r="A490" s="103" t="s">
        <v>1241</v>
      </c>
      <c r="B490" s="279" t="s">
        <v>9</v>
      </c>
      <c r="C490" s="279" t="s">
        <v>1693</v>
      </c>
      <c r="D490" s="279">
        <v>39</v>
      </c>
      <c r="E490" s="279" t="s">
        <v>1397</v>
      </c>
      <c r="F490" s="280" t="s">
        <v>1398</v>
      </c>
      <c r="G490" s="279" t="s">
        <v>3195</v>
      </c>
      <c r="H490" s="279">
        <v>47</v>
      </c>
      <c r="I490" s="279" t="s">
        <v>1399</v>
      </c>
      <c r="J490" s="279" t="s">
        <v>683</v>
      </c>
      <c r="K490" s="279">
        <v>123</v>
      </c>
      <c r="L490" s="279">
        <v>123</v>
      </c>
      <c r="M490" s="279" t="s">
        <v>1410</v>
      </c>
      <c r="N490" s="279" t="s">
        <v>1411</v>
      </c>
      <c r="O490" s="279" t="s">
        <v>421</v>
      </c>
      <c r="P490" s="283">
        <v>440</v>
      </c>
      <c r="Q490" s="279" t="s">
        <v>3200</v>
      </c>
      <c r="R490" s="279" t="s">
        <v>1413</v>
      </c>
      <c r="S490" s="279" t="s">
        <v>683</v>
      </c>
      <c r="T490" s="279">
        <v>1</v>
      </c>
      <c r="U490" s="267">
        <v>0.5</v>
      </c>
      <c r="V490" s="267">
        <v>0.5</v>
      </c>
      <c r="W490" s="224">
        <v>1</v>
      </c>
      <c r="X490" s="267">
        <v>0.25</v>
      </c>
      <c r="Y490" s="267">
        <v>0.25</v>
      </c>
      <c r="Z490" s="267">
        <v>0.25</v>
      </c>
      <c r="AA490" s="267">
        <v>0.25</v>
      </c>
      <c r="AB490" s="224">
        <v>1</v>
      </c>
      <c r="AC490" s="267">
        <v>0.25</v>
      </c>
      <c r="AD490" s="267">
        <v>0.25</v>
      </c>
      <c r="AE490" s="267">
        <v>0.25</v>
      </c>
      <c r="AF490" s="267">
        <v>0.25</v>
      </c>
      <c r="AG490" s="224">
        <v>1</v>
      </c>
      <c r="AH490" s="267">
        <v>0.25</v>
      </c>
      <c r="AI490" s="267">
        <v>0.25</v>
      </c>
      <c r="AJ490" s="267">
        <v>0.25</v>
      </c>
      <c r="AK490" s="267">
        <v>0.25</v>
      </c>
      <c r="AL490" s="224">
        <v>1</v>
      </c>
      <c r="AM490" s="104">
        <v>4</v>
      </c>
      <c r="AN490" s="103" t="s">
        <v>685</v>
      </c>
      <c r="AO490" s="103" t="s">
        <v>619</v>
      </c>
      <c r="AP490" s="103" t="s">
        <v>1217</v>
      </c>
      <c r="AQ490" s="103" t="s">
        <v>1207</v>
      </c>
      <c r="AR490" s="103" t="s">
        <v>943</v>
      </c>
      <c r="AS490" s="271"/>
      <c r="AT490" s="271"/>
      <c r="AU490" s="271"/>
      <c r="AV490" s="271"/>
      <c r="AW490" s="271">
        <v>217599574</v>
      </c>
      <c r="AX490" s="271"/>
      <c r="AY490" s="271"/>
      <c r="AZ490" s="271"/>
      <c r="BA490" s="271"/>
      <c r="BB490" s="271"/>
      <c r="BC490" s="271"/>
      <c r="BD490" s="271"/>
      <c r="BE490" s="271"/>
      <c r="BF490" s="271"/>
      <c r="BG490" s="271"/>
      <c r="BH490" s="235">
        <f t="shared" si="179"/>
        <v>217599574</v>
      </c>
      <c r="BI490" s="271"/>
      <c r="BJ490" s="271"/>
      <c r="BK490" s="271"/>
      <c r="BL490" s="271"/>
      <c r="BM490" s="271">
        <v>613596283</v>
      </c>
      <c r="BN490" s="271"/>
      <c r="BO490" s="271"/>
      <c r="BP490" s="271"/>
      <c r="BQ490" s="271"/>
      <c r="BR490" s="271"/>
      <c r="BS490" s="271"/>
      <c r="BT490" s="271"/>
      <c r="BU490" s="271"/>
      <c r="BV490" s="271"/>
      <c r="BW490" s="271"/>
      <c r="BX490" s="235">
        <f t="shared" si="180"/>
        <v>613596283</v>
      </c>
      <c r="BY490" s="271"/>
      <c r="BZ490" s="271"/>
      <c r="CA490" s="271"/>
      <c r="CB490" s="271"/>
      <c r="CC490" s="271">
        <v>658936703</v>
      </c>
      <c r="CD490" s="271"/>
      <c r="CE490" s="271"/>
      <c r="CF490" s="271"/>
      <c r="CG490" s="271"/>
      <c r="CH490" s="271"/>
      <c r="CI490" s="271"/>
      <c r="CJ490" s="271"/>
      <c r="CK490" s="271"/>
      <c r="CL490" s="271"/>
      <c r="CM490" s="271"/>
      <c r="CN490" s="235">
        <f t="shared" si="181"/>
        <v>658936703</v>
      </c>
      <c r="CO490" s="271"/>
      <c r="CP490" s="271"/>
      <c r="CQ490" s="271"/>
      <c r="CR490" s="271"/>
      <c r="CS490" s="271">
        <v>825090031</v>
      </c>
      <c r="CT490" s="271"/>
      <c r="CU490" s="271"/>
      <c r="CV490" s="271"/>
      <c r="CW490" s="271"/>
      <c r="CX490" s="271"/>
      <c r="CY490" s="271"/>
      <c r="CZ490" s="271"/>
      <c r="DA490" s="271"/>
      <c r="DB490" s="271"/>
      <c r="DC490" s="271"/>
      <c r="DD490" s="234">
        <f t="shared" si="182"/>
        <v>825090031</v>
      </c>
      <c r="DE490" s="244">
        <f t="shared" si="183"/>
        <v>2315222591</v>
      </c>
    </row>
    <row r="491" spans="1:109" s="99" customFormat="1" ht="113.1" customHeight="1">
      <c r="A491" s="103" t="s">
        <v>1241</v>
      </c>
      <c r="B491" s="279" t="s">
        <v>9</v>
      </c>
      <c r="C491" s="279" t="s">
        <v>1693</v>
      </c>
      <c r="D491" s="279">
        <v>39</v>
      </c>
      <c r="E491" s="279" t="s">
        <v>1397</v>
      </c>
      <c r="F491" s="280" t="s">
        <v>1398</v>
      </c>
      <c r="G491" s="279" t="s">
        <v>3195</v>
      </c>
      <c r="H491" s="279">
        <v>47</v>
      </c>
      <c r="I491" s="279" t="s">
        <v>1399</v>
      </c>
      <c r="J491" s="279" t="s">
        <v>683</v>
      </c>
      <c r="K491" s="279">
        <v>123</v>
      </c>
      <c r="L491" s="279">
        <v>123</v>
      </c>
      <c r="M491" s="279" t="s">
        <v>1410</v>
      </c>
      <c r="N491" s="279" t="s">
        <v>1411</v>
      </c>
      <c r="O491" s="279" t="s">
        <v>421</v>
      </c>
      <c r="P491" s="283">
        <v>441</v>
      </c>
      <c r="Q491" s="279" t="s">
        <v>3201</v>
      </c>
      <c r="R491" s="279" t="s">
        <v>1414</v>
      </c>
      <c r="S491" s="279" t="s">
        <v>683</v>
      </c>
      <c r="T491" s="279">
        <v>2</v>
      </c>
      <c r="U491" s="267">
        <v>0.5</v>
      </c>
      <c r="V491" s="267">
        <v>0.5</v>
      </c>
      <c r="W491" s="224">
        <v>1</v>
      </c>
      <c r="X491" s="267">
        <v>0.25</v>
      </c>
      <c r="Y491" s="267">
        <v>0.25</v>
      </c>
      <c r="Z491" s="267">
        <v>0.25</v>
      </c>
      <c r="AA491" s="267">
        <v>0.25</v>
      </c>
      <c r="AB491" s="224">
        <v>1</v>
      </c>
      <c r="AC491" s="267">
        <v>0.25</v>
      </c>
      <c r="AD491" s="267">
        <v>0.25</v>
      </c>
      <c r="AE491" s="267">
        <v>0.25</v>
      </c>
      <c r="AF491" s="267">
        <v>0.25</v>
      </c>
      <c r="AG491" s="224">
        <v>1</v>
      </c>
      <c r="AH491" s="267">
        <v>0.25</v>
      </c>
      <c r="AI491" s="267">
        <v>0.25</v>
      </c>
      <c r="AJ491" s="267">
        <v>0.25</v>
      </c>
      <c r="AK491" s="267">
        <v>0.25</v>
      </c>
      <c r="AL491" s="224">
        <v>1</v>
      </c>
      <c r="AM491" s="104">
        <v>4</v>
      </c>
      <c r="AN491" s="103" t="s">
        <v>685</v>
      </c>
      <c r="AO491" s="103" t="s">
        <v>619</v>
      </c>
      <c r="AP491" s="103" t="s">
        <v>1217</v>
      </c>
      <c r="AQ491" s="103" t="s">
        <v>1207</v>
      </c>
      <c r="AR491" s="103" t="s">
        <v>943</v>
      </c>
      <c r="AS491" s="271"/>
      <c r="AT491" s="271"/>
      <c r="AU491" s="271"/>
      <c r="AV491" s="271"/>
      <c r="AW491" s="271">
        <v>215643020</v>
      </c>
      <c r="AX491" s="271"/>
      <c r="AY491" s="271"/>
      <c r="AZ491" s="271"/>
      <c r="BA491" s="271"/>
      <c r="BB491" s="271"/>
      <c r="BC491" s="271"/>
      <c r="BD491" s="271"/>
      <c r="BE491" s="271"/>
      <c r="BF491" s="271"/>
      <c r="BG491" s="271"/>
      <c r="BH491" s="235">
        <f t="shared" si="179"/>
        <v>215643020</v>
      </c>
      <c r="BI491" s="271"/>
      <c r="BJ491" s="271"/>
      <c r="BK491" s="271"/>
      <c r="BL491" s="271"/>
      <c r="BM491" s="271">
        <v>614021505</v>
      </c>
      <c r="BN491" s="271"/>
      <c r="BO491" s="271"/>
      <c r="BP491" s="271"/>
      <c r="BQ491" s="271"/>
      <c r="BR491" s="271"/>
      <c r="BS491" s="271"/>
      <c r="BT491" s="271"/>
      <c r="BU491" s="271"/>
      <c r="BV491" s="271"/>
      <c r="BW491" s="271"/>
      <c r="BX491" s="235">
        <f t="shared" si="180"/>
        <v>614021505</v>
      </c>
      <c r="BY491" s="271"/>
      <c r="BZ491" s="271"/>
      <c r="CA491" s="271"/>
      <c r="CB491" s="271"/>
      <c r="CC491" s="271">
        <v>655436703</v>
      </c>
      <c r="CD491" s="271"/>
      <c r="CE491" s="271"/>
      <c r="CF491" s="271"/>
      <c r="CG491" s="271"/>
      <c r="CH491" s="271"/>
      <c r="CI491" s="271"/>
      <c r="CJ491" s="271"/>
      <c r="CK491" s="271"/>
      <c r="CL491" s="271"/>
      <c r="CM491" s="271"/>
      <c r="CN491" s="235">
        <f t="shared" si="181"/>
        <v>655436703</v>
      </c>
      <c r="CO491" s="271"/>
      <c r="CP491" s="271"/>
      <c r="CQ491" s="271"/>
      <c r="CR491" s="271"/>
      <c r="CS491" s="271">
        <v>823630226</v>
      </c>
      <c r="CT491" s="271"/>
      <c r="CU491" s="271"/>
      <c r="CV491" s="271"/>
      <c r="CW491" s="271"/>
      <c r="CX491" s="271"/>
      <c r="CY491" s="271"/>
      <c r="CZ491" s="271"/>
      <c r="DA491" s="271"/>
      <c r="DB491" s="271"/>
      <c r="DC491" s="271"/>
      <c r="DD491" s="234">
        <f t="shared" si="182"/>
        <v>823630226</v>
      </c>
      <c r="DE491" s="244">
        <f t="shared" si="183"/>
        <v>2308731454</v>
      </c>
    </row>
    <row r="492" spans="1:109" s="99" customFormat="1" ht="113.1" customHeight="1">
      <c r="A492" s="103" t="s">
        <v>1241</v>
      </c>
      <c r="B492" s="279" t="s">
        <v>9</v>
      </c>
      <c r="C492" s="279" t="s">
        <v>1693</v>
      </c>
      <c r="D492" s="279">
        <v>39</v>
      </c>
      <c r="E492" s="279" t="s">
        <v>1397</v>
      </c>
      <c r="F492" s="280" t="s">
        <v>1398</v>
      </c>
      <c r="G492" s="279" t="s">
        <v>3195</v>
      </c>
      <c r="H492" s="279">
        <v>47</v>
      </c>
      <c r="I492" s="279" t="s">
        <v>1399</v>
      </c>
      <c r="J492" s="279" t="s">
        <v>683</v>
      </c>
      <c r="K492" s="279">
        <v>123</v>
      </c>
      <c r="L492" s="279">
        <v>123</v>
      </c>
      <c r="M492" s="279" t="s">
        <v>1410</v>
      </c>
      <c r="N492" s="279" t="s">
        <v>1411</v>
      </c>
      <c r="O492" s="279" t="s">
        <v>421</v>
      </c>
      <c r="P492" s="283">
        <v>442</v>
      </c>
      <c r="Q492" s="279" t="s">
        <v>3465</v>
      </c>
      <c r="R492" s="279" t="s">
        <v>1415</v>
      </c>
      <c r="S492" s="279" t="s">
        <v>683</v>
      </c>
      <c r="T492" s="279">
        <v>0</v>
      </c>
      <c r="U492" s="267">
        <v>0.5</v>
      </c>
      <c r="V492" s="267">
        <v>0.5</v>
      </c>
      <c r="W492" s="224">
        <v>1</v>
      </c>
      <c r="X492" s="267"/>
      <c r="Y492" s="267"/>
      <c r="Z492" s="267"/>
      <c r="AA492" s="267"/>
      <c r="AB492" s="224">
        <v>0</v>
      </c>
      <c r="AC492" s="267"/>
      <c r="AD492" s="267"/>
      <c r="AE492" s="267"/>
      <c r="AF492" s="267"/>
      <c r="AG492" s="224">
        <v>0</v>
      </c>
      <c r="AH492" s="267"/>
      <c r="AI492" s="267"/>
      <c r="AJ492" s="267"/>
      <c r="AK492" s="267"/>
      <c r="AL492" s="224">
        <v>0</v>
      </c>
      <c r="AM492" s="104">
        <v>1</v>
      </c>
      <c r="AN492" s="103" t="s">
        <v>685</v>
      </c>
      <c r="AO492" s="103" t="s">
        <v>619</v>
      </c>
      <c r="AP492" s="103" t="s">
        <v>1217</v>
      </c>
      <c r="AQ492" s="103" t="s">
        <v>1207</v>
      </c>
      <c r="AR492" s="103" t="s">
        <v>943</v>
      </c>
      <c r="AS492" s="271"/>
      <c r="AT492" s="271"/>
      <c r="AU492" s="271"/>
      <c r="AV492" s="271"/>
      <c r="AW492" s="271">
        <v>3000000</v>
      </c>
      <c r="AX492" s="271"/>
      <c r="AY492" s="271"/>
      <c r="AZ492" s="271"/>
      <c r="BA492" s="271"/>
      <c r="BB492" s="271"/>
      <c r="BC492" s="271"/>
      <c r="BD492" s="271"/>
      <c r="BE492" s="271"/>
      <c r="BF492" s="271"/>
      <c r="BG492" s="271"/>
      <c r="BH492" s="235">
        <f t="shared" si="179"/>
        <v>3000000</v>
      </c>
      <c r="BI492" s="271"/>
      <c r="BJ492" s="271"/>
      <c r="BK492" s="271"/>
      <c r="BL492" s="271"/>
      <c r="BM492" s="271"/>
      <c r="BN492" s="271"/>
      <c r="BO492" s="271"/>
      <c r="BP492" s="271"/>
      <c r="BQ492" s="271"/>
      <c r="BR492" s="271"/>
      <c r="BS492" s="271"/>
      <c r="BT492" s="271"/>
      <c r="BU492" s="271"/>
      <c r="BV492" s="271"/>
      <c r="BW492" s="271"/>
      <c r="BX492" s="235">
        <f t="shared" si="180"/>
        <v>0</v>
      </c>
      <c r="BY492" s="271"/>
      <c r="BZ492" s="271"/>
      <c r="CA492" s="271"/>
      <c r="CB492" s="271"/>
      <c r="CC492" s="271"/>
      <c r="CD492" s="271"/>
      <c r="CE492" s="271"/>
      <c r="CF492" s="271"/>
      <c r="CG492" s="271"/>
      <c r="CH492" s="271"/>
      <c r="CI492" s="271"/>
      <c r="CJ492" s="271"/>
      <c r="CK492" s="271"/>
      <c r="CL492" s="271"/>
      <c r="CM492" s="271"/>
      <c r="CN492" s="235">
        <f t="shared" si="181"/>
        <v>0</v>
      </c>
      <c r="CO492" s="271"/>
      <c r="CP492" s="271"/>
      <c r="CQ492" s="271"/>
      <c r="CR492" s="271"/>
      <c r="CS492" s="271"/>
      <c r="CT492" s="271"/>
      <c r="CU492" s="271"/>
      <c r="CV492" s="271"/>
      <c r="CW492" s="271"/>
      <c r="CX492" s="271"/>
      <c r="CY492" s="271"/>
      <c r="CZ492" s="271"/>
      <c r="DA492" s="271"/>
      <c r="DB492" s="271"/>
      <c r="DC492" s="271"/>
      <c r="DD492" s="234">
        <f t="shared" si="182"/>
        <v>0</v>
      </c>
      <c r="DE492" s="244">
        <f t="shared" si="183"/>
        <v>3000000</v>
      </c>
    </row>
    <row r="493" spans="1:109" s="99" customFormat="1" ht="113.1" customHeight="1">
      <c r="A493" s="103" t="s">
        <v>1241</v>
      </c>
      <c r="B493" s="279" t="s">
        <v>9</v>
      </c>
      <c r="C493" s="279" t="s">
        <v>1693</v>
      </c>
      <c r="D493" s="279">
        <v>39</v>
      </c>
      <c r="E493" s="279" t="s">
        <v>1397</v>
      </c>
      <c r="F493" s="280" t="s">
        <v>1398</v>
      </c>
      <c r="G493" s="279" t="s">
        <v>3195</v>
      </c>
      <c r="H493" s="279">
        <v>47</v>
      </c>
      <c r="I493" s="279" t="s">
        <v>1399</v>
      </c>
      <c r="J493" s="279" t="s">
        <v>683</v>
      </c>
      <c r="K493" s="279">
        <v>123</v>
      </c>
      <c r="L493" s="279">
        <v>123</v>
      </c>
      <c r="M493" s="279" t="s">
        <v>1410</v>
      </c>
      <c r="N493" s="279" t="s">
        <v>1411</v>
      </c>
      <c r="O493" s="279" t="s">
        <v>421</v>
      </c>
      <c r="P493" s="283">
        <v>443</v>
      </c>
      <c r="Q493" s="279" t="s">
        <v>3466</v>
      </c>
      <c r="R493" s="279" t="s">
        <v>1416</v>
      </c>
      <c r="S493" s="279" t="s">
        <v>683</v>
      </c>
      <c r="T493" s="279">
        <v>1</v>
      </c>
      <c r="U493" s="267">
        <v>0.5</v>
      </c>
      <c r="V493" s="267">
        <v>0.5</v>
      </c>
      <c r="W493" s="224">
        <v>1</v>
      </c>
      <c r="X493" s="267">
        <v>0.25</v>
      </c>
      <c r="Y493" s="267">
        <v>0.25</v>
      </c>
      <c r="Z493" s="267">
        <v>0.25</v>
      </c>
      <c r="AA493" s="267">
        <v>0.25</v>
      </c>
      <c r="AB493" s="224">
        <v>1</v>
      </c>
      <c r="AC493" s="267">
        <v>0.25</v>
      </c>
      <c r="AD493" s="267">
        <v>0.25</v>
      </c>
      <c r="AE493" s="267">
        <v>0.25</v>
      </c>
      <c r="AF493" s="267">
        <v>0.25</v>
      </c>
      <c r="AG493" s="224">
        <v>1</v>
      </c>
      <c r="AH493" s="267">
        <v>0.25</v>
      </c>
      <c r="AI493" s="267">
        <v>0.25</v>
      </c>
      <c r="AJ493" s="267">
        <v>0.25</v>
      </c>
      <c r="AK493" s="267">
        <v>0.25</v>
      </c>
      <c r="AL493" s="224">
        <v>1</v>
      </c>
      <c r="AM493" s="104">
        <v>4</v>
      </c>
      <c r="AN493" s="103" t="s">
        <v>685</v>
      </c>
      <c r="AO493" s="103" t="s">
        <v>619</v>
      </c>
      <c r="AP493" s="103" t="s">
        <v>1217</v>
      </c>
      <c r="AQ493" s="103" t="s">
        <v>1207</v>
      </c>
      <c r="AR493" s="103" t="s">
        <v>943</v>
      </c>
      <c r="AS493" s="271"/>
      <c r="AT493" s="271"/>
      <c r="AU493" s="271"/>
      <c r="AV493" s="271"/>
      <c r="AW493" s="271">
        <v>119179202</v>
      </c>
      <c r="AX493" s="271"/>
      <c r="AY493" s="271"/>
      <c r="AZ493" s="271"/>
      <c r="BA493" s="271"/>
      <c r="BB493" s="271"/>
      <c r="BC493" s="271"/>
      <c r="BD493" s="271"/>
      <c r="BE493" s="271"/>
      <c r="BF493" s="271"/>
      <c r="BG493" s="271"/>
      <c r="BH493" s="235">
        <f t="shared" si="179"/>
        <v>119179202</v>
      </c>
      <c r="BI493" s="271"/>
      <c r="BJ493" s="271"/>
      <c r="BK493" s="271"/>
      <c r="BL493" s="271"/>
      <c r="BM493" s="271">
        <v>314298141</v>
      </c>
      <c r="BN493" s="271"/>
      <c r="BO493" s="271"/>
      <c r="BP493" s="271"/>
      <c r="BQ493" s="271"/>
      <c r="BR493" s="271"/>
      <c r="BS493" s="271"/>
      <c r="BT493" s="271"/>
      <c r="BU493" s="271"/>
      <c r="BV493" s="271"/>
      <c r="BW493" s="271"/>
      <c r="BX493" s="235">
        <f t="shared" si="180"/>
        <v>314298141</v>
      </c>
      <c r="BY493" s="271"/>
      <c r="BZ493" s="271"/>
      <c r="CA493" s="271"/>
      <c r="CB493" s="271"/>
      <c r="CC493" s="271">
        <v>327718352</v>
      </c>
      <c r="CD493" s="271"/>
      <c r="CE493" s="271"/>
      <c r="CF493" s="271"/>
      <c r="CG493" s="271"/>
      <c r="CH493" s="271"/>
      <c r="CI493" s="271"/>
      <c r="CJ493" s="271"/>
      <c r="CK493" s="271"/>
      <c r="CL493" s="271"/>
      <c r="CM493" s="271"/>
      <c r="CN493" s="235">
        <f t="shared" si="181"/>
        <v>327718352</v>
      </c>
      <c r="CO493" s="271"/>
      <c r="CP493" s="271"/>
      <c r="CQ493" s="271"/>
      <c r="CR493" s="271"/>
      <c r="CS493" s="271">
        <v>358027086</v>
      </c>
      <c r="CT493" s="271"/>
      <c r="CU493" s="271"/>
      <c r="CV493" s="271"/>
      <c r="CW493" s="271"/>
      <c r="CX493" s="271"/>
      <c r="CY493" s="271"/>
      <c r="CZ493" s="271"/>
      <c r="DA493" s="271"/>
      <c r="DB493" s="271"/>
      <c r="DC493" s="271"/>
      <c r="DD493" s="234">
        <f t="shared" si="182"/>
        <v>358027086</v>
      </c>
      <c r="DE493" s="244">
        <f t="shared" si="183"/>
        <v>1119222781</v>
      </c>
    </row>
    <row r="494" spans="1:109" s="99" customFormat="1" ht="113.1" customHeight="1">
      <c r="A494" s="103" t="s">
        <v>1241</v>
      </c>
      <c r="B494" s="279" t="s">
        <v>9</v>
      </c>
      <c r="C494" s="279" t="s">
        <v>1693</v>
      </c>
      <c r="D494" s="279">
        <v>39</v>
      </c>
      <c r="E494" s="279" t="s">
        <v>1397</v>
      </c>
      <c r="F494" s="280" t="s">
        <v>1398</v>
      </c>
      <c r="G494" s="279" t="s">
        <v>3195</v>
      </c>
      <c r="H494" s="279">
        <v>47</v>
      </c>
      <c r="I494" s="279" t="s">
        <v>1399</v>
      </c>
      <c r="J494" s="279" t="s">
        <v>683</v>
      </c>
      <c r="K494" s="279">
        <v>123</v>
      </c>
      <c r="L494" s="279">
        <v>123</v>
      </c>
      <c r="M494" s="279" t="s">
        <v>1410</v>
      </c>
      <c r="N494" s="279" t="s">
        <v>1411</v>
      </c>
      <c r="O494" s="279" t="s">
        <v>421</v>
      </c>
      <c r="P494" s="283">
        <v>444</v>
      </c>
      <c r="Q494" s="279" t="s">
        <v>3467</v>
      </c>
      <c r="R494" s="279" t="s">
        <v>1417</v>
      </c>
      <c r="S494" s="279" t="s">
        <v>683</v>
      </c>
      <c r="T494" s="279">
        <v>28</v>
      </c>
      <c r="U494" s="267">
        <v>0.5</v>
      </c>
      <c r="V494" s="267">
        <v>0.5</v>
      </c>
      <c r="W494" s="224">
        <v>1</v>
      </c>
      <c r="X494" s="267">
        <v>0.25</v>
      </c>
      <c r="Y494" s="267">
        <v>0.25</v>
      </c>
      <c r="Z494" s="267">
        <v>0.25</v>
      </c>
      <c r="AA494" s="267">
        <v>0.25</v>
      </c>
      <c r="AB494" s="224">
        <v>1</v>
      </c>
      <c r="AC494" s="267">
        <v>0.25</v>
      </c>
      <c r="AD494" s="267">
        <v>0.25</v>
      </c>
      <c r="AE494" s="267">
        <v>0.25</v>
      </c>
      <c r="AF494" s="267">
        <v>0.25</v>
      </c>
      <c r="AG494" s="224">
        <v>1</v>
      </c>
      <c r="AH494" s="267">
        <v>0.25</v>
      </c>
      <c r="AI494" s="267">
        <v>0.25</v>
      </c>
      <c r="AJ494" s="267">
        <v>0.25</v>
      </c>
      <c r="AK494" s="267">
        <v>0.25</v>
      </c>
      <c r="AL494" s="224">
        <v>1</v>
      </c>
      <c r="AM494" s="104">
        <v>4</v>
      </c>
      <c r="AN494" s="103" t="s">
        <v>685</v>
      </c>
      <c r="AO494" s="103" t="s">
        <v>619</v>
      </c>
      <c r="AP494" s="103" t="s">
        <v>1217</v>
      </c>
      <c r="AQ494" s="103" t="s">
        <v>1207</v>
      </c>
      <c r="AR494" s="103" t="s">
        <v>943</v>
      </c>
      <c r="AS494" s="271"/>
      <c r="AT494" s="271"/>
      <c r="AU494" s="271"/>
      <c r="AV494" s="271"/>
      <c r="AW494" s="271">
        <v>15000000</v>
      </c>
      <c r="AX494" s="271"/>
      <c r="AY494" s="271"/>
      <c r="AZ494" s="271"/>
      <c r="BA494" s="271"/>
      <c r="BB494" s="271"/>
      <c r="BC494" s="271"/>
      <c r="BD494" s="271"/>
      <c r="BE494" s="271"/>
      <c r="BF494" s="271"/>
      <c r="BG494" s="271"/>
      <c r="BH494" s="235">
        <f t="shared" si="179"/>
        <v>15000000</v>
      </c>
      <c r="BI494" s="271"/>
      <c r="BJ494" s="271"/>
      <c r="BK494" s="271"/>
      <c r="BL494" s="271"/>
      <c r="BM494" s="271">
        <v>234008370</v>
      </c>
      <c r="BN494" s="271"/>
      <c r="BO494" s="271"/>
      <c r="BP494" s="271"/>
      <c r="BQ494" s="271"/>
      <c r="BR494" s="271"/>
      <c r="BS494" s="271"/>
      <c r="BT494" s="271"/>
      <c r="BU494" s="271"/>
      <c r="BV494" s="271"/>
      <c r="BW494" s="271"/>
      <c r="BX494" s="235">
        <f t="shared" si="180"/>
        <v>234008370</v>
      </c>
      <c r="BY494" s="271"/>
      <c r="BZ494" s="271"/>
      <c r="CA494" s="271"/>
      <c r="CB494" s="271"/>
      <c r="CC494" s="271">
        <v>246848874</v>
      </c>
      <c r="CD494" s="271"/>
      <c r="CE494" s="271"/>
      <c r="CF494" s="271"/>
      <c r="CG494" s="271"/>
      <c r="CH494" s="271"/>
      <c r="CI494" s="271"/>
      <c r="CJ494" s="271"/>
      <c r="CK494" s="271"/>
      <c r="CL494" s="271"/>
      <c r="CM494" s="271"/>
      <c r="CN494" s="235">
        <f t="shared" si="181"/>
        <v>246848874</v>
      </c>
      <c r="CO494" s="271"/>
      <c r="CP494" s="271"/>
      <c r="CQ494" s="271"/>
      <c r="CR494" s="271"/>
      <c r="CS494" s="271">
        <v>261459806</v>
      </c>
      <c r="CT494" s="271"/>
      <c r="CU494" s="271"/>
      <c r="CV494" s="271"/>
      <c r="CW494" s="271"/>
      <c r="CX494" s="271"/>
      <c r="CY494" s="271"/>
      <c r="CZ494" s="271"/>
      <c r="DA494" s="271"/>
      <c r="DB494" s="271"/>
      <c r="DC494" s="271"/>
      <c r="DD494" s="234">
        <f t="shared" si="182"/>
        <v>261459806</v>
      </c>
      <c r="DE494" s="244">
        <f t="shared" si="183"/>
        <v>757317050</v>
      </c>
    </row>
    <row r="495" spans="1:109" s="99" customFormat="1" ht="113.1" customHeight="1">
      <c r="A495" s="103" t="s">
        <v>1241</v>
      </c>
      <c r="B495" s="279" t="s">
        <v>9</v>
      </c>
      <c r="C495" s="279" t="s">
        <v>1693</v>
      </c>
      <c r="D495" s="279">
        <v>39</v>
      </c>
      <c r="E495" s="279" t="s">
        <v>1397</v>
      </c>
      <c r="F495" s="280" t="s">
        <v>1398</v>
      </c>
      <c r="G495" s="279" t="s">
        <v>3195</v>
      </c>
      <c r="H495" s="279">
        <v>47</v>
      </c>
      <c r="I495" s="279" t="s">
        <v>1399</v>
      </c>
      <c r="J495" s="279" t="s">
        <v>683</v>
      </c>
      <c r="K495" s="279">
        <v>123</v>
      </c>
      <c r="L495" s="279">
        <v>123</v>
      </c>
      <c r="M495" s="279" t="s">
        <v>1410</v>
      </c>
      <c r="N495" s="279" t="s">
        <v>1411</v>
      </c>
      <c r="O495" s="279" t="s">
        <v>421</v>
      </c>
      <c r="P495" s="283">
        <v>445</v>
      </c>
      <c r="Q495" s="279" t="s">
        <v>3202</v>
      </c>
      <c r="R495" s="279" t="s">
        <v>1418</v>
      </c>
      <c r="S495" s="279" t="s">
        <v>683</v>
      </c>
      <c r="T495" s="279">
        <v>60</v>
      </c>
      <c r="U495" s="267"/>
      <c r="V495" s="267">
        <v>60</v>
      </c>
      <c r="W495" s="224">
        <v>60</v>
      </c>
      <c r="X495" s="267"/>
      <c r="Y495" s="267"/>
      <c r="Z495" s="267"/>
      <c r="AA495" s="267">
        <v>60</v>
      </c>
      <c r="AB495" s="224">
        <v>60</v>
      </c>
      <c r="AC495" s="267"/>
      <c r="AD495" s="267"/>
      <c r="AE495" s="267"/>
      <c r="AF495" s="267">
        <v>60</v>
      </c>
      <c r="AG495" s="224">
        <v>60</v>
      </c>
      <c r="AH495" s="267"/>
      <c r="AI495" s="267"/>
      <c r="AJ495" s="267"/>
      <c r="AK495" s="267">
        <v>60</v>
      </c>
      <c r="AL495" s="224">
        <v>60</v>
      </c>
      <c r="AM495" s="104">
        <v>60</v>
      </c>
      <c r="AN495" s="103" t="s">
        <v>686</v>
      </c>
      <c r="AO495" s="103" t="s">
        <v>619</v>
      </c>
      <c r="AP495" s="103" t="s">
        <v>1217</v>
      </c>
      <c r="AQ495" s="103" t="s">
        <v>1207</v>
      </c>
      <c r="AR495" s="103" t="s">
        <v>943</v>
      </c>
      <c r="AS495" s="271"/>
      <c r="AT495" s="271"/>
      <c r="AU495" s="271"/>
      <c r="AV495" s="271"/>
      <c r="AW495" s="271">
        <v>322576060</v>
      </c>
      <c r="AX495" s="271"/>
      <c r="AY495" s="271"/>
      <c r="AZ495" s="271"/>
      <c r="BA495" s="271"/>
      <c r="BB495" s="271"/>
      <c r="BC495" s="271"/>
      <c r="BD495" s="271"/>
      <c r="BE495" s="271"/>
      <c r="BF495" s="271"/>
      <c r="BG495" s="271"/>
      <c r="BH495" s="235">
        <f t="shared" si="179"/>
        <v>322576060</v>
      </c>
      <c r="BI495" s="271"/>
      <c r="BJ495" s="271"/>
      <c r="BK495" s="271"/>
      <c r="BL495" s="271"/>
      <c r="BM495" s="271">
        <v>174787389</v>
      </c>
      <c r="BN495" s="271"/>
      <c r="BO495" s="271"/>
      <c r="BP495" s="271"/>
      <c r="BQ495" s="271"/>
      <c r="BR495" s="271"/>
      <c r="BS495" s="271"/>
      <c r="BT495" s="271"/>
      <c r="BU495" s="271"/>
      <c r="BV495" s="271"/>
      <c r="BW495" s="271"/>
      <c r="BX495" s="235">
        <f t="shared" si="180"/>
        <v>174787389</v>
      </c>
      <c r="BY495" s="271"/>
      <c r="BZ495" s="271"/>
      <c r="CA495" s="271"/>
      <c r="CB495" s="271"/>
      <c r="CC495" s="271">
        <v>191631011</v>
      </c>
      <c r="CD495" s="271"/>
      <c r="CE495" s="271"/>
      <c r="CF495" s="271"/>
      <c r="CG495" s="271"/>
      <c r="CH495" s="271"/>
      <c r="CI495" s="271"/>
      <c r="CJ495" s="271"/>
      <c r="CK495" s="271"/>
      <c r="CL495" s="271"/>
      <c r="CM495" s="271"/>
      <c r="CN495" s="235">
        <f t="shared" si="181"/>
        <v>191631011</v>
      </c>
      <c r="CO495" s="271"/>
      <c r="CP495" s="271"/>
      <c r="CQ495" s="271"/>
      <c r="CR495" s="271"/>
      <c r="CS495" s="271">
        <v>209216251</v>
      </c>
      <c r="CT495" s="271"/>
      <c r="CU495" s="271"/>
      <c r="CV495" s="271"/>
      <c r="CW495" s="271"/>
      <c r="CX495" s="271"/>
      <c r="CY495" s="271"/>
      <c r="CZ495" s="271"/>
      <c r="DA495" s="271"/>
      <c r="DB495" s="271"/>
      <c r="DC495" s="271"/>
      <c r="DD495" s="234">
        <f t="shared" si="182"/>
        <v>209216251</v>
      </c>
      <c r="DE495" s="244">
        <f t="shared" si="183"/>
        <v>898210711</v>
      </c>
    </row>
    <row r="496" spans="1:109" s="99" customFormat="1" ht="113.1" customHeight="1">
      <c r="A496" s="120" t="s">
        <v>1241</v>
      </c>
      <c r="B496" s="281" t="s">
        <v>9</v>
      </c>
      <c r="C496" s="281" t="s">
        <v>1693</v>
      </c>
      <c r="D496" s="281">
        <v>39</v>
      </c>
      <c r="E496" s="281" t="s">
        <v>1397</v>
      </c>
      <c r="F496" s="282" t="s">
        <v>1398</v>
      </c>
      <c r="G496" s="281" t="s">
        <v>3195</v>
      </c>
      <c r="H496" s="281">
        <v>47</v>
      </c>
      <c r="I496" s="281" t="s">
        <v>1399</v>
      </c>
      <c r="J496" s="281" t="s">
        <v>683</v>
      </c>
      <c r="K496" s="281">
        <v>123</v>
      </c>
      <c r="L496" s="281">
        <v>123</v>
      </c>
      <c r="M496" s="281" t="s">
        <v>1410</v>
      </c>
      <c r="N496" s="281" t="s">
        <v>1411</v>
      </c>
      <c r="O496" s="281" t="s">
        <v>421</v>
      </c>
      <c r="P496" s="283">
        <v>446</v>
      </c>
      <c r="Q496" s="281" t="s">
        <v>3203</v>
      </c>
      <c r="R496" s="281" t="s">
        <v>1418</v>
      </c>
      <c r="S496" s="281" t="s">
        <v>683</v>
      </c>
      <c r="T496" s="281">
        <v>60</v>
      </c>
      <c r="U496" s="275"/>
      <c r="V496" s="275">
        <v>30</v>
      </c>
      <c r="W496" s="225">
        <v>30</v>
      </c>
      <c r="X496" s="275"/>
      <c r="Y496" s="275"/>
      <c r="Z496" s="275"/>
      <c r="AA496" s="275">
        <v>40</v>
      </c>
      <c r="AB496" s="225">
        <v>40</v>
      </c>
      <c r="AC496" s="275"/>
      <c r="AD496" s="275"/>
      <c r="AE496" s="275"/>
      <c r="AF496" s="275">
        <v>40</v>
      </c>
      <c r="AG496" s="225">
        <v>40</v>
      </c>
      <c r="AH496" s="275"/>
      <c r="AI496" s="275"/>
      <c r="AJ496" s="275"/>
      <c r="AK496" s="275">
        <v>40</v>
      </c>
      <c r="AL496" s="225">
        <v>40</v>
      </c>
      <c r="AM496" s="119">
        <v>150</v>
      </c>
      <c r="AN496" s="120" t="s">
        <v>685</v>
      </c>
      <c r="AO496" s="103" t="s">
        <v>619</v>
      </c>
      <c r="AP496" s="120" t="s">
        <v>1217</v>
      </c>
      <c r="AQ496" s="120" t="s">
        <v>1207</v>
      </c>
      <c r="AR496" s="120" t="s">
        <v>943</v>
      </c>
      <c r="AS496" s="276"/>
      <c r="AT496" s="276"/>
      <c r="AU496" s="276"/>
      <c r="AV496" s="276"/>
      <c r="AW496" s="276">
        <v>161788030</v>
      </c>
      <c r="AX496" s="276"/>
      <c r="AY496" s="276"/>
      <c r="AZ496" s="276"/>
      <c r="BA496" s="276"/>
      <c r="BB496" s="276"/>
      <c r="BC496" s="276"/>
      <c r="BD496" s="276"/>
      <c r="BE496" s="276"/>
      <c r="BF496" s="276"/>
      <c r="BG496" s="276"/>
      <c r="BH496" s="236">
        <f t="shared" si="179"/>
        <v>161788030</v>
      </c>
      <c r="BI496" s="276"/>
      <c r="BJ496" s="276"/>
      <c r="BK496" s="276"/>
      <c r="BL496" s="276"/>
      <c r="BM496" s="276">
        <v>118191593</v>
      </c>
      <c r="BN496" s="276"/>
      <c r="BO496" s="276"/>
      <c r="BP496" s="276"/>
      <c r="BQ496" s="276"/>
      <c r="BR496" s="276"/>
      <c r="BS496" s="276"/>
      <c r="BT496" s="276"/>
      <c r="BU496" s="276"/>
      <c r="BV496" s="276"/>
      <c r="BW496" s="276"/>
      <c r="BX496" s="236">
        <f t="shared" si="180"/>
        <v>118191593</v>
      </c>
      <c r="BY496" s="276"/>
      <c r="BZ496" s="276"/>
      <c r="CA496" s="276"/>
      <c r="CB496" s="276"/>
      <c r="CC496" s="276">
        <v>130087341</v>
      </c>
      <c r="CD496" s="276"/>
      <c r="CE496" s="276"/>
      <c r="CF496" s="276"/>
      <c r="CG496" s="276"/>
      <c r="CH496" s="276"/>
      <c r="CI496" s="276"/>
      <c r="CJ496" s="276"/>
      <c r="CK496" s="276"/>
      <c r="CL496" s="276"/>
      <c r="CM496" s="276"/>
      <c r="CN496" s="236">
        <f t="shared" si="181"/>
        <v>130087341</v>
      </c>
      <c r="CO496" s="276"/>
      <c r="CP496" s="276"/>
      <c r="CQ496" s="276"/>
      <c r="CR496" s="276"/>
      <c r="CS496" s="276">
        <v>141810834</v>
      </c>
      <c r="CT496" s="276"/>
      <c r="CU496" s="276"/>
      <c r="CV496" s="276"/>
      <c r="CW496" s="276"/>
      <c r="CX496" s="276"/>
      <c r="CY496" s="276"/>
      <c r="CZ496" s="276"/>
      <c r="DA496" s="276"/>
      <c r="DB496" s="276"/>
      <c r="DC496" s="276"/>
      <c r="DD496" s="240">
        <f t="shared" si="182"/>
        <v>141810834</v>
      </c>
      <c r="DE496" s="245">
        <f t="shared" si="183"/>
        <v>551877798</v>
      </c>
    </row>
    <row r="497" spans="1:109" s="46" customFormat="1" ht="65.099999999999994" customHeight="1">
      <c r="A497" s="134" t="s">
        <v>1241</v>
      </c>
      <c r="B497" s="134" t="s">
        <v>9</v>
      </c>
      <c r="C497" s="134" t="s">
        <v>1693</v>
      </c>
      <c r="D497" s="134">
        <v>39</v>
      </c>
      <c r="E497" s="134" t="s">
        <v>1397</v>
      </c>
      <c r="F497" s="135"/>
      <c r="G497" s="136"/>
      <c r="H497" s="137"/>
      <c r="I497" s="137"/>
      <c r="J497" s="137"/>
      <c r="K497" s="138"/>
      <c r="L497" s="137"/>
      <c r="M497" s="137"/>
      <c r="N497" s="137"/>
      <c r="O497" s="137"/>
      <c r="P497" s="137"/>
      <c r="Q497" s="136"/>
      <c r="R497" s="139"/>
      <c r="S497" s="137"/>
      <c r="T497" s="137"/>
      <c r="U497" s="140"/>
      <c r="V497" s="140"/>
      <c r="W497" s="138"/>
      <c r="X497" s="140"/>
      <c r="Y497" s="140"/>
      <c r="Z497" s="140"/>
      <c r="AA497" s="140"/>
      <c r="AB497" s="138"/>
      <c r="AC497" s="140"/>
      <c r="AD497" s="140"/>
      <c r="AE497" s="140"/>
      <c r="AF497" s="140"/>
      <c r="AG497" s="138"/>
      <c r="AH497" s="140"/>
      <c r="AI497" s="140"/>
      <c r="AJ497" s="140"/>
      <c r="AK497" s="140"/>
      <c r="AL497" s="138"/>
      <c r="AM497" s="141"/>
      <c r="AN497" s="142"/>
      <c r="AO497" s="142"/>
      <c r="AP497" s="143"/>
      <c r="AQ497" s="143"/>
      <c r="AR497" s="144"/>
      <c r="AS497" s="132">
        <f t="shared" ref="AS497:BG497" si="184">SUM(AS482:AS496)</f>
        <v>0</v>
      </c>
      <c r="AT497" s="132">
        <f t="shared" si="184"/>
        <v>0</v>
      </c>
      <c r="AU497" s="132">
        <f t="shared" si="184"/>
        <v>0</v>
      </c>
      <c r="AV497" s="132">
        <f t="shared" si="184"/>
        <v>0</v>
      </c>
      <c r="AW497" s="132">
        <f t="shared" si="184"/>
        <v>1071785886</v>
      </c>
      <c r="AX497" s="132">
        <f t="shared" si="184"/>
        <v>0</v>
      </c>
      <c r="AY497" s="132">
        <f t="shared" si="184"/>
        <v>0</v>
      </c>
      <c r="AZ497" s="132">
        <f t="shared" si="184"/>
        <v>0</v>
      </c>
      <c r="BA497" s="132">
        <f t="shared" si="184"/>
        <v>0</v>
      </c>
      <c r="BB497" s="132">
        <f t="shared" si="184"/>
        <v>0</v>
      </c>
      <c r="BC497" s="132">
        <f t="shared" si="184"/>
        <v>0</v>
      </c>
      <c r="BD497" s="132">
        <f t="shared" si="184"/>
        <v>0</v>
      </c>
      <c r="BE497" s="132">
        <f t="shared" si="184"/>
        <v>0</v>
      </c>
      <c r="BF497" s="132">
        <f t="shared" si="184"/>
        <v>0</v>
      </c>
      <c r="BG497" s="132">
        <f t="shared" si="184"/>
        <v>0</v>
      </c>
      <c r="BH497" s="133">
        <f>IF(OR(AND(BH482=0,W482&lt;&gt;0),AND(BH483=0,W483&lt;&gt;0),AND(BH484=0,W484&lt;&gt;0),AND(BH485=0,W485&lt;&gt;0),AND(BH486=0,W486&lt;&gt;0),AND(BH487=0,W487&lt;&gt;0),AND(BH488=0,W488&lt;&gt;0),AND(BH489=0,W489&lt;&gt;0),AND(BH490=0,W490&lt;&gt;0),AND(BH491=0,W491&lt;&gt;0),AND(BH492=0,W492&lt;&gt;0),AND(BH493=0,W493&lt;&gt;0),AND(BH494=0,W494&lt;&gt;0),AND(BH495=0,W495&lt;&gt;0),AND(BH496=0,W496&lt;&gt;0)),"NO DEBEN QUEDAR CELDAS EN ROJO",SUM(BH482:BH496))</f>
        <v>1071785886</v>
      </c>
      <c r="BI497" s="132">
        <f t="shared" ref="BI497:BW497" si="185">SUM(BI482:BI496)</f>
        <v>0</v>
      </c>
      <c r="BJ497" s="132">
        <f t="shared" si="185"/>
        <v>0</v>
      </c>
      <c r="BK497" s="132">
        <f t="shared" si="185"/>
        <v>0</v>
      </c>
      <c r="BL497" s="132">
        <f t="shared" si="185"/>
        <v>0</v>
      </c>
      <c r="BM497" s="132">
        <f t="shared" si="185"/>
        <v>4393233867</v>
      </c>
      <c r="BN497" s="132">
        <f t="shared" si="185"/>
        <v>0</v>
      </c>
      <c r="BO497" s="132">
        <f t="shared" si="185"/>
        <v>0</v>
      </c>
      <c r="BP497" s="132">
        <f t="shared" si="185"/>
        <v>0</v>
      </c>
      <c r="BQ497" s="132">
        <f t="shared" si="185"/>
        <v>0</v>
      </c>
      <c r="BR497" s="132">
        <f t="shared" si="185"/>
        <v>0</v>
      </c>
      <c r="BS497" s="132">
        <f t="shared" si="185"/>
        <v>0</v>
      </c>
      <c r="BT497" s="132">
        <f t="shared" si="185"/>
        <v>0</v>
      </c>
      <c r="BU497" s="132">
        <f t="shared" si="185"/>
        <v>0</v>
      </c>
      <c r="BV497" s="132">
        <f t="shared" si="185"/>
        <v>0</v>
      </c>
      <c r="BW497" s="132">
        <f t="shared" si="185"/>
        <v>0</v>
      </c>
      <c r="BX497" s="133">
        <f>IF(OR(AND(BX482=0,AB482&lt;&gt;0),AND(BX483=0,AB483&lt;&gt;0),AND(BX484=0,AB484&lt;&gt;0),AND(BX485=0,AB485&lt;&gt;0),AND(BX486=0,AB486&lt;&gt;0),AND(BX487=0,AB487&lt;&gt;0),AND(BX488=0,AB488&lt;&gt;0),AND(BX489=0,AB489&lt;&gt;0),AND(BX490=0,AB490&lt;&gt;0),AND(BX491=0,AB491&lt;&gt;0),AND(BX492=0,AB492&lt;&gt;0),AND(BX493=0,AB493&lt;&gt;0),AND(BX494=0,AB494&lt;&gt;0),AND(BX495=0,AB495&lt;&gt;0),AND(BX496=0,AB496&lt;&gt;0)),"NO DEBEN QUEDAR CELDAS EN ROJO",SUM(BX482:BX496))</f>
        <v>4393233867</v>
      </c>
      <c r="BY497" s="132">
        <f t="shared" ref="BY497:CM497" si="186">SUM(BY482:BY496)</f>
        <v>0</v>
      </c>
      <c r="BZ497" s="132">
        <f t="shared" si="186"/>
        <v>0</v>
      </c>
      <c r="CA497" s="132">
        <f t="shared" si="186"/>
        <v>0</v>
      </c>
      <c r="CB497" s="132">
        <f t="shared" si="186"/>
        <v>0</v>
      </c>
      <c r="CC497" s="132">
        <f t="shared" si="186"/>
        <v>3948591758</v>
      </c>
      <c r="CD497" s="132">
        <f t="shared" si="186"/>
        <v>0</v>
      </c>
      <c r="CE497" s="132">
        <f t="shared" si="186"/>
        <v>0</v>
      </c>
      <c r="CF497" s="132">
        <f t="shared" si="186"/>
        <v>0</v>
      </c>
      <c r="CG497" s="132">
        <f t="shared" si="186"/>
        <v>0</v>
      </c>
      <c r="CH497" s="132">
        <f t="shared" si="186"/>
        <v>0</v>
      </c>
      <c r="CI497" s="132">
        <f t="shared" si="186"/>
        <v>0</v>
      </c>
      <c r="CJ497" s="132">
        <f t="shared" si="186"/>
        <v>0</v>
      </c>
      <c r="CK497" s="132">
        <f t="shared" si="186"/>
        <v>0</v>
      </c>
      <c r="CL497" s="132">
        <f t="shared" si="186"/>
        <v>0</v>
      </c>
      <c r="CM497" s="132">
        <f t="shared" si="186"/>
        <v>0</v>
      </c>
      <c r="CN497" s="133">
        <f>IF(OR(AND(CN482=0,AG482&lt;&gt;0),AND(CN483=0,AG483&lt;&gt;0),AND(CN484=0,AG484&lt;&gt;0),AND(CN485=0,AG485&lt;&gt;0),AND(CN486=0,AG486&lt;&gt;0),AND(CN487=0,AG487&lt;&gt;0),AND(CN488=0,AG488&lt;&gt;0),AND(CN489=0,AG489&lt;&gt;0),AND(CN490=0,AG490&lt;&gt;0),AND(CN491=0,AG491&lt;&gt;0),AND(CN492=0,AG492&lt;&gt;0),AND(CN493=0,AG493&lt;&gt;0),AND(CN494=0,AG494&lt;&gt;0),AND(CN495=0,AG495&lt;&gt;0),AND(CN496=0,AG496&lt;&gt;0)),"NO DEBEN QUEDAR CELDAS EN ROJO",SUM(CN482:CN496))</f>
        <v>3948591758</v>
      </c>
      <c r="CO497" s="132">
        <f t="shared" ref="CO497:DC497" si="187">SUM(CO482:CO496)</f>
        <v>0</v>
      </c>
      <c r="CP497" s="132">
        <f t="shared" si="187"/>
        <v>0</v>
      </c>
      <c r="CQ497" s="132">
        <f t="shared" si="187"/>
        <v>0</v>
      </c>
      <c r="CR497" s="132">
        <f t="shared" si="187"/>
        <v>0</v>
      </c>
      <c r="CS497" s="132">
        <f t="shared" si="187"/>
        <v>4200135428</v>
      </c>
      <c r="CT497" s="132">
        <f t="shared" si="187"/>
        <v>0</v>
      </c>
      <c r="CU497" s="132">
        <f t="shared" si="187"/>
        <v>0</v>
      </c>
      <c r="CV497" s="132">
        <f t="shared" si="187"/>
        <v>0</v>
      </c>
      <c r="CW497" s="132">
        <f t="shared" si="187"/>
        <v>0</v>
      </c>
      <c r="CX497" s="132">
        <f t="shared" si="187"/>
        <v>0</v>
      </c>
      <c r="CY497" s="132">
        <f t="shared" si="187"/>
        <v>0</v>
      </c>
      <c r="CZ497" s="132">
        <f t="shared" si="187"/>
        <v>0</v>
      </c>
      <c r="DA497" s="132">
        <f t="shared" si="187"/>
        <v>0</v>
      </c>
      <c r="DB497" s="132">
        <f t="shared" si="187"/>
        <v>0</v>
      </c>
      <c r="DC497" s="132">
        <f t="shared" si="187"/>
        <v>0</v>
      </c>
      <c r="DD497" s="133">
        <f>IF(OR(AND(DD482=0,AL482&lt;&gt;0),AND(DD483=0,AL483&lt;&gt;0),AND(DD484=0,AL484&lt;&gt;0),AND(DD485=0,AL485&lt;&gt;0),AND(DD486=0,AL486&lt;&gt;0),AND(DD487=0,AL487&lt;&gt;0),AND(DD488=0,AL488&lt;&gt;0),AND(DD489=0,AL489&lt;&gt;0),AND(DD490=0,AL490&lt;&gt;0),AND(DD491=0,AL491&lt;&gt;0),AND(DD492=0,AL492&lt;&gt;0),AND(DD493=0,AL493&lt;&gt;0),AND(DD494=0,AL494&lt;&gt;0),AND(DD495=0,AL495&lt;&gt;0),AND(DD496=0,AL496&lt;&gt;0)),"NO DEBEN QUEDAR CELDAS EN ROJO",SUM(DD482:DD496))</f>
        <v>4200135428</v>
      </c>
      <c r="DE497" s="133">
        <f>SUM(DE482:DE496)</f>
        <v>13613746939</v>
      </c>
    </row>
    <row r="498" spans="1:109" s="99" customFormat="1" ht="97.05" customHeight="1">
      <c r="A498" s="103" t="s">
        <v>1241</v>
      </c>
      <c r="B498" s="103" t="s">
        <v>9</v>
      </c>
      <c r="C498" s="103" t="s">
        <v>1693</v>
      </c>
      <c r="D498" s="103">
        <v>40</v>
      </c>
      <c r="E498" s="103" t="s">
        <v>1419</v>
      </c>
      <c r="F498" s="278" t="s">
        <v>1420</v>
      </c>
      <c r="G498" s="103" t="s">
        <v>3476</v>
      </c>
      <c r="H498" s="103">
        <v>48</v>
      </c>
      <c r="I498" s="103" t="s">
        <v>1421</v>
      </c>
      <c r="J498" s="103" t="s">
        <v>683</v>
      </c>
      <c r="K498" s="103">
        <v>123</v>
      </c>
      <c r="L498" s="103">
        <v>123</v>
      </c>
      <c r="M498" s="103" t="s">
        <v>1422</v>
      </c>
      <c r="N498" s="103" t="s">
        <v>1423</v>
      </c>
      <c r="O498" s="103" t="s">
        <v>1424</v>
      </c>
      <c r="P498" s="283">
        <v>447</v>
      </c>
      <c r="Q498" s="103" t="s">
        <v>3468</v>
      </c>
      <c r="R498" s="103" t="s">
        <v>1425</v>
      </c>
      <c r="S498" s="103" t="s">
        <v>683</v>
      </c>
      <c r="T498" s="103">
        <v>0</v>
      </c>
      <c r="U498" s="267">
        <v>13</v>
      </c>
      <c r="V498" s="267"/>
      <c r="W498" s="224">
        <v>13</v>
      </c>
      <c r="X498" s="267"/>
      <c r="Y498" s="267"/>
      <c r="Z498" s="267"/>
      <c r="AA498" s="267"/>
      <c r="AB498" s="224">
        <v>0</v>
      </c>
      <c r="AC498" s="267"/>
      <c r="AD498" s="267"/>
      <c r="AE498" s="267"/>
      <c r="AF498" s="267"/>
      <c r="AG498" s="224">
        <v>0</v>
      </c>
      <c r="AH498" s="267"/>
      <c r="AI498" s="267"/>
      <c r="AJ498" s="267"/>
      <c r="AK498" s="267"/>
      <c r="AL498" s="224">
        <v>0</v>
      </c>
      <c r="AM498" s="102">
        <v>13</v>
      </c>
      <c r="AN498" s="103" t="s">
        <v>685</v>
      </c>
      <c r="AO498" s="103" t="s">
        <v>619</v>
      </c>
      <c r="AP498" s="103" t="s">
        <v>1217</v>
      </c>
      <c r="AQ498" s="103" t="s">
        <v>1207</v>
      </c>
      <c r="AR498" s="103" t="s">
        <v>951</v>
      </c>
      <c r="AS498" s="268"/>
      <c r="AT498" s="268"/>
      <c r="AU498" s="268"/>
      <c r="AV498" s="268"/>
      <c r="AW498" s="268">
        <v>3000000</v>
      </c>
      <c r="AX498" s="268"/>
      <c r="AY498" s="268"/>
      <c r="AZ498" s="268"/>
      <c r="BA498" s="268"/>
      <c r="BB498" s="268"/>
      <c r="BC498" s="268"/>
      <c r="BD498" s="268"/>
      <c r="BE498" s="268"/>
      <c r="BF498" s="268"/>
      <c r="BG498" s="268"/>
      <c r="BH498" s="234">
        <f t="shared" ref="BH498:BH510" si="188">IF(W498=0,0,BG498+BF498+BE498+BD498+BC498+BB498+BA498+AZ498+AY498+AX498+AW498+AV498+AU498+AT498+AS498)</f>
        <v>3000000</v>
      </c>
      <c r="BI498" s="268"/>
      <c r="BJ498" s="268"/>
      <c r="BK498" s="268"/>
      <c r="BL498" s="268"/>
      <c r="BM498" s="268"/>
      <c r="BN498" s="268"/>
      <c r="BO498" s="268"/>
      <c r="BP498" s="268"/>
      <c r="BQ498" s="268"/>
      <c r="BR498" s="268"/>
      <c r="BS498" s="268"/>
      <c r="BT498" s="268"/>
      <c r="BU498" s="268"/>
      <c r="BV498" s="268"/>
      <c r="BW498" s="268"/>
      <c r="BX498" s="234">
        <f t="shared" ref="BX498:BX510" si="189">IF(AB498=0,0,BI498+BJ498+BK498+BL498+BM498+BN498+BO498+BP498+BQ498+BR498+BS498+BT498+BU498+BV498+BW498)</f>
        <v>0</v>
      </c>
      <c r="BY498" s="268"/>
      <c r="BZ498" s="268"/>
      <c r="CA498" s="268"/>
      <c r="CB498" s="268"/>
      <c r="CC498" s="268"/>
      <c r="CD498" s="268"/>
      <c r="CE498" s="268"/>
      <c r="CF498" s="268"/>
      <c r="CG498" s="268"/>
      <c r="CH498" s="268"/>
      <c r="CI498" s="268"/>
      <c r="CJ498" s="268"/>
      <c r="CK498" s="268"/>
      <c r="CL498" s="268"/>
      <c r="CM498" s="268"/>
      <c r="CN498" s="234">
        <f t="shared" ref="CN498:CN510" si="190">IF(AG498=0,0,(BY498+BZ498+CA498+CB498+CC498+CD498+CE498+CF498+CG498+CH498+CI498+CJ498+CK498+CL498+CM498))</f>
        <v>0</v>
      </c>
      <c r="CO498" s="268"/>
      <c r="CP498" s="268"/>
      <c r="CQ498" s="268"/>
      <c r="CR498" s="268"/>
      <c r="CS498" s="268"/>
      <c r="CT498" s="268"/>
      <c r="CU498" s="268"/>
      <c r="CV498" s="268"/>
      <c r="CW498" s="268"/>
      <c r="CX498" s="268"/>
      <c r="CY498" s="268"/>
      <c r="CZ498" s="268"/>
      <c r="DA498" s="268"/>
      <c r="DB498" s="268"/>
      <c r="DC498" s="268"/>
      <c r="DD498" s="234">
        <f t="shared" ref="DD498:DD510" si="191">IF(AL498=0,0,(CO498+CP498+CQ498+CR498+CS498+CT498+CU498+CV498+CW498+CX498+CY498+CZ498+DA498+DB498+DC498))</f>
        <v>0</v>
      </c>
      <c r="DE498" s="243">
        <f t="shared" ref="DE498:DE519" si="192">SUM(DD498+CN498+BX498+BH498)</f>
        <v>3000000</v>
      </c>
    </row>
    <row r="499" spans="1:109" s="99" customFormat="1" ht="97.05" customHeight="1">
      <c r="A499" s="103" t="s">
        <v>1241</v>
      </c>
      <c r="B499" s="279" t="s">
        <v>9</v>
      </c>
      <c r="C499" s="279" t="s">
        <v>1693</v>
      </c>
      <c r="D499" s="279">
        <v>40</v>
      </c>
      <c r="E499" s="279" t="s">
        <v>1419</v>
      </c>
      <c r="F499" s="280" t="s">
        <v>1420</v>
      </c>
      <c r="G499" s="279" t="s">
        <v>3476</v>
      </c>
      <c r="H499" s="279">
        <v>48</v>
      </c>
      <c r="I499" s="279" t="s">
        <v>1421</v>
      </c>
      <c r="J499" s="279" t="s">
        <v>683</v>
      </c>
      <c r="K499" s="279">
        <v>123</v>
      </c>
      <c r="L499" s="279">
        <v>123</v>
      </c>
      <c r="M499" s="279" t="s">
        <v>1422</v>
      </c>
      <c r="N499" s="279" t="s">
        <v>1423</v>
      </c>
      <c r="O499" s="279" t="s">
        <v>1424</v>
      </c>
      <c r="P499" s="283">
        <v>448</v>
      </c>
      <c r="Q499" s="279" t="s">
        <v>3469</v>
      </c>
      <c r="R499" s="279" t="s">
        <v>1426</v>
      </c>
      <c r="S499" s="279" t="s">
        <v>683</v>
      </c>
      <c r="T499" s="279">
        <v>9</v>
      </c>
      <c r="U499" s="267">
        <v>5</v>
      </c>
      <c r="V499" s="267">
        <v>4</v>
      </c>
      <c r="W499" s="224">
        <v>9</v>
      </c>
      <c r="X499" s="267"/>
      <c r="Y499" s="267">
        <v>2</v>
      </c>
      <c r="Z499" s="267">
        <v>5</v>
      </c>
      <c r="AA499" s="267">
        <v>2</v>
      </c>
      <c r="AB499" s="224">
        <v>9</v>
      </c>
      <c r="AC499" s="267"/>
      <c r="AD499" s="267">
        <v>2</v>
      </c>
      <c r="AE499" s="267">
        <v>5</v>
      </c>
      <c r="AF499" s="267">
        <v>2</v>
      </c>
      <c r="AG499" s="224">
        <v>9</v>
      </c>
      <c r="AH499" s="267"/>
      <c r="AI499" s="267">
        <v>2</v>
      </c>
      <c r="AJ499" s="267">
        <v>5</v>
      </c>
      <c r="AK499" s="267">
        <v>2</v>
      </c>
      <c r="AL499" s="224">
        <v>9</v>
      </c>
      <c r="AM499" s="104">
        <v>9</v>
      </c>
      <c r="AN499" s="103" t="s">
        <v>686</v>
      </c>
      <c r="AO499" s="103" t="s">
        <v>619</v>
      </c>
      <c r="AP499" s="103" t="s">
        <v>1217</v>
      </c>
      <c r="AQ499" s="103" t="s">
        <v>1199</v>
      </c>
      <c r="AR499" s="103" t="s">
        <v>951</v>
      </c>
      <c r="AS499" s="271"/>
      <c r="AT499" s="271"/>
      <c r="AU499" s="271"/>
      <c r="AV499" s="271"/>
      <c r="AW499" s="271">
        <v>45000000</v>
      </c>
      <c r="AX499" s="271"/>
      <c r="AY499" s="271"/>
      <c r="AZ499" s="271"/>
      <c r="BA499" s="271"/>
      <c r="BB499" s="271"/>
      <c r="BC499" s="271"/>
      <c r="BD499" s="271"/>
      <c r="BE499" s="271"/>
      <c r="BF499" s="271"/>
      <c r="BG499" s="271"/>
      <c r="BH499" s="235">
        <f t="shared" si="188"/>
        <v>45000000</v>
      </c>
      <c r="BI499" s="271"/>
      <c r="BJ499" s="271"/>
      <c r="BK499" s="271"/>
      <c r="BL499" s="271"/>
      <c r="BM499" s="271">
        <v>68000000</v>
      </c>
      <c r="BN499" s="271"/>
      <c r="BO499" s="271"/>
      <c r="BP499" s="271"/>
      <c r="BQ499" s="271"/>
      <c r="BR499" s="271"/>
      <c r="BS499" s="271"/>
      <c r="BT499" s="271"/>
      <c r="BU499" s="271"/>
      <c r="BV499" s="271"/>
      <c r="BW499" s="271"/>
      <c r="BX499" s="235">
        <f t="shared" si="189"/>
        <v>68000000</v>
      </c>
      <c r="BY499" s="271"/>
      <c r="BZ499" s="271"/>
      <c r="CA499" s="271"/>
      <c r="CB499" s="271"/>
      <c r="CC499" s="271">
        <v>70000000</v>
      </c>
      <c r="CD499" s="271"/>
      <c r="CE499" s="271"/>
      <c r="CF499" s="271"/>
      <c r="CG499" s="271"/>
      <c r="CH499" s="271"/>
      <c r="CI499" s="271"/>
      <c r="CJ499" s="271"/>
      <c r="CK499" s="271"/>
      <c r="CL499" s="271"/>
      <c r="CM499" s="271"/>
      <c r="CN499" s="235">
        <f t="shared" si="190"/>
        <v>70000000</v>
      </c>
      <c r="CO499" s="271"/>
      <c r="CP499" s="271"/>
      <c r="CQ499" s="271"/>
      <c r="CR499" s="271"/>
      <c r="CS499" s="271">
        <v>80000000</v>
      </c>
      <c r="CT499" s="271"/>
      <c r="CU499" s="271"/>
      <c r="CV499" s="271"/>
      <c r="CW499" s="271"/>
      <c r="CX499" s="271"/>
      <c r="CY499" s="271"/>
      <c r="CZ499" s="271"/>
      <c r="DA499" s="271"/>
      <c r="DB499" s="271"/>
      <c r="DC499" s="271"/>
      <c r="DD499" s="234">
        <f t="shared" si="191"/>
        <v>80000000</v>
      </c>
      <c r="DE499" s="244">
        <f t="shared" si="192"/>
        <v>263000000</v>
      </c>
    </row>
    <row r="500" spans="1:109" s="99" customFormat="1" ht="97.05" customHeight="1">
      <c r="A500" s="103" t="s">
        <v>1241</v>
      </c>
      <c r="B500" s="279" t="s">
        <v>9</v>
      </c>
      <c r="C500" s="279" t="s">
        <v>1693</v>
      </c>
      <c r="D500" s="279">
        <v>40</v>
      </c>
      <c r="E500" s="279" t="s">
        <v>1419</v>
      </c>
      <c r="F500" s="280" t="s">
        <v>1420</v>
      </c>
      <c r="G500" s="279" t="s">
        <v>3476</v>
      </c>
      <c r="H500" s="279">
        <v>48</v>
      </c>
      <c r="I500" s="279" t="s">
        <v>1421</v>
      </c>
      <c r="J500" s="279" t="s">
        <v>683</v>
      </c>
      <c r="K500" s="279">
        <v>123</v>
      </c>
      <c r="L500" s="279">
        <v>123</v>
      </c>
      <c r="M500" s="279" t="s">
        <v>1422</v>
      </c>
      <c r="N500" s="279" t="s">
        <v>1423</v>
      </c>
      <c r="O500" s="279" t="s">
        <v>1424</v>
      </c>
      <c r="P500" s="283">
        <v>449</v>
      </c>
      <c r="Q500" s="279" t="s">
        <v>3204</v>
      </c>
      <c r="R500" s="279" t="s">
        <v>1427</v>
      </c>
      <c r="S500" s="279" t="s">
        <v>683</v>
      </c>
      <c r="T500" s="279">
        <v>6</v>
      </c>
      <c r="U500" s="267"/>
      <c r="V500" s="267"/>
      <c r="W500" s="224">
        <v>0</v>
      </c>
      <c r="X500" s="267"/>
      <c r="Y500" s="267"/>
      <c r="Z500" s="267"/>
      <c r="AA500" s="267">
        <v>2</v>
      </c>
      <c r="AB500" s="224">
        <v>2</v>
      </c>
      <c r="AC500" s="267"/>
      <c r="AD500" s="267"/>
      <c r="AE500" s="267"/>
      <c r="AF500" s="267"/>
      <c r="AG500" s="224">
        <v>0</v>
      </c>
      <c r="AH500" s="267"/>
      <c r="AI500" s="267"/>
      <c r="AJ500" s="267"/>
      <c r="AK500" s="267"/>
      <c r="AL500" s="224">
        <v>0</v>
      </c>
      <c r="AM500" s="104">
        <v>2</v>
      </c>
      <c r="AN500" s="103" t="s">
        <v>685</v>
      </c>
      <c r="AO500" s="103" t="s">
        <v>619</v>
      </c>
      <c r="AP500" s="103" t="s">
        <v>1217</v>
      </c>
      <c r="AQ500" s="103" t="s">
        <v>1207</v>
      </c>
      <c r="AR500" s="103" t="s">
        <v>939</v>
      </c>
      <c r="AS500" s="271"/>
      <c r="AT500" s="271"/>
      <c r="AU500" s="271"/>
      <c r="AV500" s="271"/>
      <c r="AW500" s="271"/>
      <c r="AX500" s="271"/>
      <c r="AY500" s="271"/>
      <c r="AZ500" s="271"/>
      <c r="BA500" s="271"/>
      <c r="BB500" s="271"/>
      <c r="BC500" s="271"/>
      <c r="BD500" s="271"/>
      <c r="BE500" s="271"/>
      <c r="BF500" s="271"/>
      <c r="BG500" s="271"/>
      <c r="BH500" s="235">
        <f t="shared" si="188"/>
        <v>0</v>
      </c>
      <c r="BI500" s="271"/>
      <c r="BJ500" s="271"/>
      <c r="BK500" s="271"/>
      <c r="BL500" s="271"/>
      <c r="BM500" s="271">
        <v>20000000</v>
      </c>
      <c r="BN500" s="271"/>
      <c r="BO500" s="271"/>
      <c r="BP500" s="271"/>
      <c r="BQ500" s="271"/>
      <c r="BR500" s="271"/>
      <c r="BS500" s="271"/>
      <c r="BT500" s="271"/>
      <c r="BU500" s="271"/>
      <c r="BV500" s="271"/>
      <c r="BW500" s="271"/>
      <c r="BX500" s="235">
        <f t="shared" si="189"/>
        <v>20000000</v>
      </c>
      <c r="BY500" s="271"/>
      <c r="BZ500" s="271"/>
      <c r="CA500" s="271"/>
      <c r="CB500" s="271"/>
      <c r="CC500" s="271"/>
      <c r="CD500" s="271"/>
      <c r="CE500" s="271"/>
      <c r="CF500" s="271"/>
      <c r="CG500" s="271"/>
      <c r="CH500" s="271"/>
      <c r="CI500" s="271"/>
      <c r="CJ500" s="271"/>
      <c r="CK500" s="271"/>
      <c r="CL500" s="271"/>
      <c r="CM500" s="271"/>
      <c r="CN500" s="235">
        <f t="shared" si="190"/>
        <v>0</v>
      </c>
      <c r="CO500" s="271"/>
      <c r="CP500" s="271"/>
      <c r="CQ500" s="271"/>
      <c r="CR500" s="271"/>
      <c r="CS500" s="271"/>
      <c r="CT500" s="271"/>
      <c r="CU500" s="271"/>
      <c r="CV500" s="271"/>
      <c r="CW500" s="271"/>
      <c r="CX500" s="271"/>
      <c r="CY500" s="271"/>
      <c r="CZ500" s="271"/>
      <c r="DA500" s="271"/>
      <c r="DB500" s="271"/>
      <c r="DC500" s="271"/>
      <c r="DD500" s="234">
        <f t="shared" si="191"/>
        <v>0</v>
      </c>
      <c r="DE500" s="244">
        <f t="shared" si="192"/>
        <v>20000000</v>
      </c>
    </row>
    <row r="501" spans="1:109" s="99" customFormat="1" ht="97.05" customHeight="1">
      <c r="A501" s="103" t="s">
        <v>1241</v>
      </c>
      <c r="B501" s="279" t="s">
        <v>9</v>
      </c>
      <c r="C501" s="279" t="s">
        <v>1693</v>
      </c>
      <c r="D501" s="279">
        <v>40</v>
      </c>
      <c r="E501" s="279" t="s">
        <v>1419</v>
      </c>
      <c r="F501" s="280" t="s">
        <v>1420</v>
      </c>
      <c r="G501" s="279" t="s">
        <v>3476</v>
      </c>
      <c r="H501" s="279">
        <v>48</v>
      </c>
      <c r="I501" s="279" t="s">
        <v>1421</v>
      </c>
      <c r="J501" s="279" t="s">
        <v>683</v>
      </c>
      <c r="K501" s="279">
        <v>123</v>
      </c>
      <c r="L501" s="279">
        <v>123</v>
      </c>
      <c r="M501" s="279" t="s">
        <v>1422</v>
      </c>
      <c r="N501" s="279" t="s">
        <v>1423</v>
      </c>
      <c r="O501" s="279" t="s">
        <v>1424</v>
      </c>
      <c r="P501" s="283">
        <v>450</v>
      </c>
      <c r="Q501" s="279" t="s">
        <v>3205</v>
      </c>
      <c r="R501" s="279" t="s">
        <v>1428</v>
      </c>
      <c r="S501" s="279" t="s">
        <v>683</v>
      </c>
      <c r="T501" s="279">
        <v>6</v>
      </c>
      <c r="U501" s="267">
        <v>0.5</v>
      </c>
      <c r="V501" s="267">
        <v>0.5</v>
      </c>
      <c r="W501" s="224">
        <v>1</v>
      </c>
      <c r="X501" s="267">
        <v>0.1</v>
      </c>
      <c r="Y501" s="267">
        <v>0.3</v>
      </c>
      <c r="Z501" s="267">
        <v>0.3</v>
      </c>
      <c r="AA501" s="267">
        <v>0.3</v>
      </c>
      <c r="AB501" s="224">
        <v>1</v>
      </c>
      <c r="AC501" s="267">
        <v>0.5</v>
      </c>
      <c r="AD501" s="267">
        <v>1</v>
      </c>
      <c r="AE501" s="267">
        <v>1</v>
      </c>
      <c r="AF501" s="267">
        <v>0.5</v>
      </c>
      <c r="AG501" s="224">
        <v>3</v>
      </c>
      <c r="AH501" s="267">
        <v>0.5</v>
      </c>
      <c r="AI501" s="267">
        <v>1</v>
      </c>
      <c r="AJ501" s="267">
        <v>1</v>
      </c>
      <c r="AK501" s="267">
        <v>0.5</v>
      </c>
      <c r="AL501" s="224">
        <v>3</v>
      </c>
      <c r="AM501" s="104">
        <v>8</v>
      </c>
      <c r="AN501" s="103" t="s">
        <v>685</v>
      </c>
      <c r="AO501" s="103" t="s">
        <v>619</v>
      </c>
      <c r="AP501" s="103" t="s">
        <v>1217</v>
      </c>
      <c r="AQ501" s="103" t="s">
        <v>1207</v>
      </c>
      <c r="AR501" s="103" t="s">
        <v>939</v>
      </c>
      <c r="AS501" s="271"/>
      <c r="AT501" s="271"/>
      <c r="AU501" s="271"/>
      <c r="AV501" s="271"/>
      <c r="AW501" s="271">
        <v>777255361</v>
      </c>
      <c r="AX501" s="271"/>
      <c r="AY501" s="271"/>
      <c r="AZ501" s="271"/>
      <c r="BA501" s="271"/>
      <c r="BB501" s="271"/>
      <c r="BC501" s="271"/>
      <c r="BD501" s="271"/>
      <c r="BE501" s="271"/>
      <c r="BF501" s="271"/>
      <c r="BG501" s="271"/>
      <c r="BH501" s="235">
        <f t="shared" si="188"/>
        <v>777255361</v>
      </c>
      <c r="BI501" s="271"/>
      <c r="BJ501" s="271"/>
      <c r="BK501" s="271"/>
      <c r="BL501" s="271"/>
      <c r="BM501" s="271">
        <v>508064269</v>
      </c>
      <c r="BN501" s="271"/>
      <c r="BO501" s="271"/>
      <c r="BP501" s="271"/>
      <c r="BQ501" s="271"/>
      <c r="BR501" s="271"/>
      <c r="BS501" s="271"/>
      <c r="BT501" s="271"/>
      <c r="BU501" s="271"/>
      <c r="BV501" s="271"/>
      <c r="BW501" s="271"/>
      <c r="BX501" s="235">
        <f t="shared" si="189"/>
        <v>508064269</v>
      </c>
      <c r="BY501" s="271"/>
      <c r="BZ501" s="271"/>
      <c r="CA501" s="271"/>
      <c r="CB501" s="271"/>
      <c r="CC501" s="271">
        <v>515621198</v>
      </c>
      <c r="CD501" s="271"/>
      <c r="CE501" s="271"/>
      <c r="CF501" s="271"/>
      <c r="CG501" s="271"/>
      <c r="CH501" s="271"/>
      <c r="CI501" s="271"/>
      <c r="CJ501" s="271"/>
      <c r="CK501" s="271"/>
      <c r="CL501" s="271"/>
      <c r="CM501" s="271"/>
      <c r="CN501" s="235">
        <f t="shared" si="190"/>
        <v>515621198</v>
      </c>
      <c r="CO501" s="271"/>
      <c r="CP501" s="271"/>
      <c r="CQ501" s="271"/>
      <c r="CR501" s="271"/>
      <c r="CS501" s="271">
        <v>694973132</v>
      </c>
      <c r="CT501" s="271"/>
      <c r="CU501" s="271"/>
      <c r="CV501" s="271"/>
      <c r="CW501" s="271"/>
      <c r="CX501" s="271"/>
      <c r="CY501" s="271"/>
      <c r="CZ501" s="271"/>
      <c r="DA501" s="271"/>
      <c r="DB501" s="271"/>
      <c r="DC501" s="271"/>
      <c r="DD501" s="234">
        <f t="shared" si="191"/>
        <v>694973132</v>
      </c>
      <c r="DE501" s="244">
        <f t="shared" si="192"/>
        <v>2495913960</v>
      </c>
    </row>
    <row r="502" spans="1:109" s="99" customFormat="1" ht="97.05" customHeight="1">
      <c r="A502" s="103" t="s">
        <v>1241</v>
      </c>
      <c r="B502" s="279" t="s">
        <v>9</v>
      </c>
      <c r="C502" s="279" t="s">
        <v>1693</v>
      </c>
      <c r="D502" s="279">
        <v>40</v>
      </c>
      <c r="E502" s="279" t="s">
        <v>1419</v>
      </c>
      <c r="F502" s="280" t="s">
        <v>1420</v>
      </c>
      <c r="G502" s="279" t="s">
        <v>3476</v>
      </c>
      <c r="H502" s="279">
        <v>48</v>
      </c>
      <c r="I502" s="279" t="s">
        <v>1421</v>
      </c>
      <c r="J502" s="279" t="s">
        <v>683</v>
      </c>
      <c r="K502" s="279">
        <v>123</v>
      </c>
      <c r="L502" s="279">
        <v>123</v>
      </c>
      <c r="M502" s="279" t="s">
        <v>1422</v>
      </c>
      <c r="N502" s="279" t="s">
        <v>1423</v>
      </c>
      <c r="O502" s="279" t="s">
        <v>1424</v>
      </c>
      <c r="P502" s="283">
        <v>451</v>
      </c>
      <c r="Q502" s="279" t="s">
        <v>3470</v>
      </c>
      <c r="R502" s="279" t="s">
        <v>1429</v>
      </c>
      <c r="S502" s="279" t="s">
        <v>683</v>
      </c>
      <c r="T502" s="279">
        <v>123</v>
      </c>
      <c r="U502" s="267">
        <v>60</v>
      </c>
      <c r="V502" s="267">
        <v>63</v>
      </c>
      <c r="W502" s="224">
        <v>123</v>
      </c>
      <c r="X502" s="267">
        <v>30</v>
      </c>
      <c r="Y502" s="267">
        <v>30</v>
      </c>
      <c r="Z502" s="267">
        <v>33</v>
      </c>
      <c r="AA502" s="267">
        <v>30</v>
      </c>
      <c r="AB502" s="224">
        <v>123</v>
      </c>
      <c r="AC502" s="267">
        <v>30</v>
      </c>
      <c r="AD502" s="267">
        <v>30</v>
      </c>
      <c r="AE502" s="267">
        <v>33</v>
      </c>
      <c r="AF502" s="267">
        <v>30</v>
      </c>
      <c r="AG502" s="224">
        <v>123</v>
      </c>
      <c r="AH502" s="267">
        <v>30</v>
      </c>
      <c r="AI502" s="267">
        <v>30</v>
      </c>
      <c r="AJ502" s="267">
        <v>33</v>
      </c>
      <c r="AK502" s="267">
        <v>30</v>
      </c>
      <c r="AL502" s="224">
        <v>123</v>
      </c>
      <c r="AM502" s="104">
        <v>123</v>
      </c>
      <c r="AN502" s="103" t="s">
        <v>686</v>
      </c>
      <c r="AO502" s="103" t="s">
        <v>619</v>
      </c>
      <c r="AP502" s="103" t="s">
        <v>1217</v>
      </c>
      <c r="AQ502" s="103" t="s">
        <v>1199</v>
      </c>
      <c r="AR502" s="103" t="s">
        <v>951</v>
      </c>
      <c r="AS502" s="271"/>
      <c r="AT502" s="271"/>
      <c r="AU502" s="271"/>
      <c r="AV502" s="271"/>
      <c r="AW502" s="271">
        <v>3000000</v>
      </c>
      <c r="AX502" s="271"/>
      <c r="AY502" s="271"/>
      <c r="AZ502" s="271"/>
      <c r="BA502" s="271"/>
      <c r="BB502" s="271"/>
      <c r="BC502" s="271"/>
      <c r="BD502" s="271"/>
      <c r="BE502" s="271"/>
      <c r="BF502" s="271"/>
      <c r="BG502" s="271"/>
      <c r="BH502" s="235">
        <f t="shared" si="188"/>
        <v>3000000</v>
      </c>
      <c r="BI502" s="271"/>
      <c r="BJ502" s="271"/>
      <c r="BK502" s="271"/>
      <c r="BL502" s="271"/>
      <c r="BM502" s="271">
        <v>20000000</v>
      </c>
      <c r="BN502" s="271"/>
      <c r="BO502" s="271"/>
      <c r="BP502" s="271"/>
      <c r="BQ502" s="271"/>
      <c r="BR502" s="271"/>
      <c r="BS502" s="271"/>
      <c r="BT502" s="271"/>
      <c r="BU502" s="271"/>
      <c r="BV502" s="271"/>
      <c r="BW502" s="271"/>
      <c r="BX502" s="235">
        <f t="shared" si="189"/>
        <v>20000000</v>
      </c>
      <c r="BY502" s="271"/>
      <c r="BZ502" s="271"/>
      <c r="CA502" s="271"/>
      <c r="CB502" s="271"/>
      <c r="CC502" s="271">
        <v>20000000</v>
      </c>
      <c r="CD502" s="271"/>
      <c r="CE502" s="271"/>
      <c r="CF502" s="271"/>
      <c r="CG502" s="271"/>
      <c r="CH502" s="271"/>
      <c r="CI502" s="271"/>
      <c r="CJ502" s="271"/>
      <c r="CK502" s="271"/>
      <c r="CL502" s="271"/>
      <c r="CM502" s="271"/>
      <c r="CN502" s="235">
        <f t="shared" si="190"/>
        <v>20000000</v>
      </c>
      <c r="CO502" s="271"/>
      <c r="CP502" s="271"/>
      <c r="CQ502" s="271"/>
      <c r="CR502" s="271"/>
      <c r="CS502" s="271">
        <v>25000000</v>
      </c>
      <c r="CT502" s="271"/>
      <c r="CU502" s="271"/>
      <c r="CV502" s="271"/>
      <c r="CW502" s="271"/>
      <c r="CX502" s="271"/>
      <c r="CY502" s="271"/>
      <c r="CZ502" s="271"/>
      <c r="DA502" s="271"/>
      <c r="DB502" s="271"/>
      <c r="DC502" s="271"/>
      <c r="DD502" s="234">
        <f t="shared" si="191"/>
        <v>25000000</v>
      </c>
      <c r="DE502" s="244">
        <f t="shared" si="192"/>
        <v>68000000</v>
      </c>
    </row>
    <row r="503" spans="1:109" s="99" customFormat="1" ht="97.05" customHeight="1">
      <c r="A503" s="103" t="s">
        <v>1241</v>
      </c>
      <c r="B503" s="279" t="s">
        <v>9</v>
      </c>
      <c r="C503" s="279" t="s">
        <v>1693</v>
      </c>
      <c r="D503" s="279">
        <v>40</v>
      </c>
      <c r="E503" s="279" t="s">
        <v>1419</v>
      </c>
      <c r="F503" s="280" t="s">
        <v>1420</v>
      </c>
      <c r="G503" s="279" t="s">
        <v>3476</v>
      </c>
      <c r="H503" s="279">
        <v>48</v>
      </c>
      <c r="I503" s="279" t="s">
        <v>1421</v>
      </c>
      <c r="J503" s="279" t="s">
        <v>683</v>
      </c>
      <c r="K503" s="279">
        <v>123</v>
      </c>
      <c r="L503" s="279">
        <v>123</v>
      </c>
      <c r="M503" s="279" t="s">
        <v>1422</v>
      </c>
      <c r="N503" s="279" t="s">
        <v>1423</v>
      </c>
      <c r="O503" s="279" t="s">
        <v>1424</v>
      </c>
      <c r="P503" s="283">
        <v>452</v>
      </c>
      <c r="Q503" s="279" t="s">
        <v>3206</v>
      </c>
      <c r="R503" s="279" t="s">
        <v>1430</v>
      </c>
      <c r="S503" s="279" t="s">
        <v>683</v>
      </c>
      <c r="T503" s="279">
        <v>13</v>
      </c>
      <c r="U503" s="267"/>
      <c r="V503" s="267"/>
      <c r="W503" s="224">
        <v>0</v>
      </c>
      <c r="X503" s="267"/>
      <c r="Y503" s="267"/>
      <c r="Z503" s="267"/>
      <c r="AA503" s="267"/>
      <c r="AB503" s="224">
        <v>0</v>
      </c>
      <c r="AC503" s="267"/>
      <c r="AD503" s="267">
        <v>6</v>
      </c>
      <c r="AE503" s="267">
        <v>7</v>
      </c>
      <c r="AF503" s="267"/>
      <c r="AG503" s="224">
        <v>13</v>
      </c>
      <c r="AH503" s="267"/>
      <c r="AI503" s="267">
        <v>6</v>
      </c>
      <c r="AJ503" s="267">
        <v>7</v>
      </c>
      <c r="AK503" s="267"/>
      <c r="AL503" s="224">
        <v>13</v>
      </c>
      <c r="AM503" s="104">
        <v>13</v>
      </c>
      <c r="AN503" s="103" t="s">
        <v>686</v>
      </c>
      <c r="AO503" s="103" t="s">
        <v>619</v>
      </c>
      <c r="AP503" s="103" t="s">
        <v>1217</v>
      </c>
      <c r="AQ503" s="103" t="s">
        <v>1199</v>
      </c>
      <c r="AR503" s="103" t="s">
        <v>939</v>
      </c>
      <c r="AS503" s="271"/>
      <c r="AT503" s="271"/>
      <c r="AU503" s="271"/>
      <c r="AV503" s="271"/>
      <c r="AW503" s="271"/>
      <c r="AX503" s="271"/>
      <c r="AY503" s="271"/>
      <c r="AZ503" s="271"/>
      <c r="BA503" s="271"/>
      <c r="BB503" s="271"/>
      <c r="BC503" s="271"/>
      <c r="BD503" s="271"/>
      <c r="BE503" s="271"/>
      <c r="BF503" s="271"/>
      <c r="BG503" s="271"/>
      <c r="BH503" s="235">
        <f t="shared" si="188"/>
        <v>0</v>
      </c>
      <c r="BI503" s="271"/>
      <c r="BJ503" s="271"/>
      <c r="BK503" s="271"/>
      <c r="BL503" s="271"/>
      <c r="BM503" s="271"/>
      <c r="BN503" s="271"/>
      <c r="BO503" s="271"/>
      <c r="BP503" s="271"/>
      <c r="BQ503" s="271"/>
      <c r="BR503" s="271"/>
      <c r="BS503" s="271"/>
      <c r="BT503" s="271"/>
      <c r="BU503" s="271"/>
      <c r="BV503" s="271"/>
      <c r="BW503" s="271"/>
      <c r="BX503" s="235">
        <f t="shared" si="189"/>
        <v>0</v>
      </c>
      <c r="BY503" s="271"/>
      <c r="BZ503" s="271"/>
      <c r="CA503" s="271"/>
      <c r="CB503" s="271"/>
      <c r="CC503" s="271">
        <v>78000000</v>
      </c>
      <c r="CD503" s="271"/>
      <c r="CE503" s="271"/>
      <c r="CF503" s="271"/>
      <c r="CG503" s="271"/>
      <c r="CH503" s="271"/>
      <c r="CI503" s="271"/>
      <c r="CJ503" s="271"/>
      <c r="CK503" s="271"/>
      <c r="CL503" s="271"/>
      <c r="CM503" s="271"/>
      <c r="CN503" s="235">
        <f t="shared" si="190"/>
        <v>78000000</v>
      </c>
      <c r="CO503" s="271"/>
      <c r="CP503" s="271"/>
      <c r="CQ503" s="271"/>
      <c r="CR503" s="271"/>
      <c r="CS503" s="271">
        <v>85000000</v>
      </c>
      <c r="CT503" s="271"/>
      <c r="CU503" s="271"/>
      <c r="CV503" s="271"/>
      <c r="CW503" s="271"/>
      <c r="CX503" s="271"/>
      <c r="CY503" s="271"/>
      <c r="CZ503" s="271"/>
      <c r="DA503" s="271"/>
      <c r="DB503" s="271"/>
      <c r="DC503" s="271"/>
      <c r="DD503" s="234">
        <f t="shared" si="191"/>
        <v>85000000</v>
      </c>
      <c r="DE503" s="244">
        <f>SUM(DD503+CN503+BX503+BH503)</f>
        <v>163000000</v>
      </c>
    </row>
    <row r="504" spans="1:109" s="99" customFormat="1" ht="97.05" customHeight="1">
      <c r="A504" s="103" t="s">
        <v>1241</v>
      </c>
      <c r="B504" s="279" t="s">
        <v>9</v>
      </c>
      <c r="C504" s="279" t="s">
        <v>1693</v>
      </c>
      <c r="D504" s="279">
        <v>40</v>
      </c>
      <c r="E504" s="279" t="s">
        <v>1419</v>
      </c>
      <c r="F504" s="280" t="s">
        <v>1420</v>
      </c>
      <c r="G504" s="279" t="s">
        <v>3476</v>
      </c>
      <c r="H504" s="279">
        <v>48</v>
      </c>
      <c r="I504" s="279" t="s">
        <v>1421</v>
      </c>
      <c r="J504" s="279" t="s">
        <v>683</v>
      </c>
      <c r="K504" s="279">
        <v>123</v>
      </c>
      <c r="L504" s="279">
        <v>123</v>
      </c>
      <c r="M504" s="279" t="s">
        <v>1422</v>
      </c>
      <c r="N504" s="279" t="s">
        <v>1423</v>
      </c>
      <c r="O504" s="279" t="s">
        <v>1424</v>
      </c>
      <c r="P504" s="283">
        <v>453</v>
      </c>
      <c r="Q504" s="279" t="s">
        <v>3207</v>
      </c>
      <c r="R504" s="279" t="s">
        <v>1430</v>
      </c>
      <c r="S504" s="279" t="s">
        <v>683</v>
      </c>
      <c r="T504" s="279">
        <v>0</v>
      </c>
      <c r="U504" s="267"/>
      <c r="V504" s="267"/>
      <c r="W504" s="224">
        <v>0</v>
      </c>
      <c r="X504" s="267"/>
      <c r="Y504" s="267"/>
      <c r="Z504" s="267"/>
      <c r="AA504" s="267">
        <v>13</v>
      </c>
      <c r="AB504" s="224">
        <v>13</v>
      </c>
      <c r="AC504" s="267"/>
      <c r="AD504" s="267"/>
      <c r="AE504" s="267"/>
      <c r="AF504" s="267"/>
      <c r="AG504" s="224">
        <v>0</v>
      </c>
      <c r="AH504" s="267"/>
      <c r="AI504" s="267"/>
      <c r="AJ504" s="267"/>
      <c r="AK504" s="267"/>
      <c r="AL504" s="224">
        <v>0</v>
      </c>
      <c r="AM504" s="104">
        <v>13</v>
      </c>
      <c r="AN504" s="103" t="s">
        <v>685</v>
      </c>
      <c r="AO504" s="103" t="s">
        <v>619</v>
      </c>
      <c r="AP504" s="103" t="s">
        <v>1217</v>
      </c>
      <c r="AQ504" s="103" t="s">
        <v>1199</v>
      </c>
      <c r="AR504" s="103" t="s">
        <v>939</v>
      </c>
      <c r="AS504" s="271"/>
      <c r="AT504" s="271"/>
      <c r="AU504" s="271"/>
      <c r="AV504" s="271"/>
      <c r="AW504" s="271"/>
      <c r="AX504" s="271"/>
      <c r="AY504" s="271"/>
      <c r="AZ504" s="271"/>
      <c r="BA504" s="271"/>
      <c r="BB504" s="271"/>
      <c r="BC504" s="271"/>
      <c r="BD504" s="271"/>
      <c r="BE504" s="271"/>
      <c r="BF504" s="271"/>
      <c r="BG504" s="271"/>
      <c r="BH504" s="235">
        <f t="shared" si="188"/>
        <v>0</v>
      </c>
      <c r="BI504" s="271"/>
      <c r="BJ504" s="271"/>
      <c r="BK504" s="271"/>
      <c r="BL504" s="271"/>
      <c r="BM504" s="271">
        <v>10000000</v>
      </c>
      <c r="BN504" s="271"/>
      <c r="BO504" s="271"/>
      <c r="BP504" s="271"/>
      <c r="BQ504" s="271"/>
      <c r="BR504" s="271"/>
      <c r="BS504" s="271"/>
      <c r="BT504" s="271"/>
      <c r="BU504" s="271"/>
      <c r="BV504" s="271"/>
      <c r="BW504" s="271"/>
      <c r="BX504" s="235">
        <f t="shared" si="189"/>
        <v>10000000</v>
      </c>
      <c r="BY504" s="271"/>
      <c r="BZ504" s="271"/>
      <c r="CA504" s="271"/>
      <c r="CB504" s="271"/>
      <c r="CC504" s="271"/>
      <c r="CD504" s="271"/>
      <c r="CE504" s="271"/>
      <c r="CF504" s="271"/>
      <c r="CG504" s="271"/>
      <c r="CH504" s="271"/>
      <c r="CI504" s="271"/>
      <c r="CJ504" s="271"/>
      <c r="CK504" s="271"/>
      <c r="CL504" s="271"/>
      <c r="CM504" s="271"/>
      <c r="CN504" s="235">
        <f t="shared" si="190"/>
        <v>0</v>
      </c>
      <c r="CO504" s="271"/>
      <c r="CP504" s="271"/>
      <c r="CQ504" s="271"/>
      <c r="CR504" s="271"/>
      <c r="CS504" s="271"/>
      <c r="CT504" s="271"/>
      <c r="CU504" s="271"/>
      <c r="CV504" s="271"/>
      <c r="CW504" s="271"/>
      <c r="CX504" s="271"/>
      <c r="CY504" s="271"/>
      <c r="CZ504" s="271"/>
      <c r="DA504" s="271"/>
      <c r="DB504" s="271"/>
      <c r="DC504" s="271"/>
      <c r="DD504" s="234">
        <f t="shared" si="191"/>
        <v>0</v>
      </c>
      <c r="DE504" s="244">
        <f t="shared" si="192"/>
        <v>10000000</v>
      </c>
    </row>
    <row r="505" spans="1:109" s="99" customFormat="1" ht="97.05" customHeight="1">
      <c r="A505" s="103" t="s">
        <v>1241</v>
      </c>
      <c r="B505" s="279" t="s">
        <v>9</v>
      </c>
      <c r="C505" s="279" t="s">
        <v>1693</v>
      </c>
      <c r="D505" s="279">
        <v>40</v>
      </c>
      <c r="E505" s="279" t="s">
        <v>1419</v>
      </c>
      <c r="F505" s="280" t="s">
        <v>1420</v>
      </c>
      <c r="G505" s="279" t="s">
        <v>3476</v>
      </c>
      <c r="H505" s="279">
        <v>48</v>
      </c>
      <c r="I505" s="279" t="s">
        <v>1421</v>
      </c>
      <c r="J505" s="279" t="s">
        <v>683</v>
      </c>
      <c r="K505" s="279">
        <v>123</v>
      </c>
      <c r="L505" s="279">
        <v>123</v>
      </c>
      <c r="M505" s="279" t="s">
        <v>1431</v>
      </c>
      <c r="N505" s="279" t="s">
        <v>1432</v>
      </c>
      <c r="O505" s="279" t="s">
        <v>1433</v>
      </c>
      <c r="P505" s="283">
        <v>454</v>
      </c>
      <c r="Q505" s="279" t="s">
        <v>3471</v>
      </c>
      <c r="R505" s="279" t="s">
        <v>1434</v>
      </c>
      <c r="S505" s="279" t="s">
        <v>683</v>
      </c>
      <c r="T505" s="279">
        <v>0</v>
      </c>
      <c r="U505" s="267">
        <v>0.05</v>
      </c>
      <c r="V505" s="267">
        <v>0.05</v>
      </c>
      <c r="W505" s="224">
        <v>0.1</v>
      </c>
      <c r="X505" s="267">
        <v>0.05</v>
      </c>
      <c r="Y505" s="267">
        <v>0.05</v>
      </c>
      <c r="Z505" s="267">
        <v>0.1</v>
      </c>
      <c r="AA505" s="267">
        <v>0.1</v>
      </c>
      <c r="AB505" s="224">
        <v>0.30000000000000004</v>
      </c>
      <c r="AC505" s="267">
        <v>0.05</v>
      </c>
      <c r="AD505" s="267">
        <v>0.05</v>
      </c>
      <c r="AE505" s="267">
        <v>0.1</v>
      </c>
      <c r="AF505" s="267">
        <v>0.1</v>
      </c>
      <c r="AG505" s="224">
        <v>0.30000000000000004</v>
      </c>
      <c r="AH505" s="267">
        <v>0.05</v>
      </c>
      <c r="AI505" s="267">
        <v>0.05</v>
      </c>
      <c r="AJ505" s="267">
        <v>0.1</v>
      </c>
      <c r="AK505" s="267">
        <v>0.1</v>
      </c>
      <c r="AL505" s="224">
        <v>0.30000000000000004</v>
      </c>
      <c r="AM505" s="104">
        <v>1</v>
      </c>
      <c r="AN505" s="103" t="s">
        <v>685</v>
      </c>
      <c r="AO505" s="103" t="s">
        <v>619</v>
      </c>
      <c r="AP505" s="103" t="s">
        <v>1217</v>
      </c>
      <c r="AQ505" s="103" t="s">
        <v>1207</v>
      </c>
      <c r="AR505" s="103" t="s">
        <v>939</v>
      </c>
      <c r="AS505" s="271"/>
      <c r="AT505" s="271"/>
      <c r="AU505" s="271"/>
      <c r="AV505" s="271"/>
      <c r="AW505" s="271">
        <v>40000000</v>
      </c>
      <c r="AX505" s="271"/>
      <c r="AY505" s="271"/>
      <c r="AZ505" s="271"/>
      <c r="BA505" s="271"/>
      <c r="BB505" s="271"/>
      <c r="BC505" s="271"/>
      <c r="BD505" s="271"/>
      <c r="BE505" s="271"/>
      <c r="BF505" s="271"/>
      <c r="BG505" s="271"/>
      <c r="BH505" s="235">
        <f t="shared" si="188"/>
        <v>40000000</v>
      </c>
      <c r="BI505" s="271"/>
      <c r="BJ505" s="271"/>
      <c r="BK505" s="271"/>
      <c r="BL505" s="271"/>
      <c r="BM505" s="271">
        <v>20000000</v>
      </c>
      <c r="BN505" s="271"/>
      <c r="BO505" s="271"/>
      <c r="BP505" s="271"/>
      <c r="BQ505" s="271"/>
      <c r="BR505" s="271"/>
      <c r="BS505" s="271"/>
      <c r="BT505" s="271"/>
      <c r="BU505" s="271"/>
      <c r="BV505" s="271"/>
      <c r="BW505" s="271"/>
      <c r="BX505" s="235">
        <f t="shared" si="189"/>
        <v>20000000</v>
      </c>
      <c r="BY505" s="271"/>
      <c r="BZ505" s="271"/>
      <c r="CA505" s="271"/>
      <c r="CB505" s="271"/>
      <c r="CC505" s="271">
        <v>20000000</v>
      </c>
      <c r="CD505" s="271"/>
      <c r="CE505" s="271"/>
      <c r="CF505" s="271"/>
      <c r="CG505" s="271"/>
      <c r="CH505" s="271"/>
      <c r="CI505" s="271"/>
      <c r="CJ505" s="271"/>
      <c r="CK505" s="271"/>
      <c r="CL505" s="271"/>
      <c r="CM505" s="271"/>
      <c r="CN505" s="235">
        <f t="shared" si="190"/>
        <v>20000000</v>
      </c>
      <c r="CO505" s="271"/>
      <c r="CP505" s="271"/>
      <c r="CQ505" s="271"/>
      <c r="CR505" s="271"/>
      <c r="CS505" s="271">
        <v>25000000</v>
      </c>
      <c r="CT505" s="271"/>
      <c r="CU505" s="271"/>
      <c r="CV505" s="271"/>
      <c r="CW505" s="271"/>
      <c r="CX505" s="271"/>
      <c r="CY505" s="271"/>
      <c r="CZ505" s="271"/>
      <c r="DA505" s="271"/>
      <c r="DB505" s="271"/>
      <c r="DC505" s="271"/>
      <c r="DD505" s="234">
        <f t="shared" si="191"/>
        <v>25000000</v>
      </c>
      <c r="DE505" s="244">
        <f t="shared" si="192"/>
        <v>105000000</v>
      </c>
    </row>
    <row r="506" spans="1:109" s="99" customFormat="1" ht="97.05" customHeight="1">
      <c r="A506" s="103" t="s">
        <v>1241</v>
      </c>
      <c r="B506" s="279" t="s">
        <v>9</v>
      </c>
      <c r="C506" s="279" t="s">
        <v>1693</v>
      </c>
      <c r="D506" s="279">
        <v>40</v>
      </c>
      <c r="E506" s="279" t="s">
        <v>1419</v>
      </c>
      <c r="F506" s="280" t="s">
        <v>1420</v>
      </c>
      <c r="G506" s="279" t="s">
        <v>3476</v>
      </c>
      <c r="H506" s="279">
        <v>48</v>
      </c>
      <c r="I506" s="279" t="s">
        <v>1421</v>
      </c>
      <c r="J506" s="279" t="s">
        <v>683</v>
      </c>
      <c r="K506" s="279">
        <v>123</v>
      </c>
      <c r="L506" s="279">
        <v>123</v>
      </c>
      <c r="M506" s="279" t="s">
        <v>1431</v>
      </c>
      <c r="N506" s="279" t="s">
        <v>1432</v>
      </c>
      <c r="O506" s="279" t="s">
        <v>1433</v>
      </c>
      <c r="P506" s="283">
        <v>455</v>
      </c>
      <c r="Q506" s="279" t="s">
        <v>3733</v>
      </c>
      <c r="R506" s="279" t="s">
        <v>1435</v>
      </c>
      <c r="S506" s="279" t="s">
        <v>683</v>
      </c>
      <c r="T506" s="279">
        <v>0</v>
      </c>
      <c r="U506" s="267"/>
      <c r="V506" s="267"/>
      <c r="W506" s="224">
        <v>0</v>
      </c>
      <c r="X506" s="267"/>
      <c r="Y506" s="267"/>
      <c r="Z506" s="267">
        <v>0.25</v>
      </c>
      <c r="AA506" s="267">
        <v>0.25</v>
      </c>
      <c r="AB506" s="224">
        <v>0.5</v>
      </c>
      <c r="AC506" s="267"/>
      <c r="AD506" s="267">
        <v>0.25</v>
      </c>
      <c r="AE506" s="267">
        <v>0.25</v>
      </c>
      <c r="AF506" s="267"/>
      <c r="AG506" s="224">
        <v>0.5</v>
      </c>
      <c r="AH506" s="267"/>
      <c r="AI506" s="267"/>
      <c r="AJ506" s="267"/>
      <c r="AK506" s="267"/>
      <c r="AL506" s="224">
        <v>0</v>
      </c>
      <c r="AM506" s="104">
        <v>1</v>
      </c>
      <c r="AN506" s="103" t="s">
        <v>685</v>
      </c>
      <c r="AO506" s="103" t="s">
        <v>619</v>
      </c>
      <c r="AP506" s="103" t="s">
        <v>1217</v>
      </c>
      <c r="AQ506" s="103" t="s">
        <v>1207</v>
      </c>
      <c r="AR506" s="103" t="s">
        <v>939</v>
      </c>
      <c r="AS506" s="271"/>
      <c r="AT506" s="271"/>
      <c r="AU506" s="271"/>
      <c r="AV506" s="271"/>
      <c r="AW506" s="271"/>
      <c r="AX506" s="271"/>
      <c r="AY506" s="271"/>
      <c r="AZ506" s="271"/>
      <c r="BA506" s="271"/>
      <c r="BB506" s="271"/>
      <c r="BC506" s="271"/>
      <c r="BD506" s="271"/>
      <c r="BE506" s="271"/>
      <c r="BF506" s="271"/>
      <c r="BG506" s="271"/>
      <c r="BH506" s="235">
        <f t="shared" si="188"/>
        <v>0</v>
      </c>
      <c r="BI506" s="271"/>
      <c r="BJ506" s="271"/>
      <c r="BK506" s="271"/>
      <c r="BL506" s="271"/>
      <c r="BM506" s="271">
        <v>45000000</v>
      </c>
      <c r="BN506" s="271"/>
      <c r="BO506" s="271"/>
      <c r="BP506" s="271"/>
      <c r="BQ506" s="271"/>
      <c r="BR506" s="271"/>
      <c r="BS506" s="271"/>
      <c r="BT506" s="271"/>
      <c r="BU506" s="271"/>
      <c r="BV506" s="271"/>
      <c r="BW506" s="271"/>
      <c r="BX506" s="235">
        <f t="shared" si="189"/>
        <v>45000000</v>
      </c>
      <c r="BY506" s="271"/>
      <c r="BZ506" s="271"/>
      <c r="CA506" s="271"/>
      <c r="CB506" s="271"/>
      <c r="CC506" s="271">
        <v>45000000</v>
      </c>
      <c r="CD506" s="271"/>
      <c r="CE506" s="271"/>
      <c r="CF506" s="271"/>
      <c r="CG506" s="271"/>
      <c r="CH506" s="271"/>
      <c r="CI506" s="271"/>
      <c r="CJ506" s="271"/>
      <c r="CK506" s="271"/>
      <c r="CL506" s="271"/>
      <c r="CM506" s="271"/>
      <c r="CN506" s="235">
        <f t="shared" si="190"/>
        <v>45000000</v>
      </c>
      <c r="CO506" s="271"/>
      <c r="CP506" s="271"/>
      <c r="CQ506" s="271"/>
      <c r="CR506" s="271"/>
      <c r="CS506" s="271"/>
      <c r="CT506" s="271"/>
      <c r="CU506" s="271"/>
      <c r="CV506" s="271"/>
      <c r="CW506" s="271"/>
      <c r="CX506" s="271"/>
      <c r="CY506" s="271"/>
      <c r="CZ506" s="271"/>
      <c r="DA506" s="271"/>
      <c r="DB506" s="271"/>
      <c r="DC506" s="271"/>
      <c r="DD506" s="234">
        <f t="shared" si="191"/>
        <v>0</v>
      </c>
      <c r="DE506" s="244">
        <f t="shared" si="192"/>
        <v>90000000</v>
      </c>
    </row>
    <row r="507" spans="1:109" s="99" customFormat="1" ht="97.05" customHeight="1">
      <c r="A507" s="103" t="s">
        <v>1241</v>
      </c>
      <c r="B507" s="279" t="s">
        <v>9</v>
      </c>
      <c r="C507" s="279" t="s">
        <v>1693</v>
      </c>
      <c r="D507" s="279">
        <v>40</v>
      </c>
      <c r="E507" s="279" t="s">
        <v>1419</v>
      </c>
      <c r="F507" s="280" t="s">
        <v>1420</v>
      </c>
      <c r="G507" s="279" t="s">
        <v>3476</v>
      </c>
      <c r="H507" s="279">
        <v>48</v>
      </c>
      <c r="I507" s="279" t="s">
        <v>1421</v>
      </c>
      <c r="J507" s="279" t="s">
        <v>683</v>
      </c>
      <c r="K507" s="279">
        <v>123</v>
      </c>
      <c r="L507" s="279">
        <v>123</v>
      </c>
      <c r="M507" s="279" t="s">
        <v>1431</v>
      </c>
      <c r="N507" s="279" t="s">
        <v>1432</v>
      </c>
      <c r="O507" s="279" t="s">
        <v>1433</v>
      </c>
      <c r="P507" s="283">
        <v>456</v>
      </c>
      <c r="Q507" s="279" t="s">
        <v>3472</v>
      </c>
      <c r="R507" s="279" t="s">
        <v>1436</v>
      </c>
      <c r="S507" s="279" t="s">
        <v>683</v>
      </c>
      <c r="T507" s="279">
        <v>0</v>
      </c>
      <c r="U507" s="267"/>
      <c r="V507" s="267"/>
      <c r="W507" s="224">
        <v>0</v>
      </c>
      <c r="X507" s="267"/>
      <c r="Y507" s="267"/>
      <c r="Z507" s="267">
        <v>0.25</v>
      </c>
      <c r="AA507" s="267">
        <v>0.25</v>
      </c>
      <c r="AB507" s="224">
        <v>0.5</v>
      </c>
      <c r="AC507" s="267"/>
      <c r="AD507" s="267">
        <v>0.25</v>
      </c>
      <c r="AE507" s="267">
        <v>0.25</v>
      </c>
      <c r="AF507" s="267"/>
      <c r="AG507" s="224">
        <v>0.5</v>
      </c>
      <c r="AH507" s="267"/>
      <c r="AI507" s="267"/>
      <c r="AJ507" s="267"/>
      <c r="AK507" s="267"/>
      <c r="AL507" s="224">
        <v>0</v>
      </c>
      <c r="AM507" s="104">
        <v>1</v>
      </c>
      <c r="AN507" s="103" t="s">
        <v>685</v>
      </c>
      <c r="AO507" s="103" t="s">
        <v>619</v>
      </c>
      <c r="AP507" s="103" t="s">
        <v>1217</v>
      </c>
      <c r="AQ507" s="103" t="s">
        <v>1207</v>
      </c>
      <c r="AR507" s="103" t="s">
        <v>939</v>
      </c>
      <c r="AS507" s="271"/>
      <c r="AT507" s="271"/>
      <c r="AU507" s="271"/>
      <c r="AV507" s="271"/>
      <c r="AW507" s="271"/>
      <c r="AX507" s="271"/>
      <c r="AY507" s="271"/>
      <c r="AZ507" s="271"/>
      <c r="BA507" s="271"/>
      <c r="BB507" s="271"/>
      <c r="BC507" s="271"/>
      <c r="BD507" s="271"/>
      <c r="BE507" s="271"/>
      <c r="BF507" s="271"/>
      <c r="BG507" s="271"/>
      <c r="BH507" s="235">
        <f t="shared" si="188"/>
        <v>0</v>
      </c>
      <c r="BI507" s="271"/>
      <c r="BJ507" s="271"/>
      <c r="BK507" s="271"/>
      <c r="BL507" s="271"/>
      <c r="BM507" s="271">
        <v>27978983</v>
      </c>
      <c r="BN507" s="271"/>
      <c r="BO507" s="271"/>
      <c r="BP507" s="271"/>
      <c r="BQ507" s="271"/>
      <c r="BR507" s="271"/>
      <c r="BS507" s="271"/>
      <c r="BT507" s="271"/>
      <c r="BU507" s="271"/>
      <c r="BV507" s="271"/>
      <c r="BW507" s="271"/>
      <c r="BX507" s="235">
        <f t="shared" si="189"/>
        <v>27978983</v>
      </c>
      <c r="BY507" s="271"/>
      <c r="BZ507" s="271"/>
      <c r="CA507" s="271"/>
      <c r="CB507" s="271"/>
      <c r="CC507" s="271">
        <v>37218352</v>
      </c>
      <c r="CD507" s="271"/>
      <c r="CE507" s="271"/>
      <c r="CF507" s="271"/>
      <c r="CG507" s="271"/>
      <c r="CH507" s="271"/>
      <c r="CI507" s="271"/>
      <c r="CJ507" s="271"/>
      <c r="CK507" s="271"/>
      <c r="CL507" s="271"/>
      <c r="CM507" s="271"/>
      <c r="CN507" s="235">
        <f t="shared" si="190"/>
        <v>37218352</v>
      </c>
      <c r="CO507" s="271"/>
      <c r="CP507" s="271"/>
      <c r="CQ507" s="271"/>
      <c r="CR507" s="271"/>
      <c r="CS507" s="271"/>
      <c r="CT507" s="271"/>
      <c r="CU507" s="271"/>
      <c r="CV507" s="271"/>
      <c r="CW507" s="271"/>
      <c r="CX507" s="271"/>
      <c r="CY507" s="271"/>
      <c r="CZ507" s="271"/>
      <c r="DA507" s="271"/>
      <c r="DB507" s="271"/>
      <c r="DC507" s="271"/>
      <c r="DD507" s="234">
        <f t="shared" si="191"/>
        <v>0</v>
      </c>
      <c r="DE507" s="244">
        <f t="shared" si="192"/>
        <v>65197335</v>
      </c>
    </row>
    <row r="508" spans="1:109" s="99" customFormat="1" ht="97.05" customHeight="1">
      <c r="A508" s="103" t="s">
        <v>1241</v>
      </c>
      <c r="B508" s="279" t="s">
        <v>9</v>
      </c>
      <c r="C508" s="279" t="s">
        <v>1693</v>
      </c>
      <c r="D508" s="279">
        <v>40</v>
      </c>
      <c r="E508" s="279" t="s">
        <v>1419</v>
      </c>
      <c r="F508" s="280" t="s">
        <v>1420</v>
      </c>
      <c r="G508" s="279" t="s">
        <v>3476</v>
      </c>
      <c r="H508" s="279">
        <v>48</v>
      </c>
      <c r="I508" s="279" t="s">
        <v>1421</v>
      </c>
      <c r="J508" s="279" t="s">
        <v>683</v>
      </c>
      <c r="K508" s="279">
        <v>123</v>
      </c>
      <c r="L508" s="279">
        <v>123</v>
      </c>
      <c r="M508" s="279" t="s">
        <v>1431</v>
      </c>
      <c r="N508" s="279" t="s">
        <v>1432</v>
      </c>
      <c r="O508" s="279" t="s">
        <v>1433</v>
      </c>
      <c r="P508" s="283">
        <v>457</v>
      </c>
      <c r="Q508" s="279" t="s">
        <v>3473</v>
      </c>
      <c r="R508" s="279" t="s">
        <v>1437</v>
      </c>
      <c r="S508" s="279" t="s">
        <v>683</v>
      </c>
      <c r="T508" s="279">
        <v>0</v>
      </c>
      <c r="U508" s="267"/>
      <c r="V508" s="267"/>
      <c r="W508" s="224">
        <v>0</v>
      </c>
      <c r="X508" s="267"/>
      <c r="Y508" s="267"/>
      <c r="Z508" s="267">
        <v>0.25</v>
      </c>
      <c r="AA508" s="267">
        <v>0.25</v>
      </c>
      <c r="AB508" s="224">
        <v>0.5</v>
      </c>
      <c r="AC508" s="267"/>
      <c r="AD508" s="267">
        <v>0.05</v>
      </c>
      <c r="AE508" s="267">
        <v>0.2</v>
      </c>
      <c r="AF508" s="267">
        <v>0.25</v>
      </c>
      <c r="AG508" s="224">
        <v>0.5</v>
      </c>
      <c r="AH508" s="267"/>
      <c r="AI508" s="267"/>
      <c r="AJ508" s="267"/>
      <c r="AK508" s="267"/>
      <c r="AL508" s="224">
        <v>0</v>
      </c>
      <c r="AM508" s="104">
        <v>1</v>
      </c>
      <c r="AN508" s="103" t="s">
        <v>685</v>
      </c>
      <c r="AO508" s="103" t="s">
        <v>619</v>
      </c>
      <c r="AP508" s="103" t="s">
        <v>1217</v>
      </c>
      <c r="AQ508" s="103" t="s">
        <v>1207</v>
      </c>
      <c r="AR508" s="103" t="s">
        <v>939</v>
      </c>
      <c r="AS508" s="271"/>
      <c r="AT508" s="271"/>
      <c r="AU508" s="271"/>
      <c r="AV508" s="271"/>
      <c r="AW508" s="271"/>
      <c r="AX508" s="271"/>
      <c r="AY508" s="271"/>
      <c r="AZ508" s="271"/>
      <c r="BA508" s="271"/>
      <c r="BB508" s="271"/>
      <c r="BC508" s="271"/>
      <c r="BD508" s="271"/>
      <c r="BE508" s="271"/>
      <c r="BF508" s="271"/>
      <c r="BG508" s="271"/>
      <c r="BH508" s="235">
        <f t="shared" si="188"/>
        <v>0</v>
      </c>
      <c r="BI508" s="271"/>
      <c r="BJ508" s="271"/>
      <c r="BK508" s="271"/>
      <c r="BL508" s="271"/>
      <c r="BM508" s="271">
        <v>10000000</v>
      </c>
      <c r="BN508" s="271"/>
      <c r="BO508" s="271"/>
      <c r="BP508" s="271"/>
      <c r="BQ508" s="271"/>
      <c r="BR508" s="271"/>
      <c r="BS508" s="271"/>
      <c r="BT508" s="271"/>
      <c r="BU508" s="271"/>
      <c r="BV508" s="271"/>
      <c r="BW508" s="271"/>
      <c r="BX508" s="235">
        <f t="shared" si="189"/>
        <v>10000000</v>
      </c>
      <c r="BY508" s="271"/>
      <c r="BZ508" s="271"/>
      <c r="CA508" s="271"/>
      <c r="CB508" s="271"/>
      <c r="CC508" s="271">
        <v>20000000</v>
      </c>
      <c r="CD508" s="271"/>
      <c r="CE508" s="271"/>
      <c r="CF508" s="271"/>
      <c r="CG508" s="271"/>
      <c r="CH508" s="271"/>
      <c r="CI508" s="271"/>
      <c r="CJ508" s="271"/>
      <c r="CK508" s="271"/>
      <c r="CL508" s="271"/>
      <c r="CM508" s="271"/>
      <c r="CN508" s="235">
        <f t="shared" si="190"/>
        <v>20000000</v>
      </c>
      <c r="CO508" s="271"/>
      <c r="CP508" s="271"/>
      <c r="CQ508" s="271"/>
      <c r="CR508" s="271"/>
      <c r="CS508" s="271"/>
      <c r="CT508" s="271"/>
      <c r="CU508" s="271"/>
      <c r="CV508" s="271"/>
      <c r="CW508" s="271"/>
      <c r="CX508" s="271"/>
      <c r="CY508" s="271"/>
      <c r="CZ508" s="271"/>
      <c r="DA508" s="271"/>
      <c r="DB508" s="271"/>
      <c r="DC508" s="271"/>
      <c r="DD508" s="234">
        <f t="shared" si="191"/>
        <v>0</v>
      </c>
      <c r="DE508" s="244">
        <f t="shared" si="192"/>
        <v>30000000</v>
      </c>
    </row>
    <row r="509" spans="1:109" s="99" customFormat="1" ht="97.05" customHeight="1">
      <c r="A509" s="103" t="s">
        <v>1241</v>
      </c>
      <c r="B509" s="279" t="s">
        <v>9</v>
      </c>
      <c r="C509" s="279" t="s">
        <v>1693</v>
      </c>
      <c r="D509" s="279">
        <v>40</v>
      </c>
      <c r="E509" s="279" t="s">
        <v>1419</v>
      </c>
      <c r="F509" s="280" t="s">
        <v>1420</v>
      </c>
      <c r="G509" s="279" t="s">
        <v>3476</v>
      </c>
      <c r="H509" s="279">
        <v>48</v>
      </c>
      <c r="I509" s="279" t="s">
        <v>1421</v>
      </c>
      <c r="J509" s="279" t="s">
        <v>683</v>
      </c>
      <c r="K509" s="279">
        <v>123</v>
      </c>
      <c r="L509" s="279">
        <v>123</v>
      </c>
      <c r="M509" s="279" t="s">
        <v>1431</v>
      </c>
      <c r="N509" s="279" t="s">
        <v>1432</v>
      </c>
      <c r="O509" s="279" t="s">
        <v>1433</v>
      </c>
      <c r="P509" s="283">
        <v>458</v>
      </c>
      <c r="Q509" s="279" t="s">
        <v>3474</v>
      </c>
      <c r="R509" s="279" t="s">
        <v>1438</v>
      </c>
      <c r="S509" s="279" t="s">
        <v>683</v>
      </c>
      <c r="T509" s="279">
        <v>0</v>
      </c>
      <c r="U509" s="267"/>
      <c r="V509" s="267"/>
      <c r="W509" s="224">
        <v>0</v>
      </c>
      <c r="X509" s="267"/>
      <c r="Y509" s="267"/>
      <c r="Z509" s="267">
        <v>0.15</v>
      </c>
      <c r="AA509" s="267">
        <v>0.15</v>
      </c>
      <c r="AB509" s="224">
        <v>0.3</v>
      </c>
      <c r="AC509" s="267">
        <v>0.15</v>
      </c>
      <c r="AD509" s="267">
        <v>0.15</v>
      </c>
      <c r="AE509" s="267">
        <v>0.2</v>
      </c>
      <c r="AF509" s="267">
        <v>0.2</v>
      </c>
      <c r="AG509" s="224">
        <v>0.7</v>
      </c>
      <c r="AH509" s="267"/>
      <c r="AI509" s="267"/>
      <c r="AJ509" s="267"/>
      <c r="AK509" s="267"/>
      <c r="AL509" s="224">
        <v>0</v>
      </c>
      <c r="AM509" s="104">
        <v>1</v>
      </c>
      <c r="AN509" s="103" t="s">
        <v>685</v>
      </c>
      <c r="AO509" s="103" t="s">
        <v>619</v>
      </c>
      <c r="AP509" s="103" t="s">
        <v>1217</v>
      </c>
      <c r="AQ509" s="103" t="s">
        <v>1207</v>
      </c>
      <c r="AR509" s="103" t="s">
        <v>939</v>
      </c>
      <c r="AS509" s="271"/>
      <c r="AT509" s="271"/>
      <c r="AU509" s="271"/>
      <c r="AV509" s="271"/>
      <c r="AW509" s="271"/>
      <c r="AX509" s="271"/>
      <c r="AY509" s="271"/>
      <c r="AZ509" s="271"/>
      <c r="BA509" s="271"/>
      <c r="BB509" s="271"/>
      <c r="BC509" s="271"/>
      <c r="BD509" s="271"/>
      <c r="BE509" s="271"/>
      <c r="BF509" s="271"/>
      <c r="BG509" s="271"/>
      <c r="BH509" s="235">
        <f t="shared" si="188"/>
        <v>0</v>
      </c>
      <c r="BI509" s="271"/>
      <c r="BJ509" s="271"/>
      <c r="BK509" s="271"/>
      <c r="BL509" s="271"/>
      <c r="BM509" s="271">
        <v>25000000</v>
      </c>
      <c r="BN509" s="271"/>
      <c r="BO509" s="271"/>
      <c r="BP509" s="271"/>
      <c r="BQ509" s="271"/>
      <c r="BR509" s="271"/>
      <c r="BS509" s="271"/>
      <c r="BT509" s="271"/>
      <c r="BU509" s="271"/>
      <c r="BV509" s="271"/>
      <c r="BW509" s="271"/>
      <c r="BX509" s="235">
        <f t="shared" si="189"/>
        <v>25000000</v>
      </c>
      <c r="BY509" s="271"/>
      <c r="BZ509" s="271"/>
      <c r="CA509" s="271"/>
      <c r="CB509" s="271"/>
      <c r="CC509" s="271">
        <v>25000000</v>
      </c>
      <c r="CD509" s="271"/>
      <c r="CE509" s="271"/>
      <c r="CF509" s="271"/>
      <c r="CG509" s="271"/>
      <c r="CH509" s="271"/>
      <c r="CI509" s="271"/>
      <c r="CJ509" s="271"/>
      <c r="CK509" s="271"/>
      <c r="CL509" s="271"/>
      <c r="CM509" s="271"/>
      <c r="CN509" s="235">
        <f t="shared" si="190"/>
        <v>25000000</v>
      </c>
      <c r="CO509" s="271"/>
      <c r="CP509" s="271"/>
      <c r="CQ509" s="271"/>
      <c r="CR509" s="271"/>
      <c r="CS509" s="271"/>
      <c r="CT509" s="271"/>
      <c r="CU509" s="271"/>
      <c r="CV509" s="271"/>
      <c r="CW509" s="271"/>
      <c r="CX509" s="271"/>
      <c r="CY509" s="271"/>
      <c r="CZ509" s="271"/>
      <c r="DA509" s="271"/>
      <c r="DB509" s="271"/>
      <c r="DC509" s="271"/>
      <c r="DD509" s="234">
        <f t="shared" si="191"/>
        <v>0</v>
      </c>
      <c r="DE509" s="244">
        <f t="shared" si="192"/>
        <v>50000000</v>
      </c>
    </row>
    <row r="510" spans="1:109" s="99" customFormat="1" ht="97.05" customHeight="1">
      <c r="A510" s="120" t="s">
        <v>1241</v>
      </c>
      <c r="B510" s="281" t="s">
        <v>9</v>
      </c>
      <c r="C510" s="281" t="s">
        <v>1693</v>
      </c>
      <c r="D510" s="281">
        <v>40</v>
      </c>
      <c r="E510" s="281" t="s">
        <v>1419</v>
      </c>
      <c r="F510" s="282" t="s">
        <v>1420</v>
      </c>
      <c r="G510" s="281" t="s">
        <v>3476</v>
      </c>
      <c r="H510" s="281">
        <v>48</v>
      </c>
      <c r="I510" s="281" t="s">
        <v>1421</v>
      </c>
      <c r="J510" s="281" t="s">
        <v>683</v>
      </c>
      <c r="K510" s="281">
        <v>123</v>
      </c>
      <c r="L510" s="281">
        <v>123</v>
      </c>
      <c r="M510" s="281" t="s">
        <v>1431</v>
      </c>
      <c r="N510" s="281" t="s">
        <v>1432</v>
      </c>
      <c r="O510" s="281" t="s">
        <v>1433</v>
      </c>
      <c r="P510" s="283">
        <v>459</v>
      </c>
      <c r="Q510" s="281" t="s">
        <v>3475</v>
      </c>
      <c r="R510" s="281" t="s">
        <v>1439</v>
      </c>
      <c r="S510" s="281" t="s">
        <v>683</v>
      </c>
      <c r="T510" s="281">
        <v>0</v>
      </c>
      <c r="U510" s="275"/>
      <c r="V510" s="275"/>
      <c r="W510" s="225">
        <v>0</v>
      </c>
      <c r="X510" s="275"/>
      <c r="Y510" s="275">
        <v>0.5</v>
      </c>
      <c r="Z510" s="275">
        <v>0.5</v>
      </c>
      <c r="AA510" s="275"/>
      <c r="AB510" s="225">
        <v>1</v>
      </c>
      <c r="AC510" s="275"/>
      <c r="AD510" s="275"/>
      <c r="AE510" s="275"/>
      <c r="AF510" s="275"/>
      <c r="AG510" s="225">
        <v>0</v>
      </c>
      <c r="AH510" s="275"/>
      <c r="AI510" s="275"/>
      <c r="AJ510" s="275"/>
      <c r="AK510" s="275"/>
      <c r="AL510" s="225">
        <v>0</v>
      </c>
      <c r="AM510" s="119">
        <v>1</v>
      </c>
      <c r="AN510" s="120" t="s">
        <v>685</v>
      </c>
      <c r="AO510" s="103" t="s">
        <v>619</v>
      </c>
      <c r="AP510" s="120" t="s">
        <v>1217</v>
      </c>
      <c r="AQ510" s="120" t="s">
        <v>1199</v>
      </c>
      <c r="AR510" s="120" t="s">
        <v>939</v>
      </c>
      <c r="AS510" s="276"/>
      <c r="AT510" s="276"/>
      <c r="AU510" s="276"/>
      <c r="AV510" s="276"/>
      <c r="AW510" s="276"/>
      <c r="AX510" s="276"/>
      <c r="AY510" s="276"/>
      <c r="AZ510" s="276"/>
      <c r="BA510" s="276"/>
      <c r="BB510" s="276"/>
      <c r="BC510" s="276"/>
      <c r="BD510" s="276"/>
      <c r="BE510" s="276"/>
      <c r="BF510" s="276"/>
      <c r="BG510" s="276"/>
      <c r="BH510" s="236">
        <f t="shared" si="188"/>
        <v>0</v>
      </c>
      <c r="BI510" s="276"/>
      <c r="BJ510" s="276"/>
      <c r="BK510" s="276"/>
      <c r="BL510" s="276"/>
      <c r="BM510" s="276">
        <v>10000000</v>
      </c>
      <c r="BN510" s="276"/>
      <c r="BO510" s="276"/>
      <c r="BP510" s="276"/>
      <c r="BQ510" s="276"/>
      <c r="BR510" s="276"/>
      <c r="BS510" s="276"/>
      <c r="BT510" s="276"/>
      <c r="BU510" s="276"/>
      <c r="BV510" s="276"/>
      <c r="BW510" s="276"/>
      <c r="BX510" s="236">
        <f t="shared" si="189"/>
        <v>10000000</v>
      </c>
      <c r="BY510" s="276"/>
      <c r="BZ510" s="276"/>
      <c r="CA510" s="276"/>
      <c r="CB510" s="276"/>
      <c r="CC510" s="276"/>
      <c r="CD510" s="276"/>
      <c r="CE510" s="276"/>
      <c r="CF510" s="276"/>
      <c r="CG510" s="276"/>
      <c r="CH510" s="276"/>
      <c r="CI510" s="276"/>
      <c r="CJ510" s="276"/>
      <c r="CK510" s="276"/>
      <c r="CL510" s="276"/>
      <c r="CM510" s="276"/>
      <c r="CN510" s="236">
        <f t="shared" si="190"/>
        <v>0</v>
      </c>
      <c r="CO510" s="276"/>
      <c r="CP510" s="276"/>
      <c r="CQ510" s="276"/>
      <c r="CR510" s="276"/>
      <c r="CS510" s="276"/>
      <c r="CT510" s="276"/>
      <c r="CU510" s="276"/>
      <c r="CV510" s="276"/>
      <c r="CW510" s="276"/>
      <c r="CX510" s="276"/>
      <c r="CY510" s="276"/>
      <c r="CZ510" s="276"/>
      <c r="DA510" s="276"/>
      <c r="DB510" s="276"/>
      <c r="DC510" s="276"/>
      <c r="DD510" s="240">
        <f t="shared" si="191"/>
        <v>0</v>
      </c>
      <c r="DE510" s="245">
        <f t="shared" si="192"/>
        <v>10000000</v>
      </c>
    </row>
    <row r="511" spans="1:109" s="46" customFormat="1" ht="65.099999999999994" customHeight="1">
      <c r="A511" s="134" t="s">
        <v>1241</v>
      </c>
      <c r="B511" s="134" t="s">
        <v>9</v>
      </c>
      <c r="C511" s="134" t="s">
        <v>1693</v>
      </c>
      <c r="D511" s="134">
        <v>40</v>
      </c>
      <c r="E511" s="134" t="s">
        <v>1419</v>
      </c>
      <c r="F511" s="135"/>
      <c r="G511" s="136"/>
      <c r="H511" s="137"/>
      <c r="I511" s="137"/>
      <c r="J511" s="137"/>
      <c r="K511" s="138"/>
      <c r="L511" s="137"/>
      <c r="M511" s="137"/>
      <c r="N511" s="137"/>
      <c r="O511" s="137"/>
      <c r="P511" s="137"/>
      <c r="Q511" s="136"/>
      <c r="R511" s="139"/>
      <c r="S511" s="137"/>
      <c r="T511" s="137"/>
      <c r="U511" s="140"/>
      <c r="V511" s="140"/>
      <c r="W511" s="138"/>
      <c r="X511" s="140"/>
      <c r="Y511" s="140"/>
      <c r="Z511" s="140"/>
      <c r="AA511" s="140"/>
      <c r="AB511" s="138"/>
      <c r="AC511" s="140"/>
      <c r="AD511" s="140"/>
      <c r="AE511" s="140"/>
      <c r="AF511" s="140"/>
      <c r="AG511" s="138"/>
      <c r="AH511" s="140"/>
      <c r="AI511" s="140"/>
      <c r="AJ511" s="140"/>
      <c r="AK511" s="140"/>
      <c r="AL511" s="138"/>
      <c r="AM511" s="141"/>
      <c r="AN511" s="142"/>
      <c r="AO511" s="142"/>
      <c r="AP511" s="143"/>
      <c r="AQ511" s="143"/>
      <c r="AR511" s="144"/>
      <c r="AS511" s="132">
        <f t="shared" ref="AS511:BG511" si="193">SUM(AS498:AS510)</f>
        <v>0</v>
      </c>
      <c r="AT511" s="132">
        <f t="shared" si="193"/>
        <v>0</v>
      </c>
      <c r="AU511" s="132">
        <f t="shared" si="193"/>
        <v>0</v>
      </c>
      <c r="AV511" s="132">
        <f t="shared" si="193"/>
        <v>0</v>
      </c>
      <c r="AW511" s="132">
        <f t="shared" si="193"/>
        <v>868255361</v>
      </c>
      <c r="AX511" s="132">
        <f t="shared" si="193"/>
        <v>0</v>
      </c>
      <c r="AY511" s="132">
        <f t="shared" si="193"/>
        <v>0</v>
      </c>
      <c r="AZ511" s="132">
        <f t="shared" si="193"/>
        <v>0</v>
      </c>
      <c r="BA511" s="132">
        <f t="shared" si="193"/>
        <v>0</v>
      </c>
      <c r="BB511" s="132">
        <f t="shared" si="193"/>
        <v>0</v>
      </c>
      <c r="BC511" s="132">
        <f t="shared" si="193"/>
        <v>0</v>
      </c>
      <c r="BD511" s="132">
        <f t="shared" si="193"/>
        <v>0</v>
      </c>
      <c r="BE511" s="132">
        <f t="shared" si="193"/>
        <v>0</v>
      </c>
      <c r="BF511" s="132">
        <f t="shared" si="193"/>
        <v>0</v>
      </c>
      <c r="BG511" s="132">
        <f t="shared" si="193"/>
        <v>0</v>
      </c>
      <c r="BH511" s="133">
        <f>IF(OR(AND(BH498=0,W498&lt;&gt;0),AND(BH499=0,W499&lt;&gt;0),AND(BH500=0,W500&lt;&gt;0),AND(BH501=0,W501&lt;&gt;0),AND(BH502=0,W502&lt;&gt;0),AND(BH503=0,W503&lt;&gt;0),AND(BH504=0,W504&lt;&gt;0),AND(BH505=0,W505&lt;&gt;0),AND(BH506=0,W506&lt;&gt;0),AND(BH507=0,W507&lt;&gt;0),AND(BH508=0,W508&lt;&gt;0),AND(BH509=0,W509&lt;&gt;0),AND(BH510=0,W510&lt;&gt;0)),"NO DEBEN QUEDAR CELDAS EN ROJO",SUM(BH498:BH510))</f>
        <v>868255361</v>
      </c>
      <c r="BI511" s="132">
        <f t="shared" ref="BI511:BW511" si="194">SUM(BI498:BI510)</f>
        <v>0</v>
      </c>
      <c r="BJ511" s="132">
        <f t="shared" si="194"/>
        <v>0</v>
      </c>
      <c r="BK511" s="132">
        <f t="shared" si="194"/>
        <v>0</v>
      </c>
      <c r="BL511" s="132">
        <f t="shared" si="194"/>
        <v>0</v>
      </c>
      <c r="BM511" s="132">
        <f t="shared" si="194"/>
        <v>764043252</v>
      </c>
      <c r="BN511" s="132">
        <f t="shared" si="194"/>
        <v>0</v>
      </c>
      <c r="BO511" s="132">
        <f t="shared" si="194"/>
        <v>0</v>
      </c>
      <c r="BP511" s="132">
        <f t="shared" si="194"/>
        <v>0</v>
      </c>
      <c r="BQ511" s="132">
        <f t="shared" si="194"/>
        <v>0</v>
      </c>
      <c r="BR511" s="132">
        <f t="shared" si="194"/>
        <v>0</v>
      </c>
      <c r="BS511" s="132">
        <f t="shared" si="194"/>
        <v>0</v>
      </c>
      <c r="BT511" s="132">
        <f t="shared" si="194"/>
        <v>0</v>
      </c>
      <c r="BU511" s="132">
        <f t="shared" si="194"/>
        <v>0</v>
      </c>
      <c r="BV511" s="132">
        <f t="shared" si="194"/>
        <v>0</v>
      </c>
      <c r="BW511" s="132">
        <f t="shared" si="194"/>
        <v>0</v>
      </c>
      <c r="BX511" s="133">
        <f>IF(OR(AND(BX498=0,AB498&lt;&gt;0),AND(BX499=0,AB499&lt;&gt;0),AND(BX500=0,AB500&lt;&gt;0),AND(BX501=0,AB501&lt;&gt;0),AND(BX502=0,AB502&lt;&gt;0),AND(BX503=0,AB503&lt;&gt;0),AND(BX504=0,AB504&lt;&gt;0),AND(BX505=0,AB505&lt;&gt;0),AND(BX506=0,AB506&lt;&gt;0),AND(BX507=0,AB507&lt;&gt;0),AND(BX508=0,AB508&lt;&gt;0),AND(BX509=0,AB509&lt;&gt;0),AND(BX510=0,AB510&lt;&gt;0)),"NO DEBEN QUEDAR CELDAS EN ROJO",SUM(BX498:BX510))</f>
        <v>764043252</v>
      </c>
      <c r="BY511" s="132">
        <f t="shared" ref="BY511:CM511" si="195">SUM(BY498:BY510)</f>
        <v>0</v>
      </c>
      <c r="BZ511" s="132">
        <f t="shared" si="195"/>
        <v>0</v>
      </c>
      <c r="CA511" s="132">
        <f t="shared" si="195"/>
        <v>0</v>
      </c>
      <c r="CB511" s="132">
        <f t="shared" si="195"/>
        <v>0</v>
      </c>
      <c r="CC511" s="132">
        <f t="shared" si="195"/>
        <v>830839550</v>
      </c>
      <c r="CD511" s="132">
        <f t="shared" si="195"/>
        <v>0</v>
      </c>
      <c r="CE511" s="132">
        <f t="shared" si="195"/>
        <v>0</v>
      </c>
      <c r="CF511" s="132">
        <f t="shared" si="195"/>
        <v>0</v>
      </c>
      <c r="CG511" s="132">
        <f t="shared" si="195"/>
        <v>0</v>
      </c>
      <c r="CH511" s="132">
        <f t="shared" si="195"/>
        <v>0</v>
      </c>
      <c r="CI511" s="132">
        <f t="shared" si="195"/>
        <v>0</v>
      </c>
      <c r="CJ511" s="132">
        <f t="shared" si="195"/>
        <v>0</v>
      </c>
      <c r="CK511" s="132">
        <f t="shared" si="195"/>
        <v>0</v>
      </c>
      <c r="CL511" s="132">
        <f t="shared" si="195"/>
        <v>0</v>
      </c>
      <c r="CM511" s="132">
        <f t="shared" si="195"/>
        <v>0</v>
      </c>
      <c r="CN511" s="133">
        <f>IF(OR(AND(CN498=0,AG498&lt;&gt;0),AND(CN499=0,AG499&lt;&gt;0),AND(CN500=0,AG500&lt;&gt;0),AND(CN501=0,AG501&lt;&gt;0),AND(CN502=0,AG502&lt;&gt;0),AND(CN503=0,AG503&lt;&gt;0),AND(CN504=0,AG504&lt;&gt;0),AND(CN505=0,AG505&lt;&gt;0),AND(CN506=0,AG506&lt;&gt;0),AND(CN507=0,AG507&lt;&gt;0),AND(CN508=0,AG508&lt;&gt;0),AND(CN509=0,AG509&lt;&gt;0),AND(CN510=0,AG510&lt;&gt;0)),"NO DEBEN QUEDAR CELDAS EN ROJO",SUM(CN498:CN510))</f>
        <v>830839550</v>
      </c>
      <c r="CO511" s="132">
        <f t="shared" ref="CO511:DC511" si="196">SUM(CO498:CO510)</f>
        <v>0</v>
      </c>
      <c r="CP511" s="132">
        <f t="shared" si="196"/>
        <v>0</v>
      </c>
      <c r="CQ511" s="132">
        <f t="shared" si="196"/>
        <v>0</v>
      </c>
      <c r="CR511" s="132">
        <f t="shared" si="196"/>
        <v>0</v>
      </c>
      <c r="CS511" s="132">
        <f t="shared" si="196"/>
        <v>909973132</v>
      </c>
      <c r="CT511" s="132">
        <f t="shared" si="196"/>
        <v>0</v>
      </c>
      <c r="CU511" s="132">
        <f t="shared" si="196"/>
        <v>0</v>
      </c>
      <c r="CV511" s="132">
        <f t="shared" si="196"/>
        <v>0</v>
      </c>
      <c r="CW511" s="132">
        <f t="shared" si="196"/>
        <v>0</v>
      </c>
      <c r="CX511" s="132">
        <f t="shared" si="196"/>
        <v>0</v>
      </c>
      <c r="CY511" s="132">
        <f t="shared" si="196"/>
        <v>0</v>
      </c>
      <c r="CZ511" s="132">
        <f t="shared" si="196"/>
        <v>0</v>
      </c>
      <c r="DA511" s="132">
        <f t="shared" si="196"/>
        <v>0</v>
      </c>
      <c r="DB511" s="132">
        <f t="shared" si="196"/>
        <v>0</v>
      </c>
      <c r="DC511" s="132">
        <f t="shared" si="196"/>
        <v>0</v>
      </c>
      <c r="DD511" s="133">
        <f>IF(OR(AND(DD498=0,AL498&lt;&gt;0),AND(DD499=0,AL499&lt;&gt;0),AND(DD500=0,AL500&lt;&gt;0),AND(DD501=0,AL501&lt;&gt;0),AND(DD502=0,AL502&lt;&gt;0),AND(DD503=0,AL503&lt;&gt;0),AND(DD504=0,AL504&lt;&gt;0),AND(DD505=0,AL505&lt;&gt;0),AND(DD506=0,AL506&lt;&gt;0),AND(DD507=0,AL507&lt;&gt;0),AND(DD508=0,AL508&lt;&gt;0),AND(DD509=0,AL509&lt;&gt;0),AND(DD510=0,AL510&lt;&gt;0)),"NO DEBEN QUEDAR CELDAS EN ROJO",SUM(DD498:DD510))</f>
        <v>909973132</v>
      </c>
      <c r="DE511" s="133">
        <f>SUM(DE498:DE510)</f>
        <v>3373111295</v>
      </c>
    </row>
    <row r="512" spans="1:109" s="99" customFormat="1" ht="99" customHeight="1">
      <c r="A512" s="103" t="s">
        <v>1241</v>
      </c>
      <c r="B512" s="103" t="s">
        <v>9</v>
      </c>
      <c r="C512" s="103" t="s">
        <v>1693</v>
      </c>
      <c r="D512" s="103">
        <v>41</v>
      </c>
      <c r="E512" s="103" t="s">
        <v>1440</v>
      </c>
      <c r="F512" s="278" t="s">
        <v>1441</v>
      </c>
      <c r="G512" s="103" t="s">
        <v>3208</v>
      </c>
      <c r="H512" s="103">
        <v>49</v>
      </c>
      <c r="I512" s="103" t="s">
        <v>422</v>
      </c>
      <c r="J512" s="103" t="s">
        <v>683</v>
      </c>
      <c r="K512" s="103">
        <v>12</v>
      </c>
      <c r="L512" s="103" t="s">
        <v>906</v>
      </c>
      <c r="M512" s="103" t="s">
        <v>1442</v>
      </c>
      <c r="N512" s="103" t="s">
        <v>1443</v>
      </c>
      <c r="O512" s="103" t="s">
        <v>423</v>
      </c>
      <c r="P512" s="283">
        <v>460</v>
      </c>
      <c r="Q512" s="103" t="s">
        <v>3477</v>
      </c>
      <c r="R512" s="103" t="s">
        <v>1444</v>
      </c>
      <c r="S512" s="103" t="s">
        <v>683</v>
      </c>
      <c r="T512" s="103">
        <v>43</v>
      </c>
      <c r="U512" s="267"/>
      <c r="V512" s="267">
        <v>2</v>
      </c>
      <c r="W512" s="224">
        <v>2</v>
      </c>
      <c r="X512" s="267"/>
      <c r="Y512" s="267">
        <v>1</v>
      </c>
      <c r="Z512" s="267">
        <v>1</v>
      </c>
      <c r="AA512" s="267">
        <v>1</v>
      </c>
      <c r="AB512" s="224">
        <v>3</v>
      </c>
      <c r="AC512" s="267"/>
      <c r="AD512" s="267">
        <v>1</v>
      </c>
      <c r="AE512" s="267">
        <v>2</v>
      </c>
      <c r="AF512" s="267">
        <v>1</v>
      </c>
      <c r="AG512" s="224">
        <v>4</v>
      </c>
      <c r="AH512" s="267"/>
      <c r="AI512" s="267">
        <v>1</v>
      </c>
      <c r="AJ512" s="267">
        <v>1</v>
      </c>
      <c r="AK512" s="267">
        <v>1</v>
      </c>
      <c r="AL512" s="224">
        <v>3</v>
      </c>
      <c r="AM512" s="102">
        <v>12</v>
      </c>
      <c r="AN512" s="103" t="s">
        <v>685</v>
      </c>
      <c r="AO512" s="103" t="s">
        <v>619</v>
      </c>
      <c r="AP512" s="103" t="s">
        <v>1217</v>
      </c>
      <c r="AQ512" s="103" t="s">
        <v>1207</v>
      </c>
      <c r="AR512" s="103" t="s">
        <v>946</v>
      </c>
      <c r="AS512" s="268"/>
      <c r="AT512" s="268"/>
      <c r="AU512" s="268"/>
      <c r="AV512" s="268"/>
      <c r="AW512" s="268">
        <v>60354613</v>
      </c>
      <c r="AX512" s="268"/>
      <c r="AY512" s="268"/>
      <c r="AZ512" s="268"/>
      <c r="BA512" s="268"/>
      <c r="BB512" s="268"/>
      <c r="BC512" s="268"/>
      <c r="BD512" s="268"/>
      <c r="BE512" s="268"/>
      <c r="BF512" s="268"/>
      <c r="BG512" s="268"/>
      <c r="BH512" s="234">
        <f t="shared" ref="BH512:BH519" si="197">IF(W512=0,0,BG512+BF512+BE512+BD512+BC512+BB512+BA512+AZ512+AY512+AX512+AW512+AV512+AU512+AT512+AS512)</f>
        <v>60354613</v>
      </c>
      <c r="BI512" s="268"/>
      <c r="BJ512" s="268"/>
      <c r="BK512" s="268"/>
      <c r="BL512" s="268"/>
      <c r="BM512" s="268">
        <v>124893695</v>
      </c>
      <c r="BN512" s="268"/>
      <c r="BO512" s="268"/>
      <c r="BP512" s="268"/>
      <c r="BQ512" s="268"/>
      <c r="BR512" s="268"/>
      <c r="BS512" s="268"/>
      <c r="BT512" s="268"/>
      <c r="BU512" s="268"/>
      <c r="BV512" s="268"/>
      <c r="BW512" s="268"/>
      <c r="BX512" s="234">
        <f t="shared" ref="BX512:BX519" si="198">IF(AB512=0,0,BI512+BJ512+BK512+BL512+BM512+BN512+BO512+BP512+BQ512+BR512+BS512+BT512+BU512+BV512+BW512)</f>
        <v>124893695</v>
      </c>
      <c r="BY512" s="268"/>
      <c r="BZ512" s="268"/>
      <c r="CA512" s="268"/>
      <c r="CB512" s="268"/>
      <c r="CC512" s="268">
        <v>132315505</v>
      </c>
      <c r="CD512" s="268"/>
      <c r="CE512" s="268"/>
      <c r="CF512" s="268"/>
      <c r="CG512" s="268"/>
      <c r="CH512" s="268"/>
      <c r="CI512" s="268"/>
      <c r="CJ512" s="268"/>
      <c r="CK512" s="268"/>
      <c r="CL512" s="268"/>
      <c r="CM512" s="268"/>
      <c r="CN512" s="234">
        <f t="shared" ref="CN512:CN519" si="199">IF(AG512=0,0,(BY512+BZ512+CA512+CB512+CC512+CD512+CE512+CF512+CG512+CH512+CI512+CJ512+CK512+CL512+CM512))</f>
        <v>132315505</v>
      </c>
      <c r="CO512" s="268"/>
      <c r="CP512" s="268"/>
      <c r="CQ512" s="268"/>
      <c r="CR512" s="268"/>
      <c r="CS512" s="268">
        <v>94108125</v>
      </c>
      <c r="CT512" s="268"/>
      <c r="CU512" s="268"/>
      <c r="CV512" s="268"/>
      <c r="CW512" s="268"/>
      <c r="CX512" s="268"/>
      <c r="CY512" s="268"/>
      <c r="CZ512" s="268"/>
      <c r="DA512" s="268"/>
      <c r="DB512" s="268"/>
      <c r="DC512" s="268"/>
      <c r="DD512" s="234">
        <f t="shared" ref="DD512:DD519" si="200">IF(AL512=0,0,(CO512+CP512+CQ512+CR512+CS512+CT512+CU512+CV512+CW512+CX512+CY512+CZ512+DA512+DB512+DC512))</f>
        <v>94108125</v>
      </c>
      <c r="DE512" s="243">
        <f t="shared" si="192"/>
        <v>411671938</v>
      </c>
    </row>
    <row r="513" spans="1:109" s="99" customFormat="1" ht="99" customHeight="1">
      <c r="A513" s="103" t="s">
        <v>1241</v>
      </c>
      <c r="B513" s="279" t="s">
        <v>9</v>
      </c>
      <c r="C513" s="279" t="s">
        <v>1693</v>
      </c>
      <c r="D513" s="279">
        <v>41</v>
      </c>
      <c r="E513" s="279" t="s">
        <v>1440</v>
      </c>
      <c r="F513" s="280" t="s">
        <v>1441</v>
      </c>
      <c r="G513" s="279" t="s">
        <v>3208</v>
      </c>
      <c r="H513" s="279">
        <v>49</v>
      </c>
      <c r="I513" s="279" t="s">
        <v>422</v>
      </c>
      <c r="J513" s="279" t="s">
        <v>683</v>
      </c>
      <c r="K513" s="279">
        <v>12</v>
      </c>
      <c r="L513" s="279" t="s">
        <v>906</v>
      </c>
      <c r="M513" s="279" t="s">
        <v>1442</v>
      </c>
      <c r="N513" s="279" t="s">
        <v>1443</v>
      </c>
      <c r="O513" s="279" t="s">
        <v>423</v>
      </c>
      <c r="P513" s="283">
        <v>461</v>
      </c>
      <c r="Q513" s="279" t="s">
        <v>3478</v>
      </c>
      <c r="R513" s="279" t="s">
        <v>1445</v>
      </c>
      <c r="S513" s="279" t="s">
        <v>683</v>
      </c>
      <c r="T513" s="279">
        <v>0</v>
      </c>
      <c r="U513" s="267"/>
      <c r="V513" s="267">
        <v>1</v>
      </c>
      <c r="W513" s="224">
        <v>1</v>
      </c>
      <c r="X513" s="267"/>
      <c r="Y513" s="267"/>
      <c r="Z513" s="267">
        <v>1</v>
      </c>
      <c r="AA513" s="267">
        <v>1</v>
      </c>
      <c r="AB513" s="224">
        <v>2</v>
      </c>
      <c r="AC513" s="267"/>
      <c r="AD513" s="267">
        <v>1</v>
      </c>
      <c r="AE513" s="267">
        <v>1</v>
      </c>
      <c r="AF513" s="267">
        <v>1</v>
      </c>
      <c r="AG513" s="224">
        <v>3</v>
      </c>
      <c r="AH513" s="267"/>
      <c r="AI513" s="267">
        <v>1</v>
      </c>
      <c r="AJ513" s="267">
        <v>1</v>
      </c>
      <c r="AK513" s="267"/>
      <c r="AL513" s="224">
        <v>2</v>
      </c>
      <c r="AM513" s="104">
        <v>8</v>
      </c>
      <c r="AN513" s="103" t="s">
        <v>685</v>
      </c>
      <c r="AO513" s="103" t="s">
        <v>619</v>
      </c>
      <c r="AP513" s="103" t="s">
        <v>1217</v>
      </c>
      <c r="AQ513" s="103" t="s">
        <v>1207</v>
      </c>
      <c r="AR513" s="103" t="s">
        <v>943</v>
      </c>
      <c r="AS513" s="271"/>
      <c r="AT513" s="271"/>
      <c r="AU513" s="271"/>
      <c r="AV513" s="271"/>
      <c r="AW513" s="271">
        <v>5000000</v>
      </c>
      <c r="AX513" s="271"/>
      <c r="AY513" s="271"/>
      <c r="AZ513" s="271"/>
      <c r="BA513" s="271"/>
      <c r="BB513" s="271"/>
      <c r="BC513" s="271"/>
      <c r="BD513" s="271"/>
      <c r="BE513" s="271"/>
      <c r="BF513" s="271"/>
      <c r="BG513" s="271"/>
      <c r="BH513" s="235">
        <f t="shared" si="197"/>
        <v>5000000</v>
      </c>
      <c r="BI513" s="271"/>
      <c r="BJ513" s="271"/>
      <c r="BK513" s="271"/>
      <c r="BL513" s="271"/>
      <c r="BM513" s="271">
        <v>40000000</v>
      </c>
      <c r="BN513" s="271"/>
      <c r="BO513" s="271"/>
      <c r="BP513" s="271"/>
      <c r="BQ513" s="271"/>
      <c r="BR513" s="271"/>
      <c r="BS513" s="271"/>
      <c r="BT513" s="271"/>
      <c r="BU513" s="271"/>
      <c r="BV513" s="271"/>
      <c r="BW513" s="271"/>
      <c r="BX513" s="235">
        <f t="shared" si="198"/>
        <v>40000000</v>
      </c>
      <c r="BY513" s="271"/>
      <c r="BZ513" s="271"/>
      <c r="CA513" s="271"/>
      <c r="CB513" s="271"/>
      <c r="CC513" s="271">
        <v>40000000</v>
      </c>
      <c r="CD513" s="271"/>
      <c r="CE513" s="271"/>
      <c r="CF513" s="271"/>
      <c r="CG513" s="271"/>
      <c r="CH513" s="271"/>
      <c r="CI513" s="271"/>
      <c r="CJ513" s="271"/>
      <c r="CK513" s="271"/>
      <c r="CL513" s="271"/>
      <c r="CM513" s="271"/>
      <c r="CN513" s="235">
        <f t="shared" si="199"/>
        <v>40000000</v>
      </c>
      <c r="CO513" s="271"/>
      <c r="CP513" s="271"/>
      <c r="CQ513" s="271"/>
      <c r="CR513" s="271"/>
      <c r="CS513" s="271">
        <v>1000000</v>
      </c>
      <c r="CT513" s="271"/>
      <c r="CU513" s="271"/>
      <c r="CV513" s="271"/>
      <c r="CW513" s="271"/>
      <c r="CX513" s="271"/>
      <c r="CY513" s="271"/>
      <c r="CZ513" s="271"/>
      <c r="DA513" s="271"/>
      <c r="DB513" s="271"/>
      <c r="DC513" s="271"/>
      <c r="DD513" s="234">
        <f t="shared" si="200"/>
        <v>1000000</v>
      </c>
      <c r="DE513" s="244">
        <f t="shared" si="192"/>
        <v>86000000</v>
      </c>
    </row>
    <row r="514" spans="1:109" s="99" customFormat="1" ht="99" customHeight="1">
      <c r="A514" s="103" t="s">
        <v>1241</v>
      </c>
      <c r="B514" s="279" t="s">
        <v>9</v>
      </c>
      <c r="C514" s="279" t="s">
        <v>1693</v>
      </c>
      <c r="D514" s="279">
        <v>41</v>
      </c>
      <c r="E514" s="279" t="s">
        <v>1440</v>
      </c>
      <c r="F514" s="280" t="s">
        <v>1441</v>
      </c>
      <c r="G514" s="279" t="s">
        <v>3208</v>
      </c>
      <c r="H514" s="279">
        <v>49</v>
      </c>
      <c r="I514" s="279" t="s">
        <v>422</v>
      </c>
      <c r="J514" s="279" t="s">
        <v>683</v>
      </c>
      <c r="K514" s="279">
        <v>12</v>
      </c>
      <c r="L514" s="279" t="s">
        <v>906</v>
      </c>
      <c r="M514" s="279" t="s">
        <v>1442</v>
      </c>
      <c r="N514" s="279" t="s">
        <v>1443</v>
      </c>
      <c r="O514" s="279" t="s">
        <v>423</v>
      </c>
      <c r="P514" s="283">
        <v>462</v>
      </c>
      <c r="Q514" s="279" t="s">
        <v>3584</v>
      </c>
      <c r="R514" s="279" t="s">
        <v>1446</v>
      </c>
      <c r="S514" s="279" t="s">
        <v>683</v>
      </c>
      <c r="T514" s="279">
        <v>47</v>
      </c>
      <c r="U514" s="267"/>
      <c r="V514" s="267"/>
      <c r="W514" s="224">
        <v>0</v>
      </c>
      <c r="X514" s="267">
        <v>0.1</v>
      </c>
      <c r="Y514" s="267">
        <v>0.3</v>
      </c>
      <c r="Z514" s="267">
        <v>0.3</v>
      </c>
      <c r="AA514" s="267">
        <v>0.3</v>
      </c>
      <c r="AB514" s="224">
        <v>1</v>
      </c>
      <c r="AC514" s="267">
        <v>0.1</v>
      </c>
      <c r="AD514" s="267">
        <v>0.3</v>
      </c>
      <c r="AE514" s="267">
        <v>0.3</v>
      </c>
      <c r="AF514" s="267">
        <v>0.3</v>
      </c>
      <c r="AG514" s="224">
        <v>1</v>
      </c>
      <c r="AH514" s="267">
        <v>0.1</v>
      </c>
      <c r="AI514" s="267">
        <v>0.3</v>
      </c>
      <c r="AJ514" s="267">
        <v>0.3</v>
      </c>
      <c r="AK514" s="267">
        <v>0.3</v>
      </c>
      <c r="AL514" s="224">
        <v>1</v>
      </c>
      <c r="AM514" s="104">
        <v>3</v>
      </c>
      <c r="AN514" s="103" t="s">
        <v>685</v>
      </c>
      <c r="AO514" s="103" t="s">
        <v>619</v>
      </c>
      <c r="AP514" s="103" t="s">
        <v>1217</v>
      </c>
      <c r="AQ514" s="103" t="s">
        <v>1207</v>
      </c>
      <c r="AR514" s="103" t="s">
        <v>946</v>
      </c>
      <c r="AS514" s="271"/>
      <c r="AT514" s="271"/>
      <c r="AU514" s="271"/>
      <c r="AV514" s="271"/>
      <c r="AW514" s="271"/>
      <c r="AX514" s="271"/>
      <c r="AY514" s="271"/>
      <c r="AZ514" s="271"/>
      <c r="BA514" s="271"/>
      <c r="BB514" s="271"/>
      <c r="BC514" s="271"/>
      <c r="BD514" s="271"/>
      <c r="BE514" s="271"/>
      <c r="BF514" s="271"/>
      <c r="BG514" s="271"/>
      <c r="BH514" s="235">
        <f t="shared" si="197"/>
        <v>0</v>
      </c>
      <c r="BI514" s="271"/>
      <c r="BJ514" s="271"/>
      <c r="BK514" s="271"/>
      <c r="BL514" s="271"/>
      <c r="BM514" s="271">
        <v>1430000000</v>
      </c>
      <c r="BN514" s="271"/>
      <c r="BO514" s="271"/>
      <c r="BP514" s="271"/>
      <c r="BQ514" s="271"/>
      <c r="BR514" s="271"/>
      <c r="BS514" s="271"/>
      <c r="BT514" s="271"/>
      <c r="BU514" s="271"/>
      <c r="BV514" s="271"/>
      <c r="BW514" s="271"/>
      <c r="BX514" s="235">
        <f t="shared" si="198"/>
        <v>1430000000</v>
      </c>
      <c r="BY514" s="271"/>
      <c r="BZ514" s="271"/>
      <c r="CA514" s="271"/>
      <c r="CB514" s="271"/>
      <c r="CC514" s="271">
        <v>1410079628</v>
      </c>
      <c r="CD514" s="271"/>
      <c r="CE514" s="271"/>
      <c r="CF514" s="271"/>
      <c r="CG514" s="271"/>
      <c r="CH514" s="271"/>
      <c r="CI514" s="271"/>
      <c r="CJ514" s="271"/>
      <c r="CK514" s="271"/>
      <c r="CL514" s="271"/>
      <c r="CM514" s="271"/>
      <c r="CN514" s="235">
        <f t="shared" si="199"/>
        <v>1410079628</v>
      </c>
      <c r="CO514" s="271"/>
      <c r="CP514" s="271"/>
      <c r="CQ514" s="271"/>
      <c r="CR514" s="271"/>
      <c r="CS514" s="271">
        <v>1000000</v>
      </c>
      <c r="CT514" s="271"/>
      <c r="CU514" s="271"/>
      <c r="CV514" s="271"/>
      <c r="CW514" s="271"/>
      <c r="CX514" s="271"/>
      <c r="CY514" s="271"/>
      <c r="CZ514" s="271"/>
      <c r="DA514" s="271"/>
      <c r="DB514" s="271"/>
      <c r="DC514" s="271"/>
      <c r="DD514" s="234">
        <f t="shared" si="200"/>
        <v>1000000</v>
      </c>
      <c r="DE514" s="244">
        <f t="shared" si="192"/>
        <v>2841079628</v>
      </c>
    </row>
    <row r="515" spans="1:109" s="99" customFormat="1" ht="99" customHeight="1">
      <c r="A515" s="103" t="s">
        <v>1241</v>
      </c>
      <c r="B515" s="279" t="s">
        <v>9</v>
      </c>
      <c r="C515" s="279" t="s">
        <v>1693</v>
      </c>
      <c r="D515" s="279">
        <v>41</v>
      </c>
      <c r="E515" s="279" t="s">
        <v>1440</v>
      </c>
      <c r="F515" s="280" t="s">
        <v>1441</v>
      </c>
      <c r="G515" s="279" t="s">
        <v>3208</v>
      </c>
      <c r="H515" s="279">
        <v>49</v>
      </c>
      <c r="I515" s="279" t="s">
        <v>422</v>
      </c>
      <c r="J515" s="279" t="s">
        <v>683</v>
      </c>
      <c r="K515" s="279">
        <v>12</v>
      </c>
      <c r="L515" s="279" t="s">
        <v>906</v>
      </c>
      <c r="M515" s="279" t="s">
        <v>1447</v>
      </c>
      <c r="N515" s="279" t="s">
        <v>1448</v>
      </c>
      <c r="O515" s="279" t="s">
        <v>424</v>
      </c>
      <c r="P515" s="283">
        <v>463</v>
      </c>
      <c r="Q515" s="279" t="s">
        <v>3209</v>
      </c>
      <c r="R515" s="279" t="s">
        <v>1449</v>
      </c>
      <c r="S515" s="279" t="s">
        <v>683</v>
      </c>
      <c r="T515" s="279">
        <v>0</v>
      </c>
      <c r="U515" s="267"/>
      <c r="V515" s="267"/>
      <c r="W515" s="224">
        <v>0</v>
      </c>
      <c r="X515" s="267"/>
      <c r="Y515" s="267">
        <v>1</v>
      </c>
      <c r="Z515" s="267">
        <v>1</v>
      </c>
      <c r="AA515" s="267"/>
      <c r="AB515" s="224">
        <v>2</v>
      </c>
      <c r="AC515" s="267"/>
      <c r="AD515" s="267">
        <v>1</v>
      </c>
      <c r="AE515" s="267">
        <v>1</v>
      </c>
      <c r="AF515" s="267"/>
      <c r="AG515" s="224">
        <v>2</v>
      </c>
      <c r="AH515" s="267"/>
      <c r="AI515" s="267">
        <v>1</v>
      </c>
      <c r="AJ515" s="267">
        <v>1</v>
      </c>
      <c r="AK515" s="267"/>
      <c r="AL515" s="224">
        <v>2</v>
      </c>
      <c r="AM515" s="104">
        <v>6</v>
      </c>
      <c r="AN515" s="103" t="s">
        <v>685</v>
      </c>
      <c r="AO515" s="103" t="s">
        <v>619</v>
      </c>
      <c r="AP515" s="103" t="s">
        <v>1217</v>
      </c>
      <c r="AQ515" s="103" t="s">
        <v>1207</v>
      </c>
      <c r="AR515" s="103" t="s">
        <v>946</v>
      </c>
      <c r="AS515" s="271"/>
      <c r="AT515" s="271"/>
      <c r="AU515" s="271"/>
      <c r="AV515" s="271"/>
      <c r="AW515" s="271"/>
      <c r="AX515" s="271"/>
      <c r="AY515" s="271"/>
      <c r="AZ515" s="271"/>
      <c r="BA515" s="271"/>
      <c r="BB515" s="271"/>
      <c r="BC515" s="271"/>
      <c r="BD515" s="271"/>
      <c r="BE515" s="271"/>
      <c r="BF515" s="271"/>
      <c r="BG515" s="271"/>
      <c r="BH515" s="235">
        <f t="shared" si="197"/>
        <v>0</v>
      </c>
      <c r="BI515" s="271"/>
      <c r="BJ515" s="271"/>
      <c r="BK515" s="271"/>
      <c r="BL515" s="271"/>
      <c r="BM515" s="271">
        <v>20000000</v>
      </c>
      <c r="BN515" s="271"/>
      <c r="BO515" s="271"/>
      <c r="BP515" s="271"/>
      <c r="BQ515" s="271"/>
      <c r="BR515" s="271"/>
      <c r="BS515" s="271"/>
      <c r="BT515" s="271"/>
      <c r="BU515" s="271"/>
      <c r="BV515" s="271"/>
      <c r="BW515" s="271"/>
      <c r="BX515" s="235">
        <f t="shared" si="198"/>
        <v>20000000</v>
      </c>
      <c r="BY515" s="271"/>
      <c r="BZ515" s="271"/>
      <c r="CA515" s="271"/>
      <c r="CB515" s="271"/>
      <c r="CC515" s="271">
        <v>28000000</v>
      </c>
      <c r="CD515" s="271"/>
      <c r="CE515" s="271"/>
      <c r="CF515" s="271"/>
      <c r="CG515" s="271"/>
      <c r="CH515" s="271"/>
      <c r="CI515" s="271"/>
      <c r="CJ515" s="271"/>
      <c r="CK515" s="271"/>
      <c r="CL515" s="271"/>
      <c r="CM515" s="271"/>
      <c r="CN515" s="235">
        <f t="shared" si="199"/>
        <v>28000000</v>
      </c>
      <c r="CO515" s="271"/>
      <c r="CP515" s="271"/>
      <c r="CQ515" s="271"/>
      <c r="CR515" s="271"/>
      <c r="CS515" s="271">
        <v>1000000</v>
      </c>
      <c r="CT515" s="271"/>
      <c r="CU515" s="271"/>
      <c r="CV515" s="271"/>
      <c r="CW515" s="271"/>
      <c r="CX515" s="271"/>
      <c r="CY515" s="271"/>
      <c r="CZ515" s="271"/>
      <c r="DA515" s="271"/>
      <c r="DB515" s="271"/>
      <c r="DC515" s="271"/>
      <c r="DD515" s="234">
        <f t="shared" si="200"/>
        <v>1000000</v>
      </c>
      <c r="DE515" s="244">
        <f t="shared" si="192"/>
        <v>49000000</v>
      </c>
    </row>
    <row r="516" spans="1:109" s="99" customFormat="1" ht="99" customHeight="1">
      <c r="A516" s="103" t="s">
        <v>1241</v>
      </c>
      <c r="B516" s="279" t="s">
        <v>9</v>
      </c>
      <c r="C516" s="279" t="s">
        <v>1693</v>
      </c>
      <c r="D516" s="279">
        <v>41</v>
      </c>
      <c r="E516" s="279" t="s">
        <v>1440</v>
      </c>
      <c r="F516" s="280" t="s">
        <v>1441</v>
      </c>
      <c r="G516" s="279" t="s">
        <v>3208</v>
      </c>
      <c r="H516" s="279">
        <v>49</v>
      </c>
      <c r="I516" s="279" t="s">
        <v>422</v>
      </c>
      <c r="J516" s="279" t="s">
        <v>683</v>
      </c>
      <c r="K516" s="279">
        <v>12</v>
      </c>
      <c r="L516" s="279" t="s">
        <v>906</v>
      </c>
      <c r="M516" s="279" t="s">
        <v>1447</v>
      </c>
      <c r="N516" s="279" t="s">
        <v>1448</v>
      </c>
      <c r="O516" s="279" t="s">
        <v>424</v>
      </c>
      <c r="P516" s="283">
        <v>464</v>
      </c>
      <c r="Q516" s="279" t="s">
        <v>3210</v>
      </c>
      <c r="R516" s="279" t="s">
        <v>425</v>
      </c>
      <c r="S516" s="279" t="s">
        <v>683</v>
      </c>
      <c r="T516" s="279">
        <v>0</v>
      </c>
      <c r="U516" s="267"/>
      <c r="V516" s="267"/>
      <c r="W516" s="224">
        <v>0</v>
      </c>
      <c r="X516" s="267"/>
      <c r="Y516" s="267">
        <v>1</v>
      </c>
      <c r="Z516" s="267">
        <v>1</v>
      </c>
      <c r="AA516" s="267">
        <v>1</v>
      </c>
      <c r="AB516" s="224">
        <v>3</v>
      </c>
      <c r="AC516" s="267"/>
      <c r="AD516" s="267">
        <v>1</v>
      </c>
      <c r="AE516" s="267">
        <v>1</v>
      </c>
      <c r="AF516" s="267">
        <v>1</v>
      </c>
      <c r="AG516" s="224">
        <v>3</v>
      </c>
      <c r="AH516" s="267"/>
      <c r="AI516" s="267">
        <v>1</v>
      </c>
      <c r="AJ516" s="267">
        <v>1</v>
      </c>
      <c r="AK516" s="267">
        <v>1</v>
      </c>
      <c r="AL516" s="224">
        <v>3</v>
      </c>
      <c r="AM516" s="104">
        <v>9</v>
      </c>
      <c r="AN516" s="103" t="s">
        <v>685</v>
      </c>
      <c r="AO516" s="103" t="s">
        <v>619</v>
      </c>
      <c r="AP516" s="103" t="s">
        <v>1217</v>
      </c>
      <c r="AQ516" s="103" t="s">
        <v>1207</v>
      </c>
      <c r="AR516" s="103" t="s">
        <v>946</v>
      </c>
      <c r="AS516" s="271"/>
      <c r="AT516" s="271"/>
      <c r="AU516" s="271"/>
      <c r="AV516" s="271"/>
      <c r="AW516" s="271"/>
      <c r="AX516" s="271"/>
      <c r="AY516" s="271"/>
      <c r="AZ516" s="271"/>
      <c r="BA516" s="271"/>
      <c r="BB516" s="271"/>
      <c r="BC516" s="271"/>
      <c r="BD516" s="271"/>
      <c r="BE516" s="271"/>
      <c r="BF516" s="271"/>
      <c r="BG516" s="271"/>
      <c r="BH516" s="235">
        <f t="shared" si="197"/>
        <v>0</v>
      </c>
      <c r="BI516" s="271"/>
      <c r="BJ516" s="271"/>
      <c r="BK516" s="271"/>
      <c r="BL516" s="271"/>
      <c r="BM516" s="271">
        <v>30000000</v>
      </c>
      <c r="BN516" s="271"/>
      <c r="BO516" s="271"/>
      <c r="BP516" s="271"/>
      <c r="BQ516" s="271"/>
      <c r="BR516" s="271"/>
      <c r="BS516" s="271"/>
      <c r="BT516" s="271"/>
      <c r="BU516" s="271"/>
      <c r="BV516" s="271"/>
      <c r="BW516" s="271"/>
      <c r="BX516" s="235">
        <f t="shared" si="198"/>
        <v>30000000</v>
      </c>
      <c r="BY516" s="271"/>
      <c r="BZ516" s="271"/>
      <c r="CA516" s="271"/>
      <c r="CB516" s="271"/>
      <c r="CC516" s="271">
        <v>30000000</v>
      </c>
      <c r="CD516" s="271"/>
      <c r="CE516" s="271"/>
      <c r="CF516" s="271"/>
      <c r="CG516" s="271"/>
      <c r="CH516" s="271"/>
      <c r="CI516" s="271"/>
      <c r="CJ516" s="271"/>
      <c r="CK516" s="271"/>
      <c r="CL516" s="271"/>
      <c r="CM516" s="271"/>
      <c r="CN516" s="235">
        <f t="shared" si="199"/>
        <v>30000000</v>
      </c>
      <c r="CO516" s="271"/>
      <c r="CP516" s="271"/>
      <c r="CQ516" s="271"/>
      <c r="CR516" s="271"/>
      <c r="CS516" s="271">
        <v>1000000</v>
      </c>
      <c r="CT516" s="271"/>
      <c r="CU516" s="271"/>
      <c r="CV516" s="271"/>
      <c r="CW516" s="271"/>
      <c r="CX516" s="271"/>
      <c r="CY516" s="271"/>
      <c r="CZ516" s="271"/>
      <c r="DA516" s="271"/>
      <c r="DB516" s="271"/>
      <c r="DC516" s="271"/>
      <c r="DD516" s="234">
        <f t="shared" si="200"/>
        <v>1000000</v>
      </c>
      <c r="DE516" s="244">
        <f t="shared" si="192"/>
        <v>61000000</v>
      </c>
    </row>
    <row r="517" spans="1:109" s="99" customFormat="1" ht="99" customHeight="1">
      <c r="A517" s="103" t="s">
        <v>1241</v>
      </c>
      <c r="B517" s="279" t="s">
        <v>9</v>
      </c>
      <c r="C517" s="279" t="s">
        <v>1693</v>
      </c>
      <c r="D517" s="279">
        <v>41</v>
      </c>
      <c r="E517" s="279" t="s">
        <v>1440</v>
      </c>
      <c r="F517" s="280" t="s">
        <v>1441</v>
      </c>
      <c r="G517" s="279" t="s">
        <v>3208</v>
      </c>
      <c r="H517" s="279">
        <v>49</v>
      </c>
      <c r="I517" s="279" t="s">
        <v>422</v>
      </c>
      <c r="J517" s="279" t="s">
        <v>683</v>
      </c>
      <c r="K517" s="279">
        <v>12</v>
      </c>
      <c r="L517" s="279" t="s">
        <v>906</v>
      </c>
      <c r="M517" s="279" t="s">
        <v>1447</v>
      </c>
      <c r="N517" s="279" t="s">
        <v>1448</v>
      </c>
      <c r="O517" s="279" t="s">
        <v>424</v>
      </c>
      <c r="P517" s="283">
        <v>465</v>
      </c>
      <c r="Q517" s="279" t="s">
        <v>3211</v>
      </c>
      <c r="R517" s="279" t="s">
        <v>3585</v>
      </c>
      <c r="S517" s="279" t="s">
        <v>683</v>
      </c>
      <c r="T517" s="279">
        <v>0</v>
      </c>
      <c r="U517" s="267"/>
      <c r="V517" s="267"/>
      <c r="W517" s="224">
        <v>0</v>
      </c>
      <c r="X517" s="267">
        <v>0.5</v>
      </c>
      <c r="Y517" s="267">
        <v>0.5</v>
      </c>
      <c r="Z517" s="267"/>
      <c r="AA517" s="267"/>
      <c r="AB517" s="224">
        <v>1</v>
      </c>
      <c r="AC517" s="267"/>
      <c r="AD517" s="267"/>
      <c r="AE517" s="267"/>
      <c r="AF517" s="267"/>
      <c r="AG517" s="224">
        <v>0</v>
      </c>
      <c r="AH517" s="267">
        <v>0.5</v>
      </c>
      <c r="AI517" s="267">
        <v>0.5</v>
      </c>
      <c r="AJ517" s="267"/>
      <c r="AK517" s="267"/>
      <c r="AL517" s="224">
        <v>1</v>
      </c>
      <c r="AM517" s="104">
        <v>2</v>
      </c>
      <c r="AN517" s="103" t="s">
        <v>685</v>
      </c>
      <c r="AO517" s="103" t="s">
        <v>619</v>
      </c>
      <c r="AP517" s="103" t="s">
        <v>1217</v>
      </c>
      <c r="AQ517" s="103" t="s">
        <v>1207</v>
      </c>
      <c r="AR517" s="103" t="s">
        <v>946</v>
      </c>
      <c r="AS517" s="271"/>
      <c r="AT517" s="271"/>
      <c r="AU517" s="271"/>
      <c r="AV517" s="271"/>
      <c r="AW517" s="271"/>
      <c r="AX517" s="271"/>
      <c r="AY517" s="271"/>
      <c r="AZ517" s="271"/>
      <c r="BA517" s="271"/>
      <c r="BB517" s="271"/>
      <c r="BC517" s="271"/>
      <c r="BD517" s="271"/>
      <c r="BE517" s="271"/>
      <c r="BF517" s="271"/>
      <c r="BG517" s="271"/>
      <c r="BH517" s="235">
        <f t="shared" si="197"/>
        <v>0</v>
      </c>
      <c r="BI517" s="271"/>
      <c r="BJ517" s="271"/>
      <c r="BK517" s="271"/>
      <c r="BL517" s="271"/>
      <c r="BM517" s="271">
        <v>60000000</v>
      </c>
      <c r="BN517" s="271"/>
      <c r="BO517" s="271"/>
      <c r="BP517" s="271"/>
      <c r="BQ517" s="271"/>
      <c r="BR517" s="271"/>
      <c r="BS517" s="271"/>
      <c r="BT517" s="271"/>
      <c r="BU517" s="271"/>
      <c r="BV517" s="271"/>
      <c r="BW517" s="271"/>
      <c r="BX517" s="235">
        <f t="shared" si="198"/>
        <v>60000000</v>
      </c>
      <c r="BY517" s="271"/>
      <c r="BZ517" s="271"/>
      <c r="CA517" s="271"/>
      <c r="CB517" s="271"/>
      <c r="CC517" s="271"/>
      <c r="CD517" s="271"/>
      <c r="CE517" s="271"/>
      <c r="CF517" s="271"/>
      <c r="CG517" s="271"/>
      <c r="CH517" s="271"/>
      <c r="CI517" s="271"/>
      <c r="CJ517" s="271"/>
      <c r="CK517" s="271"/>
      <c r="CL517" s="271"/>
      <c r="CM517" s="271"/>
      <c r="CN517" s="235">
        <f t="shared" si="199"/>
        <v>0</v>
      </c>
      <c r="CO517" s="271"/>
      <c r="CP517" s="271"/>
      <c r="CQ517" s="271"/>
      <c r="CR517" s="271"/>
      <c r="CS517" s="271">
        <v>1000000</v>
      </c>
      <c r="CT517" s="271"/>
      <c r="CU517" s="271"/>
      <c r="CV517" s="271"/>
      <c r="CW517" s="271"/>
      <c r="CX517" s="271"/>
      <c r="CY517" s="271"/>
      <c r="CZ517" s="271"/>
      <c r="DA517" s="271"/>
      <c r="DB517" s="271"/>
      <c r="DC517" s="271"/>
      <c r="DD517" s="234">
        <f t="shared" si="200"/>
        <v>1000000</v>
      </c>
      <c r="DE517" s="244">
        <f t="shared" si="192"/>
        <v>61000000</v>
      </c>
    </row>
    <row r="518" spans="1:109" s="99" customFormat="1" ht="99" customHeight="1">
      <c r="A518" s="103" t="s">
        <v>1241</v>
      </c>
      <c r="B518" s="279" t="s">
        <v>9</v>
      </c>
      <c r="C518" s="279" t="s">
        <v>1693</v>
      </c>
      <c r="D518" s="279">
        <v>41</v>
      </c>
      <c r="E518" s="279" t="s">
        <v>1440</v>
      </c>
      <c r="F518" s="280" t="s">
        <v>1441</v>
      </c>
      <c r="G518" s="279" t="s">
        <v>3208</v>
      </c>
      <c r="H518" s="279">
        <v>49</v>
      </c>
      <c r="I518" s="279" t="s">
        <v>422</v>
      </c>
      <c r="J518" s="279" t="s">
        <v>683</v>
      </c>
      <c r="K518" s="279">
        <v>12</v>
      </c>
      <c r="L518" s="279" t="s">
        <v>906</v>
      </c>
      <c r="M518" s="279" t="s">
        <v>1447</v>
      </c>
      <c r="N518" s="279" t="s">
        <v>1448</v>
      </c>
      <c r="O518" s="279" t="s">
        <v>424</v>
      </c>
      <c r="P518" s="283">
        <v>466</v>
      </c>
      <c r="Q518" s="279" t="s">
        <v>3212</v>
      </c>
      <c r="R518" s="279" t="s">
        <v>1450</v>
      </c>
      <c r="S518" s="279" t="s">
        <v>683</v>
      </c>
      <c r="T518" s="279">
        <v>40</v>
      </c>
      <c r="U518" s="267"/>
      <c r="V518" s="267">
        <v>1</v>
      </c>
      <c r="W518" s="224">
        <v>1</v>
      </c>
      <c r="X518" s="267">
        <v>3</v>
      </c>
      <c r="Y518" s="267">
        <v>3</v>
      </c>
      <c r="Z518" s="267">
        <v>3</v>
      </c>
      <c r="AA518" s="267">
        <v>4</v>
      </c>
      <c r="AB518" s="224">
        <v>13</v>
      </c>
      <c r="AC518" s="267">
        <v>3</v>
      </c>
      <c r="AD518" s="267">
        <v>3</v>
      </c>
      <c r="AE518" s="267">
        <v>3</v>
      </c>
      <c r="AF518" s="267">
        <v>4</v>
      </c>
      <c r="AG518" s="224">
        <v>13</v>
      </c>
      <c r="AH518" s="267">
        <v>3</v>
      </c>
      <c r="AI518" s="267">
        <v>3</v>
      </c>
      <c r="AJ518" s="267">
        <v>3</v>
      </c>
      <c r="AK518" s="267">
        <v>4</v>
      </c>
      <c r="AL518" s="224">
        <v>13</v>
      </c>
      <c r="AM518" s="104">
        <v>40</v>
      </c>
      <c r="AN518" s="103" t="s">
        <v>685</v>
      </c>
      <c r="AO518" s="103" t="s">
        <v>619</v>
      </c>
      <c r="AP518" s="103" t="s">
        <v>1217</v>
      </c>
      <c r="AQ518" s="103" t="s">
        <v>1207</v>
      </c>
      <c r="AR518" s="103" t="s">
        <v>946</v>
      </c>
      <c r="AS518" s="271"/>
      <c r="AT518" s="271"/>
      <c r="AU518" s="271"/>
      <c r="AV518" s="271"/>
      <c r="AW518" s="271">
        <v>5000000</v>
      </c>
      <c r="AX518" s="271"/>
      <c r="AY518" s="271"/>
      <c r="AZ518" s="271"/>
      <c r="BA518" s="271"/>
      <c r="BB518" s="271"/>
      <c r="BC518" s="271"/>
      <c r="BD518" s="271"/>
      <c r="BE518" s="271"/>
      <c r="BF518" s="271"/>
      <c r="BG518" s="271"/>
      <c r="BH518" s="235">
        <f t="shared" si="197"/>
        <v>5000000</v>
      </c>
      <c r="BI518" s="271"/>
      <c r="BJ518" s="271"/>
      <c r="BK518" s="271"/>
      <c r="BL518" s="271"/>
      <c r="BM518" s="271">
        <v>350000000</v>
      </c>
      <c r="BN518" s="271"/>
      <c r="BO518" s="271"/>
      <c r="BP518" s="271"/>
      <c r="BQ518" s="271"/>
      <c r="BR518" s="271"/>
      <c r="BS518" s="271"/>
      <c r="BT518" s="271"/>
      <c r="BU518" s="271"/>
      <c r="BV518" s="271"/>
      <c r="BW518" s="271"/>
      <c r="BX518" s="235">
        <f t="shared" si="198"/>
        <v>350000000</v>
      </c>
      <c r="BY518" s="271"/>
      <c r="BZ518" s="271"/>
      <c r="CA518" s="271"/>
      <c r="CB518" s="271"/>
      <c r="CC518" s="271">
        <v>506920372</v>
      </c>
      <c r="CD518" s="271"/>
      <c r="CE518" s="271"/>
      <c r="CF518" s="271"/>
      <c r="CG518" s="271"/>
      <c r="CH518" s="271"/>
      <c r="CI518" s="271"/>
      <c r="CJ518" s="271"/>
      <c r="CK518" s="271"/>
      <c r="CL518" s="271"/>
      <c r="CM518" s="271"/>
      <c r="CN518" s="235">
        <f t="shared" si="199"/>
        <v>506920372</v>
      </c>
      <c r="CO518" s="271"/>
      <c r="CP518" s="271"/>
      <c r="CQ518" s="271"/>
      <c r="CR518" s="271"/>
      <c r="CS518" s="271">
        <v>1000000</v>
      </c>
      <c r="CT518" s="271"/>
      <c r="CU518" s="271"/>
      <c r="CV518" s="271"/>
      <c r="CW518" s="271"/>
      <c r="CX518" s="271"/>
      <c r="CY518" s="271"/>
      <c r="CZ518" s="271"/>
      <c r="DA518" s="271"/>
      <c r="DB518" s="271"/>
      <c r="DC518" s="271"/>
      <c r="DD518" s="234">
        <f t="shared" si="200"/>
        <v>1000000</v>
      </c>
      <c r="DE518" s="244">
        <f t="shared" si="192"/>
        <v>862920372</v>
      </c>
    </row>
    <row r="519" spans="1:109" s="99" customFormat="1" ht="99" customHeight="1">
      <c r="A519" s="120" t="s">
        <v>1241</v>
      </c>
      <c r="B519" s="281" t="s">
        <v>9</v>
      </c>
      <c r="C519" s="281" t="s">
        <v>1693</v>
      </c>
      <c r="D519" s="281">
        <v>41</v>
      </c>
      <c r="E519" s="281" t="s">
        <v>1440</v>
      </c>
      <c r="F519" s="282" t="s">
        <v>1441</v>
      </c>
      <c r="G519" s="281" t="s">
        <v>3208</v>
      </c>
      <c r="H519" s="281">
        <v>49</v>
      </c>
      <c r="I519" s="281" t="s">
        <v>422</v>
      </c>
      <c r="J519" s="281" t="s">
        <v>683</v>
      </c>
      <c r="K519" s="281">
        <v>12</v>
      </c>
      <c r="L519" s="281" t="s">
        <v>906</v>
      </c>
      <c r="M519" s="281" t="s">
        <v>1447</v>
      </c>
      <c r="N519" s="281" t="s">
        <v>1448</v>
      </c>
      <c r="O519" s="281" t="s">
        <v>424</v>
      </c>
      <c r="P519" s="283">
        <v>467</v>
      </c>
      <c r="Q519" s="281" t="s">
        <v>3213</v>
      </c>
      <c r="R519" s="281" t="s">
        <v>426</v>
      </c>
      <c r="S519" s="281" t="s">
        <v>683</v>
      </c>
      <c r="T519" s="281">
        <v>0</v>
      </c>
      <c r="U519" s="275"/>
      <c r="V519" s="275">
        <v>1</v>
      </c>
      <c r="W519" s="225">
        <v>1</v>
      </c>
      <c r="X519" s="275"/>
      <c r="Y519" s="275"/>
      <c r="Z519" s="275">
        <v>4</v>
      </c>
      <c r="AA519" s="275"/>
      <c r="AB519" s="225">
        <v>4</v>
      </c>
      <c r="AC519" s="275"/>
      <c r="AD519" s="275"/>
      <c r="AE519" s="275">
        <v>5</v>
      </c>
      <c r="AF519" s="275"/>
      <c r="AG519" s="225">
        <v>5</v>
      </c>
      <c r="AH519" s="275"/>
      <c r="AI519" s="275"/>
      <c r="AJ519" s="275">
        <v>5</v>
      </c>
      <c r="AK519" s="275"/>
      <c r="AL519" s="225">
        <v>5</v>
      </c>
      <c r="AM519" s="119">
        <v>15</v>
      </c>
      <c r="AN519" s="120" t="s">
        <v>685</v>
      </c>
      <c r="AO519" s="103" t="s">
        <v>619</v>
      </c>
      <c r="AP519" s="120" t="s">
        <v>1217</v>
      </c>
      <c r="AQ519" s="120" t="s">
        <v>1207</v>
      </c>
      <c r="AR519" s="120" t="s">
        <v>946</v>
      </c>
      <c r="AS519" s="276"/>
      <c r="AT519" s="276"/>
      <c r="AU519" s="276"/>
      <c r="AV519" s="276"/>
      <c r="AW519" s="276">
        <v>2000000</v>
      </c>
      <c r="AX519" s="276"/>
      <c r="AY519" s="276"/>
      <c r="AZ519" s="276"/>
      <c r="BA519" s="276"/>
      <c r="BB519" s="276"/>
      <c r="BC519" s="276"/>
      <c r="BD519" s="276"/>
      <c r="BE519" s="276"/>
      <c r="BF519" s="276"/>
      <c r="BG519" s="276"/>
      <c r="BH519" s="236">
        <f t="shared" si="197"/>
        <v>2000000</v>
      </c>
      <c r="BI519" s="276"/>
      <c r="BJ519" s="276"/>
      <c r="BK519" s="276"/>
      <c r="BL519" s="276"/>
      <c r="BM519" s="276">
        <v>30000000</v>
      </c>
      <c r="BN519" s="276"/>
      <c r="BO519" s="276"/>
      <c r="BP519" s="276"/>
      <c r="BQ519" s="276"/>
      <c r="BR519" s="276"/>
      <c r="BS519" s="276"/>
      <c r="BT519" s="276"/>
      <c r="BU519" s="276"/>
      <c r="BV519" s="276"/>
      <c r="BW519" s="276"/>
      <c r="BX519" s="236">
        <f t="shared" si="198"/>
        <v>30000000</v>
      </c>
      <c r="BY519" s="276"/>
      <c r="BZ519" s="276"/>
      <c r="CA519" s="276"/>
      <c r="CB519" s="276"/>
      <c r="CC519" s="276">
        <v>35000000</v>
      </c>
      <c r="CD519" s="276"/>
      <c r="CE519" s="276"/>
      <c r="CF519" s="276"/>
      <c r="CG519" s="276"/>
      <c r="CH519" s="276"/>
      <c r="CI519" s="276"/>
      <c r="CJ519" s="276"/>
      <c r="CK519" s="276"/>
      <c r="CL519" s="276"/>
      <c r="CM519" s="276"/>
      <c r="CN519" s="236">
        <f t="shared" si="199"/>
        <v>35000000</v>
      </c>
      <c r="CO519" s="276"/>
      <c r="CP519" s="276"/>
      <c r="CQ519" s="276"/>
      <c r="CR519" s="276"/>
      <c r="CS519" s="276">
        <v>1000000</v>
      </c>
      <c r="CT519" s="276"/>
      <c r="CU519" s="276"/>
      <c r="CV519" s="276"/>
      <c r="CW519" s="276"/>
      <c r="CX519" s="276"/>
      <c r="CY519" s="276"/>
      <c r="CZ519" s="276"/>
      <c r="DA519" s="276"/>
      <c r="DB519" s="276"/>
      <c r="DC519" s="276"/>
      <c r="DD519" s="240">
        <f t="shared" si="200"/>
        <v>1000000</v>
      </c>
      <c r="DE519" s="245">
        <f t="shared" si="192"/>
        <v>68000000</v>
      </c>
    </row>
    <row r="520" spans="1:109" s="46" customFormat="1" ht="65.099999999999994" customHeight="1">
      <c r="A520" s="134" t="s">
        <v>1241</v>
      </c>
      <c r="B520" s="134" t="s">
        <v>9</v>
      </c>
      <c r="C520" s="134" t="s">
        <v>1693</v>
      </c>
      <c r="D520" s="134">
        <v>41</v>
      </c>
      <c r="E520" s="134" t="s">
        <v>1440</v>
      </c>
      <c r="F520" s="135"/>
      <c r="G520" s="136"/>
      <c r="H520" s="137"/>
      <c r="I520" s="137"/>
      <c r="J520" s="137"/>
      <c r="K520" s="138"/>
      <c r="L520" s="137"/>
      <c r="M520" s="137"/>
      <c r="N520" s="137"/>
      <c r="O520" s="137"/>
      <c r="P520" s="137"/>
      <c r="Q520" s="136"/>
      <c r="R520" s="139"/>
      <c r="S520" s="137"/>
      <c r="T520" s="137"/>
      <c r="U520" s="140"/>
      <c r="V520" s="140"/>
      <c r="W520" s="138"/>
      <c r="X520" s="140"/>
      <c r="Y520" s="140"/>
      <c r="Z520" s="140"/>
      <c r="AA520" s="140"/>
      <c r="AB520" s="138"/>
      <c r="AC520" s="140"/>
      <c r="AD520" s="140"/>
      <c r="AE520" s="140"/>
      <c r="AF520" s="140"/>
      <c r="AG520" s="138"/>
      <c r="AH520" s="140"/>
      <c r="AI520" s="140"/>
      <c r="AJ520" s="140"/>
      <c r="AK520" s="140"/>
      <c r="AL520" s="138"/>
      <c r="AM520" s="141"/>
      <c r="AN520" s="142"/>
      <c r="AO520" s="142"/>
      <c r="AP520" s="143"/>
      <c r="AQ520" s="143"/>
      <c r="AR520" s="144"/>
      <c r="AS520" s="132">
        <f t="shared" ref="AS520:BG520" si="201">SUM(AS512:AS519)</f>
        <v>0</v>
      </c>
      <c r="AT520" s="132">
        <f t="shared" si="201"/>
        <v>0</v>
      </c>
      <c r="AU520" s="132">
        <f t="shared" si="201"/>
        <v>0</v>
      </c>
      <c r="AV520" s="132">
        <f t="shared" si="201"/>
        <v>0</v>
      </c>
      <c r="AW520" s="132">
        <f t="shared" si="201"/>
        <v>72354613</v>
      </c>
      <c r="AX520" s="132">
        <f t="shared" si="201"/>
        <v>0</v>
      </c>
      <c r="AY520" s="132">
        <f t="shared" si="201"/>
        <v>0</v>
      </c>
      <c r="AZ520" s="132">
        <f t="shared" si="201"/>
        <v>0</v>
      </c>
      <c r="BA520" s="132">
        <f t="shared" si="201"/>
        <v>0</v>
      </c>
      <c r="BB520" s="132">
        <f t="shared" si="201"/>
        <v>0</v>
      </c>
      <c r="BC520" s="132">
        <f t="shared" si="201"/>
        <v>0</v>
      </c>
      <c r="BD520" s="132">
        <f t="shared" si="201"/>
        <v>0</v>
      </c>
      <c r="BE520" s="132">
        <f t="shared" si="201"/>
        <v>0</v>
      </c>
      <c r="BF520" s="132">
        <f t="shared" si="201"/>
        <v>0</v>
      </c>
      <c r="BG520" s="132">
        <f t="shared" si="201"/>
        <v>0</v>
      </c>
      <c r="BH520" s="133">
        <f>IF(OR(AND(BH512=0,W512&lt;&gt;0),AND(BH513=0,W513&lt;&gt;0),AND(BH514=0,W514&lt;&gt;0),AND(BH515=0,W515&lt;&gt;0),AND(BH516=0,W516&lt;&gt;0),AND(BH517=0,W517&lt;&gt;0),AND(BH518=0,W518&lt;&gt;0),AND(BH519=0,W519&lt;&gt;0)),"NO DEBEN QUEDAR CELDAS EN ROJO",SUM(BH512:BH519))</f>
        <v>72354613</v>
      </c>
      <c r="BI520" s="132">
        <f t="shared" ref="BI520:BW520" si="202">SUM(BI512:BI519)</f>
        <v>0</v>
      </c>
      <c r="BJ520" s="132">
        <f t="shared" si="202"/>
        <v>0</v>
      </c>
      <c r="BK520" s="132">
        <f t="shared" si="202"/>
        <v>0</v>
      </c>
      <c r="BL520" s="132">
        <f t="shared" si="202"/>
        <v>0</v>
      </c>
      <c r="BM520" s="132">
        <f t="shared" si="202"/>
        <v>2084893695</v>
      </c>
      <c r="BN520" s="132">
        <f t="shared" si="202"/>
        <v>0</v>
      </c>
      <c r="BO520" s="132">
        <f t="shared" si="202"/>
        <v>0</v>
      </c>
      <c r="BP520" s="132">
        <f t="shared" si="202"/>
        <v>0</v>
      </c>
      <c r="BQ520" s="132">
        <f t="shared" si="202"/>
        <v>0</v>
      </c>
      <c r="BR520" s="132">
        <f t="shared" si="202"/>
        <v>0</v>
      </c>
      <c r="BS520" s="132">
        <f t="shared" si="202"/>
        <v>0</v>
      </c>
      <c r="BT520" s="132">
        <f t="shared" si="202"/>
        <v>0</v>
      </c>
      <c r="BU520" s="132">
        <f t="shared" si="202"/>
        <v>0</v>
      </c>
      <c r="BV520" s="132">
        <f t="shared" si="202"/>
        <v>0</v>
      </c>
      <c r="BW520" s="132">
        <f t="shared" si="202"/>
        <v>0</v>
      </c>
      <c r="BX520" s="133">
        <f>IF(OR(AND(BX512=0,AB512&lt;&gt;0),AND(BX513=0,AB513&lt;&gt;0),AND(BX514=0,AB514&lt;&gt;0),AND(BX515=0,AB515&lt;&gt;0),AND(BX516=0,AB516&lt;&gt;0),AND(BX517=0,AB517&lt;&gt;0),AND(BX518=0,AB518&lt;&gt;0),AND(BX519=0,AB519&lt;&gt;0)),"NO DEBEN QUEDAR CELDAS EN ROJO",SUM(BX512:BX519))</f>
        <v>2084893695</v>
      </c>
      <c r="BY520" s="132">
        <f t="shared" ref="BY520:CM520" si="203">SUM(BY512:BY519)</f>
        <v>0</v>
      </c>
      <c r="BZ520" s="132">
        <f t="shared" si="203"/>
        <v>0</v>
      </c>
      <c r="CA520" s="132">
        <f t="shared" si="203"/>
        <v>0</v>
      </c>
      <c r="CB520" s="132">
        <f t="shared" si="203"/>
        <v>0</v>
      </c>
      <c r="CC520" s="132">
        <f t="shared" si="203"/>
        <v>2182315505</v>
      </c>
      <c r="CD520" s="132">
        <f t="shared" si="203"/>
        <v>0</v>
      </c>
      <c r="CE520" s="132">
        <f t="shared" si="203"/>
        <v>0</v>
      </c>
      <c r="CF520" s="132">
        <f t="shared" si="203"/>
        <v>0</v>
      </c>
      <c r="CG520" s="132">
        <f t="shared" si="203"/>
        <v>0</v>
      </c>
      <c r="CH520" s="132">
        <f t="shared" si="203"/>
        <v>0</v>
      </c>
      <c r="CI520" s="132">
        <f t="shared" si="203"/>
        <v>0</v>
      </c>
      <c r="CJ520" s="132">
        <f t="shared" si="203"/>
        <v>0</v>
      </c>
      <c r="CK520" s="132">
        <f t="shared" si="203"/>
        <v>0</v>
      </c>
      <c r="CL520" s="132">
        <f t="shared" si="203"/>
        <v>0</v>
      </c>
      <c r="CM520" s="132">
        <f t="shared" si="203"/>
        <v>0</v>
      </c>
      <c r="CN520" s="133">
        <f>IF(OR(AND(CN512=0,AG512&lt;&gt;0),AND(CN513=0,AG513&lt;&gt;0),AND(CN514=0,AG514&lt;&gt;0),AND(CN515=0,AG515&lt;&gt;0),AND(CN516=0,AG516&lt;&gt;0),AND(CN517=0,AG517&lt;&gt;0),AND(CN518=0,AG518&lt;&gt;0),AND(CN519=0,AG519&lt;&gt;0)),"NO DEBEN QUEDAR CELDAS EN ROJO",SUM(CN512:CN519))</f>
        <v>2182315505</v>
      </c>
      <c r="CO520" s="132">
        <f t="shared" ref="CO520:DC520" si="204">SUM(CO512:CO519)</f>
        <v>0</v>
      </c>
      <c r="CP520" s="132">
        <f t="shared" si="204"/>
        <v>0</v>
      </c>
      <c r="CQ520" s="132">
        <f t="shared" si="204"/>
        <v>0</v>
      </c>
      <c r="CR520" s="132">
        <f t="shared" si="204"/>
        <v>0</v>
      </c>
      <c r="CS520" s="132">
        <f t="shared" si="204"/>
        <v>101108125</v>
      </c>
      <c r="CT520" s="132">
        <f t="shared" si="204"/>
        <v>0</v>
      </c>
      <c r="CU520" s="132">
        <f t="shared" si="204"/>
        <v>0</v>
      </c>
      <c r="CV520" s="132">
        <f t="shared" si="204"/>
        <v>0</v>
      </c>
      <c r="CW520" s="132">
        <f t="shared" si="204"/>
        <v>0</v>
      </c>
      <c r="CX520" s="132">
        <f t="shared" si="204"/>
        <v>0</v>
      </c>
      <c r="CY520" s="132">
        <f t="shared" si="204"/>
        <v>0</v>
      </c>
      <c r="CZ520" s="132">
        <f t="shared" si="204"/>
        <v>0</v>
      </c>
      <c r="DA520" s="132">
        <f t="shared" si="204"/>
        <v>0</v>
      </c>
      <c r="DB520" s="132">
        <f t="shared" si="204"/>
        <v>0</v>
      </c>
      <c r="DC520" s="132">
        <f t="shared" si="204"/>
        <v>0</v>
      </c>
      <c r="DD520" s="133">
        <f>IF(OR(AND(DD512=0,AL512&lt;&gt;0),AND(DD513=0,AL513&lt;&gt;0),AND(DD514=0,AL514&lt;&gt;0),AND(DD515=0,AL515&lt;&gt;0),AND(DD516=0,AL516&lt;&gt;0),AND(DD517=0,AL517&lt;&gt;0),AND(DD518=0,AL518&lt;&gt;0),AND(DD519=0,AL519&lt;&gt;0)),"NO DEBEN QUEDAR CELDAS EN ROJO",SUM(DD512:DD519))</f>
        <v>101108125</v>
      </c>
      <c r="DE520" s="133">
        <f>SUM(DE512:DE519)</f>
        <v>4440671938</v>
      </c>
    </row>
    <row r="521" spans="1:109" s="99" customFormat="1" ht="128.1" customHeight="1">
      <c r="A521" s="103" t="s">
        <v>1241</v>
      </c>
      <c r="B521" s="103" t="s">
        <v>9</v>
      </c>
      <c r="C521" s="103" t="s">
        <v>1693</v>
      </c>
      <c r="D521" s="103">
        <v>42</v>
      </c>
      <c r="E521" s="103" t="s">
        <v>1451</v>
      </c>
      <c r="F521" s="278" t="s">
        <v>1452</v>
      </c>
      <c r="G521" s="103" t="s">
        <v>3488</v>
      </c>
      <c r="H521" s="103">
        <v>50</v>
      </c>
      <c r="I521" s="103" t="s">
        <v>427</v>
      </c>
      <c r="J521" s="103" t="s">
        <v>683</v>
      </c>
      <c r="K521" s="103">
        <v>50</v>
      </c>
      <c r="L521" s="103" t="s">
        <v>1453</v>
      </c>
      <c r="M521" s="103" t="s">
        <v>1455</v>
      </c>
      <c r="N521" s="103" t="s">
        <v>1454</v>
      </c>
      <c r="O521" s="103" t="s">
        <v>1456</v>
      </c>
      <c r="P521" s="283">
        <v>468</v>
      </c>
      <c r="Q521" s="103" t="s">
        <v>3214</v>
      </c>
      <c r="R521" s="103" t="s">
        <v>1457</v>
      </c>
      <c r="S521" s="103" t="s">
        <v>683</v>
      </c>
      <c r="T521" s="103">
        <v>25</v>
      </c>
      <c r="U521" s="267"/>
      <c r="V521" s="267"/>
      <c r="W521" s="224">
        <v>0</v>
      </c>
      <c r="X521" s="267"/>
      <c r="Y521" s="267"/>
      <c r="Z521" s="267">
        <v>4</v>
      </c>
      <c r="AA521" s="267"/>
      <c r="AB521" s="224">
        <v>4</v>
      </c>
      <c r="AC521" s="267"/>
      <c r="AD521" s="267"/>
      <c r="AE521" s="267">
        <v>4</v>
      </c>
      <c r="AF521" s="267"/>
      <c r="AG521" s="224">
        <v>4</v>
      </c>
      <c r="AH521" s="267"/>
      <c r="AI521" s="267"/>
      <c r="AJ521" s="267">
        <v>2</v>
      </c>
      <c r="AK521" s="267"/>
      <c r="AL521" s="224">
        <v>2</v>
      </c>
      <c r="AM521" s="102">
        <v>10</v>
      </c>
      <c r="AN521" s="103" t="s">
        <v>685</v>
      </c>
      <c r="AO521" s="103" t="s">
        <v>619</v>
      </c>
      <c r="AP521" s="103" t="s">
        <v>1217</v>
      </c>
      <c r="AQ521" s="103" t="s">
        <v>1207</v>
      </c>
      <c r="AR521" s="103" t="s">
        <v>946</v>
      </c>
      <c r="AS521" s="268"/>
      <c r="AT521" s="268"/>
      <c r="AU521" s="268"/>
      <c r="AV521" s="268"/>
      <c r="AW521" s="268"/>
      <c r="AX521" s="268"/>
      <c r="AY521" s="268"/>
      <c r="AZ521" s="268"/>
      <c r="BA521" s="268"/>
      <c r="BB521" s="268"/>
      <c r="BC521" s="268"/>
      <c r="BD521" s="268"/>
      <c r="BE521" s="268"/>
      <c r="BF521" s="268"/>
      <c r="BG521" s="268"/>
      <c r="BH521" s="234">
        <f t="shared" ref="BH521:BH535" si="205">IF(W521=0,0,BG521+BF521+BE521+BD521+BC521+BB521+BA521+AZ521+AY521+AX521+AW521+AV521+AU521+AT521+AS521)</f>
        <v>0</v>
      </c>
      <c r="BI521" s="268"/>
      <c r="BJ521" s="268"/>
      <c r="BK521" s="268"/>
      <c r="BL521" s="268"/>
      <c r="BM521" s="268">
        <v>120000000</v>
      </c>
      <c r="BN521" s="268"/>
      <c r="BO521" s="268"/>
      <c r="BP521" s="268"/>
      <c r="BQ521" s="268"/>
      <c r="BR521" s="268"/>
      <c r="BS521" s="268"/>
      <c r="BT521" s="268"/>
      <c r="BU521" s="268"/>
      <c r="BV521" s="268"/>
      <c r="BW521" s="268"/>
      <c r="BX521" s="234">
        <f t="shared" ref="BX521:BX535" si="206">IF(AB521=0,0,BI521+BJ521+BK521+BL521+BM521+BN521+BO521+BP521+BQ521+BR521+BS521+BT521+BU521+BV521+BW521)</f>
        <v>120000000</v>
      </c>
      <c r="BY521" s="268"/>
      <c r="BZ521" s="268"/>
      <c r="CA521" s="268"/>
      <c r="CB521" s="268"/>
      <c r="CC521" s="268">
        <v>80000000</v>
      </c>
      <c r="CD521" s="268"/>
      <c r="CE521" s="268"/>
      <c r="CF521" s="268"/>
      <c r="CG521" s="268"/>
      <c r="CH521" s="268"/>
      <c r="CI521" s="268"/>
      <c r="CJ521" s="268"/>
      <c r="CK521" s="268"/>
      <c r="CL521" s="268"/>
      <c r="CM521" s="268"/>
      <c r="CN521" s="234">
        <f t="shared" ref="CN521:CN535" si="207">IF(AG521=0,0,(BY521+BZ521+CA521+CB521+CC521+CD521+CE521+CF521+CG521+CH521+CI521+CJ521+CK521+CL521+CM521))</f>
        <v>80000000</v>
      </c>
      <c r="CO521" s="268"/>
      <c r="CP521" s="268"/>
      <c r="CQ521" s="268"/>
      <c r="CR521" s="268"/>
      <c r="CS521" s="268">
        <v>311500000</v>
      </c>
      <c r="CT521" s="268"/>
      <c r="CU521" s="268"/>
      <c r="CV521" s="268"/>
      <c r="CW521" s="268"/>
      <c r="CX521" s="268"/>
      <c r="CY521" s="268"/>
      <c r="CZ521" s="268"/>
      <c r="DA521" s="268"/>
      <c r="DB521" s="268"/>
      <c r="DC521" s="268"/>
      <c r="DD521" s="234">
        <f t="shared" ref="DD521:DD535" si="208">IF(AL521=0,0,(CO521+CP521+CQ521+CR521+CS521+CT521+CU521+CV521+CW521+CX521+CY521+CZ521+DA521+DB521+DC521))</f>
        <v>311500000</v>
      </c>
      <c r="DE521" s="243">
        <f t="shared" ref="DE521:DE530" si="209">SUM(DD521+CN521+BX521+BH521)</f>
        <v>511500000</v>
      </c>
    </row>
    <row r="522" spans="1:109" s="99" customFormat="1" ht="128.1" customHeight="1">
      <c r="A522" s="103" t="s">
        <v>1241</v>
      </c>
      <c r="B522" s="279" t="s">
        <v>9</v>
      </c>
      <c r="C522" s="279" t="s">
        <v>1693</v>
      </c>
      <c r="D522" s="279">
        <v>42</v>
      </c>
      <c r="E522" s="279" t="s">
        <v>1451</v>
      </c>
      <c r="F522" s="280" t="s">
        <v>1452</v>
      </c>
      <c r="G522" s="279" t="s">
        <v>3488</v>
      </c>
      <c r="H522" s="279">
        <v>50</v>
      </c>
      <c r="I522" s="279" t="s">
        <v>427</v>
      </c>
      <c r="J522" s="279" t="s">
        <v>683</v>
      </c>
      <c r="K522" s="279">
        <v>50</v>
      </c>
      <c r="L522" s="279" t="s">
        <v>1453</v>
      </c>
      <c r="M522" s="279" t="s">
        <v>1455</v>
      </c>
      <c r="N522" s="279" t="s">
        <v>1454</v>
      </c>
      <c r="O522" s="279" t="s">
        <v>1456</v>
      </c>
      <c r="P522" s="283">
        <v>469</v>
      </c>
      <c r="Q522" s="279" t="s">
        <v>3479</v>
      </c>
      <c r="R522" s="279" t="s">
        <v>1458</v>
      </c>
      <c r="S522" s="279" t="s">
        <v>683</v>
      </c>
      <c r="T522" s="279">
        <v>1</v>
      </c>
      <c r="U522" s="267"/>
      <c r="V522" s="267"/>
      <c r="W522" s="224">
        <v>0</v>
      </c>
      <c r="X522" s="267"/>
      <c r="Y522" s="267"/>
      <c r="Z522" s="267">
        <v>1</v>
      </c>
      <c r="AA522" s="267"/>
      <c r="AB522" s="224">
        <v>1</v>
      </c>
      <c r="AC522" s="267"/>
      <c r="AD522" s="267"/>
      <c r="AE522" s="267">
        <v>1</v>
      </c>
      <c r="AF522" s="267"/>
      <c r="AG522" s="224">
        <v>1</v>
      </c>
      <c r="AH522" s="267"/>
      <c r="AI522" s="267"/>
      <c r="AJ522" s="267">
        <v>1</v>
      </c>
      <c r="AK522" s="267"/>
      <c r="AL522" s="224">
        <v>1</v>
      </c>
      <c r="AM522" s="104">
        <v>3</v>
      </c>
      <c r="AN522" s="103" t="s">
        <v>685</v>
      </c>
      <c r="AO522" s="103" t="s">
        <v>619</v>
      </c>
      <c r="AP522" s="103" t="s">
        <v>1217</v>
      </c>
      <c r="AQ522" s="103" t="s">
        <v>1207</v>
      </c>
      <c r="AR522" s="103" t="s">
        <v>946</v>
      </c>
      <c r="AS522" s="271"/>
      <c r="AT522" s="271"/>
      <c r="AU522" s="271"/>
      <c r="AV522" s="271"/>
      <c r="AW522" s="271"/>
      <c r="AX522" s="271"/>
      <c r="AY522" s="271"/>
      <c r="AZ522" s="271"/>
      <c r="BA522" s="271"/>
      <c r="BB522" s="271"/>
      <c r="BC522" s="271"/>
      <c r="BD522" s="271"/>
      <c r="BE522" s="271"/>
      <c r="BF522" s="271"/>
      <c r="BG522" s="271"/>
      <c r="BH522" s="235">
        <f t="shared" si="205"/>
        <v>0</v>
      </c>
      <c r="BI522" s="271"/>
      <c r="BJ522" s="271"/>
      <c r="BK522" s="271"/>
      <c r="BL522" s="271"/>
      <c r="BM522" s="271">
        <v>28000000</v>
      </c>
      <c r="BN522" s="271"/>
      <c r="BO522" s="271"/>
      <c r="BP522" s="271"/>
      <c r="BQ522" s="271"/>
      <c r="BR522" s="271"/>
      <c r="BS522" s="271"/>
      <c r="BT522" s="271"/>
      <c r="BU522" s="271"/>
      <c r="BV522" s="271"/>
      <c r="BW522" s="271"/>
      <c r="BX522" s="235">
        <f t="shared" si="206"/>
        <v>28000000</v>
      </c>
      <c r="BY522" s="271"/>
      <c r="BZ522" s="271"/>
      <c r="CA522" s="271"/>
      <c r="CB522" s="271"/>
      <c r="CC522" s="271">
        <v>60000000</v>
      </c>
      <c r="CD522" s="271"/>
      <c r="CE522" s="271"/>
      <c r="CF522" s="271"/>
      <c r="CG522" s="271"/>
      <c r="CH522" s="271"/>
      <c r="CI522" s="271"/>
      <c r="CJ522" s="271"/>
      <c r="CK522" s="271"/>
      <c r="CL522" s="271"/>
      <c r="CM522" s="271"/>
      <c r="CN522" s="235">
        <f t="shared" si="207"/>
        <v>60000000</v>
      </c>
      <c r="CO522" s="271"/>
      <c r="CP522" s="271"/>
      <c r="CQ522" s="271"/>
      <c r="CR522" s="271"/>
      <c r="CS522" s="271">
        <v>31500000</v>
      </c>
      <c r="CT522" s="271"/>
      <c r="CU522" s="271"/>
      <c r="CV522" s="271"/>
      <c r="CW522" s="271"/>
      <c r="CX522" s="271"/>
      <c r="CY522" s="271"/>
      <c r="CZ522" s="271"/>
      <c r="DA522" s="271"/>
      <c r="DB522" s="271"/>
      <c r="DC522" s="271"/>
      <c r="DD522" s="234">
        <f t="shared" si="208"/>
        <v>31500000</v>
      </c>
      <c r="DE522" s="244">
        <f t="shared" si="209"/>
        <v>119500000</v>
      </c>
    </row>
    <row r="523" spans="1:109" s="99" customFormat="1" ht="128.1" customHeight="1">
      <c r="A523" s="103" t="s">
        <v>1241</v>
      </c>
      <c r="B523" s="279" t="s">
        <v>9</v>
      </c>
      <c r="C523" s="279" t="s">
        <v>1693</v>
      </c>
      <c r="D523" s="279">
        <v>42</v>
      </c>
      <c r="E523" s="279" t="s">
        <v>1451</v>
      </c>
      <c r="F523" s="280" t="s">
        <v>1452</v>
      </c>
      <c r="G523" s="279" t="s">
        <v>3488</v>
      </c>
      <c r="H523" s="279">
        <v>50</v>
      </c>
      <c r="I523" s="279" t="s">
        <v>427</v>
      </c>
      <c r="J523" s="279" t="s">
        <v>683</v>
      </c>
      <c r="K523" s="279">
        <v>50</v>
      </c>
      <c r="L523" s="279" t="s">
        <v>1453</v>
      </c>
      <c r="M523" s="279" t="s">
        <v>1455</v>
      </c>
      <c r="N523" s="279" t="s">
        <v>1454</v>
      </c>
      <c r="O523" s="279" t="s">
        <v>1456</v>
      </c>
      <c r="P523" s="283">
        <v>470</v>
      </c>
      <c r="Q523" s="279" t="s">
        <v>3586</v>
      </c>
      <c r="R523" s="279" t="s">
        <v>3587</v>
      </c>
      <c r="S523" s="279" t="s">
        <v>683</v>
      </c>
      <c r="T523" s="279">
        <v>0</v>
      </c>
      <c r="U523" s="267">
        <v>0.5</v>
      </c>
      <c r="V523" s="267">
        <v>0.5</v>
      </c>
      <c r="W523" s="224">
        <v>1</v>
      </c>
      <c r="X523" s="267">
        <v>1</v>
      </c>
      <c r="Y523" s="267">
        <v>0.5</v>
      </c>
      <c r="Z523" s="267">
        <v>0.5</v>
      </c>
      <c r="AA523" s="267"/>
      <c r="AB523" s="224">
        <v>2</v>
      </c>
      <c r="AC523" s="267"/>
      <c r="AD523" s="267">
        <v>1</v>
      </c>
      <c r="AE523" s="267">
        <v>1</v>
      </c>
      <c r="AF523" s="267"/>
      <c r="AG523" s="224">
        <v>2</v>
      </c>
      <c r="AH523" s="267"/>
      <c r="AI523" s="267">
        <v>1</v>
      </c>
      <c r="AJ523" s="267"/>
      <c r="AK523" s="267"/>
      <c r="AL523" s="224">
        <v>1</v>
      </c>
      <c r="AM523" s="104">
        <v>6</v>
      </c>
      <c r="AN523" s="103" t="s">
        <v>685</v>
      </c>
      <c r="AO523" s="103" t="s">
        <v>619</v>
      </c>
      <c r="AP523" s="103" t="s">
        <v>1217</v>
      </c>
      <c r="AQ523" s="103" t="s">
        <v>1207</v>
      </c>
      <c r="AR523" s="103" t="s">
        <v>939</v>
      </c>
      <c r="AS523" s="271"/>
      <c r="AT523" s="271"/>
      <c r="AU523" s="271"/>
      <c r="AV523" s="271"/>
      <c r="AW523" s="271">
        <v>1241789481</v>
      </c>
      <c r="AX523" s="271"/>
      <c r="AY523" s="271"/>
      <c r="AZ523" s="271"/>
      <c r="BA523" s="271"/>
      <c r="BB523" s="271"/>
      <c r="BC523" s="271"/>
      <c r="BD523" s="271"/>
      <c r="BE523" s="271"/>
      <c r="BF523" s="271"/>
      <c r="BG523" s="271"/>
      <c r="BH523" s="235">
        <f t="shared" si="205"/>
        <v>1241789481</v>
      </c>
      <c r="BI523" s="271"/>
      <c r="BJ523" s="271"/>
      <c r="BK523" s="271"/>
      <c r="BL523" s="271"/>
      <c r="BM523" s="271">
        <v>28000000</v>
      </c>
      <c r="BN523" s="271"/>
      <c r="BO523" s="271"/>
      <c r="BP523" s="271"/>
      <c r="BQ523" s="271"/>
      <c r="BR523" s="271"/>
      <c r="BS523" s="271"/>
      <c r="BT523" s="271"/>
      <c r="BU523" s="271"/>
      <c r="BV523" s="271"/>
      <c r="BW523" s="271"/>
      <c r="BX523" s="235">
        <f t="shared" si="206"/>
        <v>28000000</v>
      </c>
      <c r="BY523" s="271"/>
      <c r="BZ523" s="271"/>
      <c r="CA523" s="271"/>
      <c r="CB523" s="271"/>
      <c r="CC523" s="271">
        <v>60000000</v>
      </c>
      <c r="CD523" s="271"/>
      <c r="CE523" s="271"/>
      <c r="CF523" s="271"/>
      <c r="CG523" s="271"/>
      <c r="CH523" s="271"/>
      <c r="CI523" s="271"/>
      <c r="CJ523" s="271"/>
      <c r="CK523" s="271"/>
      <c r="CL523" s="271"/>
      <c r="CM523" s="271"/>
      <c r="CN523" s="235">
        <f t="shared" si="207"/>
        <v>60000000</v>
      </c>
      <c r="CO523" s="271"/>
      <c r="CP523" s="271"/>
      <c r="CQ523" s="271"/>
      <c r="CR523" s="271"/>
      <c r="CS523" s="271">
        <v>71500000</v>
      </c>
      <c r="CT523" s="271"/>
      <c r="CU523" s="271"/>
      <c r="CV523" s="271"/>
      <c r="CW523" s="271"/>
      <c r="CX523" s="271"/>
      <c r="CY523" s="271"/>
      <c r="CZ523" s="271"/>
      <c r="DA523" s="271"/>
      <c r="DB523" s="271"/>
      <c r="DC523" s="271"/>
      <c r="DD523" s="234">
        <f t="shared" si="208"/>
        <v>71500000</v>
      </c>
      <c r="DE523" s="244">
        <f t="shared" si="209"/>
        <v>1401289481</v>
      </c>
    </row>
    <row r="524" spans="1:109" s="99" customFormat="1" ht="128.1" customHeight="1">
      <c r="A524" s="103" t="s">
        <v>1241</v>
      </c>
      <c r="B524" s="279" t="s">
        <v>9</v>
      </c>
      <c r="C524" s="279" t="s">
        <v>1693</v>
      </c>
      <c r="D524" s="279">
        <v>42</v>
      </c>
      <c r="E524" s="279" t="s">
        <v>1451</v>
      </c>
      <c r="F524" s="280" t="s">
        <v>1452</v>
      </c>
      <c r="G524" s="279" t="s">
        <v>3488</v>
      </c>
      <c r="H524" s="279">
        <v>50</v>
      </c>
      <c r="I524" s="279" t="s">
        <v>427</v>
      </c>
      <c r="J524" s="279" t="s">
        <v>683</v>
      </c>
      <c r="K524" s="279">
        <v>50</v>
      </c>
      <c r="L524" s="279" t="s">
        <v>1453</v>
      </c>
      <c r="M524" s="279" t="s">
        <v>1455</v>
      </c>
      <c r="N524" s="279" t="s">
        <v>1454</v>
      </c>
      <c r="O524" s="279" t="s">
        <v>1456</v>
      </c>
      <c r="P524" s="283">
        <v>471</v>
      </c>
      <c r="Q524" s="279" t="s">
        <v>3215</v>
      </c>
      <c r="R524" s="279" t="s">
        <v>1459</v>
      </c>
      <c r="S524" s="279" t="s">
        <v>683</v>
      </c>
      <c r="T524" s="279">
        <v>3</v>
      </c>
      <c r="U524" s="267"/>
      <c r="V524" s="267"/>
      <c r="W524" s="224">
        <v>0</v>
      </c>
      <c r="X524" s="267"/>
      <c r="Y524" s="267">
        <v>1</v>
      </c>
      <c r="Z524" s="267">
        <v>1</v>
      </c>
      <c r="AA524" s="267">
        <v>1</v>
      </c>
      <c r="AB524" s="224">
        <v>3</v>
      </c>
      <c r="AC524" s="267"/>
      <c r="AD524" s="267">
        <v>1</v>
      </c>
      <c r="AE524" s="267">
        <v>1</v>
      </c>
      <c r="AF524" s="267">
        <v>1</v>
      </c>
      <c r="AG524" s="224">
        <v>3</v>
      </c>
      <c r="AH524" s="267"/>
      <c r="AI524" s="267">
        <v>1</v>
      </c>
      <c r="AJ524" s="267">
        <v>1</v>
      </c>
      <c r="AK524" s="267">
        <v>1</v>
      </c>
      <c r="AL524" s="224">
        <v>3</v>
      </c>
      <c r="AM524" s="104">
        <v>3</v>
      </c>
      <c r="AN524" s="103" t="s">
        <v>686</v>
      </c>
      <c r="AO524" s="103" t="s">
        <v>619</v>
      </c>
      <c r="AP524" s="103" t="s">
        <v>1217</v>
      </c>
      <c r="AQ524" s="103" t="s">
        <v>1207</v>
      </c>
      <c r="AR524" s="103" t="s">
        <v>946</v>
      </c>
      <c r="AS524" s="271"/>
      <c r="AT524" s="271"/>
      <c r="AU524" s="271"/>
      <c r="AV524" s="271"/>
      <c r="AW524" s="271"/>
      <c r="AX524" s="271"/>
      <c r="AY524" s="271"/>
      <c r="AZ524" s="271"/>
      <c r="BA524" s="271"/>
      <c r="BB524" s="271"/>
      <c r="BC524" s="271"/>
      <c r="BD524" s="271"/>
      <c r="BE524" s="271"/>
      <c r="BF524" s="271"/>
      <c r="BG524" s="271"/>
      <c r="BH524" s="235">
        <f t="shared" si="205"/>
        <v>0</v>
      </c>
      <c r="BI524" s="271"/>
      <c r="BJ524" s="271"/>
      <c r="BK524" s="271"/>
      <c r="BL524" s="271"/>
      <c r="BM524" s="271">
        <v>28000000</v>
      </c>
      <c r="BN524" s="271"/>
      <c r="BO524" s="271"/>
      <c r="BP524" s="271"/>
      <c r="BQ524" s="271"/>
      <c r="BR524" s="271"/>
      <c r="BS524" s="271"/>
      <c r="BT524" s="271"/>
      <c r="BU524" s="271"/>
      <c r="BV524" s="271"/>
      <c r="BW524" s="271"/>
      <c r="BX524" s="235">
        <f t="shared" si="206"/>
        <v>28000000</v>
      </c>
      <c r="BY524" s="271"/>
      <c r="BZ524" s="271"/>
      <c r="CA524" s="271"/>
      <c r="CB524" s="271"/>
      <c r="CC524" s="271">
        <v>60000000</v>
      </c>
      <c r="CD524" s="271"/>
      <c r="CE524" s="271"/>
      <c r="CF524" s="271"/>
      <c r="CG524" s="271"/>
      <c r="CH524" s="271"/>
      <c r="CI524" s="271"/>
      <c r="CJ524" s="271"/>
      <c r="CK524" s="271"/>
      <c r="CL524" s="271"/>
      <c r="CM524" s="271"/>
      <c r="CN524" s="235">
        <f t="shared" si="207"/>
        <v>60000000</v>
      </c>
      <c r="CO524" s="271"/>
      <c r="CP524" s="271"/>
      <c r="CQ524" s="271"/>
      <c r="CR524" s="271"/>
      <c r="CS524" s="271">
        <v>81500000</v>
      </c>
      <c r="CT524" s="271"/>
      <c r="CU524" s="271"/>
      <c r="CV524" s="271"/>
      <c r="CW524" s="271"/>
      <c r="CX524" s="271"/>
      <c r="CY524" s="271"/>
      <c r="CZ524" s="271"/>
      <c r="DA524" s="271"/>
      <c r="DB524" s="271"/>
      <c r="DC524" s="271"/>
      <c r="DD524" s="234">
        <f t="shared" si="208"/>
        <v>81500000</v>
      </c>
      <c r="DE524" s="244">
        <f t="shared" si="209"/>
        <v>169500000</v>
      </c>
    </row>
    <row r="525" spans="1:109" s="99" customFormat="1" ht="128.1" customHeight="1">
      <c r="A525" s="103" t="s">
        <v>1241</v>
      </c>
      <c r="B525" s="279" t="s">
        <v>9</v>
      </c>
      <c r="C525" s="279" t="s">
        <v>1693</v>
      </c>
      <c r="D525" s="279">
        <v>42</v>
      </c>
      <c r="E525" s="279" t="s">
        <v>1451</v>
      </c>
      <c r="F525" s="280" t="s">
        <v>1452</v>
      </c>
      <c r="G525" s="279" t="s">
        <v>3488</v>
      </c>
      <c r="H525" s="279">
        <v>50</v>
      </c>
      <c r="I525" s="279" t="s">
        <v>427</v>
      </c>
      <c r="J525" s="279" t="s">
        <v>683</v>
      </c>
      <c r="K525" s="279">
        <v>50</v>
      </c>
      <c r="L525" s="279" t="s">
        <v>1453</v>
      </c>
      <c r="M525" s="279" t="s">
        <v>1455</v>
      </c>
      <c r="N525" s="279" t="s">
        <v>1454</v>
      </c>
      <c r="O525" s="279" t="s">
        <v>1456</v>
      </c>
      <c r="P525" s="283">
        <v>472</v>
      </c>
      <c r="Q525" s="279" t="s">
        <v>3216</v>
      </c>
      <c r="R525" s="279" t="s">
        <v>1459</v>
      </c>
      <c r="S525" s="279" t="s">
        <v>683</v>
      </c>
      <c r="T525" s="279">
        <v>3</v>
      </c>
      <c r="U525" s="267"/>
      <c r="V525" s="267"/>
      <c r="W525" s="224">
        <v>0</v>
      </c>
      <c r="X525" s="267"/>
      <c r="Y525" s="267"/>
      <c r="Z525" s="267"/>
      <c r="AA525" s="267">
        <v>1</v>
      </c>
      <c r="AB525" s="224">
        <v>1</v>
      </c>
      <c r="AC525" s="267"/>
      <c r="AD525" s="267"/>
      <c r="AE525" s="267"/>
      <c r="AF525" s="267">
        <v>1</v>
      </c>
      <c r="AG525" s="224">
        <v>1</v>
      </c>
      <c r="AH525" s="267"/>
      <c r="AI525" s="267"/>
      <c r="AJ525" s="267"/>
      <c r="AK525" s="267">
        <v>1</v>
      </c>
      <c r="AL525" s="224">
        <v>1</v>
      </c>
      <c r="AM525" s="104">
        <v>3</v>
      </c>
      <c r="AN525" s="103" t="s">
        <v>685</v>
      </c>
      <c r="AO525" s="103" t="s">
        <v>619</v>
      </c>
      <c r="AP525" s="103" t="s">
        <v>1217</v>
      </c>
      <c r="AQ525" s="103" t="s">
        <v>1207</v>
      </c>
      <c r="AR525" s="103" t="s">
        <v>946</v>
      </c>
      <c r="AS525" s="271"/>
      <c r="AT525" s="271"/>
      <c r="AU525" s="271"/>
      <c r="AV525" s="271"/>
      <c r="AW525" s="271"/>
      <c r="AX525" s="271"/>
      <c r="AY525" s="271"/>
      <c r="AZ525" s="271"/>
      <c r="BA525" s="271"/>
      <c r="BB525" s="271"/>
      <c r="BC525" s="271"/>
      <c r="BD525" s="271"/>
      <c r="BE525" s="271"/>
      <c r="BF525" s="271"/>
      <c r="BG525" s="271"/>
      <c r="BH525" s="235">
        <f t="shared" si="205"/>
        <v>0</v>
      </c>
      <c r="BI525" s="271"/>
      <c r="BJ525" s="271"/>
      <c r="BK525" s="271"/>
      <c r="BL525" s="271"/>
      <c r="BM525" s="271">
        <v>45000000</v>
      </c>
      <c r="BN525" s="271"/>
      <c r="BO525" s="271"/>
      <c r="BP525" s="271"/>
      <c r="BQ525" s="271"/>
      <c r="BR525" s="271"/>
      <c r="BS525" s="271"/>
      <c r="BT525" s="271"/>
      <c r="BU525" s="271"/>
      <c r="BV525" s="271"/>
      <c r="BW525" s="271"/>
      <c r="BX525" s="235">
        <f t="shared" si="206"/>
        <v>45000000</v>
      </c>
      <c r="BY525" s="271"/>
      <c r="BZ525" s="271"/>
      <c r="CA525" s="271"/>
      <c r="CB525" s="271"/>
      <c r="CC525" s="271">
        <v>60000000</v>
      </c>
      <c r="CD525" s="271"/>
      <c r="CE525" s="271"/>
      <c r="CF525" s="271"/>
      <c r="CG525" s="271"/>
      <c r="CH525" s="271"/>
      <c r="CI525" s="271"/>
      <c r="CJ525" s="271"/>
      <c r="CK525" s="271"/>
      <c r="CL525" s="271"/>
      <c r="CM525" s="271"/>
      <c r="CN525" s="235">
        <f t="shared" si="207"/>
        <v>60000000</v>
      </c>
      <c r="CO525" s="271"/>
      <c r="CP525" s="271"/>
      <c r="CQ525" s="271"/>
      <c r="CR525" s="271"/>
      <c r="CS525" s="271">
        <v>131500000</v>
      </c>
      <c r="CT525" s="271"/>
      <c r="CU525" s="271"/>
      <c r="CV525" s="271"/>
      <c r="CW525" s="271"/>
      <c r="CX525" s="271"/>
      <c r="CY525" s="271"/>
      <c r="CZ525" s="271"/>
      <c r="DA525" s="271"/>
      <c r="DB525" s="271"/>
      <c r="DC525" s="271"/>
      <c r="DD525" s="234">
        <f t="shared" si="208"/>
        <v>131500000</v>
      </c>
      <c r="DE525" s="244">
        <f t="shared" si="209"/>
        <v>236500000</v>
      </c>
    </row>
    <row r="526" spans="1:109" s="99" customFormat="1" ht="128.1" customHeight="1">
      <c r="A526" s="103" t="s">
        <v>1241</v>
      </c>
      <c r="B526" s="279" t="s">
        <v>9</v>
      </c>
      <c r="C526" s="279" t="s">
        <v>1693</v>
      </c>
      <c r="D526" s="279">
        <v>42</v>
      </c>
      <c r="E526" s="279" t="s">
        <v>1451</v>
      </c>
      <c r="F526" s="280" t="s">
        <v>1452</v>
      </c>
      <c r="G526" s="279" t="s">
        <v>3488</v>
      </c>
      <c r="H526" s="279">
        <v>50</v>
      </c>
      <c r="I526" s="279" t="s">
        <v>427</v>
      </c>
      <c r="J526" s="279" t="s">
        <v>683</v>
      </c>
      <c r="K526" s="279">
        <v>50</v>
      </c>
      <c r="L526" s="279" t="s">
        <v>1453</v>
      </c>
      <c r="M526" s="279" t="s">
        <v>1455</v>
      </c>
      <c r="N526" s="279" t="s">
        <v>1454</v>
      </c>
      <c r="O526" s="279" t="s">
        <v>1456</v>
      </c>
      <c r="P526" s="283">
        <v>473</v>
      </c>
      <c r="Q526" s="279" t="s">
        <v>3588</v>
      </c>
      <c r="R526" s="279" t="s">
        <v>428</v>
      </c>
      <c r="S526" s="279" t="s">
        <v>683</v>
      </c>
      <c r="T526" s="279">
        <v>23</v>
      </c>
      <c r="U526" s="267"/>
      <c r="V526" s="267"/>
      <c r="W526" s="224">
        <v>0</v>
      </c>
      <c r="X526" s="267"/>
      <c r="Y526" s="267"/>
      <c r="Z526" s="267"/>
      <c r="AA526" s="267">
        <v>1</v>
      </c>
      <c r="AB526" s="224">
        <v>1</v>
      </c>
      <c r="AC526" s="267"/>
      <c r="AD526" s="267"/>
      <c r="AE526" s="267"/>
      <c r="AF526" s="267">
        <v>1</v>
      </c>
      <c r="AG526" s="224">
        <v>1</v>
      </c>
      <c r="AH526" s="267"/>
      <c r="AI526" s="267"/>
      <c r="AJ526" s="267"/>
      <c r="AK526" s="267">
        <v>1</v>
      </c>
      <c r="AL526" s="224">
        <v>1</v>
      </c>
      <c r="AM526" s="104">
        <v>3</v>
      </c>
      <c r="AN526" s="103" t="s">
        <v>685</v>
      </c>
      <c r="AO526" s="103" t="s">
        <v>619</v>
      </c>
      <c r="AP526" s="103" t="s">
        <v>1217</v>
      </c>
      <c r="AQ526" s="103" t="s">
        <v>1207</v>
      </c>
      <c r="AR526" s="103" t="s">
        <v>946</v>
      </c>
      <c r="AS526" s="271"/>
      <c r="AT526" s="271"/>
      <c r="AU526" s="271"/>
      <c r="AV526" s="271"/>
      <c r="AW526" s="271"/>
      <c r="AX526" s="271"/>
      <c r="AY526" s="271"/>
      <c r="AZ526" s="271"/>
      <c r="BA526" s="271"/>
      <c r="BB526" s="271"/>
      <c r="BC526" s="271"/>
      <c r="BD526" s="271"/>
      <c r="BE526" s="271"/>
      <c r="BF526" s="271"/>
      <c r="BG526" s="271"/>
      <c r="BH526" s="235">
        <f t="shared" si="205"/>
        <v>0</v>
      </c>
      <c r="BI526" s="271"/>
      <c r="BJ526" s="271"/>
      <c r="BK526" s="271"/>
      <c r="BL526" s="271"/>
      <c r="BM526" s="271">
        <v>48000000</v>
      </c>
      <c r="BN526" s="271"/>
      <c r="BO526" s="271"/>
      <c r="BP526" s="271"/>
      <c r="BQ526" s="271"/>
      <c r="BR526" s="271"/>
      <c r="BS526" s="271"/>
      <c r="BT526" s="271"/>
      <c r="BU526" s="271"/>
      <c r="BV526" s="271"/>
      <c r="BW526" s="271"/>
      <c r="BX526" s="235">
        <f t="shared" si="206"/>
        <v>48000000</v>
      </c>
      <c r="BY526" s="271"/>
      <c r="BZ526" s="271"/>
      <c r="CA526" s="271"/>
      <c r="CB526" s="271"/>
      <c r="CC526" s="271">
        <v>50000000</v>
      </c>
      <c r="CD526" s="271"/>
      <c r="CE526" s="271"/>
      <c r="CF526" s="271"/>
      <c r="CG526" s="271"/>
      <c r="CH526" s="271"/>
      <c r="CI526" s="271"/>
      <c r="CJ526" s="271"/>
      <c r="CK526" s="271"/>
      <c r="CL526" s="271"/>
      <c r="CM526" s="271"/>
      <c r="CN526" s="235">
        <f t="shared" si="207"/>
        <v>50000000</v>
      </c>
      <c r="CO526" s="271"/>
      <c r="CP526" s="271"/>
      <c r="CQ526" s="271"/>
      <c r="CR526" s="271"/>
      <c r="CS526" s="271">
        <v>81500000</v>
      </c>
      <c r="CT526" s="271"/>
      <c r="CU526" s="271"/>
      <c r="CV526" s="271"/>
      <c r="CW526" s="271"/>
      <c r="CX526" s="271"/>
      <c r="CY526" s="271"/>
      <c r="CZ526" s="271"/>
      <c r="DA526" s="271"/>
      <c r="DB526" s="271"/>
      <c r="DC526" s="271"/>
      <c r="DD526" s="234">
        <f t="shared" si="208"/>
        <v>81500000</v>
      </c>
      <c r="DE526" s="244">
        <f t="shared" si="209"/>
        <v>179500000</v>
      </c>
    </row>
    <row r="527" spans="1:109" s="99" customFormat="1" ht="128.1" customHeight="1">
      <c r="A527" s="103" t="s">
        <v>1241</v>
      </c>
      <c r="B527" s="279" t="s">
        <v>9</v>
      </c>
      <c r="C527" s="279" t="s">
        <v>1693</v>
      </c>
      <c r="D527" s="279">
        <v>42</v>
      </c>
      <c r="E527" s="279" t="s">
        <v>1451</v>
      </c>
      <c r="F527" s="280" t="s">
        <v>1452</v>
      </c>
      <c r="G527" s="279" t="s">
        <v>3488</v>
      </c>
      <c r="H527" s="279">
        <v>50</v>
      </c>
      <c r="I527" s="279" t="s">
        <v>427</v>
      </c>
      <c r="J527" s="279" t="s">
        <v>683</v>
      </c>
      <c r="K527" s="279">
        <v>50</v>
      </c>
      <c r="L527" s="279" t="s">
        <v>1453</v>
      </c>
      <c r="M527" s="279" t="s">
        <v>1455</v>
      </c>
      <c r="N527" s="279" t="s">
        <v>1454</v>
      </c>
      <c r="O527" s="279" t="s">
        <v>1456</v>
      </c>
      <c r="P527" s="283">
        <v>474</v>
      </c>
      <c r="Q527" s="279" t="s">
        <v>3480</v>
      </c>
      <c r="R527" s="279" t="s">
        <v>1460</v>
      </c>
      <c r="S527" s="279" t="s">
        <v>683</v>
      </c>
      <c r="T527" s="279">
        <v>0</v>
      </c>
      <c r="U527" s="267"/>
      <c r="V527" s="267"/>
      <c r="W527" s="224">
        <v>0</v>
      </c>
      <c r="X527" s="267"/>
      <c r="Y527" s="267"/>
      <c r="Z527" s="267">
        <v>0.5</v>
      </c>
      <c r="AA527" s="267">
        <v>0.5</v>
      </c>
      <c r="AB527" s="224">
        <v>1</v>
      </c>
      <c r="AC527" s="267"/>
      <c r="AD527" s="267"/>
      <c r="AE527" s="267">
        <v>0.5</v>
      </c>
      <c r="AF527" s="267"/>
      <c r="AG527" s="224">
        <v>0.5</v>
      </c>
      <c r="AH527" s="267"/>
      <c r="AI527" s="267">
        <v>0.5</v>
      </c>
      <c r="AJ527" s="267"/>
      <c r="AK527" s="267"/>
      <c r="AL527" s="224">
        <v>0.5</v>
      </c>
      <c r="AM527" s="104">
        <v>2</v>
      </c>
      <c r="AN527" s="103" t="s">
        <v>685</v>
      </c>
      <c r="AO527" s="103" t="s">
        <v>619</v>
      </c>
      <c r="AP527" s="103" t="s">
        <v>1217</v>
      </c>
      <c r="AQ527" s="103" t="s">
        <v>1207</v>
      </c>
      <c r="AR527" s="103" t="s">
        <v>946</v>
      </c>
      <c r="AS527" s="271"/>
      <c r="AT527" s="271"/>
      <c r="AU527" s="271"/>
      <c r="AV527" s="271"/>
      <c r="AW527" s="271"/>
      <c r="AX527" s="271"/>
      <c r="AY527" s="271"/>
      <c r="AZ527" s="271"/>
      <c r="BA527" s="271"/>
      <c r="BB527" s="271"/>
      <c r="BC527" s="271"/>
      <c r="BD527" s="271"/>
      <c r="BE527" s="271"/>
      <c r="BF527" s="271"/>
      <c r="BG527" s="271"/>
      <c r="BH527" s="235">
        <f t="shared" si="205"/>
        <v>0</v>
      </c>
      <c r="BI527" s="271"/>
      <c r="BJ527" s="271"/>
      <c r="BK527" s="271"/>
      <c r="BL527" s="271"/>
      <c r="BM527" s="271">
        <v>48000000</v>
      </c>
      <c r="BN527" s="271"/>
      <c r="BO527" s="271"/>
      <c r="BP527" s="271"/>
      <c r="BQ527" s="271"/>
      <c r="BR527" s="271"/>
      <c r="BS527" s="271"/>
      <c r="BT527" s="271"/>
      <c r="BU527" s="271"/>
      <c r="BV527" s="271"/>
      <c r="BW527" s="271"/>
      <c r="BX527" s="235">
        <f t="shared" si="206"/>
        <v>48000000</v>
      </c>
      <c r="BY527" s="271"/>
      <c r="BZ527" s="271"/>
      <c r="CA527" s="271"/>
      <c r="CB527" s="271"/>
      <c r="CC527" s="271">
        <v>45000000</v>
      </c>
      <c r="CD527" s="271"/>
      <c r="CE527" s="271"/>
      <c r="CF527" s="271"/>
      <c r="CG527" s="271"/>
      <c r="CH527" s="271"/>
      <c r="CI527" s="271"/>
      <c r="CJ527" s="271"/>
      <c r="CK527" s="271"/>
      <c r="CL527" s="271"/>
      <c r="CM527" s="271"/>
      <c r="CN527" s="235">
        <f t="shared" si="207"/>
        <v>45000000</v>
      </c>
      <c r="CO527" s="271"/>
      <c r="CP527" s="271"/>
      <c r="CQ527" s="271"/>
      <c r="CR527" s="271"/>
      <c r="CS527" s="271">
        <v>111500000</v>
      </c>
      <c r="CT527" s="271"/>
      <c r="CU527" s="271"/>
      <c r="CV527" s="271"/>
      <c r="CW527" s="271"/>
      <c r="CX527" s="271"/>
      <c r="CY527" s="271"/>
      <c r="CZ527" s="271"/>
      <c r="DA527" s="271"/>
      <c r="DB527" s="271"/>
      <c r="DC527" s="271"/>
      <c r="DD527" s="234">
        <f t="shared" si="208"/>
        <v>111500000</v>
      </c>
      <c r="DE527" s="244">
        <f t="shared" si="209"/>
        <v>204500000</v>
      </c>
    </row>
    <row r="528" spans="1:109" s="99" customFormat="1" ht="128.1" customHeight="1">
      <c r="A528" s="103" t="s">
        <v>1241</v>
      </c>
      <c r="B528" s="279" t="s">
        <v>9</v>
      </c>
      <c r="C528" s="279" t="s">
        <v>1693</v>
      </c>
      <c r="D528" s="279">
        <v>42</v>
      </c>
      <c r="E528" s="279" t="s">
        <v>1451</v>
      </c>
      <c r="F528" s="280" t="s">
        <v>1452</v>
      </c>
      <c r="G528" s="279" t="s">
        <v>3489</v>
      </c>
      <c r="H528" s="279">
        <v>51</v>
      </c>
      <c r="I528" s="279" t="s">
        <v>429</v>
      </c>
      <c r="J528" s="279" t="s">
        <v>683</v>
      </c>
      <c r="K528" s="279">
        <v>54</v>
      </c>
      <c r="L528" s="279" t="s">
        <v>1461</v>
      </c>
      <c r="M528" s="279" t="s">
        <v>1462</v>
      </c>
      <c r="N528" s="279" t="s">
        <v>1463</v>
      </c>
      <c r="O528" s="279" t="s">
        <v>1464</v>
      </c>
      <c r="P528" s="283">
        <v>475</v>
      </c>
      <c r="Q528" s="279" t="s">
        <v>3481</v>
      </c>
      <c r="R528" s="279" t="s">
        <v>430</v>
      </c>
      <c r="S528" s="279" t="s">
        <v>683</v>
      </c>
      <c r="T528" s="279">
        <v>5</v>
      </c>
      <c r="U528" s="267">
        <v>2</v>
      </c>
      <c r="V528" s="267">
        <v>3</v>
      </c>
      <c r="W528" s="224">
        <v>5</v>
      </c>
      <c r="X528" s="267"/>
      <c r="Y528" s="267">
        <v>2</v>
      </c>
      <c r="Z528" s="267">
        <v>2</v>
      </c>
      <c r="AA528" s="267">
        <v>1</v>
      </c>
      <c r="AB528" s="224">
        <v>5</v>
      </c>
      <c r="AC528" s="267"/>
      <c r="AD528" s="267">
        <v>2</v>
      </c>
      <c r="AE528" s="267">
        <v>2</v>
      </c>
      <c r="AF528" s="267">
        <v>1</v>
      </c>
      <c r="AG528" s="224">
        <v>5</v>
      </c>
      <c r="AH528" s="267"/>
      <c r="AI528" s="267">
        <v>2</v>
      </c>
      <c r="AJ528" s="267">
        <v>2</v>
      </c>
      <c r="AK528" s="267">
        <v>1</v>
      </c>
      <c r="AL528" s="224">
        <v>5</v>
      </c>
      <c r="AM528" s="104">
        <v>5</v>
      </c>
      <c r="AN528" s="103" t="s">
        <v>686</v>
      </c>
      <c r="AO528" s="103" t="s">
        <v>619</v>
      </c>
      <c r="AP528" s="103" t="s">
        <v>1217</v>
      </c>
      <c r="AQ528" s="103" t="s">
        <v>1207</v>
      </c>
      <c r="AR528" s="103" t="s">
        <v>946</v>
      </c>
      <c r="AS528" s="271"/>
      <c r="AT528" s="271"/>
      <c r="AU528" s="271"/>
      <c r="AV528" s="271"/>
      <c r="AW528" s="271">
        <v>3000944</v>
      </c>
      <c r="AX528" s="271"/>
      <c r="AY528" s="271"/>
      <c r="AZ528" s="271"/>
      <c r="BA528" s="271"/>
      <c r="BB528" s="271"/>
      <c r="BC528" s="271"/>
      <c r="BD528" s="271"/>
      <c r="BE528" s="271"/>
      <c r="BF528" s="271"/>
      <c r="BG528" s="271"/>
      <c r="BH528" s="235">
        <f t="shared" si="205"/>
        <v>3000944</v>
      </c>
      <c r="BI528" s="271"/>
      <c r="BJ528" s="271"/>
      <c r="BK528" s="271"/>
      <c r="BL528" s="271"/>
      <c r="BM528" s="271">
        <v>36000000</v>
      </c>
      <c r="BN528" s="271"/>
      <c r="BO528" s="271"/>
      <c r="BP528" s="271"/>
      <c r="BQ528" s="271"/>
      <c r="BR528" s="271"/>
      <c r="BS528" s="271"/>
      <c r="BT528" s="271"/>
      <c r="BU528" s="271"/>
      <c r="BV528" s="271"/>
      <c r="BW528" s="271"/>
      <c r="BX528" s="235">
        <f t="shared" si="206"/>
        <v>36000000</v>
      </c>
      <c r="BY528" s="271"/>
      <c r="BZ528" s="271"/>
      <c r="CA528" s="271"/>
      <c r="CB528" s="271"/>
      <c r="CC528" s="271">
        <v>40000000</v>
      </c>
      <c r="CD528" s="271"/>
      <c r="CE528" s="271"/>
      <c r="CF528" s="271"/>
      <c r="CG528" s="271"/>
      <c r="CH528" s="271"/>
      <c r="CI528" s="271"/>
      <c r="CJ528" s="271"/>
      <c r="CK528" s="271"/>
      <c r="CL528" s="271"/>
      <c r="CM528" s="271"/>
      <c r="CN528" s="235">
        <f t="shared" si="207"/>
        <v>40000000</v>
      </c>
      <c r="CO528" s="271"/>
      <c r="CP528" s="271"/>
      <c r="CQ528" s="271"/>
      <c r="CR528" s="271"/>
      <c r="CS528" s="271">
        <v>42000000</v>
      </c>
      <c r="CT528" s="271"/>
      <c r="CU528" s="271"/>
      <c r="CV528" s="271"/>
      <c r="CW528" s="271"/>
      <c r="CX528" s="271"/>
      <c r="CY528" s="271"/>
      <c r="CZ528" s="271"/>
      <c r="DA528" s="271"/>
      <c r="DB528" s="271"/>
      <c r="DC528" s="271"/>
      <c r="DD528" s="234">
        <f t="shared" si="208"/>
        <v>42000000</v>
      </c>
      <c r="DE528" s="244">
        <f t="shared" si="209"/>
        <v>121000944</v>
      </c>
    </row>
    <row r="529" spans="1:109" s="99" customFormat="1" ht="128.1" customHeight="1">
      <c r="A529" s="103" t="s">
        <v>1241</v>
      </c>
      <c r="B529" s="279" t="s">
        <v>9</v>
      </c>
      <c r="C529" s="279" t="s">
        <v>1693</v>
      </c>
      <c r="D529" s="279">
        <v>42</v>
      </c>
      <c r="E529" s="279" t="s">
        <v>1451</v>
      </c>
      <c r="F529" s="280" t="s">
        <v>1452</v>
      </c>
      <c r="G529" s="279" t="s">
        <v>3489</v>
      </c>
      <c r="H529" s="279">
        <v>51</v>
      </c>
      <c r="I529" s="279" t="s">
        <v>429</v>
      </c>
      <c r="J529" s="279" t="s">
        <v>683</v>
      </c>
      <c r="K529" s="279">
        <v>54</v>
      </c>
      <c r="L529" s="279" t="s">
        <v>1461</v>
      </c>
      <c r="M529" s="279" t="s">
        <v>1462</v>
      </c>
      <c r="N529" s="279" t="s">
        <v>1463</v>
      </c>
      <c r="O529" s="279" t="s">
        <v>1464</v>
      </c>
      <c r="P529" s="283">
        <v>476</v>
      </c>
      <c r="Q529" s="279" t="s">
        <v>3482</v>
      </c>
      <c r="R529" s="279" t="s">
        <v>430</v>
      </c>
      <c r="S529" s="279" t="s">
        <v>683</v>
      </c>
      <c r="T529" s="279">
        <v>5</v>
      </c>
      <c r="U529" s="267"/>
      <c r="V529" s="267"/>
      <c r="W529" s="224">
        <v>0</v>
      </c>
      <c r="X529" s="267"/>
      <c r="Y529" s="267"/>
      <c r="Z529" s="267"/>
      <c r="AA529" s="267">
        <v>1</v>
      </c>
      <c r="AB529" s="224">
        <v>1</v>
      </c>
      <c r="AC529" s="267"/>
      <c r="AD529" s="267"/>
      <c r="AE529" s="267"/>
      <c r="AF529" s="267">
        <v>1</v>
      </c>
      <c r="AG529" s="224">
        <v>1</v>
      </c>
      <c r="AH529" s="267"/>
      <c r="AI529" s="267"/>
      <c r="AJ529" s="267"/>
      <c r="AK529" s="267">
        <v>1</v>
      </c>
      <c r="AL529" s="224">
        <v>1</v>
      </c>
      <c r="AM529" s="104">
        <v>3</v>
      </c>
      <c r="AN529" s="103" t="s">
        <v>685</v>
      </c>
      <c r="AO529" s="103" t="s">
        <v>619</v>
      </c>
      <c r="AP529" s="103" t="s">
        <v>1217</v>
      </c>
      <c r="AQ529" s="103" t="s">
        <v>1207</v>
      </c>
      <c r="AR529" s="103" t="s">
        <v>946</v>
      </c>
      <c r="AS529" s="271"/>
      <c r="AT529" s="271"/>
      <c r="AU529" s="271"/>
      <c r="AV529" s="271"/>
      <c r="AW529" s="271"/>
      <c r="AX529" s="271"/>
      <c r="AY529" s="271"/>
      <c r="AZ529" s="271"/>
      <c r="BA529" s="271"/>
      <c r="BB529" s="271"/>
      <c r="BC529" s="271"/>
      <c r="BD529" s="271"/>
      <c r="BE529" s="271"/>
      <c r="BF529" s="271"/>
      <c r="BG529" s="271"/>
      <c r="BH529" s="235">
        <f t="shared" si="205"/>
        <v>0</v>
      </c>
      <c r="BI529" s="271"/>
      <c r="BJ529" s="271"/>
      <c r="BK529" s="271"/>
      <c r="BL529" s="271"/>
      <c r="BM529" s="271">
        <v>60000000</v>
      </c>
      <c r="BN529" s="271"/>
      <c r="BO529" s="271"/>
      <c r="BP529" s="271"/>
      <c r="BQ529" s="271"/>
      <c r="BR529" s="271"/>
      <c r="BS529" s="271"/>
      <c r="BT529" s="271"/>
      <c r="BU529" s="271"/>
      <c r="BV529" s="271"/>
      <c r="BW529" s="271"/>
      <c r="BX529" s="235">
        <f t="shared" si="206"/>
        <v>60000000</v>
      </c>
      <c r="BY529" s="271"/>
      <c r="BZ529" s="271"/>
      <c r="CA529" s="271"/>
      <c r="CB529" s="271"/>
      <c r="CC529" s="271">
        <v>30000000</v>
      </c>
      <c r="CD529" s="271"/>
      <c r="CE529" s="271"/>
      <c r="CF529" s="271"/>
      <c r="CG529" s="271"/>
      <c r="CH529" s="271"/>
      <c r="CI529" s="271"/>
      <c r="CJ529" s="271"/>
      <c r="CK529" s="271"/>
      <c r="CL529" s="271"/>
      <c r="CM529" s="271"/>
      <c r="CN529" s="235">
        <f t="shared" si="207"/>
        <v>30000000</v>
      </c>
      <c r="CO529" s="271"/>
      <c r="CP529" s="271"/>
      <c r="CQ529" s="271"/>
      <c r="CR529" s="271"/>
      <c r="CS529" s="271">
        <v>311500000</v>
      </c>
      <c r="CT529" s="271"/>
      <c r="CU529" s="271"/>
      <c r="CV529" s="271"/>
      <c r="CW529" s="271"/>
      <c r="CX529" s="271"/>
      <c r="CY529" s="271"/>
      <c r="CZ529" s="271"/>
      <c r="DA529" s="271"/>
      <c r="DB529" s="271"/>
      <c r="DC529" s="271"/>
      <c r="DD529" s="234">
        <f t="shared" si="208"/>
        <v>311500000</v>
      </c>
      <c r="DE529" s="244">
        <f t="shared" si="209"/>
        <v>401500000</v>
      </c>
    </row>
    <row r="530" spans="1:109" s="99" customFormat="1" ht="128.1" customHeight="1">
      <c r="A530" s="103" t="s">
        <v>1241</v>
      </c>
      <c r="B530" s="279" t="s">
        <v>9</v>
      </c>
      <c r="C530" s="279" t="s">
        <v>1693</v>
      </c>
      <c r="D530" s="279">
        <v>42</v>
      </c>
      <c r="E530" s="279" t="s">
        <v>1451</v>
      </c>
      <c r="F530" s="280" t="s">
        <v>1452</v>
      </c>
      <c r="G530" s="279" t="s">
        <v>3489</v>
      </c>
      <c r="H530" s="279">
        <v>51</v>
      </c>
      <c r="I530" s="279" t="s">
        <v>429</v>
      </c>
      <c r="J530" s="279" t="s">
        <v>683</v>
      </c>
      <c r="K530" s="279">
        <v>54</v>
      </c>
      <c r="L530" s="279" t="s">
        <v>1461</v>
      </c>
      <c r="M530" s="279" t="s">
        <v>1462</v>
      </c>
      <c r="N530" s="279" t="s">
        <v>1463</v>
      </c>
      <c r="O530" s="279" t="s">
        <v>1464</v>
      </c>
      <c r="P530" s="283">
        <v>477</v>
      </c>
      <c r="Q530" s="279" t="s">
        <v>3483</v>
      </c>
      <c r="R530" s="279" t="s">
        <v>1465</v>
      </c>
      <c r="S530" s="279" t="s">
        <v>683</v>
      </c>
      <c r="T530" s="279">
        <v>4</v>
      </c>
      <c r="U530" s="267"/>
      <c r="V530" s="267">
        <v>4</v>
      </c>
      <c r="W530" s="224">
        <v>4</v>
      </c>
      <c r="X530" s="267"/>
      <c r="Y530" s="267"/>
      <c r="Z530" s="267">
        <v>2</v>
      </c>
      <c r="AA530" s="267">
        <v>2</v>
      </c>
      <c r="AB530" s="224">
        <v>4</v>
      </c>
      <c r="AC530" s="267"/>
      <c r="AD530" s="267"/>
      <c r="AE530" s="267">
        <v>2</v>
      </c>
      <c r="AF530" s="267">
        <v>2</v>
      </c>
      <c r="AG530" s="224">
        <v>4</v>
      </c>
      <c r="AH530" s="267"/>
      <c r="AI530" s="267"/>
      <c r="AJ530" s="267">
        <v>2</v>
      </c>
      <c r="AK530" s="267">
        <v>2</v>
      </c>
      <c r="AL530" s="224">
        <v>4</v>
      </c>
      <c r="AM530" s="104">
        <v>4</v>
      </c>
      <c r="AN530" s="103" t="s">
        <v>686</v>
      </c>
      <c r="AO530" s="103" t="s">
        <v>619</v>
      </c>
      <c r="AP530" s="103" t="s">
        <v>1217</v>
      </c>
      <c r="AQ530" s="103" t="s">
        <v>1207</v>
      </c>
      <c r="AR530" s="103" t="s">
        <v>946</v>
      </c>
      <c r="AS530" s="271"/>
      <c r="AT530" s="271"/>
      <c r="AU530" s="271"/>
      <c r="AV530" s="271"/>
      <c r="AW530" s="271">
        <v>3000000</v>
      </c>
      <c r="AX530" s="271"/>
      <c r="AY530" s="271"/>
      <c r="AZ530" s="271"/>
      <c r="BA530" s="271"/>
      <c r="BB530" s="271"/>
      <c r="BC530" s="271"/>
      <c r="BD530" s="271"/>
      <c r="BE530" s="271"/>
      <c r="BF530" s="271"/>
      <c r="BG530" s="271"/>
      <c r="BH530" s="235">
        <f t="shared" si="205"/>
        <v>3000000</v>
      </c>
      <c r="BI530" s="271"/>
      <c r="BJ530" s="271"/>
      <c r="BK530" s="271"/>
      <c r="BL530" s="271"/>
      <c r="BM530" s="271">
        <v>28000000</v>
      </c>
      <c r="BN530" s="271"/>
      <c r="BO530" s="271"/>
      <c r="BP530" s="271"/>
      <c r="BQ530" s="271"/>
      <c r="BR530" s="271"/>
      <c r="BS530" s="271"/>
      <c r="BT530" s="271"/>
      <c r="BU530" s="271"/>
      <c r="BV530" s="271"/>
      <c r="BW530" s="271"/>
      <c r="BX530" s="235">
        <f t="shared" si="206"/>
        <v>28000000</v>
      </c>
      <c r="BY530" s="271"/>
      <c r="BZ530" s="271"/>
      <c r="CA530" s="271"/>
      <c r="CB530" s="271"/>
      <c r="CC530" s="271">
        <v>30000000</v>
      </c>
      <c r="CD530" s="271"/>
      <c r="CE530" s="271"/>
      <c r="CF530" s="271"/>
      <c r="CG530" s="271"/>
      <c r="CH530" s="271"/>
      <c r="CI530" s="271"/>
      <c r="CJ530" s="271"/>
      <c r="CK530" s="271"/>
      <c r="CL530" s="271"/>
      <c r="CM530" s="271"/>
      <c r="CN530" s="235">
        <f t="shared" si="207"/>
        <v>30000000</v>
      </c>
      <c r="CO530" s="271"/>
      <c r="CP530" s="271"/>
      <c r="CQ530" s="271"/>
      <c r="CR530" s="271"/>
      <c r="CS530" s="271">
        <v>31500000</v>
      </c>
      <c r="CT530" s="271"/>
      <c r="CU530" s="271"/>
      <c r="CV530" s="271"/>
      <c r="CW530" s="271"/>
      <c r="CX530" s="271"/>
      <c r="CY530" s="271"/>
      <c r="CZ530" s="271"/>
      <c r="DA530" s="271"/>
      <c r="DB530" s="271"/>
      <c r="DC530" s="271"/>
      <c r="DD530" s="234">
        <f t="shared" si="208"/>
        <v>31500000</v>
      </c>
      <c r="DE530" s="244">
        <f t="shared" si="209"/>
        <v>92500000</v>
      </c>
    </row>
    <row r="531" spans="1:109" s="99" customFormat="1" ht="128.1" customHeight="1">
      <c r="A531" s="103" t="s">
        <v>1241</v>
      </c>
      <c r="B531" s="279" t="s">
        <v>9</v>
      </c>
      <c r="C531" s="279" t="s">
        <v>1693</v>
      </c>
      <c r="D531" s="279">
        <v>42</v>
      </c>
      <c r="E531" s="279" t="s">
        <v>1451</v>
      </c>
      <c r="F531" s="280" t="s">
        <v>1452</v>
      </c>
      <c r="G531" s="279" t="s">
        <v>3489</v>
      </c>
      <c r="H531" s="279">
        <v>51</v>
      </c>
      <c r="I531" s="279" t="s">
        <v>429</v>
      </c>
      <c r="J531" s="279" t="s">
        <v>683</v>
      </c>
      <c r="K531" s="279">
        <v>54</v>
      </c>
      <c r="L531" s="279" t="s">
        <v>1461</v>
      </c>
      <c r="M531" s="279" t="s">
        <v>1462</v>
      </c>
      <c r="N531" s="279" t="s">
        <v>1463</v>
      </c>
      <c r="O531" s="279" t="s">
        <v>1464</v>
      </c>
      <c r="P531" s="283">
        <v>478</v>
      </c>
      <c r="Q531" s="279" t="s">
        <v>3217</v>
      </c>
      <c r="R531" s="279" t="s">
        <v>1465</v>
      </c>
      <c r="S531" s="279" t="s">
        <v>683</v>
      </c>
      <c r="T531" s="279">
        <v>4</v>
      </c>
      <c r="U531" s="267"/>
      <c r="V531" s="267"/>
      <c r="W531" s="224">
        <v>0</v>
      </c>
      <c r="X531" s="267"/>
      <c r="Y531" s="267"/>
      <c r="Z531" s="267"/>
      <c r="AA531" s="267">
        <v>1</v>
      </c>
      <c r="AB531" s="224">
        <v>1</v>
      </c>
      <c r="AC531" s="267"/>
      <c r="AD531" s="267"/>
      <c r="AE531" s="267">
        <v>1</v>
      </c>
      <c r="AF531" s="267">
        <v>1</v>
      </c>
      <c r="AG531" s="224">
        <v>2</v>
      </c>
      <c r="AH531" s="267"/>
      <c r="AI531" s="267"/>
      <c r="AJ531" s="267"/>
      <c r="AK531" s="267">
        <v>1</v>
      </c>
      <c r="AL531" s="224">
        <v>1</v>
      </c>
      <c r="AM531" s="104">
        <v>4</v>
      </c>
      <c r="AN531" s="103" t="s">
        <v>685</v>
      </c>
      <c r="AO531" s="103" t="s">
        <v>619</v>
      </c>
      <c r="AP531" s="103" t="s">
        <v>1217</v>
      </c>
      <c r="AQ531" s="103" t="s">
        <v>1207</v>
      </c>
      <c r="AR531" s="103" t="s">
        <v>946</v>
      </c>
      <c r="AS531" s="271"/>
      <c r="AT531" s="271"/>
      <c r="AU531" s="271"/>
      <c r="AV531" s="271"/>
      <c r="AW531" s="271"/>
      <c r="AX531" s="271"/>
      <c r="AY531" s="271"/>
      <c r="AZ531" s="271"/>
      <c r="BA531" s="271"/>
      <c r="BB531" s="271"/>
      <c r="BC531" s="271"/>
      <c r="BD531" s="271"/>
      <c r="BE531" s="271"/>
      <c r="BF531" s="271"/>
      <c r="BG531" s="271"/>
      <c r="BH531" s="235">
        <f t="shared" si="205"/>
        <v>0</v>
      </c>
      <c r="BI531" s="271"/>
      <c r="BJ531" s="271"/>
      <c r="BK531" s="271"/>
      <c r="BL531" s="271"/>
      <c r="BM531" s="271">
        <v>28000000</v>
      </c>
      <c r="BN531" s="271"/>
      <c r="BO531" s="271"/>
      <c r="BP531" s="271"/>
      <c r="BQ531" s="271"/>
      <c r="BR531" s="271"/>
      <c r="BS531" s="271"/>
      <c r="BT531" s="271"/>
      <c r="BU531" s="271"/>
      <c r="BV531" s="271"/>
      <c r="BW531" s="271"/>
      <c r="BX531" s="235">
        <f t="shared" si="206"/>
        <v>28000000</v>
      </c>
      <c r="BY531" s="271"/>
      <c r="BZ531" s="271"/>
      <c r="CA531" s="271"/>
      <c r="CB531" s="271"/>
      <c r="CC531" s="271">
        <v>30000000</v>
      </c>
      <c r="CD531" s="271"/>
      <c r="CE531" s="271"/>
      <c r="CF531" s="271"/>
      <c r="CG531" s="271"/>
      <c r="CH531" s="271"/>
      <c r="CI531" s="271"/>
      <c r="CJ531" s="271"/>
      <c r="CK531" s="271"/>
      <c r="CL531" s="271"/>
      <c r="CM531" s="271"/>
      <c r="CN531" s="235">
        <f t="shared" si="207"/>
        <v>30000000</v>
      </c>
      <c r="CO531" s="271"/>
      <c r="CP531" s="271"/>
      <c r="CQ531" s="271"/>
      <c r="CR531" s="271"/>
      <c r="CS531" s="271">
        <v>111500000</v>
      </c>
      <c r="CT531" s="271"/>
      <c r="CU531" s="271"/>
      <c r="CV531" s="271"/>
      <c r="CW531" s="271"/>
      <c r="CX531" s="271"/>
      <c r="CY531" s="271"/>
      <c r="CZ531" s="271"/>
      <c r="DA531" s="271"/>
      <c r="DB531" s="271"/>
      <c r="DC531" s="271"/>
      <c r="DD531" s="234">
        <f t="shared" si="208"/>
        <v>111500000</v>
      </c>
      <c r="DE531" s="244">
        <f t="shared" ref="DE531:DE535" si="210">SUM(DD531+CN531+BX531+BH531)</f>
        <v>169500000</v>
      </c>
    </row>
    <row r="532" spans="1:109" s="99" customFormat="1" ht="128.1" customHeight="1">
      <c r="A532" s="103" t="s">
        <v>1241</v>
      </c>
      <c r="B532" s="279" t="s">
        <v>9</v>
      </c>
      <c r="C532" s="279" t="s">
        <v>1693</v>
      </c>
      <c r="D532" s="279">
        <v>42</v>
      </c>
      <c r="E532" s="279" t="s">
        <v>1451</v>
      </c>
      <c r="F532" s="280" t="s">
        <v>1452</v>
      </c>
      <c r="G532" s="279" t="s">
        <v>3489</v>
      </c>
      <c r="H532" s="279">
        <v>51</v>
      </c>
      <c r="I532" s="279" t="s">
        <v>429</v>
      </c>
      <c r="J532" s="279" t="s">
        <v>683</v>
      </c>
      <c r="K532" s="279">
        <v>54</v>
      </c>
      <c r="L532" s="279" t="s">
        <v>1461</v>
      </c>
      <c r="M532" s="279" t="s">
        <v>1462</v>
      </c>
      <c r="N532" s="279" t="s">
        <v>1463</v>
      </c>
      <c r="O532" s="279" t="s">
        <v>1464</v>
      </c>
      <c r="P532" s="283">
        <v>479</v>
      </c>
      <c r="Q532" s="279" t="s">
        <v>3484</v>
      </c>
      <c r="R532" s="279" t="s">
        <v>1466</v>
      </c>
      <c r="S532" s="279" t="s">
        <v>683</v>
      </c>
      <c r="T532" s="279">
        <v>15</v>
      </c>
      <c r="U532" s="267"/>
      <c r="V532" s="267"/>
      <c r="W532" s="224">
        <v>0</v>
      </c>
      <c r="X532" s="267"/>
      <c r="Y532" s="267"/>
      <c r="Z532" s="267">
        <v>1</v>
      </c>
      <c r="AA532" s="267">
        <v>1</v>
      </c>
      <c r="AB532" s="224">
        <v>2</v>
      </c>
      <c r="AC532" s="267"/>
      <c r="AD532" s="267"/>
      <c r="AE532" s="267">
        <v>1</v>
      </c>
      <c r="AF532" s="267">
        <v>1</v>
      </c>
      <c r="AG532" s="224">
        <v>2</v>
      </c>
      <c r="AH532" s="267"/>
      <c r="AI532" s="267"/>
      <c r="AJ532" s="267">
        <v>1</v>
      </c>
      <c r="AK532" s="267">
        <v>1</v>
      </c>
      <c r="AL532" s="224">
        <v>2</v>
      </c>
      <c r="AM532" s="104">
        <v>6</v>
      </c>
      <c r="AN532" s="103" t="s">
        <v>685</v>
      </c>
      <c r="AO532" s="103" t="s">
        <v>619</v>
      </c>
      <c r="AP532" s="103" t="s">
        <v>1217</v>
      </c>
      <c r="AQ532" s="103" t="s">
        <v>1207</v>
      </c>
      <c r="AR532" s="103" t="s">
        <v>946</v>
      </c>
      <c r="AS532" s="271"/>
      <c r="AT532" s="271"/>
      <c r="AU532" s="271"/>
      <c r="AV532" s="271"/>
      <c r="AW532" s="271"/>
      <c r="AX532" s="271"/>
      <c r="AY532" s="271"/>
      <c r="AZ532" s="271"/>
      <c r="BA532" s="271"/>
      <c r="BB532" s="271"/>
      <c r="BC532" s="271"/>
      <c r="BD532" s="271"/>
      <c r="BE532" s="271"/>
      <c r="BF532" s="271"/>
      <c r="BG532" s="271"/>
      <c r="BH532" s="235">
        <f t="shared" si="205"/>
        <v>0</v>
      </c>
      <c r="BI532" s="271"/>
      <c r="BJ532" s="271">
        <v>60000000000</v>
      </c>
      <c r="BK532" s="271"/>
      <c r="BL532" s="271"/>
      <c r="BM532" s="271">
        <v>274000000</v>
      </c>
      <c r="BN532" s="271"/>
      <c r="BO532" s="271"/>
      <c r="BP532" s="271"/>
      <c r="BQ532" s="271"/>
      <c r="BR532" s="271"/>
      <c r="BS532" s="271"/>
      <c r="BT532" s="271"/>
      <c r="BU532" s="271"/>
      <c r="BV532" s="271"/>
      <c r="BW532" s="271"/>
      <c r="BX532" s="235">
        <f t="shared" si="206"/>
        <v>60274000000</v>
      </c>
      <c r="BY532" s="271"/>
      <c r="BZ532" s="271"/>
      <c r="CA532" s="271"/>
      <c r="CB532" s="271"/>
      <c r="CC532" s="271">
        <v>215000000</v>
      </c>
      <c r="CD532" s="271"/>
      <c r="CE532" s="271"/>
      <c r="CF532" s="271"/>
      <c r="CG532" s="271"/>
      <c r="CH532" s="271"/>
      <c r="CI532" s="271"/>
      <c r="CJ532" s="271"/>
      <c r="CK532" s="271"/>
      <c r="CL532" s="271"/>
      <c r="CM532" s="271"/>
      <c r="CN532" s="235">
        <f t="shared" si="207"/>
        <v>215000000</v>
      </c>
      <c r="CO532" s="271"/>
      <c r="CP532" s="271"/>
      <c r="CQ532" s="271"/>
      <c r="CR532" s="271"/>
      <c r="CS532" s="271">
        <v>1093500000</v>
      </c>
      <c r="CT532" s="271"/>
      <c r="CU532" s="271"/>
      <c r="CV532" s="271"/>
      <c r="CW532" s="271"/>
      <c r="CX532" s="271"/>
      <c r="CY532" s="271"/>
      <c r="CZ532" s="271"/>
      <c r="DA532" s="271"/>
      <c r="DB532" s="271"/>
      <c r="DC532" s="271"/>
      <c r="DD532" s="234">
        <f t="shared" si="208"/>
        <v>1093500000</v>
      </c>
      <c r="DE532" s="244">
        <f t="shared" si="210"/>
        <v>61582500000</v>
      </c>
    </row>
    <row r="533" spans="1:109" s="99" customFormat="1" ht="128.1" customHeight="1">
      <c r="A533" s="103" t="s">
        <v>1241</v>
      </c>
      <c r="B533" s="279" t="s">
        <v>9</v>
      </c>
      <c r="C533" s="279" t="s">
        <v>1693</v>
      </c>
      <c r="D533" s="279">
        <v>42</v>
      </c>
      <c r="E533" s="279" t="s">
        <v>1451</v>
      </c>
      <c r="F533" s="280" t="s">
        <v>1452</v>
      </c>
      <c r="G533" s="279" t="s">
        <v>3489</v>
      </c>
      <c r="H533" s="279">
        <v>51</v>
      </c>
      <c r="I533" s="279" t="s">
        <v>429</v>
      </c>
      <c r="J533" s="279" t="s">
        <v>683</v>
      </c>
      <c r="K533" s="279">
        <v>54</v>
      </c>
      <c r="L533" s="279" t="s">
        <v>1461</v>
      </c>
      <c r="M533" s="279" t="s">
        <v>1462</v>
      </c>
      <c r="N533" s="279" t="s">
        <v>1463</v>
      </c>
      <c r="O533" s="279" t="s">
        <v>1464</v>
      </c>
      <c r="P533" s="283">
        <v>480</v>
      </c>
      <c r="Q533" s="279" t="s">
        <v>3485</v>
      </c>
      <c r="R533" s="279" t="s">
        <v>431</v>
      </c>
      <c r="S533" s="279" t="s">
        <v>683</v>
      </c>
      <c r="T533" s="279">
        <v>37</v>
      </c>
      <c r="U533" s="267"/>
      <c r="V533" s="267"/>
      <c r="W533" s="224">
        <v>0</v>
      </c>
      <c r="X533" s="267"/>
      <c r="Y533" s="267"/>
      <c r="Z533" s="267">
        <v>2</v>
      </c>
      <c r="AA533" s="267">
        <v>2</v>
      </c>
      <c r="AB533" s="224">
        <v>4</v>
      </c>
      <c r="AC533" s="267"/>
      <c r="AD533" s="267"/>
      <c r="AE533" s="267">
        <v>2</v>
      </c>
      <c r="AF533" s="267">
        <v>2</v>
      </c>
      <c r="AG533" s="224">
        <v>4</v>
      </c>
      <c r="AH533" s="267"/>
      <c r="AI533" s="267"/>
      <c r="AJ533" s="267">
        <v>1</v>
      </c>
      <c r="AK533" s="267">
        <v>1</v>
      </c>
      <c r="AL533" s="224">
        <v>2</v>
      </c>
      <c r="AM533" s="104">
        <v>10</v>
      </c>
      <c r="AN533" s="103" t="s">
        <v>685</v>
      </c>
      <c r="AO533" s="103" t="s">
        <v>619</v>
      </c>
      <c r="AP533" s="103" t="s">
        <v>1217</v>
      </c>
      <c r="AQ533" s="103" t="s">
        <v>1207</v>
      </c>
      <c r="AR533" s="103" t="s">
        <v>946</v>
      </c>
      <c r="AS533" s="271"/>
      <c r="AT533" s="271"/>
      <c r="AU533" s="271"/>
      <c r="AV533" s="271"/>
      <c r="AW533" s="271"/>
      <c r="AX533" s="271"/>
      <c r="AY533" s="271"/>
      <c r="AZ533" s="271"/>
      <c r="BA533" s="271"/>
      <c r="BB533" s="271"/>
      <c r="BC533" s="271"/>
      <c r="BD533" s="271"/>
      <c r="BE533" s="271"/>
      <c r="BF533" s="271"/>
      <c r="BG533" s="271"/>
      <c r="BH533" s="235">
        <f t="shared" si="205"/>
        <v>0</v>
      </c>
      <c r="BI533" s="271"/>
      <c r="BJ533" s="271"/>
      <c r="BK533" s="271"/>
      <c r="BL533" s="271"/>
      <c r="BM533" s="271">
        <v>120000000</v>
      </c>
      <c r="BN533" s="271"/>
      <c r="BO533" s="271"/>
      <c r="BP533" s="271"/>
      <c r="BQ533" s="271"/>
      <c r="BR533" s="271"/>
      <c r="BS533" s="271"/>
      <c r="BT533" s="271"/>
      <c r="BU533" s="271"/>
      <c r="BV533" s="271"/>
      <c r="BW533" s="271"/>
      <c r="BX533" s="235">
        <f t="shared" si="206"/>
        <v>120000000</v>
      </c>
      <c r="BY533" s="271"/>
      <c r="BZ533" s="271"/>
      <c r="CA533" s="271"/>
      <c r="CB533" s="271"/>
      <c r="CC533" s="271">
        <v>80000000</v>
      </c>
      <c r="CD533" s="271"/>
      <c r="CE533" s="271"/>
      <c r="CF533" s="271"/>
      <c r="CG533" s="271"/>
      <c r="CH533" s="271"/>
      <c r="CI533" s="271"/>
      <c r="CJ533" s="271"/>
      <c r="CK533" s="271"/>
      <c r="CL533" s="271"/>
      <c r="CM533" s="271"/>
      <c r="CN533" s="235">
        <f t="shared" si="207"/>
        <v>80000000</v>
      </c>
      <c r="CO533" s="271"/>
      <c r="CP533" s="271"/>
      <c r="CQ533" s="271"/>
      <c r="CR533" s="271"/>
      <c r="CS533" s="271">
        <v>311500000</v>
      </c>
      <c r="CT533" s="271"/>
      <c r="CU533" s="271"/>
      <c r="CV533" s="271"/>
      <c r="CW533" s="271"/>
      <c r="CX533" s="271"/>
      <c r="CY533" s="271"/>
      <c r="CZ533" s="271"/>
      <c r="DA533" s="271"/>
      <c r="DB533" s="271"/>
      <c r="DC533" s="271"/>
      <c r="DD533" s="234">
        <f t="shared" si="208"/>
        <v>311500000</v>
      </c>
      <c r="DE533" s="244">
        <f t="shared" si="210"/>
        <v>511500000</v>
      </c>
    </row>
    <row r="534" spans="1:109" s="99" customFormat="1" ht="128.1" customHeight="1">
      <c r="A534" s="103" t="s">
        <v>1241</v>
      </c>
      <c r="B534" s="279" t="s">
        <v>9</v>
      </c>
      <c r="C534" s="279" t="s">
        <v>1693</v>
      </c>
      <c r="D534" s="279">
        <v>42</v>
      </c>
      <c r="E534" s="279" t="s">
        <v>1451</v>
      </c>
      <c r="F534" s="280" t="s">
        <v>1452</v>
      </c>
      <c r="G534" s="279" t="s">
        <v>3489</v>
      </c>
      <c r="H534" s="279">
        <v>51</v>
      </c>
      <c r="I534" s="279" t="s">
        <v>429</v>
      </c>
      <c r="J534" s="279" t="s">
        <v>683</v>
      </c>
      <c r="K534" s="279">
        <v>54</v>
      </c>
      <c r="L534" s="279" t="s">
        <v>1461</v>
      </c>
      <c r="M534" s="279" t="s">
        <v>1462</v>
      </c>
      <c r="N534" s="279" t="s">
        <v>1463</v>
      </c>
      <c r="O534" s="279" t="s">
        <v>1464</v>
      </c>
      <c r="P534" s="283">
        <v>481</v>
      </c>
      <c r="Q534" s="279" t="s">
        <v>3486</v>
      </c>
      <c r="R534" s="279" t="s">
        <v>1467</v>
      </c>
      <c r="S534" s="279" t="s">
        <v>683</v>
      </c>
      <c r="T534" s="279">
        <v>2</v>
      </c>
      <c r="U534" s="267"/>
      <c r="V534" s="267"/>
      <c r="W534" s="224">
        <v>0</v>
      </c>
      <c r="X534" s="267"/>
      <c r="Y534" s="267"/>
      <c r="Z534" s="267">
        <v>0.5</v>
      </c>
      <c r="AA534" s="267">
        <v>0.5</v>
      </c>
      <c r="AB534" s="224">
        <v>1</v>
      </c>
      <c r="AC534" s="267"/>
      <c r="AD534" s="267"/>
      <c r="AE534" s="267">
        <v>0.5</v>
      </c>
      <c r="AF534" s="267"/>
      <c r="AG534" s="224">
        <v>0.5</v>
      </c>
      <c r="AH534" s="267"/>
      <c r="AI534" s="267">
        <v>0.5</v>
      </c>
      <c r="AJ534" s="267"/>
      <c r="AK534" s="267"/>
      <c r="AL534" s="224">
        <v>0.5</v>
      </c>
      <c r="AM534" s="104">
        <v>2</v>
      </c>
      <c r="AN534" s="103" t="s">
        <v>685</v>
      </c>
      <c r="AO534" s="103" t="s">
        <v>619</v>
      </c>
      <c r="AP534" s="103" t="s">
        <v>1217</v>
      </c>
      <c r="AQ534" s="103" t="s">
        <v>1207</v>
      </c>
      <c r="AR534" s="103" t="s">
        <v>946</v>
      </c>
      <c r="AS534" s="271"/>
      <c r="AT534" s="271"/>
      <c r="AU534" s="271"/>
      <c r="AV534" s="271"/>
      <c r="AW534" s="271"/>
      <c r="AX534" s="271"/>
      <c r="AY534" s="271"/>
      <c r="AZ534" s="271"/>
      <c r="BA534" s="271"/>
      <c r="BB534" s="271"/>
      <c r="BC534" s="271"/>
      <c r="BD534" s="271"/>
      <c r="BE534" s="271"/>
      <c r="BF534" s="271"/>
      <c r="BG534" s="271"/>
      <c r="BH534" s="235">
        <f t="shared" si="205"/>
        <v>0</v>
      </c>
      <c r="BI534" s="271"/>
      <c r="BJ534" s="271"/>
      <c r="BK534" s="271"/>
      <c r="BL534" s="271"/>
      <c r="BM534" s="271">
        <v>61000000</v>
      </c>
      <c r="BN534" s="271"/>
      <c r="BO534" s="271"/>
      <c r="BP534" s="271"/>
      <c r="BQ534" s="271"/>
      <c r="BR534" s="271"/>
      <c r="BS534" s="271"/>
      <c r="BT534" s="271"/>
      <c r="BU534" s="271"/>
      <c r="BV534" s="271"/>
      <c r="BW534" s="271"/>
      <c r="BX534" s="235">
        <f t="shared" si="206"/>
        <v>61000000</v>
      </c>
      <c r="BY534" s="271"/>
      <c r="BZ534" s="271"/>
      <c r="CA534" s="271"/>
      <c r="CB534" s="271"/>
      <c r="CC534" s="271">
        <v>30000000</v>
      </c>
      <c r="CD534" s="271"/>
      <c r="CE534" s="271"/>
      <c r="CF534" s="271"/>
      <c r="CG534" s="271"/>
      <c r="CH534" s="271"/>
      <c r="CI534" s="271"/>
      <c r="CJ534" s="271"/>
      <c r="CK534" s="271"/>
      <c r="CL534" s="271"/>
      <c r="CM534" s="271"/>
      <c r="CN534" s="235">
        <f t="shared" si="207"/>
        <v>30000000</v>
      </c>
      <c r="CO534" s="271"/>
      <c r="CP534" s="271"/>
      <c r="CQ534" s="271"/>
      <c r="CR534" s="271"/>
      <c r="CS534" s="271">
        <v>131500000</v>
      </c>
      <c r="CT534" s="271"/>
      <c r="CU534" s="271"/>
      <c r="CV534" s="271"/>
      <c r="CW534" s="271"/>
      <c r="CX534" s="271"/>
      <c r="CY534" s="271"/>
      <c r="CZ534" s="271"/>
      <c r="DA534" s="271"/>
      <c r="DB534" s="271"/>
      <c r="DC534" s="271"/>
      <c r="DD534" s="234">
        <f t="shared" si="208"/>
        <v>131500000</v>
      </c>
      <c r="DE534" s="244">
        <f t="shared" si="210"/>
        <v>222500000</v>
      </c>
    </row>
    <row r="535" spans="1:109" s="99" customFormat="1" ht="128.1" customHeight="1">
      <c r="A535" s="120" t="s">
        <v>1241</v>
      </c>
      <c r="B535" s="281" t="s">
        <v>9</v>
      </c>
      <c r="C535" s="281" t="s">
        <v>1693</v>
      </c>
      <c r="D535" s="281">
        <v>42</v>
      </c>
      <c r="E535" s="281" t="s">
        <v>1451</v>
      </c>
      <c r="F535" s="282" t="s">
        <v>1452</v>
      </c>
      <c r="G535" s="281" t="s">
        <v>3489</v>
      </c>
      <c r="H535" s="281">
        <v>51</v>
      </c>
      <c r="I535" s="281" t="s">
        <v>429</v>
      </c>
      <c r="J535" s="281" t="s">
        <v>683</v>
      </c>
      <c r="K535" s="281">
        <v>54</v>
      </c>
      <c r="L535" s="281" t="s">
        <v>1461</v>
      </c>
      <c r="M535" s="281" t="s">
        <v>1462</v>
      </c>
      <c r="N535" s="281" t="s">
        <v>1463</v>
      </c>
      <c r="O535" s="281" t="s">
        <v>1464</v>
      </c>
      <c r="P535" s="283">
        <v>482</v>
      </c>
      <c r="Q535" s="281" t="s">
        <v>3487</v>
      </c>
      <c r="R535" s="281" t="s">
        <v>1468</v>
      </c>
      <c r="S535" s="281" t="s">
        <v>683</v>
      </c>
      <c r="T535" s="281">
        <v>2</v>
      </c>
      <c r="U535" s="275"/>
      <c r="V535" s="275"/>
      <c r="W535" s="225">
        <v>0</v>
      </c>
      <c r="X535" s="275"/>
      <c r="Y535" s="275"/>
      <c r="Z535" s="275"/>
      <c r="AA535" s="275">
        <v>1</v>
      </c>
      <c r="AB535" s="225">
        <v>1</v>
      </c>
      <c r="AC535" s="275"/>
      <c r="AD535" s="275"/>
      <c r="AE535" s="275"/>
      <c r="AF535" s="275">
        <v>1</v>
      </c>
      <c r="AG535" s="225">
        <v>1</v>
      </c>
      <c r="AH535" s="275"/>
      <c r="AI535" s="275"/>
      <c r="AJ535" s="275"/>
      <c r="AK535" s="275">
        <v>1</v>
      </c>
      <c r="AL535" s="225">
        <v>1</v>
      </c>
      <c r="AM535" s="119">
        <v>3</v>
      </c>
      <c r="AN535" s="120" t="s">
        <v>685</v>
      </c>
      <c r="AO535" s="103" t="s">
        <v>619</v>
      </c>
      <c r="AP535" s="120" t="s">
        <v>1217</v>
      </c>
      <c r="AQ535" s="120" t="s">
        <v>1207</v>
      </c>
      <c r="AR535" s="120" t="s">
        <v>946</v>
      </c>
      <c r="AS535" s="276"/>
      <c r="AT535" s="276"/>
      <c r="AU535" s="276"/>
      <c r="AV535" s="276"/>
      <c r="AW535" s="276"/>
      <c r="AX535" s="276"/>
      <c r="AY535" s="276"/>
      <c r="AZ535" s="276"/>
      <c r="BA535" s="276"/>
      <c r="BB535" s="276"/>
      <c r="BC535" s="276"/>
      <c r="BD535" s="276"/>
      <c r="BE535" s="276"/>
      <c r="BF535" s="276"/>
      <c r="BG535" s="276"/>
      <c r="BH535" s="236">
        <f t="shared" si="205"/>
        <v>0</v>
      </c>
      <c r="BI535" s="276"/>
      <c r="BJ535" s="276"/>
      <c r="BK535" s="276"/>
      <c r="BL535" s="276"/>
      <c r="BM535" s="276">
        <v>48000000</v>
      </c>
      <c r="BN535" s="276"/>
      <c r="BO535" s="276"/>
      <c r="BP535" s="276"/>
      <c r="BQ535" s="276"/>
      <c r="BR535" s="276"/>
      <c r="BS535" s="276"/>
      <c r="BT535" s="276"/>
      <c r="BU535" s="276"/>
      <c r="BV535" s="276"/>
      <c r="BW535" s="276"/>
      <c r="BX535" s="236">
        <f t="shared" si="206"/>
        <v>48000000</v>
      </c>
      <c r="BY535" s="276"/>
      <c r="BZ535" s="276"/>
      <c r="CA535" s="276"/>
      <c r="CB535" s="276"/>
      <c r="CC535" s="276">
        <v>30000000</v>
      </c>
      <c r="CD535" s="276"/>
      <c r="CE535" s="276"/>
      <c r="CF535" s="276"/>
      <c r="CG535" s="276"/>
      <c r="CH535" s="276"/>
      <c r="CI535" s="276"/>
      <c r="CJ535" s="276"/>
      <c r="CK535" s="276"/>
      <c r="CL535" s="276"/>
      <c r="CM535" s="276"/>
      <c r="CN535" s="236">
        <f t="shared" si="207"/>
        <v>30000000</v>
      </c>
      <c r="CO535" s="276"/>
      <c r="CP535" s="276"/>
      <c r="CQ535" s="276"/>
      <c r="CR535" s="276"/>
      <c r="CS535" s="276">
        <v>131500000</v>
      </c>
      <c r="CT535" s="276"/>
      <c r="CU535" s="276"/>
      <c r="CV535" s="276"/>
      <c r="CW535" s="276"/>
      <c r="CX535" s="276"/>
      <c r="CY535" s="276"/>
      <c r="CZ535" s="276"/>
      <c r="DA535" s="276"/>
      <c r="DB535" s="276"/>
      <c r="DC535" s="276"/>
      <c r="DD535" s="240">
        <f t="shared" si="208"/>
        <v>131500000</v>
      </c>
      <c r="DE535" s="245">
        <f t="shared" si="210"/>
        <v>209500000</v>
      </c>
    </row>
    <row r="536" spans="1:109" s="46" customFormat="1" ht="65.099999999999994" customHeight="1">
      <c r="A536" s="134" t="s">
        <v>1241</v>
      </c>
      <c r="B536" s="134" t="s">
        <v>9</v>
      </c>
      <c r="C536" s="134" t="s">
        <v>1693</v>
      </c>
      <c r="D536" s="148">
        <v>42</v>
      </c>
      <c r="E536" s="148" t="s">
        <v>1451</v>
      </c>
      <c r="F536" s="149"/>
      <c r="G536" s="150"/>
      <c r="H536" s="151"/>
      <c r="I536" s="151"/>
      <c r="J536" s="151"/>
      <c r="K536" s="152"/>
      <c r="L536" s="151"/>
      <c r="M536" s="151"/>
      <c r="N536" s="151"/>
      <c r="O536" s="151"/>
      <c r="P536" s="151"/>
      <c r="Q536" s="150"/>
      <c r="R536" s="153"/>
      <c r="S536" s="151"/>
      <c r="T536" s="151"/>
      <c r="U536" s="154"/>
      <c r="V536" s="154"/>
      <c r="W536" s="152"/>
      <c r="X536" s="154"/>
      <c r="Y536" s="154"/>
      <c r="Z536" s="154"/>
      <c r="AA536" s="154"/>
      <c r="AB536" s="152"/>
      <c r="AC536" s="154"/>
      <c r="AD536" s="154"/>
      <c r="AE536" s="154"/>
      <c r="AF536" s="154"/>
      <c r="AG536" s="152"/>
      <c r="AH536" s="154"/>
      <c r="AI536" s="154"/>
      <c r="AJ536" s="154"/>
      <c r="AK536" s="154"/>
      <c r="AL536" s="152"/>
      <c r="AM536" s="155"/>
      <c r="AN536" s="156"/>
      <c r="AO536" s="156"/>
      <c r="AP536" s="157"/>
      <c r="AQ536" s="157"/>
      <c r="AR536" s="158"/>
      <c r="AS536" s="132">
        <f>SUM(AS521:AS535)</f>
        <v>0</v>
      </c>
      <c r="AT536" s="132">
        <f t="shared" ref="AT536:DE536" si="211">SUM(AT521:AT535)</f>
        <v>0</v>
      </c>
      <c r="AU536" s="132">
        <f t="shared" si="211"/>
        <v>0</v>
      </c>
      <c r="AV536" s="132">
        <f t="shared" si="211"/>
        <v>0</v>
      </c>
      <c r="AW536" s="132">
        <f t="shared" si="211"/>
        <v>1247790425</v>
      </c>
      <c r="AX536" s="132">
        <f t="shared" si="211"/>
        <v>0</v>
      </c>
      <c r="AY536" s="132">
        <f t="shared" si="211"/>
        <v>0</v>
      </c>
      <c r="AZ536" s="132">
        <f t="shared" si="211"/>
        <v>0</v>
      </c>
      <c r="BA536" s="132">
        <f t="shared" si="211"/>
        <v>0</v>
      </c>
      <c r="BB536" s="132">
        <f t="shared" si="211"/>
        <v>0</v>
      </c>
      <c r="BC536" s="132">
        <f t="shared" si="211"/>
        <v>0</v>
      </c>
      <c r="BD536" s="132">
        <f t="shared" si="211"/>
        <v>0</v>
      </c>
      <c r="BE536" s="132">
        <f t="shared" si="211"/>
        <v>0</v>
      </c>
      <c r="BF536" s="132">
        <f t="shared" si="211"/>
        <v>0</v>
      </c>
      <c r="BG536" s="132">
        <f t="shared" si="211"/>
        <v>0</v>
      </c>
      <c r="BH536" s="133">
        <f>IF(OR(AND(BH521=0,W521&lt;&gt;0),AND(BH522=0,W522&lt;&gt;0),AND(BH523=0,W523&lt;&gt;0),AND(BH524=0,W524&lt;&gt;0),AND(BH525=0,W525&lt;&gt;0),AND(BH526=0,W526&lt;&gt;0),AND(BH527=0,W527&lt;&gt;0),AND(BH528=0,W528&lt;&gt;0),AND(BH529=0,W529&lt;&gt;0),AND(BH530=0,W530&lt;&gt;0),AND(BH531=0,W531&lt;&gt;0),AND(BH532=0,W532&lt;&gt;0),AND(BH533=0,W533&lt;&gt;0),AND(BH534=0,W534&lt;&gt;0),AND(BH535=0,W535&lt;&gt;0)),"NO DEBEN QUEDAR CELDAS EN ROJO",SUM(BH521:BH535))</f>
        <v>1247790425</v>
      </c>
      <c r="BI536" s="132">
        <f t="shared" si="211"/>
        <v>0</v>
      </c>
      <c r="BJ536" s="132">
        <f t="shared" si="211"/>
        <v>60000000000</v>
      </c>
      <c r="BK536" s="132">
        <f t="shared" si="211"/>
        <v>0</v>
      </c>
      <c r="BL536" s="132">
        <f t="shared" si="211"/>
        <v>0</v>
      </c>
      <c r="BM536" s="132">
        <f t="shared" si="211"/>
        <v>1000000000</v>
      </c>
      <c r="BN536" s="132">
        <f t="shared" si="211"/>
        <v>0</v>
      </c>
      <c r="BO536" s="132">
        <f t="shared" si="211"/>
        <v>0</v>
      </c>
      <c r="BP536" s="132">
        <f t="shared" si="211"/>
        <v>0</v>
      </c>
      <c r="BQ536" s="132">
        <f t="shared" si="211"/>
        <v>0</v>
      </c>
      <c r="BR536" s="132">
        <f t="shared" si="211"/>
        <v>0</v>
      </c>
      <c r="BS536" s="132">
        <f t="shared" si="211"/>
        <v>0</v>
      </c>
      <c r="BT536" s="132">
        <f t="shared" si="211"/>
        <v>0</v>
      </c>
      <c r="BU536" s="132">
        <f t="shared" si="211"/>
        <v>0</v>
      </c>
      <c r="BV536" s="132">
        <f t="shared" si="211"/>
        <v>0</v>
      </c>
      <c r="BW536" s="132">
        <f t="shared" si="211"/>
        <v>0</v>
      </c>
      <c r="BX536" s="133">
        <f>IF(OR(AND(BX521=0,AB521&lt;&gt;0),AND(BX522=0,AB522&lt;&gt;0),AND(BX523=0,AB523&lt;&gt;0),AND(BX524=0,AB524&lt;&gt;0),AND(BX525=0,AB525&lt;&gt;0),AND(BX526=0,AB526&lt;&gt;0),AND(BX527=0,AB527&lt;&gt;0),AND(BX528=0,AB528&lt;&gt;0),AND(BX529=0,AB529&lt;&gt;0),AND(BX530=0,AB530&lt;&gt;0),AND(BX531=0,AB531&lt;&gt;0),AND(BX532=0,AB532&lt;&gt;0),AND(BX533=0,AB533&lt;&gt;0),AND(BX534=0,AB534&lt;&gt;0),AND(BX535=0,AB535&lt;&gt;0)),"NO DEBEN QUEDAR CELDAS EN ROJO",SUM(BX521:BX535))</f>
        <v>61000000000</v>
      </c>
      <c r="BY536" s="132">
        <f t="shared" si="211"/>
        <v>0</v>
      </c>
      <c r="BZ536" s="132">
        <f t="shared" si="211"/>
        <v>0</v>
      </c>
      <c r="CA536" s="132">
        <f t="shared" si="211"/>
        <v>0</v>
      </c>
      <c r="CB536" s="132">
        <f t="shared" si="211"/>
        <v>0</v>
      </c>
      <c r="CC536" s="132">
        <f t="shared" si="211"/>
        <v>900000000</v>
      </c>
      <c r="CD536" s="132">
        <f t="shared" si="211"/>
        <v>0</v>
      </c>
      <c r="CE536" s="132">
        <f t="shared" si="211"/>
        <v>0</v>
      </c>
      <c r="CF536" s="132">
        <f t="shared" si="211"/>
        <v>0</v>
      </c>
      <c r="CG536" s="132">
        <f t="shared" si="211"/>
        <v>0</v>
      </c>
      <c r="CH536" s="132">
        <f t="shared" si="211"/>
        <v>0</v>
      </c>
      <c r="CI536" s="132">
        <f t="shared" si="211"/>
        <v>0</v>
      </c>
      <c r="CJ536" s="132">
        <f t="shared" si="211"/>
        <v>0</v>
      </c>
      <c r="CK536" s="132">
        <f t="shared" si="211"/>
        <v>0</v>
      </c>
      <c r="CL536" s="132">
        <f t="shared" si="211"/>
        <v>0</v>
      </c>
      <c r="CM536" s="132">
        <f t="shared" si="211"/>
        <v>0</v>
      </c>
      <c r="CN536" s="133">
        <f>IF(OR(AND(CN521=0,AG521&lt;&gt;0),AND(CN522=0,AG522&lt;&gt;0),AND(CN523=0,AG523&lt;&gt;0),AND(CN524=0,AG524&lt;&gt;0),AND(CN525=0,AG525&lt;&gt;0),AND(CN526=0,AG526&lt;&gt;0),AND(CN527=0,AG527&lt;&gt;0),AND(CN528=0,AG528&lt;&gt;0),AND(CN529=0,AG529&lt;&gt;0),AND(CN530=0,AG530&lt;&gt;0),AND(CN531=0,AG531&lt;&gt;0),AND(CN532=0,AG532&lt;&gt;0),AND(CN533=0,AG533&lt;&gt;0),AND(CN534=0,AG534&lt;&gt;0),AND(CN535=0,AG535&lt;&gt;0)),"NO DEBEN QUEDAR CELDAS EN ROJO",SUM(CN521:CN535))</f>
        <v>900000000</v>
      </c>
      <c r="CO536" s="132">
        <f t="shared" si="211"/>
        <v>0</v>
      </c>
      <c r="CP536" s="132">
        <f t="shared" si="211"/>
        <v>0</v>
      </c>
      <c r="CQ536" s="132">
        <f t="shared" si="211"/>
        <v>0</v>
      </c>
      <c r="CR536" s="132">
        <f t="shared" si="211"/>
        <v>0</v>
      </c>
      <c r="CS536" s="132">
        <f t="shared" si="211"/>
        <v>2985000000</v>
      </c>
      <c r="CT536" s="132">
        <f t="shared" si="211"/>
        <v>0</v>
      </c>
      <c r="CU536" s="132">
        <f t="shared" si="211"/>
        <v>0</v>
      </c>
      <c r="CV536" s="132">
        <f t="shared" si="211"/>
        <v>0</v>
      </c>
      <c r="CW536" s="132">
        <f t="shared" si="211"/>
        <v>0</v>
      </c>
      <c r="CX536" s="132">
        <f t="shared" si="211"/>
        <v>0</v>
      </c>
      <c r="CY536" s="132">
        <f t="shared" si="211"/>
        <v>0</v>
      </c>
      <c r="CZ536" s="132">
        <f t="shared" si="211"/>
        <v>0</v>
      </c>
      <c r="DA536" s="132">
        <f t="shared" si="211"/>
        <v>0</v>
      </c>
      <c r="DB536" s="132">
        <f t="shared" si="211"/>
        <v>0</v>
      </c>
      <c r="DC536" s="132">
        <f t="shared" si="211"/>
        <v>0</v>
      </c>
      <c r="DD536" s="133">
        <f>IF(OR(AND(DD521=0,AL521&lt;&gt;0),AND(DD522=0,AL522&lt;&gt;0),AND(DD523=0,AL523&lt;&gt;0),AND(DD524=0,AL524&lt;&gt;0),AND(DD525=0,AL525&lt;&gt;0),AND(DD526=0,AL526&lt;&gt;0),AND(DD527=0,AL527&lt;&gt;0),AND(DD528=0,AL528&lt;&gt;0),AND(DD529=0,AL529&lt;&gt;0),AND(DD530=0,AL530&lt;&gt;0),AND(DD531=0,AL531&lt;&gt;0),AND(DD532=0,AL532&lt;&gt;0),AND(DD533=0,AL533&lt;&gt;0),AND(DD534=0,AL534&lt;&gt;0),AND(DD535=0,AL535&lt;&gt;0)),"NO DEBEN QUEDAR CELDAS EN ROJO",SUM(DD521:DD535))</f>
        <v>2985000000</v>
      </c>
      <c r="DE536" s="133">
        <f t="shared" si="211"/>
        <v>66132790425</v>
      </c>
    </row>
    <row r="537" spans="1:109" s="116" customFormat="1" ht="55.05" customHeight="1" thickBot="1">
      <c r="A537" s="192" t="s">
        <v>1241</v>
      </c>
      <c r="B537" s="193" t="s">
        <v>9</v>
      </c>
      <c r="C537" s="194" t="s">
        <v>1693</v>
      </c>
      <c r="D537" s="170"/>
      <c r="E537" s="171"/>
      <c r="F537" s="172"/>
      <c r="G537" s="173"/>
      <c r="H537" s="171"/>
      <c r="I537" s="171"/>
      <c r="J537" s="171"/>
      <c r="K537" s="171"/>
      <c r="L537" s="171"/>
      <c r="M537" s="171"/>
      <c r="N537" s="171"/>
      <c r="O537" s="171"/>
      <c r="P537" s="171"/>
      <c r="Q537" s="173"/>
      <c r="R537" s="174"/>
      <c r="S537" s="171"/>
      <c r="T537" s="171"/>
      <c r="U537" s="175"/>
      <c r="V537" s="175"/>
      <c r="W537" s="176"/>
      <c r="X537" s="175"/>
      <c r="Y537" s="175"/>
      <c r="Z537" s="175"/>
      <c r="AA537" s="175"/>
      <c r="AB537" s="176"/>
      <c r="AC537" s="175"/>
      <c r="AD537" s="175"/>
      <c r="AE537" s="175"/>
      <c r="AF537" s="175"/>
      <c r="AG537" s="176"/>
      <c r="AH537" s="175"/>
      <c r="AI537" s="175"/>
      <c r="AJ537" s="175"/>
      <c r="AK537" s="175"/>
      <c r="AL537" s="176"/>
      <c r="AM537" s="177"/>
      <c r="AN537" s="178"/>
      <c r="AO537" s="178"/>
      <c r="AP537" s="173"/>
      <c r="AQ537" s="173"/>
      <c r="AR537" s="179"/>
      <c r="AS537" s="195">
        <f>SUM(AS536+AS520+AS511+AS497)</f>
        <v>0</v>
      </c>
      <c r="AT537" s="196">
        <f t="shared" ref="AT537:DE537" si="212">SUM(AT536+AT520+AT511+AT497)</f>
        <v>0</v>
      </c>
      <c r="AU537" s="196">
        <f t="shared" si="212"/>
        <v>0</v>
      </c>
      <c r="AV537" s="196">
        <f t="shared" si="212"/>
        <v>0</v>
      </c>
      <c r="AW537" s="196">
        <f t="shared" si="212"/>
        <v>3260186285</v>
      </c>
      <c r="AX537" s="196">
        <f t="shared" si="212"/>
        <v>0</v>
      </c>
      <c r="AY537" s="196">
        <f t="shared" si="212"/>
        <v>0</v>
      </c>
      <c r="AZ537" s="196">
        <f t="shared" si="212"/>
        <v>0</v>
      </c>
      <c r="BA537" s="196">
        <f t="shared" si="212"/>
        <v>0</v>
      </c>
      <c r="BB537" s="196">
        <f t="shared" si="212"/>
        <v>0</v>
      </c>
      <c r="BC537" s="196">
        <f t="shared" si="212"/>
        <v>0</v>
      </c>
      <c r="BD537" s="196">
        <f t="shared" si="212"/>
        <v>0</v>
      </c>
      <c r="BE537" s="196">
        <f t="shared" si="212"/>
        <v>0</v>
      </c>
      <c r="BF537" s="196">
        <f t="shared" si="212"/>
        <v>0</v>
      </c>
      <c r="BG537" s="196">
        <f t="shared" si="212"/>
        <v>0</v>
      </c>
      <c r="BH537" s="196">
        <f t="shared" si="212"/>
        <v>3260186285</v>
      </c>
      <c r="BI537" s="196">
        <f t="shared" si="212"/>
        <v>0</v>
      </c>
      <c r="BJ537" s="196">
        <f t="shared" si="212"/>
        <v>60000000000</v>
      </c>
      <c r="BK537" s="196">
        <f t="shared" si="212"/>
        <v>0</v>
      </c>
      <c r="BL537" s="196">
        <f t="shared" si="212"/>
        <v>0</v>
      </c>
      <c r="BM537" s="196">
        <f t="shared" si="212"/>
        <v>8242170814</v>
      </c>
      <c r="BN537" s="196">
        <f t="shared" si="212"/>
        <v>0</v>
      </c>
      <c r="BO537" s="196">
        <f t="shared" si="212"/>
        <v>0</v>
      </c>
      <c r="BP537" s="196">
        <f t="shared" si="212"/>
        <v>0</v>
      </c>
      <c r="BQ537" s="196">
        <f t="shared" si="212"/>
        <v>0</v>
      </c>
      <c r="BR537" s="196">
        <f t="shared" si="212"/>
        <v>0</v>
      </c>
      <c r="BS537" s="196">
        <f t="shared" si="212"/>
        <v>0</v>
      </c>
      <c r="BT537" s="196">
        <f t="shared" si="212"/>
        <v>0</v>
      </c>
      <c r="BU537" s="196">
        <f t="shared" si="212"/>
        <v>0</v>
      </c>
      <c r="BV537" s="196">
        <f t="shared" si="212"/>
        <v>0</v>
      </c>
      <c r="BW537" s="196">
        <f t="shared" si="212"/>
        <v>0</v>
      </c>
      <c r="BX537" s="196">
        <f t="shared" si="212"/>
        <v>68242170814</v>
      </c>
      <c r="BY537" s="196">
        <f t="shared" si="212"/>
        <v>0</v>
      </c>
      <c r="BZ537" s="196">
        <f t="shared" si="212"/>
        <v>0</v>
      </c>
      <c r="CA537" s="196">
        <f t="shared" si="212"/>
        <v>0</v>
      </c>
      <c r="CB537" s="196">
        <f t="shared" si="212"/>
        <v>0</v>
      </c>
      <c r="CC537" s="196">
        <f t="shared" si="212"/>
        <v>7861746813</v>
      </c>
      <c r="CD537" s="196">
        <f t="shared" si="212"/>
        <v>0</v>
      </c>
      <c r="CE537" s="196">
        <f t="shared" si="212"/>
        <v>0</v>
      </c>
      <c r="CF537" s="196">
        <f t="shared" si="212"/>
        <v>0</v>
      </c>
      <c r="CG537" s="196">
        <f t="shared" si="212"/>
        <v>0</v>
      </c>
      <c r="CH537" s="196">
        <f t="shared" si="212"/>
        <v>0</v>
      </c>
      <c r="CI537" s="196">
        <f t="shared" si="212"/>
        <v>0</v>
      </c>
      <c r="CJ537" s="196">
        <f t="shared" si="212"/>
        <v>0</v>
      </c>
      <c r="CK537" s="196">
        <f t="shared" si="212"/>
        <v>0</v>
      </c>
      <c r="CL537" s="196">
        <f t="shared" si="212"/>
        <v>0</v>
      </c>
      <c r="CM537" s="196">
        <f t="shared" si="212"/>
        <v>0</v>
      </c>
      <c r="CN537" s="196">
        <f t="shared" si="212"/>
        <v>7861746813</v>
      </c>
      <c r="CO537" s="196">
        <f t="shared" si="212"/>
        <v>0</v>
      </c>
      <c r="CP537" s="196">
        <f t="shared" si="212"/>
        <v>0</v>
      </c>
      <c r="CQ537" s="196">
        <f t="shared" si="212"/>
        <v>0</v>
      </c>
      <c r="CR537" s="196">
        <f t="shared" si="212"/>
        <v>0</v>
      </c>
      <c r="CS537" s="196">
        <f t="shared" si="212"/>
        <v>8196216685</v>
      </c>
      <c r="CT537" s="196">
        <f t="shared" si="212"/>
        <v>0</v>
      </c>
      <c r="CU537" s="196">
        <f t="shared" si="212"/>
        <v>0</v>
      </c>
      <c r="CV537" s="196">
        <f t="shared" si="212"/>
        <v>0</v>
      </c>
      <c r="CW537" s="196">
        <f t="shared" si="212"/>
        <v>0</v>
      </c>
      <c r="CX537" s="196">
        <f t="shared" si="212"/>
        <v>0</v>
      </c>
      <c r="CY537" s="196">
        <f t="shared" si="212"/>
        <v>0</v>
      </c>
      <c r="CZ537" s="196">
        <f t="shared" si="212"/>
        <v>0</v>
      </c>
      <c r="DA537" s="196">
        <f t="shared" si="212"/>
        <v>0</v>
      </c>
      <c r="DB537" s="196">
        <f t="shared" si="212"/>
        <v>0</v>
      </c>
      <c r="DC537" s="196">
        <f t="shared" si="212"/>
        <v>0</v>
      </c>
      <c r="DD537" s="196">
        <f t="shared" si="212"/>
        <v>8196216685</v>
      </c>
      <c r="DE537" s="196">
        <f t="shared" si="212"/>
        <v>87560320597</v>
      </c>
    </row>
    <row r="538" spans="1:109" s="46" customFormat="1" ht="51" customHeight="1" thickBot="1">
      <c r="A538" s="668" t="s">
        <v>9</v>
      </c>
      <c r="B538" s="669"/>
      <c r="C538" s="670"/>
      <c r="D538" s="180"/>
      <c r="E538" s="181"/>
      <c r="F538" s="182"/>
      <c r="G538" s="183"/>
      <c r="H538" s="181"/>
      <c r="I538" s="181"/>
      <c r="J538" s="181"/>
      <c r="K538" s="181"/>
      <c r="L538" s="181"/>
      <c r="M538" s="181"/>
      <c r="N538" s="181"/>
      <c r="O538" s="181"/>
      <c r="P538" s="184"/>
      <c r="Q538" s="183"/>
      <c r="R538" s="181"/>
      <c r="S538" s="181"/>
      <c r="T538" s="181"/>
      <c r="U538" s="185"/>
      <c r="V538" s="185"/>
      <c r="W538" s="186"/>
      <c r="X538" s="185"/>
      <c r="Y538" s="185"/>
      <c r="Z538" s="185"/>
      <c r="AA538" s="185"/>
      <c r="AB538" s="186"/>
      <c r="AC538" s="185"/>
      <c r="AD538" s="185"/>
      <c r="AE538" s="185"/>
      <c r="AF538" s="185"/>
      <c r="AG538" s="187"/>
      <c r="AH538" s="185"/>
      <c r="AI538" s="185"/>
      <c r="AJ538" s="185"/>
      <c r="AK538" s="185"/>
      <c r="AL538" s="187"/>
      <c r="AM538" s="188"/>
      <c r="AN538" s="189"/>
      <c r="AO538" s="189"/>
      <c r="AP538" s="190"/>
      <c r="AQ538" s="190"/>
      <c r="AR538" s="191"/>
      <c r="AS538" s="199">
        <f t="shared" ref="AS538:BX538" si="213">SUM(AS537+AS481+AS475+AS387+AS339+AS327+AS237+AS175+AS156+AS84)</f>
        <v>100000000</v>
      </c>
      <c r="AT538" s="200">
        <f t="shared" si="213"/>
        <v>10000000000</v>
      </c>
      <c r="AU538" s="200">
        <f t="shared" si="213"/>
        <v>0</v>
      </c>
      <c r="AV538" s="200">
        <f t="shared" si="213"/>
        <v>16569237200</v>
      </c>
      <c r="AW538" s="200">
        <f t="shared" si="213"/>
        <v>135771939557.0332</v>
      </c>
      <c r="AX538" s="200">
        <f t="shared" si="213"/>
        <v>0</v>
      </c>
      <c r="AY538" s="200">
        <f t="shared" si="213"/>
        <v>0</v>
      </c>
      <c r="AZ538" s="200">
        <f t="shared" si="213"/>
        <v>0</v>
      </c>
      <c r="BA538" s="200">
        <f t="shared" si="213"/>
        <v>0</v>
      </c>
      <c r="BB538" s="200">
        <f t="shared" si="213"/>
        <v>578290652443</v>
      </c>
      <c r="BC538" s="200">
        <f t="shared" si="213"/>
        <v>0</v>
      </c>
      <c r="BD538" s="200">
        <f t="shared" si="213"/>
        <v>0</v>
      </c>
      <c r="BE538" s="200">
        <f t="shared" si="213"/>
        <v>0</v>
      </c>
      <c r="BF538" s="200">
        <f t="shared" si="213"/>
        <v>23287954188</v>
      </c>
      <c r="BG538" s="200">
        <f t="shared" si="213"/>
        <v>57589924467.529999</v>
      </c>
      <c r="BH538" s="200">
        <f t="shared" si="213"/>
        <v>821609707855.56323</v>
      </c>
      <c r="BI538" s="200">
        <f t="shared" si="213"/>
        <v>110000000</v>
      </c>
      <c r="BJ538" s="200">
        <f t="shared" si="213"/>
        <v>60000000000</v>
      </c>
      <c r="BK538" s="200">
        <f t="shared" si="213"/>
        <v>0</v>
      </c>
      <c r="BL538" s="200">
        <f t="shared" si="213"/>
        <v>5166000000</v>
      </c>
      <c r="BM538" s="200">
        <f t="shared" si="213"/>
        <v>158287406702.61047</v>
      </c>
      <c r="BN538" s="200">
        <f t="shared" si="213"/>
        <v>0</v>
      </c>
      <c r="BO538" s="200">
        <f t="shared" si="213"/>
        <v>0</v>
      </c>
      <c r="BP538" s="200">
        <f t="shared" si="213"/>
        <v>0</v>
      </c>
      <c r="BQ538" s="200">
        <f t="shared" si="213"/>
        <v>0</v>
      </c>
      <c r="BR538" s="200">
        <f t="shared" si="213"/>
        <v>595639372016.29004</v>
      </c>
      <c r="BS538" s="200">
        <f t="shared" si="213"/>
        <v>0</v>
      </c>
      <c r="BT538" s="200">
        <f t="shared" si="213"/>
        <v>0</v>
      </c>
      <c r="BU538" s="200">
        <f t="shared" si="213"/>
        <v>0</v>
      </c>
      <c r="BV538" s="200">
        <f t="shared" si="213"/>
        <v>23986592813.639999</v>
      </c>
      <c r="BW538" s="200">
        <f t="shared" si="213"/>
        <v>40498771117.10907</v>
      </c>
      <c r="BX538" s="200">
        <f t="shared" si="213"/>
        <v>883688142649.64954</v>
      </c>
      <c r="BY538" s="200">
        <f t="shared" ref="BY538:DD538" si="214">SUM(BY537+BY481+BY475+BY387+BY339+BY327+BY237+BY175+BY156+BY84)</f>
        <v>115000000</v>
      </c>
      <c r="BZ538" s="200">
        <f t="shared" si="214"/>
        <v>10000000000</v>
      </c>
      <c r="CA538" s="200">
        <f t="shared" si="214"/>
        <v>0</v>
      </c>
      <c r="CB538" s="200">
        <f t="shared" si="214"/>
        <v>5369280000</v>
      </c>
      <c r="CC538" s="200">
        <f t="shared" si="214"/>
        <v>162839691100.23389</v>
      </c>
      <c r="CD538" s="200">
        <f t="shared" si="214"/>
        <v>0</v>
      </c>
      <c r="CE538" s="200">
        <f t="shared" si="214"/>
        <v>0</v>
      </c>
      <c r="CF538" s="200">
        <f t="shared" si="214"/>
        <v>0</v>
      </c>
      <c r="CG538" s="200">
        <f t="shared" si="214"/>
        <v>0</v>
      </c>
      <c r="CH538" s="200">
        <f t="shared" si="214"/>
        <v>613508553176.77869</v>
      </c>
      <c r="CI538" s="200">
        <f t="shared" si="214"/>
        <v>0</v>
      </c>
      <c r="CJ538" s="200">
        <f t="shared" si="214"/>
        <v>0</v>
      </c>
      <c r="CK538" s="200">
        <f t="shared" si="214"/>
        <v>0</v>
      </c>
      <c r="CL538" s="200">
        <f t="shared" si="214"/>
        <v>24706190598.049198</v>
      </c>
      <c r="CM538" s="200">
        <f t="shared" si="214"/>
        <v>54967987492.397301</v>
      </c>
      <c r="CN538" s="200">
        <f t="shared" si="214"/>
        <v>871506702367.45898</v>
      </c>
      <c r="CO538" s="200">
        <f t="shared" si="214"/>
        <v>135000000</v>
      </c>
      <c r="CP538" s="200">
        <f t="shared" si="214"/>
        <v>0</v>
      </c>
      <c r="CQ538" s="200">
        <f t="shared" si="214"/>
        <v>0</v>
      </c>
      <c r="CR538" s="200">
        <f t="shared" si="214"/>
        <v>5548628400</v>
      </c>
      <c r="CS538" s="200">
        <f t="shared" si="214"/>
        <v>172103040742.2359</v>
      </c>
      <c r="CT538" s="200">
        <f t="shared" si="214"/>
        <v>0</v>
      </c>
      <c r="CU538" s="200">
        <f t="shared" si="214"/>
        <v>0</v>
      </c>
      <c r="CV538" s="200">
        <f t="shared" si="214"/>
        <v>0</v>
      </c>
      <c r="CW538" s="200">
        <f t="shared" si="214"/>
        <v>0</v>
      </c>
      <c r="CX538" s="200">
        <f t="shared" si="214"/>
        <v>631913809772.08215</v>
      </c>
      <c r="CY538" s="200">
        <f t="shared" si="214"/>
        <v>0</v>
      </c>
      <c r="CZ538" s="200">
        <f t="shared" si="214"/>
        <v>0</v>
      </c>
      <c r="DA538" s="200">
        <f t="shared" si="214"/>
        <v>0</v>
      </c>
      <c r="DB538" s="200">
        <f t="shared" si="214"/>
        <v>25447376315.9907</v>
      </c>
      <c r="DC538" s="200">
        <f t="shared" si="214"/>
        <v>47632197914.622345</v>
      </c>
      <c r="DD538" s="200">
        <f t="shared" si="214"/>
        <v>882780053144.93115</v>
      </c>
      <c r="DE538" s="201">
        <f t="shared" ref="DE538" si="215">SUM(DE537+DE481+DE475+DE387+DE339+DE327+DE237+DE175+DE156+DE84)</f>
        <v>3459584606017.6025</v>
      </c>
    </row>
    <row r="539" spans="1:109" s="98" customFormat="1" ht="121.05" customHeight="1">
      <c r="A539" s="103" t="s">
        <v>1242</v>
      </c>
      <c r="B539" s="103" t="s">
        <v>1469</v>
      </c>
      <c r="C539" s="103" t="s">
        <v>1689</v>
      </c>
      <c r="D539" s="103">
        <v>43</v>
      </c>
      <c r="E539" s="103" t="s">
        <v>1470</v>
      </c>
      <c r="F539" s="278" t="s">
        <v>1471</v>
      </c>
      <c r="G539" s="103" t="s">
        <v>2849</v>
      </c>
      <c r="H539" s="103">
        <v>52</v>
      </c>
      <c r="I539" s="103" t="s">
        <v>1472</v>
      </c>
      <c r="J539" s="103" t="s">
        <v>683</v>
      </c>
      <c r="K539" s="103">
        <v>188</v>
      </c>
      <c r="L539" s="103" t="s">
        <v>1473</v>
      </c>
      <c r="M539" s="103" t="s">
        <v>1474</v>
      </c>
      <c r="N539" s="103" t="s">
        <v>1475</v>
      </c>
      <c r="O539" s="103" t="s">
        <v>3600</v>
      </c>
      <c r="P539" s="266">
        <v>483</v>
      </c>
      <c r="Q539" s="103" t="s">
        <v>3601</v>
      </c>
      <c r="R539" s="103" t="s">
        <v>14</v>
      </c>
      <c r="S539" s="103" t="s">
        <v>683</v>
      </c>
      <c r="T539" s="103">
        <v>0</v>
      </c>
      <c r="U539" s="267"/>
      <c r="V539" s="267"/>
      <c r="W539" s="224">
        <v>0</v>
      </c>
      <c r="X539" s="267"/>
      <c r="Y539" s="267"/>
      <c r="Z539" s="267">
        <v>400</v>
      </c>
      <c r="AA539" s="267"/>
      <c r="AB539" s="224">
        <v>400</v>
      </c>
      <c r="AC539" s="267"/>
      <c r="AD539" s="267"/>
      <c r="AE539" s="267"/>
      <c r="AF539" s="267"/>
      <c r="AG539" s="224">
        <v>0</v>
      </c>
      <c r="AH539" s="267"/>
      <c r="AI539" s="267"/>
      <c r="AJ539" s="267"/>
      <c r="AK539" s="267"/>
      <c r="AL539" s="224">
        <v>0</v>
      </c>
      <c r="AM539" s="102">
        <v>400</v>
      </c>
      <c r="AN539" s="103" t="s">
        <v>685</v>
      </c>
      <c r="AO539" s="103" t="s">
        <v>620</v>
      </c>
      <c r="AP539" s="103" t="s">
        <v>1220</v>
      </c>
      <c r="AQ539" s="103" t="s">
        <v>1197</v>
      </c>
      <c r="AR539" s="103" t="s">
        <v>943</v>
      </c>
      <c r="AS539" s="268"/>
      <c r="AT539" s="268"/>
      <c r="AU539" s="268"/>
      <c r="AV539" s="268"/>
      <c r="AW539" s="268"/>
      <c r="AX539" s="268"/>
      <c r="AY539" s="268"/>
      <c r="AZ539" s="268"/>
      <c r="BA539" s="268"/>
      <c r="BB539" s="268"/>
      <c r="BC539" s="268"/>
      <c r="BD539" s="268"/>
      <c r="BE539" s="268"/>
      <c r="BF539" s="268"/>
      <c r="BG539" s="268"/>
      <c r="BH539" s="234">
        <f t="shared" ref="BH539:BH562" si="216">IF(W539=0,0,BG539+BF539+BE539+BD539+BC539+BB539+BA539+AZ539+AY539+AX539+AW539+AV539+AU539+AT539+AS539)</f>
        <v>0</v>
      </c>
      <c r="BI539" s="268"/>
      <c r="BJ539" s="268"/>
      <c r="BK539" s="268"/>
      <c r="BL539" s="268"/>
      <c r="BM539" s="268">
        <v>20000000</v>
      </c>
      <c r="BN539" s="268"/>
      <c r="BO539" s="268"/>
      <c r="BP539" s="268"/>
      <c r="BQ539" s="268"/>
      <c r="BR539" s="268"/>
      <c r="BS539" s="268"/>
      <c r="BT539" s="268"/>
      <c r="BU539" s="268"/>
      <c r="BV539" s="268"/>
      <c r="BW539" s="268"/>
      <c r="BX539" s="234">
        <f t="shared" ref="BX539:BX562" si="217">IF(AB539=0,0,BI539+BJ539+BK539+BL539+BM539+BN539+BO539+BP539+BQ539+BR539+BS539+BT539+BU539+BV539+BW539)</f>
        <v>20000000</v>
      </c>
      <c r="BY539" s="268"/>
      <c r="BZ539" s="268"/>
      <c r="CA539" s="268"/>
      <c r="CB539" s="268"/>
      <c r="CC539" s="268"/>
      <c r="CD539" s="268"/>
      <c r="CE539" s="268"/>
      <c r="CF539" s="268"/>
      <c r="CG539" s="268"/>
      <c r="CH539" s="268"/>
      <c r="CI539" s="268"/>
      <c r="CJ539" s="268"/>
      <c r="CK539" s="268"/>
      <c r="CL539" s="268"/>
      <c r="CM539" s="268"/>
      <c r="CN539" s="234">
        <f t="shared" ref="CN539:CN562" si="218">IF(AG539=0,0,(BY539+BZ539+CA539+CB539+CC539+CD539+CE539+CF539+CG539+CH539+CI539+CJ539+CK539+CL539+CM539))</f>
        <v>0</v>
      </c>
      <c r="CO539" s="268"/>
      <c r="CP539" s="268"/>
      <c r="CQ539" s="268"/>
      <c r="CR539" s="268"/>
      <c r="CS539" s="268"/>
      <c r="CT539" s="268"/>
      <c r="CU539" s="268"/>
      <c r="CV539" s="268"/>
      <c r="CW539" s="268"/>
      <c r="CX539" s="268"/>
      <c r="CY539" s="268"/>
      <c r="CZ539" s="268"/>
      <c r="DA539" s="268"/>
      <c r="DB539" s="268"/>
      <c r="DC539" s="268"/>
      <c r="DD539" s="234">
        <f t="shared" ref="DD539:DD562" si="219">IF(AL539=0,0,(CO539+CP539+CQ539+CR539+CS539+CT539+CU539+CV539+CW539+CX539+CY539+CZ539+DA539+DB539+DC539))</f>
        <v>0</v>
      </c>
      <c r="DE539" s="243">
        <f t="shared" ref="DE539:DE562" si="220">SUM(DD539+CN539+BX539+BH539)</f>
        <v>20000000</v>
      </c>
    </row>
    <row r="540" spans="1:109" s="98" customFormat="1" ht="121.05" customHeight="1">
      <c r="A540" s="103" t="s">
        <v>1242</v>
      </c>
      <c r="B540" s="279" t="s">
        <v>1469</v>
      </c>
      <c r="C540" s="279" t="s">
        <v>1689</v>
      </c>
      <c r="D540" s="279">
        <v>43</v>
      </c>
      <c r="E540" s="279" t="s">
        <v>1470</v>
      </c>
      <c r="F540" s="280" t="s">
        <v>1471</v>
      </c>
      <c r="G540" s="279" t="s">
        <v>2849</v>
      </c>
      <c r="H540" s="279">
        <v>52</v>
      </c>
      <c r="I540" s="279" t="s">
        <v>1472</v>
      </c>
      <c r="J540" s="279" t="s">
        <v>683</v>
      </c>
      <c r="K540" s="279">
        <v>188</v>
      </c>
      <c r="L540" s="279" t="s">
        <v>1473</v>
      </c>
      <c r="M540" s="279" t="s">
        <v>1474</v>
      </c>
      <c r="N540" s="279" t="s">
        <v>1475</v>
      </c>
      <c r="O540" s="279" t="s">
        <v>3600</v>
      </c>
      <c r="P540" s="266">
        <v>484</v>
      </c>
      <c r="Q540" s="279" t="s">
        <v>2850</v>
      </c>
      <c r="R540" s="279" t="s">
        <v>16</v>
      </c>
      <c r="S540" s="279" t="s">
        <v>683</v>
      </c>
      <c r="T540" s="279">
        <v>0</v>
      </c>
      <c r="U540" s="267"/>
      <c r="V540" s="267">
        <v>0.2</v>
      </c>
      <c r="W540" s="224">
        <v>0.2</v>
      </c>
      <c r="X540" s="267">
        <v>0.2</v>
      </c>
      <c r="Y540" s="267">
        <v>0.2</v>
      </c>
      <c r="Z540" s="267">
        <v>0.2</v>
      </c>
      <c r="AA540" s="267">
        <v>0.2</v>
      </c>
      <c r="AB540" s="224">
        <v>0.8</v>
      </c>
      <c r="AC540" s="267"/>
      <c r="AD540" s="267"/>
      <c r="AE540" s="267"/>
      <c r="AF540" s="267"/>
      <c r="AG540" s="224">
        <v>0</v>
      </c>
      <c r="AH540" s="267"/>
      <c r="AI540" s="267"/>
      <c r="AJ540" s="267"/>
      <c r="AK540" s="267"/>
      <c r="AL540" s="224">
        <v>0</v>
      </c>
      <c r="AM540" s="104">
        <v>1</v>
      </c>
      <c r="AN540" s="103" t="s">
        <v>685</v>
      </c>
      <c r="AO540" s="103" t="s">
        <v>620</v>
      </c>
      <c r="AP540" s="103" t="s">
        <v>1220</v>
      </c>
      <c r="AQ540" s="103" t="s">
        <v>1197</v>
      </c>
      <c r="AR540" s="103" t="s">
        <v>943</v>
      </c>
      <c r="AS540" s="271"/>
      <c r="AT540" s="271"/>
      <c r="AU540" s="271"/>
      <c r="AV540" s="271"/>
      <c r="AW540" s="271">
        <v>30000000</v>
      </c>
      <c r="AX540" s="271"/>
      <c r="AY540" s="271"/>
      <c r="AZ540" s="271"/>
      <c r="BA540" s="271"/>
      <c r="BB540" s="271"/>
      <c r="BC540" s="271"/>
      <c r="BD540" s="271"/>
      <c r="BE540" s="271"/>
      <c r="BF540" s="271"/>
      <c r="BG540" s="271"/>
      <c r="BH540" s="235">
        <f t="shared" si="216"/>
        <v>30000000</v>
      </c>
      <c r="BI540" s="271"/>
      <c r="BJ540" s="271"/>
      <c r="BK540" s="271"/>
      <c r="BL540" s="271"/>
      <c r="BM540" s="271">
        <v>2500000</v>
      </c>
      <c r="BN540" s="271"/>
      <c r="BO540" s="271"/>
      <c r="BP540" s="271"/>
      <c r="BQ540" s="271"/>
      <c r="BR540" s="271"/>
      <c r="BS540" s="271"/>
      <c r="BT540" s="271"/>
      <c r="BU540" s="271"/>
      <c r="BV540" s="271"/>
      <c r="BW540" s="271"/>
      <c r="BX540" s="235">
        <f t="shared" si="217"/>
        <v>2500000</v>
      </c>
      <c r="BY540" s="271"/>
      <c r="BZ540" s="271"/>
      <c r="CA540" s="271"/>
      <c r="CB540" s="271"/>
      <c r="CC540" s="271"/>
      <c r="CD540" s="271"/>
      <c r="CE540" s="271"/>
      <c r="CF540" s="271"/>
      <c r="CG540" s="271"/>
      <c r="CH540" s="271"/>
      <c r="CI540" s="271"/>
      <c r="CJ540" s="271"/>
      <c r="CK540" s="271"/>
      <c r="CL540" s="271"/>
      <c r="CM540" s="271"/>
      <c r="CN540" s="235">
        <f t="shared" si="218"/>
        <v>0</v>
      </c>
      <c r="CO540" s="271"/>
      <c r="CP540" s="271"/>
      <c r="CQ540" s="271"/>
      <c r="CR540" s="271"/>
      <c r="CS540" s="271"/>
      <c r="CT540" s="271"/>
      <c r="CU540" s="271"/>
      <c r="CV540" s="271"/>
      <c r="CW540" s="271"/>
      <c r="CX540" s="271"/>
      <c r="CY540" s="271"/>
      <c r="CZ540" s="271"/>
      <c r="DA540" s="271"/>
      <c r="DB540" s="271"/>
      <c r="DC540" s="271"/>
      <c r="DD540" s="235">
        <f t="shared" si="219"/>
        <v>0</v>
      </c>
      <c r="DE540" s="244">
        <f t="shared" si="220"/>
        <v>32500000</v>
      </c>
    </row>
    <row r="541" spans="1:109" s="98" customFormat="1" ht="121.05" customHeight="1">
      <c r="A541" s="103" t="s">
        <v>1242</v>
      </c>
      <c r="B541" s="279" t="s">
        <v>1469</v>
      </c>
      <c r="C541" s="279" t="s">
        <v>1689</v>
      </c>
      <c r="D541" s="279">
        <v>43</v>
      </c>
      <c r="E541" s="279" t="s">
        <v>1470</v>
      </c>
      <c r="F541" s="280" t="s">
        <v>1471</v>
      </c>
      <c r="G541" s="279" t="s">
        <v>2849</v>
      </c>
      <c r="H541" s="279">
        <v>52</v>
      </c>
      <c r="I541" s="279" t="s">
        <v>1472</v>
      </c>
      <c r="J541" s="279" t="s">
        <v>683</v>
      </c>
      <c r="K541" s="279">
        <v>188</v>
      </c>
      <c r="L541" s="279" t="s">
        <v>1473</v>
      </c>
      <c r="M541" s="279" t="s">
        <v>1474</v>
      </c>
      <c r="N541" s="279" t="s">
        <v>1475</v>
      </c>
      <c r="O541" s="279" t="s">
        <v>3600</v>
      </c>
      <c r="P541" s="266">
        <v>485</v>
      </c>
      <c r="Q541" s="279" t="s">
        <v>3602</v>
      </c>
      <c r="R541" s="279" t="s">
        <v>18</v>
      </c>
      <c r="S541" s="279" t="s">
        <v>683</v>
      </c>
      <c r="T541" s="279">
        <v>70</v>
      </c>
      <c r="U541" s="267">
        <v>35</v>
      </c>
      <c r="V541" s="267">
        <v>35</v>
      </c>
      <c r="W541" s="224">
        <v>70</v>
      </c>
      <c r="X541" s="267">
        <v>17</v>
      </c>
      <c r="Y541" s="267">
        <v>18</v>
      </c>
      <c r="Z541" s="267">
        <v>17</v>
      </c>
      <c r="AA541" s="267">
        <v>18</v>
      </c>
      <c r="AB541" s="224">
        <v>70</v>
      </c>
      <c r="AC541" s="267">
        <v>17</v>
      </c>
      <c r="AD541" s="267">
        <v>18</v>
      </c>
      <c r="AE541" s="267">
        <v>17</v>
      </c>
      <c r="AF541" s="267">
        <v>18</v>
      </c>
      <c r="AG541" s="224">
        <v>70</v>
      </c>
      <c r="AH541" s="267">
        <v>17</v>
      </c>
      <c r="AI541" s="267">
        <v>18</v>
      </c>
      <c r="AJ541" s="267">
        <v>17</v>
      </c>
      <c r="AK541" s="267">
        <v>18</v>
      </c>
      <c r="AL541" s="224">
        <v>70</v>
      </c>
      <c r="AM541" s="104">
        <v>70</v>
      </c>
      <c r="AN541" s="103" t="s">
        <v>686</v>
      </c>
      <c r="AO541" s="103" t="s">
        <v>620</v>
      </c>
      <c r="AP541" s="103" t="s">
        <v>1220</v>
      </c>
      <c r="AQ541" s="103" t="s">
        <v>1197</v>
      </c>
      <c r="AR541" s="103" t="s">
        <v>943</v>
      </c>
      <c r="AS541" s="271"/>
      <c r="AT541" s="271"/>
      <c r="AU541" s="271"/>
      <c r="AV541" s="271"/>
      <c r="AW541" s="271">
        <v>3500000</v>
      </c>
      <c r="AX541" s="271"/>
      <c r="AY541" s="271"/>
      <c r="AZ541" s="271"/>
      <c r="BA541" s="271"/>
      <c r="BB541" s="271"/>
      <c r="BC541" s="271"/>
      <c r="BD541" s="271"/>
      <c r="BE541" s="271"/>
      <c r="BF541" s="271"/>
      <c r="BG541" s="271"/>
      <c r="BH541" s="235">
        <f t="shared" si="216"/>
        <v>3500000</v>
      </c>
      <c r="BI541" s="271"/>
      <c r="BJ541" s="271"/>
      <c r="BK541" s="271"/>
      <c r="BL541" s="271"/>
      <c r="BM541" s="271">
        <v>2500000</v>
      </c>
      <c r="BN541" s="271"/>
      <c r="BO541" s="271"/>
      <c r="BP541" s="271"/>
      <c r="BQ541" s="271"/>
      <c r="BR541" s="271"/>
      <c r="BS541" s="271"/>
      <c r="BT541" s="271"/>
      <c r="BU541" s="271"/>
      <c r="BV541" s="271"/>
      <c r="BW541" s="271"/>
      <c r="BX541" s="235">
        <f t="shared" si="217"/>
        <v>2500000</v>
      </c>
      <c r="BY541" s="271"/>
      <c r="BZ541" s="271"/>
      <c r="CA541" s="271"/>
      <c r="CB541" s="271"/>
      <c r="CC541" s="271">
        <v>3000000</v>
      </c>
      <c r="CD541" s="271"/>
      <c r="CE541" s="271"/>
      <c r="CF541" s="271"/>
      <c r="CG541" s="271"/>
      <c r="CH541" s="271"/>
      <c r="CI541" s="271"/>
      <c r="CJ541" s="271"/>
      <c r="CK541" s="271"/>
      <c r="CL541" s="271"/>
      <c r="CM541" s="271"/>
      <c r="CN541" s="235">
        <f t="shared" si="218"/>
        <v>3000000</v>
      </c>
      <c r="CO541" s="271"/>
      <c r="CP541" s="271"/>
      <c r="CQ541" s="271"/>
      <c r="CR541" s="271"/>
      <c r="CS541" s="271">
        <v>3000000</v>
      </c>
      <c r="CT541" s="271"/>
      <c r="CU541" s="271"/>
      <c r="CV541" s="271"/>
      <c r="CW541" s="271"/>
      <c r="CX541" s="271"/>
      <c r="CY541" s="271"/>
      <c r="CZ541" s="271"/>
      <c r="DA541" s="271"/>
      <c r="DB541" s="271"/>
      <c r="DC541" s="271"/>
      <c r="DD541" s="235">
        <f t="shared" si="219"/>
        <v>3000000</v>
      </c>
      <c r="DE541" s="244">
        <f t="shared" si="220"/>
        <v>12000000</v>
      </c>
    </row>
    <row r="542" spans="1:109" s="98" customFormat="1" ht="121.05" customHeight="1">
      <c r="A542" s="103" t="s">
        <v>1242</v>
      </c>
      <c r="B542" s="279" t="s">
        <v>1469</v>
      </c>
      <c r="C542" s="279" t="s">
        <v>1689</v>
      </c>
      <c r="D542" s="279">
        <v>43</v>
      </c>
      <c r="E542" s="279" t="s">
        <v>1470</v>
      </c>
      <c r="F542" s="280" t="s">
        <v>1471</v>
      </c>
      <c r="G542" s="279" t="s">
        <v>2849</v>
      </c>
      <c r="H542" s="279">
        <v>52</v>
      </c>
      <c r="I542" s="279" t="s">
        <v>1472</v>
      </c>
      <c r="J542" s="279" t="s">
        <v>683</v>
      </c>
      <c r="K542" s="279">
        <v>188</v>
      </c>
      <c r="L542" s="279" t="s">
        <v>1473</v>
      </c>
      <c r="M542" s="279" t="s">
        <v>1474</v>
      </c>
      <c r="N542" s="279" t="s">
        <v>1475</v>
      </c>
      <c r="O542" s="279" t="s">
        <v>3600</v>
      </c>
      <c r="P542" s="266">
        <v>486</v>
      </c>
      <c r="Q542" s="279" t="s">
        <v>3603</v>
      </c>
      <c r="R542" s="279" t="s">
        <v>18</v>
      </c>
      <c r="S542" s="279" t="s">
        <v>683</v>
      </c>
      <c r="T542" s="279">
        <v>70</v>
      </c>
      <c r="U542" s="267">
        <v>23</v>
      </c>
      <c r="V542" s="267">
        <v>30</v>
      </c>
      <c r="W542" s="224">
        <v>53</v>
      </c>
      <c r="X542" s="267"/>
      <c r="Y542" s="267">
        <v>50</v>
      </c>
      <c r="Z542" s="267"/>
      <c r="AA542" s="267"/>
      <c r="AB542" s="224">
        <v>50</v>
      </c>
      <c r="AC542" s="267">
        <v>27</v>
      </c>
      <c r="AD542" s="267"/>
      <c r="AE542" s="267"/>
      <c r="AF542" s="267"/>
      <c r="AG542" s="224">
        <v>27</v>
      </c>
      <c r="AH542" s="267"/>
      <c r="AI542" s="267"/>
      <c r="AJ542" s="267"/>
      <c r="AK542" s="267"/>
      <c r="AL542" s="224">
        <v>0</v>
      </c>
      <c r="AM542" s="104">
        <v>130</v>
      </c>
      <c r="AN542" s="103" t="s">
        <v>685</v>
      </c>
      <c r="AO542" s="103" t="s">
        <v>620</v>
      </c>
      <c r="AP542" s="103" t="s">
        <v>1220</v>
      </c>
      <c r="AQ542" s="103" t="s">
        <v>1197</v>
      </c>
      <c r="AR542" s="103" t="s">
        <v>943</v>
      </c>
      <c r="AS542" s="271"/>
      <c r="AT542" s="271"/>
      <c r="AU542" s="271"/>
      <c r="AV542" s="271"/>
      <c r="AW542" s="271">
        <v>53000000</v>
      </c>
      <c r="AX542" s="271"/>
      <c r="AY542" s="271"/>
      <c r="AZ542" s="271"/>
      <c r="BA542" s="271"/>
      <c r="BB542" s="271"/>
      <c r="BC542" s="271"/>
      <c r="BD542" s="271"/>
      <c r="BE542" s="271"/>
      <c r="BF542" s="271"/>
      <c r="BG542" s="271"/>
      <c r="BH542" s="235">
        <f t="shared" si="216"/>
        <v>53000000</v>
      </c>
      <c r="BI542" s="271"/>
      <c r="BJ542" s="271"/>
      <c r="BK542" s="271"/>
      <c r="BL542" s="271"/>
      <c r="BM542" s="271">
        <v>20000000</v>
      </c>
      <c r="BN542" s="271"/>
      <c r="BO542" s="271"/>
      <c r="BP542" s="271"/>
      <c r="BQ542" s="271"/>
      <c r="BR542" s="271"/>
      <c r="BS542" s="271"/>
      <c r="BT542" s="271"/>
      <c r="BU542" s="271"/>
      <c r="BV542" s="271"/>
      <c r="BW542" s="271"/>
      <c r="BX542" s="235">
        <f t="shared" si="217"/>
        <v>20000000</v>
      </c>
      <c r="BY542" s="271"/>
      <c r="BZ542" s="271"/>
      <c r="CA542" s="271"/>
      <c r="CB542" s="271"/>
      <c r="CC542" s="271">
        <v>80000000</v>
      </c>
      <c r="CD542" s="271"/>
      <c r="CE542" s="271"/>
      <c r="CF542" s="271"/>
      <c r="CG542" s="271"/>
      <c r="CH542" s="271"/>
      <c r="CI542" s="271"/>
      <c r="CJ542" s="271"/>
      <c r="CK542" s="271"/>
      <c r="CL542" s="271"/>
      <c r="CM542" s="271"/>
      <c r="CN542" s="235">
        <f t="shared" si="218"/>
        <v>80000000</v>
      </c>
      <c r="CO542" s="271"/>
      <c r="CP542" s="271"/>
      <c r="CQ542" s="271"/>
      <c r="CR542" s="271"/>
      <c r="CS542" s="271"/>
      <c r="CT542" s="271"/>
      <c r="CU542" s="271"/>
      <c r="CV542" s="271"/>
      <c r="CW542" s="271"/>
      <c r="CX542" s="271"/>
      <c r="CY542" s="271"/>
      <c r="CZ542" s="271"/>
      <c r="DA542" s="271"/>
      <c r="DB542" s="271"/>
      <c r="DC542" s="271"/>
      <c r="DD542" s="235">
        <f t="shared" si="219"/>
        <v>0</v>
      </c>
      <c r="DE542" s="244">
        <f t="shared" si="220"/>
        <v>153000000</v>
      </c>
    </row>
    <row r="543" spans="1:109" s="98" customFormat="1" ht="121.05" customHeight="1">
      <c r="A543" s="103" t="s">
        <v>1242</v>
      </c>
      <c r="B543" s="279" t="s">
        <v>1469</v>
      </c>
      <c r="C543" s="279" t="s">
        <v>1689</v>
      </c>
      <c r="D543" s="279">
        <v>43</v>
      </c>
      <c r="E543" s="279" t="s">
        <v>1470</v>
      </c>
      <c r="F543" s="280" t="s">
        <v>1471</v>
      </c>
      <c r="G543" s="279" t="s">
        <v>2849</v>
      </c>
      <c r="H543" s="279">
        <v>52</v>
      </c>
      <c r="I543" s="279" t="s">
        <v>1472</v>
      </c>
      <c r="J543" s="279" t="s">
        <v>683</v>
      </c>
      <c r="K543" s="279">
        <v>188</v>
      </c>
      <c r="L543" s="279" t="s">
        <v>1473</v>
      </c>
      <c r="M543" s="279" t="s">
        <v>1476</v>
      </c>
      <c r="N543" s="279" t="s">
        <v>1477</v>
      </c>
      <c r="O543" s="279" t="s">
        <v>1478</v>
      </c>
      <c r="P543" s="266">
        <v>487</v>
      </c>
      <c r="Q543" s="279" t="s">
        <v>2851</v>
      </c>
      <c r="R543" s="279" t="s">
        <v>21</v>
      </c>
      <c r="S543" s="279" t="s">
        <v>683</v>
      </c>
      <c r="T543" s="279">
        <v>10</v>
      </c>
      <c r="U543" s="267"/>
      <c r="V543" s="267">
        <v>3</v>
      </c>
      <c r="W543" s="224">
        <v>3</v>
      </c>
      <c r="X543" s="267"/>
      <c r="Y543" s="267"/>
      <c r="Z543" s="267">
        <v>7</v>
      </c>
      <c r="AA543" s="267"/>
      <c r="AB543" s="224">
        <v>7</v>
      </c>
      <c r="AC543" s="267"/>
      <c r="AD543" s="267"/>
      <c r="AE543" s="267"/>
      <c r="AF543" s="267"/>
      <c r="AG543" s="224">
        <v>0</v>
      </c>
      <c r="AH543" s="267"/>
      <c r="AI543" s="267"/>
      <c r="AJ543" s="267"/>
      <c r="AK543" s="267"/>
      <c r="AL543" s="224">
        <v>0</v>
      </c>
      <c r="AM543" s="104">
        <v>10</v>
      </c>
      <c r="AN543" s="103" t="s">
        <v>685</v>
      </c>
      <c r="AO543" s="103" t="s">
        <v>620</v>
      </c>
      <c r="AP543" s="103" t="s">
        <v>1220</v>
      </c>
      <c r="AQ543" s="103" t="s">
        <v>1197</v>
      </c>
      <c r="AR543" s="103" t="s">
        <v>943</v>
      </c>
      <c r="AS543" s="271"/>
      <c r="AT543" s="271"/>
      <c r="AU543" s="271"/>
      <c r="AV543" s="271">
        <v>9000000</v>
      </c>
      <c r="AW543" s="271"/>
      <c r="AX543" s="271"/>
      <c r="AY543" s="271"/>
      <c r="AZ543" s="271"/>
      <c r="BA543" s="271"/>
      <c r="BB543" s="271"/>
      <c r="BC543" s="271"/>
      <c r="BD543" s="271"/>
      <c r="BE543" s="271"/>
      <c r="BF543" s="271"/>
      <c r="BG543" s="271"/>
      <c r="BH543" s="235">
        <f t="shared" si="216"/>
        <v>9000000</v>
      </c>
      <c r="BI543" s="271"/>
      <c r="BJ543" s="271"/>
      <c r="BK543" s="271"/>
      <c r="BL543" s="271"/>
      <c r="BM543" s="271">
        <v>21000000</v>
      </c>
      <c r="BN543" s="271"/>
      <c r="BO543" s="271"/>
      <c r="BP543" s="271"/>
      <c r="BQ543" s="271"/>
      <c r="BR543" s="271"/>
      <c r="BS543" s="271"/>
      <c r="BT543" s="271"/>
      <c r="BU543" s="271"/>
      <c r="BV543" s="271"/>
      <c r="BW543" s="271"/>
      <c r="BX543" s="235">
        <f t="shared" si="217"/>
        <v>21000000</v>
      </c>
      <c r="BY543" s="271"/>
      <c r="BZ543" s="271"/>
      <c r="CA543" s="271"/>
      <c r="CB543" s="271"/>
      <c r="CC543" s="271"/>
      <c r="CD543" s="271"/>
      <c r="CE543" s="271"/>
      <c r="CF543" s="271"/>
      <c r="CG543" s="271"/>
      <c r="CH543" s="271"/>
      <c r="CI543" s="271"/>
      <c r="CJ543" s="271"/>
      <c r="CK543" s="271"/>
      <c r="CL543" s="271"/>
      <c r="CM543" s="271"/>
      <c r="CN543" s="235">
        <f t="shared" si="218"/>
        <v>0</v>
      </c>
      <c r="CO543" s="271"/>
      <c r="CP543" s="271"/>
      <c r="CQ543" s="271"/>
      <c r="CR543" s="271"/>
      <c r="CS543" s="271"/>
      <c r="CT543" s="271"/>
      <c r="CU543" s="271"/>
      <c r="CV543" s="271"/>
      <c r="CW543" s="271"/>
      <c r="CX543" s="271"/>
      <c r="CY543" s="271"/>
      <c r="CZ543" s="271"/>
      <c r="DA543" s="271"/>
      <c r="DB543" s="271"/>
      <c r="DC543" s="271"/>
      <c r="DD543" s="235">
        <f t="shared" si="219"/>
        <v>0</v>
      </c>
      <c r="DE543" s="244">
        <f t="shared" si="220"/>
        <v>30000000</v>
      </c>
    </row>
    <row r="544" spans="1:109" s="98" customFormat="1" ht="121.05" customHeight="1">
      <c r="A544" s="103" t="s">
        <v>1242</v>
      </c>
      <c r="B544" s="279" t="s">
        <v>1469</v>
      </c>
      <c r="C544" s="279" t="s">
        <v>1689</v>
      </c>
      <c r="D544" s="279">
        <v>43</v>
      </c>
      <c r="E544" s="279" t="s">
        <v>1470</v>
      </c>
      <c r="F544" s="280" t="s">
        <v>1471</v>
      </c>
      <c r="G544" s="279" t="s">
        <v>2849</v>
      </c>
      <c r="H544" s="279">
        <v>52</v>
      </c>
      <c r="I544" s="279" t="s">
        <v>1472</v>
      </c>
      <c r="J544" s="279" t="s">
        <v>683</v>
      </c>
      <c r="K544" s="279">
        <v>188</v>
      </c>
      <c r="L544" s="279" t="s">
        <v>1473</v>
      </c>
      <c r="M544" s="279" t="s">
        <v>1476</v>
      </c>
      <c r="N544" s="279" t="s">
        <v>1477</v>
      </c>
      <c r="O544" s="279" t="s">
        <v>1478</v>
      </c>
      <c r="P544" s="266">
        <v>488</v>
      </c>
      <c r="Q544" s="279" t="s">
        <v>2852</v>
      </c>
      <c r="R544" s="279" t="s">
        <v>22</v>
      </c>
      <c r="S544" s="279" t="s">
        <v>683</v>
      </c>
      <c r="T544" s="279">
        <v>0</v>
      </c>
      <c r="U544" s="267"/>
      <c r="V544" s="267">
        <v>3</v>
      </c>
      <c r="W544" s="224">
        <v>3</v>
      </c>
      <c r="X544" s="267">
        <v>1</v>
      </c>
      <c r="Y544" s="267">
        <v>2</v>
      </c>
      <c r="Z544" s="267">
        <v>1</v>
      </c>
      <c r="AA544" s="267">
        <v>1</v>
      </c>
      <c r="AB544" s="224">
        <v>5</v>
      </c>
      <c r="AC544" s="267">
        <v>1</v>
      </c>
      <c r="AD544" s="267">
        <v>1</v>
      </c>
      <c r="AE544" s="267">
        <v>2</v>
      </c>
      <c r="AF544" s="267">
        <v>1</v>
      </c>
      <c r="AG544" s="224">
        <v>5</v>
      </c>
      <c r="AH544" s="267">
        <v>1</v>
      </c>
      <c r="AI544" s="267">
        <v>2</v>
      </c>
      <c r="AJ544" s="267">
        <v>2</v>
      </c>
      <c r="AK544" s="267">
        <v>2</v>
      </c>
      <c r="AL544" s="224">
        <v>7</v>
      </c>
      <c r="AM544" s="104">
        <v>20</v>
      </c>
      <c r="AN544" s="103" t="s">
        <v>685</v>
      </c>
      <c r="AO544" s="103" t="s">
        <v>620</v>
      </c>
      <c r="AP544" s="103" t="s">
        <v>1220</v>
      </c>
      <c r="AQ544" s="103" t="s">
        <v>1197</v>
      </c>
      <c r="AR544" s="103" t="s">
        <v>943</v>
      </c>
      <c r="AS544" s="271"/>
      <c r="AT544" s="271"/>
      <c r="AU544" s="271"/>
      <c r="AV544" s="271">
        <v>9000000</v>
      </c>
      <c r="AW544" s="271"/>
      <c r="AX544" s="271"/>
      <c r="AY544" s="271"/>
      <c r="AZ544" s="271"/>
      <c r="BA544" s="271"/>
      <c r="BB544" s="271"/>
      <c r="BC544" s="271"/>
      <c r="BD544" s="271"/>
      <c r="BE544" s="271"/>
      <c r="BF544" s="271"/>
      <c r="BG544" s="271"/>
      <c r="BH544" s="235">
        <f t="shared" si="216"/>
        <v>9000000</v>
      </c>
      <c r="BI544" s="271"/>
      <c r="BJ544" s="271"/>
      <c r="BK544" s="271"/>
      <c r="BL544" s="271"/>
      <c r="BM544" s="271">
        <v>15000000</v>
      </c>
      <c r="BN544" s="271"/>
      <c r="BO544" s="271"/>
      <c r="BP544" s="271"/>
      <c r="BQ544" s="271"/>
      <c r="BR544" s="271"/>
      <c r="BS544" s="271"/>
      <c r="BT544" s="271"/>
      <c r="BU544" s="271"/>
      <c r="BV544" s="271"/>
      <c r="BW544" s="271"/>
      <c r="BX544" s="235">
        <f t="shared" si="217"/>
        <v>15000000</v>
      </c>
      <c r="BY544" s="271"/>
      <c r="BZ544" s="271"/>
      <c r="CA544" s="271"/>
      <c r="CB544" s="271"/>
      <c r="CC544" s="271">
        <v>15000000</v>
      </c>
      <c r="CD544" s="271"/>
      <c r="CE544" s="271"/>
      <c r="CF544" s="271"/>
      <c r="CG544" s="271"/>
      <c r="CH544" s="271"/>
      <c r="CI544" s="271"/>
      <c r="CJ544" s="271"/>
      <c r="CK544" s="271"/>
      <c r="CL544" s="271"/>
      <c r="CM544" s="271"/>
      <c r="CN544" s="235">
        <f t="shared" si="218"/>
        <v>15000000</v>
      </c>
      <c r="CO544" s="271"/>
      <c r="CP544" s="271"/>
      <c r="CQ544" s="271"/>
      <c r="CR544" s="271"/>
      <c r="CS544" s="271">
        <v>21000000</v>
      </c>
      <c r="CT544" s="271"/>
      <c r="CU544" s="271"/>
      <c r="CV544" s="271"/>
      <c r="CW544" s="271"/>
      <c r="CX544" s="271"/>
      <c r="CY544" s="271"/>
      <c r="CZ544" s="271"/>
      <c r="DA544" s="271"/>
      <c r="DB544" s="271"/>
      <c r="DC544" s="271"/>
      <c r="DD544" s="235">
        <f t="shared" si="219"/>
        <v>21000000</v>
      </c>
      <c r="DE544" s="244">
        <f t="shared" si="220"/>
        <v>60000000</v>
      </c>
    </row>
    <row r="545" spans="1:109" s="98" customFormat="1" ht="121.05" customHeight="1">
      <c r="A545" s="103" t="s">
        <v>1242</v>
      </c>
      <c r="B545" s="279" t="s">
        <v>1469</v>
      </c>
      <c r="C545" s="279" t="s">
        <v>1689</v>
      </c>
      <c r="D545" s="279">
        <v>43</v>
      </c>
      <c r="E545" s="279" t="s">
        <v>1470</v>
      </c>
      <c r="F545" s="280" t="s">
        <v>1471</v>
      </c>
      <c r="G545" s="279" t="s">
        <v>2849</v>
      </c>
      <c r="H545" s="279">
        <v>52</v>
      </c>
      <c r="I545" s="279" t="s">
        <v>1472</v>
      </c>
      <c r="J545" s="279" t="s">
        <v>683</v>
      </c>
      <c r="K545" s="279">
        <v>188</v>
      </c>
      <c r="L545" s="279" t="s">
        <v>1473</v>
      </c>
      <c r="M545" s="279" t="s">
        <v>1476</v>
      </c>
      <c r="N545" s="279" t="s">
        <v>1477</v>
      </c>
      <c r="O545" s="279" t="s">
        <v>1478</v>
      </c>
      <c r="P545" s="266">
        <v>489</v>
      </c>
      <c r="Q545" s="279" t="s">
        <v>2853</v>
      </c>
      <c r="R545" s="279" t="s">
        <v>25</v>
      </c>
      <c r="S545" s="279" t="s">
        <v>683</v>
      </c>
      <c r="T545" s="279">
        <v>0</v>
      </c>
      <c r="U545" s="267"/>
      <c r="V545" s="267"/>
      <c r="W545" s="224">
        <v>0</v>
      </c>
      <c r="X545" s="267"/>
      <c r="Y545" s="267"/>
      <c r="Z545" s="267"/>
      <c r="AA545" s="267">
        <v>1</v>
      </c>
      <c r="AB545" s="224">
        <v>1</v>
      </c>
      <c r="AC545" s="267"/>
      <c r="AD545" s="267">
        <v>1</v>
      </c>
      <c r="AE545" s="267"/>
      <c r="AF545" s="267"/>
      <c r="AG545" s="224">
        <v>1</v>
      </c>
      <c r="AH545" s="267"/>
      <c r="AI545" s="267">
        <v>1</v>
      </c>
      <c r="AJ545" s="267">
        <v>1</v>
      </c>
      <c r="AK545" s="267"/>
      <c r="AL545" s="224">
        <v>2</v>
      </c>
      <c r="AM545" s="104">
        <v>4</v>
      </c>
      <c r="AN545" s="103" t="s">
        <v>685</v>
      </c>
      <c r="AO545" s="103" t="s">
        <v>620</v>
      </c>
      <c r="AP545" s="103" t="s">
        <v>1220</v>
      </c>
      <c r="AQ545" s="103" t="s">
        <v>1197</v>
      </c>
      <c r="AR545" s="103" t="s">
        <v>943</v>
      </c>
      <c r="AS545" s="271"/>
      <c r="AT545" s="271"/>
      <c r="AU545" s="271"/>
      <c r="AV545" s="271"/>
      <c r="AW545" s="271"/>
      <c r="AX545" s="271"/>
      <c r="AY545" s="271"/>
      <c r="AZ545" s="271"/>
      <c r="BA545" s="271"/>
      <c r="BB545" s="271"/>
      <c r="BC545" s="271"/>
      <c r="BD545" s="271"/>
      <c r="BE545" s="271"/>
      <c r="BF545" s="271"/>
      <c r="BG545" s="271"/>
      <c r="BH545" s="235">
        <f t="shared" si="216"/>
        <v>0</v>
      </c>
      <c r="BI545" s="271"/>
      <c r="BJ545" s="271"/>
      <c r="BK545" s="271"/>
      <c r="BL545" s="271"/>
      <c r="BM545" s="271">
        <v>60000000</v>
      </c>
      <c r="BN545" s="271"/>
      <c r="BO545" s="271"/>
      <c r="BP545" s="271"/>
      <c r="BQ545" s="271"/>
      <c r="BR545" s="271"/>
      <c r="BS545" s="271"/>
      <c r="BT545" s="271"/>
      <c r="BU545" s="271"/>
      <c r="BV545" s="271"/>
      <c r="BW545" s="271"/>
      <c r="BX545" s="235">
        <f t="shared" si="217"/>
        <v>60000000</v>
      </c>
      <c r="BY545" s="271"/>
      <c r="BZ545" s="271"/>
      <c r="CA545" s="271"/>
      <c r="CB545" s="271"/>
      <c r="CC545" s="271">
        <v>164000000</v>
      </c>
      <c r="CD545" s="271"/>
      <c r="CE545" s="271"/>
      <c r="CF545" s="271"/>
      <c r="CG545" s="271"/>
      <c r="CH545" s="271"/>
      <c r="CI545" s="271"/>
      <c r="CJ545" s="271"/>
      <c r="CK545" s="271"/>
      <c r="CL545" s="271"/>
      <c r="CM545" s="271"/>
      <c r="CN545" s="235">
        <f t="shared" si="218"/>
        <v>164000000</v>
      </c>
      <c r="CO545" s="271"/>
      <c r="CP545" s="271"/>
      <c r="CQ545" s="271"/>
      <c r="CR545" s="271"/>
      <c r="CS545" s="271">
        <v>200000000</v>
      </c>
      <c r="CT545" s="271"/>
      <c r="CU545" s="271"/>
      <c r="CV545" s="271"/>
      <c r="CW545" s="271"/>
      <c r="CX545" s="271"/>
      <c r="CY545" s="271"/>
      <c r="CZ545" s="271"/>
      <c r="DA545" s="271"/>
      <c r="DB545" s="271"/>
      <c r="DC545" s="271"/>
      <c r="DD545" s="235">
        <f t="shared" si="219"/>
        <v>200000000</v>
      </c>
      <c r="DE545" s="244">
        <f t="shared" si="220"/>
        <v>424000000</v>
      </c>
    </row>
    <row r="546" spans="1:109" s="98" customFormat="1" ht="121.05" customHeight="1">
      <c r="A546" s="103" t="s">
        <v>1242</v>
      </c>
      <c r="B546" s="279" t="s">
        <v>1469</v>
      </c>
      <c r="C546" s="279" t="s">
        <v>1689</v>
      </c>
      <c r="D546" s="279">
        <v>43</v>
      </c>
      <c r="E546" s="279" t="s">
        <v>1470</v>
      </c>
      <c r="F546" s="280" t="s">
        <v>1471</v>
      </c>
      <c r="G546" s="279" t="s">
        <v>2849</v>
      </c>
      <c r="H546" s="279">
        <v>52</v>
      </c>
      <c r="I546" s="279" t="s">
        <v>1472</v>
      </c>
      <c r="J546" s="279" t="s">
        <v>683</v>
      </c>
      <c r="K546" s="279">
        <v>188</v>
      </c>
      <c r="L546" s="279" t="s">
        <v>1473</v>
      </c>
      <c r="M546" s="279" t="s">
        <v>1476</v>
      </c>
      <c r="N546" s="279" t="s">
        <v>1477</v>
      </c>
      <c r="O546" s="279" t="s">
        <v>1478</v>
      </c>
      <c r="P546" s="266">
        <v>490</v>
      </c>
      <c r="Q546" s="279" t="s">
        <v>2854</v>
      </c>
      <c r="R546" s="279" t="s">
        <v>30</v>
      </c>
      <c r="S546" s="279" t="s">
        <v>683</v>
      </c>
      <c r="T546" s="279">
        <v>1</v>
      </c>
      <c r="U546" s="267"/>
      <c r="V546" s="267">
        <v>2</v>
      </c>
      <c r="W546" s="224">
        <v>2</v>
      </c>
      <c r="X546" s="267">
        <v>1</v>
      </c>
      <c r="Y546" s="267"/>
      <c r="Z546" s="267"/>
      <c r="AA546" s="267"/>
      <c r="AB546" s="224">
        <v>1</v>
      </c>
      <c r="AC546" s="267">
        <v>1</v>
      </c>
      <c r="AD546" s="267"/>
      <c r="AE546" s="267"/>
      <c r="AF546" s="267"/>
      <c r="AG546" s="224">
        <v>1</v>
      </c>
      <c r="AH546" s="267">
        <v>1</v>
      </c>
      <c r="AI546" s="267"/>
      <c r="AJ546" s="267"/>
      <c r="AK546" s="267"/>
      <c r="AL546" s="224">
        <v>1</v>
      </c>
      <c r="AM546" s="104">
        <v>5</v>
      </c>
      <c r="AN546" s="103" t="s">
        <v>685</v>
      </c>
      <c r="AO546" s="103" t="s">
        <v>620</v>
      </c>
      <c r="AP546" s="103" t="s">
        <v>1220</v>
      </c>
      <c r="AQ546" s="103" t="s">
        <v>1197</v>
      </c>
      <c r="AR546" s="103" t="s">
        <v>943</v>
      </c>
      <c r="AS546" s="271"/>
      <c r="AT546" s="271"/>
      <c r="AU546" s="271"/>
      <c r="AV546" s="271">
        <v>83300000</v>
      </c>
      <c r="AW546" s="271"/>
      <c r="AX546" s="271"/>
      <c r="AY546" s="271"/>
      <c r="AZ546" s="271"/>
      <c r="BA546" s="271"/>
      <c r="BB546" s="271"/>
      <c r="BC546" s="271"/>
      <c r="BD546" s="271"/>
      <c r="BE546" s="271"/>
      <c r="BF546" s="271"/>
      <c r="BG546" s="271"/>
      <c r="BH546" s="235">
        <f t="shared" si="216"/>
        <v>83300000</v>
      </c>
      <c r="BI546" s="271"/>
      <c r="BJ546" s="271"/>
      <c r="BK546" s="271"/>
      <c r="BL546" s="271"/>
      <c r="BM546" s="271">
        <v>30000000</v>
      </c>
      <c r="BN546" s="271"/>
      <c r="BO546" s="271"/>
      <c r="BP546" s="271"/>
      <c r="BQ546" s="271"/>
      <c r="BR546" s="271"/>
      <c r="BS546" s="271"/>
      <c r="BT546" s="271"/>
      <c r="BU546" s="271"/>
      <c r="BV546" s="271"/>
      <c r="BW546" s="271"/>
      <c r="BX546" s="235">
        <f t="shared" si="217"/>
        <v>30000000</v>
      </c>
      <c r="BY546" s="271"/>
      <c r="BZ546" s="271"/>
      <c r="CA546" s="271"/>
      <c r="CB546" s="271"/>
      <c r="CC546" s="271">
        <v>30000000</v>
      </c>
      <c r="CD546" s="271"/>
      <c r="CE546" s="271"/>
      <c r="CF546" s="271"/>
      <c r="CG546" s="271"/>
      <c r="CH546" s="271"/>
      <c r="CI546" s="271"/>
      <c r="CJ546" s="271"/>
      <c r="CK546" s="271"/>
      <c r="CL546" s="271"/>
      <c r="CM546" s="271"/>
      <c r="CN546" s="235">
        <f t="shared" si="218"/>
        <v>30000000</v>
      </c>
      <c r="CO546" s="271"/>
      <c r="CP546" s="271"/>
      <c r="CQ546" s="271"/>
      <c r="CR546" s="271"/>
      <c r="CS546" s="271">
        <v>30000000</v>
      </c>
      <c r="CT546" s="271"/>
      <c r="CU546" s="271"/>
      <c r="CV546" s="271"/>
      <c r="CW546" s="271"/>
      <c r="CX546" s="271"/>
      <c r="CY546" s="271"/>
      <c r="CZ546" s="271"/>
      <c r="DA546" s="271"/>
      <c r="DB546" s="271"/>
      <c r="DC546" s="271"/>
      <c r="DD546" s="235">
        <f t="shared" si="219"/>
        <v>30000000</v>
      </c>
      <c r="DE546" s="244">
        <f t="shared" si="220"/>
        <v>173300000</v>
      </c>
    </row>
    <row r="547" spans="1:109" s="98" customFormat="1" ht="121.05" customHeight="1">
      <c r="A547" s="103" t="s">
        <v>1242</v>
      </c>
      <c r="B547" s="279" t="s">
        <v>1469</v>
      </c>
      <c r="C547" s="279" t="s">
        <v>1689</v>
      </c>
      <c r="D547" s="279">
        <v>43</v>
      </c>
      <c r="E547" s="279" t="s">
        <v>1470</v>
      </c>
      <c r="F547" s="280" t="s">
        <v>1471</v>
      </c>
      <c r="G547" s="279" t="s">
        <v>2849</v>
      </c>
      <c r="H547" s="279">
        <v>52</v>
      </c>
      <c r="I547" s="279" t="s">
        <v>1472</v>
      </c>
      <c r="J547" s="279" t="s">
        <v>683</v>
      </c>
      <c r="K547" s="279">
        <v>188</v>
      </c>
      <c r="L547" s="279" t="s">
        <v>1473</v>
      </c>
      <c r="M547" s="279" t="s">
        <v>1476</v>
      </c>
      <c r="N547" s="279" t="s">
        <v>1477</v>
      </c>
      <c r="O547" s="279" t="s">
        <v>1478</v>
      </c>
      <c r="P547" s="266">
        <v>491</v>
      </c>
      <c r="Q547" s="279" t="s">
        <v>2855</v>
      </c>
      <c r="R547" s="279" t="s">
        <v>32</v>
      </c>
      <c r="S547" s="279" t="s">
        <v>683</v>
      </c>
      <c r="T547" s="279">
        <v>16</v>
      </c>
      <c r="U547" s="267">
        <v>1</v>
      </c>
      <c r="V547" s="267">
        <v>1</v>
      </c>
      <c r="W547" s="224">
        <v>2</v>
      </c>
      <c r="X547" s="267"/>
      <c r="Y547" s="267">
        <v>1</v>
      </c>
      <c r="Z547" s="267">
        <v>1</v>
      </c>
      <c r="AA547" s="267"/>
      <c r="AB547" s="224">
        <v>2</v>
      </c>
      <c r="AC547" s="267">
        <v>1</v>
      </c>
      <c r="AD547" s="267">
        <v>1</v>
      </c>
      <c r="AE547" s="267">
        <v>1</v>
      </c>
      <c r="AF547" s="267"/>
      <c r="AG547" s="224">
        <v>3</v>
      </c>
      <c r="AH547" s="267">
        <v>1</v>
      </c>
      <c r="AI547" s="267">
        <v>1</v>
      </c>
      <c r="AJ547" s="267">
        <v>1</v>
      </c>
      <c r="AK547" s="267"/>
      <c r="AL547" s="224">
        <v>3</v>
      </c>
      <c r="AM547" s="104">
        <v>10</v>
      </c>
      <c r="AN547" s="103" t="s">
        <v>685</v>
      </c>
      <c r="AO547" s="103" t="s">
        <v>620</v>
      </c>
      <c r="AP547" s="103" t="s">
        <v>1220</v>
      </c>
      <c r="AQ547" s="103" t="s">
        <v>1197</v>
      </c>
      <c r="AR547" s="103" t="s">
        <v>943</v>
      </c>
      <c r="AS547" s="271"/>
      <c r="AT547" s="271"/>
      <c r="AU547" s="271"/>
      <c r="AV547" s="271">
        <v>10000000</v>
      </c>
      <c r="AW547" s="271"/>
      <c r="AX547" s="271"/>
      <c r="AY547" s="271"/>
      <c r="AZ547" s="271"/>
      <c r="BA547" s="271"/>
      <c r="BB547" s="271"/>
      <c r="BC547" s="271"/>
      <c r="BD547" s="271"/>
      <c r="BE547" s="271"/>
      <c r="BF547" s="271"/>
      <c r="BG547" s="271"/>
      <c r="BH547" s="235">
        <f t="shared" si="216"/>
        <v>10000000</v>
      </c>
      <c r="BI547" s="271"/>
      <c r="BJ547" s="271"/>
      <c r="BK547" s="271"/>
      <c r="BL547" s="271"/>
      <c r="BM547" s="271">
        <v>10000000</v>
      </c>
      <c r="BN547" s="271"/>
      <c r="BO547" s="271"/>
      <c r="BP547" s="271"/>
      <c r="BQ547" s="271"/>
      <c r="BR547" s="271"/>
      <c r="BS547" s="271"/>
      <c r="BT547" s="271"/>
      <c r="BU547" s="271"/>
      <c r="BV547" s="271"/>
      <c r="BW547" s="271"/>
      <c r="BX547" s="235">
        <f t="shared" si="217"/>
        <v>10000000</v>
      </c>
      <c r="BY547" s="271"/>
      <c r="BZ547" s="271"/>
      <c r="CA547" s="271"/>
      <c r="CB547" s="271"/>
      <c r="CC547" s="271">
        <v>15000000</v>
      </c>
      <c r="CD547" s="271"/>
      <c r="CE547" s="271"/>
      <c r="CF547" s="271"/>
      <c r="CG547" s="271"/>
      <c r="CH547" s="271"/>
      <c r="CI547" s="271"/>
      <c r="CJ547" s="271"/>
      <c r="CK547" s="271"/>
      <c r="CL547" s="271"/>
      <c r="CM547" s="271"/>
      <c r="CN547" s="235">
        <f t="shared" si="218"/>
        <v>15000000</v>
      </c>
      <c r="CO547" s="271"/>
      <c r="CP547" s="271"/>
      <c r="CQ547" s="271"/>
      <c r="CR547" s="271"/>
      <c r="CS547" s="271">
        <v>15000000</v>
      </c>
      <c r="CT547" s="271"/>
      <c r="CU547" s="271"/>
      <c r="CV547" s="271"/>
      <c r="CW547" s="271"/>
      <c r="CX547" s="271"/>
      <c r="CY547" s="271"/>
      <c r="CZ547" s="271"/>
      <c r="DA547" s="271"/>
      <c r="DB547" s="271"/>
      <c r="DC547" s="271"/>
      <c r="DD547" s="235">
        <f t="shared" si="219"/>
        <v>15000000</v>
      </c>
      <c r="DE547" s="244">
        <f t="shared" si="220"/>
        <v>50000000</v>
      </c>
    </row>
    <row r="548" spans="1:109" s="98" customFormat="1" ht="121.05" customHeight="1">
      <c r="A548" s="103" t="s">
        <v>1242</v>
      </c>
      <c r="B548" s="279" t="s">
        <v>1469</v>
      </c>
      <c r="C548" s="279" t="s">
        <v>1689</v>
      </c>
      <c r="D548" s="279">
        <v>43</v>
      </c>
      <c r="E548" s="279" t="s">
        <v>1470</v>
      </c>
      <c r="F548" s="280" t="s">
        <v>1471</v>
      </c>
      <c r="G548" s="279" t="s">
        <v>2849</v>
      </c>
      <c r="H548" s="279">
        <v>52</v>
      </c>
      <c r="I548" s="279" t="s">
        <v>1472</v>
      </c>
      <c r="J548" s="279" t="s">
        <v>683</v>
      </c>
      <c r="K548" s="279">
        <v>188</v>
      </c>
      <c r="L548" s="279" t="s">
        <v>1473</v>
      </c>
      <c r="M548" s="279" t="s">
        <v>1476</v>
      </c>
      <c r="N548" s="279" t="s">
        <v>1477</v>
      </c>
      <c r="O548" s="279" t="s">
        <v>1478</v>
      </c>
      <c r="P548" s="266">
        <v>492</v>
      </c>
      <c r="Q548" s="279" t="s">
        <v>2856</v>
      </c>
      <c r="R548" s="279" t="s">
        <v>35</v>
      </c>
      <c r="S548" s="279" t="s">
        <v>683</v>
      </c>
      <c r="T548" s="279">
        <v>30</v>
      </c>
      <c r="U548" s="267">
        <v>20</v>
      </c>
      <c r="V548" s="267">
        <v>10</v>
      </c>
      <c r="W548" s="224">
        <v>30</v>
      </c>
      <c r="X548" s="267">
        <v>5</v>
      </c>
      <c r="Y548" s="267">
        <v>10</v>
      </c>
      <c r="Z548" s="267">
        <v>10</v>
      </c>
      <c r="AA548" s="267">
        <v>5</v>
      </c>
      <c r="AB548" s="224">
        <v>30</v>
      </c>
      <c r="AC548" s="267">
        <v>10</v>
      </c>
      <c r="AD548" s="267">
        <v>10</v>
      </c>
      <c r="AE548" s="267">
        <v>5</v>
      </c>
      <c r="AF548" s="267">
        <v>5</v>
      </c>
      <c r="AG548" s="224">
        <v>30</v>
      </c>
      <c r="AH548" s="267">
        <v>10</v>
      </c>
      <c r="AI548" s="267">
        <v>10</v>
      </c>
      <c r="AJ548" s="267">
        <v>5</v>
      </c>
      <c r="AK548" s="267">
        <v>5</v>
      </c>
      <c r="AL548" s="224">
        <v>30</v>
      </c>
      <c r="AM548" s="104">
        <v>30</v>
      </c>
      <c r="AN548" s="103" t="s">
        <v>686</v>
      </c>
      <c r="AO548" s="103" t="s">
        <v>620</v>
      </c>
      <c r="AP548" s="103" t="s">
        <v>1220</v>
      </c>
      <c r="AQ548" s="103" t="s">
        <v>1197</v>
      </c>
      <c r="AR548" s="103" t="s">
        <v>943</v>
      </c>
      <c r="AS548" s="271"/>
      <c r="AT548" s="271"/>
      <c r="AU548" s="271"/>
      <c r="AV548" s="271">
        <v>33000000</v>
      </c>
      <c r="AW548" s="271"/>
      <c r="AX548" s="271"/>
      <c r="AY548" s="271"/>
      <c r="AZ548" s="271"/>
      <c r="BA548" s="271"/>
      <c r="BB548" s="271"/>
      <c r="BC548" s="271"/>
      <c r="BD548" s="271"/>
      <c r="BE548" s="271"/>
      <c r="BF548" s="271"/>
      <c r="BG548" s="271"/>
      <c r="BH548" s="235">
        <f t="shared" si="216"/>
        <v>33000000</v>
      </c>
      <c r="BI548" s="271"/>
      <c r="BJ548" s="271"/>
      <c r="BK548" s="271"/>
      <c r="BL548" s="271"/>
      <c r="BM548" s="271">
        <v>10000000</v>
      </c>
      <c r="BN548" s="271"/>
      <c r="BO548" s="271"/>
      <c r="BP548" s="271"/>
      <c r="BQ548" s="271"/>
      <c r="BR548" s="271"/>
      <c r="BS548" s="271"/>
      <c r="BT548" s="271"/>
      <c r="BU548" s="271"/>
      <c r="BV548" s="271"/>
      <c r="BW548" s="271"/>
      <c r="BX548" s="235">
        <f t="shared" si="217"/>
        <v>10000000</v>
      </c>
      <c r="BY548" s="271"/>
      <c r="BZ548" s="271"/>
      <c r="CA548" s="271"/>
      <c r="CB548" s="271"/>
      <c r="CC548" s="271">
        <v>30000000</v>
      </c>
      <c r="CD548" s="271"/>
      <c r="CE548" s="271"/>
      <c r="CF548" s="271"/>
      <c r="CG548" s="271"/>
      <c r="CH548" s="271"/>
      <c r="CI548" s="271"/>
      <c r="CJ548" s="271"/>
      <c r="CK548" s="271"/>
      <c r="CL548" s="271"/>
      <c r="CM548" s="271"/>
      <c r="CN548" s="235">
        <f t="shared" si="218"/>
        <v>30000000</v>
      </c>
      <c r="CO548" s="271"/>
      <c r="CP548" s="271"/>
      <c r="CQ548" s="271"/>
      <c r="CR548" s="271"/>
      <c r="CS548" s="271">
        <v>30000000</v>
      </c>
      <c r="CT548" s="271"/>
      <c r="CU548" s="271"/>
      <c r="CV548" s="271"/>
      <c r="CW548" s="271"/>
      <c r="CX548" s="271"/>
      <c r="CY548" s="271"/>
      <c r="CZ548" s="271"/>
      <c r="DA548" s="271"/>
      <c r="DB548" s="271"/>
      <c r="DC548" s="271"/>
      <c r="DD548" s="235">
        <f t="shared" si="219"/>
        <v>30000000</v>
      </c>
      <c r="DE548" s="244">
        <f t="shared" si="220"/>
        <v>103000000</v>
      </c>
    </row>
    <row r="549" spans="1:109" s="98" customFormat="1" ht="121.05" customHeight="1">
      <c r="A549" s="103" t="s">
        <v>1242</v>
      </c>
      <c r="B549" s="279" t="s">
        <v>1469</v>
      </c>
      <c r="C549" s="279" t="s">
        <v>1689</v>
      </c>
      <c r="D549" s="279">
        <v>43</v>
      </c>
      <c r="E549" s="279" t="s">
        <v>1470</v>
      </c>
      <c r="F549" s="280" t="s">
        <v>1471</v>
      </c>
      <c r="G549" s="279" t="s">
        <v>2849</v>
      </c>
      <c r="H549" s="279">
        <v>52</v>
      </c>
      <c r="I549" s="279" t="s">
        <v>1472</v>
      </c>
      <c r="J549" s="279" t="s">
        <v>683</v>
      </c>
      <c r="K549" s="279">
        <v>188</v>
      </c>
      <c r="L549" s="279" t="s">
        <v>1473</v>
      </c>
      <c r="M549" s="279" t="s">
        <v>1476</v>
      </c>
      <c r="N549" s="279" t="s">
        <v>1477</v>
      </c>
      <c r="O549" s="279" t="s">
        <v>1478</v>
      </c>
      <c r="P549" s="266">
        <v>493</v>
      </c>
      <c r="Q549" s="279" t="s">
        <v>2857</v>
      </c>
      <c r="R549" s="279" t="s">
        <v>35</v>
      </c>
      <c r="S549" s="279" t="s">
        <v>683</v>
      </c>
      <c r="T549" s="279">
        <v>30</v>
      </c>
      <c r="U549" s="267">
        <v>20</v>
      </c>
      <c r="V549" s="267">
        <v>10</v>
      </c>
      <c r="W549" s="224">
        <v>30</v>
      </c>
      <c r="X549" s="267">
        <v>3</v>
      </c>
      <c r="Y549" s="267">
        <v>10</v>
      </c>
      <c r="Z549" s="267">
        <v>8</v>
      </c>
      <c r="AA549" s="267">
        <v>3</v>
      </c>
      <c r="AB549" s="224">
        <v>24</v>
      </c>
      <c r="AC549" s="267">
        <v>4</v>
      </c>
      <c r="AD549" s="267">
        <v>8</v>
      </c>
      <c r="AE549" s="267">
        <v>6</v>
      </c>
      <c r="AF549" s="267">
        <v>4</v>
      </c>
      <c r="AG549" s="224">
        <v>22</v>
      </c>
      <c r="AH549" s="267">
        <v>5</v>
      </c>
      <c r="AI549" s="267">
        <v>3</v>
      </c>
      <c r="AJ549" s="267">
        <v>3</v>
      </c>
      <c r="AK549" s="267">
        <v>3</v>
      </c>
      <c r="AL549" s="224">
        <v>14</v>
      </c>
      <c r="AM549" s="104">
        <v>90</v>
      </c>
      <c r="AN549" s="103" t="s">
        <v>685</v>
      </c>
      <c r="AO549" s="103" t="s">
        <v>620</v>
      </c>
      <c r="AP549" s="103" t="s">
        <v>1220</v>
      </c>
      <c r="AQ549" s="103" t="s">
        <v>1197</v>
      </c>
      <c r="AR549" s="103" t="s">
        <v>943</v>
      </c>
      <c r="AS549" s="271"/>
      <c r="AT549" s="271"/>
      <c r="AU549" s="271"/>
      <c r="AV549" s="271">
        <v>30000000</v>
      </c>
      <c r="AW549" s="271"/>
      <c r="AX549" s="271"/>
      <c r="AY549" s="271"/>
      <c r="AZ549" s="271"/>
      <c r="BA549" s="271"/>
      <c r="BB549" s="271"/>
      <c r="BC549" s="271"/>
      <c r="BD549" s="271"/>
      <c r="BE549" s="271"/>
      <c r="BF549" s="271"/>
      <c r="BG549" s="271"/>
      <c r="BH549" s="235">
        <f t="shared" si="216"/>
        <v>30000000</v>
      </c>
      <c r="BI549" s="271"/>
      <c r="BJ549" s="271"/>
      <c r="BK549" s="271"/>
      <c r="BL549" s="271"/>
      <c r="BM549" s="271">
        <v>24000000</v>
      </c>
      <c r="BN549" s="271"/>
      <c r="BO549" s="271"/>
      <c r="BP549" s="271"/>
      <c r="BQ549" s="271"/>
      <c r="BR549" s="271"/>
      <c r="BS549" s="271"/>
      <c r="BT549" s="271"/>
      <c r="BU549" s="271"/>
      <c r="BV549" s="271"/>
      <c r="BW549" s="271"/>
      <c r="BX549" s="235">
        <f t="shared" si="217"/>
        <v>24000000</v>
      </c>
      <c r="BY549" s="271"/>
      <c r="BZ549" s="271"/>
      <c r="CA549" s="271"/>
      <c r="CB549" s="271"/>
      <c r="CC549" s="271">
        <v>22000000</v>
      </c>
      <c r="CD549" s="271"/>
      <c r="CE549" s="271"/>
      <c r="CF549" s="271"/>
      <c r="CG549" s="271"/>
      <c r="CH549" s="271"/>
      <c r="CI549" s="271"/>
      <c r="CJ549" s="271"/>
      <c r="CK549" s="271"/>
      <c r="CL549" s="271"/>
      <c r="CM549" s="271"/>
      <c r="CN549" s="235">
        <f t="shared" si="218"/>
        <v>22000000</v>
      </c>
      <c r="CO549" s="271"/>
      <c r="CP549" s="271"/>
      <c r="CQ549" s="271"/>
      <c r="CR549" s="271"/>
      <c r="CS549" s="271">
        <v>14000000</v>
      </c>
      <c r="CT549" s="271"/>
      <c r="CU549" s="271"/>
      <c r="CV549" s="271"/>
      <c r="CW549" s="271"/>
      <c r="CX549" s="271"/>
      <c r="CY549" s="271"/>
      <c r="CZ549" s="271"/>
      <c r="DA549" s="271"/>
      <c r="DB549" s="271"/>
      <c r="DC549" s="271"/>
      <c r="DD549" s="235">
        <f t="shared" si="219"/>
        <v>14000000</v>
      </c>
      <c r="DE549" s="244">
        <f t="shared" si="220"/>
        <v>90000000</v>
      </c>
    </row>
    <row r="550" spans="1:109" s="98" customFormat="1" ht="121.05" customHeight="1">
      <c r="A550" s="103" t="s">
        <v>1242</v>
      </c>
      <c r="B550" s="279" t="s">
        <v>1469</v>
      </c>
      <c r="C550" s="279" t="s">
        <v>1689</v>
      </c>
      <c r="D550" s="279">
        <v>43</v>
      </c>
      <c r="E550" s="279" t="s">
        <v>1470</v>
      </c>
      <c r="F550" s="280" t="s">
        <v>1471</v>
      </c>
      <c r="G550" s="279" t="s">
        <v>2849</v>
      </c>
      <c r="H550" s="279">
        <v>52</v>
      </c>
      <c r="I550" s="279" t="s">
        <v>1472</v>
      </c>
      <c r="J550" s="279" t="s">
        <v>683</v>
      </c>
      <c r="K550" s="279">
        <v>188</v>
      </c>
      <c r="L550" s="279" t="s">
        <v>1473</v>
      </c>
      <c r="M550" s="279" t="s">
        <v>1476</v>
      </c>
      <c r="N550" s="279" t="s">
        <v>1477</v>
      </c>
      <c r="O550" s="279" t="s">
        <v>1478</v>
      </c>
      <c r="P550" s="266">
        <v>494</v>
      </c>
      <c r="Q550" s="279" t="s">
        <v>2858</v>
      </c>
      <c r="R550" s="279" t="s">
        <v>1479</v>
      </c>
      <c r="S550" s="279" t="s">
        <v>683</v>
      </c>
      <c r="T550" s="279">
        <v>40</v>
      </c>
      <c r="U550" s="267">
        <v>15</v>
      </c>
      <c r="V550" s="267">
        <v>15</v>
      </c>
      <c r="W550" s="224">
        <v>30</v>
      </c>
      <c r="X550" s="267"/>
      <c r="Y550" s="267">
        <v>5</v>
      </c>
      <c r="Z550" s="267">
        <v>5</v>
      </c>
      <c r="AA550" s="267">
        <v>5</v>
      </c>
      <c r="AB550" s="224">
        <v>15</v>
      </c>
      <c r="AC550" s="267">
        <v>5</v>
      </c>
      <c r="AD550" s="267">
        <v>10</v>
      </c>
      <c r="AE550" s="267">
        <v>5</v>
      </c>
      <c r="AF550" s="267">
        <v>10</v>
      </c>
      <c r="AG550" s="224">
        <v>30</v>
      </c>
      <c r="AH550" s="267">
        <v>5</v>
      </c>
      <c r="AI550" s="267">
        <v>5</v>
      </c>
      <c r="AJ550" s="267">
        <v>5</v>
      </c>
      <c r="AK550" s="267"/>
      <c r="AL550" s="224">
        <v>15</v>
      </c>
      <c r="AM550" s="104">
        <v>90</v>
      </c>
      <c r="AN550" s="103" t="s">
        <v>685</v>
      </c>
      <c r="AO550" s="103" t="s">
        <v>620</v>
      </c>
      <c r="AP550" s="103" t="s">
        <v>1220</v>
      </c>
      <c r="AQ550" s="103" t="s">
        <v>1197</v>
      </c>
      <c r="AR550" s="103" t="s">
        <v>943</v>
      </c>
      <c r="AS550" s="271"/>
      <c r="AT550" s="271"/>
      <c r="AU550" s="271"/>
      <c r="AV550" s="271"/>
      <c r="AW550" s="271">
        <v>7000000</v>
      </c>
      <c r="AX550" s="271"/>
      <c r="AY550" s="271"/>
      <c r="AZ550" s="271"/>
      <c r="BA550" s="271"/>
      <c r="BB550" s="271"/>
      <c r="BC550" s="271"/>
      <c r="BD550" s="271"/>
      <c r="BE550" s="271"/>
      <c r="BF550" s="271"/>
      <c r="BG550" s="271"/>
      <c r="BH550" s="235">
        <f t="shared" si="216"/>
        <v>7000000</v>
      </c>
      <c r="BI550" s="271"/>
      <c r="BJ550" s="271"/>
      <c r="BK550" s="271"/>
      <c r="BL550" s="271"/>
      <c r="BM550" s="271">
        <v>7000000</v>
      </c>
      <c r="BN550" s="271"/>
      <c r="BO550" s="271"/>
      <c r="BP550" s="271"/>
      <c r="BQ550" s="271"/>
      <c r="BR550" s="271"/>
      <c r="BS550" s="271"/>
      <c r="BT550" s="271"/>
      <c r="BU550" s="271"/>
      <c r="BV550" s="271"/>
      <c r="BW550" s="271"/>
      <c r="BX550" s="235">
        <f t="shared" si="217"/>
        <v>7000000</v>
      </c>
      <c r="BY550" s="271"/>
      <c r="BZ550" s="271"/>
      <c r="CA550" s="271"/>
      <c r="CB550" s="271"/>
      <c r="CC550" s="271">
        <v>7000000</v>
      </c>
      <c r="CD550" s="271"/>
      <c r="CE550" s="271"/>
      <c r="CF550" s="271"/>
      <c r="CG550" s="271"/>
      <c r="CH550" s="271"/>
      <c r="CI550" s="271"/>
      <c r="CJ550" s="271"/>
      <c r="CK550" s="271"/>
      <c r="CL550" s="271"/>
      <c r="CM550" s="271"/>
      <c r="CN550" s="235">
        <f t="shared" si="218"/>
        <v>7000000</v>
      </c>
      <c r="CO550" s="271"/>
      <c r="CP550" s="271"/>
      <c r="CQ550" s="271"/>
      <c r="CR550" s="271"/>
      <c r="CS550" s="271">
        <v>7000000</v>
      </c>
      <c r="CT550" s="271"/>
      <c r="CU550" s="271"/>
      <c r="CV550" s="271"/>
      <c r="CW550" s="271"/>
      <c r="CX550" s="271"/>
      <c r="CY550" s="271"/>
      <c r="CZ550" s="271"/>
      <c r="DA550" s="271"/>
      <c r="DB550" s="271"/>
      <c r="DC550" s="271"/>
      <c r="DD550" s="235">
        <f t="shared" si="219"/>
        <v>7000000</v>
      </c>
      <c r="DE550" s="244">
        <f t="shared" si="220"/>
        <v>28000000</v>
      </c>
    </row>
    <row r="551" spans="1:109" s="98" customFormat="1" ht="121.05" customHeight="1">
      <c r="A551" s="103" t="s">
        <v>1242</v>
      </c>
      <c r="B551" s="279" t="s">
        <v>1469</v>
      </c>
      <c r="C551" s="279" t="s">
        <v>1689</v>
      </c>
      <c r="D551" s="279">
        <v>43</v>
      </c>
      <c r="E551" s="279" t="s">
        <v>1470</v>
      </c>
      <c r="F551" s="280" t="s">
        <v>1471</v>
      </c>
      <c r="G551" s="279" t="s">
        <v>2849</v>
      </c>
      <c r="H551" s="279">
        <v>52</v>
      </c>
      <c r="I551" s="279" t="s">
        <v>1472</v>
      </c>
      <c r="J551" s="279" t="s">
        <v>683</v>
      </c>
      <c r="K551" s="279">
        <v>188</v>
      </c>
      <c r="L551" s="279" t="s">
        <v>1473</v>
      </c>
      <c r="M551" s="279" t="s">
        <v>1476</v>
      </c>
      <c r="N551" s="279" t="s">
        <v>1477</v>
      </c>
      <c r="O551" s="279" t="s">
        <v>1478</v>
      </c>
      <c r="P551" s="266">
        <v>495</v>
      </c>
      <c r="Q551" s="279" t="s">
        <v>2859</v>
      </c>
      <c r="R551" s="279" t="s">
        <v>37</v>
      </c>
      <c r="S551" s="279" t="s">
        <v>683</v>
      </c>
      <c r="T551" s="279">
        <v>15</v>
      </c>
      <c r="U551" s="267"/>
      <c r="V551" s="267">
        <v>2</v>
      </c>
      <c r="W551" s="224">
        <v>2</v>
      </c>
      <c r="X551" s="267">
        <v>1</v>
      </c>
      <c r="Y551" s="267">
        <v>1</v>
      </c>
      <c r="Z551" s="267">
        <v>1</v>
      </c>
      <c r="AA551" s="267">
        <v>1</v>
      </c>
      <c r="AB551" s="224">
        <v>4</v>
      </c>
      <c r="AC551" s="267">
        <v>1</v>
      </c>
      <c r="AD551" s="267">
        <v>1</v>
      </c>
      <c r="AE551" s="267">
        <v>1</v>
      </c>
      <c r="AF551" s="267">
        <v>1</v>
      </c>
      <c r="AG551" s="224">
        <v>4</v>
      </c>
      <c r="AH551" s="267">
        <v>1</v>
      </c>
      <c r="AI551" s="267">
        <v>1</v>
      </c>
      <c r="AJ551" s="267"/>
      <c r="AK551" s="267"/>
      <c r="AL551" s="224">
        <v>2</v>
      </c>
      <c r="AM551" s="104">
        <v>12</v>
      </c>
      <c r="AN551" s="103" t="s">
        <v>685</v>
      </c>
      <c r="AO551" s="103" t="s">
        <v>620</v>
      </c>
      <c r="AP551" s="103" t="s">
        <v>1220</v>
      </c>
      <c r="AQ551" s="103" t="s">
        <v>1197</v>
      </c>
      <c r="AR551" s="103" t="s">
        <v>943</v>
      </c>
      <c r="AS551" s="271"/>
      <c r="AT551" s="271"/>
      <c r="AU551" s="271"/>
      <c r="AV551" s="271">
        <v>188000000</v>
      </c>
      <c r="AW551" s="271"/>
      <c r="AX551" s="271"/>
      <c r="AY551" s="271"/>
      <c r="AZ551" s="271"/>
      <c r="BA551" s="271"/>
      <c r="BB551" s="271"/>
      <c r="BC551" s="271"/>
      <c r="BD551" s="271"/>
      <c r="BE551" s="271"/>
      <c r="BF551" s="271"/>
      <c r="BG551" s="271"/>
      <c r="BH551" s="235">
        <f t="shared" si="216"/>
        <v>188000000</v>
      </c>
      <c r="BI551" s="271"/>
      <c r="BJ551" s="271"/>
      <c r="BK551" s="271"/>
      <c r="BL551" s="271"/>
      <c r="BM551" s="271">
        <v>80000000</v>
      </c>
      <c r="BN551" s="271"/>
      <c r="BO551" s="271"/>
      <c r="BP551" s="271"/>
      <c r="BQ551" s="271"/>
      <c r="BR551" s="271"/>
      <c r="BS551" s="271"/>
      <c r="BT551" s="271"/>
      <c r="BU551" s="271"/>
      <c r="BV551" s="271"/>
      <c r="BW551" s="271"/>
      <c r="BX551" s="235">
        <f t="shared" si="217"/>
        <v>80000000</v>
      </c>
      <c r="BY551" s="271"/>
      <c r="BZ551" s="271"/>
      <c r="CA551" s="271"/>
      <c r="CB551" s="271"/>
      <c r="CC551" s="271">
        <v>120000000</v>
      </c>
      <c r="CD551" s="271"/>
      <c r="CE551" s="271"/>
      <c r="CF551" s="271"/>
      <c r="CG551" s="271"/>
      <c r="CH551" s="271"/>
      <c r="CI551" s="271"/>
      <c r="CJ551" s="271"/>
      <c r="CK551" s="271"/>
      <c r="CL551" s="271"/>
      <c r="CM551" s="271"/>
      <c r="CN551" s="235">
        <f t="shared" si="218"/>
        <v>120000000</v>
      </c>
      <c r="CO551" s="271"/>
      <c r="CP551" s="271"/>
      <c r="CQ551" s="271"/>
      <c r="CR551" s="271"/>
      <c r="CS551" s="271">
        <v>120000000</v>
      </c>
      <c r="CT551" s="271"/>
      <c r="CU551" s="271"/>
      <c r="CV551" s="271"/>
      <c r="CW551" s="271"/>
      <c r="CX551" s="271"/>
      <c r="CY551" s="271"/>
      <c r="CZ551" s="271"/>
      <c r="DA551" s="271"/>
      <c r="DB551" s="271"/>
      <c r="DC551" s="271"/>
      <c r="DD551" s="235">
        <f t="shared" si="219"/>
        <v>120000000</v>
      </c>
      <c r="DE551" s="244">
        <f t="shared" si="220"/>
        <v>508000000</v>
      </c>
    </row>
    <row r="552" spans="1:109" s="98" customFormat="1" ht="121.05" customHeight="1">
      <c r="A552" s="103" t="s">
        <v>1242</v>
      </c>
      <c r="B552" s="279" t="s">
        <v>1469</v>
      </c>
      <c r="C552" s="279" t="s">
        <v>1689</v>
      </c>
      <c r="D552" s="279">
        <v>43</v>
      </c>
      <c r="E552" s="279" t="s">
        <v>1470</v>
      </c>
      <c r="F552" s="280" t="s">
        <v>1471</v>
      </c>
      <c r="G552" s="279" t="s">
        <v>2849</v>
      </c>
      <c r="H552" s="279">
        <v>52</v>
      </c>
      <c r="I552" s="279" t="s">
        <v>1472</v>
      </c>
      <c r="J552" s="279" t="s">
        <v>683</v>
      </c>
      <c r="K552" s="279">
        <v>188</v>
      </c>
      <c r="L552" s="279" t="s">
        <v>1473</v>
      </c>
      <c r="M552" s="279" t="s">
        <v>1480</v>
      </c>
      <c r="N552" s="279" t="s">
        <v>1481</v>
      </c>
      <c r="O552" s="279" t="s">
        <v>1482</v>
      </c>
      <c r="P552" s="266">
        <v>496</v>
      </c>
      <c r="Q552" s="279" t="s">
        <v>2860</v>
      </c>
      <c r="R552" s="279" t="s">
        <v>1483</v>
      </c>
      <c r="S552" s="279" t="s">
        <v>683</v>
      </c>
      <c r="T552" s="279">
        <v>0</v>
      </c>
      <c r="U552" s="267"/>
      <c r="V552" s="267">
        <v>2</v>
      </c>
      <c r="W552" s="224">
        <v>2</v>
      </c>
      <c r="X552" s="267">
        <v>2</v>
      </c>
      <c r="Y552" s="267">
        <v>4</v>
      </c>
      <c r="Z552" s="267">
        <v>4</v>
      </c>
      <c r="AA552" s="267">
        <v>2</v>
      </c>
      <c r="AB552" s="224">
        <v>12</v>
      </c>
      <c r="AC552" s="267">
        <v>2</v>
      </c>
      <c r="AD552" s="267">
        <v>4</v>
      </c>
      <c r="AE552" s="267">
        <v>4</v>
      </c>
      <c r="AF552" s="267">
        <v>4</v>
      </c>
      <c r="AG552" s="224">
        <v>14</v>
      </c>
      <c r="AH552" s="267">
        <v>4</v>
      </c>
      <c r="AI552" s="267">
        <v>4</v>
      </c>
      <c r="AJ552" s="267">
        <v>2</v>
      </c>
      <c r="AK552" s="267">
        <v>2</v>
      </c>
      <c r="AL552" s="224">
        <v>12</v>
      </c>
      <c r="AM552" s="104">
        <v>40</v>
      </c>
      <c r="AN552" s="103" t="s">
        <v>685</v>
      </c>
      <c r="AO552" s="103" t="s">
        <v>620</v>
      </c>
      <c r="AP552" s="103" t="s">
        <v>1220</v>
      </c>
      <c r="AQ552" s="103" t="s">
        <v>1197</v>
      </c>
      <c r="AR552" s="103" t="s">
        <v>943</v>
      </c>
      <c r="AS552" s="271"/>
      <c r="AT552" s="271"/>
      <c r="AU552" s="271"/>
      <c r="AV552" s="271">
        <v>7000000</v>
      </c>
      <c r="AW552" s="271"/>
      <c r="AX552" s="271"/>
      <c r="AY552" s="271"/>
      <c r="AZ552" s="271"/>
      <c r="BA552" s="271"/>
      <c r="BB552" s="271"/>
      <c r="BC552" s="271"/>
      <c r="BD552" s="271"/>
      <c r="BE552" s="271"/>
      <c r="BF552" s="271"/>
      <c r="BG552" s="271"/>
      <c r="BH552" s="235">
        <f t="shared" si="216"/>
        <v>7000000</v>
      </c>
      <c r="BI552" s="271"/>
      <c r="BJ552" s="271"/>
      <c r="BK552" s="271"/>
      <c r="BL552" s="271"/>
      <c r="BM552" s="271">
        <v>10000000</v>
      </c>
      <c r="BN552" s="271"/>
      <c r="BO552" s="271"/>
      <c r="BP552" s="271"/>
      <c r="BQ552" s="271"/>
      <c r="BR552" s="271"/>
      <c r="BS552" s="271"/>
      <c r="BT552" s="271"/>
      <c r="BU552" s="271"/>
      <c r="BV552" s="271"/>
      <c r="BW552" s="271"/>
      <c r="BX552" s="235">
        <f t="shared" si="217"/>
        <v>10000000</v>
      </c>
      <c r="BY552" s="271"/>
      <c r="BZ552" s="271"/>
      <c r="CA552" s="271"/>
      <c r="CB552" s="271"/>
      <c r="CC552" s="271">
        <v>26000000</v>
      </c>
      <c r="CD552" s="271"/>
      <c r="CE552" s="271"/>
      <c r="CF552" s="271"/>
      <c r="CG552" s="271"/>
      <c r="CH552" s="271"/>
      <c r="CI552" s="271"/>
      <c r="CJ552" s="271"/>
      <c r="CK552" s="271"/>
      <c r="CL552" s="271"/>
      <c r="CM552" s="271"/>
      <c r="CN552" s="235">
        <f t="shared" si="218"/>
        <v>26000000</v>
      </c>
      <c r="CO552" s="271"/>
      <c r="CP552" s="271"/>
      <c r="CQ552" s="271"/>
      <c r="CR552" s="271"/>
      <c r="CS552" s="271">
        <v>40000000</v>
      </c>
      <c r="CT552" s="271"/>
      <c r="CU552" s="271"/>
      <c r="CV552" s="271"/>
      <c r="CW552" s="271"/>
      <c r="CX552" s="271"/>
      <c r="CY552" s="271"/>
      <c r="CZ552" s="271"/>
      <c r="DA552" s="271"/>
      <c r="DB552" s="271"/>
      <c r="DC552" s="271"/>
      <c r="DD552" s="235">
        <f t="shared" si="219"/>
        <v>40000000</v>
      </c>
      <c r="DE552" s="244">
        <f t="shared" si="220"/>
        <v>83000000</v>
      </c>
    </row>
    <row r="553" spans="1:109" s="98" customFormat="1" ht="121.05" customHeight="1">
      <c r="A553" s="103" t="s">
        <v>1242</v>
      </c>
      <c r="B553" s="279" t="s">
        <v>1469</v>
      </c>
      <c r="C553" s="279" t="s">
        <v>1689</v>
      </c>
      <c r="D553" s="279">
        <v>43</v>
      </c>
      <c r="E553" s="279" t="s">
        <v>1470</v>
      </c>
      <c r="F553" s="280" t="s">
        <v>1471</v>
      </c>
      <c r="G553" s="279" t="s">
        <v>2849</v>
      </c>
      <c r="H553" s="279">
        <v>52</v>
      </c>
      <c r="I553" s="279" t="s">
        <v>1472</v>
      </c>
      <c r="J553" s="279" t="s">
        <v>683</v>
      </c>
      <c r="K553" s="279">
        <v>188</v>
      </c>
      <c r="L553" s="279" t="s">
        <v>1473</v>
      </c>
      <c r="M553" s="279" t="s">
        <v>1480</v>
      </c>
      <c r="N553" s="279" t="s">
        <v>1481</v>
      </c>
      <c r="O553" s="279" t="s">
        <v>1482</v>
      </c>
      <c r="P553" s="266">
        <v>497</v>
      </c>
      <c r="Q553" s="279" t="s">
        <v>2861</v>
      </c>
      <c r="R553" s="279" t="s">
        <v>1484</v>
      </c>
      <c r="S553" s="279" t="s">
        <v>683</v>
      </c>
      <c r="T553" s="279">
        <v>2</v>
      </c>
      <c r="U553" s="267"/>
      <c r="V553" s="267"/>
      <c r="W553" s="224">
        <v>0</v>
      </c>
      <c r="X553" s="267"/>
      <c r="Y553" s="267"/>
      <c r="Z553" s="267">
        <v>0.5</v>
      </c>
      <c r="AA553" s="267">
        <v>0.5</v>
      </c>
      <c r="AB553" s="224">
        <v>1</v>
      </c>
      <c r="AC553" s="267"/>
      <c r="AD553" s="267"/>
      <c r="AE553" s="267">
        <v>0.5</v>
      </c>
      <c r="AF553" s="267">
        <v>0.5</v>
      </c>
      <c r="AG553" s="224">
        <v>1</v>
      </c>
      <c r="AH553" s="267"/>
      <c r="AI553" s="267"/>
      <c r="AJ553" s="267">
        <v>0.5</v>
      </c>
      <c r="AK553" s="267">
        <v>0.5</v>
      </c>
      <c r="AL553" s="224">
        <v>1</v>
      </c>
      <c r="AM553" s="104">
        <v>3</v>
      </c>
      <c r="AN553" s="103" t="s">
        <v>685</v>
      </c>
      <c r="AO553" s="103" t="s">
        <v>620</v>
      </c>
      <c r="AP553" s="103" t="s">
        <v>1220</v>
      </c>
      <c r="AQ553" s="103" t="s">
        <v>1197</v>
      </c>
      <c r="AR553" s="103" t="s">
        <v>943</v>
      </c>
      <c r="AS553" s="271"/>
      <c r="AT553" s="271"/>
      <c r="AU553" s="271"/>
      <c r="AV553" s="271"/>
      <c r="AW553" s="271"/>
      <c r="AX553" s="271"/>
      <c r="AY553" s="271"/>
      <c r="AZ553" s="271"/>
      <c r="BA553" s="271"/>
      <c r="BB553" s="271"/>
      <c r="BC553" s="271"/>
      <c r="BD553" s="271"/>
      <c r="BE553" s="271"/>
      <c r="BF553" s="271"/>
      <c r="BG553" s="271"/>
      <c r="BH553" s="235">
        <f t="shared" si="216"/>
        <v>0</v>
      </c>
      <c r="BI553" s="271"/>
      <c r="BJ553" s="271"/>
      <c r="BK553" s="271"/>
      <c r="BL553" s="271"/>
      <c r="BM553" s="271">
        <v>21000000</v>
      </c>
      <c r="BN553" s="271"/>
      <c r="BO553" s="271"/>
      <c r="BP553" s="271"/>
      <c r="BQ553" s="271"/>
      <c r="BR553" s="271"/>
      <c r="BS553" s="271"/>
      <c r="BT553" s="271"/>
      <c r="BU553" s="271"/>
      <c r="BV553" s="271"/>
      <c r="BW553" s="271"/>
      <c r="BX553" s="235">
        <f t="shared" si="217"/>
        <v>21000000</v>
      </c>
      <c r="BY553" s="271"/>
      <c r="BZ553" s="271"/>
      <c r="CA553" s="271"/>
      <c r="CB553" s="271"/>
      <c r="CC553" s="271">
        <v>22000000</v>
      </c>
      <c r="CD553" s="271"/>
      <c r="CE553" s="271"/>
      <c r="CF553" s="271"/>
      <c r="CG553" s="271"/>
      <c r="CH553" s="271"/>
      <c r="CI553" s="271"/>
      <c r="CJ553" s="271"/>
      <c r="CK553" s="271"/>
      <c r="CL553" s="271"/>
      <c r="CM553" s="271"/>
      <c r="CN553" s="235">
        <f t="shared" si="218"/>
        <v>22000000</v>
      </c>
      <c r="CO553" s="271"/>
      <c r="CP553" s="271"/>
      <c r="CQ553" s="271"/>
      <c r="CR553" s="271"/>
      <c r="CS553" s="271">
        <v>21000000</v>
      </c>
      <c r="CT553" s="271"/>
      <c r="CU553" s="271"/>
      <c r="CV553" s="271"/>
      <c r="CW553" s="271"/>
      <c r="CX553" s="271"/>
      <c r="CY553" s="271"/>
      <c r="CZ553" s="271"/>
      <c r="DA553" s="271"/>
      <c r="DB553" s="271"/>
      <c r="DC553" s="271"/>
      <c r="DD553" s="235">
        <f t="shared" si="219"/>
        <v>21000000</v>
      </c>
      <c r="DE553" s="244">
        <f t="shared" si="220"/>
        <v>64000000</v>
      </c>
    </row>
    <row r="554" spans="1:109" s="98" customFormat="1" ht="121.05" customHeight="1">
      <c r="A554" s="103" t="s">
        <v>1242</v>
      </c>
      <c r="B554" s="279" t="s">
        <v>1469</v>
      </c>
      <c r="C554" s="279" t="s">
        <v>1689</v>
      </c>
      <c r="D554" s="279">
        <v>43</v>
      </c>
      <c r="E554" s="279" t="s">
        <v>1470</v>
      </c>
      <c r="F554" s="280" t="s">
        <v>1471</v>
      </c>
      <c r="G554" s="279" t="s">
        <v>2849</v>
      </c>
      <c r="H554" s="279">
        <v>52</v>
      </c>
      <c r="I554" s="279" t="s">
        <v>1472</v>
      </c>
      <c r="J554" s="279" t="s">
        <v>683</v>
      </c>
      <c r="K554" s="279">
        <v>188</v>
      </c>
      <c r="L554" s="279" t="s">
        <v>1473</v>
      </c>
      <c r="M554" s="279" t="s">
        <v>1480</v>
      </c>
      <c r="N554" s="279" t="s">
        <v>1481</v>
      </c>
      <c r="O554" s="279" t="s">
        <v>1482</v>
      </c>
      <c r="P554" s="266">
        <v>498</v>
      </c>
      <c r="Q554" s="279" t="s">
        <v>2862</v>
      </c>
      <c r="R554" s="279" t="s">
        <v>43</v>
      </c>
      <c r="S554" s="279" t="s">
        <v>683</v>
      </c>
      <c r="T554" s="279">
        <v>78</v>
      </c>
      <c r="U554" s="267"/>
      <c r="V554" s="267">
        <v>32</v>
      </c>
      <c r="W554" s="224">
        <v>32</v>
      </c>
      <c r="X554" s="267"/>
      <c r="Y554" s="267"/>
      <c r="Z554" s="267"/>
      <c r="AA554" s="267">
        <v>20</v>
      </c>
      <c r="AB554" s="224">
        <v>20</v>
      </c>
      <c r="AC554" s="267"/>
      <c r="AD554" s="267"/>
      <c r="AE554" s="267">
        <v>10</v>
      </c>
      <c r="AF554" s="267">
        <v>20</v>
      </c>
      <c r="AG554" s="224">
        <v>30</v>
      </c>
      <c r="AH554" s="267"/>
      <c r="AI554" s="267"/>
      <c r="AJ554" s="267">
        <v>20</v>
      </c>
      <c r="AK554" s="267">
        <v>15</v>
      </c>
      <c r="AL554" s="224">
        <v>35</v>
      </c>
      <c r="AM554" s="104">
        <v>117</v>
      </c>
      <c r="AN554" s="103" t="s">
        <v>685</v>
      </c>
      <c r="AO554" s="103" t="s">
        <v>620</v>
      </c>
      <c r="AP554" s="103" t="s">
        <v>1220</v>
      </c>
      <c r="AQ554" s="103" t="s">
        <v>1197</v>
      </c>
      <c r="AR554" s="103" t="s">
        <v>943</v>
      </c>
      <c r="AS554" s="271"/>
      <c r="AT554" s="271"/>
      <c r="AU554" s="271"/>
      <c r="AV554" s="271"/>
      <c r="AW554" s="271">
        <v>3500000</v>
      </c>
      <c r="AX554" s="271"/>
      <c r="AY554" s="271"/>
      <c r="AZ554" s="271"/>
      <c r="BA554" s="271"/>
      <c r="BB554" s="271"/>
      <c r="BC554" s="271"/>
      <c r="BD554" s="271"/>
      <c r="BE554" s="271"/>
      <c r="BF554" s="271"/>
      <c r="BG554" s="271"/>
      <c r="BH554" s="235">
        <f t="shared" si="216"/>
        <v>3500000</v>
      </c>
      <c r="BI554" s="271"/>
      <c r="BJ554" s="271"/>
      <c r="BK554" s="271"/>
      <c r="BL554" s="271"/>
      <c r="BM554" s="271">
        <v>70000000</v>
      </c>
      <c r="BN554" s="271"/>
      <c r="BO554" s="271"/>
      <c r="BP554" s="271"/>
      <c r="BQ554" s="271"/>
      <c r="BR554" s="271"/>
      <c r="BS554" s="271"/>
      <c r="BT554" s="271"/>
      <c r="BU554" s="271"/>
      <c r="BV554" s="271"/>
      <c r="BW554" s="271"/>
      <c r="BX554" s="235">
        <f t="shared" si="217"/>
        <v>70000000</v>
      </c>
      <c r="BY554" s="271"/>
      <c r="BZ554" s="271"/>
      <c r="CA554" s="271"/>
      <c r="CB554" s="271"/>
      <c r="CC554" s="271">
        <v>163000000</v>
      </c>
      <c r="CD554" s="271"/>
      <c r="CE554" s="271"/>
      <c r="CF554" s="271"/>
      <c r="CG554" s="271"/>
      <c r="CH554" s="271"/>
      <c r="CI554" s="271"/>
      <c r="CJ554" s="271"/>
      <c r="CK554" s="271"/>
      <c r="CL554" s="271"/>
      <c r="CM554" s="271"/>
      <c r="CN554" s="235">
        <f t="shared" si="218"/>
        <v>163000000</v>
      </c>
      <c r="CO554" s="271"/>
      <c r="CP554" s="271"/>
      <c r="CQ554" s="271"/>
      <c r="CR554" s="271"/>
      <c r="CS554" s="271">
        <v>190000000</v>
      </c>
      <c r="CT554" s="271"/>
      <c r="CU554" s="271"/>
      <c r="CV554" s="271"/>
      <c r="CW554" s="271"/>
      <c r="CX554" s="271"/>
      <c r="CY554" s="271"/>
      <c r="CZ554" s="271"/>
      <c r="DA554" s="271"/>
      <c r="DB554" s="271"/>
      <c r="DC554" s="271"/>
      <c r="DD554" s="235">
        <f t="shared" si="219"/>
        <v>190000000</v>
      </c>
      <c r="DE554" s="244">
        <f t="shared" si="220"/>
        <v>426500000</v>
      </c>
    </row>
    <row r="555" spans="1:109" s="98" customFormat="1" ht="121.05" customHeight="1">
      <c r="A555" s="103" t="s">
        <v>1242</v>
      </c>
      <c r="B555" s="279" t="s">
        <v>1469</v>
      </c>
      <c r="C555" s="279" t="s">
        <v>1689</v>
      </c>
      <c r="D555" s="279">
        <v>43</v>
      </c>
      <c r="E555" s="279" t="s">
        <v>1470</v>
      </c>
      <c r="F555" s="280" t="s">
        <v>1471</v>
      </c>
      <c r="G555" s="279" t="s">
        <v>2849</v>
      </c>
      <c r="H555" s="279">
        <v>52</v>
      </c>
      <c r="I555" s="279" t="s">
        <v>1472</v>
      </c>
      <c r="J555" s="279" t="s">
        <v>683</v>
      </c>
      <c r="K555" s="279">
        <v>188</v>
      </c>
      <c r="L555" s="279" t="s">
        <v>1473</v>
      </c>
      <c r="M555" s="279" t="s">
        <v>1480</v>
      </c>
      <c r="N555" s="279" t="s">
        <v>1481</v>
      </c>
      <c r="O555" s="279" t="s">
        <v>1482</v>
      </c>
      <c r="P555" s="266">
        <v>499</v>
      </c>
      <c r="Q555" s="279" t="s">
        <v>2863</v>
      </c>
      <c r="R555" s="279" t="s">
        <v>1485</v>
      </c>
      <c r="S555" s="279" t="s">
        <v>683</v>
      </c>
      <c r="T555" s="279">
        <v>0</v>
      </c>
      <c r="U555" s="267"/>
      <c r="V555" s="267">
        <v>1</v>
      </c>
      <c r="W555" s="224">
        <v>1</v>
      </c>
      <c r="X555" s="267"/>
      <c r="Y555" s="267"/>
      <c r="Z555" s="267"/>
      <c r="AA555" s="267"/>
      <c r="AB555" s="224">
        <v>0</v>
      </c>
      <c r="AC555" s="267"/>
      <c r="AD555" s="267"/>
      <c r="AE555" s="267"/>
      <c r="AF555" s="267"/>
      <c r="AG555" s="224">
        <v>0</v>
      </c>
      <c r="AH555" s="267"/>
      <c r="AI555" s="267"/>
      <c r="AJ555" s="267"/>
      <c r="AK555" s="267"/>
      <c r="AL555" s="224">
        <v>0</v>
      </c>
      <c r="AM555" s="104">
        <v>1</v>
      </c>
      <c r="AN555" s="103" t="s">
        <v>685</v>
      </c>
      <c r="AO555" s="103" t="s">
        <v>620</v>
      </c>
      <c r="AP555" s="103" t="s">
        <v>1220</v>
      </c>
      <c r="AQ555" s="103" t="s">
        <v>1197</v>
      </c>
      <c r="AR555" s="103" t="s">
        <v>943</v>
      </c>
      <c r="AS555" s="271"/>
      <c r="AT555" s="271"/>
      <c r="AU555" s="271"/>
      <c r="AV555" s="271"/>
      <c r="AW555" s="271">
        <v>3000000</v>
      </c>
      <c r="AX555" s="271"/>
      <c r="AY555" s="271"/>
      <c r="AZ555" s="271"/>
      <c r="BA555" s="271"/>
      <c r="BB555" s="271"/>
      <c r="BC555" s="271"/>
      <c r="BD555" s="271"/>
      <c r="BE555" s="271"/>
      <c r="BF555" s="271"/>
      <c r="BG555" s="271"/>
      <c r="BH555" s="235">
        <f t="shared" si="216"/>
        <v>3000000</v>
      </c>
      <c r="BI555" s="271"/>
      <c r="BJ555" s="271"/>
      <c r="BK555" s="271"/>
      <c r="BL555" s="271"/>
      <c r="BM555" s="271"/>
      <c r="BN555" s="271"/>
      <c r="BO555" s="271"/>
      <c r="BP555" s="271"/>
      <c r="BQ555" s="271"/>
      <c r="BR555" s="271"/>
      <c r="BS555" s="271"/>
      <c r="BT555" s="271"/>
      <c r="BU555" s="271"/>
      <c r="BV555" s="271"/>
      <c r="BW555" s="271"/>
      <c r="BX555" s="235">
        <f t="shared" si="217"/>
        <v>0</v>
      </c>
      <c r="BY555" s="271"/>
      <c r="BZ555" s="271"/>
      <c r="CA555" s="271"/>
      <c r="CB555" s="271"/>
      <c r="CC555" s="271"/>
      <c r="CD555" s="271"/>
      <c r="CE555" s="271"/>
      <c r="CF555" s="271"/>
      <c r="CG555" s="271"/>
      <c r="CH555" s="271"/>
      <c r="CI555" s="271"/>
      <c r="CJ555" s="271"/>
      <c r="CK555" s="271"/>
      <c r="CL555" s="271"/>
      <c r="CM555" s="271"/>
      <c r="CN555" s="235">
        <f t="shared" si="218"/>
        <v>0</v>
      </c>
      <c r="CO555" s="271"/>
      <c r="CP555" s="271"/>
      <c r="CQ555" s="271"/>
      <c r="CR555" s="271"/>
      <c r="CS555" s="271"/>
      <c r="CT555" s="271"/>
      <c r="CU555" s="271"/>
      <c r="CV555" s="271"/>
      <c r="CW555" s="271"/>
      <c r="CX555" s="271"/>
      <c r="CY555" s="271"/>
      <c r="CZ555" s="271"/>
      <c r="DA555" s="271"/>
      <c r="DB555" s="271"/>
      <c r="DC555" s="271"/>
      <c r="DD555" s="235">
        <f t="shared" si="219"/>
        <v>0</v>
      </c>
      <c r="DE555" s="244">
        <f t="shared" si="220"/>
        <v>3000000</v>
      </c>
    </row>
    <row r="556" spans="1:109" s="98" customFormat="1" ht="121.05" customHeight="1">
      <c r="A556" s="103" t="s">
        <v>1242</v>
      </c>
      <c r="B556" s="279" t="s">
        <v>1469</v>
      </c>
      <c r="C556" s="279" t="s">
        <v>1689</v>
      </c>
      <c r="D556" s="279">
        <v>43</v>
      </c>
      <c r="E556" s="279" t="s">
        <v>1470</v>
      </c>
      <c r="F556" s="280" t="s">
        <v>1471</v>
      </c>
      <c r="G556" s="279" t="s">
        <v>2849</v>
      </c>
      <c r="H556" s="279">
        <v>52</v>
      </c>
      <c r="I556" s="279" t="s">
        <v>1472</v>
      </c>
      <c r="J556" s="279" t="s">
        <v>683</v>
      </c>
      <c r="K556" s="279">
        <v>188</v>
      </c>
      <c r="L556" s="279" t="s">
        <v>1473</v>
      </c>
      <c r="M556" s="279" t="s">
        <v>1480</v>
      </c>
      <c r="N556" s="279" t="s">
        <v>1481</v>
      </c>
      <c r="O556" s="279" t="s">
        <v>1482</v>
      </c>
      <c r="P556" s="266">
        <v>500</v>
      </c>
      <c r="Q556" s="279" t="s">
        <v>2864</v>
      </c>
      <c r="R556" s="279" t="s">
        <v>48</v>
      </c>
      <c r="S556" s="279" t="s">
        <v>683</v>
      </c>
      <c r="T556" s="279">
        <v>10</v>
      </c>
      <c r="U556" s="267"/>
      <c r="V556" s="267"/>
      <c r="W556" s="224">
        <v>0</v>
      </c>
      <c r="X556" s="267"/>
      <c r="Y556" s="267"/>
      <c r="Z556" s="267"/>
      <c r="AA556" s="267"/>
      <c r="AB556" s="224">
        <v>0</v>
      </c>
      <c r="AC556" s="267"/>
      <c r="AD556" s="267"/>
      <c r="AE556" s="267">
        <v>1</v>
      </c>
      <c r="AF556" s="267">
        <v>1</v>
      </c>
      <c r="AG556" s="224">
        <v>2</v>
      </c>
      <c r="AH556" s="267">
        <v>1</v>
      </c>
      <c r="AI556" s="267">
        <v>1</v>
      </c>
      <c r="AJ556" s="267"/>
      <c r="AK556" s="267"/>
      <c r="AL556" s="224">
        <v>2</v>
      </c>
      <c r="AM556" s="104">
        <v>4</v>
      </c>
      <c r="AN556" s="103" t="s">
        <v>685</v>
      </c>
      <c r="AO556" s="103" t="s">
        <v>620</v>
      </c>
      <c r="AP556" s="103" t="s">
        <v>1220</v>
      </c>
      <c r="AQ556" s="103" t="s">
        <v>1197</v>
      </c>
      <c r="AR556" s="103" t="s">
        <v>943</v>
      </c>
      <c r="AS556" s="271"/>
      <c r="AT556" s="271"/>
      <c r="AU556" s="271"/>
      <c r="AV556" s="271"/>
      <c r="AW556" s="271"/>
      <c r="AX556" s="271"/>
      <c r="AY556" s="271"/>
      <c r="AZ556" s="271"/>
      <c r="BA556" s="271"/>
      <c r="BB556" s="271"/>
      <c r="BC556" s="271"/>
      <c r="BD556" s="271"/>
      <c r="BE556" s="271"/>
      <c r="BF556" s="271"/>
      <c r="BG556" s="271"/>
      <c r="BH556" s="235">
        <f t="shared" si="216"/>
        <v>0</v>
      </c>
      <c r="BI556" s="271"/>
      <c r="BJ556" s="271"/>
      <c r="BK556" s="271"/>
      <c r="BL556" s="271"/>
      <c r="BM556" s="271"/>
      <c r="BN556" s="271"/>
      <c r="BO556" s="271"/>
      <c r="BP556" s="271"/>
      <c r="BQ556" s="271"/>
      <c r="BR556" s="271"/>
      <c r="BS556" s="271"/>
      <c r="BT556" s="271"/>
      <c r="BU556" s="271"/>
      <c r="BV556" s="271"/>
      <c r="BW556" s="271"/>
      <c r="BX556" s="235">
        <f t="shared" si="217"/>
        <v>0</v>
      </c>
      <c r="BY556" s="271"/>
      <c r="BZ556" s="271"/>
      <c r="CA556" s="271"/>
      <c r="CB556" s="271"/>
      <c r="CC556" s="271"/>
      <c r="CD556" s="271"/>
      <c r="CE556" s="271"/>
      <c r="CF556" s="271"/>
      <c r="CG556" s="271"/>
      <c r="CH556" s="271"/>
      <c r="CI556" s="271"/>
      <c r="CJ556" s="271"/>
      <c r="CK556" s="271"/>
      <c r="CL556" s="271"/>
      <c r="CM556" s="271">
        <v>12000000000</v>
      </c>
      <c r="CN556" s="235">
        <f t="shared" si="218"/>
        <v>12000000000</v>
      </c>
      <c r="CO556" s="271"/>
      <c r="CP556" s="271"/>
      <c r="CQ556" s="271"/>
      <c r="CR556" s="271"/>
      <c r="CS556" s="271"/>
      <c r="CT556" s="271"/>
      <c r="CU556" s="271"/>
      <c r="CV556" s="271"/>
      <c r="CW556" s="271"/>
      <c r="CX556" s="271"/>
      <c r="CY556" s="271"/>
      <c r="CZ556" s="271"/>
      <c r="DA556" s="271"/>
      <c r="DB556" s="271"/>
      <c r="DC556" s="271">
        <v>13500000000</v>
      </c>
      <c r="DD556" s="235">
        <f t="shared" si="219"/>
        <v>13500000000</v>
      </c>
      <c r="DE556" s="244">
        <f t="shared" si="220"/>
        <v>25500000000</v>
      </c>
    </row>
    <row r="557" spans="1:109" s="98" customFormat="1" ht="121.05" customHeight="1">
      <c r="A557" s="103" t="s">
        <v>1242</v>
      </c>
      <c r="B557" s="279" t="s">
        <v>1469</v>
      </c>
      <c r="C557" s="279" t="s">
        <v>1689</v>
      </c>
      <c r="D557" s="279">
        <v>43</v>
      </c>
      <c r="E557" s="279" t="s">
        <v>1470</v>
      </c>
      <c r="F557" s="280" t="s">
        <v>1471</v>
      </c>
      <c r="G557" s="279" t="s">
        <v>2849</v>
      </c>
      <c r="H557" s="279">
        <v>52</v>
      </c>
      <c r="I557" s="279" t="s">
        <v>1472</v>
      </c>
      <c r="J557" s="279" t="s">
        <v>683</v>
      </c>
      <c r="K557" s="279">
        <v>188</v>
      </c>
      <c r="L557" s="279" t="s">
        <v>1473</v>
      </c>
      <c r="M557" s="279" t="s">
        <v>1486</v>
      </c>
      <c r="N557" s="279" t="s">
        <v>1487</v>
      </c>
      <c r="O557" s="279" t="s">
        <v>51</v>
      </c>
      <c r="P557" s="266">
        <v>501</v>
      </c>
      <c r="Q557" s="279" t="s">
        <v>2865</v>
      </c>
      <c r="R557" s="279" t="s">
        <v>1488</v>
      </c>
      <c r="S557" s="279" t="s">
        <v>683</v>
      </c>
      <c r="T557" s="279">
        <v>0</v>
      </c>
      <c r="U557" s="267"/>
      <c r="V557" s="267">
        <v>1</v>
      </c>
      <c r="W557" s="224">
        <v>1</v>
      </c>
      <c r="X557" s="267"/>
      <c r="Y557" s="267"/>
      <c r="Z557" s="267"/>
      <c r="AA557" s="267"/>
      <c r="AB557" s="224">
        <v>0</v>
      </c>
      <c r="AC557" s="267"/>
      <c r="AD557" s="267"/>
      <c r="AE557" s="267"/>
      <c r="AF557" s="267"/>
      <c r="AG557" s="224">
        <v>0</v>
      </c>
      <c r="AH557" s="267"/>
      <c r="AI557" s="267"/>
      <c r="AJ557" s="267"/>
      <c r="AK557" s="267"/>
      <c r="AL557" s="224">
        <v>0</v>
      </c>
      <c r="AM557" s="104">
        <v>1</v>
      </c>
      <c r="AN557" s="103" t="s">
        <v>685</v>
      </c>
      <c r="AO557" s="103" t="s">
        <v>620</v>
      </c>
      <c r="AP557" s="103" t="s">
        <v>1220</v>
      </c>
      <c r="AQ557" s="103" t="s">
        <v>1197</v>
      </c>
      <c r="AR557" s="103" t="s">
        <v>943</v>
      </c>
      <c r="AS557" s="271"/>
      <c r="AT557" s="271"/>
      <c r="AU557" s="271"/>
      <c r="AV557" s="271">
        <v>3000000</v>
      </c>
      <c r="AW557" s="271"/>
      <c r="AX557" s="271"/>
      <c r="AY557" s="271"/>
      <c r="AZ557" s="271"/>
      <c r="BA557" s="271"/>
      <c r="BB557" s="271"/>
      <c r="BC557" s="271"/>
      <c r="BD557" s="271"/>
      <c r="BE557" s="271"/>
      <c r="BF557" s="271"/>
      <c r="BG557" s="271"/>
      <c r="BH557" s="235">
        <f t="shared" si="216"/>
        <v>3000000</v>
      </c>
      <c r="BI557" s="271"/>
      <c r="BJ557" s="271"/>
      <c r="BK557" s="271"/>
      <c r="BL557" s="271"/>
      <c r="BM557" s="271"/>
      <c r="BN557" s="271"/>
      <c r="BO557" s="271"/>
      <c r="BP557" s="271"/>
      <c r="BQ557" s="271"/>
      <c r="BR557" s="271"/>
      <c r="BS557" s="271"/>
      <c r="BT557" s="271"/>
      <c r="BU557" s="271"/>
      <c r="BV557" s="271"/>
      <c r="BW557" s="271"/>
      <c r="BX557" s="235">
        <f t="shared" si="217"/>
        <v>0</v>
      </c>
      <c r="BY557" s="271"/>
      <c r="BZ557" s="271"/>
      <c r="CA557" s="271"/>
      <c r="CB557" s="271"/>
      <c r="CC557" s="271"/>
      <c r="CD557" s="271"/>
      <c r="CE557" s="271"/>
      <c r="CF557" s="271"/>
      <c r="CG557" s="271"/>
      <c r="CH557" s="271"/>
      <c r="CI557" s="271"/>
      <c r="CJ557" s="271"/>
      <c r="CK557" s="271"/>
      <c r="CL557" s="271"/>
      <c r="CM557" s="271"/>
      <c r="CN557" s="235">
        <f t="shared" si="218"/>
        <v>0</v>
      </c>
      <c r="CO557" s="271"/>
      <c r="CP557" s="271"/>
      <c r="CQ557" s="271"/>
      <c r="CR557" s="271"/>
      <c r="CS557" s="271"/>
      <c r="CT557" s="271"/>
      <c r="CU557" s="271"/>
      <c r="CV557" s="271"/>
      <c r="CW557" s="271"/>
      <c r="CX557" s="271"/>
      <c r="CY557" s="271"/>
      <c r="CZ557" s="271"/>
      <c r="DA557" s="271"/>
      <c r="DB557" s="271"/>
      <c r="DC557" s="271"/>
      <c r="DD557" s="235">
        <f t="shared" si="219"/>
        <v>0</v>
      </c>
      <c r="DE557" s="244">
        <f t="shared" si="220"/>
        <v>3000000</v>
      </c>
    </row>
    <row r="558" spans="1:109" s="98" customFormat="1" ht="121.05" customHeight="1">
      <c r="A558" s="103" t="s">
        <v>1242</v>
      </c>
      <c r="B558" s="279" t="s">
        <v>1469</v>
      </c>
      <c r="C558" s="279" t="s">
        <v>1689</v>
      </c>
      <c r="D558" s="279">
        <v>43</v>
      </c>
      <c r="E558" s="279" t="s">
        <v>1470</v>
      </c>
      <c r="F558" s="280" t="s">
        <v>1471</v>
      </c>
      <c r="G558" s="279" t="s">
        <v>2849</v>
      </c>
      <c r="H558" s="279">
        <v>52</v>
      </c>
      <c r="I558" s="279" t="s">
        <v>1472</v>
      </c>
      <c r="J558" s="279" t="s">
        <v>683</v>
      </c>
      <c r="K558" s="279">
        <v>188</v>
      </c>
      <c r="L558" s="279" t="s">
        <v>1473</v>
      </c>
      <c r="M558" s="279" t="s">
        <v>1486</v>
      </c>
      <c r="N558" s="279" t="s">
        <v>1487</v>
      </c>
      <c r="O558" s="279" t="s">
        <v>51</v>
      </c>
      <c r="P558" s="266">
        <v>502</v>
      </c>
      <c r="Q558" s="279" t="s">
        <v>3490</v>
      </c>
      <c r="R558" s="279" t="s">
        <v>54</v>
      </c>
      <c r="S558" s="279" t="s">
        <v>683</v>
      </c>
      <c r="T558" s="279">
        <v>0</v>
      </c>
      <c r="U558" s="267"/>
      <c r="V558" s="267"/>
      <c r="W558" s="224">
        <v>0</v>
      </c>
      <c r="X558" s="267"/>
      <c r="Y558" s="267"/>
      <c r="Z558" s="267">
        <v>1</v>
      </c>
      <c r="AA558" s="267"/>
      <c r="AB558" s="224">
        <v>1</v>
      </c>
      <c r="AC558" s="267"/>
      <c r="AD558" s="267"/>
      <c r="AE558" s="267"/>
      <c r="AF558" s="267"/>
      <c r="AG558" s="224">
        <v>0</v>
      </c>
      <c r="AH558" s="267"/>
      <c r="AI558" s="267"/>
      <c r="AJ558" s="267"/>
      <c r="AK558" s="267"/>
      <c r="AL558" s="224">
        <v>0</v>
      </c>
      <c r="AM558" s="104">
        <v>1</v>
      </c>
      <c r="AN558" s="103" t="s">
        <v>685</v>
      </c>
      <c r="AO558" s="103" t="s">
        <v>620</v>
      </c>
      <c r="AP558" s="103" t="s">
        <v>1220</v>
      </c>
      <c r="AQ558" s="103" t="s">
        <v>1197</v>
      </c>
      <c r="AR558" s="103" t="s">
        <v>943</v>
      </c>
      <c r="AS558" s="271"/>
      <c r="AT558" s="271"/>
      <c r="AU558" s="271"/>
      <c r="AV558" s="271"/>
      <c r="AW558" s="271"/>
      <c r="AX558" s="271"/>
      <c r="AY558" s="271"/>
      <c r="AZ558" s="271"/>
      <c r="BA558" s="271"/>
      <c r="BB558" s="271"/>
      <c r="BC558" s="271"/>
      <c r="BD558" s="271"/>
      <c r="BE558" s="271"/>
      <c r="BF558" s="271"/>
      <c r="BG558" s="271"/>
      <c r="BH558" s="235">
        <f t="shared" si="216"/>
        <v>0</v>
      </c>
      <c r="BI558" s="271"/>
      <c r="BJ558" s="271"/>
      <c r="BK558" s="271"/>
      <c r="BL558" s="271"/>
      <c r="BM558" s="271">
        <v>53000000</v>
      </c>
      <c r="BN558" s="271"/>
      <c r="BO558" s="271"/>
      <c r="BP558" s="271"/>
      <c r="BQ558" s="271"/>
      <c r="BR558" s="271"/>
      <c r="BS558" s="271"/>
      <c r="BT558" s="271"/>
      <c r="BU558" s="271"/>
      <c r="BV558" s="271"/>
      <c r="BW558" s="271"/>
      <c r="BX558" s="235">
        <f t="shared" si="217"/>
        <v>53000000</v>
      </c>
      <c r="BY558" s="271"/>
      <c r="BZ558" s="271"/>
      <c r="CA558" s="271"/>
      <c r="CB558" s="271"/>
      <c r="CC558" s="271"/>
      <c r="CD558" s="271"/>
      <c r="CE558" s="271"/>
      <c r="CF558" s="271"/>
      <c r="CG558" s="271"/>
      <c r="CH558" s="271"/>
      <c r="CI558" s="271"/>
      <c r="CJ558" s="271"/>
      <c r="CK558" s="271"/>
      <c r="CL558" s="271"/>
      <c r="CM558" s="271"/>
      <c r="CN558" s="235">
        <f t="shared" si="218"/>
        <v>0</v>
      </c>
      <c r="CO558" s="271"/>
      <c r="CP558" s="271"/>
      <c r="CQ558" s="271"/>
      <c r="CR558" s="271"/>
      <c r="CS558" s="271"/>
      <c r="CT558" s="271"/>
      <c r="CU558" s="271"/>
      <c r="CV558" s="271"/>
      <c r="CW558" s="271"/>
      <c r="CX558" s="271"/>
      <c r="CY558" s="271"/>
      <c r="CZ558" s="271"/>
      <c r="DA558" s="271"/>
      <c r="DB558" s="271"/>
      <c r="DC558" s="271"/>
      <c r="DD558" s="235">
        <f t="shared" si="219"/>
        <v>0</v>
      </c>
      <c r="DE558" s="244">
        <f t="shared" si="220"/>
        <v>53000000</v>
      </c>
    </row>
    <row r="559" spans="1:109" s="98" customFormat="1" ht="121.05" customHeight="1">
      <c r="A559" s="103" t="s">
        <v>1242</v>
      </c>
      <c r="B559" s="279" t="s">
        <v>1469</v>
      </c>
      <c r="C559" s="279" t="s">
        <v>1689</v>
      </c>
      <c r="D559" s="279">
        <v>43</v>
      </c>
      <c r="E559" s="279" t="s">
        <v>1470</v>
      </c>
      <c r="F559" s="280" t="s">
        <v>1471</v>
      </c>
      <c r="G559" s="279" t="s">
        <v>2849</v>
      </c>
      <c r="H559" s="279">
        <v>52</v>
      </c>
      <c r="I559" s="279" t="s">
        <v>1472</v>
      </c>
      <c r="J559" s="279" t="s">
        <v>683</v>
      </c>
      <c r="K559" s="279">
        <v>188</v>
      </c>
      <c r="L559" s="279" t="s">
        <v>1473</v>
      </c>
      <c r="M559" s="279" t="s">
        <v>1486</v>
      </c>
      <c r="N559" s="279" t="s">
        <v>1487</v>
      </c>
      <c r="O559" s="279" t="s">
        <v>51</v>
      </c>
      <c r="P559" s="266">
        <v>503</v>
      </c>
      <c r="Q559" s="279" t="s">
        <v>2866</v>
      </c>
      <c r="R559" s="279" t="s">
        <v>1489</v>
      </c>
      <c r="S559" s="279" t="s">
        <v>683</v>
      </c>
      <c r="T559" s="279">
        <v>0</v>
      </c>
      <c r="U559" s="267">
        <v>1</v>
      </c>
      <c r="V559" s="267"/>
      <c r="W559" s="224">
        <v>1</v>
      </c>
      <c r="X559" s="267"/>
      <c r="Y559" s="267"/>
      <c r="Z559" s="267"/>
      <c r="AA559" s="267"/>
      <c r="AB559" s="224">
        <v>0</v>
      </c>
      <c r="AC559" s="267"/>
      <c r="AD559" s="267"/>
      <c r="AE559" s="267"/>
      <c r="AF559" s="267"/>
      <c r="AG559" s="224">
        <v>0</v>
      </c>
      <c r="AH559" s="267"/>
      <c r="AI559" s="267"/>
      <c r="AJ559" s="267"/>
      <c r="AK559" s="267"/>
      <c r="AL559" s="224">
        <v>0</v>
      </c>
      <c r="AM559" s="104">
        <v>1</v>
      </c>
      <c r="AN559" s="103" t="s">
        <v>685</v>
      </c>
      <c r="AO559" s="103" t="s">
        <v>620</v>
      </c>
      <c r="AP559" s="103" t="s">
        <v>1220</v>
      </c>
      <c r="AQ559" s="103" t="s">
        <v>1197</v>
      </c>
      <c r="AR559" s="103" t="s">
        <v>943</v>
      </c>
      <c r="AS559" s="271"/>
      <c r="AT559" s="271"/>
      <c r="AU559" s="271"/>
      <c r="AV559" s="271">
        <v>50000000</v>
      </c>
      <c r="AW559" s="271"/>
      <c r="AX559" s="271"/>
      <c r="AY559" s="271"/>
      <c r="AZ559" s="271"/>
      <c r="BA559" s="271"/>
      <c r="BB559" s="271"/>
      <c r="BC559" s="271"/>
      <c r="BD559" s="271"/>
      <c r="BE559" s="271"/>
      <c r="BF559" s="271"/>
      <c r="BG559" s="271"/>
      <c r="BH559" s="235">
        <f t="shared" si="216"/>
        <v>50000000</v>
      </c>
      <c r="BI559" s="271"/>
      <c r="BJ559" s="271"/>
      <c r="BK559" s="271"/>
      <c r="BL559" s="271"/>
      <c r="BM559" s="271"/>
      <c r="BN559" s="271"/>
      <c r="BO559" s="271"/>
      <c r="BP559" s="271"/>
      <c r="BQ559" s="271"/>
      <c r="BR559" s="271"/>
      <c r="BS559" s="271"/>
      <c r="BT559" s="271"/>
      <c r="BU559" s="271"/>
      <c r="BV559" s="271"/>
      <c r="BW559" s="271"/>
      <c r="BX559" s="235">
        <f t="shared" si="217"/>
        <v>0</v>
      </c>
      <c r="BY559" s="271"/>
      <c r="BZ559" s="271"/>
      <c r="CA559" s="271"/>
      <c r="CB559" s="271"/>
      <c r="CC559" s="271"/>
      <c r="CD559" s="271"/>
      <c r="CE559" s="271"/>
      <c r="CF559" s="271"/>
      <c r="CG559" s="271"/>
      <c r="CH559" s="271"/>
      <c r="CI559" s="271"/>
      <c r="CJ559" s="271"/>
      <c r="CK559" s="271"/>
      <c r="CL559" s="271"/>
      <c r="CM559" s="271"/>
      <c r="CN559" s="235">
        <f t="shared" si="218"/>
        <v>0</v>
      </c>
      <c r="CO559" s="271"/>
      <c r="CP559" s="271"/>
      <c r="CQ559" s="271"/>
      <c r="CR559" s="271"/>
      <c r="CS559" s="271"/>
      <c r="CT559" s="271"/>
      <c r="CU559" s="271"/>
      <c r="CV559" s="271"/>
      <c r="CW559" s="271"/>
      <c r="CX559" s="271"/>
      <c r="CY559" s="271"/>
      <c r="CZ559" s="271"/>
      <c r="DA559" s="271"/>
      <c r="DB559" s="271"/>
      <c r="DC559" s="271"/>
      <c r="DD559" s="235">
        <f t="shared" si="219"/>
        <v>0</v>
      </c>
      <c r="DE559" s="244">
        <f t="shared" si="220"/>
        <v>50000000</v>
      </c>
    </row>
    <row r="560" spans="1:109" s="98" customFormat="1" ht="121.05" customHeight="1">
      <c r="A560" s="103" t="s">
        <v>1242</v>
      </c>
      <c r="B560" s="279" t="s">
        <v>1469</v>
      </c>
      <c r="C560" s="279" t="s">
        <v>1689</v>
      </c>
      <c r="D560" s="279">
        <v>43</v>
      </c>
      <c r="E560" s="279" t="s">
        <v>1470</v>
      </c>
      <c r="F560" s="280" t="s">
        <v>1471</v>
      </c>
      <c r="G560" s="279" t="s">
        <v>2849</v>
      </c>
      <c r="H560" s="279">
        <v>52</v>
      </c>
      <c r="I560" s="279" t="s">
        <v>1472</v>
      </c>
      <c r="J560" s="279" t="s">
        <v>683</v>
      </c>
      <c r="K560" s="279">
        <v>188</v>
      </c>
      <c r="L560" s="279" t="s">
        <v>1473</v>
      </c>
      <c r="M560" s="279" t="s">
        <v>1486</v>
      </c>
      <c r="N560" s="279" t="s">
        <v>1487</v>
      </c>
      <c r="O560" s="279" t="s">
        <v>51</v>
      </c>
      <c r="P560" s="266">
        <v>504</v>
      </c>
      <c r="Q560" s="279" t="s">
        <v>2867</v>
      </c>
      <c r="R560" s="279" t="s">
        <v>59</v>
      </c>
      <c r="S560" s="279" t="s">
        <v>683</v>
      </c>
      <c r="T560" s="279">
        <v>0</v>
      </c>
      <c r="U560" s="267">
        <v>30</v>
      </c>
      <c r="V560" s="267">
        <v>20</v>
      </c>
      <c r="W560" s="224">
        <v>50</v>
      </c>
      <c r="X560" s="267">
        <v>20</v>
      </c>
      <c r="Y560" s="267">
        <v>20</v>
      </c>
      <c r="Z560" s="267">
        <v>20</v>
      </c>
      <c r="AA560" s="267">
        <v>20</v>
      </c>
      <c r="AB560" s="224">
        <v>80</v>
      </c>
      <c r="AC560" s="267"/>
      <c r="AD560" s="267"/>
      <c r="AE560" s="267"/>
      <c r="AF560" s="267"/>
      <c r="AG560" s="224">
        <v>0</v>
      </c>
      <c r="AH560" s="267"/>
      <c r="AI560" s="267"/>
      <c r="AJ560" s="267"/>
      <c r="AK560" s="267"/>
      <c r="AL560" s="224">
        <v>0</v>
      </c>
      <c r="AM560" s="104">
        <v>130</v>
      </c>
      <c r="AN560" s="103" t="s">
        <v>685</v>
      </c>
      <c r="AO560" s="103" t="s">
        <v>620</v>
      </c>
      <c r="AP560" s="103" t="s">
        <v>1220</v>
      </c>
      <c r="AQ560" s="103" t="s">
        <v>1197</v>
      </c>
      <c r="AR560" s="103" t="s">
        <v>943</v>
      </c>
      <c r="AS560" s="271"/>
      <c r="AT560" s="271"/>
      <c r="AU560" s="271"/>
      <c r="AV560" s="271">
        <v>10000000</v>
      </c>
      <c r="AW560" s="271"/>
      <c r="AX560" s="271"/>
      <c r="AY560" s="271"/>
      <c r="AZ560" s="271"/>
      <c r="BA560" s="271"/>
      <c r="BB560" s="271"/>
      <c r="BC560" s="271"/>
      <c r="BD560" s="271"/>
      <c r="BE560" s="271"/>
      <c r="BF560" s="271"/>
      <c r="BG560" s="271"/>
      <c r="BH560" s="235">
        <f t="shared" si="216"/>
        <v>10000000</v>
      </c>
      <c r="BI560" s="271"/>
      <c r="BJ560" s="271"/>
      <c r="BK560" s="271"/>
      <c r="BL560" s="271"/>
      <c r="BM560" s="271">
        <v>17000000</v>
      </c>
      <c r="BN560" s="271"/>
      <c r="BO560" s="271"/>
      <c r="BP560" s="271"/>
      <c r="BQ560" s="271"/>
      <c r="BR560" s="271"/>
      <c r="BS560" s="271"/>
      <c r="BT560" s="271"/>
      <c r="BU560" s="271"/>
      <c r="BV560" s="271"/>
      <c r="BW560" s="271"/>
      <c r="BX560" s="235">
        <f t="shared" si="217"/>
        <v>17000000</v>
      </c>
      <c r="BY560" s="271"/>
      <c r="BZ560" s="271"/>
      <c r="CA560" s="271"/>
      <c r="CB560" s="271"/>
      <c r="CC560" s="271"/>
      <c r="CD560" s="271"/>
      <c r="CE560" s="271"/>
      <c r="CF560" s="271"/>
      <c r="CG560" s="271"/>
      <c r="CH560" s="271"/>
      <c r="CI560" s="271"/>
      <c r="CJ560" s="271"/>
      <c r="CK560" s="271"/>
      <c r="CL560" s="271"/>
      <c r="CM560" s="271"/>
      <c r="CN560" s="235">
        <f t="shared" si="218"/>
        <v>0</v>
      </c>
      <c r="CO560" s="271"/>
      <c r="CP560" s="271"/>
      <c r="CQ560" s="271"/>
      <c r="CR560" s="271"/>
      <c r="CS560" s="271"/>
      <c r="CT560" s="271"/>
      <c r="CU560" s="271"/>
      <c r="CV560" s="271"/>
      <c r="CW560" s="271"/>
      <c r="CX560" s="271"/>
      <c r="CY560" s="271"/>
      <c r="CZ560" s="271"/>
      <c r="DA560" s="271"/>
      <c r="DB560" s="271"/>
      <c r="DC560" s="271"/>
      <c r="DD560" s="235">
        <f t="shared" si="219"/>
        <v>0</v>
      </c>
      <c r="DE560" s="244">
        <f t="shared" si="220"/>
        <v>27000000</v>
      </c>
    </row>
    <row r="561" spans="1:110" s="98" customFormat="1" ht="121.05" customHeight="1">
      <c r="A561" s="103" t="s">
        <v>1242</v>
      </c>
      <c r="B561" s="279" t="s">
        <v>1469</v>
      </c>
      <c r="C561" s="279" t="s">
        <v>1689</v>
      </c>
      <c r="D561" s="279">
        <v>43</v>
      </c>
      <c r="E561" s="279" t="s">
        <v>1470</v>
      </c>
      <c r="F561" s="280" t="s">
        <v>1471</v>
      </c>
      <c r="G561" s="279" t="s">
        <v>2849</v>
      </c>
      <c r="H561" s="279">
        <v>52</v>
      </c>
      <c r="I561" s="279" t="s">
        <v>1472</v>
      </c>
      <c r="J561" s="279" t="s">
        <v>683</v>
      </c>
      <c r="K561" s="279">
        <v>188</v>
      </c>
      <c r="L561" s="279" t="s">
        <v>1473</v>
      </c>
      <c r="M561" s="279" t="s">
        <v>1486</v>
      </c>
      <c r="N561" s="279" t="s">
        <v>1487</v>
      </c>
      <c r="O561" s="279" t="s">
        <v>51</v>
      </c>
      <c r="P561" s="266">
        <v>505</v>
      </c>
      <c r="Q561" s="279" t="s">
        <v>2868</v>
      </c>
      <c r="R561" s="279" t="s">
        <v>61</v>
      </c>
      <c r="S561" s="279" t="s">
        <v>683</v>
      </c>
      <c r="T561" s="279">
        <v>20</v>
      </c>
      <c r="U561" s="267">
        <v>30</v>
      </c>
      <c r="V561" s="267">
        <v>30</v>
      </c>
      <c r="W561" s="224">
        <v>60</v>
      </c>
      <c r="X561" s="267"/>
      <c r="Y561" s="267"/>
      <c r="Z561" s="267"/>
      <c r="AA561" s="267"/>
      <c r="AB561" s="224">
        <v>0</v>
      </c>
      <c r="AC561" s="267"/>
      <c r="AD561" s="267"/>
      <c r="AE561" s="267"/>
      <c r="AF561" s="267"/>
      <c r="AG561" s="224">
        <v>0</v>
      </c>
      <c r="AH561" s="267"/>
      <c r="AI561" s="267"/>
      <c r="AJ561" s="267"/>
      <c r="AK561" s="267"/>
      <c r="AL561" s="224">
        <v>0</v>
      </c>
      <c r="AM561" s="104">
        <v>60</v>
      </c>
      <c r="AN561" s="103" t="s">
        <v>685</v>
      </c>
      <c r="AO561" s="103" t="s">
        <v>620</v>
      </c>
      <c r="AP561" s="103" t="s">
        <v>1220</v>
      </c>
      <c r="AQ561" s="103" t="s">
        <v>1197</v>
      </c>
      <c r="AR561" s="103" t="s">
        <v>943</v>
      </c>
      <c r="AS561" s="271"/>
      <c r="AT561" s="271"/>
      <c r="AU561" s="271"/>
      <c r="AV561" s="271">
        <v>120000000</v>
      </c>
      <c r="AW561" s="271"/>
      <c r="AX561" s="271"/>
      <c r="AY561" s="271"/>
      <c r="AZ561" s="271"/>
      <c r="BA561" s="271"/>
      <c r="BB561" s="271"/>
      <c r="BC561" s="271"/>
      <c r="BD561" s="271"/>
      <c r="BE561" s="271"/>
      <c r="BF561" s="271"/>
      <c r="BG561" s="271"/>
      <c r="BH561" s="235">
        <f t="shared" si="216"/>
        <v>120000000</v>
      </c>
      <c r="BI561" s="271"/>
      <c r="BJ561" s="271"/>
      <c r="BK561" s="271"/>
      <c r="BL561" s="271"/>
      <c r="BM561" s="271"/>
      <c r="BN561" s="271"/>
      <c r="BO561" s="271"/>
      <c r="BP561" s="271"/>
      <c r="BQ561" s="271"/>
      <c r="BR561" s="271"/>
      <c r="BS561" s="271"/>
      <c r="BT561" s="271"/>
      <c r="BU561" s="271"/>
      <c r="BV561" s="271"/>
      <c r="BW561" s="271"/>
      <c r="BX561" s="235">
        <f t="shared" si="217"/>
        <v>0</v>
      </c>
      <c r="BY561" s="271"/>
      <c r="BZ561" s="271"/>
      <c r="CA561" s="271"/>
      <c r="CB561" s="271"/>
      <c r="CC561" s="271"/>
      <c r="CD561" s="271"/>
      <c r="CE561" s="271"/>
      <c r="CF561" s="271"/>
      <c r="CG561" s="271"/>
      <c r="CH561" s="271"/>
      <c r="CI561" s="271"/>
      <c r="CJ561" s="271"/>
      <c r="CK561" s="271"/>
      <c r="CL561" s="271"/>
      <c r="CM561" s="271"/>
      <c r="CN561" s="235">
        <f t="shared" si="218"/>
        <v>0</v>
      </c>
      <c r="CO561" s="271"/>
      <c r="CP561" s="271"/>
      <c r="CQ561" s="271"/>
      <c r="CR561" s="271"/>
      <c r="CS561" s="271"/>
      <c r="CT561" s="271"/>
      <c r="CU561" s="271"/>
      <c r="CV561" s="271"/>
      <c r="CW561" s="271"/>
      <c r="CX561" s="271"/>
      <c r="CY561" s="271"/>
      <c r="CZ561" s="271"/>
      <c r="DA561" s="271"/>
      <c r="DB561" s="271"/>
      <c r="DC561" s="271"/>
      <c r="DD561" s="235">
        <f t="shared" si="219"/>
        <v>0</v>
      </c>
      <c r="DE561" s="244">
        <f t="shared" si="220"/>
        <v>120000000</v>
      </c>
    </row>
    <row r="562" spans="1:110" s="98" customFormat="1" ht="121.05" customHeight="1">
      <c r="A562" s="120" t="s">
        <v>1242</v>
      </c>
      <c r="B562" s="281" t="s">
        <v>1469</v>
      </c>
      <c r="C562" s="281" t="s">
        <v>1689</v>
      </c>
      <c r="D562" s="281">
        <v>43</v>
      </c>
      <c r="E562" s="281" t="s">
        <v>1470</v>
      </c>
      <c r="F562" s="282" t="s">
        <v>1471</v>
      </c>
      <c r="G562" s="281" t="s">
        <v>2849</v>
      </c>
      <c r="H562" s="281">
        <v>52</v>
      </c>
      <c r="I562" s="281" t="s">
        <v>1472</v>
      </c>
      <c r="J562" s="281" t="s">
        <v>683</v>
      </c>
      <c r="K562" s="281">
        <v>188</v>
      </c>
      <c r="L562" s="281" t="s">
        <v>1473</v>
      </c>
      <c r="M562" s="281" t="s">
        <v>1486</v>
      </c>
      <c r="N562" s="281" t="s">
        <v>1487</v>
      </c>
      <c r="O562" s="281" t="s">
        <v>51</v>
      </c>
      <c r="P562" s="266">
        <v>506</v>
      </c>
      <c r="Q562" s="281" t="s">
        <v>2869</v>
      </c>
      <c r="R562" s="281" t="s">
        <v>63</v>
      </c>
      <c r="S562" s="281" t="s">
        <v>683</v>
      </c>
      <c r="T562" s="281">
        <v>15</v>
      </c>
      <c r="U562" s="275">
        <v>15</v>
      </c>
      <c r="V562" s="275"/>
      <c r="W562" s="225">
        <v>15</v>
      </c>
      <c r="X562" s="275"/>
      <c r="Y562" s="275"/>
      <c r="Z562" s="275"/>
      <c r="AA562" s="275">
        <v>15</v>
      </c>
      <c r="AB562" s="225">
        <v>15</v>
      </c>
      <c r="AC562" s="275"/>
      <c r="AD562" s="275"/>
      <c r="AE562" s="275"/>
      <c r="AF562" s="275">
        <v>15</v>
      </c>
      <c r="AG562" s="225">
        <v>15</v>
      </c>
      <c r="AH562" s="275"/>
      <c r="AI562" s="275"/>
      <c r="AJ562" s="275"/>
      <c r="AK562" s="275">
        <v>15</v>
      </c>
      <c r="AL562" s="225">
        <v>15</v>
      </c>
      <c r="AM562" s="119">
        <v>15</v>
      </c>
      <c r="AN562" s="120" t="s">
        <v>686</v>
      </c>
      <c r="AO562" s="120" t="s">
        <v>620</v>
      </c>
      <c r="AP562" s="120" t="s">
        <v>1220</v>
      </c>
      <c r="AQ562" s="120" t="s">
        <v>1197</v>
      </c>
      <c r="AR562" s="120" t="s">
        <v>943</v>
      </c>
      <c r="AS562" s="276"/>
      <c r="AT562" s="276"/>
      <c r="AU562" s="276"/>
      <c r="AV562" s="276">
        <v>3636450</v>
      </c>
      <c r="AW562" s="276"/>
      <c r="AX562" s="276"/>
      <c r="AY562" s="276"/>
      <c r="AZ562" s="276"/>
      <c r="BA562" s="276"/>
      <c r="BB562" s="276"/>
      <c r="BC562" s="276"/>
      <c r="BD562" s="276"/>
      <c r="BE562" s="276"/>
      <c r="BF562" s="276"/>
      <c r="BG562" s="276"/>
      <c r="BH562" s="236">
        <f t="shared" si="216"/>
        <v>3636450</v>
      </c>
      <c r="BI562" s="276"/>
      <c r="BJ562" s="276"/>
      <c r="BK562" s="276"/>
      <c r="BL562" s="276"/>
      <c r="BM562" s="276">
        <v>3332973</v>
      </c>
      <c r="BN562" s="276"/>
      <c r="BO562" s="276"/>
      <c r="BP562" s="276"/>
      <c r="BQ562" s="276"/>
      <c r="BR562" s="276"/>
      <c r="BS562" s="276"/>
      <c r="BT562" s="276"/>
      <c r="BU562" s="276"/>
      <c r="BV562" s="276"/>
      <c r="BW562" s="276"/>
      <c r="BX562" s="236">
        <f t="shared" si="217"/>
        <v>3332973</v>
      </c>
      <c r="BY562" s="276"/>
      <c r="BZ562" s="276"/>
      <c r="CA562" s="276"/>
      <c r="CB562" s="276"/>
      <c r="CC562" s="276">
        <v>3149621</v>
      </c>
      <c r="CD562" s="276"/>
      <c r="CE562" s="276"/>
      <c r="CF562" s="276"/>
      <c r="CG562" s="276"/>
      <c r="CH562" s="276"/>
      <c r="CI562" s="276"/>
      <c r="CJ562" s="276"/>
      <c r="CK562" s="276"/>
      <c r="CL562" s="276"/>
      <c r="CM562" s="276"/>
      <c r="CN562" s="236">
        <f t="shared" si="218"/>
        <v>3149621</v>
      </c>
      <c r="CO562" s="276"/>
      <c r="CP562" s="276"/>
      <c r="CQ562" s="276"/>
      <c r="CR562" s="276"/>
      <c r="CS562" s="276">
        <v>3719040</v>
      </c>
      <c r="CT562" s="276"/>
      <c r="CU562" s="276"/>
      <c r="CV562" s="276"/>
      <c r="CW562" s="276"/>
      <c r="CX562" s="276"/>
      <c r="CY562" s="276"/>
      <c r="CZ562" s="276"/>
      <c r="DA562" s="276"/>
      <c r="DB562" s="276"/>
      <c r="DC562" s="276"/>
      <c r="DD562" s="236">
        <f t="shared" si="219"/>
        <v>3719040</v>
      </c>
      <c r="DE562" s="245">
        <f t="shared" si="220"/>
        <v>13838084</v>
      </c>
    </row>
    <row r="563" spans="1:110" ht="65.099999999999994" customHeight="1">
      <c r="A563" s="134" t="s">
        <v>1242</v>
      </c>
      <c r="B563" s="134" t="s">
        <v>1469</v>
      </c>
      <c r="C563" s="134" t="s">
        <v>1689</v>
      </c>
      <c r="D563" s="134">
        <v>43</v>
      </c>
      <c r="E563" s="134" t="s">
        <v>1470</v>
      </c>
      <c r="F563" s="135"/>
      <c r="G563" s="136"/>
      <c r="H563" s="137"/>
      <c r="I563" s="137"/>
      <c r="J563" s="137"/>
      <c r="K563" s="138"/>
      <c r="L563" s="137"/>
      <c r="M563" s="137"/>
      <c r="N563" s="137"/>
      <c r="O563" s="137"/>
      <c r="P563" s="137"/>
      <c r="Q563" s="136"/>
      <c r="R563" s="139"/>
      <c r="S563" s="137"/>
      <c r="T563" s="137"/>
      <c r="U563" s="140"/>
      <c r="V563" s="140"/>
      <c r="W563" s="138"/>
      <c r="X563" s="140"/>
      <c r="Y563" s="140"/>
      <c r="Z563" s="140"/>
      <c r="AA563" s="140"/>
      <c r="AB563" s="138"/>
      <c r="AC563" s="140"/>
      <c r="AD563" s="140"/>
      <c r="AE563" s="140"/>
      <c r="AF563" s="140"/>
      <c r="AG563" s="138"/>
      <c r="AH563" s="140"/>
      <c r="AI563" s="140"/>
      <c r="AJ563" s="140"/>
      <c r="AK563" s="140"/>
      <c r="AL563" s="138"/>
      <c r="AM563" s="141"/>
      <c r="AN563" s="142"/>
      <c r="AO563" s="142"/>
      <c r="AP563" s="143"/>
      <c r="AQ563" s="143"/>
      <c r="AR563" s="144"/>
      <c r="AS563" s="132">
        <f>SUM(AS539:AS562)</f>
        <v>0</v>
      </c>
      <c r="AT563" s="132">
        <f t="shared" ref="AT563:DE563" si="221">SUM(AT539:AT562)</f>
        <v>0</v>
      </c>
      <c r="AU563" s="132">
        <f t="shared" si="221"/>
        <v>0</v>
      </c>
      <c r="AV563" s="132">
        <f t="shared" si="221"/>
        <v>555936450</v>
      </c>
      <c r="AW563" s="132">
        <f t="shared" si="221"/>
        <v>100000000</v>
      </c>
      <c r="AX563" s="132">
        <f t="shared" si="221"/>
        <v>0</v>
      </c>
      <c r="AY563" s="132">
        <f t="shared" si="221"/>
        <v>0</v>
      </c>
      <c r="AZ563" s="132">
        <f t="shared" si="221"/>
        <v>0</v>
      </c>
      <c r="BA563" s="132">
        <f t="shared" si="221"/>
        <v>0</v>
      </c>
      <c r="BB563" s="132">
        <f t="shared" si="221"/>
        <v>0</v>
      </c>
      <c r="BC563" s="132">
        <f t="shared" si="221"/>
        <v>0</v>
      </c>
      <c r="BD563" s="132">
        <f t="shared" si="221"/>
        <v>0</v>
      </c>
      <c r="BE563" s="132">
        <f t="shared" si="221"/>
        <v>0</v>
      </c>
      <c r="BF563" s="132">
        <f t="shared" si="221"/>
        <v>0</v>
      </c>
      <c r="BG563" s="132">
        <f t="shared" si="221"/>
        <v>0</v>
      </c>
      <c r="BH563" s="132">
        <f>IF(OR(AND(BH539=0,W539&lt;&gt;0),AND(BH540=0,W540&lt;&gt;0),AND(BH541=0,W541&lt;&gt;0),AND(BH542=0,W542&lt;&gt;0),AND(BH543=0,W543&lt;&gt;0),AND(BH544=0,W544&lt;&gt;0),AND(BH545=0,W545&lt;&gt;0),AND(BH546=0,W546&lt;&gt;0),AND(BH547=0,W547&lt;&gt;0),AND(BH548=0,W548&lt;&gt;0),AND(BH549=0,W549&lt;&gt;0),AND(BH550=0,W550&lt;&gt;0),AND(BH551=0,W551&lt;&gt;0),AND(BH552=0,W552&lt;&gt;0),AND(BH553=0,W553&lt;&gt;0),AND(BH554=0,W554&lt;&gt;0),AND(BH555=0,W555&lt;&gt;0),AND(BH556=0,W556&lt;&gt;0),AND(BH557=0,W557&lt;&gt;0),AND(BH558=0,W558&lt;&gt;0),AND(BH559=0,W559&lt;&gt;0),AND(BH560=0,W560&lt;&gt;0),AND(BH561=0,W561&lt;&gt;0),AND(BH562=0,W562&lt;&gt;0)),"NO DEBEN QUEDAR CELDAS EN ROJO",SUM(BH539:BH562))</f>
        <v>655936450</v>
      </c>
      <c r="BI563" s="132">
        <f t="shared" si="221"/>
        <v>0</v>
      </c>
      <c r="BJ563" s="132">
        <f t="shared" si="221"/>
        <v>0</v>
      </c>
      <c r="BK563" s="132">
        <f t="shared" si="221"/>
        <v>0</v>
      </c>
      <c r="BL563" s="132">
        <f t="shared" si="221"/>
        <v>0</v>
      </c>
      <c r="BM563" s="132">
        <f t="shared" si="221"/>
        <v>476332973</v>
      </c>
      <c r="BN563" s="132">
        <f t="shared" si="221"/>
        <v>0</v>
      </c>
      <c r="BO563" s="132">
        <f t="shared" si="221"/>
        <v>0</v>
      </c>
      <c r="BP563" s="132">
        <f t="shared" si="221"/>
        <v>0</v>
      </c>
      <c r="BQ563" s="132">
        <f t="shared" si="221"/>
        <v>0</v>
      </c>
      <c r="BR563" s="132">
        <f t="shared" si="221"/>
        <v>0</v>
      </c>
      <c r="BS563" s="132">
        <f t="shared" si="221"/>
        <v>0</v>
      </c>
      <c r="BT563" s="132">
        <f t="shared" si="221"/>
        <v>0</v>
      </c>
      <c r="BU563" s="132">
        <f t="shared" si="221"/>
        <v>0</v>
      </c>
      <c r="BV563" s="132">
        <f t="shared" si="221"/>
        <v>0</v>
      </c>
      <c r="BW563" s="132">
        <f t="shared" si="221"/>
        <v>0</v>
      </c>
      <c r="BX563" s="132">
        <f>IF(OR(AND(BX539=0,AB539&lt;&gt;0),AND(BX540=0,AB540&lt;&gt;0),AND(BX541=0,AB541&lt;&gt;0),AND(BX542=0,AB542&lt;&gt;0),AND(BX543=0,AB543&lt;&gt;0),AND(BX544=0,AB544&lt;&gt;0),AND(BX545=0,AB545&lt;&gt;0),AND(BX546=0,AB546&lt;&gt;0),AND(BX547=0,AB547&lt;&gt;0),AND(BX548=0,AB548&lt;&gt;0),AND(BX549=0,AB549&lt;&gt;0),AND(BX550=0,AB550&lt;&gt;0),AND(BX551=0,AB551&lt;&gt;0),AND(BX552=0,AB552&lt;&gt;0),AND(BX553=0,AB553&lt;&gt;0),AND(BX554=0,AB554&lt;&gt;0),AND(BX555=0,AB555&lt;&gt;0),AND(BX556=0,AB556&lt;&gt;0),AND(BX557=0,AB557&lt;&gt;0),AND(BX558=0,AB558&lt;&gt;0),AND(BX559=0,AB559&lt;&gt;0),AND(BX560=0,AB560&lt;&gt;0),AND(BX561=0,AB561&lt;&gt;0),AND(BX562=0,AB562&lt;&gt;0)),"NO DEBEN QUEDAR CELDAS EN ROJO",SUM(BX539:BX562))</f>
        <v>476332973</v>
      </c>
      <c r="BY563" s="132">
        <f t="shared" si="221"/>
        <v>0</v>
      </c>
      <c r="BZ563" s="132">
        <f t="shared" si="221"/>
        <v>0</v>
      </c>
      <c r="CA563" s="132">
        <f t="shared" si="221"/>
        <v>0</v>
      </c>
      <c r="CB563" s="132">
        <f t="shared" si="221"/>
        <v>0</v>
      </c>
      <c r="CC563" s="132">
        <f t="shared" si="221"/>
        <v>700149621</v>
      </c>
      <c r="CD563" s="132">
        <f t="shared" si="221"/>
        <v>0</v>
      </c>
      <c r="CE563" s="132">
        <f t="shared" si="221"/>
        <v>0</v>
      </c>
      <c r="CF563" s="132">
        <f t="shared" si="221"/>
        <v>0</v>
      </c>
      <c r="CG563" s="132">
        <f t="shared" si="221"/>
        <v>0</v>
      </c>
      <c r="CH563" s="132">
        <f t="shared" si="221"/>
        <v>0</v>
      </c>
      <c r="CI563" s="132">
        <f t="shared" si="221"/>
        <v>0</v>
      </c>
      <c r="CJ563" s="132">
        <f t="shared" si="221"/>
        <v>0</v>
      </c>
      <c r="CK563" s="132">
        <f t="shared" si="221"/>
        <v>0</v>
      </c>
      <c r="CL563" s="132">
        <f t="shared" si="221"/>
        <v>0</v>
      </c>
      <c r="CM563" s="132">
        <f t="shared" si="221"/>
        <v>12000000000</v>
      </c>
      <c r="CN563" s="132">
        <f>IF(OR(AND(CN539=0,AG539&lt;&gt;0),AND(CN540=0,AG540&lt;&gt;0),AND(CN541=0,AG541&lt;&gt;0),AND(CN542=0,AG542&lt;&gt;0),AND(CN543=0,AG543&lt;&gt;0),AND(CN544=0,AG544&lt;&gt;0),AND(CN545=0,AG545&lt;&gt;0),AND(CN546=0,AG546&lt;&gt;0),AND(CN547=0,AG547&lt;&gt;0),AND(CN548=0,AG548&lt;&gt;0),AND(CN549=0,AG549&lt;&gt;0),AND(CN550=0,AG550&lt;&gt;0),AND(CN551=0,AG551&lt;&gt;0),AND(CN552=0,AG552&lt;&gt;0),AND(CN553=0,AG553&lt;&gt;0),AND(CN554=0,AG554&lt;&gt;0),AND(CN555=0,AG555&lt;&gt;0),AND(CN556=0,AG556&lt;&gt;0),AND(CN557=0,AG557&lt;&gt;0),AND(CN558=0,AG558&lt;&gt;0),AND(CN559=0,AG559&lt;&gt;0),AND(CN560=0,AG560&lt;&gt;0),AND(CN561=0,AG561&lt;&gt;0),AND(CN562=0,AG562&lt;&gt;0)),"NO DEBEN QUEDAR CELDAS EN ROJO",SUM(CN539:CN562))</f>
        <v>12700149621</v>
      </c>
      <c r="CO563" s="132">
        <f t="shared" si="221"/>
        <v>0</v>
      </c>
      <c r="CP563" s="132">
        <f t="shared" si="221"/>
        <v>0</v>
      </c>
      <c r="CQ563" s="132">
        <f t="shared" si="221"/>
        <v>0</v>
      </c>
      <c r="CR563" s="132">
        <f t="shared" si="221"/>
        <v>0</v>
      </c>
      <c r="CS563" s="132">
        <f t="shared" si="221"/>
        <v>694719040</v>
      </c>
      <c r="CT563" s="132">
        <f t="shared" si="221"/>
        <v>0</v>
      </c>
      <c r="CU563" s="132">
        <f t="shared" si="221"/>
        <v>0</v>
      </c>
      <c r="CV563" s="132">
        <f t="shared" si="221"/>
        <v>0</v>
      </c>
      <c r="CW563" s="132">
        <f t="shared" si="221"/>
        <v>0</v>
      </c>
      <c r="CX563" s="132">
        <f t="shared" si="221"/>
        <v>0</v>
      </c>
      <c r="CY563" s="132">
        <f t="shared" si="221"/>
        <v>0</v>
      </c>
      <c r="CZ563" s="132">
        <f t="shared" si="221"/>
        <v>0</v>
      </c>
      <c r="DA563" s="132">
        <f t="shared" si="221"/>
        <v>0</v>
      </c>
      <c r="DB563" s="132">
        <f t="shared" si="221"/>
        <v>0</v>
      </c>
      <c r="DC563" s="132">
        <f t="shared" si="221"/>
        <v>13500000000</v>
      </c>
      <c r="DD563" s="132">
        <f>IF(OR(AND(DD539=0,AL539&lt;&gt;0),AND(DD540=0,AL540&lt;&gt;0),AND(DD541=0,AL541&lt;&gt;0),AND(DD542=0,AL542&lt;&gt;0),AND(DD543=0,AL543&lt;&gt;0),AND(DD544=0,AL544&lt;&gt;0),AND(DD545=0,AL545&lt;&gt;0),AND(DD546=0,AL546&lt;&gt;0),AND(DD547=0,AL547&lt;&gt;0),AND(DD548=0,AL548&lt;&gt;0),AND(DD549=0,AL549&lt;&gt;0),AND(DD550=0,AL550&lt;&gt;0),AND(DD551=0,AL551&lt;&gt;0),AND(DD552=0,AL552&lt;&gt;0),AND(DD553=0,AL553&lt;&gt;0),AND(DD554=0,AL554&lt;&gt;0),AND(DD555=0,AL555&lt;&gt;0),AND(DD556=0,AL556&lt;&gt;0),AND(DD557=0,AL557&lt;&gt;0),AND(DD558=0,AL558&lt;&gt;0),AND(DD559=0,AL559&lt;&gt;0),AND(DD560=0,AL560&lt;&gt;0),AND(DD561=0,AL561&lt;&gt;0),AND(DD562=0,AL562&lt;&gt;0)),"NO DEBEN QUEDAR CELDAS EN ROJO",SUM(DD539:DD562))</f>
        <v>14194719040</v>
      </c>
      <c r="DE563" s="133">
        <f t="shared" si="221"/>
        <v>28027138084</v>
      </c>
      <c r="DF563" s="101"/>
    </row>
    <row r="564" spans="1:110" s="98" customFormat="1" ht="104.1" customHeight="1">
      <c r="A564" s="103" t="s">
        <v>1242</v>
      </c>
      <c r="B564" s="103" t="s">
        <v>1469</v>
      </c>
      <c r="C564" s="103" t="s">
        <v>1689</v>
      </c>
      <c r="D564" s="103">
        <v>44</v>
      </c>
      <c r="E564" s="103" t="s">
        <v>1490</v>
      </c>
      <c r="F564" s="278" t="s">
        <v>64</v>
      </c>
      <c r="G564" s="103" t="s">
        <v>2870</v>
      </c>
      <c r="H564" s="103">
        <v>53</v>
      </c>
      <c r="I564" s="103" t="s">
        <v>65</v>
      </c>
      <c r="J564" s="103" t="s">
        <v>683</v>
      </c>
      <c r="K564" s="102">
        <v>15000</v>
      </c>
      <c r="L564" s="103" t="s">
        <v>1491</v>
      </c>
      <c r="M564" s="103" t="s">
        <v>1492</v>
      </c>
      <c r="N564" s="103" t="s">
        <v>1493</v>
      </c>
      <c r="O564" s="103" t="s">
        <v>1494</v>
      </c>
      <c r="P564" s="266">
        <v>507</v>
      </c>
      <c r="Q564" s="103" t="s">
        <v>2871</v>
      </c>
      <c r="R564" s="103" t="s">
        <v>66</v>
      </c>
      <c r="S564" s="103" t="s">
        <v>683</v>
      </c>
      <c r="T564" s="103">
        <v>9</v>
      </c>
      <c r="U564" s="267"/>
      <c r="V564" s="267"/>
      <c r="W564" s="224">
        <v>0</v>
      </c>
      <c r="X564" s="267">
        <v>0.2</v>
      </c>
      <c r="Y564" s="267">
        <v>0.2</v>
      </c>
      <c r="Z564" s="267">
        <v>0.3</v>
      </c>
      <c r="AA564" s="267">
        <v>0.3</v>
      </c>
      <c r="AB564" s="224">
        <v>1</v>
      </c>
      <c r="AC564" s="267">
        <v>0.25</v>
      </c>
      <c r="AD564" s="267">
        <v>0.25</v>
      </c>
      <c r="AE564" s="267">
        <v>0.25</v>
      </c>
      <c r="AF564" s="267">
        <v>0.25</v>
      </c>
      <c r="AG564" s="224">
        <v>1</v>
      </c>
      <c r="AH564" s="267"/>
      <c r="AI564" s="267"/>
      <c r="AJ564" s="267"/>
      <c r="AK564" s="267"/>
      <c r="AL564" s="224">
        <v>0</v>
      </c>
      <c r="AM564" s="102">
        <v>2</v>
      </c>
      <c r="AN564" s="103" t="s">
        <v>685</v>
      </c>
      <c r="AO564" s="103" t="s">
        <v>620</v>
      </c>
      <c r="AP564" s="103" t="s">
        <v>1220</v>
      </c>
      <c r="AQ564" s="103" t="s">
        <v>1193</v>
      </c>
      <c r="AR564" s="103" t="s">
        <v>937</v>
      </c>
      <c r="AS564" s="268"/>
      <c r="AT564" s="268"/>
      <c r="AU564" s="268"/>
      <c r="AV564" s="268"/>
      <c r="AW564" s="268"/>
      <c r="AX564" s="268"/>
      <c r="AY564" s="268"/>
      <c r="AZ564" s="268"/>
      <c r="BA564" s="268"/>
      <c r="BB564" s="268"/>
      <c r="BC564" s="268"/>
      <c r="BD564" s="268"/>
      <c r="BE564" s="268"/>
      <c r="BF564" s="268"/>
      <c r="BG564" s="268"/>
      <c r="BH564" s="234">
        <f t="shared" ref="BH564:BH595" si="222">IF(W564=0,0,BG564+BF564+BE564+BD564+BC564+BB564+BA564+AZ564+AY564+AX564+AW564+AV564+AU564+AT564+AS564)</f>
        <v>0</v>
      </c>
      <c r="BI564" s="268"/>
      <c r="BJ564" s="268"/>
      <c r="BK564" s="268"/>
      <c r="BL564" s="268"/>
      <c r="BM564" s="268">
        <v>300000000</v>
      </c>
      <c r="BN564" s="268"/>
      <c r="BO564" s="268"/>
      <c r="BP564" s="268"/>
      <c r="BQ564" s="268"/>
      <c r="BR564" s="268"/>
      <c r="BS564" s="268"/>
      <c r="BT564" s="268"/>
      <c r="BU564" s="268"/>
      <c r="BV564" s="268"/>
      <c r="BW564" s="268"/>
      <c r="BX564" s="234">
        <f t="shared" ref="BX564:BX595" si="223">IF(AB564=0,0,BI564+BJ564+BK564+BL564+BM564+BN564+BO564+BP564+BQ564+BR564+BS564+BT564+BU564+BV564+BW564)</f>
        <v>300000000</v>
      </c>
      <c r="BY564" s="268"/>
      <c r="BZ564" s="268"/>
      <c r="CA564" s="268"/>
      <c r="CB564" s="268"/>
      <c r="CC564" s="268">
        <v>290900000</v>
      </c>
      <c r="CD564" s="268"/>
      <c r="CE564" s="268"/>
      <c r="CF564" s="268"/>
      <c r="CG564" s="268"/>
      <c r="CH564" s="268"/>
      <c r="CI564" s="268"/>
      <c r="CJ564" s="268"/>
      <c r="CK564" s="268"/>
      <c r="CL564" s="268"/>
      <c r="CM564" s="268"/>
      <c r="CN564" s="234">
        <f t="shared" ref="CN564:CN595" si="224">IF(AG564=0,0,(BY564+BZ564+CA564+CB564+CC564+CD564+CE564+CF564+CG564+CH564+CI564+CJ564+CK564+CL564+CM564))</f>
        <v>290900000</v>
      </c>
      <c r="CO564" s="268"/>
      <c r="CP564" s="268"/>
      <c r="CQ564" s="268"/>
      <c r="CR564" s="268"/>
      <c r="CS564" s="268"/>
      <c r="CT564" s="268"/>
      <c r="CU564" s="268"/>
      <c r="CV564" s="268"/>
      <c r="CW564" s="268"/>
      <c r="CX564" s="268"/>
      <c r="CY564" s="268"/>
      <c r="CZ564" s="268"/>
      <c r="DA564" s="268"/>
      <c r="DB564" s="268"/>
      <c r="DC564" s="268"/>
      <c r="DD564" s="234">
        <f t="shared" ref="DD564:DD595" si="225">IF(AL564=0,0,(CO564+CP564+CQ564+CR564+CS564+CT564+CU564+CV564+CW564+CX564+CY564+CZ564+DA564+DB564+DC564))</f>
        <v>0</v>
      </c>
      <c r="DE564" s="243">
        <f t="shared" ref="DE564:DE592" si="226">SUM(DD564+CN564+BX564+BH564)</f>
        <v>590900000</v>
      </c>
    </row>
    <row r="565" spans="1:110" s="98" customFormat="1" ht="104.1" customHeight="1">
      <c r="A565" s="103" t="s">
        <v>1242</v>
      </c>
      <c r="B565" s="279" t="s">
        <v>1469</v>
      </c>
      <c r="C565" s="279" t="s">
        <v>1689</v>
      </c>
      <c r="D565" s="279">
        <v>44</v>
      </c>
      <c r="E565" s="279" t="s">
        <v>1490</v>
      </c>
      <c r="F565" s="280" t="s">
        <v>64</v>
      </c>
      <c r="G565" s="279" t="s">
        <v>2870</v>
      </c>
      <c r="H565" s="279">
        <v>53</v>
      </c>
      <c r="I565" s="279" t="s">
        <v>65</v>
      </c>
      <c r="J565" s="279" t="s">
        <v>683</v>
      </c>
      <c r="K565" s="104">
        <v>15000</v>
      </c>
      <c r="L565" s="279" t="s">
        <v>1491</v>
      </c>
      <c r="M565" s="279" t="s">
        <v>1492</v>
      </c>
      <c r="N565" s="279" t="s">
        <v>1493</v>
      </c>
      <c r="O565" s="279" t="s">
        <v>1494</v>
      </c>
      <c r="P565" s="266">
        <v>508</v>
      </c>
      <c r="Q565" s="279" t="s">
        <v>2872</v>
      </c>
      <c r="R565" s="279" t="s">
        <v>68</v>
      </c>
      <c r="S565" s="279" t="s">
        <v>683</v>
      </c>
      <c r="T565" s="279">
        <v>2</v>
      </c>
      <c r="U565" s="267"/>
      <c r="V565" s="267"/>
      <c r="W565" s="224">
        <v>0</v>
      </c>
      <c r="X565" s="267"/>
      <c r="Y565" s="267"/>
      <c r="Z565" s="267"/>
      <c r="AA565" s="267"/>
      <c r="AB565" s="224">
        <v>0</v>
      </c>
      <c r="AC565" s="267">
        <v>0.2</v>
      </c>
      <c r="AD565" s="267">
        <v>0.2</v>
      </c>
      <c r="AE565" s="267">
        <v>0.3</v>
      </c>
      <c r="AF565" s="267">
        <v>0.3</v>
      </c>
      <c r="AG565" s="224">
        <v>1</v>
      </c>
      <c r="AH565" s="267">
        <v>0.35</v>
      </c>
      <c r="AI565" s="267">
        <v>0.35</v>
      </c>
      <c r="AJ565" s="267">
        <v>0.2</v>
      </c>
      <c r="AK565" s="267">
        <v>0.1</v>
      </c>
      <c r="AL565" s="224">
        <v>0.99999999999999989</v>
      </c>
      <c r="AM565" s="104">
        <v>2</v>
      </c>
      <c r="AN565" s="103" t="s">
        <v>685</v>
      </c>
      <c r="AO565" s="103" t="s">
        <v>620</v>
      </c>
      <c r="AP565" s="103" t="s">
        <v>1220</v>
      </c>
      <c r="AQ565" s="103" t="s">
        <v>1193</v>
      </c>
      <c r="AR565" s="103" t="s">
        <v>937</v>
      </c>
      <c r="AS565" s="271"/>
      <c r="AT565" s="271"/>
      <c r="AU565" s="271"/>
      <c r="AV565" s="271"/>
      <c r="AW565" s="271"/>
      <c r="AX565" s="271"/>
      <c r="AY565" s="271"/>
      <c r="AZ565" s="271"/>
      <c r="BA565" s="271"/>
      <c r="BB565" s="271"/>
      <c r="BC565" s="271"/>
      <c r="BD565" s="271"/>
      <c r="BE565" s="271"/>
      <c r="BF565" s="271"/>
      <c r="BG565" s="271"/>
      <c r="BH565" s="235">
        <f t="shared" si="222"/>
        <v>0</v>
      </c>
      <c r="BI565" s="271"/>
      <c r="BJ565" s="271"/>
      <c r="BK565" s="271"/>
      <c r="BL565" s="271"/>
      <c r="BM565" s="271"/>
      <c r="BN565" s="271"/>
      <c r="BO565" s="271"/>
      <c r="BP565" s="271"/>
      <c r="BQ565" s="271"/>
      <c r="BR565" s="271"/>
      <c r="BS565" s="271"/>
      <c r="BT565" s="271"/>
      <c r="BU565" s="271"/>
      <c r="BV565" s="271"/>
      <c r="BW565" s="271"/>
      <c r="BX565" s="235">
        <f t="shared" si="223"/>
        <v>0</v>
      </c>
      <c r="BY565" s="271"/>
      <c r="BZ565" s="271"/>
      <c r="CA565" s="271"/>
      <c r="CB565" s="271"/>
      <c r="CC565" s="271">
        <v>50000000</v>
      </c>
      <c r="CD565" s="271"/>
      <c r="CE565" s="271"/>
      <c r="CF565" s="271"/>
      <c r="CG565" s="271"/>
      <c r="CH565" s="271"/>
      <c r="CI565" s="271"/>
      <c r="CJ565" s="271"/>
      <c r="CK565" s="271"/>
      <c r="CL565" s="271"/>
      <c r="CM565" s="271"/>
      <c r="CN565" s="235">
        <f t="shared" si="224"/>
        <v>50000000</v>
      </c>
      <c r="CO565" s="271"/>
      <c r="CP565" s="271"/>
      <c r="CQ565" s="271"/>
      <c r="CR565" s="271"/>
      <c r="CS565" s="271">
        <v>100000000</v>
      </c>
      <c r="CT565" s="271"/>
      <c r="CU565" s="271"/>
      <c r="CV565" s="271"/>
      <c r="CW565" s="271"/>
      <c r="CX565" s="271"/>
      <c r="CY565" s="271"/>
      <c r="CZ565" s="271"/>
      <c r="DA565" s="271"/>
      <c r="DB565" s="271"/>
      <c r="DC565" s="271"/>
      <c r="DD565" s="235">
        <f t="shared" si="225"/>
        <v>100000000</v>
      </c>
      <c r="DE565" s="244">
        <f t="shared" si="226"/>
        <v>150000000</v>
      </c>
    </row>
    <row r="566" spans="1:110" s="98" customFormat="1" ht="104.1" customHeight="1">
      <c r="A566" s="103" t="s">
        <v>1242</v>
      </c>
      <c r="B566" s="279" t="s">
        <v>1469</v>
      </c>
      <c r="C566" s="279" t="s">
        <v>1689</v>
      </c>
      <c r="D566" s="279">
        <v>44</v>
      </c>
      <c r="E566" s="279" t="s">
        <v>1490</v>
      </c>
      <c r="F566" s="280" t="s">
        <v>64</v>
      </c>
      <c r="G566" s="279" t="s">
        <v>2870</v>
      </c>
      <c r="H566" s="279">
        <v>53</v>
      </c>
      <c r="I566" s="279" t="s">
        <v>65</v>
      </c>
      <c r="J566" s="279" t="s">
        <v>683</v>
      </c>
      <c r="K566" s="104">
        <v>15000</v>
      </c>
      <c r="L566" s="279" t="s">
        <v>1491</v>
      </c>
      <c r="M566" s="279" t="s">
        <v>1492</v>
      </c>
      <c r="N566" s="279" t="s">
        <v>1493</v>
      </c>
      <c r="O566" s="279" t="s">
        <v>1494</v>
      </c>
      <c r="P566" s="266">
        <v>509</v>
      </c>
      <c r="Q566" s="279" t="s">
        <v>2873</v>
      </c>
      <c r="R566" s="279" t="s">
        <v>1495</v>
      </c>
      <c r="S566" s="279" t="s">
        <v>683</v>
      </c>
      <c r="T566" s="104">
        <v>24600</v>
      </c>
      <c r="U566" s="267"/>
      <c r="V566" s="267"/>
      <c r="W566" s="224">
        <v>0</v>
      </c>
      <c r="X566" s="267">
        <v>150</v>
      </c>
      <c r="Y566" s="267">
        <v>150</v>
      </c>
      <c r="Z566" s="267">
        <v>150</v>
      </c>
      <c r="AA566" s="267">
        <v>150</v>
      </c>
      <c r="AB566" s="224">
        <v>600</v>
      </c>
      <c r="AC566" s="267">
        <v>150</v>
      </c>
      <c r="AD566" s="267">
        <v>150</v>
      </c>
      <c r="AE566" s="267">
        <v>150</v>
      </c>
      <c r="AF566" s="267">
        <v>150</v>
      </c>
      <c r="AG566" s="224">
        <v>600</v>
      </c>
      <c r="AH566" s="267"/>
      <c r="AI566" s="267"/>
      <c r="AJ566" s="267"/>
      <c r="AK566" s="267"/>
      <c r="AL566" s="224">
        <v>0</v>
      </c>
      <c r="AM566" s="104">
        <v>1200</v>
      </c>
      <c r="AN566" s="103" t="s">
        <v>685</v>
      </c>
      <c r="AO566" s="103" t="s">
        <v>620</v>
      </c>
      <c r="AP566" s="103" t="s">
        <v>1220</v>
      </c>
      <c r="AQ566" s="103" t="s">
        <v>1193</v>
      </c>
      <c r="AR566" s="103" t="s">
        <v>936</v>
      </c>
      <c r="AS566" s="271"/>
      <c r="AT566" s="271"/>
      <c r="AU566" s="271"/>
      <c r="AV566" s="271"/>
      <c r="AW566" s="271"/>
      <c r="AX566" s="271"/>
      <c r="AY566" s="271"/>
      <c r="AZ566" s="271"/>
      <c r="BA566" s="271"/>
      <c r="BB566" s="271"/>
      <c r="BC566" s="271"/>
      <c r="BD566" s="271"/>
      <c r="BE566" s="271"/>
      <c r="BF566" s="271"/>
      <c r="BG566" s="271"/>
      <c r="BH566" s="235">
        <f t="shared" si="222"/>
        <v>0</v>
      </c>
      <c r="BI566" s="271"/>
      <c r="BJ566" s="271"/>
      <c r="BK566" s="271"/>
      <c r="BL566" s="271"/>
      <c r="BM566" s="271">
        <v>200000000</v>
      </c>
      <c r="BN566" s="271"/>
      <c r="BO566" s="271"/>
      <c r="BP566" s="271"/>
      <c r="BQ566" s="271"/>
      <c r="BR566" s="271"/>
      <c r="BS566" s="271"/>
      <c r="BT566" s="271"/>
      <c r="BU566" s="271"/>
      <c r="BV566" s="271"/>
      <c r="BW566" s="271"/>
      <c r="BX566" s="235">
        <f t="shared" si="223"/>
        <v>200000000</v>
      </c>
      <c r="BY566" s="271"/>
      <c r="BZ566" s="271"/>
      <c r="CA566" s="271"/>
      <c r="CB566" s="271"/>
      <c r="CC566" s="271">
        <v>100000000</v>
      </c>
      <c r="CD566" s="271"/>
      <c r="CE566" s="271"/>
      <c r="CF566" s="271"/>
      <c r="CG566" s="271"/>
      <c r="CH566" s="271"/>
      <c r="CI566" s="271"/>
      <c r="CJ566" s="271"/>
      <c r="CK566" s="271"/>
      <c r="CL566" s="271"/>
      <c r="CM566" s="271"/>
      <c r="CN566" s="235">
        <f t="shared" si="224"/>
        <v>100000000</v>
      </c>
      <c r="CO566" s="271"/>
      <c r="CP566" s="271"/>
      <c r="CQ566" s="271"/>
      <c r="CR566" s="271"/>
      <c r="CS566" s="271"/>
      <c r="CT566" s="271"/>
      <c r="CU566" s="271"/>
      <c r="CV566" s="271"/>
      <c r="CW566" s="271"/>
      <c r="CX566" s="271"/>
      <c r="CY566" s="271"/>
      <c r="CZ566" s="271"/>
      <c r="DA566" s="271"/>
      <c r="DB566" s="271"/>
      <c r="DC566" s="271"/>
      <c r="DD566" s="235">
        <f t="shared" si="225"/>
        <v>0</v>
      </c>
      <c r="DE566" s="244">
        <f t="shared" si="226"/>
        <v>300000000</v>
      </c>
    </row>
    <row r="567" spans="1:110" s="98" customFormat="1" ht="104.1" customHeight="1">
      <c r="A567" s="103" t="s">
        <v>1242</v>
      </c>
      <c r="B567" s="279" t="s">
        <v>1469</v>
      </c>
      <c r="C567" s="279" t="s">
        <v>1689</v>
      </c>
      <c r="D567" s="279">
        <v>44</v>
      </c>
      <c r="E567" s="279" t="s">
        <v>1490</v>
      </c>
      <c r="F567" s="280" t="s">
        <v>64</v>
      </c>
      <c r="G567" s="279" t="s">
        <v>2870</v>
      </c>
      <c r="H567" s="279">
        <v>53</v>
      </c>
      <c r="I567" s="279" t="s">
        <v>65</v>
      </c>
      <c r="J567" s="279" t="s">
        <v>683</v>
      </c>
      <c r="K567" s="104">
        <v>15000</v>
      </c>
      <c r="L567" s="279" t="s">
        <v>1491</v>
      </c>
      <c r="M567" s="279" t="s">
        <v>1492</v>
      </c>
      <c r="N567" s="279" t="s">
        <v>1493</v>
      </c>
      <c r="O567" s="279" t="s">
        <v>1494</v>
      </c>
      <c r="P567" s="266">
        <v>510</v>
      </c>
      <c r="Q567" s="279" t="s">
        <v>2874</v>
      </c>
      <c r="R567" s="279" t="s">
        <v>72</v>
      </c>
      <c r="S567" s="279" t="s">
        <v>683</v>
      </c>
      <c r="T567" s="279">
        <v>220</v>
      </c>
      <c r="U567" s="267">
        <v>220</v>
      </c>
      <c r="V567" s="267"/>
      <c r="W567" s="224">
        <v>220</v>
      </c>
      <c r="X567" s="267"/>
      <c r="Y567" s="267"/>
      <c r="Z567" s="267">
        <v>220</v>
      </c>
      <c r="AA567" s="267"/>
      <c r="AB567" s="224">
        <v>220</v>
      </c>
      <c r="AC567" s="267"/>
      <c r="AD567" s="267"/>
      <c r="AE567" s="267">
        <v>220</v>
      </c>
      <c r="AF567" s="267"/>
      <c r="AG567" s="224">
        <v>220</v>
      </c>
      <c r="AH567" s="267"/>
      <c r="AI567" s="267"/>
      <c r="AJ567" s="267">
        <v>220</v>
      </c>
      <c r="AK567" s="267"/>
      <c r="AL567" s="224">
        <v>220</v>
      </c>
      <c r="AM567" s="104">
        <v>220</v>
      </c>
      <c r="AN567" s="103" t="s">
        <v>686</v>
      </c>
      <c r="AO567" s="103" t="s">
        <v>620</v>
      </c>
      <c r="AP567" s="103" t="s">
        <v>1220</v>
      </c>
      <c r="AQ567" s="103" t="s">
        <v>1193</v>
      </c>
      <c r="AR567" s="103" t="s">
        <v>936</v>
      </c>
      <c r="AS567" s="271"/>
      <c r="AT567" s="271"/>
      <c r="AU567" s="271"/>
      <c r="AV567" s="271"/>
      <c r="AW567" s="271">
        <v>3500000</v>
      </c>
      <c r="AX567" s="271"/>
      <c r="AY567" s="271"/>
      <c r="AZ567" s="271"/>
      <c r="BA567" s="271"/>
      <c r="BB567" s="271"/>
      <c r="BC567" s="271"/>
      <c r="BD567" s="271"/>
      <c r="BE567" s="271"/>
      <c r="BF567" s="271"/>
      <c r="BG567" s="271"/>
      <c r="BH567" s="235">
        <f t="shared" si="222"/>
        <v>3500000</v>
      </c>
      <c r="BI567" s="271"/>
      <c r="BJ567" s="271"/>
      <c r="BK567" s="271"/>
      <c r="BL567" s="271"/>
      <c r="BM567" s="271">
        <v>3500000</v>
      </c>
      <c r="BN567" s="271"/>
      <c r="BO567" s="271"/>
      <c r="BP567" s="271"/>
      <c r="BQ567" s="271"/>
      <c r="BR567" s="271"/>
      <c r="BS567" s="271"/>
      <c r="BT567" s="271"/>
      <c r="BU567" s="271"/>
      <c r="BV567" s="271"/>
      <c r="BW567" s="271"/>
      <c r="BX567" s="235">
        <f t="shared" si="223"/>
        <v>3500000</v>
      </c>
      <c r="BY567" s="271"/>
      <c r="BZ567" s="271"/>
      <c r="CA567" s="271"/>
      <c r="CB567" s="271"/>
      <c r="CC567" s="271">
        <v>3500000</v>
      </c>
      <c r="CD567" s="271"/>
      <c r="CE567" s="271"/>
      <c r="CF567" s="271"/>
      <c r="CG567" s="271"/>
      <c r="CH567" s="271"/>
      <c r="CI567" s="271"/>
      <c r="CJ567" s="271"/>
      <c r="CK567" s="271"/>
      <c r="CL567" s="271"/>
      <c r="CM567" s="271"/>
      <c r="CN567" s="235">
        <f t="shared" si="224"/>
        <v>3500000</v>
      </c>
      <c r="CO567" s="271"/>
      <c r="CP567" s="271"/>
      <c r="CQ567" s="271"/>
      <c r="CR567" s="271"/>
      <c r="CS567" s="271">
        <v>3500000</v>
      </c>
      <c r="CT567" s="271"/>
      <c r="CU567" s="271"/>
      <c r="CV567" s="271"/>
      <c r="CW567" s="271"/>
      <c r="CX567" s="271"/>
      <c r="CY567" s="271"/>
      <c r="CZ567" s="271"/>
      <c r="DA567" s="271"/>
      <c r="DB567" s="271"/>
      <c r="DC567" s="271"/>
      <c r="DD567" s="235">
        <f t="shared" si="225"/>
        <v>3500000</v>
      </c>
      <c r="DE567" s="244">
        <f t="shared" si="226"/>
        <v>14000000</v>
      </c>
    </row>
    <row r="568" spans="1:110" s="98" customFormat="1" ht="104.1" customHeight="1">
      <c r="A568" s="103" t="s">
        <v>1242</v>
      </c>
      <c r="B568" s="279" t="s">
        <v>1469</v>
      </c>
      <c r="C568" s="279" t="s">
        <v>1689</v>
      </c>
      <c r="D568" s="279">
        <v>44</v>
      </c>
      <c r="E568" s="279" t="s">
        <v>1490</v>
      </c>
      <c r="F568" s="280" t="s">
        <v>64</v>
      </c>
      <c r="G568" s="279" t="s">
        <v>2870</v>
      </c>
      <c r="H568" s="279">
        <v>53</v>
      </c>
      <c r="I568" s="279" t="s">
        <v>65</v>
      </c>
      <c r="J568" s="279" t="s">
        <v>683</v>
      </c>
      <c r="K568" s="104">
        <v>15000</v>
      </c>
      <c r="L568" s="279" t="s">
        <v>1491</v>
      </c>
      <c r="M568" s="279" t="s">
        <v>1492</v>
      </c>
      <c r="N568" s="279" t="s">
        <v>1493</v>
      </c>
      <c r="O568" s="279" t="s">
        <v>1494</v>
      </c>
      <c r="P568" s="266">
        <v>511</v>
      </c>
      <c r="Q568" s="279" t="s">
        <v>2875</v>
      </c>
      <c r="R568" s="279" t="s">
        <v>72</v>
      </c>
      <c r="S568" s="279" t="s">
        <v>683</v>
      </c>
      <c r="T568" s="279">
        <v>220</v>
      </c>
      <c r="U568" s="267">
        <v>50</v>
      </c>
      <c r="V568" s="267">
        <v>100</v>
      </c>
      <c r="W568" s="224">
        <v>150</v>
      </c>
      <c r="X568" s="267">
        <v>40</v>
      </c>
      <c r="Y568" s="267">
        <v>40</v>
      </c>
      <c r="Z568" s="267">
        <v>40</v>
      </c>
      <c r="AA568" s="267">
        <v>40</v>
      </c>
      <c r="AB568" s="224">
        <v>160</v>
      </c>
      <c r="AC568" s="267">
        <v>40</v>
      </c>
      <c r="AD568" s="267">
        <v>40</v>
      </c>
      <c r="AE568" s="267">
        <v>40</v>
      </c>
      <c r="AF568" s="267">
        <v>40</v>
      </c>
      <c r="AG568" s="224">
        <v>160</v>
      </c>
      <c r="AH568" s="267">
        <v>40</v>
      </c>
      <c r="AI568" s="267">
        <v>45</v>
      </c>
      <c r="AJ568" s="267">
        <v>45</v>
      </c>
      <c r="AK568" s="267"/>
      <c r="AL568" s="224">
        <v>130</v>
      </c>
      <c r="AM568" s="104">
        <v>600</v>
      </c>
      <c r="AN568" s="103" t="s">
        <v>685</v>
      </c>
      <c r="AO568" s="103" t="s">
        <v>620</v>
      </c>
      <c r="AP568" s="103" t="s">
        <v>1220</v>
      </c>
      <c r="AQ568" s="103" t="s">
        <v>1193</v>
      </c>
      <c r="AR568" s="103" t="s">
        <v>936</v>
      </c>
      <c r="AS568" s="271"/>
      <c r="AT568" s="271"/>
      <c r="AU568" s="271"/>
      <c r="AV568" s="271">
        <v>31987850</v>
      </c>
      <c r="AW568" s="271"/>
      <c r="AX568" s="271"/>
      <c r="AY568" s="271"/>
      <c r="AZ568" s="271"/>
      <c r="BA568" s="271"/>
      <c r="BB568" s="271"/>
      <c r="BC568" s="271"/>
      <c r="BD568" s="271"/>
      <c r="BE568" s="271"/>
      <c r="BF568" s="271"/>
      <c r="BG568" s="271"/>
      <c r="BH568" s="235">
        <f t="shared" si="222"/>
        <v>31987850</v>
      </c>
      <c r="BI568" s="271"/>
      <c r="BJ568" s="271"/>
      <c r="BK568" s="271"/>
      <c r="BL568" s="271"/>
      <c r="BM568" s="271">
        <v>160000000</v>
      </c>
      <c r="BN568" s="271"/>
      <c r="BO568" s="271"/>
      <c r="BP568" s="271"/>
      <c r="BQ568" s="271"/>
      <c r="BR568" s="271"/>
      <c r="BS568" s="271"/>
      <c r="BT568" s="271"/>
      <c r="BU568" s="271"/>
      <c r="BV568" s="271"/>
      <c r="BW568" s="271"/>
      <c r="BX568" s="235">
        <f t="shared" si="223"/>
        <v>160000000</v>
      </c>
      <c r="BY568" s="271"/>
      <c r="BZ568" s="271"/>
      <c r="CA568" s="271"/>
      <c r="CB568" s="271"/>
      <c r="CC568" s="271">
        <v>100000000</v>
      </c>
      <c r="CD568" s="271"/>
      <c r="CE568" s="271"/>
      <c r="CF568" s="271"/>
      <c r="CG568" s="271"/>
      <c r="CH568" s="271"/>
      <c r="CI568" s="271"/>
      <c r="CJ568" s="271"/>
      <c r="CK568" s="271"/>
      <c r="CL568" s="271"/>
      <c r="CM568" s="271"/>
      <c r="CN568" s="235">
        <f t="shared" si="224"/>
        <v>100000000</v>
      </c>
      <c r="CO568" s="271"/>
      <c r="CP568" s="271"/>
      <c r="CQ568" s="271"/>
      <c r="CR568" s="271"/>
      <c r="CS568" s="271">
        <v>240000000</v>
      </c>
      <c r="CT568" s="271"/>
      <c r="CU568" s="271"/>
      <c r="CV568" s="271"/>
      <c r="CW568" s="271"/>
      <c r="CX568" s="271"/>
      <c r="CY568" s="271"/>
      <c r="CZ568" s="271"/>
      <c r="DA568" s="271"/>
      <c r="DB568" s="271"/>
      <c r="DC568" s="271"/>
      <c r="DD568" s="235">
        <f t="shared" si="225"/>
        <v>240000000</v>
      </c>
      <c r="DE568" s="244">
        <f t="shared" si="226"/>
        <v>531987850</v>
      </c>
    </row>
    <row r="569" spans="1:110" s="98" customFormat="1" ht="104.1" customHeight="1">
      <c r="A569" s="103" t="s">
        <v>1242</v>
      </c>
      <c r="B569" s="279" t="s">
        <v>1469</v>
      </c>
      <c r="C569" s="279" t="s">
        <v>1689</v>
      </c>
      <c r="D569" s="279">
        <v>44</v>
      </c>
      <c r="E569" s="279" t="s">
        <v>1490</v>
      </c>
      <c r="F569" s="280" t="s">
        <v>64</v>
      </c>
      <c r="G569" s="279" t="s">
        <v>2870</v>
      </c>
      <c r="H569" s="279">
        <v>53</v>
      </c>
      <c r="I569" s="279" t="s">
        <v>65</v>
      </c>
      <c r="J569" s="279" t="s">
        <v>683</v>
      </c>
      <c r="K569" s="104">
        <v>15000</v>
      </c>
      <c r="L569" s="279" t="s">
        <v>1491</v>
      </c>
      <c r="M569" s="279" t="s">
        <v>1496</v>
      </c>
      <c r="N569" s="279" t="s">
        <v>1497</v>
      </c>
      <c r="O569" s="279" t="s">
        <v>75</v>
      </c>
      <c r="P569" s="266">
        <v>512</v>
      </c>
      <c r="Q569" s="279" t="s">
        <v>2876</v>
      </c>
      <c r="R569" s="279" t="s">
        <v>76</v>
      </c>
      <c r="S569" s="279" t="s">
        <v>683</v>
      </c>
      <c r="T569" s="279">
        <v>0</v>
      </c>
      <c r="U569" s="267"/>
      <c r="V569" s="267">
        <v>1</v>
      </c>
      <c r="W569" s="224">
        <v>1</v>
      </c>
      <c r="X569" s="267"/>
      <c r="Y569" s="267"/>
      <c r="Z569" s="267"/>
      <c r="AA569" s="267"/>
      <c r="AB569" s="224">
        <v>0</v>
      </c>
      <c r="AC569" s="267"/>
      <c r="AD569" s="267"/>
      <c r="AE569" s="267"/>
      <c r="AF569" s="267"/>
      <c r="AG569" s="224">
        <v>0</v>
      </c>
      <c r="AH569" s="267"/>
      <c r="AI569" s="267"/>
      <c r="AJ569" s="267"/>
      <c r="AK569" s="267"/>
      <c r="AL569" s="224">
        <v>0</v>
      </c>
      <c r="AM569" s="104">
        <v>1</v>
      </c>
      <c r="AN569" s="103" t="s">
        <v>685</v>
      </c>
      <c r="AO569" s="103" t="s">
        <v>620</v>
      </c>
      <c r="AP569" s="103" t="s">
        <v>1220</v>
      </c>
      <c r="AQ569" s="103" t="s">
        <v>1193</v>
      </c>
      <c r="AR569" s="103" t="s">
        <v>936</v>
      </c>
      <c r="AS569" s="271"/>
      <c r="AT569" s="271"/>
      <c r="AU569" s="271"/>
      <c r="AV569" s="271"/>
      <c r="AW569" s="271">
        <v>10500000</v>
      </c>
      <c r="AX569" s="271"/>
      <c r="AY569" s="271"/>
      <c r="AZ569" s="271"/>
      <c r="BA569" s="271"/>
      <c r="BB569" s="271"/>
      <c r="BC569" s="271"/>
      <c r="BD569" s="271"/>
      <c r="BE569" s="271"/>
      <c r="BF569" s="271"/>
      <c r="BG569" s="271">
        <v>11000000000</v>
      </c>
      <c r="BH569" s="235">
        <f t="shared" si="222"/>
        <v>11010500000</v>
      </c>
      <c r="BI569" s="271"/>
      <c r="BJ569" s="271"/>
      <c r="BK569" s="271"/>
      <c r="BL569" s="271"/>
      <c r="BM569" s="271"/>
      <c r="BN569" s="271"/>
      <c r="BO569" s="271"/>
      <c r="BP569" s="271"/>
      <c r="BQ569" s="271"/>
      <c r="BR569" s="271"/>
      <c r="BS569" s="271"/>
      <c r="BT569" s="271"/>
      <c r="BU569" s="271"/>
      <c r="BV569" s="271"/>
      <c r="BW569" s="271"/>
      <c r="BX569" s="235">
        <f t="shared" si="223"/>
        <v>0</v>
      </c>
      <c r="BY569" s="271"/>
      <c r="BZ569" s="271"/>
      <c r="CA569" s="271"/>
      <c r="CB569" s="271"/>
      <c r="CC569" s="271"/>
      <c r="CD569" s="271"/>
      <c r="CE569" s="271"/>
      <c r="CF569" s="271"/>
      <c r="CG569" s="271"/>
      <c r="CH569" s="271"/>
      <c r="CI569" s="271"/>
      <c r="CJ569" s="271"/>
      <c r="CK569" s="271"/>
      <c r="CL569" s="271"/>
      <c r="CM569" s="271"/>
      <c r="CN569" s="235">
        <f t="shared" si="224"/>
        <v>0</v>
      </c>
      <c r="CO569" s="271"/>
      <c r="CP569" s="271"/>
      <c r="CQ569" s="271"/>
      <c r="CR569" s="271"/>
      <c r="CS569" s="271"/>
      <c r="CT569" s="271"/>
      <c r="CU569" s="271"/>
      <c r="CV569" s="271"/>
      <c r="CW569" s="271"/>
      <c r="CX569" s="271"/>
      <c r="CY569" s="271"/>
      <c r="CZ569" s="271"/>
      <c r="DA569" s="271"/>
      <c r="DB569" s="271"/>
      <c r="DC569" s="271"/>
      <c r="DD569" s="235">
        <f t="shared" si="225"/>
        <v>0</v>
      </c>
      <c r="DE569" s="244">
        <f t="shared" si="226"/>
        <v>11010500000</v>
      </c>
    </row>
    <row r="570" spans="1:110" s="98" customFormat="1" ht="104.1" customHeight="1">
      <c r="A570" s="103" t="s">
        <v>1242</v>
      </c>
      <c r="B570" s="279" t="s">
        <v>1469</v>
      </c>
      <c r="C570" s="279" t="s">
        <v>1689</v>
      </c>
      <c r="D570" s="279">
        <v>44</v>
      </c>
      <c r="E570" s="279" t="s">
        <v>1490</v>
      </c>
      <c r="F570" s="280" t="s">
        <v>64</v>
      </c>
      <c r="G570" s="279" t="s">
        <v>2870</v>
      </c>
      <c r="H570" s="279">
        <v>53</v>
      </c>
      <c r="I570" s="279" t="s">
        <v>65</v>
      </c>
      <c r="J570" s="279" t="s">
        <v>683</v>
      </c>
      <c r="K570" s="104">
        <v>15000</v>
      </c>
      <c r="L570" s="279" t="s">
        <v>1491</v>
      </c>
      <c r="M570" s="279" t="s">
        <v>1496</v>
      </c>
      <c r="N570" s="279" t="s">
        <v>1497</v>
      </c>
      <c r="O570" s="279" t="s">
        <v>75</v>
      </c>
      <c r="P570" s="266">
        <v>513</v>
      </c>
      <c r="Q570" s="279" t="s">
        <v>2877</v>
      </c>
      <c r="R570" s="279" t="s">
        <v>1498</v>
      </c>
      <c r="S570" s="279" t="s">
        <v>683</v>
      </c>
      <c r="T570" s="279">
        <v>150</v>
      </c>
      <c r="U570" s="267"/>
      <c r="V570" s="267"/>
      <c r="W570" s="224">
        <v>0</v>
      </c>
      <c r="X570" s="267"/>
      <c r="Y570" s="267"/>
      <c r="Z570" s="267"/>
      <c r="AA570" s="267">
        <v>47</v>
      </c>
      <c r="AB570" s="224">
        <v>47</v>
      </c>
      <c r="AC570" s="267"/>
      <c r="AD570" s="267"/>
      <c r="AE570" s="267"/>
      <c r="AF570" s="267">
        <v>7</v>
      </c>
      <c r="AG570" s="224">
        <v>7</v>
      </c>
      <c r="AH570" s="267"/>
      <c r="AI570" s="267">
        <v>6</v>
      </c>
      <c r="AJ570" s="267"/>
      <c r="AK570" s="267"/>
      <c r="AL570" s="224">
        <v>6</v>
      </c>
      <c r="AM570" s="104">
        <v>60</v>
      </c>
      <c r="AN570" s="103" t="s">
        <v>685</v>
      </c>
      <c r="AO570" s="103" t="s">
        <v>620</v>
      </c>
      <c r="AP570" s="103" t="s">
        <v>1220</v>
      </c>
      <c r="AQ570" s="103" t="s">
        <v>1197</v>
      </c>
      <c r="AR570" s="103" t="s">
        <v>936</v>
      </c>
      <c r="AS570" s="271"/>
      <c r="AT570" s="271"/>
      <c r="AU570" s="271"/>
      <c r="AV570" s="271"/>
      <c r="AW570" s="271"/>
      <c r="AX570" s="271"/>
      <c r="AY570" s="271"/>
      <c r="AZ570" s="271"/>
      <c r="BA570" s="271"/>
      <c r="BB570" s="271"/>
      <c r="BC570" s="271"/>
      <c r="BD570" s="271"/>
      <c r="BE570" s="271"/>
      <c r="BF570" s="271"/>
      <c r="BG570" s="271"/>
      <c r="BH570" s="235">
        <f t="shared" si="222"/>
        <v>0</v>
      </c>
      <c r="BI570" s="271"/>
      <c r="BJ570" s="271"/>
      <c r="BK570" s="271"/>
      <c r="BL570" s="271"/>
      <c r="BM570" s="271"/>
      <c r="BN570" s="271"/>
      <c r="BO570" s="271"/>
      <c r="BP570" s="271"/>
      <c r="BQ570" s="271"/>
      <c r="BR570" s="271"/>
      <c r="BS570" s="271"/>
      <c r="BT570" s="271"/>
      <c r="BU570" s="271"/>
      <c r="BV570" s="271"/>
      <c r="BW570" s="271">
        <v>11000000000</v>
      </c>
      <c r="BX570" s="235">
        <f t="shared" si="223"/>
        <v>11000000000</v>
      </c>
      <c r="BY570" s="271"/>
      <c r="BZ570" s="271"/>
      <c r="CA570" s="271"/>
      <c r="CB570" s="271"/>
      <c r="CC570" s="271">
        <v>70000000</v>
      </c>
      <c r="CD570" s="271"/>
      <c r="CE570" s="271"/>
      <c r="CF570" s="271"/>
      <c r="CG570" s="271"/>
      <c r="CH570" s="271"/>
      <c r="CI570" s="271"/>
      <c r="CJ570" s="271"/>
      <c r="CK570" s="271"/>
      <c r="CL570" s="271"/>
      <c r="CM570" s="271"/>
      <c r="CN570" s="235">
        <f t="shared" si="224"/>
        <v>70000000</v>
      </c>
      <c r="CO570" s="271"/>
      <c r="CP570" s="271"/>
      <c r="CQ570" s="271"/>
      <c r="CR570" s="271"/>
      <c r="CS570" s="271">
        <v>72000000</v>
      </c>
      <c r="CT570" s="271"/>
      <c r="CU570" s="271"/>
      <c r="CV570" s="271"/>
      <c r="CW570" s="271"/>
      <c r="CX570" s="271"/>
      <c r="CY570" s="271"/>
      <c r="CZ570" s="271"/>
      <c r="DA570" s="271"/>
      <c r="DB570" s="271"/>
      <c r="DC570" s="271"/>
      <c r="DD570" s="235">
        <f t="shared" si="225"/>
        <v>72000000</v>
      </c>
      <c r="DE570" s="244">
        <f t="shared" si="226"/>
        <v>11142000000</v>
      </c>
    </row>
    <row r="571" spans="1:110" s="98" customFormat="1" ht="104.1" customHeight="1">
      <c r="A571" s="103" t="s">
        <v>1242</v>
      </c>
      <c r="B571" s="279" t="s">
        <v>1469</v>
      </c>
      <c r="C571" s="279" t="s">
        <v>1689</v>
      </c>
      <c r="D571" s="279">
        <v>44</v>
      </c>
      <c r="E571" s="279" t="s">
        <v>1490</v>
      </c>
      <c r="F571" s="280" t="s">
        <v>64</v>
      </c>
      <c r="G571" s="279" t="s">
        <v>2870</v>
      </c>
      <c r="H571" s="279">
        <v>53</v>
      </c>
      <c r="I571" s="279" t="s">
        <v>65</v>
      </c>
      <c r="J571" s="279" t="s">
        <v>683</v>
      </c>
      <c r="K571" s="104">
        <v>15000</v>
      </c>
      <c r="L571" s="279" t="s">
        <v>1491</v>
      </c>
      <c r="M571" s="279" t="s">
        <v>1496</v>
      </c>
      <c r="N571" s="279" t="s">
        <v>1497</v>
      </c>
      <c r="O571" s="279" t="s">
        <v>75</v>
      </c>
      <c r="P571" s="266">
        <v>514</v>
      </c>
      <c r="Q571" s="279" t="s">
        <v>2878</v>
      </c>
      <c r="R571" s="279" t="s">
        <v>1499</v>
      </c>
      <c r="S571" s="279" t="s">
        <v>683</v>
      </c>
      <c r="T571" s="279">
        <v>0</v>
      </c>
      <c r="U571" s="267"/>
      <c r="V571" s="267"/>
      <c r="W571" s="224">
        <v>0</v>
      </c>
      <c r="X571" s="267"/>
      <c r="Y571" s="267"/>
      <c r="Z571" s="267"/>
      <c r="AA571" s="267"/>
      <c r="AB571" s="224">
        <v>0</v>
      </c>
      <c r="AC571" s="267"/>
      <c r="AD571" s="267">
        <v>1</v>
      </c>
      <c r="AE571" s="267"/>
      <c r="AF571" s="267"/>
      <c r="AG571" s="224">
        <v>1</v>
      </c>
      <c r="AH571" s="267"/>
      <c r="AI571" s="267"/>
      <c r="AJ571" s="267"/>
      <c r="AK571" s="267"/>
      <c r="AL571" s="224">
        <v>0</v>
      </c>
      <c r="AM571" s="104">
        <v>1</v>
      </c>
      <c r="AN571" s="103" t="s">
        <v>685</v>
      </c>
      <c r="AO571" s="103" t="s">
        <v>620</v>
      </c>
      <c r="AP571" s="103" t="s">
        <v>1220</v>
      </c>
      <c r="AQ571" s="103" t="s">
        <v>1197</v>
      </c>
      <c r="AR571" s="103" t="s">
        <v>936</v>
      </c>
      <c r="AS571" s="271"/>
      <c r="AT571" s="271"/>
      <c r="AU571" s="271"/>
      <c r="AV571" s="271"/>
      <c r="AW571" s="271"/>
      <c r="AX571" s="271"/>
      <c r="AY571" s="271"/>
      <c r="AZ571" s="271"/>
      <c r="BA571" s="271"/>
      <c r="BB571" s="271"/>
      <c r="BC571" s="271"/>
      <c r="BD571" s="271"/>
      <c r="BE571" s="271"/>
      <c r="BF571" s="271"/>
      <c r="BG571" s="271"/>
      <c r="BH571" s="235">
        <f t="shared" si="222"/>
        <v>0</v>
      </c>
      <c r="BI571" s="271"/>
      <c r="BJ571" s="271"/>
      <c r="BK571" s="271"/>
      <c r="BL571" s="271"/>
      <c r="BM571" s="271"/>
      <c r="BN571" s="271"/>
      <c r="BO571" s="271"/>
      <c r="BP571" s="271"/>
      <c r="BQ571" s="271"/>
      <c r="BR571" s="271"/>
      <c r="BS571" s="271"/>
      <c r="BT571" s="271"/>
      <c r="BU571" s="271"/>
      <c r="BV571" s="271"/>
      <c r="BW571" s="271"/>
      <c r="BX571" s="235">
        <f t="shared" si="223"/>
        <v>0</v>
      </c>
      <c r="BY571" s="271"/>
      <c r="BZ571" s="271"/>
      <c r="CA571" s="271"/>
      <c r="CB571" s="271"/>
      <c r="CC571" s="271">
        <v>10500000</v>
      </c>
      <c r="CD571" s="271"/>
      <c r="CE571" s="271"/>
      <c r="CF571" s="271"/>
      <c r="CG571" s="271"/>
      <c r="CH571" s="271"/>
      <c r="CI571" s="271"/>
      <c r="CJ571" s="271"/>
      <c r="CK571" s="271"/>
      <c r="CL571" s="271"/>
      <c r="CM571" s="271"/>
      <c r="CN571" s="235">
        <f t="shared" si="224"/>
        <v>10500000</v>
      </c>
      <c r="CO571" s="271"/>
      <c r="CP571" s="271"/>
      <c r="CQ571" s="271"/>
      <c r="CR571" s="271"/>
      <c r="CS571" s="271"/>
      <c r="CT571" s="271"/>
      <c r="CU571" s="271"/>
      <c r="CV571" s="271"/>
      <c r="CW571" s="271"/>
      <c r="CX571" s="271"/>
      <c r="CY571" s="271"/>
      <c r="CZ571" s="271"/>
      <c r="DA571" s="271"/>
      <c r="DB571" s="271"/>
      <c r="DC571" s="271"/>
      <c r="DD571" s="235">
        <f t="shared" si="225"/>
        <v>0</v>
      </c>
      <c r="DE571" s="244">
        <f t="shared" si="226"/>
        <v>10500000</v>
      </c>
    </row>
    <row r="572" spans="1:110" s="98" customFormat="1" ht="104.1" customHeight="1">
      <c r="A572" s="103" t="s">
        <v>1242</v>
      </c>
      <c r="B572" s="279" t="s">
        <v>1469</v>
      </c>
      <c r="C572" s="279" t="s">
        <v>1689</v>
      </c>
      <c r="D572" s="279">
        <v>44</v>
      </c>
      <c r="E572" s="279" t="s">
        <v>1490</v>
      </c>
      <c r="F572" s="280" t="s">
        <v>64</v>
      </c>
      <c r="G572" s="279" t="s">
        <v>2870</v>
      </c>
      <c r="H572" s="279">
        <v>53</v>
      </c>
      <c r="I572" s="279" t="s">
        <v>65</v>
      </c>
      <c r="J572" s="279" t="s">
        <v>683</v>
      </c>
      <c r="K572" s="104">
        <v>15000</v>
      </c>
      <c r="L572" s="279" t="s">
        <v>1491</v>
      </c>
      <c r="M572" s="279" t="s">
        <v>1496</v>
      </c>
      <c r="N572" s="279" t="s">
        <v>1497</v>
      </c>
      <c r="O572" s="279" t="s">
        <v>75</v>
      </c>
      <c r="P572" s="266">
        <v>515</v>
      </c>
      <c r="Q572" s="279" t="s">
        <v>2879</v>
      </c>
      <c r="R572" s="279" t="s">
        <v>85</v>
      </c>
      <c r="S572" s="279" t="s">
        <v>683</v>
      </c>
      <c r="T572" s="279">
        <v>0</v>
      </c>
      <c r="U572" s="267">
        <v>1</v>
      </c>
      <c r="V572" s="267"/>
      <c r="W572" s="224">
        <v>1</v>
      </c>
      <c r="X572" s="267"/>
      <c r="Y572" s="267"/>
      <c r="Z572" s="267"/>
      <c r="AA572" s="267"/>
      <c r="AB572" s="224">
        <v>0</v>
      </c>
      <c r="AC572" s="267"/>
      <c r="AD572" s="267"/>
      <c r="AE572" s="267"/>
      <c r="AF572" s="267"/>
      <c r="AG572" s="224">
        <v>0</v>
      </c>
      <c r="AH572" s="267"/>
      <c r="AI572" s="267"/>
      <c r="AJ572" s="267"/>
      <c r="AK572" s="267"/>
      <c r="AL572" s="224">
        <v>0</v>
      </c>
      <c r="AM572" s="104">
        <v>1</v>
      </c>
      <c r="AN572" s="103" t="s">
        <v>685</v>
      </c>
      <c r="AO572" s="103" t="s">
        <v>620</v>
      </c>
      <c r="AP572" s="103" t="s">
        <v>1220</v>
      </c>
      <c r="AQ572" s="103" t="s">
        <v>1197</v>
      </c>
      <c r="AR572" s="103" t="s">
        <v>936</v>
      </c>
      <c r="AS572" s="271"/>
      <c r="AT572" s="271"/>
      <c r="AU572" s="271"/>
      <c r="AV572" s="271">
        <v>113400000</v>
      </c>
      <c r="AW572" s="271"/>
      <c r="AX572" s="271"/>
      <c r="AY572" s="271"/>
      <c r="AZ572" s="271"/>
      <c r="BA572" s="271"/>
      <c r="BB572" s="271"/>
      <c r="BC572" s="271"/>
      <c r="BD572" s="271"/>
      <c r="BE572" s="271"/>
      <c r="BF572" s="271"/>
      <c r="BG572" s="271"/>
      <c r="BH572" s="235">
        <f t="shared" si="222"/>
        <v>113400000</v>
      </c>
      <c r="BI572" s="271"/>
      <c r="BJ572" s="271"/>
      <c r="BK572" s="271"/>
      <c r="BL572" s="271"/>
      <c r="BM572" s="271"/>
      <c r="BN572" s="271"/>
      <c r="BO572" s="271"/>
      <c r="BP572" s="271"/>
      <c r="BQ572" s="271"/>
      <c r="BR572" s="271"/>
      <c r="BS572" s="271"/>
      <c r="BT572" s="271"/>
      <c r="BU572" s="271"/>
      <c r="BV572" s="271"/>
      <c r="BW572" s="271"/>
      <c r="BX572" s="235">
        <f t="shared" si="223"/>
        <v>0</v>
      </c>
      <c r="BY572" s="271"/>
      <c r="BZ572" s="271"/>
      <c r="CA572" s="271"/>
      <c r="CB572" s="271"/>
      <c r="CC572" s="271"/>
      <c r="CD572" s="271"/>
      <c r="CE572" s="271"/>
      <c r="CF572" s="271"/>
      <c r="CG572" s="271"/>
      <c r="CH572" s="271"/>
      <c r="CI572" s="271"/>
      <c r="CJ572" s="271"/>
      <c r="CK572" s="271"/>
      <c r="CL572" s="271"/>
      <c r="CM572" s="271"/>
      <c r="CN572" s="235">
        <f t="shared" si="224"/>
        <v>0</v>
      </c>
      <c r="CO572" s="271"/>
      <c r="CP572" s="271"/>
      <c r="CQ572" s="271"/>
      <c r="CR572" s="271"/>
      <c r="CS572" s="271"/>
      <c r="CT572" s="271"/>
      <c r="CU572" s="271"/>
      <c r="CV572" s="271"/>
      <c r="CW572" s="271"/>
      <c r="CX572" s="271"/>
      <c r="CY572" s="271"/>
      <c r="CZ572" s="271"/>
      <c r="DA572" s="271"/>
      <c r="DB572" s="271"/>
      <c r="DC572" s="271"/>
      <c r="DD572" s="235">
        <f t="shared" si="225"/>
        <v>0</v>
      </c>
      <c r="DE572" s="244">
        <f t="shared" si="226"/>
        <v>113400000</v>
      </c>
    </row>
    <row r="573" spans="1:110" s="98" customFormat="1" ht="104.1" customHeight="1">
      <c r="A573" s="103" t="s">
        <v>1242</v>
      </c>
      <c r="B573" s="279" t="s">
        <v>1469</v>
      </c>
      <c r="C573" s="279" t="s">
        <v>1689</v>
      </c>
      <c r="D573" s="279">
        <v>44</v>
      </c>
      <c r="E573" s="279" t="s">
        <v>1490</v>
      </c>
      <c r="F573" s="280" t="s">
        <v>64</v>
      </c>
      <c r="G573" s="279" t="s">
        <v>2870</v>
      </c>
      <c r="H573" s="279">
        <v>53</v>
      </c>
      <c r="I573" s="279" t="s">
        <v>65</v>
      </c>
      <c r="J573" s="279" t="s">
        <v>683</v>
      </c>
      <c r="K573" s="104">
        <v>15000</v>
      </c>
      <c r="L573" s="279" t="s">
        <v>1491</v>
      </c>
      <c r="M573" s="279" t="s">
        <v>1496</v>
      </c>
      <c r="N573" s="279" t="s">
        <v>1497</v>
      </c>
      <c r="O573" s="279" t="s">
        <v>75</v>
      </c>
      <c r="P573" s="266">
        <v>516</v>
      </c>
      <c r="Q573" s="279" t="s">
        <v>2880</v>
      </c>
      <c r="R573" s="279" t="s">
        <v>87</v>
      </c>
      <c r="S573" s="279" t="s">
        <v>683</v>
      </c>
      <c r="T573" s="279">
        <v>5</v>
      </c>
      <c r="U573" s="267"/>
      <c r="V573" s="267"/>
      <c r="W573" s="224">
        <v>0</v>
      </c>
      <c r="X573" s="267"/>
      <c r="Y573" s="267"/>
      <c r="Z573" s="267"/>
      <c r="AA573" s="267">
        <v>1</v>
      </c>
      <c r="AB573" s="224">
        <v>1</v>
      </c>
      <c r="AC573" s="267"/>
      <c r="AD573" s="267"/>
      <c r="AE573" s="267"/>
      <c r="AF573" s="267">
        <v>2</v>
      </c>
      <c r="AG573" s="224">
        <v>2</v>
      </c>
      <c r="AH573" s="267"/>
      <c r="AI573" s="267"/>
      <c r="AJ573" s="267">
        <v>2</v>
      </c>
      <c r="AK573" s="267"/>
      <c r="AL573" s="224">
        <v>2</v>
      </c>
      <c r="AM573" s="104">
        <v>5</v>
      </c>
      <c r="AN573" s="103" t="s">
        <v>685</v>
      </c>
      <c r="AO573" s="103" t="s">
        <v>620</v>
      </c>
      <c r="AP573" s="103" t="s">
        <v>1220</v>
      </c>
      <c r="AQ573" s="103" t="s">
        <v>1197</v>
      </c>
      <c r="AR573" s="103" t="s">
        <v>937</v>
      </c>
      <c r="AS573" s="271"/>
      <c r="AT573" s="271"/>
      <c r="AU573" s="271"/>
      <c r="AV573" s="271"/>
      <c r="AW573" s="271"/>
      <c r="AX573" s="271"/>
      <c r="AY573" s="271"/>
      <c r="AZ573" s="271"/>
      <c r="BA573" s="271"/>
      <c r="BB573" s="271"/>
      <c r="BC573" s="271"/>
      <c r="BD573" s="271"/>
      <c r="BE573" s="271"/>
      <c r="BF573" s="271"/>
      <c r="BG573" s="271"/>
      <c r="BH573" s="235">
        <f t="shared" si="222"/>
        <v>0</v>
      </c>
      <c r="BI573" s="271"/>
      <c r="BJ573" s="271"/>
      <c r="BK573" s="271"/>
      <c r="BL573" s="271"/>
      <c r="BM573" s="271">
        <v>10000000</v>
      </c>
      <c r="BN573" s="271"/>
      <c r="BO573" s="271"/>
      <c r="BP573" s="271"/>
      <c r="BQ573" s="271"/>
      <c r="BR573" s="271"/>
      <c r="BS573" s="271"/>
      <c r="BT573" s="271"/>
      <c r="BU573" s="271"/>
      <c r="BV573" s="271"/>
      <c r="BW573" s="271"/>
      <c r="BX573" s="235">
        <f t="shared" si="223"/>
        <v>10000000</v>
      </c>
      <c r="BY573" s="271"/>
      <c r="BZ573" s="271"/>
      <c r="CA573" s="271"/>
      <c r="CB573" s="271"/>
      <c r="CC573" s="271">
        <v>10000000</v>
      </c>
      <c r="CD573" s="271"/>
      <c r="CE573" s="271"/>
      <c r="CF573" s="271"/>
      <c r="CG573" s="271"/>
      <c r="CH573" s="271"/>
      <c r="CI573" s="271"/>
      <c r="CJ573" s="271"/>
      <c r="CK573" s="271"/>
      <c r="CL573" s="271"/>
      <c r="CM573" s="271"/>
      <c r="CN573" s="235">
        <f t="shared" si="224"/>
        <v>10000000</v>
      </c>
      <c r="CO573" s="271"/>
      <c r="CP573" s="271"/>
      <c r="CQ573" s="271"/>
      <c r="CR573" s="271"/>
      <c r="CS573" s="271">
        <v>10000000</v>
      </c>
      <c r="CT573" s="271"/>
      <c r="CU573" s="271"/>
      <c r="CV573" s="271"/>
      <c r="CW573" s="271"/>
      <c r="CX573" s="271"/>
      <c r="CY573" s="271"/>
      <c r="CZ573" s="271"/>
      <c r="DA573" s="271"/>
      <c r="DB573" s="271"/>
      <c r="DC573" s="271"/>
      <c r="DD573" s="235">
        <f t="shared" si="225"/>
        <v>10000000</v>
      </c>
      <c r="DE573" s="244">
        <f t="shared" si="226"/>
        <v>30000000</v>
      </c>
    </row>
    <row r="574" spans="1:110" s="98" customFormat="1" ht="104.1" customHeight="1">
      <c r="A574" s="103" t="s">
        <v>1242</v>
      </c>
      <c r="B574" s="279" t="s">
        <v>1469</v>
      </c>
      <c r="C574" s="279" t="s">
        <v>1689</v>
      </c>
      <c r="D574" s="279">
        <v>44</v>
      </c>
      <c r="E574" s="279" t="s">
        <v>1490</v>
      </c>
      <c r="F574" s="280" t="s">
        <v>64</v>
      </c>
      <c r="G574" s="279" t="s">
        <v>2870</v>
      </c>
      <c r="H574" s="279">
        <v>53</v>
      </c>
      <c r="I574" s="279" t="s">
        <v>65</v>
      </c>
      <c r="J574" s="279" t="s">
        <v>683</v>
      </c>
      <c r="K574" s="104">
        <v>15000</v>
      </c>
      <c r="L574" s="279" t="s">
        <v>1491</v>
      </c>
      <c r="M574" s="279" t="s">
        <v>1500</v>
      </c>
      <c r="N574" s="279" t="s">
        <v>1501</v>
      </c>
      <c r="O574" s="279" t="s">
        <v>1502</v>
      </c>
      <c r="P574" s="266">
        <v>517</v>
      </c>
      <c r="Q574" s="279" t="s">
        <v>2881</v>
      </c>
      <c r="R574" s="279" t="s">
        <v>94</v>
      </c>
      <c r="S574" s="279" t="s">
        <v>683</v>
      </c>
      <c r="T574" s="279">
        <v>0</v>
      </c>
      <c r="U574" s="267"/>
      <c r="V574" s="267"/>
      <c r="W574" s="224">
        <v>0</v>
      </c>
      <c r="X574" s="267"/>
      <c r="Y574" s="267"/>
      <c r="Z574" s="267"/>
      <c r="AA574" s="267"/>
      <c r="AB574" s="224">
        <v>0</v>
      </c>
      <c r="AC574" s="267"/>
      <c r="AD574" s="267"/>
      <c r="AE574" s="267"/>
      <c r="AF574" s="267">
        <v>1</v>
      </c>
      <c r="AG574" s="224">
        <v>1</v>
      </c>
      <c r="AH574" s="267"/>
      <c r="AI574" s="267"/>
      <c r="AJ574" s="267"/>
      <c r="AK574" s="267"/>
      <c r="AL574" s="224">
        <v>0</v>
      </c>
      <c r="AM574" s="104">
        <v>1</v>
      </c>
      <c r="AN574" s="103" t="s">
        <v>685</v>
      </c>
      <c r="AO574" s="103" t="s">
        <v>620</v>
      </c>
      <c r="AP574" s="103" t="s">
        <v>1220</v>
      </c>
      <c r="AQ574" s="103" t="s">
        <v>1197</v>
      </c>
      <c r="AR574" s="103" t="s">
        <v>936</v>
      </c>
      <c r="AS574" s="271"/>
      <c r="AT574" s="271"/>
      <c r="AU574" s="271"/>
      <c r="AV574" s="271"/>
      <c r="AW574" s="271"/>
      <c r="AX574" s="271"/>
      <c r="AY574" s="271"/>
      <c r="AZ574" s="271"/>
      <c r="BA574" s="271"/>
      <c r="BB574" s="271"/>
      <c r="BC574" s="271"/>
      <c r="BD574" s="271"/>
      <c r="BE574" s="271"/>
      <c r="BF574" s="271"/>
      <c r="BG574" s="271"/>
      <c r="BH574" s="235">
        <f t="shared" si="222"/>
        <v>0</v>
      </c>
      <c r="BI574" s="271"/>
      <c r="BJ574" s="271"/>
      <c r="BK574" s="271"/>
      <c r="BL574" s="271"/>
      <c r="BM574" s="271"/>
      <c r="BN574" s="271"/>
      <c r="BO574" s="271"/>
      <c r="BP574" s="271"/>
      <c r="BQ574" s="271"/>
      <c r="BR574" s="271"/>
      <c r="BS574" s="271"/>
      <c r="BT574" s="271"/>
      <c r="BU574" s="271"/>
      <c r="BV574" s="271"/>
      <c r="BW574" s="271"/>
      <c r="BX574" s="235">
        <f t="shared" si="223"/>
        <v>0</v>
      </c>
      <c r="BY574" s="271"/>
      <c r="BZ574" s="271"/>
      <c r="CA574" s="271"/>
      <c r="CB574" s="271"/>
      <c r="CC574" s="271">
        <v>10500000</v>
      </c>
      <c r="CD574" s="271"/>
      <c r="CE574" s="271"/>
      <c r="CF574" s="271"/>
      <c r="CG574" s="271"/>
      <c r="CH574" s="271"/>
      <c r="CI574" s="271"/>
      <c r="CJ574" s="271"/>
      <c r="CK574" s="271"/>
      <c r="CL574" s="271"/>
      <c r="CM574" s="271"/>
      <c r="CN574" s="235">
        <f t="shared" si="224"/>
        <v>10500000</v>
      </c>
      <c r="CO574" s="271"/>
      <c r="CP574" s="271"/>
      <c r="CQ574" s="271"/>
      <c r="CR574" s="271"/>
      <c r="CS574" s="271"/>
      <c r="CT574" s="271"/>
      <c r="CU574" s="271"/>
      <c r="CV574" s="271"/>
      <c r="CW574" s="271"/>
      <c r="CX574" s="271"/>
      <c r="CY574" s="271"/>
      <c r="CZ574" s="271"/>
      <c r="DA574" s="271"/>
      <c r="DB574" s="271"/>
      <c r="DC574" s="271"/>
      <c r="DD574" s="235">
        <f t="shared" si="225"/>
        <v>0</v>
      </c>
      <c r="DE574" s="244">
        <f t="shared" si="226"/>
        <v>10500000</v>
      </c>
    </row>
    <row r="575" spans="1:110" s="98" customFormat="1" ht="104.1" customHeight="1">
      <c r="A575" s="103" t="s">
        <v>1242</v>
      </c>
      <c r="B575" s="279" t="s">
        <v>1469</v>
      </c>
      <c r="C575" s="279" t="s">
        <v>1689</v>
      </c>
      <c r="D575" s="279">
        <v>44</v>
      </c>
      <c r="E575" s="279" t="s">
        <v>1490</v>
      </c>
      <c r="F575" s="280" t="s">
        <v>64</v>
      </c>
      <c r="G575" s="279" t="s">
        <v>2870</v>
      </c>
      <c r="H575" s="279">
        <v>53</v>
      </c>
      <c r="I575" s="279" t="s">
        <v>65</v>
      </c>
      <c r="J575" s="279" t="s">
        <v>683</v>
      </c>
      <c r="K575" s="104">
        <v>15000</v>
      </c>
      <c r="L575" s="279" t="s">
        <v>1491</v>
      </c>
      <c r="M575" s="279" t="s">
        <v>1500</v>
      </c>
      <c r="N575" s="279" t="s">
        <v>1501</v>
      </c>
      <c r="O575" s="279" t="s">
        <v>1502</v>
      </c>
      <c r="P575" s="266">
        <v>518</v>
      </c>
      <c r="Q575" s="279" t="s">
        <v>2882</v>
      </c>
      <c r="R575" s="279" t="s">
        <v>97</v>
      </c>
      <c r="S575" s="279" t="s">
        <v>683</v>
      </c>
      <c r="T575" s="279">
        <v>0</v>
      </c>
      <c r="U575" s="267"/>
      <c r="V575" s="267"/>
      <c r="W575" s="224">
        <v>0</v>
      </c>
      <c r="X575" s="267"/>
      <c r="Y575" s="267"/>
      <c r="Z575" s="267"/>
      <c r="AA575" s="267"/>
      <c r="AB575" s="224">
        <v>0</v>
      </c>
      <c r="AC575" s="267"/>
      <c r="AD575" s="267"/>
      <c r="AE575" s="267"/>
      <c r="AF575" s="267">
        <v>1</v>
      </c>
      <c r="AG575" s="224">
        <v>1</v>
      </c>
      <c r="AH575" s="267"/>
      <c r="AI575" s="267"/>
      <c r="AJ575" s="267"/>
      <c r="AK575" s="267"/>
      <c r="AL575" s="224">
        <v>0</v>
      </c>
      <c r="AM575" s="104">
        <v>1</v>
      </c>
      <c r="AN575" s="103" t="s">
        <v>685</v>
      </c>
      <c r="AO575" s="103" t="s">
        <v>620</v>
      </c>
      <c r="AP575" s="103" t="s">
        <v>1220</v>
      </c>
      <c r="AQ575" s="103" t="s">
        <v>1192</v>
      </c>
      <c r="AR575" s="103" t="s">
        <v>936</v>
      </c>
      <c r="AS575" s="271"/>
      <c r="AT575" s="271"/>
      <c r="AU575" s="271"/>
      <c r="AV575" s="271"/>
      <c r="AW575" s="271"/>
      <c r="AX575" s="271"/>
      <c r="AY575" s="271"/>
      <c r="AZ575" s="271"/>
      <c r="BA575" s="271"/>
      <c r="BB575" s="271"/>
      <c r="BC575" s="271"/>
      <c r="BD575" s="271"/>
      <c r="BE575" s="271"/>
      <c r="BF575" s="271"/>
      <c r="BG575" s="271"/>
      <c r="BH575" s="235">
        <f t="shared" si="222"/>
        <v>0</v>
      </c>
      <c r="BI575" s="271"/>
      <c r="BJ575" s="271"/>
      <c r="BK575" s="271"/>
      <c r="BL575" s="271"/>
      <c r="BM575" s="271"/>
      <c r="BN575" s="271"/>
      <c r="BO575" s="271"/>
      <c r="BP575" s="271"/>
      <c r="BQ575" s="271"/>
      <c r="BR575" s="271"/>
      <c r="BS575" s="271"/>
      <c r="BT575" s="271"/>
      <c r="BU575" s="271"/>
      <c r="BV575" s="271"/>
      <c r="BW575" s="271"/>
      <c r="BX575" s="235">
        <f t="shared" si="223"/>
        <v>0</v>
      </c>
      <c r="BY575" s="271"/>
      <c r="BZ575" s="271"/>
      <c r="CA575" s="271"/>
      <c r="CB575" s="271"/>
      <c r="CC575" s="271">
        <v>10500000</v>
      </c>
      <c r="CD575" s="271"/>
      <c r="CE575" s="271"/>
      <c r="CF575" s="271"/>
      <c r="CG575" s="271"/>
      <c r="CH575" s="271"/>
      <c r="CI575" s="271"/>
      <c r="CJ575" s="271"/>
      <c r="CK575" s="271"/>
      <c r="CL575" s="271"/>
      <c r="CM575" s="271"/>
      <c r="CN575" s="235">
        <f t="shared" si="224"/>
        <v>10500000</v>
      </c>
      <c r="CO575" s="271"/>
      <c r="CP575" s="271"/>
      <c r="CQ575" s="271"/>
      <c r="CR575" s="271"/>
      <c r="CS575" s="271"/>
      <c r="CT575" s="271"/>
      <c r="CU575" s="271"/>
      <c r="CV575" s="271"/>
      <c r="CW575" s="271"/>
      <c r="CX575" s="271"/>
      <c r="CY575" s="271"/>
      <c r="CZ575" s="271"/>
      <c r="DA575" s="271"/>
      <c r="DB575" s="271"/>
      <c r="DC575" s="271"/>
      <c r="DD575" s="235">
        <f t="shared" si="225"/>
        <v>0</v>
      </c>
      <c r="DE575" s="244">
        <f t="shared" si="226"/>
        <v>10500000</v>
      </c>
    </row>
    <row r="576" spans="1:110" s="98" customFormat="1" ht="104.1" customHeight="1">
      <c r="A576" s="103" t="s">
        <v>1242</v>
      </c>
      <c r="B576" s="279" t="s">
        <v>1469</v>
      </c>
      <c r="C576" s="279" t="s">
        <v>1689</v>
      </c>
      <c r="D576" s="279">
        <v>44</v>
      </c>
      <c r="E576" s="279" t="s">
        <v>1490</v>
      </c>
      <c r="F576" s="280" t="s">
        <v>64</v>
      </c>
      <c r="G576" s="279" t="s">
        <v>2870</v>
      </c>
      <c r="H576" s="279">
        <v>53</v>
      </c>
      <c r="I576" s="279" t="s">
        <v>65</v>
      </c>
      <c r="J576" s="279" t="s">
        <v>683</v>
      </c>
      <c r="K576" s="104">
        <v>15000</v>
      </c>
      <c r="L576" s="279" t="s">
        <v>1491</v>
      </c>
      <c r="M576" s="279" t="s">
        <v>1500</v>
      </c>
      <c r="N576" s="279" t="s">
        <v>1501</v>
      </c>
      <c r="O576" s="279" t="s">
        <v>1502</v>
      </c>
      <c r="P576" s="266">
        <v>519</v>
      </c>
      <c r="Q576" s="279" t="s">
        <v>2883</v>
      </c>
      <c r="R576" s="279" t="s">
        <v>1503</v>
      </c>
      <c r="S576" s="279" t="s">
        <v>683</v>
      </c>
      <c r="T576" s="279">
        <v>0</v>
      </c>
      <c r="U576" s="267"/>
      <c r="V576" s="267"/>
      <c r="W576" s="224">
        <v>0</v>
      </c>
      <c r="X576" s="267"/>
      <c r="Y576" s="267"/>
      <c r="Z576" s="267"/>
      <c r="AA576" s="267">
        <v>1</v>
      </c>
      <c r="AB576" s="224">
        <v>1</v>
      </c>
      <c r="AC576" s="267"/>
      <c r="AD576" s="267"/>
      <c r="AE576" s="267"/>
      <c r="AF576" s="267"/>
      <c r="AG576" s="224">
        <v>0</v>
      </c>
      <c r="AH576" s="267"/>
      <c r="AI576" s="267"/>
      <c r="AJ576" s="267"/>
      <c r="AK576" s="267"/>
      <c r="AL576" s="224">
        <v>0</v>
      </c>
      <c r="AM576" s="104">
        <v>1</v>
      </c>
      <c r="AN576" s="103" t="s">
        <v>685</v>
      </c>
      <c r="AO576" s="103" t="s">
        <v>620</v>
      </c>
      <c r="AP576" s="103" t="s">
        <v>1220</v>
      </c>
      <c r="AQ576" s="103" t="s">
        <v>1192</v>
      </c>
      <c r="AR576" s="103" t="s">
        <v>936</v>
      </c>
      <c r="AS576" s="271"/>
      <c r="AT576" s="271"/>
      <c r="AU576" s="271"/>
      <c r="AV576" s="271"/>
      <c r="AW576" s="271"/>
      <c r="AX576" s="271"/>
      <c r="AY576" s="271"/>
      <c r="AZ576" s="271"/>
      <c r="BA576" s="271"/>
      <c r="BB576" s="271"/>
      <c r="BC576" s="271"/>
      <c r="BD576" s="271"/>
      <c r="BE576" s="271"/>
      <c r="BF576" s="271"/>
      <c r="BG576" s="271"/>
      <c r="BH576" s="235">
        <f t="shared" si="222"/>
        <v>0</v>
      </c>
      <c r="BI576" s="271"/>
      <c r="BJ576" s="271"/>
      <c r="BK576" s="271"/>
      <c r="BL576" s="271"/>
      <c r="BM576" s="271">
        <v>10500000</v>
      </c>
      <c r="BN576" s="271"/>
      <c r="BO576" s="271"/>
      <c r="BP576" s="271"/>
      <c r="BQ576" s="271"/>
      <c r="BR576" s="271"/>
      <c r="BS576" s="271"/>
      <c r="BT576" s="271"/>
      <c r="BU576" s="271"/>
      <c r="BV576" s="271"/>
      <c r="BW576" s="271"/>
      <c r="BX576" s="235">
        <f t="shared" si="223"/>
        <v>10500000</v>
      </c>
      <c r="BY576" s="271"/>
      <c r="BZ576" s="271"/>
      <c r="CA576" s="271"/>
      <c r="CB576" s="271"/>
      <c r="CC576" s="271"/>
      <c r="CD576" s="271"/>
      <c r="CE576" s="271"/>
      <c r="CF576" s="271"/>
      <c r="CG576" s="271"/>
      <c r="CH576" s="271"/>
      <c r="CI576" s="271"/>
      <c r="CJ576" s="271"/>
      <c r="CK576" s="271"/>
      <c r="CL576" s="271"/>
      <c r="CM576" s="271"/>
      <c r="CN576" s="235">
        <f t="shared" si="224"/>
        <v>0</v>
      </c>
      <c r="CO576" s="271"/>
      <c r="CP576" s="271"/>
      <c r="CQ576" s="271"/>
      <c r="CR576" s="271"/>
      <c r="CS576" s="271"/>
      <c r="CT576" s="271"/>
      <c r="CU576" s="271"/>
      <c r="CV576" s="271"/>
      <c r="CW576" s="271"/>
      <c r="CX576" s="271"/>
      <c r="CY576" s="271"/>
      <c r="CZ576" s="271"/>
      <c r="DA576" s="271"/>
      <c r="DB576" s="271"/>
      <c r="DC576" s="271"/>
      <c r="DD576" s="235">
        <f t="shared" si="225"/>
        <v>0</v>
      </c>
      <c r="DE576" s="244">
        <f t="shared" si="226"/>
        <v>10500000</v>
      </c>
    </row>
    <row r="577" spans="1:109" s="98" customFormat="1" ht="104.1" customHeight="1">
      <c r="A577" s="103" t="s">
        <v>1242</v>
      </c>
      <c r="B577" s="279" t="s">
        <v>1469</v>
      </c>
      <c r="C577" s="279" t="s">
        <v>1689</v>
      </c>
      <c r="D577" s="279">
        <v>44</v>
      </c>
      <c r="E577" s="279" t="s">
        <v>1490</v>
      </c>
      <c r="F577" s="280" t="s">
        <v>64</v>
      </c>
      <c r="G577" s="279" t="s">
        <v>2870</v>
      </c>
      <c r="H577" s="279">
        <v>53</v>
      </c>
      <c r="I577" s="279" t="s">
        <v>65</v>
      </c>
      <c r="J577" s="279" t="s">
        <v>683</v>
      </c>
      <c r="K577" s="104">
        <v>15000</v>
      </c>
      <c r="L577" s="279" t="s">
        <v>1491</v>
      </c>
      <c r="M577" s="279" t="s">
        <v>1500</v>
      </c>
      <c r="N577" s="279" t="s">
        <v>1501</v>
      </c>
      <c r="O577" s="279" t="s">
        <v>1502</v>
      </c>
      <c r="P577" s="266">
        <v>520</v>
      </c>
      <c r="Q577" s="279" t="s">
        <v>3589</v>
      </c>
      <c r="R577" s="279" t="s">
        <v>1504</v>
      </c>
      <c r="S577" s="279" t="s">
        <v>683</v>
      </c>
      <c r="T577" s="279">
        <v>0</v>
      </c>
      <c r="U577" s="267"/>
      <c r="V577" s="267"/>
      <c r="W577" s="224">
        <v>0</v>
      </c>
      <c r="X577" s="267"/>
      <c r="Y577" s="267"/>
      <c r="Z577" s="267"/>
      <c r="AA577" s="267"/>
      <c r="AB577" s="224">
        <v>0</v>
      </c>
      <c r="AC577" s="267"/>
      <c r="AD577" s="267"/>
      <c r="AE577" s="267"/>
      <c r="AF577" s="267">
        <v>1</v>
      </c>
      <c r="AG577" s="224">
        <v>1</v>
      </c>
      <c r="AH577" s="267"/>
      <c r="AI577" s="267"/>
      <c r="AJ577" s="267"/>
      <c r="AK577" s="267"/>
      <c r="AL577" s="224">
        <v>0</v>
      </c>
      <c r="AM577" s="104">
        <v>1</v>
      </c>
      <c r="AN577" s="103" t="s">
        <v>685</v>
      </c>
      <c r="AO577" s="103" t="s">
        <v>620</v>
      </c>
      <c r="AP577" s="103" t="s">
        <v>1220</v>
      </c>
      <c r="AQ577" s="103" t="s">
        <v>1197</v>
      </c>
      <c r="AR577" s="103" t="s">
        <v>936</v>
      </c>
      <c r="AS577" s="271"/>
      <c r="AT577" s="271"/>
      <c r="AU577" s="271"/>
      <c r="AV577" s="271"/>
      <c r="AW577" s="271"/>
      <c r="AX577" s="271"/>
      <c r="AY577" s="271"/>
      <c r="AZ577" s="271"/>
      <c r="BA577" s="271"/>
      <c r="BB577" s="271"/>
      <c r="BC577" s="271"/>
      <c r="BD577" s="271"/>
      <c r="BE577" s="271"/>
      <c r="BF577" s="271"/>
      <c r="BG577" s="271"/>
      <c r="BH577" s="235">
        <f t="shared" si="222"/>
        <v>0</v>
      </c>
      <c r="BI577" s="271"/>
      <c r="BJ577" s="271"/>
      <c r="BK577" s="271"/>
      <c r="BL577" s="271"/>
      <c r="BM577" s="271"/>
      <c r="BN577" s="271"/>
      <c r="BO577" s="271"/>
      <c r="BP577" s="271"/>
      <c r="BQ577" s="271"/>
      <c r="BR577" s="271"/>
      <c r="BS577" s="271"/>
      <c r="BT577" s="271"/>
      <c r="BU577" s="271"/>
      <c r="BV577" s="271"/>
      <c r="BW577" s="271"/>
      <c r="BX577" s="235">
        <f t="shared" si="223"/>
        <v>0</v>
      </c>
      <c r="BY577" s="271"/>
      <c r="BZ577" s="271"/>
      <c r="CA577" s="271"/>
      <c r="CB577" s="271"/>
      <c r="CC577" s="271">
        <v>10500000</v>
      </c>
      <c r="CD577" s="271"/>
      <c r="CE577" s="271"/>
      <c r="CF577" s="271"/>
      <c r="CG577" s="271"/>
      <c r="CH577" s="271"/>
      <c r="CI577" s="271"/>
      <c r="CJ577" s="271"/>
      <c r="CK577" s="271"/>
      <c r="CL577" s="271"/>
      <c r="CM577" s="271"/>
      <c r="CN577" s="235">
        <f t="shared" si="224"/>
        <v>10500000</v>
      </c>
      <c r="CO577" s="271"/>
      <c r="CP577" s="271"/>
      <c r="CQ577" s="271"/>
      <c r="CR577" s="271"/>
      <c r="CS577" s="271"/>
      <c r="CT577" s="271"/>
      <c r="CU577" s="271"/>
      <c r="CV577" s="271"/>
      <c r="CW577" s="271"/>
      <c r="CX577" s="271"/>
      <c r="CY577" s="271"/>
      <c r="CZ577" s="271"/>
      <c r="DA577" s="271"/>
      <c r="DB577" s="271"/>
      <c r="DC577" s="271"/>
      <c r="DD577" s="235">
        <f t="shared" si="225"/>
        <v>0</v>
      </c>
      <c r="DE577" s="244">
        <f t="shared" si="226"/>
        <v>10500000</v>
      </c>
    </row>
    <row r="578" spans="1:109" s="98" customFormat="1" ht="104.1" customHeight="1">
      <c r="A578" s="103" t="s">
        <v>1242</v>
      </c>
      <c r="B578" s="279" t="s">
        <v>1469</v>
      </c>
      <c r="C578" s="279" t="s">
        <v>1689</v>
      </c>
      <c r="D578" s="279">
        <v>44</v>
      </c>
      <c r="E578" s="279" t="s">
        <v>1490</v>
      </c>
      <c r="F578" s="280" t="s">
        <v>64</v>
      </c>
      <c r="G578" s="279" t="s">
        <v>2870</v>
      </c>
      <c r="H578" s="279">
        <v>53</v>
      </c>
      <c r="I578" s="279" t="s">
        <v>65</v>
      </c>
      <c r="J578" s="279" t="s">
        <v>683</v>
      </c>
      <c r="K578" s="104">
        <v>15000</v>
      </c>
      <c r="L578" s="279" t="s">
        <v>1491</v>
      </c>
      <c r="M578" s="279" t="s">
        <v>1505</v>
      </c>
      <c r="N578" s="279" t="s">
        <v>1506</v>
      </c>
      <c r="O578" s="279" t="s">
        <v>101</v>
      </c>
      <c r="P578" s="266">
        <v>521</v>
      </c>
      <c r="Q578" s="279" t="s">
        <v>3590</v>
      </c>
      <c r="R578" s="279" t="s">
        <v>102</v>
      </c>
      <c r="S578" s="279" t="s">
        <v>683</v>
      </c>
      <c r="T578" s="279">
        <v>0</v>
      </c>
      <c r="U578" s="267">
        <v>1</v>
      </c>
      <c r="V578" s="267"/>
      <c r="W578" s="224">
        <v>1</v>
      </c>
      <c r="X578" s="267"/>
      <c r="Y578" s="267"/>
      <c r="Z578" s="267"/>
      <c r="AA578" s="267"/>
      <c r="AB578" s="224">
        <v>0</v>
      </c>
      <c r="AC578" s="267"/>
      <c r="AD578" s="267"/>
      <c r="AE578" s="267"/>
      <c r="AF578" s="267"/>
      <c r="AG578" s="224">
        <v>0</v>
      </c>
      <c r="AH578" s="267"/>
      <c r="AI578" s="267"/>
      <c r="AJ578" s="267"/>
      <c r="AK578" s="267"/>
      <c r="AL578" s="224">
        <v>0</v>
      </c>
      <c r="AM578" s="104">
        <v>1</v>
      </c>
      <c r="AN578" s="103" t="s">
        <v>685</v>
      </c>
      <c r="AO578" s="103" t="s">
        <v>620</v>
      </c>
      <c r="AP578" s="103" t="s">
        <v>1220</v>
      </c>
      <c r="AQ578" s="103" t="s">
        <v>1197</v>
      </c>
      <c r="AR578" s="103" t="s">
        <v>936</v>
      </c>
      <c r="AS578" s="271"/>
      <c r="AT578" s="271"/>
      <c r="AU578" s="271"/>
      <c r="AV578" s="271"/>
      <c r="AW578" s="271">
        <v>10500000</v>
      </c>
      <c r="AX578" s="271"/>
      <c r="AY578" s="271"/>
      <c r="AZ578" s="271"/>
      <c r="BA578" s="271"/>
      <c r="BB578" s="271"/>
      <c r="BC578" s="271"/>
      <c r="BD578" s="271"/>
      <c r="BE578" s="271"/>
      <c r="BF578" s="271"/>
      <c r="BG578" s="271"/>
      <c r="BH578" s="235">
        <f t="shared" si="222"/>
        <v>10500000</v>
      </c>
      <c r="BI578" s="271"/>
      <c r="BJ578" s="271"/>
      <c r="BK578" s="271"/>
      <c r="BL578" s="271"/>
      <c r="BM578" s="271"/>
      <c r="BN578" s="271"/>
      <c r="BO578" s="271"/>
      <c r="BP578" s="271"/>
      <c r="BQ578" s="271"/>
      <c r="BR578" s="271"/>
      <c r="BS578" s="271"/>
      <c r="BT578" s="271"/>
      <c r="BU578" s="271"/>
      <c r="BV578" s="271"/>
      <c r="BW578" s="271"/>
      <c r="BX578" s="235">
        <f t="shared" si="223"/>
        <v>0</v>
      </c>
      <c r="BY578" s="271"/>
      <c r="BZ578" s="271"/>
      <c r="CA578" s="271"/>
      <c r="CB578" s="271"/>
      <c r="CC578" s="271"/>
      <c r="CD578" s="271"/>
      <c r="CE578" s="271"/>
      <c r="CF578" s="271"/>
      <c r="CG578" s="271"/>
      <c r="CH578" s="271"/>
      <c r="CI578" s="271"/>
      <c r="CJ578" s="271"/>
      <c r="CK578" s="271"/>
      <c r="CL578" s="271"/>
      <c r="CM578" s="271"/>
      <c r="CN578" s="235">
        <f t="shared" si="224"/>
        <v>0</v>
      </c>
      <c r="CO578" s="271"/>
      <c r="CP578" s="271"/>
      <c r="CQ578" s="271"/>
      <c r="CR578" s="271"/>
      <c r="CS578" s="271"/>
      <c r="CT578" s="271"/>
      <c r="CU578" s="271"/>
      <c r="CV578" s="271"/>
      <c r="CW578" s="271"/>
      <c r="CX578" s="271"/>
      <c r="CY578" s="271"/>
      <c r="CZ578" s="271"/>
      <c r="DA578" s="271"/>
      <c r="DB578" s="271"/>
      <c r="DC578" s="271"/>
      <c r="DD578" s="235">
        <f t="shared" si="225"/>
        <v>0</v>
      </c>
      <c r="DE578" s="244">
        <f t="shared" si="226"/>
        <v>10500000</v>
      </c>
    </row>
    <row r="579" spans="1:109" s="98" customFormat="1" ht="104.1" customHeight="1">
      <c r="A579" s="103" t="s">
        <v>1242</v>
      </c>
      <c r="B579" s="279" t="s">
        <v>1469</v>
      </c>
      <c r="C579" s="279" t="s">
        <v>1689</v>
      </c>
      <c r="D579" s="279">
        <v>44</v>
      </c>
      <c r="E579" s="279" t="s">
        <v>1490</v>
      </c>
      <c r="F579" s="280" t="s">
        <v>64</v>
      </c>
      <c r="G579" s="279" t="s">
        <v>2870</v>
      </c>
      <c r="H579" s="279">
        <v>53</v>
      </c>
      <c r="I579" s="279" t="s">
        <v>65</v>
      </c>
      <c r="J579" s="279" t="s">
        <v>683</v>
      </c>
      <c r="K579" s="104">
        <v>15000</v>
      </c>
      <c r="L579" s="279" t="s">
        <v>1491</v>
      </c>
      <c r="M579" s="279" t="s">
        <v>1505</v>
      </c>
      <c r="N579" s="279" t="s">
        <v>1506</v>
      </c>
      <c r="O579" s="279" t="s">
        <v>101</v>
      </c>
      <c r="P579" s="266">
        <v>522</v>
      </c>
      <c r="Q579" s="279" t="s">
        <v>2884</v>
      </c>
      <c r="R579" s="279" t="s">
        <v>104</v>
      </c>
      <c r="S579" s="279" t="s">
        <v>683</v>
      </c>
      <c r="T579" s="279">
        <v>1</v>
      </c>
      <c r="U579" s="267"/>
      <c r="V579" s="267">
        <v>1</v>
      </c>
      <c r="W579" s="224">
        <v>1</v>
      </c>
      <c r="X579" s="267"/>
      <c r="Y579" s="267"/>
      <c r="Z579" s="267"/>
      <c r="AA579" s="267">
        <v>1</v>
      </c>
      <c r="AB579" s="224">
        <v>1</v>
      </c>
      <c r="AC579" s="267"/>
      <c r="AD579" s="267"/>
      <c r="AE579" s="267"/>
      <c r="AF579" s="267">
        <v>1</v>
      </c>
      <c r="AG579" s="224">
        <v>1</v>
      </c>
      <c r="AH579" s="267"/>
      <c r="AI579" s="267"/>
      <c r="AJ579" s="267"/>
      <c r="AK579" s="267">
        <v>1</v>
      </c>
      <c r="AL579" s="224">
        <v>1</v>
      </c>
      <c r="AM579" s="104">
        <v>1</v>
      </c>
      <c r="AN579" s="103" t="s">
        <v>686</v>
      </c>
      <c r="AO579" s="103" t="s">
        <v>620</v>
      </c>
      <c r="AP579" s="103" t="s">
        <v>1220</v>
      </c>
      <c r="AQ579" s="103" t="s">
        <v>1197</v>
      </c>
      <c r="AR579" s="103" t="s">
        <v>936</v>
      </c>
      <c r="AS579" s="271"/>
      <c r="AT579" s="271"/>
      <c r="AU579" s="271"/>
      <c r="AV579" s="271">
        <v>3500000</v>
      </c>
      <c r="AW579" s="271"/>
      <c r="AX579" s="271"/>
      <c r="AY579" s="271"/>
      <c r="AZ579" s="271"/>
      <c r="BA579" s="271"/>
      <c r="BB579" s="271"/>
      <c r="BC579" s="271"/>
      <c r="BD579" s="271"/>
      <c r="BE579" s="271"/>
      <c r="BF579" s="271"/>
      <c r="BG579" s="271"/>
      <c r="BH579" s="235">
        <f t="shared" si="222"/>
        <v>3500000</v>
      </c>
      <c r="BI579" s="271"/>
      <c r="BJ579" s="271"/>
      <c r="BK579" s="271"/>
      <c r="BL579" s="271"/>
      <c r="BM579" s="271">
        <v>3500000</v>
      </c>
      <c r="BN579" s="271"/>
      <c r="BO579" s="271"/>
      <c r="BP579" s="271"/>
      <c r="BQ579" s="271"/>
      <c r="BR579" s="271"/>
      <c r="BS579" s="271"/>
      <c r="BT579" s="271"/>
      <c r="BU579" s="271"/>
      <c r="BV579" s="271"/>
      <c r="BW579" s="271"/>
      <c r="BX579" s="235">
        <f t="shared" si="223"/>
        <v>3500000</v>
      </c>
      <c r="BY579" s="271"/>
      <c r="BZ579" s="271"/>
      <c r="CA579" s="271"/>
      <c r="CB579" s="271"/>
      <c r="CC579" s="271">
        <v>3500000</v>
      </c>
      <c r="CD579" s="271"/>
      <c r="CE579" s="271"/>
      <c r="CF579" s="271"/>
      <c r="CG579" s="271"/>
      <c r="CH579" s="271"/>
      <c r="CI579" s="271"/>
      <c r="CJ579" s="271"/>
      <c r="CK579" s="271"/>
      <c r="CL579" s="271"/>
      <c r="CM579" s="271"/>
      <c r="CN579" s="235">
        <f t="shared" si="224"/>
        <v>3500000</v>
      </c>
      <c r="CO579" s="271"/>
      <c r="CP579" s="271"/>
      <c r="CQ579" s="271"/>
      <c r="CR579" s="271"/>
      <c r="CS579" s="271">
        <v>3500000</v>
      </c>
      <c r="CT579" s="271"/>
      <c r="CU579" s="271"/>
      <c r="CV579" s="271"/>
      <c r="CW579" s="271"/>
      <c r="CX579" s="271"/>
      <c r="CY579" s="271"/>
      <c r="CZ579" s="271"/>
      <c r="DA579" s="271"/>
      <c r="DB579" s="271"/>
      <c r="DC579" s="271"/>
      <c r="DD579" s="235">
        <f t="shared" si="225"/>
        <v>3500000</v>
      </c>
      <c r="DE579" s="244">
        <f t="shared" si="226"/>
        <v>14000000</v>
      </c>
    </row>
    <row r="580" spans="1:109" s="98" customFormat="1" ht="104.1" customHeight="1">
      <c r="A580" s="103" t="s">
        <v>1242</v>
      </c>
      <c r="B580" s="279" t="s">
        <v>1469</v>
      </c>
      <c r="C580" s="279" t="s">
        <v>1689</v>
      </c>
      <c r="D580" s="279">
        <v>44</v>
      </c>
      <c r="E580" s="279" t="s">
        <v>1490</v>
      </c>
      <c r="F580" s="280" t="s">
        <v>64</v>
      </c>
      <c r="G580" s="279" t="s">
        <v>2870</v>
      </c>
      <c r="H580" s="279">
        <v>53</v>
      </c>
      <c r="I580" s="279" t="s">
        <v>65</v>
      </c>
      <c r="J580" s="279" t="s">
        <v>683</v>
      </c>
      <c r="K580" s="104">
        <v>15000</v>
      </c>
      <c r="L580" s="279" t="s">
        <v>1491</v>
      </c>
      <c r="M580" s="279" t="s">
        <v>1505</v>
      </c>
      <c r="N580" s="279" t="s">
        <v>1506</v>
      </c>
      <c r="O580" s="279" t="s">
        <v>101</v>
      </c>
      <c r="P580" s="266">
        <v>523</v>
      </c>
      <c r="Q580" s="279" t="s">
        <v>2885</v>
      </c>
      <c r="R580" s="279" t="s">
        <v>104</v>
      </c>
      <c r="S580" s="279" t="s">
        <v>683</v>
      </c>
      <c r="T580" s="279">
        <v>1</v>
      </c>
      <c r="U580" s="267"/>
      <c r="V580" s="267"/>
      <c r="W580" s="224">
        <v>0</v>
      </c>
      <c r="X580" s="267"/>
      <c r="Y580" s="267"/>
      <c r="Z580" s="267"/>
      <c r="AA580" s="267">
        <v>1</v>
      </c>
      <c r="AB580" s="224">
        <v>1</v>
      </c>
      <c r="AC580" s="267"/>
      <c r="AD580" s="267"/>
      <c r="AE580" s="267"/>
      <c r="AF580" s="267">
        <v>1</v>
      </c>
      <c r="AG580" s="224">
        <v>1</v>
      </c>
      <c r="AH580" s="267"/>
      <c r="AI580" s="267"/>
      <c r="AJ580" s="267"/>
      <c r="AK580" s="267">
        <v>1</v>
      </c>
      <c r="AL580" s="224">
        <v>1</v>
      </c>
      <c r="AM580" s="104">
        <v>3</v>
      </c>
      <c r="AN580" s="103" t="s">
        <v>685</v>
      </c>
      <c r="AO580" s="103" t="s">
        <v>620</v>
      </c>
      <c r="AP580" s="103" t="s">
        <v>1220</v>
      </c>
      <c r="AQ580" s="103" t="s">
        <v>1197</v>
      </c>
      <c r="AR580" s="103" t="s">
        <v>936</v>
      </c>
      <c r="AS580" s="271"/>
      <c r="AT580" s="271"/>
      <c r="AU580" s="271"/>
      <c r="AV580" s="271"/>
      <c r="AW580" s="271"/>
      <c r="AX580" s="271"/>
      <c r="AY580" s="271"/>
      <c r="AZ580" s="271"/>
      <c r="BA580" s="271"/>
      <c r="BB580" s="271"/>
      <c r="BC580" s="271"/>
      <c r="BD580" s="271"/>
      <c r="BE580" s="271"/>
      <c r="BF580" s="271"/>
      <c r="BG580" s="271"/>
      <c r="BH580" s="235">
        <f t="shared" si="222"/>
        <v>0</v>
      </c>
      <c r="BI580" s="271"/>
      <c r="BJ580" s="271"/>
      <c r="BK580" s="271"/>
      <c r="BL580" s="271"/>
      <c r="BM580" s="271">
        <v>10500000</v>
      </c>
      <c r="BN580" s="271"/>
      <c r="BO580" s="271"/>
      <c r="BP580" s="271"/>
      <c r="BQ580" s="271"/>
      <c r="BR580" s="271"/>
      <c r="BS580" s="271"/>
      <c r="BT580" s="271"/>
      <c r="BU580" s="271"/>
      <c r="BV580" s="271"/>
      <c r="BW580" s="271"/>
      <c r="BX580" s="235">
        <f t="shared" si="223"/>
        <v>10500000</v>
      </c>
      <c r="BY580" s="271"/>
      <c r="BZ580" s="271"/>
      <c r="CA580" s="271"/>
      <c r="CB580" s="271"/>
      <c r="CC580" s="271">
        <v>10500000</v>
      </c>
      <c r="CD580" s="271"/>
      <c r="CE580" s="271"/>
      <c r="CF580" s="271"/>
      <c r="CG580" s="271"/>
      <c r="CH580" s="271"/>
      <c r="CI580" s="271"/>
      <c r="CJ580" s="271"/>
      <c r="CK580" s="271"/>
      <c r="CL580" s="271"/>
      <c r="CM580" s="271"/>
      <c r="CN580" s="235">
        <f t="shared" si="224"/>
        <v>10500000</v>
      </c>
      <c r="CO580" s="271"/>
      <c r="CP580" s="271"/>
      <c r="CQ580" s="271"/>
      <c r="CR580" s="271"/>
      <c r="CS580" s="271">
        <v>10500000</v>
      </c>
      <c r="CT580" s="271"/>
      <c r="CU580" s="271"/>
      <c r="CV580" s="271"/>
      <c r="CW580" s="271"/>
      <c r="CX580" s="271"/>
      <c r="CY580" s="271"/>
      <c r="CZ580" s="271"/>
      <c r="DA580" s="271"/>
      <c r="DB580" s="271"/>
      <c r="DC580" s="271"/>
      <c r="DD580" s="235">
        <f t="shared" si="225"/>
        <v>10500000</v>
      </c>
      <c r="DE580" s="244">
        <f t="shared" si="226"/>
        <v>31500000</v>
      </c>
    </row>
    <row r="581" spans="1:109" s="98" customFormat="1" ht="104.1" customHeight="1">
      <c r="A581" s="103" t="s">
        <v>1242</v>
      </c>
      <c r="B581" s="279" t="s">
        <v>1469</v>
      </c>
      <c r="C581" s="279" t="s">
        <v>1689</v>
      </c>
      <c r="D581" s="279">
        <v>44</v>
      </c>
      <c r="E581" s="279" t="s">
        <v>1490</v>
      </c>
      <c r="F581" s="280" t="s">
        <v>64</v>
      </c>
      <c r="G581" s="279" t="s">
        <v>2870</v>
      </c>
      <c r="H581" s="279">
        <v>53</v>
      </c>
      <c r="I581" s="279" t="s">
        <v>65</v>
      </c>
      <c r="J581" s="279" t="s">
        <v>683</v>
      </c>
      <c r="K581" s="104">
        <v>15000</v>
      </c>
      <c r="L581" s="279" t="s">
        <v>1491</v>
      </c>
      <c r="M581" s="279" t="s">
        <v>1505</v>
      </c>
      <c r="N581" s="279" t="s">
        <v>1506</v>
      </c>
      <c r="O581" s="279" t="s">
        <v>101</v>
      </c>
      <c r="P581" s="266">
        <v>524</v>
      </c>
      <c r="Q581" s="279" t="s">
        <v>2886</v>
      </c>
      <c r="R581" s="279" t="s">
        <v>107</v>
      </c>
      <c r="S581" s="279" t="s">
        <v>683</v>
      </c>
      <c r="T581" s="279">
        <v>0</v>
      </c>
      <c r="U581" s="267"/>
      <c r="V581" s="267"/>
      <c r="W581" s="224">
        <v>0</v>
      </c>
      <c r="X581" s="267"/>
      <c r="Y581" s="267"/>
      <c r="Z581" s="267"/>
      <c r="AA581" s="267">
        <v>1000</v>
      </c>
      <c r="AB581" s="224">
        <v>1000</v>
      </c>
      <c r="AC581" s="267"/>
      <c r="AD581" s="267"/>
      <c r="AE581" s="267"/>
      <c r="AF581" s="267">
        <v>1000</v>
      </c>
      <c r="AG581" s="224">
        <v>1000</v>
      </c>
      <c r="AH581" s="267"/>
      <c r="AI581" s="267"/>
      <c r="AJ581" s="267"/>
      <c r="AK581" s="267">
        <v>1000</v>
      </c>
      <c r="AL581" s="224">
        <v>1000</v>
      </c>
      <c r="AM581" s="104">
        <v>3000</v>
      </c>
      <c r="AN581" s="103" t="s">
        <v>685</v>
      </c>
      <c r="AO581" s="103" t="s">
        <v>620</v>
      </c>
      <c r="AP581" s="103" t="s">
        <v>1220</v>
      </c>
      <c r="AQ581" s="103" t="s">
        <v>1197</v>
      </c>
      <c r="AR581" s="103" t="s">
        <v>936</v>
      </c>
      <c r="AS581" s="271"/>
      <c r="AT581" s="271"/>
      <c r="AU581" s="271"/>
      <c r="AV581" s="271"/>
      <c r="AW581" s="271"/>
      <c r="AX581" s="271"/>
      <c r="AY581" s="271"/>
      <c r="AZ581" s="271"/>
      <c r="BA581" s="271"/>
      <c r="BB581" s="271"/>
      <c r="BC581" s="271"/>
      <c r="BD581" s="271"/>
      <c r="BE581" s="271"/>
      <c r="BF581" s="271"/>
      <c r="BG581" s="271"/>
      <c r="BH581" s="235">
        <f t="shared" si="222"/>
        <v>0</v>
      </c>
      <c r="BI581" s="271"/>
      <c r="BJ581" s="271"/>
      <c r="BK581" s="271"/>
      <c r="BL581" s="271"/>
      <c r="BM581" s="271">
        <v>10500000</v>
      </c>
      <c r="BN581" s="271"/>
      <c r="BO581" s="271"/>
      <c r="BP581" s="271"/>
      <c r="BQ581" s="271"/>
      <c r="BR581" s="271"/>
      <c r="BS581" s="271"/>
      <c r="BT581" s="271"/>
      <c r="BU581" s="271"/>
      <c r="BV581" s="271"/>
      <c r="BW581" s="271"/>
      <c r="BX581" s="235">
        <f t="shared" si="223"/>
        <v>10500000</v>
      </c>
      <c r="BY581" s="271"/>
      <c r="BZ581" s="271"/>
      <c r="CA581" s="271"/>
      <c r="CB581" s="271"/>
      <c r="CC581" s="271">
        <v>10500000</v>
      </c>
      <c r="CD581" s="271"/>
      <c r="CE581" s="271"/>
      <c r="CF581" s="271"/>
      <c r="CG581" s="271"/>
      <c r="CH581" s="271"/>
      <c r="CI581" s="271"/>
      <c r="CJ581" s="271"/>
      <c r="CK581" s="271"/>
      <c r="CL581" s="271"/>
      <c r="CM581" s="271"/>
      <c r="CN581" s="235">
        <f t="shared" si="224"/>
        <v>10500000</v>
      </c>
      <c r="CO581" s="271"/>
      <c r="CP581" s="271"/>
      <c r="CQ581" s="271"/>
      <c r="CR581" s="271"/>
      <c r="CS581" s="271">
        <v>10500000</v>
      </c>
      <c r="CT581" s="271"/>
      <c r="CU581" s="271"/>
      <c r="CV581" s="271"/>
      <c r="CW581" s="271"/>
      <c r="CX581" s="271"/>
      <c r="CY581" s="271"/>
      <c r="CZ581" s="271"/>
      <c r="DA581" s="271"/>
      <c r="DB581" s="271"/>
      <c r="DC581" s="271"/>
      <c r="DD581" s="235">
        <f t="shared" si="225"/>
        <v>10500000</v>
      </c>
      <c r="DE581" s="244">
        <f t="shared" si="226"/>
        <v>31500000</v>
      </c>
    </row>
    <row r="582" spans="1:109" s="98" customFormat="1" ht="104.1" customHeight="1">
      <c r="A582" s="103" t="s">
        <v>1242</v>
      </c>
      <c r="B582" s="279" t="s">
        <v>1469</v>
      </c>
      <c r="C582" s="279" t="s">
        <v>1689</v>
      </c>
      <c r="D582" s="279">
        <v>44</v>
      </c>
      <c r="E582" s="279" t="s">
        <v>1490</v>
      </c>
      <c r="F582" s="280" t="s">
        <v>64</v>
      </c>
      <c r="G582" s="279" t="s">
        <v>2870</v>
      </c>
      <c r="H582" s="279">
        <v>53</v>
      </c>
      <c r="I582" s="279" t="s">
        <v>65</v>
      </c>
      <c r="J582" s="279" t="s">
        <v>683</v>
      </c>
      <c r="K582" s="104">
        <v>15000</v>
      </c>
      <c r="L582" s="279" t="s">
        <v>1491</v>
      </c>
      <c r="M582" s="279" t="s">
        <v>1505</v>
      </c>
      <c r="N582" s="279" t="s">
        <v>1506</v>
      </c>
      <c r="O582" s="279" t="s">
        <v>101</v>
      </c>
      <c r="P582" s="266">
        <v>525</v>
      </c>
      <c r="Q582" s="279" t="s">
        <v>2887</v>
      </c>
      <c r="R582" s="279" t="s">
        <v>112</v>
      </c>
      <c r="S582" s="279" t="s">
        <v>683</v>
      </c>
      <c r="T582" s="279">
        <v>123</v>
      </c>
      <c r="U582" s="267"/>
      <c r="V582" s="267">
        <v>123</v>
      </c>
      <c r="W582" s="224">
        <v>123</v>
      </c>
      <c r="X582" s="267"/>
      <c r="Y582" s="267"/>
      <c r="Z582" s="267"/>
      <c r="AA582" s="267">
        <v>123</v>
      </c>
      <c r="AB582" s="224">
        <v>123</v>
      </c>
      <c r="AC582" s="267"/>
      <c r="AD582" s="267"/>
      <c r="AE582" s="267"/>
      <c r="AF582" s="267">
        <v>123</v>
      </c>
      <c r="AG582" s="224">
        <v>123</v>
      </c>
      <c r="AH582" s="267"/>
      <c r="AI582" s="267"/>
      <c r="AJ582" s="267"/>
      <c r="AK582" s="267">
        <v>123</v>
      </c>
      <c r="AL582" s="224">
        <v>123</v>
      </c>
      <c r="AM582" s="104">
        <v>123</v>
      </c>
      <c r="AN582" s="103" t="s">
        <v>686</v>
      </c>
      <c r="AO582" s="103" t="s">
        <v>620</v>
      </c>
      <c r="AP582" s="103" t="s">
        <v>1220</v>
      </c>
      <c r="AQ582" s="103" t="s">
        <v>1197</v>
      </c>
      <c r="AR582" s="103" t="s">
        <v>936</v>
      </c>
      <c r="AS582" s="271"/>
      <c r="AT582" s="271"/>
      <c r="AU582" s="271"/>
      <c r="AV582" s="271"/>
      <c r="AW582" s="271">
        <v>10500000</v>
      </c>
      <c r="AX582" s="271"/>
      <c r="AY582" s="271"/>
      <c r="AZ582" s="271"/>
      <c r="BA582" s="271"/>
      <c r="BB582" s="271"/>
      <c r="BC582" s="271"/>
      <c r="BD582" s="271"/>
      <c r="BE582" s="271"/>
      <c r="BF582" s="271"/>
      <c r="BG582" s="271"/>
      <c r="BH582" s="235">
        <f t="shared" si="222"/>
        <v>10500000</v>
      </c>
      <c r="BI582" s="271"/>
      <c r="BJ582" s="271"/>
      <c r="BK582" s="271"/>
      <c r="BL582" s="271"/>
      <c r="BM582" s="271">
        <v>10500000</v>
      </c>
      <c r="BN582" s="271"/>
      <c r="BO582" s="271"/>
      <c r="BP582" s="271"/>
      <c r="BQ582" s="271"/>
      <c r="BR582" s="271"/>
      <c r="BS582" s="271"/>
      <c r="BT582" s="271"/>
      <c r="BU582" s="271"/>
      <c r="BV582" s="271"/>
      <c r="BW582" s="271"/>
      <c r="BX582" s="235">
        <f t="shared" si="223"/>
        <v>10500000</v>
      </c>
      <c r="BY582" s="271"/>
      <c r="BZ582" s="271"/>
      <c r="CA582" s="271"/>
      <c r="CB582" s="271"/>
      <c r="CC582" s="271">
        <v>10500000</v>
      </c>
      <c r="CD582" s="271"/>
      <c r="CE582" s="271"/>
      <c r="CF582" s="271"/>
      <c r="CG582" s="271"/>
      <c r="CH582" s="271"/>
      <c r="CI582" s="271"/>
      <c r="CJ582" s="271"/>
      <c r="CK582" s="271"/>
      <c r="CL582" s="271"/>
      <c r="CM582" s="271"/>
      <c r="CN582" s="235">
        <f t="shared" si="224"/>
        <v>10500000</v>
      </c>
      <c r="CO582" s="271"/>
      <c r="CP582" s="271"/>
      <c r="CQ582" s="271"/>
      <c r="CR582" s="271"/>
      <c r="CS582" s="271">
        <v>10500000</v>
      </c>
      <c r="CT582" s="271"/>
      <c r="CU582" s="271"/>
      <c r="CV582" s="271"/>
      <c r="CW582" s="271"/>
      <c r="CX582" s="271"/>
      <c r="CY582" s="271"/>
      <c r="CZ582" s="271"/>
      <c r="DA582" s="271"/>
      <c r="DB582" s="271"/>
      <c r="DC582" s="271"/>
      <c r="DD582" s="235">
        <f t="shared" si="225"/>
        <v>10500000</v>
      </c>
      <c r="DE582" s="244">
        <f t="shared" si="226"/>
        <v>42000000</v>
      </c>
    </row>
    <row r="583" spans="1:109" s="98" customFormat="1" ht="104.1" customHeight="1">
      <c r="A583" s="103" t="s">
        <v>1242</v>
      </c>
      <c r="B583" s="279" t="s">
        <v>1469</v>
      </c>
      <c r="C583" s="279" t="s">
        <v>1689</v>
      </c>
      <c r="D583" s="279">
        <v>44</v>
      </c>
      <c r="E583" s="279" t="s">
        <v>1490</v>
      </c>
      <c r="F583" s="280" t="s">
        <v>64</v>
      </c>
      <c r="G583" s="279" t="s">
        <v>2870</v>
      </c>
      <c r="H583" s="279">
        <v>53</v>
      </c>
      <c r="I583" s="279" t="s">
        <v>65</v>
      </c>
      <c r="J583" s="279" t="s">
        <v>683</v>
      </c>
      <c r="K583" s="104">
        <v>15000</v>
      </c>
      <c r="L583" s="279" t="s">
        <v>1491</v>
      </c>
      <c r="M583" s="279" t="s">
        <v>1507</v>
      </c>
      <c r="N583" s="279" t="s">
        <v>1508</v>
      </c>
      <c r="O583" s="279" t="s">
        <v>1509</v>
      </c>
      <c r="P583" s="266">
        <v>526</v>
      </c>
      <c r="Q583" s="279" t="s">
        <v>3591</v>
      </c>
      <c r="R583" s="279" t="s">
        <v>1510</v>
      </c>
      <c r="S583" s="279" t="s">
        <v>683</v>
      </c>
      <c r="T583" s="279">
        <v>4</v>
      </c>
      <c r="U583" s="267"/>
      <c r="V583" s="267">
        <v>1</v>
      </c>
      <c r="W583" s="224">
        <v>1</v>
      </c>
      <c r="X583" s="267"/>
      <c r="Y583" s="267"/>
      <c r="Z583" s="267"/>
      <c r="AA583" s="267">
        <v>2</v>
      </c>
      <c r="AB583" s="224">
        <v>2</v>
      </c>
      <c r="AC583" s="267"/>
      <c r="AD583" s="267"/>
      <c r="AE583" s="267"/>
      <c r="AF583" s="267">
        <v>1</v>
      </c>
      <c r="AG583" s="224">
        <v>1</v>
      </c>
      <c r="AH583" s="267"/>
      <c r="AI583" s="267"/>
      <c r="AJ583" s="267"/>
      <c r="AK583" s="267">
        <v>1</v>
      </c>
      <c r="AL583" s="224">
        <v>1</v>
      </c>
      <c r="AM583" s="104">
        <v>5</v>
      </c>
      <c r="AN583" s="103" t="s">
        <v>685</v>
      </c>
      <c r="AO583" s="103" t="s">
        <v>620</v>
      </c>
      <c r="AP583" s="103" t="s">
        <v>1220</v>
      </c>
      <c r="AQ583" s="103" t="s">
        <v>1197</v>
      </c>
      <c r="AR583" s="103" t="s">
        <v>943</v>
      </c>
      <c r="AS583" s="271"/>
      <c r="AT583" s="271"/>
      <c r="AU583" s="271"/>
      <c r="AV583" s="271"/>
      <c r="AW583" s="271">
        <v>20000000</v>
      </c>
      <c r="AX583" s="271"/>
      <c r="AY583" s="271"/>
      <c r="AZ583" s="271"/>
      <c r="BA583" s="271"/>
      <c r="BB583" s="271"/>
      <c r="BC583" s="271"/>
      <c r="BD583" s="271"/>
      <c r="BE583" s="271"/>
      <c r="BF583" s="271"/>
      <c r="BG583" s="271"/>
      <c r="BH583" s="235">
        <f t="shared" si="222"/>
        <v>20000000</v>
      </c>
      <c r="BI583" s="271"/>
      <c r="BJ583" s="271"/>
      <c r="BK583" s="271"/>
      <c r="BL583" s="271"/>
      <c r="BM583" s="271">
        <v>40000000</v>
      </c>
      <c r="BN583" s="271"/>
      <c r="BO583" s="271"/>
      <c r="BP583" s="271"/>
      <c r="BQ583" s="271"/>
      <c r="BR583" s="271"/>
      <c r="BS583" s="271"/>
      <c r="BT583" s="271"/>
      <c r="BU583" s="271"/>
      <c r="BV583" s="271"/>
      <c r="BW583" s="271"/>
      <c r="BX583" s="235">
        <f t="shared" si="223"/>
        <v>40000000</v>
      </c>
      <c r="BY583" s="271"/>
      <c r="BZ583" s="271"/>
      <c r="CA583" s="271"/>
      <c r="CB583" s="271"/>
      <c r="CC583" s="271">
        <v>20000000</v>
      </c>
      <c r="CD583" s="271"/>
      <c r="CE583" s="271"/>
      <c r="CF583" s="271"/>
      <c r="CG583" s="271"/>
      <c r="CH583" s="271"/>
      <c r="CI583" s="271"/>
      <c r="CJ583" s="271"/>
      <c r="CK583" s="271"/>
      <c r="CL583" s="271"/>
      <c r="CM583" s="271"/>
      <c r="CN583" s="235">
        <f t="shared" si="224"/>
        <v>20000000</v>
      </c>
      <c r="CO583" s="271"/>
      <c r="CP583" s="271"/>
      <c r="CQ583" s="271"/>
      <c r="CR583" s="271"/>
      <c r="CS583" s="271">
        <v>23400000</v>
      </c>
      <c r="CT583" s="271"/>
      <c r="CU583" s="271"/>
      <c r="CV583" s="271"/>
      <c r="CW583" s="271"/>
      <c r="CX583" s="271"/>
      <c r="CY583" s="271"/>
      <c r="CZ583" s="271"/>
      <c r="DA583" s="271"/>
      <c r="DB583" s="271"/>
      <c r="DC583" s="271"/>
      <c r="DD583" s="235">
        <f t="shared" si="225"/>
        <v>23400000</v>
      </c>
      <c r="DE583" s="244">
        <f t="shared" si="226"/>
        <v>103400000</v>
      </c>
    </row>
    <row r="584" spans="1:109" s="98" customFormat="1" ht="104.1" customHeight="1">
      <c r="A584" s="103" t="s">
        <v>1242</v>
      </c>
      <c r="B584" s="279" t="s">
        <v>1469</v>
      </c>
      <c r="C584" s="279" t="s">
        <v>1689</v>
      </c>
      <c r="D584" s="279">
        <v>44</v>
      </c>
      <c r="E584" s="279" t="s">
        <v>1490</v>
      </c>
      <c r="F584" s="280" t="s">
        <v>64</v>
      </c>
      <c r="G584" s="279" t="s">
        <v>2870</v>
      </c>
      <c r="H584" s="279">
        <v>53</v>
      </c>
      <c r="I584" s="279" t="s">
        <v>65</v>
      </c>
      <c r="J584" s="279" t="s">
        <v>683</v>
      </c>
      <c r="K584" s="104">
        <v>15000</v>
      </c>
      <c r="L584" s="279" t="s">
        <v>1491</v>
      </c>
      <c r="M584" s="279" t="s">
        <v>1507</v>
      </c>
      <c r="N584" s="279" t="s">
        <v>1508</v>
      </c>
      <c r="O584" s="279" t="s">
        <v>1509</v>
      </c>
      <c r="P584" s="266">
        <v>527</v>
      </c>
      <c r="Q584" s="279" t="s">
        <v>2888</v>
      </c>
      <c r="R584" s="279" t="s">
        <v>114</v>
      </c>
      <c r="S584" s="279" t="s">
        <v>683</v>
      </c>
      <c r="T584" s="104">
        <v>1207</v>
      </c>
      <c r="U584" s="267"/>
      <c r="V584" s="267">
        <v>40</v>
      </c>
      <c r="W584" s="224">
        <v>40</v>
      </c>
      <c r="X584" s="267"/>
      <c r="Y584" s="267"/>
      <c r="Z584" s="267"/>
      <c r="AA584" s="267">
        <v>80</v>
      </c>
      <c r="AB584" s="224">
        <v>80</v>
      </c>
      <c r="AC584" s="267"/>
      <c r="AD584" s="267"/>
      <c r="AE584" s="267"/>
      <c r="AF584" s="267">
        <v>40</v>
      </c>
      <c r="AG584" s="224">
        <v>40</v>
      </c>
      <c r="AH584" s="267"/>
      <c r="AI584" s="267"/>
      <c r="AJ584" s="267"/>
      <c r="AK584" s="267">
        <v>40</v>
      </c>
      <c r="AL584" s="224">
        <v>40</v>
      </c>
      <c r="AM584" s="104">
        <v>200</v>
      </c>
      <c r="AN584" s="103" t="s">
        <v>685</v>
      </c>
      <c r="AO584" s="103" t="s">
        <v>620</v>
      </c>
      <c r="AP584" s="103" t="s">
        <v>1220</v>
      </c>
      <c r="AQ584" s="103" t="s">
        <v>1197</v>
      </c>
      <c r="AR584" s="103" t="s">
        <v>937</v>
      </c>
      <c r="AS584" s="271"/>
      <c r="AT584" s="271"/>
      <c r="AU584" s="271"/>
      <c r="AV584" s="271"/>
      <c r="AW584" s="271">
        <v>20000000</v>
      </c>
      <c r="AX584" s="271"/>
      <c r="AY584" s="271"/>
      <c r="AZ584" s="271"/>
      <c r="BA584" s="271"/>
      <c r="BB584" s="271"/>
      <c r="BC584" s="271"/>
      <c r="BD584" s="271"/>
      <c r="BE584" s="271"/>
      <c r="BF584" s="271"/>
      <c r="BG584" s="271"/>
      <c r="BH584" s="235">
        <f t="shared" si="222"/>
        <v>20000000</v>
      </c>
      <c r="BI584" s="271"/>
      <c r="BJ584" s="271"/>
      <c r="BK584" s="271"/>
      <c r="BL584" s="271"/>
      <c r="BM584" s="271">
        <v>40000000</v>
      </c>
      <c r="BN584" s="271"/>
      <c r="BO584" s="271"/>
      <c r="BP584" s="271"/>
      <c r="BQ584" s="271"/>
      <c r="BR584" s="271"/>
      <c r="BS584" s="271"/>
      <c r="BT584" s="271"/>
      <c r="BU584" s="271"/>
      <c r="BV584" s="271"/>
      <c r="BW584" s="271"/>
      <c r="BX584" s="235">
        <f t="shared" si="223"/>
        <v>40000000</v>
      </c>
      <c r="BY584" s="271"/>
      <c r="BZ584" s="271"/>
      <c r="CA584" s="271"/>
      <c r="CB584" s="271"/>
      <c r="CC584" s="271">
        <v>20000000</v>
      </c>
      <c r="CD584" s="271"/>
      <c r="CE584" s="271"/>
      <c r="CF584" s="271"/>
      <c r="CG584" s="271"/>
      <c r="CH584" s="271"/>
      <c r="CI584" s="271"/>
      <c r="CJ584" s="271"/>
      <c r="CK584" s="271"/>
      <c r="CL584" s="271"/>
      <c r="CM584" s="271"/>
      <c r="CN584" s="235">
        <f t="shared" si="224"/>
        <v>20000000</v>
      </c>
      <c r="CO584" s="271"/>
      <c r="CP584" s="271"/>
      <c r="CQ584" s="271"/>
      <c r="CR584" s="271"/>
      <c r="CS584" s="271">
        <v>22000000</v>
      </c>
      <c r="CT584" s="271"/>
      <c r="CU584" s="271"/>
      <c r="CV584" s="271"/>
      <c r="CW584" s="271"/>
      <c r="CX584" s="271"/>
      <c r="CY584" s="271"/>
      <c r="CZ584" s="271"/>
      <c r="DA584" s="271"/>
      <c r="DB584" s="271"/>
      <c r="DC584" s="271"/>
      <c r="DD584" s="235">
        <f t="shared" si="225"/>
        <v>22000000</v>
      </c>
      <c r="DE584" s="244">
        <f t="shared" si="226"/>
        <v>102000000</v>
      </c>
    </row>
    <row r="585" spans="1:109" s="98" customFormat="1" ht="104.1" customHeight="1">
      <c r="A585" s="103" t="s">
        <v>1242</v>
      </c>
      <c r="B585" s="279" t="s">
        <v>1469</v>
      </c>
      <c r="C585" s="279" t="s">
        <v>1689</v>
      </c>
      <c r="D585" s="279">
        <v>44</v>
      </c>
      <c r="E585" s="279" t="s">
        <v>1490</v>
      </c>
      <c r="F585" s="280" t="s">
        <v>64</v>
      </c>
      <c r="G585" s="279" t="s">
        <v>2870</v>
      </c>
      <c r="H585" s="279">
        <v>53</v>
      </c>
      <c r="I585" s="279" t="s">
        <v>65</v>
      </c>
      <c r="J585" s="279" t="s">
        <v>683</v>
      </c>
      <c r="K585" s="104">
        <v>15000</v>
      </c>
      <c r="L585" s="279" t="s">
        <v>1491</v>
      </c>
      <c r="M585" s="279" t="s">
        <v>1507</v>
      </c>
      <c r="N585" s="279" t="s">
        <v>1508</v>
      </c>
      <c r="O585" s="279" t="s">
        <v>1509</v>
      </c>
      <c r="P585" s="266">
        <v>528</v>
      </c>
      <c r="Q585" s="279" t="s">
        <v>3592</v>
      </c>
      <c r="R585" s="279" t="s">
        <v>1511</v>
      </c>
      <c r="S585" s="279" t="s">
        <v>683</v>
      </c>
      <c r="T585" s="279">
        <v>1</v>
      </c>
      <c r="U585" s="267"/>
      <c r="V585" s="267"/>
      <c r="W585" s="224">
        <v>0</v>
      </c>
      <c r="X585" s="267"/>
      <c r="Y585" s="267"/>
      <c r="Z585" s="267"/>
      <c r="AA585" s="267"/>
      <c r="AB585" s="224">
        <v>0</v>
      </c>
      <c r="AC585" s="267"/>
      <c r="AD585" s="267"/>
      <c r="AE585" s="267">
        <v>1</v>
      </c>
      <c r="AF585" s="267"/>
      <c r="AG585" s="224">
        <v>1</v>
      </c>
      <c r="AH585" s="267"/>
      <c r="AI585" s="267"/>
      <c r="AJ585" s="267"/>
      <c r="AK585" s="267"/>
      <c r="AL585" s="224">
        <v>0</v>
      </c>
      <c r="AM585" s="104">
        <v>1</v>
      </c>
      <c r="AN585" s="103" t="s">
        <v>685</v>
      </c>
      <c r="AO585" s="103" t="s">
        <v>620</v>
      </c>
      <c r="AP585" s="103" t="s">
        <v>1220</v>
      </c>
      <c r="AQ585" s="103" t="s">
        <v>1197</v>
      </c>
      <c r="AR585" s="103" t="s">
        <v>937</v>
      </c>
      <c r="AS585" s="271"/>
      <c r="AT585" s="271"/>
      <c r="AU585" s="271"/>
      <c r="AV585" s="271"/>
      <c r="AW585" s="271"/>
      <c r="AX585" s="271"/>
      <c r="AY585" s="271"/>
      <c r="AZ585" s="271"/>
      <c r="BA585" s="271"/>
      <c r="BB585" s="271"/>
      <c r="BC585" s="271"/>
      <c r="BD585" s="271"/>
      <c r="BE585" s="271"/>
      <c r="BF585" s="271"/>
      <c r="BG585" s="271"/>
      <c r="BH585" s="235">
        <f t="shared" si="222"/>
        <v>0</v>
      </c>
      <c r="BI585" s="271"/>
      <c r="BJ585" s="271"/>
      <c r="BK585" s="271"/>
      <c r="BL585" s="271"/>
      <c r="BM585" s="271"/>
      <c r="BN585" s="271"/>
      <c r="BO585" s="271"/>
      <c r="BP585" s="271"/>
      <c r="BQ585" s="271"/>
      <c r="BR585" s="271"/>
      <c r="BS585" s="271"/>
      <c r="BT585" s="271"/>
      <c r="BU585" s="271"/>
      <c r="BV585" s="271"/>
      <c r="BW585" s="271"/>
      <c r="BX585" s="235">
        <f t="shared" si="223"/>
        <v>0</v>
      </c>
      <c r="BY585" s="271"/>
      <c r="BZ585" s="271"/>
      <c r="CA585" s="271"/>
      <c r="CB585" s="271"/>
      <c r="CC585" s="271">
        <v>200000000</v>
      </c>
      <c r="CD585" s="271"/>
      <c r="CE585" s="271"/>
      <c r="CF585" s="271"/>
      <c r="CG585" s="271"/>
      <c r="CH585" s="271"/>
      <c r="CI585" s="271"/>
      <c r="CJ585" s="271"/>
      <c r="CK585" s="271"/>
      <c r="CL585" s="271"/>
      <c r="CM585" s="271"/>
      <c r="CN585" s="235">
        <f t="shared" si="224"/>
        <v>200000000</v>
      </c>
      <c r="CO585" s="271"/>
      <c r="CP585" s="271"/>
      <c r="CQ585" s="271"/>
      <c r="CR585" s="271"/>
      <c r="CS585" s="271"/>
      <c r="CT585" s="271"/>
      <c r="CU585" s="271"/>
      <c r="CV585" s="271"/>
      <c r="CW585" s="271"/>
      <c r="CX585" s="271"/>
      <c r="CY585" s="271"/>
      <c r="CZ585" s="271"/>
      <c r="DA585" s="271"/>
      <c r="DB585" s="271"/>
      <c r="DC585" s="271"/>
      <c r="DD585" s="235">
        <f t="shared" si="225"/>
        <v>0</v>
      </c>
      <c r="DE585" s="244">
        <f t="shared" si="226"/>
        <v>200000000</v>
      </c>
    </row>
    <row r="586" spans="1:109" s="98" customFormat="1" ht="104.1" customHeight="1">
      <c r="A586" s="103" t="s">
        <v>1242</v>
      </c>
      <c r="B586" s="279" t="s">
        <v>1469</v>
      </c>
      <c r="C586" s="279" t="s">
        <v>1689</v>
      </c>
      <c r="D586" s="279">
        <v>44</v>
      </c>
      <c r="E586" s="279" t="s">
        <v>1490</v>
      </c>
      <c r="F586" s="280" t="s">
        <v>64</v>
      </c>
      <c r="G586" s="279" t="s">
        <v>2870</v>
      </c>
      <c r="H586" s="279">
        <v>53</v>
      </c>
      <c r="I586" s="279" t="s">
        <v>65</v>
      </c>
      <c r="J586" s="279" t="s">
        <v>683</v>
      </c>
      <c r="K586" s="104">
        <v>15000</v>
      </c>
      <c r="L586" s="279" t="s">
        <v>1491</v>
      </c>
      <c r="M586" s="279" t="s">
        <v>1512</v>
      </c>
      <c r="N586" s="279" t="s">
        <v>1513</v>
      </c>
      <c r="O586" s="279" t="s">
        <v>1514</v>
      </c>
      <c r="P586" s="266">
        <v>529</v>
      </c>
      <c r="Q586" s="279" t="s">
        <v>3491</v>
      </c>
      <c r="R586" s="279" t="s">
        <v>125</v>
      </c>
      <c r="S586" s="279" t="s">
        <v>683</v>
      </c>
      <c r="T586" s="279">
        <v>0</v>
      </c>
      <c r="U586" s="267"/>
      <c r="V586" s="267"/>
      <c r="W586" s="224">
        <v>0</v>
      </c>
      <c r="X586" s="267"/>
      <c r="Y586" s="267"/>
      <c r="Z586" s="267"/>
      <c r="AA586" s="267">
        <v>1</v>
      </c>
      <c r="AB586" s="224">
        <v>1</v>
      </c>
      <c r="AC586" s="267"/>
      <c r="AD586" s="267"/>
      <c r="AE586" s="267"/>
      <c r="AF586" s="267">
        <v>1</v>
      </c>
      <c r="AG586" s="224">
        <v>1</v>
      </c>
      <c r="AH586" s="267"/>
      <c r="AI586" s="267"/>
      <c r="AJ586" s="267"/>
      <c r="AK586" s="267"/>
      <c r="AL586" s="224">
        <v>0</v>
      </c>
      <c r="AM586" s="104">
        <v>2</v>
      </c>
      <c r="AN586" s="103" t="s">
        <v>685</v>
      </c>
      <c r="AO586" s="103" t="s">
        <v>620</v>
      </c>
      <c r="AP586" s="103" t="s">
        <v>1220</v>
      </c>
      <c r="AQ586" s="103" t="s">
        <v>1197</v>
      </c>
      <c r="AR586" s="103" t="s">
        <v>948</v>
      </c>
      <c r="AS586" s="271"/>
      <c r="AT586" s="271"/>
      <c r="AU586" s="271"/>
      <c r="AV586" s="271"/>
      <c r="AW586" s="271"/>
      <c r="AX586" s="271"/>
      <c r="AY586" s="271"/>
      <c r="AZ586" s="271"/>
      <c r="BA586" s="271"/>
      <c r="BB586" s="271"/>
      <c r="BC586" s="271"/>
      <c r="BD586" s="271"/>
      <c r="BE586" s="271"/>
      <c r="BF586" s="271"/>
      <c r="BG586" s="271"/>
      <c r="BH586" s="235">
        <f t="shared" si="222"/>
        <v>0</v>
      </c>
      <c r="BI586" s="271"/>
      <c r="BJ586" s="271"/>
      <c r="BK586" s="271"/>
      <c r="BL586" s="271"/>
      <c r="BM586" s="271">
        <v>100000000</v>
      </c>
      <c r="BN586" s="271"/>
      <c r="BO586" s="271"/>
      <c r="BP586" s="271"/>
      <c r="BQ586" s="271"/>
      <c r="BR586" s="271"/>
      <c r="BS586" s="271"/>
      <c r="BT586" s="271"/>
      <c r="BU586" s="271"/>
      <c r="BV586" s="271"/>
      <c r="BW586" s="271"/>
      <c r="BX586" s="235">
        <f t="shared" si="223"/>
        <v>100000000</v>
      </c>
      <c r="BY586" s="271"/>
      <c r="BZ586" s="271"/>
      <c r="CA586" s="271"/>
      <c r="CB586" s="271"/>
      <c r="CC586" s="271">
        <v>100000000</v>
      </c>
      <c r="CD586" s="271"/>
      <c r="CE586" s="271"/>
      <c r="CF586" s="271"/>
      <c r="CG586" s="271"/>
      <c r="CH586" s="271"/>
      <c r="CI586" s="271"/>
      <c r="CJ586" s="271"/>
      <c r="CK586" s="271"/>
      <c r="CL586" s="271"/>
      <c r="CM586" s="271"/>
      <c r="CN586" s="235">
        <f t="shared" si="224"/>
        <v>100000000</v>
      </c>
      <c r="CO586" s="271"/>
      <c r="CP586" s="271"/>
      <c r="CQ586" s="271"/>
      <c r="CR586" s="271"/>
      <c r="CS586" s="271"/>
      <c r="CT586" s="271"/>
      <c r="CU586" s="271"/>
      <c r="CV586" s="271"/>
      <c r="CW586" s="271"/>
      <c r="CX586" s="271"/>
      <c r="CY586" s="271"/>
      <c r="CZ586" s="271"/>
      <c r="DA586" s="271"/>
      <c r="DB586" s="271"/>
      <c r="DC586" s="271"/>
      <c r="DD586" s="235">
        <f t="shared" si="225"/>
        <v>0</v>
      </c>
      <c r="DE586" s="244">
        <f t="shared" si="226"/>
        <v>200000000</v>
      </c>
    </row>
    <row r="587" spans="1:109" s="98" customFormat="1" ht="104.1" customHeight="1">
      <c r="A587" s="103" t="s">
        <v>1242</v>
      </c>
      <c r="B587" s="279" t="s">
        <v>1469</v>
      </c>
      <c r="C587" s="279" t="s">
        <v>1689</v>
      </c>
      <c r="D587" s="279">
        <v>44</v>
      </c>
      <c r="E587" s="279" t="s">
        <v>1490</v>
      </c>
      <c r="F587" s="280" t="s">
        <v>64</v>
      </c>
      <c r="G587" s="279" t="s">
        <v>2870</v>
      </c>
      <c r="H587" s="279">
        <v>53</v>
      </c>
      <c r="I587" s="279" t="s">
        <v>65</v>
      </c>
      <c r="J587" s="279" t="s">
        <v>683</v>
      </c>
      <c r="K587" s="104">
        <v>15000</v>
      </c>
      <c r="L587" s="279" t="s">
        <v>1491</v>
      </c>
      <c r="M587" s="279" t="s">
        <v>1512</v>
      </c>
      <c r="N587" s="279" t="s">
        <v>1513</v>
      </c>
      <c r="O587" s="279" t="s">
        <v>1514</v>
      </c>
      <c r="P587" s="266">
        <v>530</v>
      </c>
      <c r="Q587" s="279" t="s">
        <v>2889</v>
      </c>
      <c r="R587" s="279" t="s">
        <v>127</v>
      </c>
      <c r="S587" s="279" t="s">
        <v>683</v>
      </c>
      <c r="T587" s="279">
        <v>2</v>
      </c>
      <c r="U587" s="267">
        <v>1</v>
      </c>
      <c r="V587" s="267"/>
      <c r="W587" s="224">
        <v>1</v>
      </c>
      <c r="X587" s="267"/>
      <c r="Y587" s="267"/>
      <c r="Z587" s="267"/>
      <c r="AA587" s="267"/>
      <c r="AB587" s="224">
        <v>0</v>
      </c>
      <c r="AC587" s="267"/>
      <c r="AD587" s="267"/>
      <c r="AE587" s="267"/>
      <c r="AF587" s="267"/>
      <c r="AG587" s="224">
        <v>0</v>
      </c>
      <c r="AH587" s="267"/>
      <c r="AI587" s="267"/>
      <c r="AJ587" s="267"/>
      <c r="AK587" s="267"/>
      <c r="AL587" s="224">
        <v>0</v>
      </c>
      <c r="AM587" s="104">
        <v>1</v>
      </c>
      <c r="AN587" s="103" t="s">
        <v>685</v>
      </c>
      <c r="AO587" s="103" t="s">
        <v>620</v>
      </c>
      <c r="AP587" s="103" t="s">
        <v>1220</v>
      </c>
      <c r="AQ587" s="103" t="s">
        <v>1197</v>
      </c>
      <c r="AR587" s="103" t="s">
        <v>948</v>
      </c>
      <c r="AS587" s="271"/>
      <c r="AT587" s="271"/>
      <c r="AU587" s="271"/>
      <c r="AV587" s="271"/>
      <c r="AW587" s="271">
        <v>3500000</v>
      </c>
      <c r="AX587" s="271"/>
      <c r="AY587" s="271"/>
      <c r="AZ587" s="271"/>
      <c r="BA587" s="271"/>
      <c r="BB587" s="271"/>
      <c r="BC587" s="271"/>
      <c r="BD587" s="271"/>
      <c r="BE587" s="271"/>
      <c r="BF587" s="271"/>
      <c r="BG587" s="271"/>
      <c r="BH587" s="235">
        <f t="shared" si="222"/>
        <v>3500000</v>
      </c>
      <c r="BI587" s="271"/>
      <c r="BJ587" s="271"/>
      <c r="BK587" s="271"/>
      <c r="BL587" s="271"/>
      <c r="BM587" s="271"/>
      <c r="BN587" s="271"/>
      <c r="BO587" s="271"/>
      <c r="BP587" s="271"/>
      <c r="BQ587" s="271"/>
      <c r="BR587" s="271"/>
      <c r="BS587" s="271"/>
      <c r="BT587" s="271"/>
      <c r="BU587" s="271"/>
      <c r="BV587" s="271"/>
      <c r="BW587" s="271"/>
      <c r="BX587" s="235">
        <f t="shared" si="223"/>
        <v>0</v>
      </c>
      <c r="BY587" s="271"/>
      <c r="BZ587" s="271"/>
      <c r="CA587" s="271"/>
      <c r="CB587" s="271"/>
      <c r="CC587" s="271"/>
      <c r="CD587" s="271"/>
      <c r="CE587" s="271"/>
      <c r="CF587" s="271"/>
      <c r="CG587" s="271"/>
      <c r="CH587" s="271"/>
      <c r="CI587" s="271"/>
      <c r="CJ587" s="271"/>
      <c r="CK587" s="271"/>
      <c r="CL587" s="271"/>
      <c r="CM587" s="271"/>
      <c r="CN587" s="235">
        <f t="shared" si="224"/>
        <v>0</v>
      </c>
      <c r="CO587" s="271"/>
      <c r="CP587" s="271"/>
      <c r="CQ587" s="271"/>
      <c r="CR587" s="271"/>
      <c r="CS587" s="271"/>
      <c r="CT587" s="271"/>
      <c r="CU587" s="271"/>
      <c r="CV587" s="271"/>
      <c r="CW587" s="271"/>
      <c r="CX587" s="271"/>
      <c r="CY587" s="271"/>
      <c r="CZ587" s="271"/>
      <c r="DA587" s="271"/>
      <c r="DB587" s="271"/>
      <c r="DC587" s="271"/>
      <c r="DD587" s="235">
        <f t="shared" si="225"/>
        <v>0</v>
      </c>
      <c r="DE587" s="244">
        <f t="shared" si="226"/>
        <v>3500000</v>
      </c>
    </row>
    <row r="588" spans="1:109" s="98" customFormat="1" ht="104.1" customHeight="1">
      <c r="A588" s="103" t="s">
        <v>1242</v>
      </c>
      <c r="B588" s="279" t="s">
        <v>1469</v>
      </c>
      <c r="C588" s="279" t="s">
        <v>1689</v>
      </c>
      <c r="D588" s="279">
        <v>44</v>
      </c>
      <c r="E588" s="279" t="s">
        <v>1490</v>
      </c>
      <c r="F588" s="280" t="s">
        <v>64</v>
      </c>
      <c r="G588" s="279" t="s">
        <v>2870</v>
      </c>
      <c r="H588" s="279">
        <v>53</v>
      </c>
      <c r="I588" s="279" t="s">
        <v>65</v>
      </c>
      <c r="J588" s="279" t="s">
        <v>683</v>
      </c>
      <c r="K588" s="104">
        <v>15000</v>
      </c>
      <c r="L588" s="279" t="s">
        <v>1491</v>
      </c>
      <c r="M588" s="279" t="s">
        <v>1512</v>
      </c>
      <c r="N588" s="279" t="s">
        <v>1513</v>
      </c>
      <c r="O588" s="279" t="s">
        <v>1514</v>
      </c>
      <c r="P588" s="266">
        <v>531</v>
      </c>
      <c r="Q588" s="279" t="s">
        <v>2890</v>
      </c>
      <c r="R588" s="279" t="s">
        <v>1515</v>
      </c>
      <c r="S588" s="279" t="s">
        <v>683</v>
      </c>
      <c r="T588" s="279">
        <v>0</v>
      </c>
      <c r="U588" s="267"/>
      <c r="V588" s="267">
        <v>200</v>
      </c>
      <c r="W588" s="224">
        <v>200</v>
      </c>
      <c r="X588" s="267"/>
      <c r="Y588" s="267"/>
      <c r="Z588" s="267"/>
      <c r="AA588" s="267">
        <v>200</v>
      </c>
      <c r="AB588" s="224">
        <v>200</v>
      </c>
      <c r="AC588" s="267"/>
      <c r="AD588" s="267"/>
      <c r="AE588" s="267"/>
      <c r="AF588" s="267">
        <v>200</v>
      </c>
      <c r="AG588" s="224">
        <v>200</v>
      </c>
      <c r="AH588" s="267"/>
      <c r="AI588" s="267"/>
      <c r="AJ588" s="267"/>
      <c r="AK588" s="267"/>
      <c r="AL588" s="224">
        <v>0</v>
      </c>
      <c r="AM588" s="104">
        <v>600</v>
      </c>
      <c r="AN588" s="103" t="s">
        <v>685</v>
      </c>
      <c r="AO588" s="103" t="s">
        <v>620</v>
      </c>
      <c r="AP588" s="103" t="s">
        <v>1220</v>
      </c>
      <c r="AQ588" s="103" t="s">
        <v>1197</v>
      </c>
      <c r="AR588" s="103" t="s">
        <v>948</v>
      </c>
      <c r="AS588" s="271"/>
      <c r="AT588" s="271"/>
      <c r="AU588" s="271"/>
      <c r="AV588" s="271"/>
      <c r="AW588" s="271">
        <v>3500000</v>
      </c>
      <c r="AX588" s="271"/>
      <c r="AY588" s="271"/>
      <c r="AZ588" s="271"/>
      <c r="BA588" s="271"/>
      <c r="BB588" s="271"/>
      <c r="BC588" s="271"/>
      <c r="BD588" s="271"/>
      <c r="BE588" s="271"/>
      <c r="BF588" s="271"/>
      <c r="BG588" s="271"/>
      <c r="BH588" s="235">
        <f t="shared" si="222"/>
        <v>3500000</v>
      </c>
      <c r="BI588" s="271"/>
      <c r="BJ588" s="271"/>
      <c r="BK588" s="271"/>
      <c r="BL588" s="271"/>
      <c r="BM588" s="271">
        <v>3500000</v>
      </c>
      <c r="BN588" s="271"/>
      <c r="BO588" s="271"/>
      <c r="BP588" s="271"/>
      <c r="BQ588" s="271"/>
      <c r="BR588" s="271"/>
      <c r="BS588" s="271"/>
      <c r="BT588" s="271"/>
      <c r="BU588" s="271"/>
      <c r="BV588" s="271"/>
      <c r="BW588" s="271"/>
      <c r="BX588" s="235">
        <f t="shared" si="223"/>
        <v>3500000</v>
      </c>
      <c r="BY588" s="271"/>
      <c r="BZ588" s="271"/>
      <c r="CA588" s="271"/>
      <c r="CB588" s="271"/>
      <c r="CC588" s="271">
        <v>3500000</v>
      </c>
      <c r="CD588" s="271"/>
      <c r="CE588" s="271"/>
      <c r="CF588" s="271"/>
      <c r="CG588" s="271"/>
      <c r="CH588" s="271"/>
      <c r="CI588" s="271"/>
      <c r="CJ588" s="271"/>
      <c r="CK588" s="271"/>
      <c r="CL588" s="271"/>
      <c r="CM588" s="271"/>
      <c r="CN588" s="235">
        <f t="shared" si="224"/>
        <v>3500000</v>
      </c>
      <c r="CO588" s="271"/>
      <c r="CP588" s="271"/>
      <c r="CQ588" s="271"/>
      <c r="CR588" s="271"/>
      <c r="CS588" s="271"/>
      <c r="CT588" s="271"/>
      <c r="CU588" s="271"/>
      <c r="CV588" s="271"/>
      <c r="CW588" s="271"/>
      <c r="CX588" s="271"/>
      <c r="CY588" s="271"/>
      <c r="CZ588" s="271"/>
      <c r="DA588" s="271"/>
      <c r="DB588" s="271"/>
      <c r="DC588" s="271"/>
      <c r="DD588" s="235">
        <f t="shared" si="225"/>
        <v>0</v>
      </c>
      <c r="DE588" s="244">
        <f t="shared" si="226"/>
        <v>10500000</v>
      </c>
    </row>
    <row r="589" spans="1:109" s="98" customFormat="1" ht="104.1" customHeight="1">
      <c r="A589" s="103" t="s">
        <v>1242</v>
      </c>
      <c r="B589" s="279" t="s">
        <v>1469</v>
      </c>
      <c r="C589" s="279" t="s">
        <v>1689</v>
      </c>
      <c r="D589" s="279">
        <v>44</v>
      </c>
      <c r="E589" s="279" t="s">
        <v>1490</v>
      </c>
      <c r="F589" s="280" t="s">
        <v>64</v>
      </c>
      <c r="G589" s="279" t="s">
        <v>2870</v>
      </c>
      <c r="H589" s="279">
        <v>53</v>
      </c>
      <c r="I589" s="279" t="s">
        <v>65</v>
      </c>
      <c r="J589" s="279" t="s">
        <v>683</v>
      </c>
      <c r="K589" s="104">
        <v>15000</v>
      </c>
      <c r="L589" s="279" t="s">
        <v>1491</v>
      </c>
      <c r="M589" s="279" t="s">
        <v>1512</v>
      </c>
      <c r="N589" s="279" t="s">
        <v>1513</v>
      </c>
      <c r="O589" s="279" t="s">
        <v>1514</v>
      </c>
      <c r="P589" s="266">
        <v>532</v>
      </c>
      <c r="Q589" s="279" t="s">
        <v>2891</v>
      </c>
      <c r="R589" s="279" t="s">
        <v>132</v>
      </c>
      <c r="S589" s="279" t="s">
        <v>683</v>
      </c>
      <c r="T589" s="279">
        <v>3</v>
      </c>
      <c r="U589" s="267"/>
      <c r="V589" s="267">
        <v>32</v>
      </c>
      <c r="W589" s="224">
        <v>32</v>
      </c>
      <c r="X589" s="267"/>
      <c r="Y589" s="267"/>
      <c r="Z589" s="267"/>
      <c r="AA589" s="267"/>
      <c r="AB589" s="224">
        <v>0</v>
      </c>
      <c r="AC589" s="267"/>
      <c r="AD589" s="267"/>
      <c r="AE589" s="267"/>
      <c r="AF589" s="267"/>
      <c r="AG589" s="224">
        <v>0</v>
      </c>
      <c r="AH589" s="267"/>
      <c r="AI589" s="267"/>
      <c r="AJ589" s="267"/>
      <c r="AK589" s="267"/>
      <c r="AL589" s="224">
        <v>0</v>
      </c>
      <c r="AM589" s="104">
        <v>32</v>
      </c>
      <c r="AN589" s="103" t="s">
        <v>685</v>
      </c>
      <c r="AO589" s="103" t="s">
        <v>620</v>
      </c>
      <c r="AP589" s="103" t="s">
        <v>1220</v>
      </c>
      <c r="AQ589" s="103" t="s">
        <v>1197</v>
      </c>
      <c r="AR589" s="103" t="s">
        <v>948</v>
      </c>
      <c r="AS589" s="271"/>
      <c r="AT589" s="271"/>
      <c r="AU589" s="271"/>
      <c r="AV589" s="271">
        <v>640000000</v>
      </c>
      <c r="AW589" s="271"/>
      <c r="AX589" s="271"/>
      <c r="AY589" s="271"/>
      <c r="AZ589" s="271"/>
      <c r="BA589" s="271"/>
      <c r="BB589" s="271"/>
      <c r="BC589" s="271"/>
      <c r="BD589" s="271"/>
      <c r="BE589" s="271"/>
      <c r="BF589" s="271"/>
      <c r="BG589" s="271"/>
      <c r="BH589" s="235">
        <f t="shared" si="222"/>
        <v>640000000</v>
      </c>
      <c r="BI589" s="271"/>
      <c r="BJ589" s="271"/>
      <c r="BK589" s="271"/>
      <c r="BL589" s="271"/>
      <c r="BM589" s="271"/>
      <c r="BN589" s="271"/>
      <c r="BO589" s="271"/>
      <c r="BP589" s="271"/>
      <c r="BQ589" s="271"/>
      <c r="BR589" s="271"/>
      <c r="BS589" s="271"/>
      <c r="BT589" s="271"/>
      <c r="BU589" s="271"/>
      <c r="BV589" s="271"/>
      <c r="BW589" s="271"/>
      <c r="BX589" s="235">
        <f t="shared" si="223"/>
        <v>0</v>
      </c>
      <c r="BY589" s="271"/>
      <c r="BZ589" s="271"/>
      <c r="CA589" s="271"/>
      <c r="CB589" s="271"/>
      <c r="CC589" s="271"/>
      <c r="CD589" s="271"/>
      <c r="CE589" s="271"/>
      <c r="CF589" s="271"/>
      <c r="CG589" s="271"/>
      <c r="CH589" s="271"/>
      <c r="CI589" s="271"/>
      <c r="CJ589" s="271"/>
      <c r="CK589" s="271"/>
      <c r="CL589" s="271"/>
      <c r="CM589" s="271"/>
      <c r="CN589" s="235">
        <f t="shared" si="224"/>
        <v>0</v>
      </c>
      <c r="CO589" s="271"/>
      <c r="CP589" s="271"/>
      <c r="CQ589" s="271"/>
      <c r="CR589" s="271"/>
      <c r="CS589" s="271"/>
      <c r="CT589" s="271"/>
      <c r="CU589" s="271"/>
      <c r="CV589" s="271"/>
      <c r="CW589" s="271"/>
      <c r="CX589" s="271"/>
      <c r="CY589" s="271"/>
      <c r="CZ589" s="271"/>
      <c r="DA589" s="271"/>
      <c r="DB589" s="271"/>
      <c r="DC589" s="271"/>
      <c r="DD589" s="235">
        <f t="shared" si="225"/>
        <v>0</v>
      </c>
      <c r="DE589" s="244">
        <f t="shared" si="226"/>
        <v>640000000</v>
      </c>
    </row>
    <row r="590" spans="1:109" s="98" customFormat="1" ht="104.1" customHeight="1">
      <c r="A590" s="103" t="s">
        <v>1242</v>
      </c>
      <c r="B590" s="279" t="s">
        <v>1469</v>
      </c>
      <c r="C590" s="279" t="s">
        <v>1689</v>
      </c>
      <c r="D590" s="279">
        <v>44</v>
      </c>
      <c r="E590" s="279" t="s">
        <v>1490</v>
      </c>
      <c r="F590" s="280" t="s">
        <v>64</v>
      </c>
      <c r="G590" s="279" t="s">
        <v>2870</v>
      </c>
      <c r="H590" s="279">
        <v>53</v>
      </c>
      <c r="I590" s="279" t="s">
        <v>65</v>
      </c>
      <c r="J590" s="279" t="s">
        <v>683</v>
      </c>
      <c r="K590" s="104">
        <v>15000</v>
      </c>
      <c r="L590" s="279" t="s">
        <v>1491</v>
      </c>
      <c r="M590" s="279" t="s">
        <v>1512</v>
      </c>
      <c r="N590" s="279" t="s">
        <v>1513</v>
      </c>
      <c r="O590" s="279" t="s">
        <v>1514</v>
      </c>
      <c r="P590" s="266">
        <v>533</v>
      </c>
      <c r="Q590" s="279" t="s">
        <v>2892</v>
      </c>
      <c r="R590" s="279" t="s">
        <v>139</v>
      </c>
      <c r="S590" s="279" t="s">
        <v>683</v>
      </c>
      <c r="T590" s="104">
        <v>3000</v>
      </c>
      <c r="U590" s="267">
        <v>12000</v>
      </c>
      <c r="V590" s="267"/>
      <c r="W590" s="224">
        <v>12000</v>
      </c>
      <c r="X590" s="267"/>
      <c r="Y590" s="267"/>
      <c r="Z590" s="267"/>
      <c r="AA590" s="267"/>
      <c r="AB590" s="224">
        <v>0</v>
      </c>
      <c r="AC590" s="267"/>
      <c r="AD590" s="267"/>
      <c r="AE590" s="267"/>
      <c r="AF590" s="267"/>
      <c r="AG590" s="224">
        <v>0</v>
      </c>
      <c r="AH590" s="267"/>
      <c r="AI590" s="267"/>
      <c r="AJ590" s="267"/>
      <c r="AK590" s="267"/>
      <c r="AL590" s="224">
        <v>0</v>
      </c>
      <c r="AM590" s="104">
        <v>12000</v>
      </c>
      <c r="AN590" s="103" t="s">
        <v>685</v>
      </c>
      <c r="AO590" s="103" t="s">
        <v>620</v>
      </c>
      <c r="AP590" s="103" t="s">
        <v>1220</v>
      </c>
      <c r="AQ590" s="103" t="s">
        <v>1197</v>
      </c>
      <c r="AR590" s="103" t="s">
        <v>948</v>
      </c>
      <c r="AS590" s="271"/>
      <c r="AT590" s="271"/>
      <c r="AU590" s="271"/>
      <c r="AV590" s="271"/>
      <c r="AW590" s="271">
        <v>7000000</v>
      </c>
      <c r="AX590" s="271"/>
      <c r="AY590" s="271"/>
      <c r="AZ590" s="271"/>
      <c r="BA590" s="271"/>
      <c r="BB590" s="271"/>
      <c r="BC590" s="271"/>
      <c r="BD590" s="271"/>
      <c r="BE590" s="271"/>
      <c r="BF590" s="271"/>
      <c r="BG590" s="271"/>
      <c r="BH590" s="235">
        <f t="shared" si="222"/>
        <v>7000000</v>
      </c>
      <c r="BI590" s="271"/>
      <c r="BJ590" s="271"/>
      <c r="BK590" s="271"/>
      <c r="BL590" s="271"/>
      <c r="BM590" s="271"/>
      <c r="BN590" s="271"/>
      <c r="BO590" s="271"/>
      <c r="BP590" s="271"/>
      <c r="BQ590" s="271"/>
      <c r="BR590" s="271"/>
      <c r="BS590" s="271"/>
      <c r="BT590" s="271"/>
      <c r="BU590" s="271"/>
      <c r="BV590" s="271"/>
      <c r="BW590" s="271"/>
      <c r="BX590" s="235">
        <f t="shared" si="223"/>
        <v>0</v>
      </c>
      <c r="BY590" s="271"/>
      <c r="BZ590" s="271"/>
      <c r="CA590" s="271"/>
      <c r="CB590" s="271"/>
      <c r="CC590" s="271"/>
      <c r="CD590" s="271"/>
      <c r="CE590" s="271"/>
      <c r="CF590" s="271"/>
      <c r="CG590" s="271"/>
      <c r="CH590" s="271"/>
      <c r="CI590" s="271"/>
      <c r="CJ590" s="271"/>
      <c r="CK590" s="271"/>
      <c r="CL590" s="271"/>
      <c r="CM590" s="271"/>
      <c r="CN590" s="235">
        <f t="shared" si="224"/>
        <v>0</v>
      </c>
      <c r="CO590" s="271"/>
      <c r="CP590" s="271"/>
      <c r="CQ590" s="271"/>
      <c r="CR590" s="271"/>
      <c r="CS590" s="271"/>
      <c r="CT590" s="271"/>
      <c r="CU590" s="271"/>
      <c r="CV590" s="271"/>
      <c r="CW590" s="271"/>
      <c r="CX590" s="271"/>
      <c r="CY590" s="271"/>
      <c r="CZ590" s="271"/>
      <c r="DA590" s="271"/>
      <c r="DB590" s="271"/>
      <c r="DC590" s="271"/>
      <c r="DD590" s="235">
        <f t="shared" si="225"/>
        <v>0</v>
      </c>
      <c r="DE590" s="244">
        <f t="shared" si="226"/>
        <v>7000000</v>
      </c>
    </row>
    <row r="591" spans="1:109" s="98" customFormat="1" ht="104.1" customHeight="1">
      <c r="A591" s="103" t="s">
        <v>1242</v>
      </c>
      <c r="B591" s="279" t="s">
        <v>1469</v>
      </c>
      <c r="C591" s="279" t="s">
        <v>1689</v>
      </c>
      <c r="D591" s="279">
        <v>44</v>
      </c>
      <c r="E591" s="279" t="s">
        <v>1490</v>
      </c>
      <c r="F591" s="280" t="s">
        <v>64</v>
      </c>
      <c r="G591" s="279" t="s">
        <v>2870</v>
      </c>
      <c r="H591" s="279">
        <v>53</v>
      </c>
      <c r="I591" s="279" t="s">
        <v>65</v>
      </c>
      <c r="J591" s="279" t="s">
        <v>683</v>
      </c>
      <c r="K591" s="104">
        <v>15000</v>
      </c>
      <c r="L591" s="279" t="s">
        <v>1491</v>
      </c>
      <c r="M591" s="279" t="s">
        <v>1512</v>
      </c>
      <c r="N591" s="279" t="s">
        <v>1513</v>
      </c>
      <c r="O591" s="279" t="s">
        <v>1514</v>
      </c>
      <c r="P591" s="266">
        <v>534</v>
      </c>
      <c r="Q591" s="279" t="s">
        <v>2893</v>
      </c>
      <c r="R591" s="279" t="s">
        <v>142</v>
      </c>
      <c r="S591" s="279" t="s">
        <v>683</v>
      </c>
      <c r="T591" s="279">
        <v>0</v>
      </c>
      <c r="U591" s="267"/>
      <c r="V591" s="267"/>
      <c r="W591" s="224">
        <v>0</v>
      </c>
      <c r="X591" s="267"/>
      <c r="Y591" s="267"/>
      <c r="Z591" s="267"/>
      <c r="AA591" s="267">
        <v>1</v>
      </c>
      <c r="AB591" s="224">
        <v>1</v>
      </c>
      <c r="AC591" s="267"/>
      <c r="AD591" s="267"/>
      <c r="AE591" s="267"/>
      <c r="AF591" s="267">
        <v>1</v>
      </c>
      <c r="AG591" s="224">
        <v>1</v>
      </c>
      <c r="AH591" s="267"/>
      <c r="AI591" s="267"/>
      <c r="AJ591" s="267"/>
      <c r="AK591" s="267">
        <v>1</v>
      </c>
      <c r="AL591" s="224">
        <v>1</v>
      </c>
      <c r="AM591" s="104">
        <v>3</v>
      </c>
      <c r="AN591" s="103" t="s">
        <v>685</v>
      </c>
      <c r="AO591" s="103" t="s">
        <v>620</v>
      </c>
      <c r="AP591" s="103" t="s">
        <v>1220</v>
      </c>
      <c r="AQ591" s="103" t="s">
        <v>1197</v>
      </c>
      <c r="AR591" s="103" t="s">
        <v>936</v>
      </c>
      <c r="AS591" s="271"/>
      <c r="AT591" s="271"/>
      <c r="AU591" s="271"/>
      <c r="AV591" s="271"/>
      <c r="AW591" s="271"/>
      <c r="AX591" s="271"/>
      <c r="AY591" s="271"/>
      <c r="AZ591" s="271"/>
      <c r="BA591" s="271"/>
      <c r="BB591" s="271"/>
      <c r="BC591" s="271"/>
      <c r="BD591" s="271"/>
      <c r="BE591" s="271"/>
      <c r="BF591" s="271"/>
      <c r="BG591" s="271"/>
      <c r="BH591" s="235">
        <f t="shared" si="222"/>
        <v>0</v>
      </c>
      <c r="BI591" s="271"/>
      <c r="BJ591" s="271"/>
      <c r="BK591" s="271"/>
      <c r="BL591" s="271"/>
      <c r="BM591" s="271">
        <v>100000</v>
      </c>
      <c r="BN591" s="271"/>
      <c r="BO591" s="271"/>
      <c r="BP591" s="271"/>
      <c r="BQ591" s="271"/>
      <c r="BR591" s="271"/>
      <c r="BS591" s="271"/>
      <c r="BT591" s="271"/>
      <c r="BU591" s="271"/>
      <c r="BV591" s="271"/>
      <c r="BW591" s="271"/>
      <c r="BX591" s="235">
        <f t="shared" si="223"/>
        <v>100000</v>
      </c>
      <c r="BY591" s="271"/>
      <c r="BZ591" s="271"/>
      <c r="CA591" s="271"/>
      <c r="CB591" s="271"/>
      <c r="CC591" s="271">
        <v>100000</v>
      </c>
      <c r="CD591" s="271"/>
      <c r="CE591" s="271"/>
      <c r="CF591" s="271"/>
      <c r="CG591" s="271"/>
      <c r="CH591" s="271"/>
      <c r="CI591" s="271"/>
      <c r="CJ591" s="271"/>
      <c r="CK591" s="271"/>
      <c r="CL591" s="271"/>
      <c r="CM591" s="271"/>
      <c r="CN591" s="235">
        <f t="shared" si="224"/>
        <v>100000</v>
      </c>
      <c r="CO591" s="271"/>
      <c r="CP591" s="271"/>
      <c r="CQ591" s="271"/>
      <c r="CR591" s="271"/>
      <c r="CS591" s="271">
        <v>100000</v>
      </c>
      <c r="CT591" s="271"/>
      <c r="CU591" s="271"/>
      <c r="CV591" s="271"/>
      <c r="CW591" s="271"/>
      <c r="CX591" s="271"/>
      <c r="CY591" s="271"/>
      <c r="CZ591" s="271"/>
      <c r="DA591" s="271"/>
      <c r="DB591" s="271"/>
      <c r="DC591" s="271"/>
      <c r="DD591" s="235">
        <f t="shared" si="225"/>
        <v>100000</v>
      </c>
      <c r="DE591" s="244">
        <f t="shared" si="226"/>
        <v>300000</v>
      </c>
    </row>
    <row r="592" spans="1:109" s="98" customFormat="1" ht="104.1" customHeight="1">
      <c r="A592" s="103" t="s">
        <v>1242</v>
      </c>
      <c r="B592" s="279" t="s">
        <v>1469</v>
      </c>
      <c r="C592" s="279" t="s">
        <v>1689</v>
      </c>
      <c r="D592" s="279">
        <v>44</v>
      </c>
      <c r="E592" s="279" t="s">
        <v>1490</v>
      </c>
      <c r="F592" s="280" t="s">
        <v>64</v>
      </c>
      <c r="G592" s="279" t="s">
        <v>2870</v>
      </c>
      <c r="H592" s="279">
        <v>53</v>
      </c>
      <c r="I592" s="279" t="s">
        <v>65</v>
      </c>
      <c r="J592" s="279" t="s">
        <v>683</v>
      </c>
      <c r="K592" s="104">
        <v>15000</v>
      </c>
      <c r="L592" s="279" t="s">
        <v>1491</v>
      </c>
      <c r="M592" s="279" t="s">
        <v>1512</v>
      </c>
      <c r="N592" s="279" t="s">
        <v>1513</v>
      </c>
      <c r="O592" s="279" t="s">
        <v>1514</v>
      </c>
      <c r="P592" s="266">
        <v>535</v>
      </c>
      <c r="Q592" s="279" t="s">
        <v>2894</v>
      </c>
      <c r="R592" s="279" t="s">
        <v>147</v>
      </c>
      <c r="S592" s="279" t="s">
        <v>683</v>
      </c>
      <c r="T592" s="279">
        <v>200</v>
      </c>
      <c r="U592" s="267">
        <v>50</v>
      </c>
      <c r="V592" s="267">
        <v>100</v>
      </c>
      <c r="W592" s="224">
        <v>150</v>
      </c>
      <c r="X592" s="267"/>
      <c r="Y592" s="267"/>
      <c r="Z592" s="267"/>
      <c r="AA592" s="267"/>
      <c r="AB592" s="224">
        <v>0</v>
      </c>
      <c r="AC592" s="267"/>
      <c r="AD592" s="267"/>
      <c r="AE592" s="267"/>
      <c r="AF592" s="267"/>
      <c r="AG592" s="224">
        <v>0</v>
      </c>
      <c r="AH592" s="267"/>
      <c r="AI592" s="267"/>
      <c r="AJ592" s="267"/>
      <c r="AK592" s="267"/>
      <c r="AL592" s="224">
        <v>0</v>
      </c>
      <c r="AM592" s="104">
        <v>150</v>
      </c>
      <c r="AN592" s="103" t="s">
        <v>685</v>
      </c>
      <c r="AO592" s="103" t="s">
        <v>620</v>
      </c>
      <c r="AP592" s="103" t="s">
        <v>1220</v>
      </c>
      <c r="AQ592" s="103" t="s">
        <v>1197</v>
      </c>
      <c r="AR592" s="103" t="s">
        <v>937</v>
      </c>
      <c r="AS592" s="271"/>
      <c r="AT592" s="271"/>
      <c r="AU592" s="271"/>
      <c r="AV592" s="271"/>
      <c r="AW592" s="271">
        <v>3500000</v>
      </c>
      <c r="AX592" s="271"/>
      <c r="AY592" s="271"/>
      <c r="AZ592" s="271"/>
      <c r="BA592" s="271"/>
      <c r="BB592" s="271"/>
      <c r="BC592" s="271"/>
      <c r="BD592" s="271"/>
      <c r="BE592" s="271"/>
      <c r="BF592" s="271"/>
      <c r="BG592" s="271"/>
      <c r="BH592" s="235">
        <f t="shared" si="222"/>
        <v>3500000</v>
      </c>
      <c r="BI592" s="271"/>
      <c r="BJ592" s="271"/>
      <c r="BK592" s="271"/>
      <c r="BL592" s="271"/>
      <c r="BM592" s="271"/>
      <c r="BN592" s="271"/>
      <c r="BO592" s="271"/>
      <c r="BP592" s="271"/>
      <c r="BQ592" s="271"/>
      <c r="BR592" s="271"/>
      <c r="BS592" s="271"/>
      <c r="BT592" s="271"/>
      <c r="BU592" s="271"/>
      <c r="BV592" s="271"/>
      <c r="BW592" s="271"/>
      <c r="BX592" s="235">
        <f t="shared" si="223"/>
        <v>0</v>
      </c>
      <c r="BY592" s="271"/>
      <c r="BZ592" s="271"/>
      <c r="CA592" s="271"/>
      <c r="CB592" s="271"/>
      <c r="CC592" s="271"/>
      <c r="CD592" s="271"/>
      <c r="CE592" s="271"/>
      <c r="CF592" s="271"/>
      <c r="CG592" s="271"/>
      <c r="CH592" s="271"/>
      <c r="CI592" s="271"/>
      <c r="CJ592" s="271"/>
      <c r="CK592" s="271"/>
      <c r="CL592" s="271"/>
      <c r="CM592" s="271"/>
      <c r="CN592" s="235">
        <f t="shared" si="224"/>
        <v>0</v>
      </c>
      <c r="CO592" s="271"/>
      <c r="CP592" s="271"/>
      <c r="CQ592" s="271"/>
      <c r="CR592" s="271"/>
      <c r="CS592" s="271"/>
      <c r="CT592" s="271"/>
      <c r="CU592" s="271"/>
      <c r="CV592" s="271"/>
      <c r="CW592" s="271"/>
      <c r="CX592" s="271"/>
      <c r="CY592" s="271"/>
      <c r="CZ592" s="271"/>
      <c r="DA592" s="271"/>
      <c r="DB592" s="271"/>
      <c r="DC592" s="271"/>
      <c r="DD592" s="235">
        <f t="shared" si="225"/>
        <v>0</v>
      </c>
      <c r="DE592" s="244">
        <f t="shared" si="226"/>
        <v>3500000</v>
      </c>
    </row>
    <row r="593" spans="1:110" s="98" customFormat="1" ht="104.1" customHeight="1">
      <c r="A593" s="103" t="s">
        <v>1242</v>
      </c>
      <c r="B593" s="279" t="s">
        <v>1469</v>
      </c>
      <c r="C593" s="279" t="s">
        <v>1689</v>
      </c>
      <c r="D593" s="279">
        <v>44</v>
      </c>
      <c r="E593" s="279" t="s">
        <v>1490</v>
      </c>
      <c r="F593" s="280" t="s">
        <v>64</v>
      </c>
      <c r="G593" s="279" t="s">
        <v>2870</v>
      </c>
      <c r="H593" s="279">
        <v>53</v>
      </c>
      <c r="I593" s="279" t="s">
        <v>65</v>
      </c>
      <c r="J593" s="279" t="s">
        <v>683</v>
      </c>
      <c r="K593" s="104">
        <v>15000</v>
      </c>
      <c r="L593" s="279" t="s">
        <v>1491</v>
      </c>
      <c r="M593" s="279" t="s">
        <v>1516</v>
      </c>
      <c r="N593" s="279" t="s">
        <v>1517</v>
      </c>
      <c r="O593" s="279" t="s">
        <v>1518</v>
      </c>
      <c r="P593" s="266">
        <v>536</v>
      </c>
      <c r="Q593" s="279" t="s">
        <v>3593</v>
      </c>
      <c r="R593" s="279" t="s">
        <v>3594</v>
      </c>
      <c r="S593" s="279" t="s">
        <v>683</v>
      </c>
      <c r="T593" s="279">
        <v>0</v>
      </c>
      <c r="U593" s="267">
        <v>1</v>
      </c>
      <c r="V593" s="267"/>
      <c r="W593" s="224">
        <v>1</v>
      </c>
      <c r="X593" s="267"/>
      <c r="Y593" s="267"/>
      <c r="Z593" s="267"/>
      <c r="AA593" s="267"/>
      <c r="AB593" s="224">
        <v>0</v>
      </c>
      <c r="AC593" s="267"/>
      <c r="AD593" s="267"/>
      <c r="AE593" s="267"/>
      <c r="AF593" s="267"/>
      <c r="AG593" s="224">
        <v>0</v>
      </c>
      <c r="AH593" s="267"/>
      <c r="AI593" s="267"/>
      <c r="AJ593" s="267"/>
      <c r="AK593" s="267"/>
      <c r="AL593" s="224">
        <v>0</v>
      </c>
      <c r="AM593" s="104">
        <v>1</v>
      </c>
      <c r="AN593" s="103" t="s">
        <v>685</v>
      </c>
      <c r="AO593" s="103" t="s">
        <v>620</v>
      </c>
      <c r="AP593" s="103" t="s">
        <v>1220</v>
      </c>
      <c r="AQ593" s="103" t="s">
        <v>1197</v>
      </c>
      <c r="AR593" s="103" t="s">
        <v>937</v>
      </c>
      <c r="AS593" s="271"/>
      <c r="AT593" s="271"/>
      <c r="AU593" s="271"/>
      <c r="AV593" s="271"/>
      <c r="AW593" s="271">
        <v>3500000</v>
      </c>
      <c r="AX593" s="271"/>
      <c r="AY593" s="271"/>
      <c r="AZ593" s="271"/>
      <c r="BA593" s="271"/>
      <c r="BB593" s="271"/>
      <c r="BC593" s="271"/>
      <c r="BD593" s="271"/>
      <c r="BE593" s="271"/>
      <c r="BF593" s="271"/>
      <c r="BG593" s="271"/>
      <c r="BH593" s="235">
        <f t="shared" si="222"/>
        <v>3500000</v>
      </c>
      <c r="BI593" s="271"/>
      <c r="BJ593" s="271"/>
      <c r="BK593" s="271"/>
      <c r="BL593" s="271"/>
      <c r="BM593" s="271"/>
      <c r="BN593" s="271"/>
      <c r="BO593" s="271"/>
      <c r="BP593" s="271"/>
      <c r="BQ593" s="271"/>
      <c r="BR593" s="271"/>
      <c r="BS593" s="271"/>
      <c r="BT593" s="271"/>
      <c r="BU593" s="271"/>
      <c r="BV593" s="271"/>
      <c r="BW593" s="271"/>
      <c r="BX593" s="235">
        <f t="shared" si="223"/>
        <v>0</v>
      </c>
      <c r="BY593" s="271"/>
      <c r="BZ593" s="271"/>
      <c r="CA593" s="271"/>
      <c r="CB593" s="271"/>
      <c r="CC593" s="271"/>
      <c r="CD593" s="271"/>
      <c r="CE593" s="271"/>
      <c r="CF593" s="271"/>
      <c r="CG593" s="271"/>
      <c r="CH593" s="271"/>
      <c r="CI593" s="271"/>
      <c r="CJ593" s="271"/>
      <c r="CK593" s="271"/>
      <c r="CL593" s="271"/>
      <c r="CM593" s="271"/>
      <c r="CN593" s="235">
        <f t="shared" si="224"/>
        <v>0</v>
      </c>
      <c r="CO593" s="271"/>
      <c r="CP593" s="271"/>
      <c r="CQ593" s="271"/>
      <c r="CR593" s="271"/>
      <c r="CS593" s="271"/>
      <c r="CT593" s="271"/>
      <c r="CU593" s="271"/>
      <c r="CV593" s="271"/>
      <c r="CW593" s="271"/>
      <c r="CX593" s="271"/>
      <c r="CY593" s="271"/>
      <c r="CZ593" s="271"/>
      <c r="DA593" s="271"/>
      <c r="DB593" s="271"/>
      <c r="DC593" s="271"/>
      <c r="DD593" s="235">
        <f t="shared" si="225"/>
        <v>0</v>
      </c>
      <c r="DE593" s="244">
        <f t="shared" ref="DE593:DE595" si="227">SUM(DD593+CN593+BX593+BH593)</f>
        <v>3500000</v>
      </c>
    </row>
    <row r="594" spans="1:110" s="98" customFormat="1" ht="104.1" customHeight="1">
      <c r="A594" s="103" t="s">
        <v>1242</v>
      </c>
      <c r="B594" s="279" t="s">
        <v>1469</v>
      </c>
      <c r="C594" s="279" t="s">
        <v>1689</v>
      </c>
      <c r="D594" s="279">
        <v>44</v>
      </c>
      <c r="E594" s="279" t="s">
        <v>1490</v>
      </c>
      <c r="F594" s="280" t="s">
        <v>64</v>
      </c>
      <c r="G594" s="279" t="s">
        <v>2870</v>
      </c>
      <c r="H594" s="279">
        <v>53</v>
      </c>
      <c r="I594" s="279" t="s">
        <v>65</v>
      </c>
      <c r="J594" s="279" t="s">
        <v>683</v>
      </c>
      <c r="K594" s="104">
        <v>15000</v>
      </c>
      <c r="L594" s="279" t="s">
        <v>1491</v>
      </c>
      <c r="M594" s="279" t="s">
        <v>1516</v>
      </c>
      <c r="N594" s="279" t="s">
        <v>1517</v>
      </c>
      <c r="O594" s="279" t="s">
        <v>1518</v>
      </c>
      <c r="P594" s="266">
        <v>537</v>
      </c>
      <c r="Q594" s="279" t="s">
        <v>3595</v>
      </c>
      <c r="R594" s="279" t="s">
        <v>1519</v>
      </c>
      <c r="S594" s="279" t="s">
        <v>683</v>
      </c>
      <c r="T594" s="279">
        <v>0</v>
      </c>
      <c r="U594" s="267"/>
      <c r="V594" s="267">
        <v>1000</v>
      </c>
      <c r="W594" s="224">
        <v>1000</v>
      </c>
      <c r="X594" s="267"/>
      <c r="Y594" s="267"/>
      <c r="Z594" s="267"/>
      <c r="AA594" s="267">
        <v>1000</v>
      </c>
      <c r="AB594" s="224">
        <v>1000</v>
      </c>
      <c r="AC594" s="267"/>
      <c r="AD594" s="267"/>
      <c r="AE594" s="267"/>
      <c r="AF594" s="267">
        <v>1000</v>
      </c>
      <c r="AG594" s="224">
        <v>1000</v>
      </c>
      <c r="AH594" s="267"/>
      <c r="AI594" s="267"/>
      <c r="AJ594" s="267"/>
      <c r="AK594" s="267">
        <v>1000</v>
      </c>
      <c r="AL594" s="224">
        <v>1000</v>
      </c>
      <c r="AM594" s="104">
        <v>4000</v>
      </c>
      <c r="AN594" s="103" t="s">
        <v>685</v>
      </c>
      <c r="AO594" s="103" t="s">
        <v>620</v>
      </c>
      <c r="AP594" s="103" t="s">
        <v>1220</v>
      </c>
      <c r="AQ594" s="103" t="s">
        <v>1197</v>
      </c>
      <c r="AR594" s="103" t="s">
        <v>937</v>
      </c>
      <c r="AS594" s="271"/>
      <c r="AT594" s="271"/>
      <c r="AU594" s="271"/>
      <c r="AV594" s="271"/>
      <c r="AW594" s="271">
        <v>4000000</v>
      </c>
      <c r="AX594" s="271"/>
      <c r="AY594" s="271"/>
      <c r="AZ594" s="271"/>
      <c r="BA594" s="271"/>
      <c r="BB594" s="271"/>
      <c r="BC594" s="271"/>
      <c r="BD594" s="271"/>
      <c r="BE594" s="271"/>
      <c r="BF594" s="271"/>
      <c r="BG594" s="271"/>
      <c r="BH594" s="235">
        <f t="shared" si="222"/>
        <v>4000000</v>
      </c>
      <c r="BI594" s="271"/>
      <c r="BJ594" s="271"/>
      <c r="BK594" s="271"/>
      <c r="BL594" s="271"/>
      <c r="BM594" s="271">
        <v>416854715</v>
      </c>
      <c r="BN594" s="271"/>
      <c r="BO594" s="271"/>
      <c r="BP594" s="271"/>
      <c r="BQ594" s="271"/>
      <c r="BR594" s="271"/>
      <c r="BS594" s="271"/>
      <c r="BT594" s="271"/>
      <c r="BU594" s="271"/>
      <c r="BV594" s="271"/>
      <c r="BW594" s="271"/>
      <c r="BX594" s="235">
        <f t="shared" si="223"/>
        <v>416854715</v>
      </c>
      <c r="BY594" s="271"/>
      <c r="BZ594" s="271"/>
      <c r="CA594" s="271"/>
      <c r="CB594" s="271"/>
      <c r="CC594" s="271">
        <v>20000000</v>
      </c>
      <c r="CD594" s="271"/>
      <c r="CE594" s="271"/>
      <c r="CF594" s="271"/>
      <c r="CG594" s="271"/>
      <c r="CH594" s="271"/>
      <c r="CI594" s="271"/>
      <c r="CJ594" s="271"/>
      <c r="CK594" s="271"/>
      <c r="CL594" s="271"/>
      <c r="CM594" s="271"/>
      <c r="CN594" s="235">
        <f t="shared" si="224"/>
        <v>20000000</v>
      </c>
      <c r="CO594" s="271"/>
      <c r="CP594" s="271"/>
      <c r="CQ594" s="271"/>
      <c r="CR594" s="271"/>
      <c r="CS594" s="271">
        <v>700977271</v>
      </c>
      <c r="CT594" s="271"/>
      <c r="CU594" s="271"/>
      <c r="CV594" s="271"/>
      <c r="CW594" s="271"/>
      <c r="CX594" s="271"/>
      <c r="CY594" s="271"/>
      <c r="CZ594" s="271"/>
      <c r="DA594" s="271"/>
      <c r="DB594" s="271"/>
      <c r="DC594" s="271"/>
      <c r="DD594" s="235">
        <f t="shared" si="225"/>
        <v>700977271</v>
      </c>
      <c r="DE594" s="244">
        <f t="shared" si="227"/>
        <v>1141831986</v>
      </c>
    </row>
    <row r="595" spans="1:110" s="98" customFormat="1" ht="104.1" customHeight="1">
      <c r="A595" s="120" t="s">
        <v>1242</v>
      </c>
      <c r="B595" s="281" t="s">
        <v>1469</v>
      </c>
      <c r="C595" s="281" t="s">
        <v>1689</v>
      </c>
      <c r="D595" s="281">
        <v>44</v>
      </c>
      <c r="E595" s="281" t="s">
        <v>1490</v>
      </c>
      <c r="F595" s="282" t="s">
        <v>64</v>
      </c>
      <c r="G595" s="281" t="s">
        <v>2870</v>
      </c>
      <c r="H595" s="281">
        <v>53</v>
      </c>
      <c r="I595" s="281" t="s">
        <v>65</v>
      </c>
      <c r="J595" s="281" t="s">
        <v>683</v>
      </c>
      <c r="K595" s="119">
        <v>15000</v>
      </c>
      <c r="L595" s="281" t="s">
        <v>1491</v>
      </c>
      <c r="M595" s="281" t="s">
        <v>1516</v>
      </c>
      <c r="N595" s="281" t="s">
        <v>1517</v>
      </c>
      <c r="O595" s="281" t="s">
        <v>1518</v>
      </c>
      <c r="P595" s="266">
        <v>538</v>
      </c>
      <c r="Q595" s="281" t="s">
        <v>2895</v>
      </c>
      <c r="R595" s="281" t="s">
        <v>1520</v>
      </c>
      <c r="S595" s="281" t="s">
        <v>683</v>
      </c>
      <c r="T595" s="281">
        <v>0</v>
      </c>
      <c r="U595" s="275"/>
      <c r="V595" s="275"/>
      <c r="W595" s="225">
        <v>0</v>
      </c>
      <c r="X595" s="275"/>
      <c r="Y595" s="275"/>
      <c r="Z595" s="275"/>
      <c r="AA595" s="275"/>
      <c r="AB595" s="225">
        <v>0</v>
      </c>
      <c r="AC595" s="275"/>
      <c r="AD595" s="275"/>
      <c r="AE595" s="275"/>
      <c r="AF595" s="275">
        <v>1</v>
      </c>
      <c r="AG595" s="225">
        <v>1</v>
      </c>
      <c r="AH595" s="275"/>
      <c r="AI595" s="275"/>
      <c r="AJ595" s="275"/>
      <c r="AK595" s="275"/>
      <c r="AL595" s="225">
        <v>0</v>
      </c>
      <c r="AM595" s="119">
        <v>1</v>
      </c>
      <c r="AN595" s="120" t="s">
        <v>685</v>
      </c>
      <c r="AO595" s="120" t="s">
        <v>620</v>
      </c>
      <c r="AP595" s="120" t="s">
        <v>1220</v>
      </c>
      <c r="AQ595" s="120" t="s">
        <v>1199</v>
      </c>
      <c r="AR595" s="120" t="s">
        <v>945</v>
      </c>
      <c r="AS595" s="276"/>
      <c r="AT595" s="276"/>
      <c r="AU595" s="276"/>
      <c r="AV595" s="276"/>
      <c r="AW595" s="276"/>
      <c r="AX595" s="276"/>
      <c r="AY595" s="276"/>
      <c r="AZ595" s="276"/>
      <c r="BA595" s="276"/>
      <c r="BB595" s="276"/>
      <c r="BC595" s="276"/>
      <c r="BD595" s="276"/>
      <c r="BE595" s="276"/>
      <c r="BF595" s="276"/>
      <c r="BG595" s="276"/>
      <c r="BH595" s="236">
        <f t="shared" si="222"/>
        <v>0</v>
      </c>
      <c r="BI595" s="276"/>
      <c r="BJ595" s="276"/>
      <c r="BK595" s="276"/>
      <c r="BL595" s="276"/>
      <c r="BM595" s="276"/>
      <c r="BN595" s="276"/>
      <c r="BO595" s="276"/>
      <c r="BP595" s="276"/>
      <c r="BQ595" s="276"/>
      <c r="BR595" s="276"/>
      <c r="BS595" s="276"/>
      <c r="BT595" s="276"/>
      <c r="BU595" s="276"/>
      <c r="BV595" s="276"/>
      <c r="BW595" s="276"/>
      <c r="BX595" s="236">
        <f t="shared" si="223"/>
        <v>0</v>
      </c>
      <c r="BY595" s="276"/>
      <c r="BZ595" s="276"/>
      <c r="CA595" s="276"/>
      <c r="CB595" s="276"/>
      <c r="CC595" s="276">
        <v>20427452</v>
      </c>
      <c r="CD595" s="276"/>
      <c r="CE595" s="276"/>
      <c r="CF595" s="276"/>
      <c r="CG595" s="276"/>
      <c r="CH595" s="276"/>
      <c r="CI595" s="276"/>
      <c r="CJ595" s="276"/>
      <c r="CK595" s="276"/>
      <c r="CL595" s="276"/>
      <c r="CM595" s="276"/>
      <c r="CN595" s="236">
        <f t="shared" si="224"/>
        <v>20427452</v>
      </c>
      <c r="CO595" s="276"/>
      <c r="CP595" s="276"/>
      <c r="CQ595" s="276"/>
      <c r="CR595" s="276"/>
      <c r="CS595" s="276"/>
      <c r="CT595" s="276"/>
      <c r="CU595" s="276"/>
      <c r="CV595" s="276"/>
      <c r="CW595" s="276"/>
      <c r="CX595" s="276"/>
      <c r="CY595" s="276"/>
      <c r="CZ595" s="276"/>
      <c r="DA595" s="276"/>
      <c r="DB595" s="276"/>
      <c r="DC595" s="276"/>
      <c r="DD595" s="236">
        <f t="shared" si="225"/>
        <v>0</v>
      </c>
      <c r="DE595" s="245">
        <f t="shared" si="227"/>
        <v>20427452</v>
      </c>
    </row>
    <row r="596" spans="1:110" ht="65.099999999999994" customHeight="1">
      <c r="A596" s="134" t="s">
        <v>1242</v>
      </c>
      <c r="B596" s="134" t="s">
        <v>1469</v>
      </c>
      <c r="C596" s="134" t="s">
        <v>1689</v>
      </c>
      <c r="D596" s="134">
        <v>44</v>
      </c>
      <c r="E596" s="134" t="s">
        <v>1490</v>
      </c>
      <c r="F596" s="135"/>
      <c r="G596" s="136"/>
      <c r="H596" s="137"/>
      <c r="I596" s="137"/>
      <c r="J596" s="137"/>
      <c r="K596" s="138"/>
      <c r="L596" s="137"/>
      <c r="M596" s="137"/>
      <c r="N596" s="137"/>
      <c r="O596" s="137"/>
      <c r="P596" s="137"/>
      <c r="Q596" s="136"/>
      <c r="R596" s="139"/>
      <c r="S596" s="137"/>
      <c r="T596" s="137"/>
      <c r="U596" s="140"/>
      <c r="V596" s="140"/>
      <c r="W596" s="138"/>
      <c r="X596" s="140"/>
      <c r="Y596" s="140"/>
      <c r="Z596" s="140"/>
      <c r="AA596" s="140"/>
      <c r="AB596" s="138"/>
      <c r="AC596" s="140"/>
      <c r="AD596" s="140"/>
      <c r="AE596" s="140"/>
      <c r="AF596" s="140"/>
      <c r="AG596" s="138"/>
      <c r="AH596" s="140"/>
      <c r="AI596" s="140"/>
      <c r="AJ596" s="140"/>
      <c r="AK596" s="140"/>
      <c r="AL596" s="138"/>
      <c r="AM596" s="141"/>
      <c r="AN596" s="142"/>
      <c r="AO596" s="142"/>
      <c r="AP596" s="143"/>
      <c r="AQ596" s="143"/>
      <c r="AR596" s="144"/>
      <c r="AS596" s="132">
        <f t="shared" ref="AS596:BG596" si="228">SUM(AS564:AS595)</f>
        <v>0</v>
      </c>
      <c r="AT596" s="132">
        <f t="shared" si="228"/>
        <v>0</v>
      </c>
      <c r="AU596" s="132">
        <f t="shared" si="228"/>
        <v>0</v>
      </c>
      <c r="AV596" s="132">
        <f t="shared" si="228"/>
        <v>788887850</v>
      </c>
      <c r="AW596" s="132">
        <f t="shared" si="228"/>
        <v>100000000</v>
      </c>
      <c r="AX596" s="132">
        <f t="shared" si="228"/>
        <v>0</v>
      </c>
      <c r="AY596" s="132">
        <f t="shared" si="228"/>
        <v>0</v>
      </c>
      <c r="AZ596" s="132">
        <f t="shared" si="228"/>
        <v>0</v>
      </c>
      <c r="BA596" s="132">
        <f t="shared" si="228"/>
        <v>0</v>
      </c>
      <c r="BB596" s="132">
        <f t="shared" si="228"/>
        <v>0</v>
      </c>
      <c r="BC596" s="132">
        <f t="shared" si="228"/>
        <v>0</v>
      </c>
      <c r="BD596" s="132">
        <f t="shared" si="228"/>
        <v>0</v>
      </c>
      <c r="BE596" s="132">
        <f t="shared" si="228"/>
        <v>0</v>
      </c>
      <c r="BF596" s="132">
        <f t="shared" si="228"/>
        <v>0</v>
      </c>
      <c r="BG596" s="132">
        <f t="shared" si="228"/>
        <v>11000000000</v>
      </c>
      <c r="BH596" s="132">
        <f>IF(OR(AND(BH564=0,W564&lt;&gt;0),AND(BH565=0,W565&lt;&gt;0),AND(BH566=0,W566&lt;&gt;0),AND(BH567=0,W567&lt;&gt;0),AND(BH568=0,W568&lt;&gt;0),AND(BH569=0,W569&lt;&gt;0),AND(BH570=0,W570&lt;&gt;0),AND(BH571=0,W571&lt;&gt;0),AND(BH572=0,W572&lt;&gt;0),AND(BH573=0,W573&lt;&gt;0),AND(BH574=0,W574&lt;&gt;0),AND(BH575=0,W575&lt;&gt;0),AND(BH576=0,W576&lt;&gt;0),AND(BH577=0,W577&lt;&gt;0),AND(BH578=0,W578&lt;&gt;0),AND(BH579=0,W579&lt;&gt;0),AND(BH580=0,W580&lt;&gt;0),AND(BH581=0,W581&lt;&gt;0),AND(BH582=0,W582&lt;&gt;0),AND(BH583=0,W583&lt;&gt;0),AND(BH584=0,W584&lt;&gt;0),AND(BH585=0,W585&lt;&gt;0),AND(BH586=0,W586&lt;&gt;0),AND(BH587=0,W587&lt;&gt;0),AND(BH588=0,W588&lt;&gt;0),AND(BH589=0,W589&lt;&gt;0),AND(BH590=0,W590&lt;&gt;0),AND(BH591=0,W591&lt;&gt;0),AND(BH592=0,W592&lt;&gt;0),AND(BH593=0,W593&lt;&gt;0),AND(BH594=0,W594&lt;&gt;0),AND(BH595=0,W595&lt;&gt;0)),"NO DEBEN QUEDAR CELDAS EN ROJO",SUM(BH564:BH595))</f>
        <v>11888887850</v>
      </c>
      <c r="BI596" s="132">
        <f t="shared" ref="BI596:BW596" si="229">SUM(BI564:BI595)</f>
        <v>0</v>
      </c>
      <c r="BJ596" s="132">
        <f t="shared" si="229"/>
        <v>0</v>
      </c>
      <c r="BK596" s="132">
        <f t="shared" si="229"/>
        <v>0</v>
      </c>
      <c r="BL596" s="132">
        <f t="shared" si="229"/>
        <v>0</v>
      </c>
      <c r="BM596" s="132">
        <f t="shared" si="229"/>
        <v>1319454715</v>
      </c>
      <c r="BN596" s="132">
        <f t="shared" si="229"/>
        <v>0</v>
      </c>
      <c r="BO596" s="132">
        <f t="shared" si="229"/>
        <v>0</v>
      </c>
      <c r="BP596" s="132">
        <f t="shared" si="229"/>
        <v>0</v>
      </c>
      <c r="BQ596" s="132">
        <f t="shared" si="229"/>
        <v>0</v>
      </c>
      <c r="BR596" s="132">
        <f t="shared" si="229"/>
        <v>0</v>
      </c>
      <c r="BS596" s="132">
        <f t="shared" si="229"/>
        <v>0</v>
      </c>
      <c r="BT596" s="132">
        <f t="shared" si="229"/>
        <v>0</v>
      </c>
      <c r="BU596" s="132">
        <f t="shared" si="229"/>
        <v>0</v>
      </c>
      <c r="BV596" s="132">
        <f t="shared" si="229"/>
        <v>0</v>
      </c>
      <c r="BW596" s="132">
        <f t="shared" si="229"/>
        <v>11000000000</v>
      </c>
      <c r="BX596" s="132">
        <f>IF(OR(AND(BX564=0,AB564&lt;&gt;0),AND(BX565=0,AB565&lt;&gt;0),AND(BX566=0,AB566&lt;&gt;0),AND(BX567=0,AB567&lt;&gt;0),AND(BX568=0,AB568&lt;&gt;0),AND(BX569=0,AB569&lt;&gt;0),AND(BX570=0,AB570&lt;&gt;0),AND(BX571=0,AB571&lt;&gt;0),AND(BX572=0,AB572&lt;&gt;0),AND(BX573=0,AB573&lt;&gt;0),AND(BX574=0,AB574&lt;&gt;0),AND(BX575=0,AB575&lt;&gt;0),AND(BX576=0,AB576&lt;&gt;0),AND(BX577=0,AB577&lt;&gt;0),AND(BX578=0,AB578&lt;&gt;0),AND(BX579=0,AB579&lt;&gt;0),AND(BX580=0,AB580&lt;&gt;0),AND(BX581=0,AB581&lt;&gt;0),AND(BX582=0,AB582&lt;&gt;0),AND(BX583=0,AB583&lt;&gt;0),AND(BX584=0,AB584&lt;&gt;0),AND(BX585=0,AB585&lt;&gt;0),AND(BX586=0,AB586&lt;&gt;0),AND(BX587=0,AB587&lt;&gt;0),AND(BX588=0,AB588&lt;&gt;0),AND(BX589=0,AB589&lt;&gt;0),AND(BX590=0,AB590&lt;&gt;0),AND(BX591=0,AB591&lt;&gt;0),AND(BX592=0,AB592&lt;&gt;0),AND(BX593=0,AB593&lt;&gt;0),AND(BX594=0,AB594&lt;&gt;0),AND(BX595=0,AB595&lt;&gt;0)),"NO DEBEN QUEDAR CELDAS EN ROJO",SUM(BX564:BX595))</f>
        <v>12319454715</v>
      </c>
      <c r="BY596" s="132">
        <f t="shared" ref="BY596:CM596" si="230">SUM(BY564:BY595)</f>
        <v>0</v>
      </c>
      <c r="BZ596" s="132">
        <f t="shared" si="230"/>
        <v>0</v>
      </c>
      <c r="CA596" s="132">
        <f t="shared" si="230"/>
        <v>0</v>
      </c>
      <c r="CB596" s="132">
        <f t="shared" si="230"/>
        <v>0</v>
      </c>
      <c r="CC596" s="132">
        <f t="shared" si="230"/>
        <v>1085427452</v>
      </c>
      <c r="CD596" s="132">
        <f t="shared" si="230"/>
        <v>0</v>
      </c>
      <c r="CE596" s="132">
        <f t="shared" si="230"/>
        <v>0</v>
      </c>
      <c r="CF596" s="132">
        <f t="shared" si="230"/>
        <v>0</v>
      </c>
      <c r="CG596" s="132">
        <f t="shared" si="230"/>
        <v>0</v>
      </c>
      <c r="CH596" s="132">
        <f t="shared" si="230"/>
        <v>0</v>
      </c>
      <c r="CI596" s="132">
        <f t="shared" si="230"/>
        <v>0</v>
      </c>
      <c r="CJ596" s="132">
        <f t="shared" si="230"/>
        <v>0</v>
      </c>
      <c r="CK596" s="132">
        <f t="shared" si="230"/>
        <v>0</v>
      </c>
      <c r="CL596" s="132">
        <f t="shared" si="230"/>
        <v>0</v>
      </c>
      <c r="CM596" s="132">
        <f t="shared" si="230"/>
        <v>0</v>
      </c>
      <c r="CN596" s="132">
        <f>IF(OR(AND(CN564=0,AG564&lt;&gt;0),AND(CN565=0,AG565&lt;&gt;0),AND(CN566=0,AG566&lt;&gt;0),AND(CN567=0,AG567&lt;&gt;0),AND(CN568=0,AG568&lt;&gt;0),AND(CN569=0,AG569&lt;&gt;0),AND(CN570=0,AG570&lt;&gt;0),AND(CN571=0,AG571&lt;&gt;0),AND(CN572=0,AG572&lt;&gt;0),AND(CN573=0,AG573&lt;&gt;0),AND(CN574=0,AG574&lt;&gt;0),AND(CN575=0,AG575&lt;&gt;0),AND(CN576=0,AG576&lt;&gt;0),AND(CN577=0,AG577&lt;&gt;0),AND(CN578=0,AG578&lt;&gt;0),AND(CN579=0,AG579&lt;&gt;0),AND(CN580=0,AG580&lt;&gt;0),AND(CN581=0,AG581&lt;&gt;0),AND(CN582=0,AG582&lt;&gt;0),AND(CN583=0,AG583&lt;&gt;0),AND(CN584=0,AG584&lt;&gt;0),AND(CN585=0,AG585&lt;&gt;0),AND(CN586=0,AG586&lt;&gt;0),AND(CN587=0,AG587&lt;&gt;0),AND(CN588=0,AG588&lt;&gt;0),AND(CN589=0,AG589&lt;&gt;0),AND(CN590=0,AG590&lt;&gt;0),AND(CN591=0,AG591&lt;&gt;0),AND(CN592=0,AG592&lt;&gt;0),AND(CN593=0,AG593&lt;&gt;0),AND(CN594=0,AG594&lt;&gt;0),AND(CN595=0,AG595&lt;&gt;0)),"NO DEBEN QUEDAR CELDAS EN ROJO",SUM(CN564:CN595))</f>
        <v>1085427452</v>
      </c>
      <c r="CO596" s="132">
        <f t="shared" ref="CO596:DC596" si="231">SUM(CO564:CO595)</f>
        <v>0</v>
      </c>
      <c r="CP596" s="132">
        <f t="shared" si="231"/>
        <v>0</v>
      </c>
      <c r="CQ596" s="132">
        <f t="shared" si="231"/>
        <v>0</v>
      </c>
      <c r="CR596" s="132">
        <f t="shared" si="231"/>
        <v>0</v>
      </c>
      <c r="CS596" s="132">
        <f t="shared" si="231"/>
        <v>1206977271</v>
      </c>
      <c r="CT596" s="132">
        <f t="shared" si="231"/>
        <v>0</v>
      </c>
      <c r="CU596" s="132">
        <f t="shared" si="231"/>
        <v>0</v>
      </c>
      <c r="CV596" s="132">
        <f t="shared" si="231"/>
        <v>0</v>
      </c>
      <c r="CW596" s="132">
        <f t="shared" si="231"/>
        <v>0</v>
      </c>
      <c r="CX596" s="132">
        <f t="shared" si="231"/>
        <v>0</v>
      </c>
      <c r="CY596" s="132">
        <f t="shared" si="231"/>
        <v>0</v>
      </c>
      <c r="CZ596" s="132">
        <f t="shared" si="231"/>
        <v>0</v>
      </c>
      <c r="DA596" s="132">
        <f t="shared" si="231"/>
        <v>0</v>
      </c>
      <c r="DB596" s="132">
        <f t="shared" si="231"/>
        <v>0</v>
      </c>
      <c r="DC596" s="132">
        <f t="shared" si="231"/>
        <v>0</v>
      </c>
      <c r="DD596" s="132">
        <f>IF(OR(AND(DD564=0,AL564&lt;&gt;0),AND(DD565=0,AL565&lt;&gt;0),AND(DD566=0,AL566&lt;&gt;0),AND(DD567=0,AL567&lt;&gt;0),AND(DD568=0,AL568&lt;&gt;0),AND(DD569=0,AL569&lt;&gt;0),AND(DD570=0,AL570&lt;&gt;0),AND(DD571=0,AL571&lt;&gt;0),AND(DD572=0,AL572&lt;&gt;0),AND(DD573=0,AL573&lt;&gt;0),AND(DD574=0,AL574&lt;&gt;0),AND(DD575=0,AL575&lt;&gt;0),AND(DD576=0,AL576&lt;&gt;0),AND(DD577=0,AL577&lt;&gt;0),AND(DD578=0,AL578&lt;&gt;0),AND(DD579=0,AL579&lt;&gt;0),AND(DD580=0,AL580&lt;&gt;0),AND(DD581=0,AL581&lt;&gt;0),AND(DD582=0,AL582&lt;&gt;0),AND(DD583=0,AL583&lt;&gt;0),AND(DD584=0,AL584&lt;&gt;0),AND(DD585=0,AL585&lt;&gt;0),AND(DD586=0,AL586&lt;&gt;0),AND(DD587=0,AL587&lt;&gt;0),AND(DD588=0,AL588&lt;&gt;0),AND(DD589=0,AL589&lt;&gt;0),AND(DD590=0,AL590&lt;&gt;0),AND(DD591=0,AL591&lt;&gt;0),AND(DD592=0,AL592&lt;&gt;0),AND(DD593=0,AL593&lt;&gt;0),AND(DD594=0,AL594&lt;&gt;0),AND(DD595=0,AL595&lt;&gt;0)),"NO DEBEN QUEDAR CELDAS EN ROJO",SUM(DD564:DD595))</f>
        <v>1206977271</v>
      </c>
      <c r="DE596" s="133">
        <f>SUM(DE564:DE595)</f>
        <v>26500747288</v>
      </c>
      <c r="DF596" s="101"/>
    </row>
    <row r="597" spans="1:110" s="98" customFormat="1" ht="112.05" customHeight="1">
      <c r="A597" s="103" t="s">
        <v>1242</v>
      </c>
      <c r="B597" s="103" t="s">
        <v>1469</v>
      </c>
      <c r="C597" s="103" t="s">
        <v>1689</v>
      </c>
      <c r="D597" s="103">
        <v>45</v>
      </c>
      <c r="E597" s="103" t="s">
        <v>1521</v>
      </c>
      <c r="F597" s="278" t="s">
        <v>1522</v>
      </c>
      <c r="G597" s="103" t="s">
        <v>2896</v>
      </c>
      <c r="H597" s="103">
        <v>54</v>
      </c>
      <c r="I597" s="103" t="s">
        <v>153</v>
      </c>
      <c r="J597" s="103" t="s">
        <v>683</v>
      </c>
      <c r="K597" s="102">
        <v>2500</v>
      </c>
      <c r="L597" s="103" t="s">
        <v>1523</v>
      </c>
      <c r="M597" s="103" t="s">
        <v>1524</v>
      </c>
      <c r="N597" s="103" t="s">
        <v>1525</v>
      </c>
      <c r="O597" s="103" t="s">
        <v>154</v>
      </c>
      <c r="P597" s="266">
        <v>539</v>
      </c>
      <c r="Q597" s="103" t="s">
        <v>2897</v>
      </c>
      <c r="R597" s="103" t="s">
        <v>155</v>
      </c>
      <c r="S597" s="103" t="s">
        <v>683</v>
      </c>
      <c r="T597" s="103">
        <v>600</v>
      </c>
      <c r="U597" s="267">
        <v>70</v>
      </c>
      <c r="V597" s="267">
        <v>90</v>
      </c>
      <c r="W597" s="224">
        <v>160</v>
      </c>
      <c r="X597" s="267">
        <v>100</v>
      </c>
      <c r="Y597" s="267">
        <v>110</v>
      </c>
      <c r="Z597" s="267">
        <v>100</v>
      </c>
      <c r="AA597" s="267">
        <v>100</v>
      </c>
      <c r="AB597" s="224">
        <v>410</v>
      </c>
      <c r="AC597" s="267">
        <v>100</v>
      </c>
      <c r="AD597" s="267">
        <v>100</v>
      </c>
      <c r="AE597" s="267">
        <v>100</v>
      </c>
      <c r="AF597" s="267">
        <v>100</v>
      </c>
      <c r="AG597" s="224">
        <v>400</v>
      </c>
      <c r="AH597" s="267">
        <v>100</v>
      </c>
      <c r="AI597" s="267">
        <v>100</v>
      </c>
      <c r="AJ597" s="267">
        <v>20</v>
      </c>
      <c r="AK597" s="267">
        <v>10</v>
      </c>
      <c r="AL597" s="224">
        <v>230</v>
      </c>
      <c r="AM597" s="102">
        <v>1200</v>
      </c>
      <c r="AN597" s="103" t="s">
        <v>685</v>
      </c>
      <c r="AO597" s="103" t="s">
        <v>620</v>
      </c>
      <c r="AP597" s="103" t="s">
        <v>1220</v>
      </c>
      <c r="AQ597" s="103" t="s">
        <v>1197</v>
      </c>
      <c r="AR597" s="103" t="s">
        <v>936</v>
      </c>
      <c r="AS597" s="268"/>
      <c r="AT597" s="268"/>
      <c r="AU597" s="268"/>
      <c r="AV597" s="268">
        <v>80000000</v>
      </c>
      <c r="AW597" s="268"/>
      <c r="AX597" s="268"/>
      <c r="AY597" s="268"/>
      <c r="AZ597" s="268"/>
      <c r="BA597" s="268"/>
      <c r="BB597" s="268"/>
      <c r="BC597" s="268"/>
      <c r="BD597" s="268"/>
      <c r="BE597" s="268"/>
      <c r="BF597" s="268"/>
      <c r="BG597" s="268"/>
      <c r="BH597" s="234">
        <f t="shared" ref="BH597:BH605" si="232">IF(W597=0,0,BG597+BF597+BE597+BD597+BC597+BB597+BA597+AZ597+AY597+AX597+AW597+AV597+AU597+AT597+AS597)</f>
        <v>80000000</v>
      </c>
      <c r="BI597" s="268"/>
      <c r="BJ597" s="268"/>
      <c r="BK597" s="268"/>
      <c r="BL597" s="268"/>
      <c r="BM597" s="268">
        <v>40000000</v>
      </c>
      <c r="BN597" s="268"/>
      <c r="BO597" s="268"/>
      <c r="BP597" s="268"/>
      <c r="BQ597" s="268"/>
      <c r="BR597" s="268"/>
      <c r="BS597" s="268"/>
      <c r="BT597" s="268"/>
      <c r="BU597" s="268"/>
      <c r="BV597" s="268"/>
      <c r="BW597" s="268"/>
      <c r="BX597" s="234">
        <f t="shared" ref="BX597:BX605" si="233">IF(AB597=0,0,BI597+BJ597+BK597+BL597+BM597+BN597+BO597+BP597+BQ597+BR597+BS597+BT597+BU597+BV597+BW597)</f>
        <v>40000000</v>
      </c>
      <c r="BY597" s="268"/>
      <c r="BZ597" s="268"/>
      <c r="CA597" s="268"/>
      <c r="CB597" s="268"/>
      <c r="CC597" s="268">
        <v>9000000</v>
      </c>
      <c r="CD597" s="268"/>
      <c r="CE597" s="268"/>
      <c r="CF597" s="268"/>
      <c r="CG597" s="268"/>
      <c r="CH597" s="268"/>
      <c r="CI597" s="268"/>
      <c r="CJ597" s="268"/>
      <c r="CK597" s="268"/>
      <c r="CL597" s="268"/>
      <c r="CM597" s="268"/>
      <c r="CN597" s="234">
        <f t="shared" ref="CN597:CN605" si="234">IF(AG597=0,0,(BY597+BZ597+CA597+CB597+CC597+CD597+CE597+CF597+CG597+CH597+CI597+CJ597+CK597+CL597+CM597))</f>
        <v>9000000</v>
      </c>
      <c r="CO597" s="268"/>
      <c r="CP597" s="268"/>
      <c r="CQ597" s="268"/>
      <c r="CR597" s="268"/>
      <c r="CS597" s="268">
        <v>8000000</v>
      </c>
      <c r="CT597" s="268"/>
      <c r="CU597" s="268"/>
      <c r="CV597" s="268"/>
      <c r="CW597" s="268"/>
      <c r="CX597" s="268"/>
      <c r="CY597" s="268"/>
      <c r="CZ597" s="268"/>
      <c r="DA597" s="268"/>
      <c r="DB597" s="268"/>
      <c r="DC597" s="268"/>
      <c r="DD597" s="234">
        <f t="shared" ref="DD597:DD605" si="235">IF(AL597=0,0,(CO597+CP597+CQ597+CR597+CS597+CT597+CU597+CV597+CW597+CX597+CY597+CZ597+DA597+DB597+DC597))</f>
        <v>8000000</v>
      </c>
      <c r="DE597" s="243">
        <f t="shared" ref="DE597:DE605" si="236">SUM(DD597+CN597+BX597+BH597)</f>
        <v>137000000</v>
      </c>
    </row>
    <row r="598" spans="1:110" s="98" customFormat="1" ht="112.05" customHeight="1">
      <c r="A598" s="103" t="s">
        <v>1242</v>
      </c>
      <c r="B598" s="279" t="s">
        <v>1469</v>
      </c>
      <c r="C598" s="279" t="s">
        <v>1689</v>
      </c>
      <c r="D598" s="279">
        <v>45</v>
      </c>
      <c r="E598" s="279" t="s">
        <v>1521</v>
      </c>
      <c r="F598" s="280" t="s">
        <v>1522</v>
      </c>
      <c r="G598" s="279" t="s">
        <v>2898</v>
      </c>
      <c r="H598" s="279">
        <v>54</v>
      </c>
      <c r="I598" s="279" t="s">
        <v>153</v>
      </c>
      <c r="J598" s="279" t="s">
        <v>683</v>
      </c>
      <c r="K598" s="104">
        <v>2500</v>
      </c>
      <c r="L598" s="279" t="s">
        <v>1523</v>
      </c>
      <c r="M598" s="279" t="s">
        <v>1524</v>
      </c>
      <c r="N598" s="279" t="s">
        <v>1525</v>
      </c>
      <c r="O598" s="279" t="s">
        <v>154</v>
      </c>
      <c r="P598" s="266">
        <v>540</v>
      </c>
      <c r="Q598" s="279" t="s">
        <v>3492</v>
      </c>
      <c r="R598" s="279" t="s">
        <v>159</v>
      </c>
      <c r="S598" s="279" t="s">
        <v>683</v>
      </c>
      <c r="T598" s="279">
        <v>20</v>
      </c>
      <c r="U598" s="267"/>
      <c r="V598" s="267">
        <v>21</v>
      </c>
      <c r="W598" s="224">
        <v>21</v>
      </c>
      <c r="X598" s="267"/>
      <c r="Y598" s="267"/>
      <c r="Z598" s="267"/>
      <c r="AA598" s="267">
        <v>2</v>
      </c>
      <c r="AB598" s="224">
        <v>2</v>
      </c>
      <c r="AC598" s="267"/>
      <c r="AD598" s="267"/>
      <c r="AE598" s="267"/>
      <c r="AF598" s="267">
        <v>10</v>
      </c>
      <c r="AG598" s="224">
        <v>10</v>
      </c>
      <c r="AH598" s="267"/>
      <c r="AI598" s="267">
        <v>7</v>
      </c>
      <c r="AJ598" s="267">
        <v>2</v>
      </c>
      <c r="AK598" s="267">
        <v>1</v>
      </c>
      <c r="AL598" s="224">
        <v>10</v>
      </c>
      <c r="AM598" s="104">
        <v>43</v>
      </c>
      <c r="AN598" s="103" t="s">
        <v>685</v>
      </c>
      <c r="AO598" s="103" t="s">
        <v>620</v>
      </c>
      <c r="AP598" s="103" t="s">
        <v>1220</v>
      </c>
      <c r="AQ598" s="103" t="s">
        <v>1197</v>
      </c>
      <c r="AR598" s="103" t="s">
        <v>936</v>
      </c>
      <c r="AS598" s="271"/>
      <c r="AT598" s="271"/>
      <c r="AU598" s="271"/>
      <c r="AV598" s="271">
        <v>400000000</v>
      </c>
      <c r="AW598" s="271">
        <v>18037600</v>
      </c>
      <c r="AX598" s="271"/>
      <c r="AY598" s="271"/>
      <c r="AZ598" s="271"/>
      <c r="BA598" s="271"/>
      <c r="BB598" s="271"/>
      <c r="BC598" s="271"/>
      <c r="BD598" s="271"/>
      <c r="BE598" s="271"/>
      <c r="BF598" s="271"/>
      <c r="BG598" s="271"/>
      <c r="BH598" s="235">
        <f t="shared" si="232"/>
        <v>418037600</v>
      </c>
      <c r="BI598" s="271"/>
      <c r="BJ598" s="271"/>
      <c r="BK598" s="271"/>
      <c r="BL598" s="271"/>
      <c r="BM598" s="271">
        <v>60000000</v>
      </c>
      <c r="BN598" s="271"/>
      <c r="BO598" s="271"/>
      <c r="BP598" s="271"/>
      <c r="BQ598" s="271"/>
      <c r="BR598" s="271"/>
      <c r="BS598" s="271"/>
      <c r="BT598" s="271"/>
      <c r="BU598" s="271"/>
      <c r="BV598" s="271"/>
      <c r="BW598" s="271"/>
      <c r="BX598" s="235">
        <f t="shared" si="233"/>
        <v>60000000</v>
      </c>
      <c r="BY598" s="271"/>
      <c r="BZ598" s="271"/>
      <c r="CA598" s="271"/>
      <c r="CB598" s="271"/>
      <c r="CC598" s="271">
        <v>300000000</v>
      </c>
      <c r="CD598" s="271"/>
      <c r="CE598" s="271"/>
      <c r="CF598" s="271"/>
      <c r="CG598" s="271"/>
      <c r="CH598" s="271"/>
      <c r="CI598" s="271"/>
      <c r="CJ598" s="271"/>
      <c r="CK598" s="271"/>
      <c r="CL598" s="271"/>
      <c r="CM598" s="271"/>
      <c r="CN598" s="235">
        <f t="shared" si="234"/>
        <v>300000000</v>
      </c>
      <c r="CO598" s="271"/>
      <c r="CP598" s="271"/>
      <c r="CQ598" s="271"/>
      <c r="CR598" s="271"/>
      <c r="CS598" s="271">
        <v>300000000</v>
      </c>
      <c r="CT598" s="271"/>
      <c r="CU598" s="271"/>
      <c r="CV598" s="271"/>
      <c r="CW598" s="271"/>
      <c r="CX598" s="271"/>
      <c r="CY598" s="271"/>
      <c r="CZ598" s="271"/>
      <c r="DA598" s="271"/>
      <c r="DB598" s="271"/>
      <c r="DC598" s="271"/>
      <c r="DD598" s="235">
        <f t="shared" si="235"/>
        <v>300000000</v>
      </c>
      <c r="DE598" s="244">
        <f t="shared" si="236"/>
        <v>1078037600</v>
      </c>
    </row>
    <row r="599" spans="1:110" s="98" customFormat="1" ht="112.05" customHeight="1">
      <c r="A599" s="103" t="s">
        <v>1242</v>
      </c>
      <c r="B599" s="279" t="s">
        <v>1469</v>
      </c>
      <c r="C599" s="279" t="s">
        <v>1689</v>
      </c>
      <c r="D599" s="279">
        <v>45</v>
      </c>
      <c r="E599" s="279" t="s">
        <v>1521</v>
      </c>
      <c r="F599" s="280" t="s">
        <v>1522</v>
      </c>
      <c r="G599" s="279" t="s">
        <v>2898</v>
      </c>
      <c r="H599" s="279">
        <v>54</v>
      </c>
      <c r="I599" s="279" t="s">
        <v>153</v>
      </c>
      <c r="J599" s="279" t="s">
        <v>683</v>
      </c>
      <c r="K599" s="104">
        <v>2500</v>
      </c>
      <c r="L599" s="279" t="s">
        <v>1523</v>
      </c>
      <c r="M599" s="279" t="s">
        <v>1524</v>
      </c>
      <c r="N599" s="279" t="s">
        <v>1525</v>
      </c>
      <c r="O599" s="279" t="s">
        <v>154</v>
      </c>
      <c r="P599" s="266">
        <v>541</v>
      </c>
      <c r="Q599" s="279" t="s">
        <v>2899</v>
      </c>
      <c r="R599" s="279" t="s">
        <v>1526</v>
      </c>
      <c r="S599" s="279" t="s">
        <v>683</v>
      </c>
      <c r="T599" s="279">
        <v>0</v>
      </c>
      <c r="U599" s="267"/>
      <c r="V599" s="267"/>
      <c r="W599" s="224">
        <v>0</v>
      </c>
      <c r="X599" s="267"/>
      <c r="Y599" s="267"/>
      <c r="Z599" s="267">
        <v>1</v>
      </c>
      <c r="AA599" s="267"/>
      <c r="AB599" s="224">
        <v>1</v>
      </c>
      <c r="AC599" s="267"/>
      <c r="AD599" s="267">
        <v>1</v>
      </c>
      <c r="AE599" s="267"/>
      <c r="AF599" s="267"/>
      <c r="AG599" s="224">
        <v>1</v>
      </c>
      <c r="AH599" s="267"/>
      <c r="AI599" s="267">
        <v>1</v>
      </c>
      <c r="AJ599" s="267"/>
      <c r="AK599" s="267">
        <v>1</v>
      </c>
      <c r="AL599" s="224">
        <v>2</v>
      </c>
      <c r="AM599" s="104">
        <v>4</v>
      </c>
      <c r="AN599" s="103" t="s">
        <v>685</v>
      </c>
      <c r="AO599" s="103" t="s">
        <v>620</v>
      </c>
      <c r="AP599" s="103" t="s">
        <v>1220</v>
      </c>
      <c r="AQ599" s="103" t="s">
        <v>1197</v>
      </c>
      <c r="AR599" s="103" t="s">
        <v>936</v>
      </c>
      <c r="AS599" s="271"/>
      <c r="AT599" s="271"/>
      <c r="AU599" s="271"/>
      <c r="AV599" s="271"/>
      <c r="AW599" s="271"/>
      <c r="AX599" s="271"/>
      <c r="AY599" s="271"/>
      <c r="AZ599" s="271"/>
      <c r="BA599" s="271"/>
      <c r="BB599" s="271"/>
      <c r="BC599" s="271"/>
      <c r="BD599" s="271"/>
      <c r="BE599" s="271"/>
      <c r="BF599" s="271"/>
      <c r="BG599" s="271"/>
      <c r="BH599" s="235">
        <f t="shared" si="232"/>
        <v>0</v>
      </c>
      <c r="BI599" s="271"/>
      <c r="BJ599" s="271"/>
      <c r="BK599" s="271"/>
      <c r="BL599" s="271"/>
      <c r="BM599" s="271">
        <v>50000000</v>
      </c>
      <c r="BN599" s="271"/>
      <c r="BO599" s="271"/>
      <c r="BP599" s="271"/>
      <c r="BQ599" s="271"/>
      <c r="BR599" s="271"/>
      <c r="BS599" s="271"/>
      <c r="BT599" s="271"/>
      <c r="BU599" s="271"/>
      <c r="BV599" s="271"/>
      <c r="BW599" s="271"/>
      <c r="BX599" s="235">
        <f t="shared" si="233"/>
        <v>50000000</v>
      </c>
      <c r="BY599" s="271"/>
      <c r="BZ599" s="271"/>
      <c r="CA599" s="271"/>
      <c r="CB599" s="271"/>
      <c r="CC599" s="271">
        <v>35461413</v>
      </c>
      <c r="CD599" s="271"/>
      <c r="CE599" s="271"/>
      <c r="CF599" s="271"/>
      <c r="CG599" s="271"/>
      <c r="CH599" s="271"/>
      <c r="CI599" s="271"/>
      <c r="CJ599" s="271"/>
      <c r="CK599" s="271"/>
      <c r="CL599" s="271"/>
      <c r="CM599" s="271"/>
      <c r="CN599" s="235">
        <f t="shared" si="234"/>
        <v>35461413</v>
      </c>
      <c r="CO599" s="271"/>
      <c r="CP599" s="271"/>
      <c r="CQ599" s="271"/>
      <c r="CR599" s="271"/>
      <c r="CS599" s="271">
        <v>51384484</v>
      </c>
      <c r="CT599" s="271"/>
      <c r="CU599" s="271"/>
      <c r="CV599" s="271"/>
      <c r="CW599" s="271"/>
      <c r="CX599" s="271"/>
      <c r="CY599" s="271"/>
      <c r="CZ599" s="271"/>
      <c r="DA599" s="271"/>
      <c r="DB599" s="271"/>
      <c r="DC599" s="271"/>
      <c r="DD599" s="235">
        <f t="shared" si="235"/>
        <v>51384484</v>
      </c>
      <c r="DE599" s="244">
        <f t="shared" si="236"/>
        <v>136845897</v>
      </c>
    </row>
    <row r="600" spans="1:110" s="98" customFormat="1" ht="112.05" customHeight="1">
      <c r="A600" s="103" t="s">
        <v>1242</v>
      </c>
      <c r="B600" s="279" t="s">
        <v>1469</v>
      </c>
      <c r="C600" s="279" t="s">
        <v>1689</v>
      </c>
      <c r="D600" s="279">
        <v>45</v>
      </c>
      <c r="E600" s="279" t="s">
        <v>1521</v>
      </c>
      <c r="F600" s="280" t="s">
        <v>1522</v>
      </c>
      <c r="G600" s="279" t="s">
        <v>2898</v>
      </c>
      <c r="H600" s="279">
        <v>54</v>
      </c>
      <c r="I600" s="279" t="s">
        <v>153</v>
      </c>
      <c r="J600" s="279" t="s">
        <v>683</v>
      </c>
      <c r="K600" s="104">
        <v>2500</v>
      </c>
      <c r="L600" s="279" t="s">
        <v>1523</v>
      </c>
      <c r="M600" s="279" t="s">
        <v>1527</v>
      </c>
      <c r="N600" s="279" t="s">
        <v>1528</v>
      </c>
      <c r="O600" s="279" t="s">
        <v>162</v>
      </c>
      <c r="P600" s="266">
        <v>542</v>
      </c>
      <c r="Q600" s="279" t="s">
        <v>2900</v>
      </c>
      <c r="R600" s="279" t="s">
        <v>163</v>
      </c>
      <c r="S600" s="279" t="s">
        <v>683</v>
      </c>
      <c r="T600" s="279">
        <v>123</v>
      </c>
      <c r="U600" s="267">
        <v>93</v>
      </c>
      <c r="V600" s="267">
        <v>30</v>
      </c>
      <c r="W600" s="224">
        <v>123</v>
      </c>
      <c r="X600" s="267">
        <v>30</v>
      </c>
      <c r="Y600" s="267">
        <v>33</v>
      </c>
      <c r="Z600" s="267">
        <v>30</v>
      </c>
      <c r="AA600" s="267">
        <v>30</v>
      </c>
      <c r="AB600" s="224">
        <v>123</v>
      </c>
      <c r="AC600" s="267">
        <v>30</v>
      </c>
      <c r="AD600" s="267">
        <v>33</v>
      </c>
      <c r="AE600" s="267">
        <v>30</v>
      </c>
      <c r="AF600" s="267">
        <v>30</v>
      </c>
      <c r="AG600" s="224">
        <v>123</v>
      </c>
      <c r="AH600" s="267">
        <v>43</v>
      </c>
      <c r="AI600" s="267">
        <v>40</v>
      </c>
      <c r="AJ600" s="267">
        <v>20</v>
      </c>
      <c r="AK600" s="267">
        <v>20</v>
      </c>
      <c r="AL600" s="224">
        <v>123</v>
      </c>
      <c r="AM600" s="104">
        <v>123</v>
      </c>
      <c r="AN600" s="103" t="s">
        <v>686</v>
      </c>
      <c r="AO600" s="103" t="s">
        <v>620</v>
      </c>
      <c r="AP600" s="103" t="s">
        <v>1220</v>
      </c>
      <c r="AQ600" s="103" t="s">
        <v>1197</v>
      </c>
      <c r="AR600" s="103" t="s">
        <v>936</v>
      </c>
      <c r="AS600" s="271"/>
      <c r="AT600" s="271"/>
      <c r="AU600" s="271"/>
      <c r="AV600" s="271"/>
      <c r="AW600" s="271">
        <v>10000000</v>
      </c>
      <c r="AX600" s="271"/>
      <c r="AY600" s="271"/>
      <c r="AZ600" s="271"/>
      <c r="BA600" s="271"/>
      <c r="BB600" s="271"/>
      <c r="BC600" s="271"/>
      <c r="BD600" s="271"/>
      <c r="BE600" s="271"/>
      <c r="BF600" s="271"/>
      <c r="BG600" s="271"/>
      <c r="BH600" s="235">
        <f t="shared" si="232"/>
        <v>10000000</v>
      </c>
      <c r="BI600" s="271"/>
      <c r="BJ600" s="271"/>
      <c r="BK600" s="271"/>
      <c r="BL600" s="271"/>
      <c r="BM600" s="271">
        <v>10000000</v>
      </c>
      <c r="BN600" s="271"/>
      <c r="BO600" s="271"/>
      <c r="BP600" s="271"/>
      <c r="BQ600" s="271"/>
      <c r="BR600" s="271"/>
      <c r="BS600" s="271"/>
      <c r="BT600" s="271"/>
      <c r="BU600" s="271"/>
      <c r="BV600" s="271"/>
      <c r="BW600" s="271"/>
      <c r="BX600" s="235">
        <f t="shared" si="233"/>
        <v>10000000</v>
      </c>
      <c r="BY600" s="271"/>
      <c r="BZ600" s="271"/>
      <c r="CA600" s="271"/>
      <c r="CB600" s="271"/>
      <c r="CC600" s="271">
        <v>10000000</v>
      </c>
      <c r="CD600" s="271"/>
      <c r="CE600" s="271"/>
      <c r="CF600" s="271"/>
      <c r="CG600" s="271"/>
      <c r="CH600" s="271"/>
      <c r="CI600" s="271"/>
      <c r="CJ600" s="271"/>
      <c r="CK600" s="271"/>
      <c r="CL600" s="271"/>
      <c r="CM600" s="271"/>
      <c r="CN600" s="235">
        <f t="shared" si="234"/>
        <v>10000000</v>
      </c>
      <c r="CO600" s="271"/>
      <c r="CP600" s="271"/>
      <c r="CQ600" s="271"/>
      <c r="CR600" s="271"/>
      <c r="CS600" s="271">
        <v>10000000</v>
      </c>
      <c r="CT600" s="271"/>
      <c r="CU600" s="271"/>
      <c r="CV600" s="271"/>
      <c r="CW600" s="271"/>
      <c r="CX600" s="271"/>
      <c r="CY600" s="271"/>
      <c r="CZ600" s="271"/>
      <c r="DA600" s="271"/>
      <c r="DB600" s="271"/>
      <c r="DC600" s="271"/>
      <c r="DD600" s="235">
        <f t="shared" si="235"/>
        <v>10000000</v>
      </c>
      <c r="DE600" s="244">
        <f t="shared" si="236"/>
        <v>40000000</v>
      </c>
    </row>
    <row r="601" spans="1:110" s="98" customFormat="1" ht="112.05" customHeight="1">
      <c r="A601" s="103" t="s">
        <v>1242</v>
      </c>
      <c r="B601" s="279" t="s">
        <v>1469</v>
      </c>
      <c r="C601" s="279" t="s">
        <v>1689</v>
      </c>
      <c r="D601" s="279">
        <v>45</v>
      </c>
      <c r="E601" s="279" t="s">
        <v>1521</v>
      </c>
      <c r="F601" s="280" t="s">
        <v>1522</v>
      </c>
      <c r="G601" s="279" t="s">
        <v>2898</v>
      </c>
      <c r="H601" s="279">
        <v>54</v>
      </c>
      <c r="I601" s="279" t="s">
        <v>153</v>
      </c>
      <c r="J601" s="279" t="s">
        <v>683</v>
      </c>
      <c r="K601" s="104">
        <v>2500</v>
      </c>
      <c r="L601" s="279" t="s">
        <v>1523</v>
      </c>
      <c r="M601" s="279" t="s">
        <v>1527</v>
      </c>
      <c r="N601" s="279" t="s">
        <v>1528</v>
      </c>
      <c r="O601" s="279" t="s">
        <v>162</v>
      </c>
      <c r="P601" s="266">
        <v>543</v>
      </c>
      <c r="Q601" s="279" t="s">
        <v>2901</v>
      </c>
      <c r="R601" s="279" t="s">
        <v>167</v>
      </c>
      <c r="S601" s="279" t="s">
        <v>683</v>
      </c>
      <c r="T601" s="279">
        <v>16</v>
      </c>
      <c r="U601" s="267">
        <v>2</v>
      </c>
      <c r="V601" s="267">
        <v>2</v>
      </c>
      <c r="W601" s="224">
        <v>4</v>
      </c>
      <c r="X601" s="267">
        <v>1</v>
      </c>
      <c r="Y601" s="267">
        <v>1</v>
      </c>
      <c r="Z601" s="267">
        <v>1</v>
      </c>
      <c r="AA601" s="267">
        <v>1</v>
      </c>
      <c r="AB601" s="224">
        <v>4</v>
      </c>
      <c r="AC601" s="267">
        <v>1</v>
      </c>
      <c r="AD601" s="267">
        <v>1</v>
      </c>
      <c r="AE601" s="267">
        <v>1</v>
      </c>
      <c r="AF601" s="267">
        <v>1</v>
      </c>
      <c r="AG601" s="224">
        <v>4</v>
      </c>
      <c r="AH601" s="267">
        <v>1</v>
      </c>
      <c r="AI601" s="267">
        <v>1</v>
      </c>
      <c r="AJ601" s="267">
        <v>1</v>
      </c>
      <c r="AK601" s="267">
        <v>1</v>
      </c>
      <c r="AL601" s="224">
        <v>4</v>
      </c>
      <c r="AM601" s="104">
        <v>16</v>
      </c>
      <c r="AN601" s="103" t="s">
        <v>686</v>
      </c>
      <c r="AO601" s="103" t="s">
        <v>620</v>
      </c>
      <c r="AP601" s="103" t="s">
        <v>1220</v>
      </c>
      <c r="AQ601" s="103" t="s">
        <v>1197</v>
      </c>
      <c r="AR601" s="103" t="s">
        <v>936</v>
      </c>
      <c r="AS601" s="271"/>
      <c r="AT601" s="271"/>
      <c r="AU601" s="271"/>
      <c r="AV601" s="271"/>
      <c r="AW601" s="271">
        <v>1500000</v>
      </c>
      <c r="AX601" s="271"/>
      <c r="AY601" s="271"/>
      <c r="AZ601" s="271"/>
      <c r="BA601" s="271"/>
      <c r="BB601" s="271"/>
      <c r="BC601" s="271"/>
      <c r="BD601" s="271"/>
      <c r="BE601" s="271"/>
      <c r="BF601" s="271"/>
      <c r="BG601" s="271"/>
      <c r="BH601" s="235">
        <f t="shared" si="232"/>
        <v>1500000</v>
      </c>
      <c r="BI601" s="271"/>
      <c r="BJ601" s="271"/>
      <c r="BK601" s="271"/>
      <c r="BL601" s="271"/>
      <c r="BM601" s="271">
        <v>1500000</v>
      </c>
      <c r="BN601" s="271"/>
      <c r="BO601" s="271"/>
      <c r="BP601" s="271"/>
      <c r="BQ601" s="271"/>
      <c r="BR601" s="271"/>
      <c r="BS601" s="271"/>
      <c r="BT601" s="271"/>
      <c r="BU601" s="271"/>
      <c r="BV601" s="271"/>
      <c r="BW601" s="271"/>
      <c r="BX601" s="235">
        <f t="shared" si="233"/>
        <v>1500000</v>
      </c>
      <c r="BY601" s="271"/>
      <c r="BZ601" s="271"/>
      <c r="CA601" s="271"/>
      <c r="CB601" s="271"/>
      <c r="CC601" s="271">
        <v>1500000</v>
      </c>
      <c r="CD601" s="271"/>
      <c r="CE601" s="271"/>
      <c r="CF601" s="271"/>
      <c r="CG601" s="271"/>
      <c r="CH601" s="271"/>
      <c r="CI601" s="271"/>
      <c r="CJ601" s="271"/>
      <c r="CK601" s="271"/>
      <c r="CL601" s="271"/>
      <c r="CM601" s="271"/>
      <c r="CN601" s="235">
        <f t="shared" si="234"/>
        <v>1500000</v>
      </c>
      <c r="CO601" s="271"/>
      <c r="CP601" s="271"/>
      <c r="CQ601" s="271"/>
      <c r="CR601" s="271"/>
      <c r="CS601" s="271">
        <v>1500000</v>
      </c>
      <c r="CT601" s="271"/>
      <c r="CU601" s="271"/>
      <c r="CV601" s="271"/>
      <c r="CW601" s="271"/>
      <c r="CX601" s="271"/>
      <c r="CY601" s="271"/>
      <c r="CZ601" s="271"/>
      <c r="DA601" s="271"/>
      <c r="DB601" s="271"/>
      <c r="DC601" s="271"/>
      <c r="DD601" s="235">
        <f t="shared" si="235"/>
        <v>1500000</v>
      </c>
      <c r="DE601" s="244">
        <f t="shared" si="236"/>
        <v>6000000</v>
      </c>
    </row>
    <row r="602" spans="1:110" s="98" customFormat="1" ht="112.05" customHeight="1">
      <c r="A602" s="103" t="s">
        <v>1242</v>
      </c>
      <c r="B602" s="279" t="s">
        <v>1469</v>
      </c>
      <c r="C602" s="279" t="s">
        <v>1689</v>
      </c>
      <c r="D602" s="279">
        <v>45</v>
      </c>
      <c r="E602" s="279" t="s">
        <v>1521</v>
      </c>
      <c r="F602" s="280" t="s">
        <v>1522</v>
      </c>
      <c r="G602" s="279" t="s">
        <v>2898</v>
      </c>
      <c r="H602" s="279">
        <v>54</v>
      </c>
      <c r="I602" s="279" t="s">
        <v>153</v>
      </c>
      <c r="J602" s="279" t="s">
        <v>683</v>
      </c>
      <c r="K602" s="104">
        <v>2500</v>
      </c>
      <c r="L602" s="279" t="s">
        <v>1523</v>
      </c>
      <c r="M602" s="279" t="s">
        <v>1529</v>
      </c>
      <c r="N602" s="279" t="s">
        <v>1530</v>
      </c>
      <c r="O602" s="279" t="s">
        <v>1531</v>
      </c>
      <c r="P602" s="266">
        <v>544</v>
      </c>
      <c r="Q602" s="279" t="s">
        <v>3596</v>
      </c>
      <c r="R602" s="279" t="s">
        <v>169</v>
      </c>
      <c r="S602" s="279" t="s">
        <v>683</v>
      </c>
      <c r="T602" s="279">
        <v>0</v>
      </c>
      <c r="U602" s="267">
        <v>13300</v>
      </c>
      <c r="V602" s="267"/>
      <c r="W602" s="224">
        <v>13300</v>
      </c>
      <c r="X602" s="267"/>
      <c r="Y602" s="267"/>
      <c r="Z602" s="267"/>
      <c r="AA602" s="267"/>
      <c r="AB602" s="224">
        <v>0</v>
      </c>
      <c r="AC602" s="267"/>
      <c r="AD602" s="267"/>
      <c r="AE602" s="267"/>
      <c r="AF602" s="267"/>
      <c r="AG602" s="224">
        <v>0</v>
      </c>
      <c r="AH602" s="267"/>
      <c r="AI602" s="267"/>
      <c r="AJ602" s="267"/>
      <c r="AK602" s="267"/>
      <c r="AL602" s="224">
        <v>0</v>
      </c>
      <c r="AM602" s="104">
        <v>13300</v>
      </c>
      <c r="AN602" s="103" t="s">
        <v>685</v>
      </c>
      <c r="AO602" s="103" t="s">
        <v>620</v>
      </c>
      <c r="AP602" s="103" t="s">
        <v>1220</v>
      </c>
      <c r="AQ602" s="103" t="s">
        <v>1192</v>
      </c>
      <c r="AR602" s="103" t="s">
        <v>937</v>
      </c>
      <c r="AS602" s="271"/>
      <c r="AT602" s="271"/>
      <c r="AU602" s="271"/>
      <c r="AV602" s="271"/>
      <c r="AW602" s="271">
        <v>10500000</v>
      </c>
      <c r="AX602" s="271"/>
      <c r="AY602" s="271"/>
      <c r="AZ602" s="271"/>
      <c r="BA602" s="271"/>
      <c r="BB602" s="271"/>
      <c r="BC602" s="271"/>
      <c r="BD602" s="271"/>
      <c r="BE602" s="271"/>
      <c r="BF602" s="271"/>
      <c r="BG602" s="271"/>
      <c r="BH602" s="235">
        <f t="shared" si="232"/>
        <v>10500000</v>
      </c>
      <c r="BI602" s="271"/>
      <c r="BJ602" s="271"/>
      <c r="BK602" s="271"/>
      <c r="BL602" s="271"/>
      <c r="BM602" s="271"/>
      <c r="BN602" s="271"/>
      <c r="BO602" s="271"/>
      <c r="BP602" s="271"/>
      <c r="BQ602" s="271"/>
      <c r="BR602" s="271"/>
      <c r="BS602" s="271"/>
      <c r="BT602" s="271"/>
      <c r="BU602" s="271"/>
      <c r="BV602" s="271"/>
      <c r="BW602" s="271"/>
      <c r="BX602" s="235">
        <f t="shared" si="233"/>
        <v>0</v>
      </c>
      <c r="BY602" s="271"/>
      <c r="BZ602" s="271"/>
      <c r="CA602" s="271"/>
      <c r="CB602" s="271"/>
      <c r="CC602" s="271"/>
      <c r="CD602" s="271"/>
      <c r="CE602" s="271"/>
      <c r="CF602" s="271"/>
      <c r="CG602" s="271"/>
      <c r="CH602" s="271"/>
      <c r="CI602" s="271"/>
      <c r="CJ602" s="271"/>
      <c r="CK602" s="271"/>
      <c r="CL602" s="271"/>
      <c r="CM602" s="271"/>
      <c r="CN602" s="235">
        <f t="shared" si="234"/>
        <v>0</v>
      </c>
      <c r="CO602" s="271"/>
      <c r="CP602" s="271"/>
      <c r="CQ602" s="271"/>
      <c r="CR602" s="271"/>
      <c r="CS602" s="271"/>
      <c r="CT602" s="271"/>
      <c r="CU602" s="271"/>
      <c r="CV602" s="271"/>
      <c r="CW602" s="271"/>
      <c r="CX602" s="271"/>
      <c r="CY602" s="271"/>
      <c r="CZ602" s="271"/>
      <c r="DA602" s="271"/>
      <c r="DB602" s="271"/>
      <c r="DC602" s="271"/>
      <c r="DD602" s="235">
        <f t="shared" si="235"/>
        <v>0</v>
      </c>
      <c r="DE602" s="244">
        <f t="shared" si="236"/>
        <v>10500000</v>
      </c>
    </row>
    <row r="603" spans="1:110" s="98" customFormat="1" ht="112.05" customHeight="1">
      <c r="A603" s="103" t="s">
        <v>1242</v>
      </c>
      <c r="B603" s="279" t="s">
        <v>1469</v>
      </c>
      <c r="C603" s="279" t="s">
        <v>1689</v>
      </c>
      <c r="D603" s="279">
        <v>45</v>
      </c>
      <c r="E603" s="279" t="s">
        <v>1521</v>
      </c>
      <c r="F603" s="280" t="s">
        <v>1522</v>
      </c>
      <c r="G603" s="279" t="s">
        <v>2898</v>
      </c>
      <c r="H603" s="279">
        <v>54</v>
      </c>
      <c r="I603" s="279" t="s">
        <v>153</v>
      </c>
      <c r="J603" s="279" t="s">
        <v>683</v>
      </c>
      <c r="K603" s="104">
        <v>2500</v>
      </c>
      <c r="L603" s="279" t="s">
        <v>1523</v>
      </c>
      <c r="M603" s="279" t="s">
        <v>1529</v>
      </c>
      <c r="N603" s="279" t="s">
        <v>1530</v>
      </c>
      <c r="O603" s="279" t="s">
        <v>1531</v>
      </c>
      <c r="P603" s="266">
        <v>545</v>
      </c>
      <c r="Q603" s="279" t="s">
        <v>2902</v>
      </c>
      <c r="R603" s="279" t="s">
        <v>172</v>
      </c>
      <c r="S603" s="279" t="s">
        <v>683</v>
      </c>
      <c r="T603" s="279">
        <v>0</v>
      </c>
      <c r="U603" s="267"/>
      <c r="V603" s="267"/>
      <c r="W603" s="224">
        <v>0</v>
      </c>
      <c r="X603" s="267"/>
      <c r="Y603" s="267">
        <v>1</v>
      </c>
      <c r="Z603" s="267"/>
      <c r="AA603" s="267"/>
      <c r="AB603" s="224">
        <v>1</v>
      </c>
      <c r="AC603" s="267"/>
      <c r="AD603" s="267"/>
      <c r="AE603" s="267"/>
      <c r="AF603" s="267"/>
      <c r="AG603" s="224">
        <v>0</v>
      </c>
      <c r="AH603" s="267"/>
      <c r="AI603" s="267"/>
      <c r="AJ603" s="267"/>
      <c r="AK603" s="267"/>
      <c r="AL603" s="224">
        <v>0</v>
      </c>
      <c r="AM603" s="104">
        <v>1</v>
      </c>
      <c r="AN603" s="103" t="s">
        <v>685</v>
      </c>
      <c r="AO603" s="103" t="s">
        <v>620</v>
      </c>
      <c r="AP603" s="103" t="s">
        <v>1220</v>
      </c>
      <c r="AQ603" s="103" t="s">
        <v>1192</v>
      </c>
      <c r="AR603" s="103" t="s">
        <v>937</v>
      </c>
      <c r="AS603" s="271"/>
      <c r="AT603" s="271"/>
      <c r="AU603" s="271"/>
      <c r="AV603" s="271"/>
      <c r="AW603" s="271"/>
      <c r="AX603" s="271"/>
      <c r="AY603" s="271"/>
      <c r="AZ603" s="271"/>
      <c r="BA603" s="271"/>
      <c r="BB603" s="271"/>
      <c r="BC603" s="271"/>
      <c r="BD603" s="271"/>
      <c r="BE603" s="271"/>
      <c r="BF603" s="271"/>
      <c r="BG603" s="271"/>
      <c r="BH603" s="235">
        <f t="shared" si="232"/>
        <v>0</v>
      </c>
      <c r="BI603" s="271"/>
      <c r="BJ603" s="271"/>
      <c r="BK603" s="271"/>
      <c r="BL603" s="271"/>
      <c r="BM603" s="271">
        <v>80000000</v>
      </c>
      <c r="BN603" s="271"/>
      <c r="BO603" s="271"/>
      <c r="BP603" s="271"/>
      <c r="BQ603" s="271"/>
      <c r="BR603" s="271"/>
      <c r="BS603" s="271"/>
      <c r="BT603" s="271"/>
      <c r="BU603" s="271"/>
      <c r="BV603" s="271"/>
      <c r="BW603" s="271"/>
      <c r="BX603" s="235">
        <f t="shared" si="233"/>
        <v>80000000</v>
      </c>
      <c r="BY603" s="271"/>
      <c r="BZ603" s="271"/>
      <c r="CA603" s="271"/>
      <c r="CB603" s="271"/>
      <c r="CC603" s="271"/>
      <c r="CD603" s="271"/>
      <c r="CE603" s="271"/>
      <c r="CF603" s="271"/>
      <c r="CG603" s="271"/>
      <c r="CH603" s="271"/>
      <c r="CI603" s="271"/>
      <c r="CJ603" s="271"/>
      <c r="CK603" s="271"/>
      <c r="CL603" s="271"/>
      <c r="CM603" s="271"/>
      <c r="CN603" s="235">
        <f t="shared" si="234"/>
        <v>0</v>
      </c>
      <c r="CO603" s="271"/>
      <c r="CP603" s="271"/>
      <c r="CQ603" s="271"/>
      <c r="CR603" s="271"/>
      <c r="CS603" s="271"/>
      <c r="CT603" s="271"/>
      <c r="CU603" s="271"/>
      <c r="CV603" s="271"/>
      <c r="CW603" s="271"/>
      <c r="CX603" s="271"/>
      <c r="CY603" s="271"/>
      <c r="CZ603" s="271"/>
      <c r="DA603" s="271"/>
      <c r="DB603" s="271"/>
      <c r="DC603" s="271"/>
      <c r="DD603" s="235">
        <f t="shared" si="235"/>
        <v>0</v>
      </c>
      <c r="DE603" s="244">
        <f t="shared" si="236"/>
        <v>80000000</v>
      </c>
    </row>
    <row r="604" spans="1:110" s="98" customFormat="1" ht="112.05" customHeight="1">
      <c r="A604" s="103" t="s">
        <v>1242</v>
      </c>
      <c r="B604" s="279" t="s">
        <v>1469</v>
      </c>
      <c r="C604" s="279" t="s">
        <v>1689</v>
      </c>
      <c r="D604" s="279">
        <v>45</v>
      </c>
      <c r="E604" s="279" t="s">
        <v>1521</v>
      </c>
      <c r="F604" s="280" t="s">
        <v>1522</v>
      </c>
      <c r="G604" s="279" t="s">
        <v>2898</v>
      </c>
      <c r="H604" s="279">
        <v>54</v>
      </c>
      <c r="I604" s="279" t="s">
        <v>153</v>
      </c>
      <c r="J604" s="279" t="s">
        <v>683</v>
      </c>
      <c r="K604" s="104">
        <v>2500</v>
      </c>
      <c r="L604" s="279" t="s">
        <v>1523</v>
      </c>
      <c r="M604" s="279" t="s">
        <v>1529</v>
      </c>
      <c r="N604" s="279" t="s">
        <v>1530</v>
      </c>
      <c r="O604" s="279" t="s">
        <v>1531</v>
      </c>
      <c r="P604" s="266">
        <v>546</v>
      </c>
      <c r="Q604" s="279" t="s">
        <v>2903</v>
      </c>
      <c r="R604" s="279" t="s">
        <v>183</v>
      </c>
      <c r="S604" s="279" t="s">
        <v>683</v>
      </c>
      <c r="T604" s="279">
        <v>4</v>
      </c>
      <c r="U604" s="267">
        <v>1</v>
      </c>
      <c r="V604" s="267"/>
      <c r="W604" s="224">
        <v>1</v>
      </c>
      <c r="X604" s="267">
        <v>1</v>
      </c>
      <c r="Y604" s="267"/>
      <c r="Z604" s="267"/>
      <c r="AA604" s="267"/>
      <c r="AB604" s="224">
        <v>1</v>
      </c>
      <c r="AC604" s="267"/>
      <c r="AD604" s="267"/>
      <c r="AE604" s="267">
        <v>1</v>
      </c>
      <c r="AF604" s="267"/>
      <c r="AG604" s="224">
        <v>1</v>
      </c>
      <c r="AH604" s="267"/>
      <c r="AI604" s="267">
        <v>1</v>
      </c>
      <c r="AJ604" s="267"/>
      <c r="AK604" s="267"/>
      <c r="AL604" s="224">
        <v>1</v>
      </c>
      <c r="AM604" s="104">
        <v>4</v>
      </c>
      <c r="AN604" s="103" t="s">
        <v>685</v>
      </c>
      <c r="AO604" s="103" t="s">
        <v>620</v>
      </c>
      <c r="AP604" s="103" t="s">
        <v>1220</v>
      </c>
      <c r="AQ604" s="103" t="s">
        <v>1197</v>
      </c>
      <c r="AR604" s="103" t="s">
        <v>937</v>
      </c>
      <c r="AS604" s="271"/>
      <c r="AT604" s="271"/>
      <c r="AU604" s="271"/>
      <c r="AV604" s="271">
        <v>4000000</v>
      </c>
      <c r="AW604" s="271">
        <v>31000000</v>
      </c>
      <c r="AX604" s="271"/>
      <c r="AY604" s="271"/>
      <c r="AZ604" s="271"/>
      <c r="BA604" s="271"/>
      <c r="BB604" s="271"/>
      <c r="BC604" s="271"/>
      <c r="BD604" s="271"/>
      <c r="BE604" s="271"/>
      <c r="BF604" s="271"/>
      <c r="BG604" s="271"/>
      <c r="BH604" s="235">
        <f t="shared" si="232"/>
        <v>35000000</v>
      </c>
      <c r="BI604" s="271"/>
      <c r="BJ604" s="271"/>
      <c r="BK604" s="271"/>
      <c r="BL604" s="271"/>
      <c r="BM604" s="271">
        <v>35000000</v>
      </c>
      <c r="BN604" s="271"/>
      <c r="BO604" s="271"/>
      <c r="BP604" s="271"/>
      <c r="BQ604" s="271"/>
      <c r="BR604" s="271"/>
      <c r="BS604" s="271"/>
      <c r="BT604" s="271"/>
      <c r="BU604" s="271"/>
      <c r="BV604" s="271"/>
      <c r="BW604" s="271"/>
      <c r="BX604" s="235">
        <f t="shared" si="233"/>
        <v>35000000</v>
      </c>
      <c r="BY604" s="271"/>
      <c r="BZ604" s="271"/>
      <c r="CA604" s="271"/>
      <c r="CB604" s="271"/>
      <c r="CC604" s="271">
        <v>35000000</v>
      </c>
      <c r="CD604" s="271"/>
      <c r="CE604" s="271"/>
      <c r="CF604" s="271"/>
      <c r="CG604" s="271"/>
      <c r="CH604" s="271"/>
      <c r="CI604" s="271"/>
      <c r="CJ604" s="271"/>
      <c r="CK604" s="271"/>
      <c r="CL604" s="271"/>
      <c r="CM604" s="271"/>
      <c r="CN604" s="235">
        <f t="shared" si="234"/>
        <v>35000000</v>
      </c>
      <c r="CO604" s="271"/>
      <c r="CP604" s="271"/>
      <c r="CQ604" s="271"/>
      <c r="CR604" s="271"/>
      <c r="CS604" s="271">
        <v>35000000</v>
      </c>
      <c r="CT604" s="271"/>
      <c r="CU604" s="271"/>
      <c r="CV604" s="271"/>
      <c r="CW604" s="271"/>
      <c r="CX604" s="271"/>
      <c r="CY604" s="271"/>
      <c r="CZ604" s="271"/>
      <c r="DA604" s="271"/>
      <c r="DB604" s="271"/>
      <c r="DC604" s="271"/>
      <c r="DD604" s="235">
        <f t="shared" si="235"/>
        <v>35000000</v>
      </c>
      <c r="DE604" s="244">
        <f t="shared" si="236"/>
        <v>140000000</v>
      </c>
    </row>
    <row r="605" spans="1:110" s="98" customFormat="1" ht="112.05" customHeight="1">
      <c r="A605" s="120" t="s">
        <v>1242</v>
      </c>
      <c r="B605" s="281" t="s">
        <v>1469</v>
      </c>
      <c r="C605" s="281" t="s">
        <v>1689</v>
      </c>
      <c r="D605" s="281">
        <v>45</v>
      </c>
      <c r="E605" s="281" t="s">
        <v>1521</v>
      </c>
      <c r="F605" s="282" t="s">
        <v>1522</v>
      </c>
      <c r="G605" s="281" t="s">
        <v>2898</v>
      </c>
      <c r="H605" s="281">
        <v>54</v>
      </c>
      <c r="I605" s="281" t="s">
        <v>153</v>
      </c>
      <c r="J605" s="281" t="s">
        <v>683</v>
      </c>
      <c r="K605" s="119">
        <v>2500</v>
      </c>
      <c r="L605" s="281" t="s">
        <v>1523</v>
      </c>
      <c r="M605" s="281" t="s">
        <v>1529</v>
      </c>
      <c r="N605" s="281" t="s">
        <v>1530</v>
      </c>
      <c r="O605" s="281" t="s">
        <v>1531</v>
      </c>
      <c r="P605" s="266">
        <v>547</v>
      </c>
      <c r="Q605" s="281" t="s">
        <v>2904</v>
      </c>
      <c r="R605" s="281" t="s">
        <v>186</v>
      </c>
      <c r="S605" s="281" t="s">
        <v>683</v>
      </c>
      <c r="T605" s="281">
        <v>43</v>
      </c>
      <c r="U605" s="275"/>
      <c r="V605" s="275">
        <v>30</v>
      </c>
      <c r="W605" s="225">
        <v>30</v>
      </c>
      <c r="X605" s="275">
        <v>30</v>
      </c>
      <c r="Y605" s="275"/>
      <c r="Z605" s="275"/>
      <c r="AA605" s="275"/>
      <c r="AB605" s="225">
        <v>30</v>
      </c>
      <c r="AC605" s="275"/>
      <c r="AD605" s="275"/>
      <c r="AE605" s="275">
        <v>30</v>
      </c>
      <c r="AF605" s="275"/>
      <c r="AG605" s="225">
        <v>30</v>
      </c>
      <c r="AH605" s="275"/>
      <c r="AI605" s="275">
        <v>30</v>
      </c>
      <c r="AJ605" s="275"/>
      <c r="AK605" s="275"/>
      <c r="AL605" s="225">
        <v>30</v>
      </c>
      <c r="AM605" s="119">
        <v>120</v>
      </c>
      <c r="AN605" s="120" t="s">
        <v>685</v>
      </c>
      <c r="AO605" s="120" t="s">
        <v>620</v>
      </c>
      <c r="AP605" s="120" t="s">
        <v>1220</v>
      </c>
      <c r="AQ605" s="120" t="s">
        <v>1197</v>
      </c>
      <c r="AR605" s="120" t="s">
        <v>937</v>
      </c>
      <c r="AS605" s="276"/>
      <c r="AT605" s="276"/>
      <c r="AU605" s="276"/>
      <c r="AV605" s="276">
        <v>1175700</v>
      </c>
      <c r="AW605" s="276">
        <v>14500000</v>
      </c>
      <c r="AX605" s="276"/>
      <c r="AY605" s="276"/>
      <c r="AZ605" s="276"/>
      <c r="BA605" s="276"/>
      <c r="BB605" s="276"/>
      <c r="BC605" s="276"/>
      <c r="BD605" s="276"/>
      <c r="BE605" s="276"/>
      <c r="BF605" s="276"/>
      <c r="BG605" s="276"/>
      <c r="BH605" s="236">
        <f t="shared" si="232"/>
        <v>15675700</v>
      </c>
      <c r="BI605" s="276"/>
      <c r="BJ605" s="276"/>
      <c r="BK605" s="276"/>
      <c r="BL605" s="276"/>
      <c r="BM605" s="276">
        <v>7748965</v>
      </c>
      <c r="BN605" s="276"/>
      <c r="BO605" s="276"/>
      <c r="BP605" s="276"/>
      <c r="BQ605" s="276"/>
      <c r="BR605" s="276"/>
      <c r="BS605" s="276"/>
      <c r="BT605" s="276"/>
      <c r="BU605" s="276"/>
      <c r="BV605" s="276"/>
      <c r="BW605" s="276"/>
      <c r="BX605" s="236">
        <f t="shared" si="233"/>
        <v>7748965</v>
      </c>
      <c r="BY605" s="276"/>
      <c r="BZ605" s="276"/>
      <c r="CA605" s="276"/>
      <c r="CB605" s="276"/>
      <c r="CC605" s="276">
        <v>7500000</v>
      </c>
      <c r="CD605" s="276"/>
      <c r="CE605" s="276"/>
      <c r="CF605" s="276"/>
      <c r="CG605" s="276"/>
      <c r="CH605" s="276"/>
      <c r="CI605" s="276"/>
      <c r="CJ605" s="276"/>
      <c r="CK605" s="276"/>
      <c r="CL605" s="276"/>
      <c r="CM605" s="276"/>
      <c r="CN605" s="236">
        <f t="shared" si="234"/>
        <v>7500000</v>
      </c>
      <c r="CO605" s="276"/>
      <c r="CP605" s="276"/>
      <c r="CQ605" s="276"/>
      <c r="CR605" s="276"/>
      <c r="CS605" s="276">
        <v>7500000</v>
      </c>
      <c r="CT605" s="276"/>
      <c r="CU605" s="276"/>
      <c r="CV605" s="276"/>
      <c r="CW605" s="276"/>
      <c r="CX605" s="276"/>
      <c r="CY605" s="276"/>
      <c r="CZ605" s="276"/>
      <c r="DA605" s="276"/>
      <c r="DB605" s="276"/>
      <c r="DC605" s="276"/>
      <c r="DD605" s="236">
        <f t="shared" si="235"/>
        <v>7500000</v>
      </c>
      <c r="DE605" s="245">
        <f t="shared" si="236"/>
        <v>38424665</v>
      </c>
    </row>
    <row r="606" spans="1:110" ht="65.099999999999994" customHeight="1">
      <c r="A606" s="134" t="s">
        <v>1242</v>
      </c>
      <c r="B606" s="134" t="s">
        <v>1469</v>
      </c>
      <c r="C606" s="134" t="s">
        <v>1689</v>
      </c>
      <c r="D606" s="148">
        <v>45</v>
      </c>
      <c r="E606" s="148" t="s">
        <v>1521</v>
      </c>
      <c r="F606" s="149"/>
      <c r="G606" s="150"/>
      <c r="H606" s="151"/>
      <c r="I606" s="151"/>
      <c r="J606" s="151"/>
      <c r="K606" s="152"/>
      <c r="L606" s="151"/>
      <c r="M606" s="151"/>
      <c r="N606" s="151"/>
      <c r="O606" s="151"/>
      <c r="P606" s="151"/>
      <c r="Q606" s="150"/>
      <c r="R606" s="153"/>
      <c r="S606" s="151"/>
      <c r="T606" s="151"/>
      <c r="U606" s="154"/>
      <c r="V606" s="154"/>
      <c r="W606" s="152"/>
      <c r="X606" s="154"/>
      <c r="Y606" s="154"/>
      <c r="Z606" s="154"/>
      <c r="AA606" s="154"/>
      <c r="AB606" s="152"/>
      <c r="AC606" s="154"/>
      <c r="AD606" s="154"/>
      <c r="AE606" s="154"/>
      <c r="AF606" s="154"/>
      <c r="AG606" s="152"/>
      <c r="AH606" s="154"/>
      <c r="AI606" s="154"/>
      <c r="AJ606" s="154"/>
      <c r="AK606" s="154"/>
      <c r="AL606" s="152"/>
      <c r="AM606" s="155"/>
      <c r="AN606" s="156"/>
      <c r="AO606" s="156"/>
      <c r="AP606" s="157"/>
      <c r="AQ606" s="157"/>
      <c r="AR606" s="158"/>
      <c r="AS606" s="132">
        <f>SUM(AS597:AS605)</f>
        <v>0</v>
      </c>
      <c r="AT606" s="132">
        <f t="shared" ref="AT606:DE606" si="237">SUM(AT597:AT605)</f>
        <v>0</v>
      </c>
      <c r="AU606" s="132">
        <f t="shared" si="237"/>
        <v>0</v>
      </c>
      <c r="AV606" s="132">
        <f t="shared" si="237"/>
        <v>485175700</v>
      </c>
      <c r="AW606" s="132">
        <f t="shared" si="237"/>
        <v>85537600</v>
      </c>
      <c r="AX606" s="132">
        <f t="shared" si="237"/>
        <v>0</v>
      </c>
      <c r="AY606" s="132">
        <f t="shared" si="237"/>
        <v>0</v>
      </c>
      <c r="AZ606" s="132">
        <f t="shared" si="237"/>
        <v>0</v>
      </c>
      <c r="BA606" s="132">
        <f t="shared" si="237"/>
        <v>0</v>
      </c>
      <c r="BB606" s="132">
        <f t="shared" si="237"/>
        <v>0</v>
      </c>
      <c r="BC606" s="132">
        <f t="shared" si="237"/>
        <v>0</v>
      </c>
      <c r="BD606" s="132">
        <f t="shared" si="237"/>
        <v>0</v>
      </c>
      <c r="BE606" s="132">
        <f t="shared" si="237"/>
        <v>0</v>
      </c>
      <c r="BF606" s="132">
        <f t="shared" si="237"/>
        <v>0</v>
      </c>
      <c r="BG606" s="132">
        <f t="shared" si="237"/>
        <v>0</v>
      </c>
      <c r="BH606" s="132">
        <f>IF(OR(AND(BH597=0,W597&lt;&gt;0),AND(BH598=0,W598&lt;&gt;0),AND(BH599=0,W599&lt;&gt;0),AND(BH600=0,W600&lt;&gt;0),AND(BH601=0,W601&lt;&gt;0),AND(BH602=0,W602&lt;&gt;0),AND(BH603=0,W603&lt;&gt;0),AND(BH604=0,W604&lt;&gt;0),AND(BH605=0,W605&lt;&gt;0)),"NO DEBEN QUEDAR CELDAS EN ROJO",SUM(BH597:BH605))</f>
        <v>570713300</v>
      </c>
      <c r="BI606" s="132">
        <f t="shared" si="237"/>
        <v>0</v>
      </c>
      <c r="BJ606" s="132">
        <f t="shared" si="237"/>
        <v>0</v>
      </c>
      <c r="BK606" s="132">
        <f t="shared" si="237"/>
        <v>0</v>
      </c>
      <c r="BL606" s="132">
        <f t="shared" si="237"/>
        <v>0</v>
      </c>
      <c r="BM606" s="132">
        <f t="shared" si="237"/>
        <v>284248965</v>
      </c>
      <c r="BN606" s="132">
        <f t="shared" si="237"/>
        <v>0</v>
      </c>
      <c r="BO606" s="132">
        <f t="shared" si="237"/>
        <v>0</v>
      </c>
      <c r="BP606" s="132">
        <f t="shared" si="237"/>
        <v>0</v>
      </c>
      <c r="BQ606" s="132">
        <f t="shared" si="237"/>
        <v>0</v>
      </c>
      <c r="BR606" s="132">
        <f t="shared" si="237"/>
        <v>0</v>
      </c>
      <c r="BS606" s="132">
        <f t="shared" si="237"/>
        <v>0</v>
      </c>
      <c r="BT606" s="132">
        <f t="shared" si="237"/>
        <v>0</v>
      </c>
      <c r="BU606" s="132">
        <f t="shared" si="237"/>
        <v>0</v>
      </c>
      <c r="BV606" s="132">
        <f t="shared" si="237"/>
        <v>0</v>
      </c>
      <c r="BW606" s="132">
        <f t="shared" si="237"/>
        <v>0</v>
      </c>
      <c r="BX606" s="132">
        <f>IF(OR(AND(BX597=0,AB597&lt;&gt;0),AND(BX598=0,AB598&lt;&gt;0),AND(BX599=0,AB599&lt;&gt;0),AND(BX600=0,AB600&lt;&gt;0),AND(BX601=0,AB601&lt;&gt;0),AND(BX602=0,AB602&lt;&gt;0),AND(BX603=0,AB603&lt;&gt;0),AND(BX604=0,AB604&lt;&gt;0),AND(BX605=0,AB605&lt;&gt;0)),"NO DEBEN QUEDAR CELDAS EN ROJO",SUM(BX597:BX605))</f>
        <v>284248965</v>
      </c>
      <c r="BY606" s="132">
        <f t="shared" si="237"/>
        <v>0</v>
      </c>
      <c r="BZ606" s="132">
        <f t="shared" si="237"/>
        <v>0</v>
      </c>
      <c r="CA606" s="132">
        <f t="shared" si="237"/>
        <v>0</v>
      </c>
      <c r="CB606" s="132">
        <f t="shared" si="237"/>
        <v>0</v>
      </c>
      <c r="CC606" s="132">
        <f t="shared" si="237"/>
        <v>398461413</v>
      </c>
      <c r="CD606" s="132">
        <f t="shared" si="237"/>
        <v>0</v>
      </c>
      <c r="CE606" s="132">
        <f t="shared" si="237"/>
        <v>0</v>
      </c>
      <c r="CF606" s="132">
        <f t="shared" si="237"/>
        <v>0</v>
      </c>
      <c r="CG606" s="132">
        <f t="shared" si="237"/>
        <v>0</v>
      </c>
      <c r="CH606" s="132">
        <f t="shared" si="237"/>
        <v>0</v>
      </c>
      <c r="CI606" s="132">
        <f t="shared" si="237"/>
        <v>0</v>
      </c>
      <c r="CJ606" s="132">
        <f t="shared" si="237"/>
        <v>0</v>
      </c>
      <c r="CK606" s="132">
        <f t="shared" si="237"/>
        <v>0</v>
      </c>
      <c r="CL606" s="132">
        <f t="shared" si="237"/>
        <v>0</v>
      </c>
      <c r="CM606" s="132">
        <f t="shared" si="237"/>
        <v>0</v>
      </c>
      <c r="CN606" s="132">
        <f>IF(OR(AND(CN597=0,AG597&lt;&gt;0),AND(CN598=0,AG598&lt;&gt;0),AND(CN599=0,AG599&lt;&gt;0),AND(CN600=0,AG600&lt;&gt;0),AND(CN601=0,AG601&lt;&gt;0),AND(CN602=0,AG602&lt;&gt;0),AND(CN603=0,AG603&lt;&gt;0),AND(CN604=0,AG604&lt;&gt;0),AND(CN605=0,AG605&lt;&gt;0)),"NO DEBEN QUEDAR CELDAS EN ROJO",SUM(CN597:CN605))</f>
        <v>398461413</v>
      </c>
      <c r="CO606" s="132">
        <f t="shared" si="237"/>
        <v>0</v>
      </c>
      <c r="CP606" s="132">
        <f t="shared" si="237"/>
        <v>0</v>
      </c>
      <c r="CQ606" s="132">
        <f t="shared" si="237"/>
        <v>0</v>
      </c>
      <c r="CR606" s="132">
        <f t="shared" si="237"/>
        <v>0</v>
      </c>
      <c r="CS606" s="132">
        <f t="shared" si="237"/>
        <v>413384484</v>
      </c>
      <c r="CT606" s="132">
        <f t="shared" si="237"/>
        <v>0</v>
      </c>
      <c r="CU606" s="132">
        <f t="shared" si="237"/>
        <v>0</v>
      </c>
      <c r="CV606" s="132">
        <f t="shared" si="237"/>
        <v>0</v>
      </c>
      <c r="CW606" s="132">
        <f t="shared" si="237"/>
        <v>0</v>
      </c>
      <c r="CX606" s="132">
        <f t="shared" si="237"/>
        <v>0</v>
      </c>
      <c r="CY606" s="132">
        <f t="shared" si="237"/>
        <v>0</v>
      </c>
      <c r="CZ606" s="132">
        <f t="shared" si="237"/>
        <v>0</v>
      </c>
      <c r="DA606" s="132">
        <f t="shared" si="237"/>
        <v>0</v>
      </c>
      <c r="DB606" s="132">
        <f t="shared" si="237"/>
        <v>0</v>
      </c>
      <c r="DC606" s="132">
        <f t="shared" si="237"/>
        <v>0</v>
      </c>
      <c r="DD606" s="132">
        <f>IF(OR(AND(DD597=0,AL597&lt;&gt;0),AND(DD598=0,AL598&lt;&gt;0),AND(DD599=0,AL599&lt;&gt;0),AND(DD600=0,AL600&lt;&gt;0),AND(DD601=0,AL601&lt;&gt;0),AND(DD602=0,AL602&lt;&gt;0),AND(DD603=0,AL603&lt;&gt;0),AND(DD604=0,AL604&lt;&gt;0),AND(DD605=0,AL605&lt;&gt;0)),"NO DEBEN QUEDAR CELDAS EN ROJO",SUM(DD597:DD605))</f>
        <v>413384484</v>
      </c>
      <c r="DE606" s="133">
        <f t="shared" si="237"/>
        <v>1666808162</v>
      </c>
      <c r="DF606" s="101"/>
    </row>
    <row r="607" spans="1:110" s="117" customFormat="1" ht="55.05" customHeight="1">
      <c r="A607" s="124" t="s">
        <v>1242</v>
      </c>
      <c r="B607" s="125" t="s">
        <v>1469</v>
      </c>
      <c r="C607" s="145" t="s">
        <v>1689</v>
      </c>
      <c r="D607" s="160"/>
      <c r="E607" s="161"/>
      <c r="F607" s="162"/>
      <c r="G607" s="163"/>
      <c r="H607" s="161"/>
      <c r="I607" s="161"/>
      <c r="J607" s="161"/>
      <c r="K607" s="161"/>
      <c r="L607" s="161"/>
      <c r="M607" s="161"/>
      <c r="N607" s="161"/>
      <c r="O607" s="161"/>
      <c r="P607" s="161"/>
      <c r="Q607" s="163"/>
      <c r="R607" s="164"/>
      <c r="S607" s="161"/>
      <c r="T607" s="161"/>
      <c r="U607" s="165"/>
      <c r="V607" s="165"/>
      <c r="W607" s="166"/>
      <c r="X607" s="165"/>
      <c r="Y607" s="165"/>
      <c r="Z607" s="165"/>
      <c r="AA607" s="165"/>
      <c r="AB607" s="166"/>
      <c r="AC607" s="165"/>
      <c r="AD607" s="165"/>
      <c r="AE607" s="165"/>
      <c r="AF607" s="165"/>
      <c r="AG607" s="166"/>
      <c r="AH607" s="165"/>
      <c r="AI607" s="165"/>
      <c r="AJ607" s="165"/>
      <c r="AK607" s="165"/>
      <c r="AL607" s="166"/>
      <c r="AM607" s="167"/>
      <c r="AN607" s="168"/>
      <c r="AO607" s="168"/>
      <c r="AP607" s="163"/>
      <c r="AQ607" s="163"/>
      <c r="AR607" s="169"/>
      <c r="AS607" s="147">
        <f>SUM(AS606+AS596+AS563)</f>
        <v>0</v>
      </c>
      <c r="AT607" s="130">
        <f t="shared" ref="AT607:DE607" si="238">SUM(AT606+AT596+AT563)</f>
        <v>0</v>
      </c>
      <c r="AU607" s="130">
        <f t="shared" si="238"/>
        <v>0</v>
      </c>
      <c r="AV607" s="130">
        <f t="shared" si="238"/>
        <v>1830000000</v>
      </c>
      <c r="AW607" s="130">
        <f t="shared" si="238"/>
        <v>285537600</v>
      </c>
      <c r="AX607" s="130">
        <f t="shared" si="238"/>
        <v>0</v>
      </c>
      <c r="AY607" s="130">
        <f t="shared" si="238"/>
        <v>0</v>
      </c>
      <c r="AZ607" s="130">
        <f t="shared" si="238"/>
        <v>0</v>
      </c>
      <c r="BA607" s="130">
        <f t="shared" si="238"/>
        <v>0</v>
      </c>
      <c r="BB607" s="130">
        <f t="shared" si="238"/>
        <v>0</v>
      </c>
      <c r="BC607" s="130">
        <f t="shared" si="238"/>
        <v>0</v>
      </c>
      <c r="BD607" s="130">
        <f t="shared" si="238"/>
        <v>0</v>
      </c>
      <c r="BE607" s="130">
        <f t="shared" si="238"/>
        <v>0</v>
      </c>
      <c r="BF607" s="130">
        <f t="shared" si="238"/>
        <v>0</v>
      </c>
      <c r="BG607" s="130">
        <f t="shared" si="238"/>
        <v>11000000000</v>
      </c>
      <c r="BH607" s="130">
        <f t="shared" si="238"/>
        <v>13115537600</v>
      </c>
      <c r="BI607" s="130">
        <f t="shared" si="238"/>
        <v>0</v>
      </c>
      <c r="BJ607" s="130">
        <f t="shared" si="238"/>
        <v>0</v>
      </c>
      <c r="BK607" s="130">
        <f t="shared" si="238"/>
        <v>0</v>
      </c>
      <c r="BL607" s="130">
        <f t="shared" si="238"/>
        <v>0</v>
      </c>
      <c r="BM607" s="130">
        <f t="shared" si="238"/>
        <v>2080036653</v>
      </c>
      <c r="BN607" s="130">
        <f t="shared" si="238"/>
        <v>0</v>
      </c>
      <c r="BO607" s="130">
        <f t="shared" si="238"/>
        <v>0</v>
      </c>
      <c r="BP607" s="130">
        <f t="shared" si="238"/>
        <v>0</v>
      </c>
      <c r="BQ607" s="130">
        <f t="shared" si="238"/>
        <v>0</v>
      </c>
      <c r="BR607" s="130">
        <f t="shared" si="238"/>
        <v>0</v>
      </c>
      <c r="BS607" s="130">
        <f t="shared" si="238"/>
        <v>0</v>
      </c>
      <c r="BT607" s="130">
        <f t="shared" si="238"/>
        <v>0</v>
      </c>
      <c r="BU607" s="130">
        <f t="shared" si="238"/>
        <v>0</v>
      </c>
      <c r="BV607" s="130">
        <f t="shared" si="238"/>
        <v>0</v>
      </c>
      <c r="BW607" s="130">
        <f t="shared" si="238"/>
        <v>11000000000</v>
      </c>
      <c r="BX607" s="130">
        <f t="shared" si="238"/>
        <v>13080036653</v>
      </c>
      <c r="BY607" s="130">
        <f t="shared" si="238"/>
        <v>0</v>
      </c>
      <c r="BZ607" s="130">
        <f t="shared" si="238"/>
        <v>0</v>
      </c>
      <c r="CA607" s="130">
        <f t="shared" si="238"/>
        <v>0</v>
      </c>
      <c r="CB607" s="130">
        <f t="shared" si="238"/>
        <v>0</v>
      </c>
      <c r="CC607" s="130">
        <f t="shared" si="238"/>
        <v>2184038486</v>
      </c>
      <c r="CD607" s="130">
        <f t="shared" si="238"/>
        <v>0</v>
      </c>
      <c r="CE607" s="130">
        <f t="shared" si="238"/>
        <v>0</v>
      </c>
      <c r="CF607" s="130">
        <f t="shared" si="238"/>
        <v>0</v>
      </c>
      <c r="CG607" s="130">
        <f t="shared" si="238"/>
        <v>0</v>
      </c>
      <c r="CH607" s="130">
        <f t="shared" si="238"/>
        <v>0</v>
      </c>
      <c r="CI607" s="130">
        <f t="shared" si="238"/>
        <v>0</v>
      </c>
      <c r="CJ607" s="130">
        <f t="shared" si="238"/>
        <v>0</v>
      </c>
      <c r="CK607" s="130">
        <f t="shared" si="238"/>
        <v>0</v>
      </c>
      <c r="CL607" s="130">
        <f t="shared" si="238"/>
        <v>0</v>
      </c>
      <c r="CM607" s="130">
        <f t="shared" si="238"/>
        <v>12000000000</v>
      </c>
      <c r="CN607" s="130">
        <f t="shared" si="238"/>
        <v>14184038486</v>
      </c>
      <c r="CO607" s="130">
        <f t="shared" si="238"/>
        <v>0</v>
      </c>
      <c r="CP607" s="130">
        <f t="shared" si="238"/>
        <v>0</v>
      </c>
      <c r="CQ607" s="130">
        <f t="shared" si="238"/>
        <v>0</v>
      </c>
      <c r="CR607" s="130">
        <f t="shared" si="238"/>
        <v>0</v>
      </c>
      <c r="CS607" s="130">
        <f t="shared" si="238"/>
        <v>2315080795</v>
      </c>
      <c r="CT607" s="130">
        <f t="shared" si="238"/>
        <v>0</v>
      </c>
      <c r="CU607" s="130">
        <f t="shared" si="238"/>
        <v>0</v>
      </c>
      <c r="CV607" s="130">
        <f t="shared" si="238"/>
        <v>0</v>
      </c>
      <c r="CW607" s="130">
        <f t="shared" si="238"/>
        <v>0</v>
      </c>
      <c r="CX607" s="130">
        <f t="shared" si="238"/>
        <v>0</v>
      </c>
      <c r="CY607" s="130">
        <f t="shared" si="238"/>
        <v>0</v>
      </c>
      <c r="CZ607" s="130">
        <f t="shared" si="238"/>
        <v>0</v>
      </c>
      <c r="DA607" s="130">
        <f t="shared" si="238"/>
        <v>0</v>
      </c>
      <c r="DB607" s="130">
        <f t="shared" si="238"/>
        <v>0</v>
      </c>
      <c r="DC607" s="130">
        <f t="shared" si="238"/>
        <v>13500000000</v>
      </c>
      <c r="DD607" s="130">
        <f t="shared" si="238"/>
        <v>15815080795</v>
      </c>
      <c r="DE607" s="130">
        <f t="shared" si="238"/>
        <v>56194693534</v>
      </c>
    </row>
    <row r="608" spans="1:110" s="99" customFormat="1" ht="105" customHeight="1">
      <c r="A608" s="103" t="s">
        <v>1243</v>
      </c>
      <c r="B608" s="103" t="s">
        <v>1469</v>
      </c>
      <c r="C608" s="103" t="s">
        <v>1691</v>
      </c>
      <c r="D608" s="103">
        <v>46</v>
      </c>
      <c r="E608" s="103" t="s">
        <v>1532</v>
      </c>
      <c r="F608" s="278" t="s">
        <v>1533</v>
      </c>
      <c r="G608" s="103" t="s">
        <v>3051</v>
      </c>
      <c r="H608" s="103">
        <v>55</v>
      </c>
      <c r="I608" s="103" t="s">
        <v>1534</v>
      </c>
      <c r="J608" s="103" t="s">
        <v>683</v>
      </c>
      <c r="K608" s="103">
        <v>0</v>
      </c>
      <c r="L608" s="103">
        <v>1</v>
      </c>
      <c r="M608" s="103" t="s">
        <v>1535</v>
      </c>
      <c r="N608" s="103" t="s">
        <v>1536</v>
      </c>
      <c r="O608" s="103" t="s">
        <v>1537</v>
      </c>
      <c r="P608" s="283">
        <v>548</v>
      </c>
      <c r="Q608" s="103" t="s">
        <v>3052</v>
      </c>
      <c r="R608" s="103" t="s">
        <v>1538</v>
      </c>
      <c r="S608" s="103" t="s">
        <v>683</v>
      </c>
      <c r="T608" s="103">
        <v>16</v>
      </c>
      <c r="U608" s="267">
        <v>16</v>
      </c>
      <c r="V608" s="267">
        <v>16</v>
      </c>
      <c r="W608" s="224">
        <v>16</v>
      </c>
      <c r="X608" s="267">
        <v>16</v>
      </c>
      <c r="Y608" s="267">
        <v>16</v>
      </c>
      <c r="Z608" s="267">
        <v>16</v>
      </c>
      <c r="AA608" s="267">
        <v>16</v>
      </c>
      <c r="AB608" s="224">
        <v>16</v>
      </c>
      <c r="AC608" s="267">
        <v>16</v>
      </c>
      <c r="AD608" s="267">
        <v>16</v>
      </c>
      <c r="AE608" s="267">
        <v>16</v>
      </c>
      <c r="AF608" s="267">
        <v>16</v>
      </c>
      <c r="AG608" s="224">
        <v>16</v>
      </c>
      <c r="AH608" s="267">
        <v>16</v>
      </c>
      <c r="AI608" s="267">
        <v>16</v>
      </c>
      <c r="AJ608" s="267">
        <v>16</v>
      </c>
      <c r="AK608" s="267">
        <v>16</v>
      </c>
      <c r="AL608" s="224">
        <v>16</v>
      </c>
      <c r="AM608" s="102">
        <v>16</v>
      </c>
      <c r="AN608" s="103" t="s">
        <v>686</v>
      </c>
      <c r="AO608" s="103" t="s">
        <v>621</v>
      </c>
      <c r="AP608" s="103" t="s">
        <v>1225</v>
      </c>
      <c r="AQ608" s="103" t="s">
        <v>1199</v>
      </c>
      <c r="AR608" s="103" t="s">
        <v>946</v>
      </c>
      <c r="AS608" s="268"/>
      <c r="AT608" s="268"/>
      <c r="AU608" s="268"/>
      <c r="AV608" s="268"/>
      <c r="AW608" s="268">
        <v>8668800</v>
      </c>
      <c r="AX608" s="268"/>
      <c r="AY608" s="268"/>
      <c r="AZ608" s="268"/>
      <c r="BA608" s="268"/>
      <c r="BB608" s="268"/>
      <c r="BC608" s="268"/>
      <c r="BD608" s="268"/>
      <c r="BE608" s="268"/>
      <c r="BF608" s="268"/>
      <c r="BG608" s="268"/>
      <c r="BH608" s="234">
        <f>IF(W608=0,0,BG608+BF608+BE608+BD608+BC608+BB608+BA608+AZ608+AY608+AX608+AW608+AV608+AU608+AT608+AS608)</f>
        <v>8668800</v>
      </c>
      <c r="BI608" s="268"/>
      <c r="BJ608" s="268"/>
      <c r="BK608" s="268"/>
      <c r="BL608" s="268"/>
      <c r="BM608" s="268">
        <v>19088930</v>
      </c>
      <c r="BN608" s="268"/>
      <c r="BO608" s="268"/>
      <c r="BP608" s="268"/>
      <c r="BQ608" s="268"/>
      <c r="BR608" s="268"/>
      <c r="BS608" s="268"/>
      <c r="BT608" s="268"/>
      <c r="BU608" s="268"/>
      <c r="BV608" s="268"/>
      <c r="BW608" s="268"/>
      <c r="BX608" s="234">
        <f>IF(AB608=0,0,BI608+BJ608+BK608+BL608+BM608+BN608+BO608+BP608+BQ608+BR608+BS608+BT608+BU608+BV608+BW608)</f>
        <v>19088930</v>
      </c>
      <c r="BY608" s="268"/>
      <c r="BZ608" s="268"/>
      <c r="CA608" s="268"/>
      <c r="CB608" s="268"/>
      <c r="CC608" s="268">
        <v>16646292</v>
      </c>
      <c r="CD608" s="268"/>
      <c r="CE608" s="268"/>
      <c r="CF608" s="268"/>
      <c r="CG608" s="268"/>
      <c r="CH608" s="268"/>
      <c r="CI608" s="268"/>
      <c r="CJ608" s="268"/>
      <c r="CK608" s="268"/>
      <c r="CL608" s="268"/>
      <c r="CM608" s="268"/>
      <c r="CN608" s="234">
        <f>IF(AG608=0,0,(BY608+BZ608+CA608+CB608+CC608+CD608+CE608+CF608+CG608+CH608+CI608+CJ608+CK608+CL608+CM608))</f>
        <v>16646292</v>
      </c>
      <c r="CO608" s="268"/>
      <c r="CP608" s="268"/>
      <c r="CQ608" s="268"/>
      <c r="CR608" s="268"/>
      <c r="CS608" s="268">
        <v>35837826</v>
      </c>
      <c r="CT608" s="268"/>
      <c r="CU608" s="268"/>
      <c r="CV608" s="268"/>
      <c r="CW608" s="268"/>
      <c r="CX608" s="268"/>
      <c r="CY608" s="268"/>
      <c r="CZ608" s="268"/>
      <c r="DA608" s="268"/>
      <c r="DB608" s="268"/>
      <c r="DC608" s="268"/>
      <c r="DD608" s="234">
        <f>IF(AL608=0,0,(CO608+CP608+CQ608+CR608+CS608+CT608+CU608+CV608+CW608+CX608+CY608+CZ608+DA608+DB608+DC608))</f>
        <v>35837826</v>
      </c>
      <c r="DE608" s="243">
        <f t="shared" ref="DE608:DE609" si="239">SUM(DD608+CN608+BX608+BH608)</f>
        <v>80241848</v>
      </c>
    </row>
    <row r="609" spans="1:109" s="99" customFormat="1" ht="105" customHeight="1">
      <c r="A609" s="120" t="s">
        <v>1243</v>
      </c>
      <c r="B609" s="281" t="s">
        <v>1469</v>
      </c>
      <c r="C609" s="281" t="s">
        <v>1691</v>
      </c>
      <c r="D609" s="281">
        <v>46</v>
      </c>
      <c r="E609" s="281" t="s">
        <v>1532</v>
      </c>
      <c r="F609" s="282" t="s">
        <v>1533</v>
      </c>
      <c r="G609" s="281" t="s">
        <v>3051</v>
      </c>
      <c r="H609" s="281">
        <v>55</v>
      </c>
      <c r="I609" s="281" t="s">
        <v>1534</v>
      </c>
      <c r="J609" s="281" t="s">
        <v>683</v>
      </c>
      <c r="K609" s="281">
        <v>0</v>
      </c>
      <c r="L609" s="281">
        <v>1</v>
      </c>
      <c r="M609" s="281" t="s">
        <v>1535</v>
      </c>
      <c r="N609" s="281" t="s">
        <v>1536</v>
      </c>
      <c r="O609" s="281" t="s">
        <v>1537</v>
      </c>
      <c r="P609" s="284">
        <v>549</v>
      </c>
      <c r="Q609" s="281" t="s">
        <v>3053</v>
      </c>
      <c r="R609" s="281" t="s">
        <v>191</v>
      </c>
      <c r="S609" s="281" t="s">
        <v>683</v>
      </c>
      <c r="T609" s="281">
        <v>2</v>
      </c>
      <c r="U609" s="275"/>
      <c r="V609" s="275">
        <v>1</v>
      </c>
      <c r="W609" s="225">
        <v>1</v>
      </c>
      <c r="X609" s="275"/>
      <c r="Y609" s="275"/>
      <c r="Z609" s="275"/>
      <c r="AA609" s="275">
        <v>1</v>
      </c>
      <c r="AB609" s="225">
        <v>1</v>
      </c>
      <c r="AC609" s="275"/>
      <c r="AD609" s="275"/>
      <c r="AE609" s="275"/>
      <c r="AF609" s="275">
        <v>1</v>
      </c>
      <c r="AG609" s="225">
        <v>1</v>
      </c>
      <c r="AH609" s="275"/>
      <c r="AI609" s="275"/>
      <c r="AJ609" s="275"/>
      <c r="AK609" s="275"/>
      <c r="AL609" s="225">
        <v>0</v>
      </c>
      <c r="AM609" s="119">
        <v>3</v>
      </c>
      <c r="AN609" s="120" t="s">
        <v>685</v>
      </c>
      <c r="AO609" s="120" t="s">
        <v>621</v>
      </c>
      <c r="AP609" s="120" t="s">
        <v>1225</v>
      </c>
      <c r="AQ609" s="120" t="s">
        <v>1199</v>
      </c>
      <c r="AR609" s="120" t="s">
        <v>946</v>
      </c>
      <c r="AS609" s="276"/>
      <c r="AT609" s="276"/>
      <c r="AU609" s="276"/>
      <c r="AV609" s="276"/>
      <c r="AW609" s="276">
        <v>8668800</v>
      </c>
      <c r="AX609" s="276"/>
      <c r="AY609" s="276"/>
      <c r="AZ609" s="276"/>
      <c r="BA609" s="276"/>
      <c r="BB609" s="276"/>
      <c r="BC609" s="276"/>
      <c r="BD609" s="276"/>
      <c r="BE609" s="276"/>
      <c r="BF609" s="276"/>
      <c r="BG609" s="276"/>
      <c r="BH609" s="236">
        <f>IF(W609=0,0,BG609+BF609+BE609+BD609+BC609+BB609+BA609+AZ609+AY609+AX609+AW609+AV609+AU609+AT609+AS609)</f>
        <v>8668800</v>
      </c>
      <c r="BI609" s="276"/>
      <c r="BJ609" s="276"/>
      <c r="BK609" s="276"/>
      <c r="BL609" s="276"/>
      <c r="BM609" s="276">
        <v>19088930</v>
      </c>
      <c r="BN609" s="276"/>
      <c r="BO609" s="276"/>
      <c r="BP609" s="276"/>
      <c r="BQ609" s="276"/>
      <c r="BR609" s="276"/>
      <c r="BS609" s="276"/>
      <c r="BT609" s="276"/>
      <c r="BU609" s="276"/>
      <c r="BV609" s="276"/>
      <c r="BW609" s="276"/>
      <c r="BX609" s="236">
        <f>IF(AB609=0,0,BI609+BJ609+BK609+BL609+BM609+BN609+BO609+BP609+BQ609+BR609+BS609+BT609+BU609+BV609+BW609)</f>
        <v>19088930</v>
      </c>
      <c r="BY609" s="276"/>
      <c r="BZ609" s="276"/>
      <c r="CA609" s="276"/>
      <c r="CB609" s="276"/>
      <c r="CC609" s="276">
        <v>16646293</v>
      </c>
      <c r="CD609" s="276"/>
      <c r="CE609" s="276"/>
      <c r="CF609" s="276"/>
      <c r="CG609" s="276"/>
      <c r="CH609" s="276"/>
      <c r="CI609" s="276"/>
      <c r="CJ609" s="276"/>
      <c r="CK609" s="276"/>
      <c r="CL609" s="276"/>
      <c r="CM609" s="276"/>
      <c r="CN609" s="236">
        <f>IF(AG609=0,0,(BY609+BZ609+CA609+CB609+CC609+CD609+CE609+CF609+CG609+CH609+CI609+CJ609+CK609+CL609+CM609))</f>
        <v>16646293</v>
      </c>
      <c r="CO609" s="276"/>
      <c r="CP609" s="276"/>
      <c r="CQ609" s="276"/>
      <c r="CR609" s="276"/>
      <c r="CS609" s="276"/>
      <c r="CT609" s="276"/>
      <c r="CU609" s="276"/>
      <c r="CV609" s="276"/>
      <c r="CW609" s="276"/>
      <c r="CX609" s="276"/>
      <c r="CY609" s="276"/>
      <c r="CZ609" s="276"/>
      <c r="DA609" s="276"/>
      <c r="DB609" s="276"/>
      <c r="DC609" s="276"/>
      <c r="DD609" s="240">
        <f>IF(AL609=0,0,(CO609+CP609+CQ609+CR609+CS609+CT609+CU609+CV609+CW609+CX609+CY609+CZ609+DA609+DB609+DC609))</f>
        <v>0</v>
      </c>
      <c r="DE609" s="245">
        <f t="shared" si="239"/>
        <v>44404023</v>
      </c>
    </row>
    <row r="610" spans="1:109" s="46" customFormat="1" ht="65.099999999999994" customHeight="1">
      <c r="A610" s="134" t="s">
        <v>1243</v>
      </c>
      <c r="B610" s="134" t="s">
        <v>1469</v>
      </c>
      <c r="C610" s="134" t="s">
        <v>1691</v>
      </c>
      <c r="D610" s="134">
        <v>46</v>
      </c>
      <c r="E610" s="134" t="s">
        <v>1532</v>
      </c>
      <c r="F610" s="135"/>
      <c r="G610" s="136"/>
      <c r="H610" s="137"/>
      <c r="I610" s="137"/>
      <c r="J610" s="137"/>
      <c r="K610" s="138"/>
      <c r="L610" s="137"/>
      <c r="M610" s="137"/>
      <c r="N610" s="137"/>
      <c r="O610" s="137"/>
      <c r="P610" s="137"/>
      <c r="Q610" s="136"/>
      <c r="R610" s="139"/>
      <c r="S610" s="137"/>
      <c r="T610" s="137"/>
      <c r="U610" s="140"/>
      <c r="V610" s="140"/>
      <c r="W610" s="138"/>
      <c r="X610" s="140"/>
      <c r="Y610" s="140"/>
      <c r="Z610" s="140"/>
      <c r="AA610" s="140"/>
      <c r="AB610" s="138"/>
      <c r="AC610" s="140"/>
      <c r="AD610" s="140"/>
      <c r="AE610" s="140"/>
      <c r="AF610" s="140"/>
      <c r="AG610" s="138"/>
      <c r="AH610" s="140"/>
      <c r="AI610" s="140"/>
      <c r="AJ610" s="140"/>
      <c r="AK610" s="140"/>
      <c r="AL610" s="138"/>
      <c r="AM610" s="141"/>
      <c r="AN610" s="142"/>
      <c r="AO610" s="142"/>
      <c r="AP610" s="143"/>
      <c r="AQ610" s="143"/>
      <c r="AR610" s="144"/>
      <c r="AS610" s="132">
        <f>SUM(AS608:AS609)</f>
        <v>0</v>
      </c>
      <c r="AT610" s="132">
        <f t="shared" ref="AT610:DE610" si="240">SUM(AT608:AT609)</f>
        <v>0</v>
      </c>
      <c r="AU610" s="132">
        <f t="shared" si="240"/>
        <v>0</v>
      </c>
      <c r="AV610" s="132">
        <f t="shared" si="240"/>
        <v>0</v>
      </c>
      <c r="AW610" s="132">
        <f t="shared" si="240"/>
        <v>17337600</v>
      </c>
      <c r="AX610" s="132">
        <f t="shared" si="240"/>
        <v>0</v>
      </c>
      <c r="AY610" s="132">
        <f t="shared" si="240"/>
        <v>0</v>
      </c>
      <c r="AZ610" s="132">
        <f t="shared" si="240"/>
        <v>0</v>
      </c>
      <c r="BA610" s="132">
        <f t="shared" si="240"/>
        <v>0</v>
      </c>
      <c r="BB610" s="132">
        <f t="shared" si="240"/>
        <v>0</v>
      </c>
      <c r="BC610" s="132">
        <f t="shared" si="240"/>
        <v>0</v>
      </c>
      <c r="BD610" s="132">
        <f t="shared" si="240"/>
        <v>0</v>
      </c>
      <c r="BE610" s="132">
        <f t="shared" si="240"/>
        <v>0</v>
      </c>
      <c r="BF610" s="132">
        <f t="shared" si="240"/>
        <v>0</v>
      </c>
      <c r="BG610" s="132">
        <f t="shared" si="240"/>
        <v>0</v>
      </c>
      <c r="BH610" s="133">
        <f>IF(OR(AND(BH608=0,W608&lt;&gt;0),AND(BH609=0,W609&lt;&gt;0)),"NO DEBEN QUEDAR CELDAS EN ROJO",SUM(BH608:BH609))</f>
        <v>17337600</v>
      </c>
      <c r="BI610" s="132">
        <f t="shared" si="240"/>
        <v>0</v>
      </c>
      <c r="BJ610" s="132">
        <f t="shared" si="240"/>
        <v>0</v>
      </c>
      <c r="BK610" s="132">
        <f t="shared" si="240"/>
        <v>0</v>
      </c>
      <c r="BL610" s="132">
        <f t="shared" si="240"/>
        <v>0</v>
      </c>
      <c r="BM610" s="132">
        <f t="shared" si="240"/>
        <v>38177860</v>
      </c>
      <c r="BN610" s="132">
        <f t="shared" si="240"/>
        <v>0</v>
      </c>
      <c r="BO610" s="132">
        <f t="shared" si="240"/>
        <v>0</v>
      </c>
      <c r="BP610" s="132">
        <f t="shared" si="240"/>
        <v>0</v>
      </c>
      <c r="BQ610" s="132">
        <f t="shared" si="240"/>
        <v>0</v>
      </c>
      <c r="BR610" s="132">
        <f t="shared" si="240"/>
        <v>0</v>
      </c>
      <c r="BS610" s="132">
        <f t="shared" si="240"/>
        <v>0</v>
      </c>
      <c r="BT610" s="132">
        <f t="shared" si="240"/>
        <v>0</v>
      </c>
      <c r="BU610" s="132">
        <f t="shared" si="240"/>
        <v>0</v>
      </c>
      <c r="BV610" s="132">
        <f t="shared" si="240"/>
        <v>0</v>
      </c>
      <c r="BW610" s="132">
        <f t="shared" si="240"/>
        <v>0</v>
      </c>
      <c r="BX610" s="133">
        <f>IF(OR(AND(BX608=0,AB608&lt;&gt;0),AND(BX609=0,AB609&lt;&gt;0)),"NO DEBEN QUEDAR CELDAS EN ROJO",SUM(BX608:BX609))</f>
        <v>38177860</v>
      </c>
      <c r="BY610" s="132">
        <f t="shared" si="240"/>
        <v>0</v>
      </c>
      <c r="BZ610" s="132">
        <f t="shared" si="240"/>
        <v>0</v>
      </c>
      <c r="CA610" s="132">
        <f t="shared" si="240"/>
        <v>0</v>
      </c>
      <c r="CB610" s="132">
        <f t="shared" si="240"/>
        <v>0</v>
      </c>
      <c r="CC610" s="132">
        <f t="shared" si="240"/>
        <v>33292585</v>
      </c>
      <c r="CD610" s="132">
        <f t="shared" si="240"/>
        <v>0</v>
      </c>
      <c r="CE610" s="132">
        <f t="shared" si="240"/>
        <v>0</v>
      </c>
      <c r="CF610" s="132">
        <f t="shared" si="240"/>
        <v>0</v>
      </c>
      <c r="CG610" s="132">
        <f t="shared" si="240"/>
        <v>0</v>
      </c>
      <c r="CH610" s="132">
        <f t="shared" si="240"/>
        <v>0</v>
      </c>
      <c r="CI610" s="132">
        <f t="shared" si="240"/>
        <v>0</v>
      </c>
      <c r="CJ610" s="132">
        <f t="shared" si="240"/>
        <v>0</v>
      </c>
      <c r="CK610" s="132">
        <f t="shared" si="240"/>
        <v>0</v>
      </c>
      <c r="CL610" s="132">
        <f t="shared" si="240"/>
        <v>0</v>
      </c>
      <c r="CM610" s="132">
        <f t="shared" si="240"/>
        <v>0</v>
      </c>
      <c r="CN610" s="133">
        <f>IF(OR(AND(CN608=0,AG608&lt;&gt;0),AND(CN609=0,AG609&lt;&gt;0)),"NO DEBEN QUEDAR CELDAS EN ROJO",SUM(CN608:CN609))</f>
        <v>33292585</v>
      </c>
      <c r="CO610" s="132">
        <f t="shared" si="240"/>
        <v>0</v>
      </c>
      <c r="CP610" s="132">
        <f t="shared" si="240"/>
        <v>0</v>
      </c>
      <c r="CQ610" s="132">
        <f t="shared" si="240"/>
        <v>0</v>
      </c>
      <c r="CR610" s="132">
        <f t="shared" si="240"/>
        <v>0</v>
      </c>
      <c r="CS610" s="132">
        <f t="shared" si="240"/>
        <v>35837826</v>
      </c>
      <c r="CT610" s="132">
        <f t="shared" si="240"/>
        <v>0</v>
      </c>
      <c r="CU610" s="132">
        <f t="shared" si="240"/>
        <v>0</v>
      </c>
      <c r="CV610" s="132">
        <f t="shared" si="240"/>
        <v>0</v>
      </c>
      <c r="CW610" s="132">
        <f t="shared" si="240"/>
        <v>0</v>
      </c>
      <c r="CX610" s="132">
        <f t="shared" si="240"/>
        <v>0</v>
      </c>
      <c r="CY610" s="132">
        <f t="shared" si="240"/>
        <v>0</v>
      </c>
      <c r="CZ610" s="132">
        <f t="shared" si="240"/>
        <v>0</v>
      </c>
      <c r="DA610" s="132">
        <f t="shared" si="240"/>
        <v>0</v>
      </c>
      <c r="DB610" s="132">
        <f t="shared" si="240"/>
        <v>0</v>
      </c>
      <c r="DC610" s="132">
        <f t="shared" si="240"/>
        <v>0</v>
      </c>
      <c r="DD610" s="133">
        <f>IF(OR(AND(DD608=0,AL608&lt;&gt;0),AND(DD609=0,AL609&lt;&gt;0)),"NO DEBEN QUEDAR CELDAS EN ROJO",SUM(DD608:DD609))</f>
        <v>35837826</v>
      </c>
      <c r="DE610" s="133">
        <f t="shared" si="240"/>
        <v>124645871</v>
      </c>
    </row>
    <row r="611" spans="1:109" s="99" customFormat="1" ht="152.1" customHeight="1">
      <c r="A611" s="103" t="s">
        <v>1243</v>
      </c>
      <c r="B611" s="103" t="s">
        <v>1469</v>
      </c>
      <c r="C611" s="103" t="s">
        <v>1691</v>
      </c>
      <c r="D611" s="103">
        <v>47</v>
      </c>
      <c r="E611" s="103" t="s">
        <v>1539</v>
      </c>
      <c r="F611" s="278" t="s">
        <v>1540</v>
      </c>
      <c r="G611" s="103" t="s">
        <v>3054</v>
      </c>
      <c r="H611" s="103">
        <v>56</v>
      </c>
      <c r="I611" s="103" t="s">
        <v>194</v>
      </c>
      <c r="J611" s="103" t="s">
        <v>683</v>
      </c>
      <c r="K611" s="103">
        <v>0</v>
      </c>
      <c r="L611" s="103">
        <v>2</v>
      </c>
      <c r="M611" s="103" t="s">
        <v>1541</v>
      </c>
      <c r="N611" s="103" t="s">
        <v>1542</v>
      </c>
      <c r="O611" s="103" t="s">
        <v>1543</v>
      </c>
      <c r="P611" s="283">
        <v>550</v>
      </c>
      <c r="Q611" s="103" t="s">
        <v>3055</v>
      </c>
      <c r="R611" s="103" t="s">
        <v>197</v>
      </c>
      <c r="S611" s="103" t="s">
        <v>683</v>
      </c>
      <c r="T611" s="103">
        <v>0</v>
      </c>
      <c r="U611" s="267"/>
      <c r="V611" s="267"/>
      <c r="W611" s="224">
        <v>0</v>
      </c>
      <c r="X611" s="267">
        <v>0.25</v>
      </c>
      <c r="Y611" s="267">
        <v>0.25</v>
      </c>
      <c r="Z611" s="267">
        <v>0.25</v>
      </c>
      <c r="AA611" s="267">
        <v>0.25</v>
      </c>
      <c r="AB611" s="224">
        <v>1</v>
      </c>
      <c r="AC611" s="267"/>
      <c r="AD611" s="267"/>
      <c r="AE611" s="267"/>
      <c r="AF611" s="267"/>
      <c r="AG611" s="224">
        <v>0</v>
      </c>
      <c r="AH611" s="267"/>
      <c r="AI611" s="267"/>
      <c r="AJ611" s="267"/>
      <c r="AK611" s="267"/>
      <c r="AL611" s="224">
        <v>0</v>
      </c>
      <c r="AM611" s="102">
        <v>1</v>
      </c>
      <c r="AN611" s="103" t="s">
        <v>685</v>
      </c>
      <c r="AO611" s="103" t="s">
        <v>621</v>
      </c>
      <c r="AP611" s="103" t="s">
        <v>1225</v>
      </c>
      <c r="AQ611" s="103" t="s">
        <v>1199</v>
      </c>
      <c r="AR611" s="103" t="s">
        <v>946</v>
      </c>
      <c r="AS611" s="268"/>
      <c r="AT611" s="268"/>
      <c r="AU611" s="268"/>
      <c r="AV611" s="268"/>
      <c r="AW611" s="268"/>
      <c r="AX611" s="268"/>
      <c r="AY611" s="268"/>
      <c r="AZ611" s="268"/>
      <c r="BA611" s="268"/>
      <c r="BB611" s="268"/>
      <c r="BC611" s="268"/>
      <c r="BD611" s="268"/>
      <c r="BE611" s="268"/>
      <c r="BF611" s="268"/>
      <c r="BG611" s="268"/>
      <c r="BH611" s="234">
        <f t="shared" ref="BH611:BH616" si="241">IF(W611=0,0,BG611+BF611+BE611+BD611+BC611+BB611+BA611+AZ611+AY611+AX611+AW611+AV611+AU611+AT611+AS611)</f>
        <v>0</v>
      </c>
      <c r="BI611" s="268"/>
      <c r="BJ611" s="268"/>
      <c r="BK611" s="268"/>
      <c r="BL611" s="268"/>
      <c r="BM611" s="268">
        <v>9982762</v>
      </c>
      <c r="BN611" s="268"/>
      <c r="BO611" s="268"/>
      <c r="BP611" s="268"/>
      <c r="BQ611" s="268"/>
      <c r="BR611" s="268"/>
      <c r="BS611" s="268"/>
      <c r="BT611" s="268"/>
      <c r="BU611" s="268"/>
      <c r="BV611" s="268"/>
      <c r="BW611" s="268"/>
      <c r="BX611" s="234">
        <f t="shared" ref="BX611:BX616" si="242">IF(AB611=0,0,BI611+BJ611+BK611+BL611+BM611+BN611+BO611+BP611+BQ611+BR611+BS611+BT611+BU611+BV611+BW611)</f>
        <v>9982762</v>
      </c>
      <c r="BY611" s="268"/>
      <c r="BZ611" s="268"/>
      <c r="CA611" s="268"/>
      <c r="CB611" s="268"/>
      <c r="CC611" s="268"/>
      <c r="CD611" s="268"/>
      <c r="CE611" s="268"/>
      <c r="CF611" s="268"/>
      <c r="CG611" s="268"/>
      <c r="CH611" s="268"/>
      <c r="CI611" s="268"/>
      <c r="CJ611" s="268"/>
      <c r="CK611" s="268"/>
      <c r="CL611" s="268"/>
      <c r="CM611" s="268"/>
      <c r="CN611" s="234">
        <f t="shared" ref="CN611:CN616" si="243">IF(AG611=0,0,(BY611+BZ611+CA611+CB611+CC611+CD611+CE611+CF611+CG611+CH611+CI611+CJ611+CK611+CL611+CM611))</f>
        <v>0</v>
      </c>
      <c r="CO611" s="268"/>
      <c r="CP611" s="268"/>
      <c r="CQ611" s="268"/>
      <c r="CR611" s="268"/>
      <c r="CS611" s="268"/>
      <c r="CT611" s="268"/>
      <c r="CU611" s="268"/>
      <c r="CV611" s="268"/>
      <c r="CW611" s="268"/>
      <c r="CX611" s="268"/>
      <c r="CY611" s="268"/>
      <c r="CZ611" s="268"/>
      <c r="DA611" s="268"/>
      <c r="DB611" s="268"/>
      <c r="DC611" s="268"/>
      <c r="DD611" s="234">
        <f t="shared" ref="DD611:DD616" si="244">IF(AL611=0,0,(CO611+CP611+CQ611+CR611+CS611+CT611+CU611+CV611+CW611+CX611+CY611+CZ611+DA611+DB611+DC611))</f>
        <v>0</v>
      </c>
      <c r="DE611" s="243">
        <f t="shared" ref="DE611:DE616" si="245">SUM(DD611+CN611+BX611+BH611)</f>
        <v>9982762</v>
      </c>
    </row>
    <row r="612" spans="1:109" s="99" customFormat="1" ht="152.1" customHeight="1">
      <c r="A612" s="103" t="s">
        <v>1243</v>
      </c>
      <c r="B612" s="279" t="s">
        <v>1469</v>
      </c>
      <c r="C612" s="279" t="s">
        <v>1691</v>
      </c>
      <c r="D612" s="279">
        <v>47</v>
      </c>
      <c r="E612" s="279" t="s">
        <v>1539</v>
      </c>
      <c r="F612" s="280" t="s">
        <v>1540</v>
      </c>
      <c r="G612" s="279" t="s">
        <v>3054</v>
      </c>
      <c r="H612" s="279">
        <v>56</v>
      </c>
      <c r="I612" s="279" t="s">
        <v>194</v>
      </c>
      <c r="J612" s="279" t="s">
        <v>683</v>
      </c>
      <c r="K612" s="279">
        <v>0</v>
      </c>
      <c r="L612" s="279">
        <v>2</v>
      </c>
      <c r="M612" s="279" t="s">
        <v>1541</v>
      </c>
      <c r="N612" s="279" t="s">
        <v>1542</v>
      </c>
      <c r="O612" s="279" t="s">
        <v>1543</v>
      </c>
      <c r="P612" s="283">
        <v>551</v>
      </c>
      <c r="Q612" s="279" t="s">
        <v>3056</v>
      </c>
      <c r="R612" s="279" t="s">
        <v>1544</v>
      </c>
      <c r="S612" s="279" t="s">
        <v>683</v>
      </c>
      <c r="T612" s="279">
        <v>1</v>
      </c>
      <c r="U612" s="267"/>
      <c r="V612" s="267">
        <v>1</v>
      </c>
      <c r="W612" s="224">
        <v>1</v>
      </c>
      <c r="X612" s="267"/>
      <c r="Y612" s="267"/>
      <c r="Z612" s="267"/>
      <c r="AA612" s="267">
        <v>1</v>
      </c>
      <c r="AB612" s="224">
        <v>1</v>
      </c>
      <c r="AC612" s="267">
        <v>1</v>
      </c>
      <c r="AD612" s="267">
        <v>1</v>
      </c>
      <c r="AE612" s="267">
        <v>1</v>
      </c>
      <c r="AF612" s="267">
        <v>1</v>
      </c>
      <c r="AG612" s="224">
        <v>1</v>
      </c>
      <c r="AH612" s="267">
        <v>1</v>
      </c>
      <c r="AI612" s="267">
        <v>1</v>
      </c>
      <c r="AJ612" s="267">
        <v>1</v>
      </c>
      <c r="AK612" s="267">
        <v>1</v>
      </c>
      <c r="AL612" s="224">
        <v>1</v>
      </c>
      <c r="AM612" s="104">
        <v>1</v>
      </c>
      <c r="AN612" s="103" t="s">
        <v>686</v>
      </c>
      <c r="AO612" s="103" t="s">
        <v>621</v>
      </c>
      <c r="AP612" s="103" t="s">
        <v>1225</v>
      </c>
      <c r="AQ612" s="103" t="s">
        <v>1200</v>
      </c>
      <c r="AR612" s="103" t="s">
        <v>946</v>
      </c>
      <c r="AS612" s="271"/>
      <c r="AT612" s="271"/>
      <c r="AU612" s="271"/>
      <c r="AV612" s="271"/>
      <c r="AW612" s="271">
        <v>1000000</v>
      </c>
      <c r="AX612" s="271"/>
      <c r="AY612" s="271"/>
      <c r="AZ612" s="271"/>
      <c r="BA612" s="271"/>
      <c r="BB612" s="271"/>
      <c r="BC612" s="271"/>
      <c r="BD612" s="271"/>
      <c r="BE612" s="271"/>
      <c r="BF612" s="271"/>
      <c r="BG612" s="271"/>
      <c r="BH612" s="235">
        <f t="shared" si="241"/>
        <v>1000000</v>
      </c>
      <c r="BI612" s="271"/>
      <c r="BJ612" s="271"/>
      <c r="BK612" s="271"/>
      <c r="BL612" s="271"/>
      <c r="BM612" s="271">
        <v>1000000</v>
      </c>
      <c r="BN612" s="271"/>
      <c r="BO612" s="271"/>
      <c r="BP612" s="271"/>
      <c r="BQ612" s="271"/>
      <c r="BR612" s="271"/>
      <c r="BS612" s="271"/>
      <c r="BT612" s="271"/>
      <c r="BU612" s="271"/>
      <c r="BV612" s="271"/>
      <c r="BW612" s="271"/>
      <c r="BX612" s="235">
        <f t="shared" si="242"/>
        <v>1000000</v>
      </c>
      <c r="BY612" s="271"/>
      <c r="BZ612" s="271"/>
      <c r="CA612" s="271"/>
      <c r="CB612" s="271"/>
      <c r="CC612" s="271">
        <v>10614294</v>
      </c>
      <c r="CD612" s="271"/>
      <c r="CE612" s="271"/>
      <c r="CF612" s="271"/>
      <c r="CG612" s="271"/>
      <c r="CH612" s="271"/>
      <c r="CI612" s="271"/>
      <c r="CJ612" s="271"/>
      <c r="CK612" s="271"/>
      <c r="CL612" s="271"/>
      <c r="CM612" s="271"/>
      <c r="CN612" s="235">
        <f t="shared" si="243"/>
        <v>10614294</v>
      </c>
      <c r="CO612" s="271"/>
      <c r="CP612" s="271"/>
      <c r="CQ612" s="271"/>
      <c r="CR612" s="271"/>
      <c r="CS612" s="271">
        <v>5000000</v>
      </c>
      <c r="CT612" s="271"/>
      <c r="CU612" s="271"/>
      <c r="CV612" s="271"/>
      <c r="CW612" s="271"/>
      <c r="CX612" s="271"/>
      <c r="CY612" s="271"/>
      <c r="CZ612" s="271"/>
      <c r="DA612" s="271"/>
      <c r="DB612" s="271"/>
      <c r="DC612" s="271"/>
      <c r="DD612" s="234">
        <f t="shared" si="244"/>
        <v>5000000</v>
      </c>
      <c r="DE612" s="244">
        <f t="shared" si="245"/>
        <v>17614294</v>
      </c>
    </row>
    <row r="613" spans="1:109" s="99" customFormat="1" ht="152.1" customHeight="1">
      <c r="A613" s="103" t="s">
        <v>1243</v>
      </c>
      <c r="B613" s="279" t="s">
        <v>1469</v>
      </c>
      <c r="C613" s="279" t="s">
        <v>1691</v>
      </c>
      <c r="D613" s="279">
        <v>47</v>
      </c>
      <c r="E613" s="279" t="s">
        <v>1539</v>
      </c>
      <c r="F613" s="280" t="s">
        <v>1540</v>
      </c>
      <c r="G613" s="279" t="s">
        <v>3054</v>
      </c>
      <c r="H613" s="279">
        <v>56</v>
      </c>
      <c r="I613" s="279" t="s">
        <v>194</v>
      </c>
      <c r="J613" s="279" t="s">
        <v>683</v>
      </c>
      <c r="K613" s="279">
        <v>0</v>
      </c>
      <c r="L613" s="279">
        <v>2</v>
      </c>
      <c r="M613" s="279" t="s">
        <v>1541</v>
      </c>
      <c r="N613" s="279" t="s">
        <v>1542</v>
      </c>
      <c r="O613" s="279" t="s">
        <v>1543</v>
      </c>
      <c r="P613" s="283">
        <v>552</v>
      </c>
      <c r="Q613" s="279" t="s">
        <v>3057</v>
      </c>
      <c r="R613" s="279" t="s">
        <v>1545</v>
      </c>
      <c r="S613" s="279" t="s">
        <v>683</v>
      </c>
      <c r="T613" s="279">
        <v>1</v>
      </c>
      <c r="U613" s="267"/>
      <c r="V613" s="267"/>
      <c r="W613" s="224">
        <v>0</v>
      </c>
      <c r="X613" s="267"/>
      <c r="Y613" s="267"/>
      <c r="Z613" s="267"/>
      <c r="AA613" s="267"/>
      <c r="AB613" s="224">
        <v>0</v>
      </c>
      <c r="AC613" s="267"/>
      <c r="AD613" s="267">
        <v>1</v>
      </c>
      <c r="AE613" s="267"/>
      <c r="AF613" s="267"/>
      <c r="AG613" s="224">
        <v>1</v>
      </c>
      <c r="AH613" s="267"/>
      <c r="AI613" s="267"/>
      <c r="AJ613" s="267"/>
      <c r="AK613" s="267"/>
      <c r="AL613" s="224">
        <v>0</v>
      </c>
      <c r="AM613" s="104">
        <v>1</v>
      </c>
      <c r="AN613" s="103" t="s">
        <v>685</v>
      </c>
      <c r="AO613" s="103" t="s">
        <v>621</v>
      </c>
      <c r="AP613" s="103" t="s">
        <v>1225</v>
      </c>
      <c r="AQ613" s="103" t="s">
        <v>1193</v>
      </c>
      <c r="AR613" s="103" t="s">
        <v>946</v>
      </c>
      <c r="AS613" s="271"/>
      <c r="AT613" s="271"/>
      <c r="AU613" s="271"/>
      <c r="AV613" s="271"/>
      <c r="AW613" s="271"/>
      <c r="AX613" s="271"/>
      <c r="AY613" s="271"/>
      <c r="AZ613" s="271"/>
      <c r="BA613" s="271"/>
      <c r="BB613" s="271"/>
      <c r="BC613" s="271"/>
      <c r="BD613" s="271"/>
      <c r="BE613" s="271"/>
      <c r="BF613" s="271"/>
      <c r="BG613" s="271"/>
      <c r="BH613" s="235">
        <f t="shared" si="241"/>
        <v>0</v>
      </c>
      <c r="BI613" s="271"/>
      <c r="BJ613" s="271"/>
      <c r="BK613" s="271"/>
      <c r="BL613" s="271"/>
      <c r="BM613" s="271"/>
      <c r="BN613" s="271"/>
      <c r="BO613" s="271"/>
      <c r="BP613" s="271"/>
      <c r="BQ613" s="271"/>
      <c r="BR613" s="271"/>
      <c r="BS613" s="271"/>
      <c r="BT613" s="271"/>
      <c r="BU613" s="271"/>
      <c r="BV613" s="271"/>
      <c r="BW613" s="271"/>
      <c r="BX613" s="235">
        <f t="shared" si="242"/>
        <v>0</v>
      </c>
      <c r="BY613" s="271"/>
      <c r="BZ613" s="271"/>
      <c r="CA613" s="271"/>
      <c r="CB613" s="271"/>
      <c r="CC613" s="271"/>
      <c r="CD613" s="271"/>
      <c r="CE613" s="271"/>
      <c r="CF613" s="271"/>
      <c r="CG613" s="271"/>
      <c r="CH613" s="271"/>
      <c r="CI613" s="271"/>
      <c r="CJ613" s="271"/>
      <c r="CK613" s="271"/>
      <c r="CL613" s="271"/>
      <c r="CM613" s="271">
        <v>1000000000</v>
      </c>
      <c r="CN613" s="235">
        <f t="shared" si="243"/>
        <v>1000000000</v>
      </c>
      <c r="CO613" s="271"/>
      <c r="CP613" s="271"/>
      <c r="CQ613" s="271"/>
      <c r="CR613" s="271"/>
      <c r="CS613" s="271"/>
      <c r="CT613" s="271"/>
      <c r="CU613" s="271"/>
      <c r="CV613" s="271"/>
      <c r="CW613" s="271"/>
      <c r="CX613" s="271"/>
      <c r="CY613" s="271"/>
      <c r="CZ613" s="271"/>
      <c r="DA613" s="271"/>
      <c r="DB613" s="271"/>
      <c r="DC613" s="271"/>
      <c r="DD613" s="234">
        <f t="shared" si="244"/>
        <v>0</v>
      </c>
      <c r="DE613" s="244">
        <f t="shared" si="245"/>
        <v>1000000000</v>
      </c>
    </row>
    <row r="614" spans="1:109" s="99" customFormat="1" ht="152.1" customHeight="1">
      <c r="A614" s="103" t="s">
        <v>1243</v>
      </c>
      <c r="B614" s="279" t="s">
        <v>1469</v>
      </c>
      <c r="C614" s="279" t="s">
        <v>1691</v>
      </c>
      <c r="D614" s="279">
        <v>47</v>
      </c>
      <c r="E614" s="279" t="s">
        <v>1539</v>
      </c>
      <c r="F614" s="280" t="s">
        <v>1540</v>
      </c>
      <c r="G614" s="279" t="s">
        <v>3054</v>
      </c>
      <c r="H614" s="279">
        <v>56</v>
      </c>
      <c r="I614" s="279" t="s">
        <v>194</v>
      </c>
      <c r="J614" s="279" t="s">
        <v>683</v>
      </c>
      <c r="K614" s="279">
        <v>0</v>
      </c>
      <c r="L614" s="279">
        <v>2</v>
      </c>
      <c r="M614" s="279" t="s">
        <v>1541</v>
      </c>
      <c r="N614" s="279" t="s">
        <v>1542</v>
      </c>
      <c r="O614" s="279" t="s">
        <v>1543</v>
      </c>
      <c r="P614" s="283">
        <v>553</v>
      </c>
      <c r="Q614" s="279" t="s">
        <v>3597</v>
      </c>
      <c r="R614" s="279" t="s">
        <v>1546</v>
      </c>
      <c r="S614" s="279" t="s">
        <v>683</v>
      </c>
      <c r="T614" s="279">
        <v>0</v>
      </c>
      <c r="U614" s="267"/>
      <c r="V614" s="267">
        <v>1</v>
      </c>
      <c r="W614" s="224">
        <v>1</v>
      </c>
      <c r="X614" s="267">
        <v>1</v>
      </c>
      <c r="Y614" s="267">
        <v>1</v>
      </c>
      <c r="Z614" s="267">
        <v>1</v>
      </c>
      <c r="AA614" s="267">
        <v>1</v>
      </c>
      <c r="AB614" s="224">
        <v>4</v>
      </c>
      <c r="AC614" s="267">
        <v>1</v>
      </c>
      <c r="AD614" s="267">
        <v>1</v>
      </c>
      <c r="AE614" s="267">
        <v>1</v>
      </c>
      <c r="AF614" s="267">
        <v>1</v>
      </c>
      <c r="AG614" s="224">
        <v>4</v>
      </c>
      <c r="AH614" s="267">
        <v>1</v>
      </c>
      <c r="AI614" s="267">
        <v>1</v>
      </c>
      <c r="AJ614" s="267">
        <v>1</v>
      </c>
      <c r="AK614" s="267">
        <v>1</v>
      </c>
      <c r="AL614" s="224">
        <v>4</v>
      </c>
      <c r="AM614" s="104">
        <v>13</v>
      </c>
      <c r="AN614" s="103" t="s">
        <v>685</v>
      </c>
      <c r="AO614" s="103" t="s">
        <v>621</v>
      </c>
      <c r="AP614" s="103" t="s">
        <v>1225</v>
      </c>
      <c r="AQ614" s="103" t="s">
        <v>1197</v>
      </c>
      <c r="AR614" s="103" t="s">
        <v>946</v>
      </c>
      <c r="AS614" s="271"/>
      <c r="AT614" s="271"/>
      <c r="AU614" s="271"/>
      <c r="AV614" s="271"/>
      <c r="AW614" s="271">
        <v>5935040</v>
      </c>
      <c r="AX614" s="271"/>
      <c r="AY614" s="271"/>
      <c r="AZ614" s="271"/>
      <c r="BA614" s="271"/>
      <c r="BB614" s="271"/>
      <c r="BC614" s="271"/>
      <c r="BD614" s="271"/>
      <c r="BE614" s="271"/>
      <c r="BF614" s="271"/>
      <c r="BG614" s="271"/>
      <c r="BH614" s="235">
        <f t="shared" si="241"/>
        <v>5935040</v>
      </c>
      <c r="BI614" s="271"/>
      <c r="BJ614" s="271"/>
      <c r="BK614" s="271"/>
      <c r="BL614" s="271"/>
      <c r="BM614" s="271">
        <v>10982762</v>
      </c>
      <c r="BN614" s="271"/>
      <c r="BO614" s="271"/>
      <c r="BP614" s="271"/>
      <c r="BQ614" s="271"/>
      <c r="BR614" s="271"/>
      <c r="BS614" s="271"/>
      <c r="BT614" s="271"/>
      <c r="BU614" s="271"/>
      <c r="BV614" s="271"/>
      <c r="BW614" s="271"/>
      <c r="BX614" s="235">
        <f t="shared" si="242"/>
        <v>10982762</v>
      </c>
      <c r="BY614" s="271"/>
      <c r="BZ614" s="271"/>
      <c r="CA614" s="271"/>
      <c r="CB614" s="271"/>
      <c r="CC614" s="271">
        <v>40000000</v>
      </c>
      <c r="CD614" s="271"/>
      <c r="CE614" s="271"/>
      <c r="CF614" s="271"/>
      <c r="CG614" s="271"/>
      <c r="CH614" s="271"/>
      <c r="CI614" s="271"/>
      <c r="CJ614" s="271"/>
      <c r="CK614" s="271"/>
      <c r="CL614" s="271"/>
      <c r="CM614" s="271"/>
      <c r="CN614" s="235">
        <f t="shared" si="243"/>
        <v>40000000</v>
      </c>
      <c r="CO614" s="271"/>
      <c r="CP614" s="271"/>
      <c r="CQ614" s="271"/>
      <c r="CR614" s="271"/>
      <c r="CS614" s="271">
        <v>15000000</v>
      </c>
      <c r="CT614" s="271"/>
      <c r="CU614" s="271"/>
      <c r="CV614" s="271"/>
      <c r="CW614" s="271"/>
      <c r="CX614" s="271"/>
      <c r="CY614" s="271"/>
      <c r="CZ614" s="271"/>
      <c r="DA614" s="271"/>
      <c r="DB614" s="271"/>
      <c r="DC614" s="271"/>
      <c r="DD614" s="234">
        <f t="shared" si="244"/>
        <v>15000000</v>
      </c>
      <c r="DE614" s="244">
        <f t="shared" si="245"/>
        <v>71917802</v>
      </c>
    </row>
    <row r="615" spans="1:109" s="99" customFormat="1" ht="152.1" customHeight="1">
      <c r="A615" s="103" t="s">
        <v>1243</v>
      </c>
      <c r="B615" s="279" t="s">
        <v>1469</v>
      </c>
      <c r="C615" s="279" t="s">
        <v>1691</v>
      </c>
      <c r="D615" s="279">
        <v>47</v>
      </c>
      <c r="E615" s="279" t="s">
        <v>1539</v>
      </c>
      <c r="F615" s="280" t="s">
        <v>1540</v>
      </c>
      <c r="G615" s="279" t="s">
        <v>3054</v>
      </c>
      <c r="H615" s="279">
        <v>56</v>
      </c>
      <c r="I615" s="279" t="s">
        <v>194</v>
      </c>
      <c r="J615" s="279" t="s">
        <v>683</v>
      </c>
      <c r="K615" s="279">
        <v>0</v>
      </c>
      <c r="L615" s="279">
        <v>2</v>
      </c>
      <c r="M615" s="279" t="s">
        <v>1541</v>
      </c>
      <c r="N615" s="279" t="s">
        <v>1542</v>
      </c>
      <c r="O615" s="279" t="s">
        <v>1543</v>
      </c>
      <c r="P615" s="283">
        <v>554</v>
      </c>
      <c r="Q615" s="279" t="s">
        <v>3734</v>
      </c>
      <c r="R615" s="279" t="s">
        <v>1547</v>
      </c>
      <c r="S615" s="279" t="s">
        <v>683</v>
      </c>
      <c r="T615" s="279">
        <v>0</v>
      </c>
      <c r="U615" s="267"/>
      <c r="V615" s="267"/>
      <c r="W615" s="224">
        <v>0</v>
      </c>
      <c r="X615" s="267"/>
      <c r="Y615" s="267">
        <v>0.5</v>
      </c>
      <c r="Z615" s="267"/>
      <c r="AA615" s="267"/>
      <c r="AB615" s="224">
        <v>0.5</v>
      </c>
      <c r="AC615" s="267"/>
      <c r="AD615" s="267"/>
      <c r="AE615" s="267"/>
      <c r="AF615" s="267">
        <v>1</v>
      </c>
      <c r="AG615" s="224">
        <v>1</v>
      </c>
      <c r="AH615" s="267"/>
      <c r="AI615" s="267"/>
      <c r="AJ615" s="267"/>
      <c r="AK615" s="267">
        <v>0.5</v>
      </c>
      <c r="AL615" s="224">
        <v>0.5</v>
      </c>
      <c r="AM615" s="104">
        <v>2</v>
      </c>
      <c r="AN615" s="103" t="s">
        <v>685</v>
      </c>
      <c r="AO615" s="103" t="s">
        <v>621</v>
      </c>
      <c r="AP615" s="103" t="s">
        <v>1225</v>
      </c>
      <c r="AQ615" s="103" t="s">
        <v>1197</v>
      </c>
      <c r="AR615" s="103" t="s">
        <v>946</v>
      </c>
      <c r="AS615" s="271"/>
      <c r="AT615" s="271"/>
      <c r="AU615" s="271"/>
      <c r="AV615" s="271"/>
      <c r="AW615" s="271"/>
      <c r="AX615" s="271"/>
      <c r="AY615" s="271"/>
      <c r="AZ615" s="271"/>
      <c r="BA615" s="271"/>
      <c r="BB615" s="271"/>
      <c r="BC615" s="271"/>
      <c r="BD615" s="271"/>
      <c r="BE615" s="271"/>
      <c r="BF615" s="271"/>
      <c r="BG615" s="271"/>
      <c r="BH615" s="235">
        <f t="shared" si="241"/>
        <v>0</v>
      </c>
      <c r="BI615" s="271"/>
      <c r="BJ615" s="271"/>
      <c r="BK615" s="271"/>
      <c r="BL615" s="271"/>
      <c r="BM615" s="271">
        <v>16474143</v>
      </c>
      <c r="BN615" s="271"/>
      <c r="BO615" s="271"/>
      <c r="BP615" s="271"/>
      <c r="BQ615" s="271"/>
      <c r="BR615" s="271"/>
      <c r="BS615" s="271"/>
      <c r="BT615" s="271"/>
      <c r="BU615" s="271"/>
      <c r="BV615" s="271"/>
      <c r="BW615" s="271"/>
      <c r="BX615" s="235">
        <f t="shared" si="242"/>
        <v>16474143</v>
      </c>
      <c r="BY615" s="271"/>
      <c r="BZ615" s="271"/>
      <c r="CA615" s="271"/>
      <c r="CB615" s="271"/>
      <c r="CC615" s="271"/>
      <c r="CD615" s="271"/>
      <c r="CE615" s="271"/>
      <c r="CF615" s="271"/>
      <c r="CG615" s="271"/>
      <c r="CH615" s="271"/>
      <c r="CI615" s="271"/>
      <c r="CJ615" s="271"/>
      <c r="CK615" s="271"/>
      <c r="CL615" s="271"/>
      <c r="CM615" s="271">
        <v>1375000000</v>
      </c>
      <c r="CN615" s="235">
        <f t="shared" si="243"/>
        <v>1375000000</v>
      </c>
      <c r="CO615" s="271"/>
      <c r="CP615" s="271"/>
      <c r="CQ615" s="271"/>
      <c r="CR615" s="271"/>
      <c r="CS615" s="271">
        <v>33765794</v>
      </c>
      <c r="CT615" s="271"/>
      <c r="CU615" s="271"/>
      <c r="CV615" s="271"/>
      <c r="CW615" s="271"/>
      <c r="CX615" s="271"/>
      <c r="CY615" s="271"/>
      <c r="CZ615" s="271"/>
      <c r="DA615" s="271"/>
      <c r="DB615" s="271"/>
      <c r="DC615" s="271"/>
      <c r="DD615" s="234">
        <f t="shared" si="244"/>
        <v>33765794</v>
      </c>
      <c r="DE615" s="244">
        <f t="shared" si="245"/>
        <v>1425239937</v>
      </c>
    </row>
    <row r="616" spans="1:109" s="99" customFormat="1" ht="152.1" customHeight="1">
      <c r="A616" s="120" t="s">
        <v>1243</v>
      </c>
      <c r="B616" s="281" t="s">
        <v>1469</v>
      </c>
      <c r="C616" s="281" t="s">
        <v>1691</v>
      </c>
      <c r="D616" s="281">
        <v>47</v>
      </c>
      <c r="E616" s="281" t="s">
        <v>1539</v>
      </c>
      <c r="F616" s="282" t="s">
        <v>1540</v>
      </c>
      <c r="G616" s="281" t="s">
        <v>3054</v>
      </c>
      <c r="H616" s="281">
        <v>56</v>
      </c>
      <c r="I616" s="281" t="s">
        <v>194</v>
      </c>
      <c r="J616" s="281" t="s">
        <v>683</v>
      </c>
      <c r="K616" s="281">
        <v>0</v>
      </c>
      <c r="L616" s="281">
        <v>2</v>
      </c>
      <c r="M616" s="281" t="s">
        <v>1541</v>
      </c>
      <c r="N616" s="281" t="s">
        <v>1542</v>
      </c>
      <c r="O616" s="281" t="s">
        <v>1543</v>
      </c>
      <c r="P616" s="283">
        <v>555</v>
      </c>
      <c r="Q616" s="281" t="s">
        <v>3493</v>
      </c>
      <c r="R616" s="281" t="s">
        <v>3604</v>
      </c>
      <c r="S616" s="281" t="s">
        <v>683</v>
      </c>
      <c r="T616" s="281">
        <v>0</v>
      </c>
      <c r="U616" s="275"/>
      <c r="V616" s="275">
        <v>0.5</v>
      </c>
      <c r="W616" s="225">
        <v>0.5</v>
      </c>
      <c r="X616" s="275"/>
      <c r="Y616" s="275"/>
      <c r="Z616" s="275">
        <v>0.5</v>
      </c>
      <c r="AA616" s="275"/>
      <c r="AB616" s="225">
        <v>0.5</v>
      </c>
      <c r="AC616" s="275"/>
      <c r="AD616" s="275">
        <v>0.5</v>
      </c>
      <c r="AE616" s="275"/>
      <c r="AF616" s="275">
        <v>0.5</v>
      </c>
      <c r="AG616" s="225">
        <v>1</v>
      </c>
      <c r="AH616" s="275"/>
      <c r="AI616" s="275"/>
      <c r="AJ616" s="275"/>
      <c r="AK616" s="275"/>
      <c r="AL616" s="225">
        <v>0</v>
      </c>
      <c r="AM616" s="119">
        <v>2</v>
      </c>
      <c r="AN616" s="120" t="s">
        <v>685</v>
      </c>
      <c r="AO616" s="120" t="s">
        <v>621</v>
      </c>
      <c r="AP616" s="120" t="s">
        <v>1225</v>
      </c>
      <c r="AQ616" s="120" t="s">
        <v>1197</v>
      </c>
      <c r="AR616" s="120" t="s">
        <v>946</v>
      </c>
      <c r="AS616" s="276"/>
      <c r="AT616" s="276"/>
      <c r="AU616" s="276"/>
      <c r="AV616" s="276"/>
      <c r="AW616" s="276">
        <v>10402560</v>
      </c>
      <c r="AX616" s="276"/>
      <c r="AY616" s="276"/>
      <c r="AZ616" s="276"/>
      <c r="BA616" s="276"/>
      <c r="BB616" s="276"/>
      <c r="BC616" s="276"/>
      <c r="BD616" s="276"/>
      <c r="BE616" s="276"/>
      <c r="BF616" s="276"/>
      <c r="BG616" s="276"/>
      <c r="BH616" s="236">
        <f t="shared" si="241"/>
        <v>10402560</v>
      </c>
      <c r="BI616" s="276"/>
      <c r="BJ616" s="276"/>
      <c r="BK616" s="276"/>
      <c r="BL616" s="276"/>
      <c r="BM616" s="276">
        <v>16474143</v>
      </c>
      <c r="BN616" s="276"/>
      <c r="BO616" s="276"/>
      <c r="BP616" s="276"/>
      <c r="BQ616" s="276"/>
      <c r="BR616" s="276"/>
      <c r="BS616" s="276"/>
      <c r="BT616" s="276"/>
      <c r="BU616" s="276"/>
      <c r="BV616" s="276"/>
      <c r="BW616" s="276"/>
      <c r="BX616" s="236">
        <f t="shared" si="242"/>
        <v>16474143</v>
      </c>
      <c r="BY616" s="276"/>
      <c r="BZ616" s="276"/>
      <c r="CA616" s="276"/>
      <c r="CB616" s="276"/>
      <c r="CC616" s="276"/>
      <c r="CD616" s="276"/>
      <c r="CE616" s="276"/>
      <c r="CF616" s="276"/>
      <c r="CG616" s="276"/>
      <c r="CH616" s="276"/>
      <c r="CI616" s="276"/>
      <c r="CJ616" s="276"/>
      <c r="CK616" s="276"/>
      <c r="CL616" s="276"/>
      <c r="CM616" s="276">
        <v>1375000000</v>
      </c>
      <c r="CN616" s="236">
        <f t="shared" si="243"/>
        <v>1375000000</v>
      </c>
      <c r="CO616" s="276"/>
      <c r="CP616" s="276"/>
      <c r="CQ616" s="276"/>
      <c r="CR616" s="276"/>
      <c r="CS616" s="276"/>
      <c r="CT616" s="276"/>
      <c r="CU616" s="276"/>
      <c r="CV616" s="276"/>
      <c r="CW616" s="276"/>
      <c r="CX616" s="276"/>
      <c r="CY616" s="276"/>
      <c r="CZ616" s="276"/>
      <c r="DA616" s="276"/>
      <c r="DB616" s="276"/>
      <c r="DC616" s="276"/>
      <c r="DD616" s="240">
        <f t="shared" si="244"/>
        <v>0</v>
      </c>
      <c r="DE616" s="245">
        <f t="shared" si="245"/>
        <v>1401876703</v>
      </c>
    </row>
    <row r="617" spans="1:109" s="46" customFormat="1" ht="65.099999999999994" customHeight="1">
      <c r="A617" s="134" t="s">
        <v>1243</v>
      </c>
      <c r="B617" s="134" t="s">
        <v>1469</v>
      </c>
      <c r="C617" s="134" t="s">
        <v>1691</v>
      </c>
      <c r="D617" s="134">
        <v>47</v>
      </c>
      <c r="E617" s="134" t="s">
        <v>1539</v>
      </c>
      <c r="F617" s="135"/>
      <c r="G617" s="136"/>
      <c r="H617" s="137"/>
      <c r="I617" s="137"/>
      <c r="J617" s="137"/>
      <c r="K617" s="138"/>
      <c r="L617" s="137"/>
      <c r="M617" s="137"/>
      <c r="N617" s="137"/>
      <c r="O617" s="137"/>
      <c r="P617" s="137"/>
      <c r="Q617" s="136"/>
      <c r="R617" s="139"/>
      <c r="S617" s="137"/>
      <c r="T617" s="137"/>
      <c r="U617" s="140"/>
      <c r="V617" s="140"/>
      <c r="W617" s="138"/>
      <c r="X617" s="140"/>
      <c r="Y617" s="140"/>
      <c r="Z617" s="140"/>
      <c r="AA617" s="140"/>
      <c r="AB617" s="138"/>
      <c r="AC617" s="140"/>
      <c r="AD617" s="140"/>
      <c r="AE617" s="140"/>
      <c r="AF617" s="140"/>
      <c r="AG617" s="138"/>
      <c r="AH617" s="140"/>
      <c r="AI617" s="140"/>
      <c r="AJ617" s="140"/>
      <c r="AK617" s="140"/>
      <c r="AL617" s="138"/>
      <c r="AM617" s="141"/>
      <c r="AN617" s="142"/>
      <c r="AO617" s="142"/>
      <c r="AP617" s="143"/>
      <c r="AQ617" s="143"/>
      <c r="AR617" s="144"/>
      <c r="AS617" s="132">
        <f>SUM(AS611:AS616)</f>
        <v>0</v>
      </c>
      <c r="AT617" s="132">
        <f t="shared" ref="AT617:DE617" si="246">SUM(AT611:AT616)</f>
        <v>0</v>
      </c>
      <c r="AU617" s="132">
        <f t="shared" si="246"/>
        <v>0</v>
      </c>
      <c r="AV617" s="132">
        <f t="shared" si="246"/>
        <v>0</v>
      </c>
      <c r="AW617" s="132">
        <f t="shared" si="246"/>
        <v>17337600</v>
      </c>
      <c r="AX617" s="132">
        <f t="shared" si="246"/>
        <v>0</v>
      </c>
      <c r="AY617" s="132">
        <f t="shared" si="246"/>
        <v>0</v>
      </c>
      <c r="AZ617" s="132">
        <f t="shared" si="246"/>
        <v>0</v>
      </c>
      <c r="BA617" s="132">
        <f t="shared" si="246"/>
        <v>0</v>
      </c>
      <c r="BB617" s="132">
        <f t="shared" si="246"/>
        <v>0</v>
      </c>
      <c r="BC617" s="132">
        <f t="shared" si="246"/>
        <v>0</v>
      </c>
      <c r="BD617" s="132">
        <f t="shared" si="246"/>
        <v>0</v>
      </c>
      <c r="BE617" s="132">
        <f t="shared" si="246"/>
        <v>0</v>
      </c>
      <c r="BF617" s="132">
        <f t="shared" si="246"/>
        <v>0</v>
      </c>
      <c r="BG617" s="132">
        <f t="shared" si="246"/>
        <v>0</v>
      </c>
      <c r="BH617" s="133">
        <f>IF(OR(AND(BH611=0,W611&lt;&gt;0),AND(BH612=0,W612&lt;&gt;0),AND(BH613=0,W613&lt;&gt;0),AND(BH614=0,W614&lt;&gt;0),AND(BH615=0,W615&lt;&gt;0),AND(BH616=0,W616&lt;&gt;0)),"NO DEBEN QUEDAR CELDAS EN ROJO",SUM(BH611:BH616))</f>
        <v>17337600</v>
      </c>
      <c r="BI617" s="132">
        <f t="shared" si="246"/>
        <v>0</v>
      </c>
      <c r="BJ617" s="132">
        <f t="shared" si="246"/>
        <v>0</v>
      </c>
      <c r="BK617" s="132">
        <f t="shared" si="246"/>
        <v>0</v>
      </c>
      <c r="BL617" s="132">
        <f t="shared" si="246"/>
        <v>0</v>
      </c>
      <c r="BM617" s="132">
        <f t="shared" si="246"/>
        <v>54913810</v>
      </c>
      <c r="BN617" s="132">
        <f t="shared" si="246"/>
        <v>0</v>
      </c>
      <c r="BO617" s="132">
        <f t="shared" si="246"/>
        <v>0</v>
      </c>
      <c r="BP617" s="132">
        <f t="shared" si="246"/>
        <v>0</v>
      </c>
      <c r="BQ617" s="132">
        <f t="shared" si="246"/>
        <v>0</v>
      </c>
      <c r="BR617" s="132">
        <f t="shared" si="246"/>
        <v>0</v>
      </c>
      <c r="BS617" s="132">
        <f t="shared" si="246"/>
        <v>0</v>
      </c>
      <c r="BT617" s="132">
        <f t="shared" si="246"/>
        <v>0</v>
      </c>
      <c r="BU617" s="132">
        <f t="shared" si="246"/>
        <v>0</v>
      </c>
      <c r="BV617" s="132">
        <f t="shared" si="246"/>
        <v>0</v>
      </c>
      <c r="BW617" s="132">
        <f t="shared" si="246"/>
        <v>0</v>
      </c>
      <c r="BX617" s="133">
        <f>IF(OR(AND(BX611=0,AB611&lt;&gt;0),AND(BX612=0,AB612&lt;&gt;0),AND(BX613=0,AB613&lt;&gt;0),AND(BX614=0,AB614&lt;&gt;0),AND(BX615=0,AB615&lt;&gt;0),AND(BX616=0,AB616&lt;&gt;0)),"NO DEBEN QUEDAR CELDAS EN ROJO",SUM(BX611:BX616))</f>
        <v>54913810</v>
      </c>
      <c r="BY617" s="132">
        <f t="shared" si="246"/>
        <v>0</v>
      </c>
      <c r="BZ617" s="132">
        <f t="shared" si="246"/>
        <v>0</v>
      </c>
      <c r="CA617" s="132">
        <f t="shared" si="246"/>
        <v>0</v>
      </c>
      <c r="CB617" s="132">
        <f t="shared" si="246"/>
        <v>0</v>
      </c>
      <c r="CC617" s="132">
        <f t="shared" si="246"/>
        <v>50614294</v>
      </c>
      <c r="CD617" s="132">
        <f t="shared" si="246"/>
        <v>0</v>
      </c>
      <c r="CE617" s="132">
        <f t="shared" si="246"/>
        <v>0</v>
      </c>
      <c r="CF617" s="132">
        <f t="shared" si="246"/>
        <v>0</v>
      </c>
      <c r="CG617" s="132">
        <f t="shared" si="246"/>
        <v>0</v>
      </c>
      <c r="CH617" s="132">
        <f t="shared" si="246"/>
        <v>0</v>
      </c>
      <c r="CI617" s="132">
        <f t="shared" si="246"/>
        <v>0</v>
      </c>
      <c r="CJ617" s="132">
        <f t="shared" si="246"/>
        <v>0</v>
      </c>
      <c r="CK617" s="132">
        <f t="shared" si="246"/>
        <v>0</v>
      </c>
      <c r="CL617" s="132">
        <f t="shared" si="246"/>
        <v>0</v>
      </c>
      <c r="CM617" s="132">
        <f t="shared" si="246"/>
        <v>3750000000</v>
      </c>
      <c r="CN617" s="133">
        <f>IF(OR(AND(CN611=0,AG611&lt;&gt;0),AND(CN612=0,AG612&lt;&gt;0),AND(CN613=0,AG613&lt;&gt;0),AND(CN614=0,AG614&lt;&gt;0),AND(CN615=0,AG615&lt;&gt;0),AND(CN616=0,AG616&lt;&gt;0)),"NO DEBEN QUEDAR CELDAS EN ROJO",SUM(CN611:CN616))</f>
        <v>3800614294</v>
      </c>
      <c r="CO617" s="132">
        <f t="shared" si="246"/>
        <v>0</v>
      </c>
      <c r="CP617" s="132">
        <f t="shared" si="246"/>
        <v>0</v>
      </c>
      <c r="CQ617" s="132">
        <f t="shared" si="246"/>
        <v>0</v>
      </c>
      <c r="CR617" s="132">
        <f t="shared" si="246"/>
        <v>0</v>
      </c>
      <c r="CS617" s="132">
        <f t="shared" si="246"/>
        <v>53765794</v>
      </c>
      <c r="CT617" s="132">
        <f t="shared" si="246"/>
        <v>0</v>
      </c>
      <c r="CU617" s="132">
        <f t="shared" si="246"/>
        <v>0</v>
      </c>
      <c r="CV617" s="132">
        <f t="shared" si="246"/>
        <v>0</v>
      </c>
      <c r="CW617" s="132">
        <f t="shared" si="246"/>
        <v>0</v>
      </c>
      <c r="CX617" s="132">
        <f t="shared" si="246"/>
        <v>0</v>
      </c>
      <c r="CY617" s="132">
        <f t="shared" si="246"/>
        <v>0</v>
      </c>
      <c r="CZ617" s="132">
        <f t="shared" si="246"/>
        <v>0</v>
      </c>
      <c r="DA617" s="132">
        <f t="shared" si="246"/>
        <v>0</v>
      </c>
      <c r="DB617" s="132">
        <f t="shared" si="246"/>
        <v>0</v>
      </c>
      <c r="DC617" s="132">
        <f t="shared" si="246"/>
        <v>0</v>
      </c>
      <c r="DD617" s="133">
        <f>IF(OR(AND(DD611=0,AL611&lt;&gt;0),AND(DD612=0,AL612&lt;&gt;0),AND(DD613=0,AL613&lt;&gt;0),AND(DD614=0,AL614&lt;&gt;0),AND(DD615=0,AL615&lt;&gt;0),AND(DD616=0,AL616&lt;&gt;0)),"NO DEBEN QUEDAR CELDAS EN ROJO",SUM(DD611:DD616))</f>
        <v>53765794</v>
      </c>
      <c r="DE617" s="133">
        <f t="shared" si="246"/>
        <v>3926631498</v>
      </c>
    </row>
    <row r="618" spans="1:109" s="99" customFormat="1" ht="113.1" customHeight="1">
      <c r="A618" s="103" t="s">
        <v>1243</v>
      </c>
      <c r="B618" s="103" t="s">
        <v>1469</v>
      </c>
      <c r="C618" s="103" t="s">
        <v>1691</v>
      </c>
      <c r="D618" s="103">
        <v>48</v>
      </c>
      <c r="E618" s="103" t="s">
        <v>1548</v>
      </c>
      <c r="F618" s="278" t="s">
        <v>1549</v>
      </c>
      <c r="G618" s="103" t="s">
        <v>3058</v>
      </c>
      <c r="H618" s="103">
        <v>57</v>
      </c>
      <c r="I618" s="103" t="s">
        <v>1550</v>
      </c>
      <c r="J618" s="103" t="s">
        <v>683</v>
      </c>
      <c r="K618" s="103">
        <v>0</v>
      </c>
      <c r="L618" s="103">
        <v>1</v>
      </c>
      <c r="M618" s="103" t="s">
        <v>1551</v>
      </c>
      <c r="N618" s="103" t="s">
        <v>1552</v>
      </c>
      <c r="O618" s="103" t="s">
        <v>1553</v>
      </c>
      <c r="P618" s="283">
        <v>556</v>
      </c>
      <c r="Q618" s="103" t="s">
        <v>3059</v>
      </c>
      <c r="R618" s="103" t="s">
        <v>1554</v>
      </c>
      <c r="S618" s="103" t="s">
        <v>683</v>
      </c>
      <c r="T618" s="103">
        <v>1</v>
      </c>
      <c r="U618" s="267">
        <v>1</v>
      </c>
      <c r="V618" s="267">
        <v>1</v>
      </c>
      <c r="W618" s="224">
        <v>1</v>
      </c>
      <c r="X618" s="267">
        <v>1</v>
      </c>
      <c r="Y618" s="267">
        <v>1</v>
      </c>
      <c r="Z618" s="267">
        <v>1</v>
      </c>
      <c r="AA618" s="267">
        <v>1</v>
      </c>
      <c r="AB618" s="224">
        <v>1</v>
      </c>
      <c r="AC618" s="267">
        <v>1</v>
      </c>
      <c r="AD618" s="267">
        <v>1</v>
      </c>
      <c r="AE618" s="267">
        <v>1</v>
      </c>
      <c r="AF618" s="267">
        <v>1</v>
      </c>
      <c r="AG618" s="224">
        <v>1</v>
      </c>
      <c r="AH618" s="267">
        <v>1</v>
      </c>
      <c r="AI618" s="267">
        <v>1</v>
      </c>
      <c r="AJ618" s="267">
        <v>1</v>
      </c>
      <c r="AK618" s="267">
        <v>1</v>
      </c>
      <c r="AL618" s="224">
        <v>1</v>
      </c>
      <c r="AM618" s="102">
        <v>1</v>
      </c>
      <c r="AN618" s="103" t="s">
        <v>686</v>
      </c>
      <c r="AO618" s="103" t="s">
        <v>621</v>
      </c>
      <c r="AP618" s="103" t="s">
        <v>1225</v>
      </c>
      <c r="AQ618" s="103" t="s">
        <v>1193</v>
      </c>
      <c r="AR618" s="103" t="s">
        <v>944</v>
      </c>
      <c r="AS618" s="268"/>
      <c r="AT618" s="268"/>
      <c r="AU618" s="268"/>
      <c r="AV618" s="268"/>
      <c r="AW618" s="268">
        <v>5000000</v>
      </c>
      <c r="AX618" s="268"/>
      <c r="AY618" s="268"/>
      <c r="AZ618" s="268"/>
      <c r="BA618" s="268"/>
      <c r="BB618" s="268"/>
      <c r="BC618" s="268"/>
      <c r="BD618" s="268"/>
      <c r="BE618" s="268"/>
      <c r="BF618" s="268"/>
      <c r="BG618" s="268"/>
      <c r="BH618" s="234">
        <f t="shared" ref="BH618:BH625" si="247">IF(W618=0,0,BG618+BF618+BE618+BD618+BC618+BB618+BA618+AZ618+AY618+AX618+AW618+AV618+AU618+AT618+AS618)</f>
        <v>5000000</v>
      </c>
      <c r="BI618" s="268"/>
      <c r="BJ618" s="268"/>
      <c r="BK618" s="268"/>
      <c r="BL618" s="268"/>
      <c r="BM618" s="268">
        <v>1000000</v>
      </c>
      <c r="BN618" s="268"/>
      <c r="BO618" s="268"/>
      <c r="BP618" s="268"/>
      <c r="BQ618" s="268"/>
      <c r="BR618" s="268"/>
      <c r="BS618" s="268"/>
      <c r="BT618" s="268"/>
      <c r="BU618" s="268"/>
      <c r="BV618" s="268"/>
      <c r="BW618" s="268"/>
      <c r="BX618" s="234">
        <f t="shared" ref="BX618:BX625" si="248">IF(AB618=0,0,BI618+BJ618+BK618+BL618+BM618+BN618+BO618+BP618+BQ618+BR618+BS618+BT618+BU618+BV618+BW618)</f>
        <v>1000000</v>
      </c>
      <c r="BY618" s="268"/>
      <c r="BZ618" s="268"/>
      <c r="CA618" s="268"/>
      <c r="CB618" s="268"/>
      <c r="CC618" s="268">
        <v>1000000</v>
      </c>
      <c r="CD618" s="268"/>
      <c r="CE618" s="268"/>
      <c r="CF618" s="268"/>
      <c r="CG618" s="268"/>
      <c r="CH618" s="268"/>
      <c r="CI618" s="268"/>
      <c r="CJ618" s="268"/>
      <c r="CK618" s="268"/>
      <c r="CL618" s="268"/>
      <c r="CM618" s="268"/>
      <c r="CN618" s="234">
        <f t="shared" ref="CN618:CN625" si="249">IF(AG618=0,0,(BY618+BZ618+CA618+CB618+CC618+CD618+CE618+CF618+CG618+CH618+CI618+CJ618+CK618+CL618+CM618))</f>
        <v>1000000</v>
      </c>
      <c r="CO618" s="268"/>
      <c r="CP618" s="268"/>
      <c r="CQ618" s="268"/>
      <c r="CR618" s="268"/>
      <c r="CS618" s="268">
        <v>1000000</v>
      </c>
      <c r="CT618" s="268"/>
      <c r="CU618" s="268"/>
      <c r="CV618" s="268"/>
      <c r="CW618" s="268"/>
      <c r="CX618" s="268"/>
      <c r="CY618" s="268"/>
      <c r="CZ618" s="268"/>
      <c r="DA618" s="268"/>
      <c r="DB618" s="268"/>
      <c r="DC618" s="268"/>
      <c r="DD618" s="234">
        <f t="shared" ref="DD618:DD625" si="250">IF(AL618=0,0,(CO618+CP618+CQ618+CR618+CS618+CT618+CU618+CV618+CW618+CX618+CY618+CZ618+DA618+DB618+DC618))</f>
        <v>1000000</v>
      </c>
      <c r="DE618" s="243">
        <f t="shared" ref="DE618:DE625" si="251">SUM(DD618+CN618+BX618+BH618)</f>
        <v>8000000</v>
      </c>
    </row>
    <row r="619" spans="1:109" s="99" customFormat="1" ht="113.1" customHeight="1">
      <c r="A619" s="103" t="s">
        <v>1243</v>
      </c>
      <c r="B619" s="279" t="s">
        <v>1469</v>
      </c>
      <c r="C619" s="279" t="s">
        <v>1691</v>
      </c>
      <c r="D619" s="279">
        <v>48</v>
      </c>
      <c r="E619" s="279" t="s">
        <v>1548</v>
      </c>
      <c r="F619" s="280" t="s">
        <v>1549</v>
      </c>
      <c r="G619" s="279" t="s">
        <v>3058</v>
      </c>
      <c r="H619" s="279">
        <v>57</v>
      </c>
      <c r="I619" s="279" t="s">
        <v>1550</v>
      </c>
      <c r="J619" s="279" t="s">
        <v>683</v>
      </c>
      <c r="K619" s="279">
        <v>0</v>
      </c>
      <c r="L619" s="279">
        <v>1</v>
      </c>
      <c r="M619" s="279" t="s">
        <v>1551</v>
      </c>
      <c r="N619" s="279" t="s">
        <v>1552</v>
      </c>
      <c r="O619" s="279" t="s">
        <v>1553</v>
      </c>
      <c r="P619" s="283">
        <v>557</v>
      </c>
      <c r="Q619" s="279" t="s">
        <v>3060</v>
      </c>
      <c r="R619" s="279" t="s">
        <v>1555</v>
      </c>
      <c r="S619" s="279" t="s">
        <v>683</v>
      </c>
      <c r="T619" s="279">
        <v>1</v>
      </c>
      <c r="U619" s="267"/>
      <c r="V619" s="267"/>
      <c r="W619" s="224">
        <v>0</v>
      </c>
      <c r="X619" s="267"/>
      <c r="Y619" s="267"/>
      <c r="Z619" s="267"/>
      <c r="AA619" s="267"/>
      <c r="AB619" s="224">
        <v>0</v>
      </c>
      <c r="AC619" s="267">
        <v>0.25</v>
      </c>
      <c r="AD619" s="267">
        <v>0.25</v>
      </c>
      <c r="AE619" s="267">
        <v>0.25</v>
      </c>
      <c r="AF619" s="267">
        <v>0.25</v>
      </c>
      <c r="AG619" s="224">
        <v>1</v>
      </c>
      <c r="AH619" s="267"/>
      <c r="AI619" s="267"/>
      <c r="AJ619" s="267"/>
      <c r="AK619" s="267"/>
      <c r="AL619" s="224">
        <v>0</v>
      </c>
      <c r="AM619" s="104">
        <v>1</v>
      </c>
      <c r="AN619" s="103" t="s">
        <v>685</v>
      </c>
      <c r="AO619" s="103" t="s">
        <v>621</v>
      </c>
      <c r="AP619" s="103" t="s">
        <v>1225</v>
      </c>
      <c r="AQ619" s="103" t="s">
        <v>1193</v>
      </c>
      <c r="AR619" s="103" t="s">
        <v>944</v>
      </c>
      <c r="AS619" s="271"/>
      <c r="AT619" s="271"/>
      <c r="AU619" s="271"/>
      <c r="AV619" s="271"/>
      <c r="AW619" s="271"/>
      <c r="AX619" s="271"/>
      <c r="AY619" s="271"/>
      <c r="AZ619" s="271"/>
      <c r="BA619" s="271"/>
      <c r="BB619" s="271"/>
      <c r="BC619" s="271"/>
      <c r="BD619" s="271"/>
      <c r="BE619" s="271"/>
      <c r="BF619" s="271"/>
      <c r="BG619" s="271"/>
      <c r="BH619" s="235">
        <f t="shared" si="247"/>
        <v>0</v>
      </c>
      <c r="BI619" s="271"/>
      <c r="BJ619" s="271"/>
      <c r="BK619" s="271"/>
      <c r="BL619" s="271"/>
      <c r="BM619" s="271"/>
      <c r="BN619" s="271"/>
      <c r="BO619" s="271"/>
      <c r="BP619" s="271"/>
      <c r="BQ619" s="271"/>
      <c r="BR619" s="271"/>
      <c r="BS619" s="271"/>
      <c r="BT619" s="271"/>
      <c r="BU619" s="271"/>
      <c r="BV619" s="271"/>
      <c r="BW619" s="271"/>
      <c r="BX619" s="235">
        <f t="shared" si="248"/>
        <v>0</v>
      </c>
      <c r="BY619" s="271"/>
      <c r="BZ619" s="271"/>
      <c r="CA619" s="271"/>
      <c r="CB619" s="271"/>
      <c r="CC619" s="271">
        <v>5000000</v>
      </c>
      <c r="CD619" s="271"/>
      <c r="CE619" s="271"/>
      <c r="CF619" s="271"/>
      <c r="CG619" s="271"/>
      <c r="CH619" s="271"/>
      <c r="CI619" s="271"/>
      <c r="CJ619" s="271"/>
      <c r="CK619" s="271"/>
      <c r="CL619" s="271"/>
      <c r="CM619" s="271"/>
      <c r="CN619" s="235">
        <f t="shared" si="249"/>
        <v>5000000</v>
      </c>
      <c r="CO619" s="271"/>
      <c r="CP619" s="271"/>
      <c r="CQ619" s="271"/>
      <c r="CR619" s="271"/>
      <c r="CS619" s="271"/>
      <c r="CT619" s="271"/>
      <c r="CU619" s="271"/>
      <c r="CV619" s="271"/>
      <c r="CW619" s="271"/>
      <c r="CX619" s="271"/>
      <c r="CY619" s="271"/>
      <c r="CZ619" s="271"/>
      <c r="DA619" s="271"/>
      <c r="DB619" s="271"/>
      <c r="DC619" s="271"/>
      <c r="DD619" s="234">
        <f t="shared" si="250"/>
        <v>0</v>
      </c>
      <c r="DE619" s="244">
        <f t="shared" si="251"/>
        <v>5000000</v>
      </c>
    </row>
    <row r="620" spans="1:109" s="99" customFormat="1" ht="113.1" customHeight="1">
      <c r="A620" s="103" t="s">
        <v>1243</v>
      </c>
      <c r="B620" s="279" t="s">
        <v>1469</v>
      </c>
      <c r="C620" s="279" t="s">
        <v>1691</v>
      </c>
      <c r="D620" s="279">
        <v>48</v>
      </c>
      <c r="E620" s="279" t="s">
        <v>1548</v>
      </c>
      <c r="F620" s="280" t="s">
        <v>1549</v>
      </c>
      <c r="G620" s="279" t="s">
        <v>3058</v>
      </c>
      <c r="H620" s="279">
        <v>57</v>
      </c>
      <c r="I620" s="279" t="s">
        <v>1550</v>
      </c>
      <c r="J620" s="279" t="s">
        <v>683</v>
      </c>
      <c r="K620" s="279">
        <v>0</v>
      </c>
      <c r="L620" s="279">
        <v>1</v>
      </c>
      <c r="M620" s="279" t="s">
        <v>1551</v>
      </c>
      <c r="N620" s="279" t="s">
        <v>1552</v>
      </c>
      <c r="O620" s="279" t="s">
        <v>1553</v>
      </c>
      <c r="P620" s="283">
        <v>558</v>
      </c>
      <c r="Q620" s="279" t="s">
        <v>3061</v>
      </c>
      <c r="R620" s="279" t="s">
        <v>1556</v>
      </c>
      <c r="S620" s="279" t="s">
        <v>683</v>
      </c>
      <c r="T620" s="279">
        <v>21</v>
      </c>
      <c r="U620" s="267">
        <v>21</v>
      </c>
      <c r="V620" s="267">
        <v>21</v>
      </c>
      <c r="W620" s="224">
        <v>21</v>
      </c>
      <c r="X620" s="267">
        <v>21</v>
      </c>
      <c r="Y620" s="267">
        <v>21</v>
      </c>
      <c r="Z620" s="267">
        <v>21</v>
      </c>
      <c r="AA620" s="267">
        <v>21</v>
      </c>
      <c r="AB620" s="224">
        <v>21</v>
      </c>
      <c r="AC620" s="267">
        <v>21</v>
      </c>
      <c r="AD620" s="267">
        <v>21</v>
      </c>
      <c r="AE620" s="267">
        <v>21</v>
      </c>
      <c r="AF620" s="267">
        <v>21</v>
      </c>
      <c r="AG620" s="224">
        <v>21</v>
      </c>
      <c r="AH620" s="267">
        <v>21</v>
      </c>
      <c r="AI620" s="267">
        <v>21</v>
      </c>
      <c r="AJ620" s="267">
        <v>21</v>
      </c>
      <c r="AK620" s="267">
        <v>21</v>
      </c>
      <c r="AL620" s="224">
        <v>21</v>
      </c>
      <c r="AM620" s="104">
        <v>21</v>
      </c>
      <c r="AN620" s="103" t="s">
        <v>686</v>
      </c>
      <c r="AO620" s="103" t="s">
        <v>621</v>
      </c>
      <c r="AP620" s="103" t="s">
        <v>1225</v>
      </c>
      <c r="AQ620" s="103" t="s">
        <v>1193</v>
      </c>
      <c r="AR620" s="103" t="s">
        <v>944</v>
      </c>
      <c r="AS620" s="271"/>
      <c r="AT620" s="271"/>
      <c r="AU620" s="271"/>
      <c r="AV620" s="271"/>
      <c r="AW620" s="271">
        <v>1000000</v>
      </c>
      <c r="AX620" s="271"/>
      <c r="AY620" s="271"/>
      <c r="AZ620" s="271"/>
      <c r="BA620" s="271"/>
      <c r="BB620" s="271"/>
      <c r="BC620" s="271"/>
      <c r="BD620" s="271"/>
      <c r="BE620" s="271"/>
      <c r="BF620" s="271"/>
      <c r="BG620" s="271"/>
      <c r="BH620" s="235">
        <f t="shared" si="247"/>
        <v>1000000</v>
      </c>
      <c r="BI620" s="271"/>
      <c r="BJ620" s="271"/>
      <c r="BK620" s="271"/>
      <c r="BL620" s="271"/>
      <c r="BM620" s="271">
        <v>18170000</v>
      </c>
      <c r="BN620" s="271"/>
      <c r="BO620" s="271"/>
      <c r="BP620" s="271"/>
      <c r="BQ620" s="271"/>
      <c r="BR620" s="271"/>
      <c r="BS620" s="271"/>
      <c r="BT620" s="271"/>
      <c r="BU620" s="271"/>
      <c r="BV620" s="271"/>
      <c r="BW620" s="271"/>
      <c r="BX620" s="235">
        <f t="shared" si="248"/>
        <v>18170000</v>
      </c>
      <c r="BY620" s="271"/>
      <c r="BZ620" s="271"/>
      <c r="CA620" s="271"/>
      <c r="CB620" s="271"/>
      <c r="CC620" s="271">
        <v>1000000</v>
      </c>
      <c r="CD620" s="271"/>
      <c r="CE620" s="271"/>
      <c r="CF620" s="271"/>
      <c r="CG620" s="271"/>
      <c r="CH620" s="271"/>
      <c r="CI620" s="271"/>
      <c r="CJ620" s="271"/>
      <c r="CK620" s="271"/>
      <c r="CL620" s="271"/>
      <c r="CM620" s="271"/>
      <c r="CN620" s="235">
        <f t="shared" si="249"/>
        <v>1000000</v>
      </c>
      <c r="CO620" s="271"/>
      <c r="CP620" s="271"/>
      <c r="CQ620" s="271"/>
      <c r="CR620" s="271"/>
      <c r="CS620" s="271">
        <v>19464158</v>
      </c>
      <c r="CT620" s="271"/>
      <c r="CU620" s="271"/>
      <c r="CV620" s="271"/>
      <c r="CW620" s="271"/>
      <c r="CX620" s="271"/>
      <c r="CY620" s="271"/>
      <c r="CZ620" s="271"/>
      <c r="DA620" s="271"/>
      <c r="DB620" s="271"/>
      <c r="DC620" s="271"/>
      <c r="DD620" s="234">
        <f t="shared" si="250"/>
        <v>19464158</v>
      </c>
      <c r="DE620" s="244">
        <f t="shared" si="251"/>
        <v>39634158</v>
      </c>
    </row>
    <row r="621" spans="1:109" s="99" customFormat="1" ht="113.1" customHeight="1">
      <c r="A621" s="103" t="s">
        <v>1243</v>
      </c>
      <c r="B621" s="279" t="s">
        <v>1469</v>
      </c>
      <c r="C621" s="279" t="s">
        <v>1691</v>
      </c>
      <c r="D621" s="279">
        <v>48</v>
      </c>
      <c r="E621" s="279" t="s">
        <v>1548</v>
      </c>
      <c r="F621" s="280" t="s">
        <v>1549</v>
      </c>
      <c r="G621" s="279" t="s">
        <v>3058</v>
      </c>
      <c r="H621" s="279">
        <v>57</v>
      </c>
      <c r="I621" s="279" t="s">
        <v>1550</v>
      </c>
      <c r="J621" s="279" t="s">
        <v>683</v>
      </c>
      <c r="K621" s="279">
        <v>0</v>
      </c>
      <c r="L621" s="279">
        <v>1</v>
      </c>
      <c r="M621" s="279" t="s">
        <v>1551</v>
      </c>
      <c r="N621" s="279" t="s">
        <v>1552</v>
      </c>
      <c r="O621" s="279" t="s">
        <v>1553</v>
      </c>
      <c r="P621" s="283">
        <v>559</v>
      </c>
      <c r="Q621" s="279" t="s">
        <v>3062</v>
      </c>
      <c r="R621" s="279" t="s">
        <v>1556</v>
      </c>
      <c r="S621" s="279" t="s">
        <v>683</v>
      </c>
      <c r="T621" s="279">
        <v>21</v>
      </c>
      <c r="U621" s="267"/>
      <c r="V621" s="267"/>
      <c r="W621" s="224">
        <v>0</v>
      </c>
      <c r="X621" s="267"/>
      <c r="Y621" s="267"/>
      <c r="Z621" s="267"/>
      <c r="AA621" s="267"/>
      <c r="AB621" s="224">
        <v>0</v>
      </c>
      <c r="AC621" s="267"/>
      <c r="AD621" s="267"/>
      <c r="AE621" s="267"/>
      <c r="AF621" s="267">
        <v>6</v>
      </c>
      <c r="AG621" s="224">
        <v>6</v>
      </c>
      <c r="AH621" s="267"/>
      <c r="AI621" s="267"/>
      <c r="AJ621" s="267"/>
      <c r="AK621" s="267"/>
      <c r="AL621" s="224">
        <v>0</v>
      </c>
      <c r="AM621" s="104">
        <v>6</v>
      </c>
      <c r="AN621" s="103" t="s">
        <v>685</v>
      </c>
      <c r="AO621" s="103" t="s">
        <v>621</v>
      </c>
      <c r="AP621" s="103" t="s">
        <v>1225</v>
      </c>
      <c r="AQ621" s="103" t="s">
        <v>1193</v>
      </c>
      <c r="AR621" s="103" t="s">
        <v>944</v>
      </c>
      <c r="AS621" s="271"/>
      <c r="AT621" s="271"/>
      <c r="AU621" s="271"/>
      <c r="AV621" s="271"/>
      <c r="AW621" s="271"/>
      <c r="AX621" s="271"/>
      <c r="AY621" s="271"/>
      <c r="AZ621" s="271"/>
      <c r="BA621" s="271"/>
      <c r="BB621" s="271"/>
      <c r="BC621" s="271"/>
      <c r="BD621" s="271"/>
      <c r="BE621" s="271"/>
      <c r="BF621" s="271"/>
      <c r="BG621" s="271"/>
      <c r="BH621" s="235">
        <f t="shared" si="247"/>
        <v>0</v>
      </c>
      <c r="BI621" s="271"/>
      <c r="BJ621" s="271"/>
      <c r="BK621" s="271"/>
      <c r="BL621" s="271"/>
      <c r="BM621" s="271"/>
      <c r="BN621" s="271"/>
      <c r="BO621" s="271"/>
      <c r="BP621" s="271"/>
      <c r="BQ621" s="271"/>
      <c r="BR621" s="271"/>
      <c r="BS621" s="271"/>
      <c r="BT621" s="271"/>
      <c r="BU621" s="271"/>
      <c r="BV621" s="271"/>
      <c r="BW621" s="271"/>
      <c r="BX621" s="235">
        <f t="shared" si="248"/>
        <v>0</v>
      </c>
      <c r="BY621" s="271"/>
      <c r="BZ621" s="271"/>
      <c r="CA621" s="271"/>
      <c r="CB621" s="271"/>
      <c r="CC621" s="271">
        <v>17805950</v>
      </c>
      <c r="CD621" s="271"/>
      <c r="CE621" s="271"/>
      <c r="CF621" s="271"/>
      <c r="CG621" s="271"/>
      <c r="CH621" s="271"/>
      <c r="CI621" s="271"/>
      <c r="CJ621" s="271"/>
      <c r="CK621" s="271"/>
      <c r="CL621" s="271"/>
      <c r="CM621" s="271"/>
      <c r="CN621" s="235">
        <f t="shared" si="249"/>
        <v>17805950</v>
      </c>
      <c r="CO621" s="271"/>
      <c r="CP621" s="271"/>
      <c r="CQ621" s="271"/>
      <c r="CR621" s="271"/>
      <c r="CS621" s="271"/>
      <c r="CT621" s="271"/>
      <c r="CU621" s="271"/>
      <c r="CV621" s="271"/>
      <c r="CW621" s="271"/>
      <c r="CX621" s="271"/>
      <c r="CY621" s="271"/>
      <c r="CZ621" s="271"/>
      <c r="DA621" s="271"/>
      <c r="DB621" s="271"/>
      <c r="DC621" s="271"/>
      <c r="DD621" s="234">
        <f t="shared" si="250"/>
        <v>0</v>
      </c>
      <c r="DE621" s="244">
        <f t="shared" si="251"/>
        <v>17805950</v>
      </c>
    </row>
    <row r="622" spans="1:109" s="99" customFormat="1" ht="113.1" customHeight="1">
      <c r="A622" s="103" t="s">
        <v>1243</v>
      </c>
      <c r="B622" s="279" t="s">
        <v>1469</v>
      </c>
      <c r="C622" s="279" t="s">
        <v>1691</v>
      </c>
      <c r="D622" s="279">
        <v>48</v>
      </c>
      <c r="E622" s="279" t="s">
        <v>1548</v>
      </c>
      <c r="F622" s="280" t="s">
        <v>1549</v>
      </c>
      <c r="G622" s="279" t="s">
        <v>3058</v>
      </c>
      <c r="H622" s="279">
        <v>57</v>
      </c>
      <c r="I622" s="279" t="s">
        <v>1550</v>
      </c>
      <c r="J622" s="279" t="s">
        <v>683</v>
      </c>
      <c r="K622" s="279">
        <v>0</v>
      </c>
      <c r="L622" s="279">
        <v>1</v>
      </c>
      <c r="M622" s="279" t="s">
        <v>1551</v>
      </c>
      <c r="N622" s="279" t="s">
        <v>1552</v>
      </c>
      <c r="O622" s="279" t="s">
        <v>1553</v>
      </c>
      <c r="P622" s="283">
        <v>560</v>
      </c>
      <c r="Q622" s="279" t="s">
        <v>3063</v>
      </c>
      <c r="R622" s="279" t="s">
        <v>1557</v>
      </c>
      <c r="S622" s="279" t="s">
        <v>683</v>
      </c>
      <c r="T622" s="279">
        <v>2</v>
      </c>
      <c r="U622" s="267">
        <v>2</v>
      </c>
      <c r="V622" s="267">
        <v>2</v>
      </c>
      <c r="W622" s="224">
        <v>2</v>
      </c>
      <c r="X622" s="267">
        <v>2</v>
      </c>
      <c r="Y622" s="267">
        <v>2</v>
      </c>
      <c r="Z622" s="267">
        <v>2</v>
      </c>
      <c r="AA622" s="267">
        <v>2</v>
      </c>
      <c r="AB622" s="224">
        <v>2</v>
      </c>
      <c r="AC622" s="267">
        <v>2</v>
      </c>
      <c r="AD622" s="267">
        <v>2</v>
      </c>
      <c r="AE622" s="267">
        <v>2</v>
      </c>
      <c r="AF622" s="267">
        <v>2</v>
      </c>
      <c r="AG622" s="224">
        <v>2</v>
      </c>
      <c r="AH622" s="267">
        <v>2</v>
      </c>
      <c r="AI622" s="267">
        <v>2</v>
      </c>
      <c r="AJ622" s="267">
        <v>2</v>
      </c>
      <c r="AK622" s="267">
        <v>2</v>
      </c>
      <c r="AL622" s="224">
        <v>2</v>
      </c>
      <c r="AM622" s="104">
        <v>2</v>
      </c>
      <c r="AN622" s="103" t="s">
        <v>686</v>
      </c>
      <c r="AO622" s="103" t="s">
        <v>621</v>
      </c>
      <c r="AP622" s="103" t="s">
        <v>1225</v>
      </c>
      <c r="AQ622" s="103" t="s">
        <v>1193</v>
      </c>
      <c r="AR622" s="103" t="s">
        <v>944</v>
      </c>
      <c r="AS622" s="271"/>
      <c r="AT622" s="271"/>
      <c r="AU622" s="271"/>
      <c r="AV622" s="271"/>
      <c r="AW622" s="271">
        <v>10337600</v>
      </c>
      <c r="AX622" s="271"/>
      <c r="AY622" s="271"/>
      <c r="AZ622" s="271"/>
      <c r="BA622" s="271"/>
      <c r="BB622" s="271"/>
      <c r="BC622" s="271"/>
      <c r="BD622" s="271"/>
      <c r="BE622" s="271"/>
      <c r="BF622" s="271"/>
      <c r="BG622" s="271"/>
      <c r="BH622" s="235">
        <f t="shared" si="247"/>
        <v>10337600</v>
      </c>
      <c r="BI622" s="271"/>
      <c r="BJ622" s="271"/>
      <c r="BK622" s="271"/>
      <c r="BL622" s="271"/>
      <c r="BM622" s="271">
        <v>76418650</v>
      </c>
      <c r="BN622" s="271"/>
      <c r="BO622" s="271"/>
      <c r="BP622" s="271"/>
      <c r="BQ622" s="271"/>
      <c r="BR622" s="271"/>
      <c r="BS622" s="271"/>
      <c r="BT622" s="271"/>
      <c r="BU622" s="271"/>
      <c r="BV622" s="271"/>
      <c r="BW622" s="271"/>
      <c r="BX622" s="235">
        <f t="shared" si="248"/>
        <v>76418650</v>
      </c>
      <c r="BY622" s="271"/>
      <c r="BZ622" s="271"/>
      <c r="CA622" s="271"/>
      <c r="CB622" s="271"/>
      <c r="CC622" s="271">
        <v>79093303</v>
      </c>
      <c r="CD622" s="271"/>
      <c r="CE622" s="271"/>
      <c r="CF622" s="271"/>
      <c r="CG622" s="271"/>
      <c r="CH622" s="271"/>
      <c r="CI622" s="271"/>
      <c r="CJ622" s="271"/>
      <c r="CK622" s="271"/>
      <c r="CL622" s="271"/>
      <c r="CM622" s="271"/>
      <c r="CN622" s="235">
        <f t="shared" si="249"/>
        <v>79093303</v>
      </c>
      <c r="CO622" s="271"/>
      <c r="CP622" s="271"/>
      <c r="CQ622" s="271"/>
      <c r="CR622" s="271"/>
      <c r="CS622" s="271">
        <v>81861569</v>
      </c>
      <c r="CT622" s="271"/>
      <c r="CU622" s="271"/>
      <c r="CV622" s="271"/>
      <c r="CW622" s="271"/>
      <c r="CX622" s="271"/>
      <c r="CY622" s="271"/>
      <c r="CZ622" s="271"/>
      <c r="DA622" s="271"/>
      <c r="DB622" s="271"/>
      <c r="DC622" s="271"/>
      <c r="DD622" s="234">
        <f t="shared" si="250"/>
        <v>81861569</v>
      </c>
      <c r="DE622" s="244">
        <f t="shared" si="251"/>
        <v>247711122</v>
      </c>
    </row>
    <row r="623" spans="1:109" s="99" customFormat="1" ht="113.1" customHeight="1">
      <c r="A623" s="103" t="s">
        <v>1243</v>
      </c>
      <c r="B623" s="279" t="s">
        <v>1469</v>
      </c>
      <c r="C623" s="279" t="s">
        <v>1691</v>
      </c>
      <c r="D623" s="279">
        <v>48</v>
      </c>
      <c r="E623" s="279" t="s">
        <v>1548</v>
      </c>
      <c r="F623" s="280" t="s">
        <v>1549</v>
      </c>
      <c r="G623" s="279" t="s">
        <v>3058</v>
      </c>
      <c r="H623" s="279">
        <v>57</v>
      </c>
      <c r="I623" s="279" t="s">
        <v>1550</v>
      </c>
      <c r="J623" s="279" t="s">
        <v>683</v>
      </c>
      <c r="K623" s="279">
        <v>0</v>
      </c>
      <c r="L623" s="279">
        <v>1</v>
      </c>
      <c r="M623" s="279" t="s">
        <v>1551</v>
      </c>
      <c r="N623" s="279" t="s">
        <v>1552</v>
      </c>
      <c r="O623" s="279" t="s">
        <v>1553</v>
      </c>
      <c r="P623" s="283">
        <v>561</v>
      </c>
      <c r="Q623" s="279" t="s">
        <v>3064</v>
      </c>
      <c r="R623" s="279" t="s">
        <v>1558</v>
      </c>
      <c r="S623" s="279" t="s">
        <v>683</v>
      </c>
      <c r="T623" s="279">
        <v>3</v>
      </c>
      <c r="U623" s="267"/>
      <c r="V623" s="267"/>
      <c r="W623" s="224">
        <v>0</v>
      </c>
      <c r="X623" s="267">
        <v>1</v>
      </c>
      <c r="Y623" s="267"/>
      <c r="Z623" s="267"/>
      <c r="AA623" s="267"/>
      <c r="AB623" s="224">
        <v>1</v>
      </c>
      <c r="AC623" s="267"/>
      <c r="AD623" s="267"/>
      <c r="AE623" s="267"/>
      <c r="AF623" s="267">
        <v>1</v>
      </c>
      <c r="AG623" s="224">
        <v>1</v>
      </c>
      <c r="AH623" s="267"/>
      <c r="AI623" s="267"/>
      <c r="AJ623" s="267">
        <v>1</v>
      </c>
      <c r="AK623" s="267"/>
      <c r="AL623" s="224">
        <v>1</v>
      </c>
      <c r="AM623" s="104">
        <v>3</v>
      </c>
      <c r="AN623" s="103" t="s">
        <v>685</v>
      </c>
      <c r="AO623" s="103" t="s">
        <v>621</v>
      </c>
      <c r="AP623" s="103" t="s">
        <v>1225</v>
      </c>
      <c r="AQ623" s="103" t="s">
        <v>1193</v>
      </c>
      <c r="AR623" s="103" t="s">
        <v>944</v>
      </c>
      <c r="AS623" s="271"/>
      <c r="AT623" s="271"/>
      <c r="AU623" s="271"/>
      <c r="AV623" s="271"/>
      <c r="AW623" s="271"/>
      <c r="AX623" s="271"/>
      <c r="AY623" s="271"/>
      <c r="AZ623" s="271"/>
      <c r="BA623" s="271"/>
      <c r="BB623" s="271"/>
      <c r="BC623" s="271"/>
      <c r="BD623" s="271"/>
      <c r="BE623" s="271"/>
      <c r="BF623" s="271"/>
      <c r="BG623" s="271"/>
      <c r="BH623" s="235">
        <f t="shared" si="247"/>
        <v>0</v>
      </c>
      <c r="BI623" s="271"/>
      <c r="BJ623" s="271"/>
      <c r="BK623" s="271"/>
      <c r="BL623" s="271"/>
      <c r="BM623" s="271">
        <v>9000000</v>
      </c>
      <c r="BN623" s="271"/>
      <c r="BO623" s="271"/>
      <c r="BP623" s="271"/>
      <c r="BQ623" s="271"/>
      <c r="BR623" s="271"/>
      <c r="BS623" s="271"/>
      <c r="BT623" s="271"/>
      <c r="BU623" s="271"/>
      <c r="BV623" s="271"/>
      <c r="BW623" s="271"/>
      <c r="BX623" s="235">
        <f t="shared" si="248"/>
        <v>9000000</v>
      </c>
      <c r="BY623" s="271"/>
      <c r="BZ623" s="271"/>
      <c r="CA623" s="271"/>
      <c r="CB623" s="271"/>
      <c r="CC623" s="271">
        <v>8000000</v>
      </c>
      <c r="CD623" s="271"/>
      <c r="CE623" s="271"/>
      <c r="CF623" s="271"/>
      <c r="CG623" s="271"/>
      <c r="CH623" s="271"/>
      <c r="CI623" s="271"/>
      <c r="CJ623" s="271"/>
      <c r="CK623" s="271"/>
      <c r="CL623" s="271"/>
      <c r="CM623" s="271"/>
      <c r="CN623" s="235">
        <f t="shared" si="249"/>
        <v>8000000</v>
      </c>
      <c r="CO623" s="271"/>
      <c r="CP623" s="271"/>
      <c r="CQ623" s="271"/>
      <c r="CR623" s="271"/>
      <c r="CS623" s="271">
        <v>15000000</v>
      </c>
      <c r="CT623" s="271"/>
      <c r="CU623" s="271"/>
      <c r="CV623" s="271"/>
      <c r="CW623" s="271"/>
      <c r="CX623" s="271"/>
      <c r="CY623" s="271"/>
      <c r="CZ623" s="271"/>
      <c r="DA623" s="271"/>
      <c r="DB623" s="271"/>
      <c r="DC623" s="271"/>
      <c r="DD623" s="234">
        <f t="shared" si="250"/>
        <v>15000000</v>
      </c>
      <c r="DE623" s="244">
        <f t="shared" si="251"/>
        <v>32000000</v>
      </c>
    </row>
    <row r="624" spans="1:109" s="99" customFormat="1" ht="113.1" customHeight="1">
      <c r="A624" s="103" t="s">
        <v>1243</v>
      </c>
      <c r="B624" s="279" t="s">
        <v>1469</v>
      </c>
      <c r="C624" s="279" t="s">
        <v>1691</v>
      </c>
      <c r="D624" s="279">
        <v>48</v>
      </c>
      <c r="E624" s="279" t="s">
        <v>1548</v>
      </c>
      <c r="F624" s="280" t="s">
        <v>1549</v>
      </c>
      <c r="G624" s="279" t="s">
        <v>3058</v>
      </c>
      <c r="H624" s="279">
        <v>57</v>
      </c>
      <c r="I624" s="279" t="s">
        <v>1550</v>
      </c>
      <c r="J624" s="279" t="s">
        <v>683</v>
      </c>
      <c r="K624" s="279">
        <v>0</v>
      </c>
      <c r="L624" s="279">
        <v>1</v>
      </c>
      <c r="M624" s="279" t="s">
        <v>1551</v>
      </c>
      <c r="N624" s="279" t="s">
        <v>1552</v>
      </c>
      <c r="O624" s="279" t="s">
        <v>1553</v>
      </c>
      <c r="P624" s="283">
        <v>562</v>
      </c>
      <c r="Q624" s="279" t="s">
        <v>3065</v>
      </c>
      <c r="R624" s="279" t="s">
        <v>1559</v>
      </c>
      <c r="S624" s="279" t="s">
        <v>683</v>
      </c>
      <c r="T624" s="279">
        <v>3</v>
      </c>
      <c r="U624" s="267"/>
      <c r="V624" s="267"/>
      <c r="W624" s="224">
        <v>0</v>
      </c>
      <c r="X624" s="267"/>
      <c r="Y624" s="267"/>
      <c r="Z624" s="267"/>
      <c r="AA624" s="267">
        <v>1</v>
      </c>
      <c r="AB624" s="224">
        <v>1</v>
      </c>
      <c r="AC624" s="267"/>
      <c r="AD624" s="267"/>
      <c r="AE624" s="267">
        <v>1</v>
      </c>
      <c r="AF624" s="267"/>
      <c r="AG624" s="224">
        <v>1</v>
      </c>
      <c r="AH624" s="267"/>
      <c r="AI624" s="267">
        <v>1</v>
      </c>
      <c r="AJ624" s="267"/>
      <c r="AK624" s="267"/>
      <c r="AL624" s="224">
        <v>1</v>
      </c>
      <c r="AM624" s="104">
        <v>3</v>
      </c>
      <c r="AN624" s="103" t="s">
        <v>685</v>
      </c>
      <c r="AO624" s="103" t="s">
        <v>621</v>
      </c>
      <c r="AP624" s="103" t="s">
        <v>1225</v>
      </c>
      <c r="AQ624" s="103" t="s">
        <v>1193</v>
      </c>
      <c r="AR624" s="103" t="s">
        <v>944</v>
      </c>
      <c r="AS624" s="271"/>
      <c r="AT624" s="271"/>
      <c r="AU624" s="271"/>
      <c r="AV624" s="271"/>
      <c r="AW624" s="271"/>
      <c r="AX624" s="271"/>
      <c r="AY624" s="271"/>
      <c r="AZ624" s="271"/>
      <c r="BA624" s="271"/>
      <c r="BB624" s="271"/>
      <c r="BC624" s="271"/>
      <c r="BD624" s="271"/>
      <c r="BE624" s="271"/>
      <c r="BF624" s="271"/>
      <c r="BG624" s="271"/>
      <c r="BH624" s="235">
        <f t="shared" si="247"/>
        <v>0</v>
      </c>
      <c r="BI624" s="271"/>
      <c r="BJ624" s="271"/>
      <c r="BK624" s="271"/>
      <c r="BL624" s="271"/>
      <c r="BM624" s="271">
        <v>10441910</v>
      </c>
      <c r="BN624" s="271"/>
      <c r="BO624" s="271"/>
      <c r="BP624" s="271"/>
      <c r="BQ624" s="271"/>
      <c r="BR624" s="271"/>
      <c r="BS624" s="271"/>
      <c r="BT624" s="271"/>
      <c r="BU624" s="271"/>
      <c r="BV624" s="271"/>
      <c r="BW624" s="271"/>
      <c r="BX624" s="235">
        <f t="shared" si="248"/>
        <v>10441910</v>
      </c>
      <c r="BY624" s="271"/>
      <c r="BZ624" s="271"/>
      <c r="CA624" s="271"/>
      <c r="CB624" s="271"/>
      <c r="CC624" s="271"/>
      <c r="CD624" s="271"/>
      <c r="CE624" s="271"/>
      <c r="CF624" s="271"/>
      <c r="CG624" s="271"/>
      <c r="CH624" s="271"/>
      <c r="CI624" s="271"/>
      <c r="CJ624" s="271"/>
      <c r="CK624" s="271"/>
      <c r="CL624" s="271"/>
      <c r="CM624" s="271">
        <v>3750000000</v>
      </c>
      <c r="CN624" s="235">
        <f t="shared" si="249"/>
        <v>3750000000</v>
      </c>
      <c r="CO624" s="271"/>
      <c r="CP624" s="271"/>
      <c r="CQ624" s="271"/>
      <c r="CR624" s="271"/>
      <c r="CS624" s="271">
        <v>1909858</v>
      </c>
      <c r="CT624" s="271"/>
      <c r="CU624" s="271"/>
      <c r="CV624" s="271"/>
      <c r="CW624" s="271"/>
      <c r="CX624" s="271"/>
      <c r="CY624" s="271"/>
      <c r="CZ624" s="271"/>
      <c r="DA624" s="271"/>
      <c r="DB624" s="271"/>
      <c r="DC624" s="271"/>
      <c r="DD624" s="234">
        <f t="shared" si="250"/>
        <v>1909858</v>
      </c>
      <c r="DE624" s="244">
        <f t="shared" si="251"/>
        <v>3762351768</v>
      </c>
    </row>
    <row r="625" spans="1:109" s="99" customFormat="1" ht="113.1" customHeight="1">
      <c r="A625" s="120" t="s">
        <v>1243</v>
      </c>
      <c r="B625" s="281" t="s">
        <v>1469</v>
      </c>
      <c r="C625" s="281" t="s">
        <v>1691</v>
      </c>
      <c r="D625" s="281">
        <v>48</v>
      </c>
      <c r="E625" s="281" t="s">
        <v>1548</v>
      </c>
      <c r="F625" s="282" t="s">
        <v>1549</v>
      </c>
      <c r="G625" s="281" t="s">
        <v>3058</v>
      </c>
      <c r="H625" s="281">
        <v>57</v>
      </c>
      <c r="I625" s="281" t="s">
        <v>1550</v>
      </c>
      <c r="J625" s="281" t="s">
        <v>683</v>
      </c>
      <c r="K625" s="281">
        <v>0</v>
      </c>
      <c r="L625" s="281">
        <v>1</v>
      </c>
      <c r="M625" s="281" t="s">
        <v>1551</v>
      </c>
      <c r="N625" s="281" t="s">
        <v>1552</v>
      </c>
      <c r="O625" s="281" t="s">
        <v>1553</v>
      </c>
      <c r="P625" s="283">
        <v>563</v>
      </c>
      <c r="Q625" s="281" t="s">
        <v>3066</v>
      </c>
      <c r="R625" s="281" t="s">
        <v>1560</v>
      </c>
      <c r="S625" s="281" t="s">
        <v>683</v>
      </c>
      <c r="T625" s="281">
        <v>3</v>
      </c>
      <c r="U625" s="275">
        <v>0.5</v>
      </c>
      <c r="V625" s="275">
        <v>0.5</v>
      </c>
      <c r="W625" s="225">
        <v>1</v>
      </c>
      <c r="X625" s="275"/>
      <c r="Y625" s="275"/>
      <c r="Z625" s="275">
        <v>0.5</v>
      </c>
      <c r="AA625" s="275">
        <v>0.5</v>
      </c>
      <c r="AB625" s="225">
        <v>1</v>
      </c>
      <c r="AC625" s="275"/>
      <c r="AD625" s="275">
        <v>0.5</v>
      </c>
      <c r="AE625" s="275"/>
      <c r="AF625" s="275">
        <v>0.5</v>
      </c>
      <c r="AG625" s="225">
        <v>1</v>
      </c>
      <c r="AH625" s="275"/>
      <c r="AI625" s="275"/>
      <c r="AJ625" s="275"/>
      <c r="AK625" s="275"/>
      <c r="AL625" s="225">
        <v>0</v>
      </c>
      <c r="AM625" s="119">
        <v>3</v>
      </c>
      <c r="AN625" s="120" t="s">
        <v>685</v>
      </c>
      <c r="AO625" s="120" t="s">
        <v>621</v>
      </c>
      <c r="AP625" s="120" t="s">
        <v>1225</v>
      </c>
      <c r="AQ625" s="120" t="s">
        <v>1195</v>
      </c>
      <c r="AR625" s="120" t="s">
        <v>944</v>
      </c>
      <c r="AS625" s="276"/>
      <c r="AT625" s="276"/>
      <c r="AU625" s="276"/>
      <c r="AV625" s="276"/>
      <c r="AW625" s="276">
        <v>1000000</v>
      </c>
      <c r="AX625" s="276"/>
      <c r="AY625" s="276"/>
      <c r="AZ625" s="276"/>
      <c r="BA625" s="276"/>
      <c r="BB625" s="276"/>
      <c r="BC625" s="276"/>
      <c r="BD625" s="276"/>
      <c r="BE625" s="276"/>
      <c r="BF625" s="276"/>
      <c r="BG625" s="276"/>
      <c r="BH625" s="236">
        <f t="shared" si="247"/>
        <v>1000000</v>
      </c>
      <c r="BI625" s="276"/>
      <c r="BJ625" s="276"/>
      <c r="BK625" s="276"/>
      <c r="BL625" s="276"/>
      <c r="BM625" s="276">
        <v>1000000</v>
      </c>
      <c r="BN625" s="276"/>
      <c r="BO625" s="276"/>
      <c r="BP625" s="276"/>
      <c r="BQ625" s="276"/>
      <c r="BR625" s="276"/>
      <c r="BS625" s="276"/>
      <c r="BT625" s="276"/>
      <c r="BU625" s="276"/>
      <c r="BV625" s="276"/>
      <c r="BW625" s="276"/>
      <c r="BX625" s="236">
        <f t="shared" si="248"/>
        <v>1000000</v>
      </c>
      <c r="BY625" s="276"/>
      <c r="BZ625" s="276"/>
      <c r="CA625" s="276"/>
      <c r="CB625" s="276"/>
      <c r="CC625" s="276">
        <v>1970877</v>
      </c>
      <c r="CD625" s="276"/>
      <c r="CE625" s="276"/>
      <c r="CF625" s="276"/>
      <c r="CG625" s="276"/>
      <c r="CH625" s="276"/>
      <c r="CI625" s="276"/>
      <c r="CJ625" s="276"/>
      <c r="CK625" s="276"/>
      <c r="CL625" s="276"/>
      <c r="CM625" s="276"/>
      <c r="CN625" s="236">
        <f t="shared" si="249"/>
        <v>1970877</v>
      </c>
      <c r="CO625" s="276"/>
      <c r="CP625" s="276"/>
      <c r="CQ625" s="276"/>
      <c r="CR625" s="276"/>
      <c r="CS625" s="276"/>
      <c r="CT625" s="276"/>
      <c r="CU625" s="276"/>
      <c r="CV625" s="276"/>
      <c r="CW625" s="276"/>
      <c r="CX625" s="276"/>
      <c r="CY625" s="276"/>
      <c r="CZ625" s="276"/>
      <c r="DA625" s="276"/>
      <c r="DB625" s="276"/>
      <c r="DC625" s="276"/>
      <c r="DD625" s="240">
        <f t="shared" si="250"/>
        <v>0</v>
      </c>
      <c r="DE625" s="245">
        <f t="shared" si="251"/>
        <v>3970877</v>
      </c>
    </row>
    <row r="626" spans="1:109" s="46" customFormat="1" ht="65.099999999999994" customHeight="1">
      <c r="A626" s="134" t="s">
        <v>1243</v>
      </c>
      <c r="B626" s="134" t="s">
        <v>1469</v>
      </c>
      <c r="C626" s="134" t="s">
        <v>1691</v>
      </c>
      <c r="D626" s="134">
        <v>48</v>
      </c>
      <c r="E626" s="134" t="s">
        <v>1548</v>
      </c>
      <c r="F626" s="135"/>
      <c r="G626" s="136"/>
      <c r="H626" s="137"/>
      <c r="I626" s="137"/>
      <c r="J626" s="137"/>
      <c r="K626" s="138"/>
      <c r="L626" s="137"/>
      <c r="M626" s="137"/>
      <c r="N626" s="137"/>
      <c r="O626" s="137"/>
      <c r="P626" s="137"/>
      <c r="Q626" s="136"/>
      <c r="R626" s="139"/>
      <c r="S626" s="137"/>
      <c r="T626" s="137"/>
      <c r="U626" s="140"/>
      <c r="V626" s="140"/>
      <c r="W626" s="138"/>
      <c r="X626" s="140"/>
      <c r="Y626" s="140"/>
      <c r="Z626" s="140"/>
      <c r="AA626" s="140"/>
      <c r="AB626" s="138"/>
      <c r="AC626" s="140"/>
      <c r="AD626" s="140"/>
      <c r="AE626" s="140"/>
      <c r="AF626" s="140"/>
      <c r="AG626" s="138"/>
      <c r="AH626" s="140"/>
      <c r="AI626" s="140"/>
      <c r="AJ626" s="140"/>
      <c r="AK626" s="140"/>
      <c r="AL626" s="138"/>
      <c r="AM626" s="141"/>
      <c r="AN626" s="142"/>
      <c r="AO626" s="142"/>
      <c r="AP626" s="143"/>
      <c r="AQ626" s="143"/>
      <c r="AR626" s="144"/>
      <c r="AS626" s="132">
        <f>SUM(AS618:AS625)</f>
        <v>0</v>
      </c>
      <c r="AT626" s="132">
        <f t="shared" ref="AT626:DE626" si="252">SUM(AT618:AT625)</f>
        <v>0</v>
      </c>
      <c r="AU626" s="132">
        <f t="shared" si="252"/>
        <v>0</v>
      </c>
      <c r="AV626" s="132">
        <f t="shared" si="252"/>
        <v>0</v>
      </c>
      <c r="AW626" s="132">
        <f t="shared" si="252"/>
        <v>17337600</v>
      </c>
      <c r="AX626" s="132">
        <f t="shared" si="252"/>
        <v>0</v>
      </c>
      <c r="AY626" s="132">
        <f t="shared" si="252"/>
        <v>0</v>
      </c>
      <c r="AZ626" s="132">
        <f t="shared" si="252"/>
        <v>0</v>
      </c>
      <c r="BA626" s="132">
        <f t="shared" si="252"/>
        <v>0</v>
      </c>
      <c r="BB626" s="132">
        <f t="shared" si="252"/>
        <v>0</v>
      </c>
      <c r="BC626" s="132">
        <f t="shared" si="252"/>
        <v>0</v>
      </c>
      <c r="BD626" s="132">
        <f t="shared" si="252"/>
        <v>0</v>
      </c>
      <c r="BE626" s="132">
        <f t="shared" si="252"/>
        <v>0</v>
      </c>
      <c r="BF626" s="132">
        <f t="shared" si="252"/>
        <v>0</v>
      </c>
      <c r="BG626" s="132">
        <f t="shared" si="252"/>
        <v>0</v>
      </c>
      <c r="BH626" s="133">
        <f>IF(OR(AND(BH618=0,W618&lt;&gt;0),AND(BH619=0,W619&lt;&gt;0),AND(BH620=0,W620&lt;&gt;0),AND(BH621=0,W621&lt;&gt;0),AND(BH622=0,W622&lt;&gt;0),AND(BH623=0,W623&lt;&gt;0),AND(BH624=0,W624&lt;&gt;0),AND(BH625=0,W625&lt;&gt;0)),"NO DEBEN QUEDAR CELDAS EN ROJO",SUM(BH618:BH625))</f>
        <v>17337600</v>
      </c>
      <c r="BI626" s="132">
        <f t="shared" si="252"/>
        <v>0</v>
      </c>
      <c r="BJ626" s="132">
        <f t="shared" si="252"/>
        <v>0</v>
      </c>
      <c r="BK626" s="132">
        <f t="shared" si="252"/>
        <v>0</v>
      </c>
      <c r="BL626" s="132">
        <f t="shared" si="252"/>
        <v>0</v>
      </c>
      <c r="BM626" s="132">
        <f t="shared" si="252"/>
        <v>116030560</v>
      </c>
      <c r="BN626" s="132">
        <f t="shared" si="252"/>
        <v>0</v>
      </c>
      <c r="BO626" s="132">
        <f t="shared" si="252"/>
        <v>0</v>
      </c>
      <c r="BP626" s="132">
        <f t="shared" si="252"/>
        <v>0</v>
      </c>
      <c r="BQ626" s="132">
        <f t="shared" si="252"/>
        <v>0</v>
      </c>
      <c r="BR626" s="132">
        <f t="shared" si="252"/>
        <v>0</v>
      </c>
      <c r="BS626" s="132">
        <f t="shared" si="252"/>
        <v>0</v>
      </c>
      <c r="BT626" s="132">
        <f t="shared" si="252"/>
        <v>0</v>
      </c>
      <c r="BU626" s="132">
        <f t="shared" si="252"/>
        <v>0</v>
      </c>
      <c r="BV626" s="132">
        <f t="shared" si="252"/>
        <v>0</v>
      </c>
      <c r="BW626" s="132">
        <f t="shared" si="252"/>
        <v>0</v>
      </c>
      <c r="BX626" s="133">
        <f>IF(OR(AND(BX618=0,AB618&lt;&gt;0),AND(BX619=0,AB619&lt;&gt;0),AND(BX620=0,AB620&lt;&gt;0),AND(BX621=0,AB621&lt;&gt;0),AND(BX622=0,AB622&lt;&gt;0),AND(BX623=0,AB623&lt;&gt;0),AND(BX624=0,AB624&lt;&gt;0),AND(BX625=0,AB625&lt;&gt;0)),"NO DEBEN QUEDAR CELDAS EN ROJO",SUM(BX618:BX625))</f>
        <v>116030560</v>
      </c>
      <c r="BY626" s="132">
        <f t="shared" si="252"/>
        <v>0</v>
      </c>
      <c r="BZ626" s="132">
        <f t="shared" si="252"/>
        <v>0</v>
      </c>
      <c r="CA626" s="132">
        <f t="shared" si="252"/>
        <v>0</v>
      </c>
      <c r="CB626" s="132">
        <f t="shared" si="252"/>
        <v>0</v>
      </c>
      <c r="CC626" s="132">
        <f t="shared" si="252"/>
        <v>113870130</v>
      </c>
      <c r="CD626" s="132">
        <f t="shared" si="252"/>
        <v>0</v>
      </c>
      <c r="CE626" s="132">
        <f t="shared" si="252"/>
        <v>0</v>
      </c>
      <c r="CF626" s="132">
        <f t="shared" si="252"/>
        <v>0</v>
      </c>
      <c r="CG626" s="132">
        <f t="shared" si="252"/>
        <v>0</v>
      </c>
      <c r="CH626" s="132">
        <f t="shared" si="252"/>
        <v>0</v>
      </c>
      <c r="CI626" s="132">
        <f t="shared" si="252"/>
        <v>0</v>
      </c>
      <c r="CJ626" s="132">
        <f t="shared" si="252"/>
        <v>0</v>
      </c>
      <c r="CK626" s="132">
        <f t="shared" si="252"/>
        <v>0</v>
      </c>
      <c r="CL626" s="132">
        <f t="shared" si="252"/>
        <v>0</v>
      </c>
      <c r="CM626" s="132">
        <f t="shared" si="252"/>
        <v>3750000000</v>
      </c>
      <c r="CN626" s="133">
        <f>IF(OR(AND(CN618=0,AG618&lt;&gt;0),AND(CN619=0,AG619&lt;&gt;0),AND(CN620=0,AG620&lt;&gt;0),AND(CN621=0,AG621&lt;&gt;0),AND(CN622=0,AG622&lt;&gt;0),AND(CN623=0,AG623&lt;&gt;0),AND(CN624=0,AG624&lt;&gt;0),AND(CN625=0,AG625&lt;&gt;0)),"NO DEBEN QUEDAR CELDAS EN ROJO",SUM(CN618:CN625))</f>
        <v>3863870130</v>
      </c>
      <c r="CO626" s="132">
        <f t="shared" si="252"/>
        <v>0</v>
      </c>
      <c r="CP626" s="132">
        <f t="shared" si="252"/>
        <v>0</v>
      </c>
      <c r="CQ626" s="132">
        <f t="shared" si="252"/>
        <v>0</v>
      </c>
      <c r="CR626" s="132">
        <f t="shared" si="252"/>
        <v>0</v>
      </c>
      <c r="CS626" s="132">
        <f t="shared" si="252"/>
        <v>119235585</v>
      </c>
      <c r="CT626" s="132">
        <f t="shared" si="252"/>
        <v>0</v>
      </c>
      <c r="CU626" s="132">
        <f t="shared" si="252"/>
        <v>0</v>
      </c>
      <c r="CV626" s="132">
        <f t="shared" si="252"/>
        <v>0</v>
      </c>
      <c r="CW626" s="132">
        <f t="shared" si="252"/>
        <v>0</v>
      </c>
      <c r="CX626" s="132">
        <f t="shared" si="252"/>
        <v>0</v>
      </c>
      <c r="CY626" s="132">
        <f t="shared" si="252"/>
        <v>0</v>
      </c>
      <c r="CZ626" s="132">
        <f t="shared" si="252"/>
        <v>0</v>
      </c>
      <c r="DA626" s="132">
        <f t="shared" si="252"/>
        <v>0</v>
      </c>
      <c r="DB626" s="132">
        <f t="shared" si="252"/>
        <v>0</v>
      </c>
      <c r="DC626" s="132">
        <f t="shared" si="252"/>
        <v>0</v>
      </c>
      <c r="DD626" s="133">
        <f>IF(OR(AND(DD618=0,AL618&lt;&gt;0),AND(DD619=0,AL619&lt;&gt;0),AND(DD620=0,AL620&lt;&gt;0),AND(DD621=0,AL621&lt;&gt;0),AND(DD622=0,AL622&lt;&gt;0),AND(DD623=0,AL623&lt;&gt;0),AND(DD624=0,AL624&lt;&gt;0),AND(DD625=0,AL625&lt;&gt;0)),"NO DEBEN QUEDAR CELDAS EN ROJO",SUM(DD618:DD625))</f>
        <v>119235585</v>
      </c>
      <c r="DE626" s="133">
        <f t="shared" si="252"/>
        <v>4116473875</v>
      </c>
    </row>
    <row r="627" spans="1:109" s="99" customFormat="1" ht="67.05" customHeight="1">
      <c r="A627" s="103" t="s">
        <v>1243</v>
      </c>
      <c r="B627" s="103" t="s">
        <v>1469</v>
      </c>
      <c r="C627" s="103" t="s">
        <v>1691</v>
      </c>
      <c r="D627" s="103">
        <v>49</v>
      </c>
      <c r="E627" s="103" t="s">
        <v>1561</v>
      </c>
      <c r="F627" s="278" t="s">
        <v>218</v>
      </c>
      <c r="G627" s="103" t="s">
        <v>3067</v>
      </c>
      <c r="H627" s="103">
        <v>58</v>
      </c>
      <c r="I627" s="103" t="s">
        <v>219</v>
      </c>
      <c r="J627" s="103" t="s">
        <v>683</v>
      </c>
      <c r="K627" s="103">
        <v>0</v>
      </c>
      <c r="L627" s="103">
        <v>1</v>
      </c>
      <c r="M627" s="103" t="s">
        <v>1562</v>
      </c>
      <c r="N627" s="103" t="s">
        <v>1563</v>
      </c>
      <c r="O627" s="103" t="s">
        <v>1564</v>
      </c>
      <c r="P627" s="283">
        <v>564</v>
      </c>
      <c r="Q627" s="103" t="s">
        <v>3068</v>
      </c>
      <c r="R627" s="103" t="s">
        <v>1565</v>
      </c>
      <c r="S627" s="103" t="s">
        <v>683</v>
      </c>
      <c r="T627" s="103">
        <v>1</v>
      </c>
      <c r="U627" s="267"/>
      <c r="V627" s="267"/>
      <c r="W627" s="224">
        <v>0</v>
      </c>
      <c r="X627" s="267"/>
      <c r="Y627" s="267"/>
      <c r="Z627" s="267"/>
      <c r="AA627" s="267">
        <v>1</v>
      </c>
      <c r="AB627" s="224">
        <v>1</v>
      </c>
      <c r="AC627" s="267"/>
      <c r="AD627" s="267"/>
      <c r="AE627" s="267">
        <v>1</v>
      </c>
      <c r="AF627" s="267"/>
      <c r="AG627" s="224">
        <v>1</v>
      </c>
      <c r="AH627" s="267"/>
      <c r="AI627" s="267">
        <v>1</v>
      </c>
      <c r="AJ627" s="267"/>
      <c r="AK627" s="267"/>
      <c r="AL627" s="224">
        <v>1</v>
      </c>
      <c r="AM627" s="102">
        <v>3</v>
      </c>
      <c r="AN627" s="103" t="s">
        <v>685</v>
      </c>
      <c r="AO627" s="103" t="s">
        <v>621</v>
      </c>
      <c r="AP627" s="103" t="s">
        <v>1225</v>
      </c>
      <c r="AQ627" s="103" t="s">
        <v>1199</v>
      </c>
      <c r="AR627" s="103" t="s">
        <v>943</v>
      </c>
      <c r="AS627" s="268"/>
      <c r="AT627" s="268"/>
      <c r="AU627" s="268"/>
      <c r="AV627" s="268"/>
      <c r="AW627" s="268"/>
      <c r="AX627" s="268"/>
      <c r="AY627" s="268"/>
      <c r="AZ627" s="268"/>
      <c r="BA627" s="268"/>
      <c r="BB627" s="268"/>
      <c r="BC627" s="268"/>
      <c r="BD627" s="268"/>
      <c r="BE627" s="268"/>
      <c r="BF627" s="268"/>
      <c r="BG627" s="268"/>
      <c r="BH627" s="234">
        <f t="shared" ref="BH627:BH634" si="253">IF(W627=0,0,BG627+BF627+BE627+BD627+BC627+BB627+BA627+AZ627+AY627+AX627+AW627+AV627+AU627+AT627+AS627)</f>
        <v>0</v>
      </c>
      <c r="BI627" s="268"/>
      <c r="BJ627" s="268"/>
      <c r="BK627" s="268"/>
      <c r="BL627" s="268"/>
      <c r="BM627" s="268">
        <v>9152302</v>
      </c>
      <c r="BN627" s="268"/>
      <c r="BO627" s="268"/>
      <c r="BP627" s="268"/>
      <c r="BQ627" s="268"/>
      <c r="BR627" s="268"/>
      <c r="BS627" s="268"/>
      <c r="BT627" s="268"/>
      <c r="BU627" s="268"/>
      <c r="BV627" s="268"/>
      <c r="BW627" s="268"/>
      <c r="BX627" s="234">
        <f t="shared" ref="BX627:BX634" si="254">IF(AB627=0,0,BI627+BJ627+BK627+BL627+BM627+BN627+BO627+BP627+BQ627+BR627+BS627+BT627+BU627+BV627+BW627)</f>
        <v>9152302</v>
      </c>
      <c r="BY627" s="268"/>
      <c r="BZ627" s="268"/>
      <c r="CA627" s="268"/>
      <c r="CB627" s="268"/>
      <c r="CC627" s="268">
        <v>8435716</v>
      </c>
      <c r="CD627" s="268"/>
      <c r="CE627" s="268"/>
      <c r="CF627" s="268"/>
      <c r="CG627" s="268"/>
      <c r="CH627" s="268"/>
      <c r="CI627" s="268"/>
      <c r="CJ627" s="268"/>
      <c r="CK627" s="268"/>
      <c r="CL627" s="268"/>
      <c r="CM627" s="268"/>
      <c r="CN627" s="234">
        <f t="shared" ref="CN627:CN634" si="255">IF(AG627=0,0,(BY627+BZ627+CA627+CB627+CC627+CD627+CE627+CF627+CG627+CH627+CI627+CJ627+CK627+CL627+CM627))</f>
        <v>8435716</v>
      </c>
      <c r="CO627" s="268"/>
      <c r="CP627" s="268"/>
      <c r="CQ627" s="268"/>
      <c r="CR627" s="268"/>
      <c r="CS627" s="268">
        <v>8960966</v>
      </c>
      <c r="CT627" s="268"/>
      <c r="CU627" s="268"/>
      <c r="CV627" s="268"/>
      <c r="CW627" s="268"/>
      <c r="CX627" s="268"/>
      <c r="CY627" s="268"/>
      <c r="CZ627" s="268"/>
      <c r="DA627" s="268"/>
      <c r="DB627" s="268"/>
      <c r="DC627" s="268"/>
      <c r="DD627" s="234">
        <f t="shared" ref="DD627:DD634" si="256">IF(AL627=0,0,(CO627+CP627+CQ627+CR627+CS627+CT627+CU627+CV627+CW627+CX627+CY627+CZ627+DA627+DB627+DC627))</f>
        <v>8960966</v>
      </c>
      <c r="DE627" s="243">
        <f t="shared" ref="DE627:DE634" si="257">SUM(DD627+CN627+BX627+BH627)</f>
        <v>26548984</v>
      </c>
    </row>
    <row r="628" spans="1:109" s="99" customFormat="1" ht="67.05" customHeight="1">
      <c r="A628" s="103" t="s">
        <v>1243</v>
      </c>
      <c r="B628" s="279" t="s">
        <v>1469</v>
      </c>
      <c r="C628" s="279" t="s">
        <v>1691</v>
      </c>
      <c r="D628" s="279">
        <v>49</v>
      </c>
      <c r="E628" s="279" t="s">
        <v>1561</v>
      </c>
      <c r="F628" s="280" t="s">
        <v>218</v>
      </c>
      <c r="G628" s="279" t="s">
        <v>3067</v>
      </c>
      <c r="H628" s="279">
        <v>58</v>
      </c>
      <c r="I628" s="279" t="s">
        <v>219</v>
      </c>
      <c r="J628" s="279" t="s">
        <v>683</v>
      </c>
      <c r="K628" s="279">
        <v>0</v>
      </c>
      <c r="L628" s="279">
        <v>1</v>
      </c>
      <c r="M628" s="279" t="s">
        <v>1562</v>
      </c>
      <c r="N628" s="279" t="s">
        <v>1563</v>
      </c>
      <c r="O628" s="279" t="s">
        <v>1564</v>
      </c>
      <c r="P628" s="283">
        <v>565</v>
      </c>
      <c r="Q628" s="279" t="s">
        <v>3069</v>
      </c>
      <c r="R628" s="279" t="s">
        <v>1566</v>
      </c>
      <c r="S628" s="279" t="s">
        <v>683</v>
      </c>
      <c r="T628" s="279">
        <v>1</v>
      </c>
      <c r="U628" s="267">
        <v>0.5</v>
      </c>
      <c r="V628" s="267">
        <v>0.5</v>
      </c>
      <c r="W628" s="224">
        <v>1</v>
      </c>
      <c r="X628" s="267"/>
      <c r="Y628" s="267">
        <v>0.5</v>
      </c>
      <c r="Z628" s="267"/>
      <c r="AA628" s="267">
        <v>0.5</v>
      </c>
      <c r="AB628" s="224">
        <v>1</v>
      </c>
      <c r="AC628" s="267"/>
      <c r="AD628" s="267">
        <v>0.5</v>
      </c>
      <c r="AE628" s="267"/>
      <c r="AF628" s="267">
        <v>0.5</v>
      </c>
      <c r="AG628" s="224">
        <v>1</v>
      </c>
      <c r="AH628" s="267"/>
      <c r="AI628" s="267"/>
      <c r="AJ628" s="267"/>
      <c r="AK628" s="267"/>
      <c r="AL628" s="224">
        <v>0</v>
      </c>
      <c r="AM628" s="104">
        <v>3</v>
      </c>
      <c r="AN628" s="103" t="s">
        <v>685</v>
      </c>
      <c r="AO628" s="103" t="s">
        <v>621</v>
      </c>
      <c r="AP628" s="103" t="s">
        <v>1225</v>
      </c>
      <c r="AQ628" s="103" t="s">
        <v>1197</v>
      </c>
      <c r="AR628" s="103" t="s">
        <v>943</v>
      </c>
      <c r="AS628" s="271"/>
      <c r="AT628" s="271"/>
      <c r="AU628" s="271"/>
      <c r="AV628" s="271"/>
      <c r="AW628" s="271">
        <v>2889600</v>
      </c>
      <c r="AX628" s="271"/>
      <c r="AY628" s="271"/>
      <c r="AZ628" s="271"/>
      <c r="BA628" s="271"/>
      <c r="BB628" s="271"/>
      <c r="BC628" s="271"/>
      <c r="BD628" s="271"/>
      <c r="BE628" s="271"/>
      <c r="BF628" s="271"/>
      <c r="BG628" s="271"/>
      <c r="BH628" s="235">
        <f t="shared" si="253"/>
        <v>2889600</v>
      </c>
      <c r="BI628" s="271"/>
      <c r="BJ628" s="271"/>
      <c r="BK628" s="271"/>
      <c r="BL628" s="271"/>
      <c r="BM628" s="271">
        <v>9152302</v>
      </c>
      <c r="BN628" s="271"/>
      <c r="BO628" s="271"/>
      <c r="BP628" s="271"/>
      <c r="BQ628" s="271"/>
      <c r="BR628" s="271"/>
      <c r="BS628" s="271"/>
      <c r="BT628" s="271"/>
      <c r="BU628" s="271"/>
      <c r="BV628" s="271"/>
      <c r="BW628" s="271"/>
      <c r="BX628" s="235">
        <f t="shared" si="254"/>
        <v>9152302</v>
      </c>
      <c r="BY628" s="271"/>
      <c r="BZ628" s="271"/>
      <c r="CA628" s="271"/>
      <c r="CB628" s="271"/>
      <c r="CC628" s="271">
        <v>8435716</v>
      </c>
      <c r="CD628" s="271"/>
      <c r="CE628" s="271"/>
      <c r="CF628" s="271"/>
      <c r="CG628" s="271"/>
      <c r="CH628" s="271"/>
      <c r="CI628" s="271"/>
      <c r="CJ628" s="271"/>
      <c r="CK628" s="271"/>
      <c r="CL628" s="271"/>
      <c r="CM628" s="271"/>
      <c r="CN628" s="235">
        <f t="shared" si="255"/>
        <v>8435716</v>
      </c>
      <c r="CO628" s="271"/>
      <c r="CP628" s="271"/>
      <c r="CQ628" s="271"/>
      <c r="CR628" s="271"/>
      <c r="CS628" s="271"/>
      <c r="CT628" s="271"/>
      <c r="CU628" s="271"/>
      <c r="CV628" s="271"/>
      <c r="CW628" s="271"/>
      <c r="CX628" s="271"/>
      <c r="CY628" s="271"/>
      <c r="CZ628" s="271"/>
      <c r="DA628" s="271"/>
      <c r="DB628" s="271"/>
      <c r="DC628" s="271"/>
      <c r="DD628" s="234">
        <f t="shared" si="256"/>
        <v>0</v>
      </c>
      <c r="DE628" s="244">
        <f t="shared" si="257"/>
        <v>20477618</v>
      </c>
    </row>
    <row r="629" spans="1:109" s="99" customFormat="1" ht="67.05" customHeight="1">
      <c r="A629" s="103" t="s">
        <v>1243</v>
      </c>
      <c r="B629" s="279" t="s">
        <v>1469</v>
      </c>
      <c r="C629" s="279" t="s">
        <v>1691</v>
      </c>
      <c r="D629" s="279">
        <v>49</v>
      </c>
      <c r="E629" s="279" t="s">
        <v>1561</v>
      </c>
      <c r="F629" s="280" t="s">
        <v>218</v>
      </c>
      <c r="G629" s="279" t="s">
        <v>3067</v>
      </c>
      <c r="H629" s="279">
        <v>58</v>
      </c>
      <c r="I629" s="279" t="s">
        <v>219</v>
      </c>
      <c r="J629" s="279" t="s">
        <v>683</v>
      </c>
      <c r="K629" s="279">
        <v>0</v>
      </c>
      <c r="L629" s="279">
        <v>1</v>
      </c>
      <c r="M629" s="279" t="s">
        <v>1562</v>
      </c>
      <c r="N629" s="279" t="s">
        <v>1563</v>
      </c>
      <c r="O629" s="279" t="s">
        <v>1564</v>
      </c>
      <c r="P629" s="283">
        <v>566</v>
      </c>
      <c r="Q629" s="279" t="s">
        <v>3070</v>
      </c>
      <c r="R629" s="279" t="s">
        <v>1567</v>
      </c>
      <c r="S629" s="279" t="s">
        <v>683</v>
      </c>
      <c r="T629" s="279">
        <v>0</v>
      </c>
      <c r="U629" s="267">
        <v>0.5</v>
      </c>
      <c r="V629" s="267">
        <v>0.5</v>
      </c>
      <c r="W629" s="224">
        <v>1</v>
      </c>
      <c r="X629" s="267">
        <v>0.5</v>
      </c>
      <c r="Y629" s="267"/>
      <c r="Z629" s="267">
        <v>0.5</v>
      </c>
      <c r="AA629" s="267"/>
      <c r="AB629" s="224">
        <v>1</v>
      </c>
      <c r="AC629" s="267">
        <v>0.5</v>
      </c>
      <c r="AD629" s="267"/>
      <c r="AE629" s="267">
        <v>0.5</v>
      </c>
      <c r="AF629" s="267"/>
      <c r="AG629" s="224">
        <v>1</v>
      </c>
      <c r="AH629" s="267">
        <v>0.5</v>
      </c>
      <c r="AI629" s="267"/>
      <c r="AJ629" s="267">
        <v>0.5</v>
      </c>
      <c r="AK629" s="267"/>
      <c r="AL629" s="224">
        <v>1</v>
      </c>
      <c r="AM629" s="104">
        <v>4</v>
      </c>
      <c r="AN629" s="103" t="s">
        <v>685</v>
      </c>
      <c r="AO629" s="103" t="s">
        <v>621</v>
      </c>
      <c r="AP629" s="103" t="s">
        <v>1225</v>
      </c>
      <c r="AQ629" s="103" t="s">
        <v>1197</v>
      </c>
      <c r="AR629" s="103" t="s">
        <v>943</v>
      </c>
      <c r="AS629" s="271"/>
      <c r="AT629" s="271"/>
      <c r="AU629" s="271"/>
      <c r="AV629" s="271"/>
      <c r="AW629" s="271">
        <v>2889600</v>
      </c>
      <c r="AX629" s="271"/>
      <c r="AY629" s="271"/>
      <c r="AZ629" s="271"/>
      <c r="BA629" s="271"/>
      <c r="BB629" s="271"/>
      <c r="BC629" s="271"/>
      <c r="BD629" s="271"/>
      <c r="BE629" s="271"/>
      <c r="BF629" s="271"/>
      <c r="BG629" s="271"/>
      <c r="BH629" s="235">
        <f t="shared" si="253"/>
        <v>2889600</v>
      </c>
      <c r="BI629" s="271"/>
      <c r="BJ629" s="271"/>
      <c r="BK629" s="271"/>
      <c r="BL629" s="271"/>
      <c r="BM629" s="271">
        <v>9152302</v>
      </c>
      <c r="BN629" s="271"/>
      <c r="BO629" s="271"/>
      <c r="BP629" s="271"/>
      <c r="BQ629" s="271"/>
      <c r="BR629" s="271"/>
      <c r="BS629" s="271"/>
      <c r="BT629" s="271"/>
      <c r="BU629" s="271"/>
      <c r="BV629" s="271"/>
      <c r="BW629" s="271"/>
      <c r="BX629" s="235">
        <f t="shared" si="254"/>
        <v>9152302</v>
      </c>
      <c r="BY629" s="271"/>
      <c r="BZ629" s="271"/>
      <c r="CA629" s="271"/>
      <c r="CB629" s="271"/>
      <c r="CC629" s="271">
        <v>8435716</v>
      </c>
      <c r="CD629" s="271"/>
      <c r="CE629" s="271"/>
      <c r="CF629" s="271"/>
      <c r="CG629" s="271"/>
      <c r="CH629" s="271"/>
      <c r="CI629" s="271"/>
      <c r="CJ629" s="271"/>
      <c r="CK629" s="271"/>
      <c r="CL629" s="271"/>
      <c r="CM629" s="271"/>
      <c r="CN629" s="235">
        <f t="shared" si="255"/>
        <v>8435716</v>
      </c>
      <c r="CO629" s="271"/>
      <c r="CP629" s="271"/>
      <c r="CQ629" s="271"/>
      <c r="CR629" s="271"/>
      <c r="CS629" s="271">
        <v>8960966</v>
      </c>
      <c r="CT629" s="271"/>
      <c r="CU629" s="271"/>
      <c r="CV629" s="271"/>
      <c r="CW629" s="271"/>
      <c r="CX629" s="271"/>
      <c r="CY629" s="271"/>
      <c r="CZ629" s="271"/>
      <c r="DA629" s="271"/>
      <c r="DB629" s="271"/>
      <c r="DC629" s="271"/>
      <c r="DD629" s="234">
        <f t="shared" si="256"/>
        <v>8960966</v>
      </c>
      <c r="DE629" s="244">
        <f t="shared" si="257"/>
        <v>29438584</v>
      </c>
    </row>
    <row r="630" spans="1:109" s="99" customFormat="1" ht="67.05" customHeight="1">
      <c r="A630" s="103" t="s">
        <v>1243</v>
      </c>
      <c r="B630" s="279" t="s">
        <v>1469</v>
      </c>
      <c r="C630" s="279" t="s">
        <v>1691</v>
      </c>
      <c r="D630" s="279">
        <v>49</v>
      </c>
      <c r="E630" s="279" t="s">
        <v>1561</v>
      </c>
      <c r="F630" s="280" t="s">
        <v>218</v>
      </c>
      <c r="G630" s="279" t="s">
        <v>3067</v>
      </c>
      <c r="H630" s="279">
        <v>58</v>
      </c>
      <c r="I630" s="279" t="s">
        <v>219</v>
      </c>
      <c r="J630" s="279" t="s">
        <v>683</v>
      </c>
      <c r="K630" s="279">
        <v>0</v>
      </c>
      <c r="L630" s="279">
        <v>1</v>
      </c>
      <c r="M630" s="279" t="s">
        <v>1562</v>
      </c>
      <c r="N630" s="279" t="s">
        <v>1563</v>
      </c>
      <c r="O630" s="279" t="s">
        <v>1564</v>
      </c>
      <c r="P630" s="283">
        <v>567</v>
      </c>
      <c r="Q630" s="279" t="s">
        <v>3071</v>
      </c>
      <c r="R630" s="279" t="s">
        <v>1568</v>
      </c>
      <c r="S630" s="279" t="s">
        <v>683</v>
      </c>
      <c r="T630" s="279">
        <v>0</v>
      </c>
      <c r="U630" s="267"/>
      <c r="V630" s="267">
        <v>1</v>
      </c>
      <c r="W630" s="224">
        <v>1</v>
      </c>
      <c r="X630" s="267"/>
      <c r="Y630" s="267">
        <v>0.5</v>
      </c>
      <c r="Z630" s="267"/>
      <c r="AA630" s="267">
        <v>0.5</v>
      </c>
      <c r="AB630" s="224">
        <v>1</v>
      </c>
      <c r="AC630" s="267"/>
      <c r="AD630" s="267">
        <v>0.5</v>
      </c>
      <c r="AE630" s="267"/>
      <c r="AF630" s="267">
        <v>0.5</v>
      </c>
      <c r="AG630" s="224">
        <v>1</v>
      </c>
      <c r="AH630" s="267"/>
      <c r="AI630" s="267">
        <v>0.5</v>
      </c>
      <c r="AJ630" s="267"/>
      <c r="AK630" s="267">
        <v>0.5</v>
      </c>
      <c r="AL630" s="224">
        <v>1</v>
      </c>
      <c r="AM630" s="104">
        <v>4</v>
      </c>
      <c r="AN630" s="103" t="s">
        <v>685</v>
      </c>
      <c r="AO630" s="103" t="s">
        <v>621</v>
      </c>
      <c r="AP630" s="103" t="s">
        <v>1225</v>
      </c>
      <c r="AQ630" s="103" t="s">
        <v>1197</v>
      </c>
      <c r="AR630" s="103" t="s">
        <v>943</v>
      </c>
      <c r="AS630" s="271"/>
      <c r="AT630" s="271"/>
      <c r="AU630" s="271"/>
      <c r="AV630" s="271"/>
      <c r="AW630" s="271">
        <v>2889600</v>
      </c>
      <c r="AX630" s="271"/>
      <c r="AY630" s="271"/>
      <c r="AZ630" s="271"/>
      <c r="BA630" s="271"/>
      <c r="BB630" s="271"/>
      <c r="BC630" s="271"/>
      <c r="BD630" s="271"/>
      <c r="BE630" s="271"/>
      <c r="BF630" s="271"/>
      <c r="BG630" s="271"/>
      <c r="BH630" s="235">
        <f t="shared" si="253"/>
        <v>2889600</v>
      </c>
      <c r="BI630" s="271"/>
      <c r="BJ630" s="271"/>
      <c r="BK630" s="271"/>
      <c r="BL630" s="271"/>
      <c r="BM630" s="271">
        <v>9152302</v>
      </c>
      <c r="BN630" s="271"/>
      <c r="BO630" s="271"/>
      <c r="BP630" s="271"/>
      <c r="BQ630" s="271"/>
      <c r="BR630" s="271"/>
      <c r="BS630" s="271"/>
      <c r="BT630" s="271"/>
      <c r="BU630" s="271"/>
      <c r="BV630" s="271"/>
      <c r="BW630" s="271"/>
      <c r="BX630" s="235">
        <f t="shared" si="254"/>
        <v>9152302</v>
      </c>
      <c r="BY630" s="271"/>
      <c r="BZ630" s="271"/>
      <c r="CA630" s="271"/>
      <c r="CB630" s="271"/>
      <c r="CC630" s="271">
        <v>8435716</v>
      </c>
      <c r="CD630" s="271"/>
      <c r="CE630" s="271"/>
      <c r="CF630" s="271"/>
      <c r="CG630" s="271"/>
      <c r="CH630" s="271"/>
      <c r="CI630" s="271"/>
      <c r="CJ630" s="271"/>
      <c r="CK630" s="271"/>
      <c r="CL630" s="271"/>
      <c r="CM630" s="271"/>
      <c r="CN630" s="235">
        <f t="shared" si="255"/>
        <v>8435716</v>
      </c>
      <c r="CO630" s="271"/>
      <c r="CP630" s="271"/>
      <c r="CQ630" s="271"/>
      <c r="CR630" s="271"/>
      <c r="CS630" s="271">
        <v>8960966</v>
      </c>
      <c r="CT630" s="271"/>
      <c r="CU630" s="271"/>
      <c r="CV630" s="271"/>
      <c r="CW630" s="271"/>
      <c r="CX630" s="271"/>
      <c r="CY630" s="271"/>
      <c r="CZ630" s="271"/>
      <c r="DA630" s="271"/>
      <c r="DB630" s="271"/>
      <c r="DC630" s="271"/>
      <c r="DD630" s="234">
        <f t="shared" si="256"/>
        <v>8960966</v>
      </c>
      <c r="DE630" s="244">
        <f t="shared" si="257"/>
        <v>29438584</v>
      </c>
    </row>
    <row r="631" spans="1:109" s="99" customFormat="1" ht="67.05" customHeight="1">
      <c r="A631" s="103" t="s">
        <v>1243</v>
      </c>
      <c r="B631" s="279" t="s">
        <v>1469</v>
      </c>
      <c r="C631" s="279" t="s">
        <v>1691</v>
      </c>
      <c r="D631" s="279">
        <v>49</v>
      </c>
      <c r="E631" s="279" t="s">
        <v>1561</v>
      </c>
      <c r="F631" s="280" t="s">
        <v>218</v>
      </c>
      <c r="G631" s="279" t="s">
        <v>3067</v>
      </c>
      <c r="H631" s="279">
        <v>58</v>
      </c>
      <c r="I631" s="279" t="s">
        <v>219</v>
      </c>
      <c r="J631" s="279" t="s">
        <v>683</v>
      </c>
      <c r="K631" s="279">
        <v>0</v>
      </c>
      <c r="L631" s="279">
        <v>1</v>
      </c>
      <c r="M631" s="279" t="s">
        <v>1562</v>
      </c>
      <c r="N631" s="279" t="s">
        <v>1563</v>
      </c>
      <c r="O631" s="279" t="s">
        <v>1564</v>
      </c>
      <c r="P631" s="283">
        <v>568</v>
      </c>
      <c r="Q631" s="279" t="s">
        <v>3072</v>
      </c>
      <c r="R631" s="279" t="s">
        <v>1569</v>
      </c>
      <c r="S631" s="279" t="s">
        <v>683</v>
      </c>
      <c r="T631" s="279">
        <v>0</v>
      </c>
      <c r="U631" s="267"/>
      <c r="V631" s="267"/>
      <c r="W631" s="224">
        <v>0</v>
      </c>
      <c r="X631" s="267"/>
      <c r="Y631" s="267">
        <v>1</v>
      </c>
      <c r="Z631" s="267"/>
      <c r="AA631" s="267"/>
      <c r="AB631" s="224">
        <v>1</v>
      </c>
      <c r="AC631" s="267"/>
      <c r="AD631" s="267"/>
      <c r="AE631" s="267"/>
      <c r="AF631" s="267"/>
      <c r="AG631" s="224">
        <v>0</v>
      </c>
      <c r="AH631" s="267">
        <v>0.5</v>
      </c>
      <c r="AI631" s="267"/>
      <c r="AJ631" s="267">
        <v>0.5</v>
      </c>
      <c r="AK631" s="267"/>
      <c r="AL631" s="224">
        <v>1</v>
      </c>
      <c r="AM631" s="104">
        <v>2</v>
      </c>
      <c r="AN631" s="103" t="s">
        <v>685</v>
      </c>
      <c r="AO631" s="103" t="s">
        <v>621</v>
      </c>
      <c r="AP631" s="103" t="s">
        <v>1225</v>
      </c>
      <c r="AQ631" s="103" t="s">
        <v>1195</v>
      </c>
      <c r="AR631" s="103" t="s">
        <v>943</v>
      </c>
      <c r="AS631" s="271"/>
      <c r="AT631" s="271"/>
      <c r="AU631" s="271"/>
      <c r="AV631" s="271"/>
      <c r="AW631" s="271"/>
      <c r="AX631" s="271"/>
      <c r="AY631" s="271"/>
      <c r="AZ631" s="271"/>
      <c r="BA631" s="271"/>
      <c r="BB631" s="271"/>
      <c r="BC631" s="271"/>
      <c r="BD631" s="271"/>
      <c r="BE631" s="271"/>
      <c r="BF631" s="271"/>
      <c r="BG631" s="271"/>
      <c r="BH631" s="235">
        <f t="shared" si="253"/>
        <v>0</v>
      </c>
      <c r="BI631" s="271"/>
      <c r="BJ631" s="271"/>
      <c r="BK631" s="271"/>
      <c r="BL631" s="271"/>
      <c r="BM631" s="271">
        <v>9152302</v>
      </c>
      <c r="BN631" s="271"/>
      <c r="BO631" s="271"/>
      <c r="BP631" s="271"/>
      <c r="BQ631" s="271"/>
      <c r="BR631" s="271"/>
      <c r="BS631" s="271"/>
      <c r="BT631" s="271"/>
      <c r="BU631" s="271"/>
      <c r="BV631" s="271"/>
      <c r="BW631" s="271"/>
      <c r="BX631" s="235">
        <f t="shared" si="254"/>
        <v>9152302</v>
      </c>
      <c r="BY631" s="271"/>
      <c r="BZ631" s="271"/>
      <c r="CA631" s="271"/>
      <c r="CB631" s="271"/>
      <c r="CC631" s="271"/>
      <c r="CD631" s="271"/>
      <c r="CE631" s="271"/>
      <c r="CF631" s="271"/>
      <c r="CG631" s="271"/>
      <c r="CH631" s="271"/>
      <c r="CI631" s="271"/>
      <c r="CJ631" s="271"/>
      <c r="CK631" s="271"/>
      <c r="CL631" s="271"/>
      <c r="CM631" s="271"/>
      <c r="CN631" s="235">
        <f t="shared" si="255"/>
        <v>0</v>
      </c>
      <c r="CO631" s="271"/>
      <c r="CP631" s="271"/>
      <c r="CQ631" s="271"/>
      <c r="CR631" s="271"/>
      <c r="CS631" s="271">
        <v>8960966</v>
      </c>
      <c r="CT631" s="271"/>
      <c r="CU631" s="271"/>
      <c r="CV631" s="271"/>
      <c r="CW631" s="271"/>
      <c r="CX631" s="271"/>
      <c r="CY631" s="271"/>
      <c r="CZ631" s="271"/>
      <c r="DA631" s="271"/>
      <c r="DB631" s="271"/>
      <c r="DC631" s="271"/>
      <c r="DD631" s="234">
        <f t="shared" si="256"/>
        <v>8960966</v>
      </c>
      <c r="DE631" s="244">
        <f t="shared" si="257"/>
        <v>18113268</v>
      </c>
    </row>
    <row r="632" spans="1:109" s="99" customFormat="1" ht="67.05" customHeight="1">
      <c r="A632" s="103" t="s">
        <v>1243</v>
      </c>
      <c r="B632" s="279" t="s">
        <v>1469</v>
      </c>
      <c r="C632" s="279" t="s">
        <v>1691</v>
      </c>
      <c r="D632" s="279">
        <v>49</v>
      </c>
      <c r="E632" s="279" t="s">
        <v>1561</v>
      </c>
      <c r="F632" s="280" t="s">
        <v>218</v>
      </c>
      <c r="G632" s="279" t="s">
        <v>3067</v>
      </c>
      <c r="H632" s="279">
        <v>58</v>
      </c>
      <c r="I632" s="279" t="s">
        <v>219</v>
      </c>
      <c r="J632" s="279" t="s">
        <v>683</v>
      </c>
      <c r="K632" s="279">
        <v>0</v>
      </c>
      <c r="L632" s="279">
        <v>1</v>
      </c>
      <c r="M632" s="279" t="s">
        <v>1570</v>
      </c>
      <c r="N632" s="279" t="s">
        <v>1571</v>
      </c>
      <c r="O632" s="279" t="s">
        <v>1572</v>
      </c>
      <c r="P632" s="283">
        <v>569</v>
      </c>
      <c r="Q632" s="279" t="s">
        <v>3073</v>
      </c>
      <c r="R632" s="279" t="s">
        <v>223</v>
      </c>
      <c r="S632" s="279" t="s">
        <v>683</v>
      </c>
      <c r="T632" s="279">
        <v>1</v>
      </c>
      <c r="U632" s="267">
        <v>1</v>
      </c>
      <c r="V632" s="267"/>
      <c r="W632" s="224">
        <v>1</v>
      </c>
      <c r="X632" s="267"/>
      <c r="Y632" s="267"/>
      <c r="Z632" s="267"/>
      <c r="AA632" s="267"/>
      <c r="AB632" s="224">
        <v>0</v>
      </c>
      <c r="AC632" s="267"/>
      <c r="AD632" s="267">
        <v>0.5</v>
      </c>
      <c r="AE632" s="267"/>
      <c r="AF632" s="267">
        <v>0.5</v>
      </c>
      <c r="AG632" s="224">
        <v>1</v>
      </c>
      <c r="AH632" s="267">
        <v>0.5</v>
      </c>
      <c r="AI632" s="267"/>
      <c r="AJ632" s="267">
        <v>0.5</v>
      </c>
      <c r="AK632" s="267"/>
      <c r="AL632" s="224">
        <v>1</v>
      </c>
      <c r="AM632" s="104">
        <v>3</v>
      </c>
      <c r="AN632" s="103" t="s">
        <v>685</v>
      </c>
      <c r="AO632" s="103" t="s">
        <v>621</v>
      </c>
      <c r="AP632" s="103" t="s">
        <v>1225</v>
      </c>
      <c r="AQ632" s="103" t="s">
        <v>1197</v>
      </c>
      <c r="AR632" s="103" t="s">
        <v>943</v>
      </c>
      <c r="AS632" s="271"/>
      <c r="AT632" s="271"/>
      <c r="AU632" s="271"/>
      <c r="AV632" s="271"/>
      <c r="AW632" s="271">
        <v>2889600</v>
      </c>
      <c r="AX632" s="271"/>
      <c r="AY632" s="271"/>
      <c r="AZ632" s="271"/>
      <c r="BA632" s="271"/>
      <c r="BB632" s="271"/>
      <c r="BC632" s="271"/>
      <c r="BD632" s="271"/>
      <c r="BE632" s="271"/>
      <c r="BF632" s="271"/>
      <c r="BG632" s="271"/>
      <c r="BH632" s="235">
        <f t="shared" si="253"/>
        <v>2889600</v>
      </c>
      <c r="BI632" s="271"/>
      <c r="BJ632" s="271"/>
      <c r="BK632" s="271"/>
      <c r="BL632" s="271"/>
      <c r="BM632" s="271"/>
      <c r="BN632" s="271"/>
      <c r="BO632" s="271"/>
      <c r="BP632" s="271"/>
      <c r="BQ632" s="271"/>
      <c r="BR632" s="271"/>
      <c r="BS632" s="271"/>
      <c r="BT632" s="271"/>
      <c r="BU632" s="271"/>
      <c r="BV632" s="271"/>
      <c r="BW632" s="271"/>
      <c r="BX632" s="235">
        <f t="shared" si="254"/>
        <v>0</v>
      </c>
      <c r="BY632" s="271"/>
      <c r="BZ632" s="271"/>
      <c r="CA632" s="271"/>
      <c r="CB632" s="271"/>
      <c r="CC632" s="271">
        <v>8435716</v>
      </c>
      <c r="CD632" s="271"/>
      <c r="CE632" s="271"/>
      <c r="CF632" s="271"/>
      <c r="CG632" s="271"/>
      <c r="CH632" s="271"/>
      <c r="CI632" s="271"/>
      <c r="CJ632" s="271"/>
      <c r="CK632" s="271"/>
      <c r="CL632" s="271"/>
      <c r="CM632" s="271"/>
      <c r="CN632" s="235">
        <f t="shared" si="255"/>
        <v>8435716</v>
      </c>
      <c r="CO632" s="271"/>
      <c r="CP632" s="271"/>
      <c r="CQ632" s="271"/>
      <c r="CR632" s="271"/>
      <c r="CS632" s="271">
        <v>8960966</v>
      </c>
      <c r="CT632" s="271"/>
      <c r="CU632" s="271"/>
      <c r="CV632" s="271"/>
      <c r="CW632" s="271"/>
      <c r="CX632" s="271"/>
      <c r="CY632" s="271"/>
      <c r="CZ632" s="271"/>
      <c r="DA632" s="271"/>
      <c r="DB632" s="271"/>
      <c r="DC632" s="271"/>
      <c r="DD632" s="234">
        <f t="shared" si="256"/>
        <v>8960966</v>
      </c>
      <c r="DE632" s="244">
        <f t="shared" si="257"/>
        <v>20286282</v>
      </c>
    </row>
    <row r="633" spans="1:109" s="99" customFormat="1" ht="67.05" customHeight="1">
      <c r="A633" s="103" t="s">
        <v>1243</v>
      </c>
      <c r="B633" s="279" t="s">
        <v>1469</v>
      </c>
      <c r="C633" s="279" t="s">
        <v>1691</v>
      </c>
      <c r="D633" s="279">
        <v>49</v>
      </c>
      <c r="E633" s="279" t="s">
        <v>1561</v>
      </c>
      <c r="F633" s="280" t="s">
        <v>218</v>
      </c>
      <c r="G633" s="279" t="s">
        <v>3067</v>
      </c>
      <c r="H633" s="279">
        <v>58</v>
      </c>
      <c r="I633" s="279" t="s">
        <v>219</v>
      </c>
      <c r="J633" s="279" t="s">
        <v>683</v>
      </c>
      <c r="K633" s="279">
        <v>0</v>
      </c>
      <c r="L633" s="279">
        <v>1</v>
      </c>
      <c r="M633" s="279" t="s">
        <v>1570</v>
      </c>
      <c r="N633" s="279" t="s">
        <v>1571</v>
      </c>
      <c r="O633" s="279" t="s">
        <v>1572</v>
      </c>
      <c r="P633" s="283">
        <v>570</v>
      </c>
      <c r="Q633" s="279" t="s">
        <v>3074</v>
      </c>
      <c r="R633" s="279" t="s">
        <v>1573</v>
      </c>
      <c r="S633" s="279" t="s">
        <v>683</v>
      </c>
      <c r="T633" s="279">
        <v>1</v>
      </c>
      <c r="U633" s="267"/>
      <c r="V633" s="267">
        <v>1</v>
      </c>
      <c r="W633" s="224">
        <v>1</v>
      </c>
      <c r="X633" s="267"/>
      <c r="Y633" s="267">
        <v>0.25</v>
      </c>
      <c r="Z633" s="267">
        <v>0.25</v>
      </c>
      <c r="AA633" s="267">
        <v>0.5</v>
      </c>
      <c r="AB633" s="224">
        <v>1</v>
      </c>
      <c r="AC633" s="267"/>
      <c r="AD633" s="267">
        <v>0.25</v>
      </c>
      <c r="AE633" s="267">
        <v>0.25</v>
      </c>
      <c r="AF633" s="267">
        <v>0.5</v>
      </c>
      <c r="AG633" s="224">
        <v>1</v>
      </c>
      <c r="AH633" s="267"/>
      <c r="AI633" s="267">
        <v>0.25</v>
      </c>
      <c r="AJ633" s="267">
        <v>0.25</v>
      </c>
      <c r="AK633" s="267">
        <v>0.5</v>
      </c>
      <c r="AL633" s="224">
        <v>1</v>
      </c>
      <c r="AM633" s="104">
        <v>4</v>
      </c>
      <c r="AN633" s="103" t="s">
        <v>685</v>
      </c>
      <c r="AO633" s="103" t="s">
        <v>621</v>
      </c>
      <c r="AP633" s="103" t="s">
        <v>1225</v>
      </c>
      <c r="AQ633" s="103" t="s">
        <v>1197</v>
      </c>
      <c r="AR633" s="103" t="s">
        <v>943</v>
      </c>
      <c r="AS633" s="271"/>
      <c r="AT633" s="271"/>
      <c r="AU633" s="271"/>
      <c r="AV633" s="271"/>
      <c r="AW633" s="271">
        <v>2889600</v>
      </c>
      <c r="AX633" s="271"/>
      <c r="AY633" s="271"/>
      <c r="AZ633" s="271"/>
      <c r="BA633" s="271"/>
      <c r="BB633" s="271"/>
      <c r="BC633" s="271"/>
      <c r="BD633" s="271"/>
      <c r="BE633" s="271"/>
      <c r="BF633" s="271"/>
      <c r="BG633" s="271"/>
      <c r="BH633" s="235">
        <f t="shared" si="253"/>
        <v>2889600</v>
      </c>
      <c r="BI633" s="271"/>
      <c r="BJ633" s="271"/>
      <c r="BK633" s="271"/>
      <c r="BL633" s="271"/>
      <c r="BM633" s="271">
        <v>9152300</v>
      </c>
      <c r="BN633" s="271"/>
      <c r="BO633" s="271"/>
      <c r="BP633" s="271"/>
      <c r="BQ633" s="271"/>
      <c r="BR633" s="271"/>
      <c r="BS633" s="271"/>
      <c r="BT633" s="271"/>
      <c r="BU633" s="271"/>
      <c r="BV633" s="271"/>
      <c r="BW633" s="271"/>
      <c r="BX633" s="235">
        <f t="shared" si="254"/>
        <v>9152300</v>
      </c>
      <c r="BY633" s="271"/>
      <c r="BZ633" s="271"/>
      <c r="CA633" s="271"/>
      <c r="CB633" s="271"/>
      <c r="CC633" s="271">
        <v>8435714</v>
      </c>
      <c r="CD633" s="271"/>
      <c r="CE633" s="271"/>
      <c r="CF633" s="271"/>
      <c r="CG633" s="271"/>
      <c r="CH633" s="271"/>
      <c r="CI633" s="271"/>
      <c r="CJ633" s="271"/>
      <c r="CK633" s="271"/>
      <c r="CL633" s="271"/>
      <c r="CM633" s="271"/>
      <c r="CN633" s="235">
        <f t="shared" si="255"/>
        <v>8435714</v>
      </c>
      <c r="CO633" s="271"/>
      <c r="CP633" s="271"/>
      <c r="CQ633" s="271"/>
      <c r="CR633" s="271"/>
      <c r="CS633" s="271">
        <v>8960964</v>
      </c>
      <c r="CT633" s="271"/>
      <c r="CU633" s="271"/>
      <c r="CV633" s="271"/>
      <c r="CW633" s="271"/>
      <c r="CX633" s="271"/>
      <c r="CY633" s="271"/>
      <c r="CZ633" s="271"/>
      <c r="DA633" s="271"/>
      <c r="DB633" s="271"/>
      <c r="DC633" s="271"/>
      <c r="DD633" s="234">
        <f t="shared" si="256"/>
        <v>8960964</v>
      </c>
      <c r="DE633" s="244">
        <f t="shared" si="257"/>
        <v>29438578</v>
      </c>
    </row>
    <row r="634" spans="1:109" s="99" customFormat="1" ht="67.05" customHeight="1">
      <c r="A634" s="120" t="s">
        <v>1243</v>
      </c>
      <c r="B634" s="281" t="s">
        <v>1469</v>
      </c>
      <c r="C634" s="281" t="s">
        <v>1691</v>
      </c>
      <c r="D634" s="281">
        <v>49</v>
      </c>
      <c r="E634" s="281" t="s">
        <v>1561</v>
      </c>
      <c r="F634" s="282" t="s">
        <v>218</v>
      </c>
      <c r="G634" s="281" t="s">
        <v>3067</v>
      </c>
      <c r="H634" s="281">
        <v>58</v>
      </c>
      <c r="I634" s="281" t="s">
        <v>219</v>
      </c>
      <c r="J634" s="281" t="s">
        <v>683</v>
      </c>
      <c r="K634" s="281">
        <v>0</v>
      </c>
      <c r="L634" s="281">
        <v>1</v>
      </c>
      <c r="M634" s="281" t="s">
        <v>1570</v>
      </c>
      <c r="N634" s="281" t="s">
        <v>1571</v>
      </c>
      <c r="O634" s="281" t="s">
        <v>1572</v>
      </c>
      <c r="P634" s="283">
        <v>571</v>
      </c>
      <c r="Q634" s="281" t="s">
        <v>3075</v>
      </c>
      <c r="R634" s="281" t="s">
        <v>1574</v>
      </c>
      <c r="S634" s="281" t="s">
        <v>683</v>
      </c>
      <c r="T634" s="281">
        <v>0</v>
      </c>
      <c r="U634" s="275">
        <v>0.5</v>
      </c>
      <c r="V634" s="275">
        <v>0.5</v>
      </c>
      <c r="W634" s="225">
        <v>1</v>
      </c>
      <c r="X634" s="275"/>
      <c r="Y634" s="275"/>
      <c r="Z634" s="275"/>
      <c r="AA634" s="275"/>
      <c r="AB634" s="225">
        <v>0</v>
      </c>
      <c r="AC634" s="275"/>
      <c r="AD634" s="275"/>
      <c r="AE634" s="275"/>
      <c r="AF634" s="275"/>
      <c r="AG634" s="225">
        <v>0</v>
      </c>
      <c r="AH634" s="275"/>
      <c r="AI634" s="275"/>
      <c r="AJ634" s="275"/>
      <c r="AK634" s="275"/>
      <c r="AL634" s="225">
        <v>0</v>
      </c>
      <c r="AM634" s="119">
        <v>1</v>
      </c>
      <c r="AN634" s="120" t="s">
        <v>685</v>
      </c>
      <c r="AO634" s="120" t="s">
        <v>621</v>
      </c>
      <c r="AP634" s="120" t="s">
        <v>1225</v>
      </c>
      <c r="AQ634" s="120" t="s">
        <v>1197</v>
      </c>
      <c r="AR634" s="120" t="s">
        <v>943</v>
      </c>
      <c r="AS634" s="276"/>
      <c r="AT634" s="276"/>
      <c r="AU634" s="276"/>
      <c r="AV634" s="276"/>
      <c r="AW634" s="276">
        <v>2889600</v>
      </c>
      <c r="AX634" s="276"/>
      <c r="AY634" s="276"/>
      <c r="AZ634" s="276"/>
      <c r="BA634" s="276"/>
      <c r="BB634" s="276"/>
      <c r="BC634" s="276"/>
      <c r="BD634" s="276"/>
      <c r="BE634" s="276"/>
      <c r="BF634" s="276"/>
      <c r="BG634" s="276"/>
      <c r="BH634" s="236">
        <f t="shared" si="253"/>
        <v>2889600</v>
      </c>
      <c r="BI634" s="276"/>
      <c r="BJ634" s="276"/>
      <c r="BK634" s="276"/>
      <c r="BL634" s="276"/>
      <c r="BM634" s="276"/>
      <c r="BN634" s="276"/>
      <c r="BO634" s="276"/>
      <c r="BP634" s="276"/>
      <c r="BQ634" s="276"/>
      <c r="BR634" s="276"/>
      <c r="BS634" s="276"/>
      <c r="BT634" s="276"/>
      <c r="BU634" s="276"/>
      <c r="BV634" s="276"/>
      <c r="BW634" s="276"/>
      <c r="BX634" s="236">
        <f t="shared" si="254"/>
        <v>0</v>
      </c>
      <c r="BY634" s="276"/>
      <c r="BZ634" s="276"/>
      <c r="CA634" s="276"/>
      <c r="CB634" s="276"/>
      <c r="CC634" s="276"/>
      <c r="CD634" s="276"/>
      <c r="CE634" s="276"/>
      <c r="CF634" s="276"/>
      <c r="CG634" s="276"/>
      <c r="CH634" s="276"/>
      <c r="CI634" s="276"/>
      <c r="CJ634" s="276"/>
      <c r="CK634" s="276"/>
      <c r="CL634" s="276"/>
      <c r="CM634" s="276"/>
      <c r="CN634" s="236">
        <f t="shared" si="255"/>
        <v>0</v>
      </c>
      <c r="CO634" s="276"/>
      <c r="CP634" s="276"/>
      <c r="CQ634" s="276"/>
      <c r="CR634" s="276"/>
      <c r="CS634" s="276"/>
      <c r="CT634" s="276"/>
      <c r="CU634" s="276"/>
      <c r="CV634" s="276"/>
      <c r="CW634" s="276"/>
      <c r="CX634" s="276"/>
      <c r="CY634" s="276"/>
      <c r="CZ634" s="276"/>
      <c r="DA634" s="276"/>
      <c r="DB634" s="276"/>
      <c r="DC634" s="276"/>
      <c r="DD634" s="240">
        <f t="shared" si="256"/>
        <v>0</v>
      </c>
      <c r="DE634" s="245">
        <f t="shared" si="257"/>
        <v>2889600</v>
      </c>
    </row>
    <row r="635" spans="1:109" s="46" customFormat="1" ht="65.099999999999994" customHeight="1">
      <c r="A635" s="134" t="s">
        <v>1243</v>
      </c>
      <c r="B635" s="134" t="s">
        <v>1469</v>
      </c>
      <c r="C635" s="134" t="s">
        <v>1691</v>
      </c>
      <c r="D635" s="134">
        <v>49</v>
      </c>
      <c r="E635" s="134" t="s">
        <v>1561</v>
      </c>
      <c r="F635" s="135"/>
      <c r="G635" s="136"/>
      <c r="H635" s="137"/>
      <c r="I635" s="137"/>
      <c r="J635" s="137"/>
      <c r="K635" s="138"/>
      <c r="L635" s="137"/>
      <c r="M635" s="137"/>
      <c r="N635" s="137"/>
      <c r="O635" s="137"/>
      <c r="P635" s="137"/>
      <c r="Q635" s="136"/>
      <c r="R635" s="139"/>
      <c r="S635" s="137"/>
      <c r="T635" s="137"/>
      <c r="U635" s="140"/>
      <c r="V635" s="140"/>
      <c r="W635" s="138"/>
      <c r="X635" s="140"/>
      <c r="Y635" s="140"/>
      <c r="Z635" s="140"/>
      <c r="AA635" s="140"/>
      <c r="AB635" s="138"/>
      <c r="AC635" s="140"/>
      <c r="AD635" s="140"/>
      <c r="AE635" s="140"/>
      <c r="AF635" s="140"/>
      <c r="AG635" s="138"/>
      <c r="AH635" s="140"/>
      <c r="AI635" s="140"/>
      <c r="AJ635" s="140"/>
      <c r="AK635" s="140"/>
      <c r="AL635" s="138"/>
      <c r="AM635" s="141"/>
      <c r="AN635" s="142"/>
      <c r="AO635" s="142"/>
      <c r="AP635" s="143"/>
      <c r="AQ635" s="143"/>
      <c r="AR635" s="144"/>
      <c r="AS635" s="132">
        <f>SUM(AS627:AS634)</f>
        <v>0</v>
      </c>
      <c r="AT635" s="132">
        <f t="shared" ref="AT635:DE635" si="258">SUM(AT627:AT634)</f>
        <v>0</v>
      </c>
      <c r="AU635" s="132">
        <f t="shared" si="258"/>
        <v>0</v>
      </c>
      <c r="AV635" s="132">
        <f t="shared" si="258"/>
        <v>0</v>
      </c>
      <c r="AW635" s="132">
        <f t="shared" si="258"/>
        <v>17337600</v>
      </c>
      <c r="AX635" s="132">
        <f t="shared" si="258"/>
        <v>0</v>
      </c>
      <c r="AY635" s="132">
        <f t="shared" si="258"/>
        <v>0</v>
      </c>
      <c r="AZ635" s="132">
        <f t="shared" si="258"/>
        <v>0</v>
      </c>
      <c r="BA635" s="132">
        <f t="shared" si="258"/>
        <v>0</v>
      </c>
      <c r="BB635" s="132">
        <f t="shared" si="258"/>
        <v>0</v>
      </c>
      <c r="BC635" s="132">
        <f t="shared" si="258"/>
        <v>0</v>
      </c>
      <c r="BD635" s="132">
        <f t="shared" si="258"/>
        <v>0</v>
      </c>
      <c r="BE635" s="132">
        <f t="shared" si="258"/>
        <v>0</v>
      </c>
      <c r="BF635" s="132">
        <f t="shared" si="258"/>
        <v>0</v>
      </c>
      <c r="BG635" s="132">
        <f t="shared" si="258"/>
        <v>0</v>
      </c>
      <c r="BH635" s="133">
        <f>IF(OR(AND(BH627=0,W627&lt;&gt;0),AND(BH628=0,W628&lt;&gt;0),AND(BH629=0,W629&lt;&gt;0),AND(BH630=0,W630&lt;&gt;0),AND(BH631=0,W631&lt;&gt;0),AND(BH632=0,W632&lt;&gt;0),AND(BH633=0,W633&lt;&gt;0),AND(BH634=0,W634&lt;&gt;0)),"NO DEBEN QUEDAR CELDAS EN ROJO",SUM(BH627:BH634))</f>
        <v>17337600</v>
      </c>
      <c r="BI635" s="132">
        <f t="shared" si="258"/>
        <v>0</v>
      </c>
      <c r="BJ635" s="132">
        <f t="shared" si="258"/>
        <v>0</v>
      </c>
      <c r="BK635" s="132">
        <f t="shared" si="258"/>
        <v>0</v>
      </c>
      <c r="BL635" s="132">
        <f t="shared" si="258"/>
        <v>0</v>
      </c>
      <c r="BM635" s="132">
        <f t="shared" si="258"/>
        <v>54913810</v>
      </c>
      <c r="BN635" s="132">
        <f t="shared" si="258"/>
        <v>0</v>
      </c>
      <c r="BO635" s="132">
        <f t="shared" si="258"/>
        <v>0</v>
      </c>
      <c r="BP635" s="132">
        <f t="shared" si="258"/>
        <v>0</v>
      </c>
      <c r="BQ635" s="132">
        <f t="shared" si="258"/>
        <v>0</v>
      </c>
      <c r="BR635" s="132">
        <f t="shared" si="258"/>
        <v>0</v>
      </c>
      <c r="BS635" s="132">
        <f t="shared" si="258"/>
        <v>0</v>
      </c>
      <c r="BT635" s="132">
        <f t="shared" si="258"/>
        <v>0</v>
      </c>
      <c r="BU635" s="132">
        <f t="shared" si="258"/>
        <v>0</v>
      </c>
      <c r="BV635" s="132">
        <f t="shared" si="258"/>
        <v>0</v>
      </c>
      <c r="BW635" s="132">
        <f t="shared" si="258"/>
        <v>0</v>
      </c>
      <c r="BX635" s="133">
        <f>IF(OR(AND(BX627=0,AB627&lt;&gt;0),AND(BX628=0,AB628&lt;&gt;0),AND(BX629=0,AB629&lt;&gt;0),AND(BX630=0,AB630&lt;&gt;0),AND(BX631=0,AB631&lt;&gt;0),AND(BX632=0,AB632&lt;&gt;0),AND(BX633=0,AB633&lt;&gt;0),AND(BX634=0,AB634&lt;&gt;0)),"NO DEBEN QUEDAR CELDAS EN ROJO",SUM(BX627:BX634))</f>
        <v>54913810</v>
      </c>
      <c r="BY635" s="132">
        <f t="shared" si="258"/>
        <v>0</v>
      </c>
      <c r="BZ635" s="132">
        <f t="shared" si="258"/>
        <v>0</v>
      </c>
      <c r="CA635" s="132">
        <f t="shared" si="258"/>
        <v>0</v>
      </c>
      <c r="CB635" s="132">
        <f t="shared" si="258"/>
        <v>0</v>
      </c>
      <c r="CC635" s="132">
        <f t="shared" si="258"/>
        <v>50614294</v>
      </c>
      <c r="CD635" s="132">
        <f t="shared" si="258"/>
        <v>0</v>
      </c>
      <c r="CE635" s="132">
        <f t="shared" si="258"/>
        <v>0</v>
      </c>
      <c r="CF635" s="132">
        <f t="shared" si="258"/>
        <v>0</v>
      </c>
      <c r="CG635" s="132">
        <f t="shared" si="258"/>
        <v>0</v>
      </c>
      <c r="CH635" s="132">
        <f t="shared" si="258"/>
        <v>0</v>
      </c>
      <c r="CI635" s="132">
        <f t="shared" si="258"/>
        <v>0</v>
      </c>
      <c r="CJ635" s="132">
        <f t="shared" si="258"/>
        <v>0</v>
      </c>
      <c r="CK635" s="132">
        <f t="shared" si="258"/>
        <v>0</v>
      </c>
      <c r="CL635" s="132">
        <f t="shared" si="258"/>
        <v>0</v>
      </c>
      <c r="CM635" s="132">
        <f t="shared" si="258"/>
        <v>0</v>
      </c>
      <c r="CN635" s="133">
        <f>IF(OR(AND(CN627=0,AG627&lt;&gt;0),AND(CN628=0,AG628&lt;&gt;0),AND(CN629=0,AG629&lt;&gt;0),AND(CN630=0,AG630&lt;&gt;0),AND(CN631=0,AG631&lt;&gt;0),AND(CN632=0,AG632&lt;&gt;0),AND(CN633=0,AG633&lt;&gt;0),AND(CN634=0,AG634&lt;&gt;0)),"NO DEBEN QUEDAR CELDAS EN ROJO",SUM(CN627:CN634))</f>
        <v>50614294</v>
      </c>
      <c r="CO635" s="132">
        <f t="shared" si="258"/>
        <v>0</v>
      </c>
      <c r="CP635" s="132">
        <f t="shared" si="258"/>
        <v>0</v>
      </c>
      <c r="CQ635" s="132">
        <f t="shared" si="258"/>
        <v>0</v>
      </c>
      <c r="CR635" s="132">
        <f t="shared" si="258"/>
        <v>0</v>
      </c>
      <c r="CS635" s="132">
        <f t="shared" si="258"/>
        <v>53765794</v>
      </c>
      <c r="CT635" s="132">
        <f t="shared" si="258"/>
        <v>0</v>
      </c>
      <c r="CU635" s="132">
        <f t="shared" si="258"/>
        <v>0</v>
      </c>
      <c r="CV635" s="132">
        <f t="shared" si="258"/>
        <v>0</v>
      </c>
      <c r="CW635" s="132">
        <f t="shared" si="258"/>
        <v>0</v>
      </c>
      <c r="CX635" s="132">
        <f t="shared" si="258"/>
        <v>0</v>
      </c>
      <c r="CY635" s="132">
        <f t="shared" si="258"/>
        <v>0</v>
      </c>
      <c r="CZ635" s="132">
        <f t="shared" si="258"/>
        <v>0</v>
      </c>
      <c r="DA635" s="132">
        <f t="shared" si="258"/>
        <v>0</v>
      </c>
      <c r="DB635" s="132">
        <f t="shared" si="258"/>
        <v>0</v>
      </c>
      <c r="DC635" s="132">
        <f t="shared" si="258"/>
        <v>0</v>
      </c>
      <c r="DD635" s="133">
        <f>IF(OR(AND(DD627=0,AL627&lt;&gt;0),AND(DD628=0,AL628&lt;&gt;0),AND(DD629=0,AL629&lt;&gt;0),AND(DD630=0,AL630&lt;&gt;0),AND(DD631=0,AL631&lt;&gt;0),AND(DD632=0,AL632&lt;&gt;0),AND(DD633=0,AL633&lt;&gt;0),AND(DD634=0,AL634&lt;&gt;0)),"NO DEBEN QUEDAR CELDAS EN ROJO",SUM(DD627:DD634))</f>
        <v>53765794</v>
      </c>
      <c r="DE635" s="133">
        <f t="shared" si="258"/>
        <v>176631498</v>
      </c>
    </row>
    <row r="636" spans="1:109" s="99" customFormat="1" ht="108" customHeight="1">
      <c r="A636" s="103" t="s">
        <v>1243</v>
      </c>
      <c r="B636" s="103" t="s">
        <v>1469</v>
      </c>
      <c r="C636" s="103" t="s">
        <v>1691</v>
      </c>
      <c r="D636" s="103">
        <v>50</v>
      </c>
      <c r="E636" s="103" t="s">
        <v>1575</v>
      </c>
      <c r="F636" s="278" t="s">
        <v>1576</v>
      </c>
      <c r="G636" s="103" t="s">
        <v>3076</v>
      </c>
      <c r="H636" s="103">
        <v>59</v>
      </c>
      <c r="I636" s="103" t="s">
        <v>1577</v>
      </c>
      <c r="J636" s="103" t="s">
        <v>683</v>
      </c>
      <c r="K636" s="103">
        <v>0</v>
      </c>
      <c r="L636" s="103">
        <v>1</v>
      </c>
      <c r="M636" s="103" t="s">
        <v>1578</v>
      </c>
      <c r="N636" s="103" t="s">
        <v>1579</v>
      </c>
      <c r="O636" s="103" t="s">
        <v>227</v>
      </c>
      <c r="P636" s="283">
        <v>572</v>
      </c>
      <c r="Q636" s="103" t="s">
        <v>3077</v>
      </c>
      <c r="R636" s="103" t="s">
        <v>1580</v>
      </c>
      <c r="S636" s="103" t="s">
        <v>683</v>
      </c>
      <c r="T636" s="103">
        <v>3</v>
      </c>
      <c r="U636" s="267">
        <v>0.3</v>
      </c>
      <c r="V636" s="267">
        <v>0.2</v>
      </c>
      <c r="W636" s="224">
        <v>0.5</v>
      </c>
      <c r="X636" s="267"/>
      <c r="Y636" s="267">
        <v>0.1</v>
      </c>
      <c r="Z636" s="267">
        <v>0.2</v>
      </c>
      <c r="AA636" s="267">
        <v>0.2</v>
      </c>
      <c r="AB636" s="224">
        <v>0.5</v>
      </c>
      <c r="AC636" s="267">
        <v>0.25</v>
      </c>
      <c r="AD636" s="267">
        <v>0.25</v>
      </c>
      <c r="AE636" s="267">
        <v>0.25</v>
      </c>
      <c r="AF636" s="267">
        <v>0.25</v>
      </c>
      <c r="AG636" s="224">
        <v>1</v>
      </c>
      <c r="AH636" s="267">
        <v>0.25</v>
      </c>
      <c r="AI636" s="267">
        <v>0.25</v>
      </c>
      <c r="AJ636" s="267">
        <v>0.25</v>
      </c>
      <c r="AK636" s="267">
        <v>0.25</v>
      </c>
      <c r="AL636" s="224">
        <v>1</v>
      </c>
      <c r="AM636" s="102">
        <v>3</v>
      </c>
      <c r="AN636" s="103" t="s">
        <v>685</v>
      </c>
      <c r="AO636" s="103" t="s">
        <v>621</v>
      </c>
      <c r="AP636" s="103" t="s">
        <v>1225</v>
      </c>
      <c r="AQ636" s="103" t="s">
        <v>1195</v>
      </c>
      <c r="AR636" s="103" t="s">
        <v>943</v>
      </c>
      <c r="AS636" s="268"/>
      <c r="AT636" s="268"/>
      <c r="AU636" s="268"/>
      <c r="AV636" s="268"/>
      <c r="AW636" s="268">
        <v>8668800</v>
      </c>
      <c r="AX636" s="268"/>
      <c r="AY636" s="268"/>
      <c r="AZ636" s="268"/>
      <c r="BA636" s="268"/>
      <c r="BB636" s="268"/>
      <c r="BC636" s="268"/>
      <c r="BD636" s="268"/>
      <c r="BE636" s="268"/>
      <c r="BF636" s="268"/>
      <c r="BG636" s="268"/>
      <c r="BH636" s="234">
        <f>IF(W636=0,0,BG636+BF636+BE636+BD636+BC636+BB636+BA636+AZ636+AY636+AX636+AW636+AV636+AU636+AT636+AS636)</f>
        <v>8668800</v>
      </c>
      <c r="BI636" s="268"/>
      <c r="BJ636" s="268"/>
      <c r="BK636" s="268"/>
      <c r="BL636" s="268"/>
      <c r="BM636" s="268">
        <v>4088930</v>
      </c>
      <c r="BN636" s="268"/>
      <c r="BO636" s="268"/>
      <c r="BP636" s="268"/>
      <c r="BQ636" s="268"/>
      <c r="BR636" s="268"/>
      <c r="BS636" s="268"/>
      <c r="BT636" s="268"/>
      <c r="BU636" s="268"/>
      <c r="BV636" s="268"/>
      <c r="BW636" s="268"/>
      <c r="BX636" s="234">
        <f>IF(AB636=0,0,BI636+BJ636+BK636+BL636+BM636+BN636+BO636+BP636+BQ636+BR636+BS636+BT636+BU636+BV636+BW636)</f>
        <v>4088930</v>
      </c>
      <c r="BY636" s="268"/>
      <c r="BZ636" s="268"/>
      <c r="CA636" s="268"/>
      <c r="CB636" s="268"/>
      <c r="CC636" s="268">
        <v>26646292</v>
      </c>
      <c r="CD636" s="268"/>
      <c r="CE636" s="268"/>
      <c r="CF636" s="268"/>
      <c r="CG636" s="268"/>
      <c r="CH636" s="268"/>
      <c r="CI636" s="268"/>
      <c r="CJ636" s="268"/>
      <c r="CK636" s="268"/>
      <c r="CL636" s="268"/>
      <c r="CM636" s="268"/>
      <c r="CN636" s="234">
        <f>IF(AG636=0,0,(BY636+BZ636+CA636+CB636+CC636+CD636+CE636+CF636+CG636+CH636+CI636+CJ636+CK636+CL636+CM636))</f>
        <v>26646292</v>
      </c>
      <c r="CO636" s="268"/>
      <c r="CP636" s="268"/>
      <c r="CQ636" s="268"/>
      <c r="CR636" s="268"/>
      <c r="CS636" s="268">
        <v>4837826</v>
      </c>
      <c r="CT636" s="268"/>
      <c r="CU636" s="268"/>
      <c r="CV636" s="268"/>
      <c r="CW636" s="268"/>
      <c r="CX636" s="268"/>
      <c r="CY636" s="268"/>
      <c r="CZ636" s="268"/>
      <c r="DA636" s="268"/>
      <c r="DB636" s="268"/>
      <c r="DC636" s="268"/>
      <c r="DD636" s="234">
        <f>IF(AL636=0,0,(CO636+CP636+CQ636+CR636+CS636+CT636+CU636+CV636+CW636+CX636+CY636+CZ636+DA636+DB636+DC636))</f>
        <v>4837826</v>
      </c>
      <c r="DE636" s="243">
        <f t="shared" ref="DE636:DE639" si="259">SUM(DD636+CN636+BX636+BH636)</f>
        <v>44241848</v>
      </c>
    </row>
    <row r="637" spans="1:109" s="99" customFormat="1" ht="108" customHeight="1">
      <c r="A637" s="103" t="s">
        <v>1243</v>
      </c>
      <c r="B637" s="279" t="s">
        <v>1469</v>
      </c>
      <c r="C637" s="279" t="s">
        <v>1691</v>
      </c>
      <c r="D637" s="279">
        <v>50</v>
      </c>
      <c r="E637" s="279" t="s">
        <v>1575</v>
      </c>
      <c r="F637" s="280" t="s">
        <v>1576</v>
      </c>
      <c r="G637" s="279" t="s">
        <v>3076</v>
      </c>
      <c r="H637" s="279">
        <v>59</v>
      </c>
      <c r="I637" s="279" t="s">
        <v>1577</v>
      </c>
      <c r="J637" s="279" t="s">
        <v>683</v>
      </c>
      <c r="K637" s="279">
        <v>0</v>
      </c>
      <c r="L637" s="279">
        <v>1</v>
      </c>
      <c r="M637" s="279" t="s">
        <v>1578</v>
      </c>
      <c r="N637" s="279" t="s">
        <v>1579</v>
      </c>
      <c r="O637" s="279" t="s">
        <v>227</v>
      </c>
      <c r="P637" s="283">
        <v>573</v>
      </c>
      <c r="Q637" s="279" t="s">
        <v>3078</v>
      </c>
      <c r="R637" s="279" t="s">
        <v>1581</v>
      </c>
      <c r="S637" s="279" t="s">
        <v>683</v>
      </c>
      <c r="T637" s="279">
        <v>14</v>
      </c>
      <c r="U637" s="267">
        <v>14</v>
      </c>
      <c r="V637" s="267">
        <v>14</v>
      </c>
      <c r="W637" s="224">
        <v>14</v>
      </c>
      <c r="X637" s="267">
        <v>14</v>
      </c>
      <c r="Y637" s="267">
        <v>14</v>
      </c>
      <c r="Z637" s="267">
        <v>14</v>
      </c>
      <c r="AA637" s="267">
        <v>14</v>
      </c>
      <c r="AB637" s="224">
        <v>14</v>
      </c>
      <c r="AC637" s="267">
        <v>14</v>
      </c>
      <c r="AD637" s="267">
        <v>14</v>
      </c>
      <c r="AE637" s="267">
        <v>14</v>
      </c>
      <c r="AF637" s="267">
        <v>14</v>
      </c>
      <c r="AG637" s="224">
        <v>14</v>
      </c>
      <c r="AH637" s="267">
        <v>14</v>
      </c>
      <c r="AI637" s="267">
        <v>14</v>
      </c>
      <c r="AJ637" s="267">
        <v>14</v>
      </c>
      <c r="AK637" s="267">
        <v>14</v>
      </c>
      <c r="AL637" s="224">
        <v>14</v>
      </c>
      <c r="AM637" s="104">
        <v>14</v>
      </c>
      <c r="AN637" s="103" t="s">
        <v>686</v>
      </c>
      <c r="AO637" s="103" t="s">
        <v>621</v>
      </c>
      <c r="AP637" s="103" t="s">
        <v>1225</v>
      </c>
      <c r="AQ637" s="103" t="s">
        <v>1195</v>
      </c>
      <c r="AR637" s="103" t="s">
        <v>943</v>
      </c>
      <c r="AS637" s="271"/>
      <c r="AT637" s="271"/>
      <c r="AU637" s="271"/>
      <c r="AV637" s="271"/>
      <c r="AW637" s="271">
        <v>8668800</v>
      </c>
      <c r="AX637" s="271"/>
      <c r="AY637" s="271"/>
      <c r="AZ637" s="271"/>
      <c r="BA637" s="271"/>
      <c r="BB637" s="271"/>
      <c r="BC637" s="271"/>
      <c r="BD637" s="271"/>
      <c r="BE637" s="271"/>
      <c r="BF637" s="271"/>
      <c r="BG637" s="271"/>
      <c r="BH637" s="235">
        <f>IF(W637=0,0,BG637+BF637+BE637+BD637+BC637+BB637+BA637+AZ637+AY637+AX637+AW637+AV637+AU637+AT637+AS637)</f>
        <v>8668800</v>
      </c>
      <c r="BI637" s="271"/>
      <c r="BJ637" s="271"/>
      <c r="BK637" s="271"/>
      <c r="BL637" s="271"/>
      <c r="BM637" s="271">
        <v>2000000</v>
      </c>
      <c r="BN637" s="271"/>
      <c r="BO637" s="271"/>
      <c r="BP637" s="271"/>
      <c r="BQ637" s="271"/>
      <c r="BR637" s="271"/>
      <c r="BS637" s="271"/>
      <c r="BT637" s="271"/>
      <c r="BU637" s="271"/>
      <c r="BV637" s="271"/>
      <c r="BW637" s="271"/>
      <c r="BX637" s="235">
        <f>IF(AB637=0,0,BI637+BJ637+BK637+BL637+BM637+BN637+BO637+BP637+BQ637+BR637+BS637+BT637+BU637+BV637+BW637)</f>
        <v>2000000</v>
      </c>
      <c r="BY637" s="271"/>
      <c r="BZ637" s="271"/>
      <c r="CA637" s="271"/>
      <c r="CB637" s="271"/>
      <c r="CC637" s="271">
        <v>6646293</v>
      </c>
      <c r="CD637" s="271"/>
      <c r="CE637" s="271"/>
      <c r="CF637" s="271"/>
      <c r="CG637" s="271"/>
      <c r="CH637" s="271"/>
      <c r="CI637" s="271"/>
      <c r="CJ637" s="271"/>
      <c r="CK637" s="271"/>
      <c r="CL637" s="271"/>
      <c r="CM637" s="271"/>
      <c r="CN637" s="235">
        <f>IF(AG637=0,0,(BY637+BZ637+CA637+CB637+CC637+CD637+CE637+CF637+CG637+CH637+CI637+CJ637+CK637+CL637+CM637))</f>
        <v>6646293</v>
      </c>
      <c r="CO637" s="271"/>
      <c r="CP637" s="271"/>
      <c r="CQ637" s="271"/>
      <c r="CR637" s="271"/>
      <c r="CS637" s="271">
        <v>1000000</v>
      </c>
      <c r="CT637" s="271"/>
      <c r="CU637" s="271"/>
      <c r="CV637" s="271"/>
      <c r="CW637" s="271"/>
      <c r="CX637" s="271"/>
      <c r="CY637" s="271"/>
      <c r="CZ637" s="271"/>
      <c r="DA637" s="271"/>
      <c r="DB637" s="271"/>
      <c r="DC637" s="271"/>
      <c r="DD637" s="234">
        <f>IF(AL637=0,0,(CO637+CP637+CQ637+CR637+CS637+CT637+CU637+CV637+CW637+CX637+CY637+CZ637+DA637+DB637+DC637))</f>
        <v>1000000</v>
      </c>
      <c r="DE637" s="244">
        <f t="shared" si="259"/>
        <v>18315093</v>
      </c>
    </row>
    <row r="638" spans="1:109" s="99" customFormat="1" ht="108" customHeight="1">
      <c r="A638" s="103" t="s">
        <v>1243</v>
      </c>
      <c r="B638" s="279" t="s">
        <v>1469</v>
      </c>
      <c r="C638" s="279" t="s">
        <v>1691</v>
      </c>
      <c r="D638" s="279">
        <v>50</v>
      </c>
      <c r="E638" s="279" t="s">
        <v>1575</v>
      </c>
      <c r="F638" s="280" t="s">
        <v>1576</v>
      </c>
      <c r="G638" s="279" t="s">
        <v>3076</v>
      </c>
      <c r="H638" s="279">
        <v>59</v>
      </c>
      <c r="I638" s="279" t="s">
        <v>1577</v>
      </c>
      <c r="J638" s="279" t="s">
        <v>683</v>
      </c>
      <c r="K638" s="279">
        <v>0</v>
      </c>
      <c r="L638" s="279">
        <v>1</v>
      </c>
      <c r="M638" s="279" t="s">
        <v>1578</v>
      </c>
      <c r="N638" s="279" t="s">
        <v>1579</v>
      </c>
      <c r="O638" s="279" t="s">
        <v>227</v>
      </c>
      <c r="P638" s="283">
        <v>574</v>
      </c>
      <c r="Q638" s="279" t="s">
        <v>3079</v>
      </c>
      <c r="R638" s="279" t="s">
        <v>1581</v>
      </c>
      <c r="S638" s="279" t="s">
        <v>683</v>
      </c>
      <c r="T638" s="279">
        <v>14</v>
      </c>
      <c r="U638" s="267"/>
      <c r="V638" s="267"/>
      <c r="W638" s="224">
        <v>0</v>
      </c>
      <c r="X638" s="267">
        <v>1</v>
      </c>
      <c r="Y638" s="267"/>
      <c r="Z638" s="267"/>
      <c r="AA638" s="267"/>
      <c r="AB638" s="224">
        <v>1</v>
      </c>
      <c r="AC638" s="267"/>
      <c r="AD638" s="267"/>
      <c r="AE638" s="267"/>
      <c r="AF638" s="267"/>
      <c r="AG638" s="224">
        <v>0</v>
      </c>
      <c r="AH638" s="267"/>
      <c r="AI638" s="267"/>
      <c r="AJ638" s="267"/>
      <c r="AK638" s="267"/>
      <c r="AL638" s="224">
        <v>0</v>
      </c>
      <c r="AM638" s="104">
        <v>1</v>
      </c>
      <c r="AN638" s="103" t="s">
        <v>685</v>
      </c>
      <c r="AO638" s="103" t="s">
        <v>621</v>
      </c>
      <c r="AP638" s="103" t="s">
        <v>1225</v>
      </c>
      <c r="AQ638" s="103" t="s">
        <v>1195</v>
      </c>
      <c r="AR638" s="103" t="s">
        <v>943</v>
      </c>
      <c r="AS638" s="271"/>
      <c r="AT638" s="271"/>
      <c r="AU638" s="271"/>
      <c r="AV638" s="271"/>
      <c r="AW638" s="271"/>
      <c r="AX638" s="271"/>
      <c r="AY638" s="271"/>
      <c r="AZ638" s="271"/>
      <c r="BA638" s="271"/>
      <c r="BB638" s="271"/>
      <c r="BC638" s="271"/>
      <c r="BD638" s="271"/>
      <c r="BE638" s="271"/>
      <c r="BF638" s="271"/>
      <c r="BG638" s="271"/>
      <c r="BH638" s="235">
        <f>IF(W638=0,0,BG638+BF638+BE638+BD638+BC638+BB638+BA638+AZ638+AY638+AX638+AW638+AV638+AU638+AT638+AS638)</f>
        <v>0</v>
      </c>
      <c r="BI638" s="271"/>
      <c r="BJ638" s="271"/>
      <c r="BK638" s="271"/>
      <c r="BL638" s="271"/>
      <c r="BM638" s="271">
        <v>2088930</v>
      </c>
      <c r="BN638" s="271"/>
      <c r="BO638" s="271"/>
      <c r="BP638" s="271"/>
      <c r="BQ638" s="271"/>
      <c r="BR638" s="271"/>
      <c r="BS638" s="271"/>
      <c r="BT638" s="271"/>
      <c r="BU638" s="271"/>
      <c r="BV638" s="271"/>
      <c r="BW638" s="271"/>
      <c r="BX638" s="235">
        <f>IF(AB638=0,0,BI638+BJ638+BK638+BL638+BM638+BN638+BO638+BP638+BQ638+BR638+BS638+BT638+BU638+BV638+BW638)</f>
        <v>2088930</v>
      </c>
      <c r="BY638" s="271"/>
      <c r="BZ638" s="271"/>
      <c r="CA638" s="271"/>
      <c r="CB638" s="271"/>
      <c r="CC638" s="271"/>
      <c r="CD638" s="271"/>
      <c r="CE638" s="271"/>
      <c r="CF638" s="271"/>
      <c r="CG638" s="271"/>
      <c r="CH638" s="271"/>
      <c r="CI638" s="271"/>
      <c r="CJ638" s="271"/>
      <c r="CK638" s="271"/>
      <c r="CL638" s="271"/>
      <c r="CM638" s="271"/>
      <c r="CN638" s="235">
        <f>IF(AG638=0,0,(BY638+BZ638+CA638+CB638+CC638+CD638+CE638+CF638+CG638+CH638+CI638+CJ638+CK638+CL638+CM638))</f>
        <v>0</v>
      </c>
      <c r="CO638" s="271"/>
      <c r="CP638" s="271"/>
      <c r="CQ638" s="271"/>
      <c r="CR638" s="271"/>
      <c r="CS638" s="271"/>
      <c r="CT638" s="271"/>
      <c r="CU638" s="271"/>
      <c r="CV638" s="271"/>
      <c r="CW638" s="271"/>
      <c r="CX638" s="271"/>
      <c r="CY638" s="271"/>
      <c r="CZ638" s="271"/>
      <c r="DA638" s="271"/>
      <c r="DB638" s="271"/>
      <c r="DC638" s="271"/>
      <c r="DD638" s="234">
        <f>IF(AL638=0,0,(CO638+CP638+CQ638+CR638+CS638+CT638+CU638+CV638+CW638+CX638+CY638+CZ638+DA638+DB638+DC638))</f>
        <v>0</v>
      </c>
      <c r="DE638" s="244">
        <f t="shared" si="259"/>
        <v>2088930</v>
      </c>
    </row>
    <row r="639" spans="1:109" s="99" customFormat="1" ht="108" customHeight="1">
      <c r="A639" s="120" t="s">
        <v>1243</v>
      </c>
      <c r="B639" s="281" t="s">
        <v>1469</v>
      </c>
      <c r="C639" s="281" t="s">
        <v>1691</v>
      </c>
      <c r="D639" s="281">
        <v>50</v>
      </c>
      <c r="E639" s="281" t="s">
        <v>1575</v>
      </c>
      <c r="F639" s="282" t="s">
        <v>1576</v>
      </c>
      <c r="G639" s="281" t="s">
        <v>3076</v>
      </c>
      <c r="H639" s="281">
        <v>59</v>
      </c>
      <c r="I639" s="281" t="s">
        <v>1577</v>
      </c>
      <c r="J639" s="281" t="s">
        <v>683</v>
      </c>
      <c r="K639" s="281">
        <v>0</v>
      </c>
      <c r="L639" s="281">
        <v>1</v>
      </c>
      <c r="M639" s="281" t="s">
        <v>1578</v>
      </c>
      <c r="N639" s="281" t="s">
        <v>1579</v>
      </c>
      <c r="O639" s="281" t="s">
        <v>227</v>
      </c>
      <c r="P639" s="283">
        <v>575</v>
      </c>
      <c r="Q639" s="281" t="s">
        <v>3080</v>
      </c>
      <c r="R639" s="281" t="s">
        <v>1582</v>
      </c>
      <c r="S639" s="281" t="s">
        <v>683</v>
      </c>
      <c r="T639" s="281">
        <v>2</v>
      </c>
      <c r="U639" s="275"/>
      <c r="V639" s="275"/>
      <c r="W639" s="225">
        <v>0</v>
      </c>
      <c r="X639" s="275"/>
      <c r="Y639" s="275"/>
      <c r="Z639" s="275">
        <v>0.5</v>
      </c>
      <c r="AA639" s="275">
        <v>0.5</v>
      </c>
      <c r="AB639" s="225">
        <v>1</v>
      </c>
      <c r="AC639" s="275"/>
      <c r="AD639" s="275"/>
      <c r="AE639" s="275"/>
      <c r="AF639" s="275"/>
      <c r="AG639" s="225">
        <v>0</v>
      </c>
      <c r="AH639" s="275"/>
      <c r="AI639" s="275">
        <v>0.5</v>
      </c>
      <c r="AJ639" s="275">
        <v>0.5</v>
      </c>
      <c r="AK639" s="275"/>
      <c r="AL639" s="225">
        <v>1</v>
      </c>
      <c r="AM639" s="119">
        <v>2</v>
      </c>
      <c r="AN639" s="120" t="s">
        <v>685</v>
      </c>
      <c r="AO639" s="120" t="s">
        <v>621</v>
      </c>
      <c r="AP639" s="120" t="s">
        <v>1225</v>
      </c>
      <c r="AQ639" s="120" t="s">
        <v>1195</v>
      </c>
      <c r="AR639" s="120" t="s">
        <v>943</v>
      </c>
      <c r="AS639" s="276"/>
      <c r="AT639" s="276"/>
      <c r="AU639" s="276"/>
      <c r="AV639" s="276"/>
      <c r="AW639" s="276"/>
      <c r="AX639" s="276"/>
      <c r="AY639" s="276"/>
      <c r="AZ639" s="276"/>
      <c r="BA639" s="276"/>
      <c r="BB639" s="276"/>
      <c r="BC639" s="276"/>
      <c r="BD639" s="276"/>
      <c r="BE639" s="276"/>
      <c r="BF639" s="276"/>
      <c r="BG639" s="276"/>
      <c r="BH639" s="236">
        <f>IF(W639=0,0,BG639+BF639+BE639+BD639+BC639+BB639+BA639+AZ639+AY639+AX639+AW639+AV639+AU639+AT639+AS639)</f>
        <v>0</v>
      </c>
      <c r="BI639" s="276"/>
      <c r="BJ639" s="276"/>
      <c r="BK639" s="276"/>
      <c r="BL639" s="276"/>
      <c r="BM639" s="276">
        <v>30000000</v>
      </c>
      <c r="BN639" s="276"/>
      <c r="BO639" s="276"/>
      <c r="BP639" s="276"/>
      <c r="BQ639" s="276"/>
      <c r="BR639" s="276"/>
      <c r="BS639" s="276"/>
      <c r="BT639" s="276"/>
      <c r="BU639" s="276"/>
      <c r="BV639" s="276"/>
      <c r="BW639" s="276"/>
      <c r="BX639" s="236">
        <f>IF(AB639=0,0,BI639+BJ639+BK639+BL639+BM639+BN639+BO639+BP639+BQ639+BR639+BS639+BT639+BU639+BV639+BW639)</f>
        <v>30000000</v>
      </c>
      <c r="BY639" s="276"/>
      <c r="BZ639" s="276"/>
      <c r="CA639" s="276"/>
      <c r="CB639" s="276"/>
      <c r="CC639" s="276"/>
      <c r="CD639" s="276"/>
      <c r="CE639" s="276"/>
      <c r="CF639" s="276"/>
      <c r="CG639" s="276"/>
      <c r="CH639" s="276"/>
      <c r="CI639" s="276"/>
      <c r="CJ639" s="276"/>
      <c r="CK639" s="276"/>
      <c r="CL639" s="276"/>
      <c r="CM639" s="276"/>
      <c r="CN639" s="236">
        <f>IF(AG639=0,0,(BY639+BZ639+CA639+CB639+CC639+CD639+CE639+CF639+CG639+CH639+CI639+CJ639+CK639+CL639+CM639))</f>
        <v>0</v>
      </c>
      <c r="CO639" s="276"/>
      <c r="CP639" s="276"/>
      <c r="CQ639" s="276"/>
      <c r="CR639" s="276"/>
      <c r="CS639" s="276">
        <v>30000000</v>
      </c>
      <c r="CT639" s="276"/>
      <c r="CU639" s="276"/>
      <c r="CV639" s="276"/>
      <c r="CW639" s="276"/>
      <c r="CX639" s="276"/>
      <c r="CY639" s="276"/>
      <c r="CZ639" s="276"/>
      <c r="DA639" s="276"/>
      <c r="DB639" s="276"/>
      <c r="DC639" s="276"/>
      <c r="DD639" s="240">
        <f>IF(AL639=0,0,(CO639+CP639+CQ639+CR639+CS639+CT639+CU639+CV639+CW639+CX639+CY639+CZ639+DA639+DB639+DC639))</f>
        <v>30000000</v>
      </c>
      <c r="DE639" s="245">
        <f t="shared" si="259"/>
        <v>60000000</v>
      </c>
    </row>
    <row r="640" spans="1:109" s="46" customFormat="1" ht="65.099999999999994" customHeight="1">
      <c r="A640" s="134" t="s">
        <v>1243</v>
      </c>
      <c r="B640" s="134" t="s">
        <v>1469</v>
      </c>
      <c r="C640" s="134" t="s">
        <v>1691</v>
      </c>
      <c r="D640" s="134">
        <v>50</v>
      </c>
      <c r="E640" s="134" t="s">
        <v>1575</v>
      </c>
      <c r="F640" s="135"/>
      <c r="G640" s="136"/>
      <c r="H640" s="137"/>
      <c r="I640" s="137"/>
      <c r="J640" s="137"/>
      <c r="K640" s="138"/>
      <c r="L640" s="137"/>
      <c r="M640" s="137"/>
      <c r="N640" s="137"/>
      <c r="O640" s="137"/>
      <c r="P640" s="137"/>
      <c r="Q640" s="136"/>
      <c r="R640" s="139"/>
      <c r="S640" s="137"/>
      <c r="T640" s="137"/>
      <c r="U640" s="140"/>
      <c r="V640" s="140"/>
      <c r="W640" s="138"/>
      <c r="X640" s="140"/>
      <c r="Y640" s="140"/>
      <c r="Z640" s="140"/>
      <c r="AA640" s="140"/>
      <c r="AB640" s="138"/>
      <c r="AC640" s="140"/>
      <c r="AD640" s="140"/>
      <c r="AE640" s="140"/>
      <c r="AF640" s="140"/>
      <c r="AG640" s="138"/>
      <c r="AH640" s="140"/>
      <c r="AI640" s="140"/>
      <c r="AJ640" s="140"/>
      <c r="AK640" s="140"/>
      <c r="AL640" s="138"/>
      <c r="AM640" s="141"/>
      <c r="AN640" s="142"/>
      <c r="AO640" s="142"/>
      <c r="AP640" s="143"/>
      <c r="AQ640" s="143"/>
      <c r="AR640" s="144"/>
      <c r="AS640" s="132">
        <f>SUM(AS636:AS639)</f>
        <v>0</v>
      </c>
      <c r="AT640" s="132">
        <f t="shared" ref="AT640:DE640" si="260">SUM(AT636:AT639)</f>
        <v>0</v>
      </c>
      <c r="AU640" s="132">
        <f t="shared" si="260"/>
        <v>0</v>
      </c>
      <c r="AV640" s="132">
        <f t="shared" si="260"/>
        <v>0</v>
      </c>
      <c r="AW640" s="132">
        <f t="shared" si="260"/>
        <v>17337600</v>
      </c>
      <c r="AX640" s="132">
        <f t="shared" si="260"/>
        <v>0</v>
      </c>
      <c r="AY640" s="132">
        <f t="shared" si="260"/>
        <v>0</v>
      </c>
      <c r="AZ640" s="132">
        <f t="shared" si="260"/>
        <v>0</v>
      </c>
      <c r="BA640" s="132">
        <f t="shared" si="260"/>
        <v>0</v>
      </c>
      <c r="BB640" s="132">
        <f t="shared" si="260"/>
        <v>0</v>
      </c>
      <c r="BC640" s="132">
        <f t="shared" si="260"/>
        <v>0</v>
      </c>
      <c r="BD640" s="132">
        <f t="shared" si="260"/>
        <v>0</v>
      </c>
      <c r="BE640" s="132">
        <f t="shared" si="260"/>
        <v>0</v>
      </c>
      <c r="BF640" s="132">
        <f t="shared" si="260"/>
        <v>0</v>
      </c>
      <c r="BG640" s="132">
        <f t="shared" si="260"/>
        <v>0</v>
      </c>
      <c r="BH640" s="133">
        <f>IF(OR(AND(BH636=0,W636&lt;&gt;0),AND(BH637=0,W637&lt;&gt;0),AND(BH638=0,W638&lt;&gt;0),AND(BH639=0,W639&lt;&gt;0)),"NO DEBEN QUEDAR CELDAS EN ROJO",SUM(BH636:BH639))</f>
        <v>17337600</v>
      </c>
      <c r="BI640" s="132">
        <f t="shared" si="260"/>
        <v>0</v>
      </c>
      <c r="BJ640" s="132">
        <f t="shared" si="260"/>
        <v>0</v>
      </c>
      <c r="BK640" s="132">
        <f t="shared" si="260"/>
        <v>0</v>
      </c>
      <c r="BL640" s="132">
        <f t="shared" si="260"/>
        <v>0</v>
      </c>
      <c r="BM640" s="132">
        <f t="shared" si="260"/>
        <v>38177860</v>
      </c>
      <c r="BN640" s="132">
        <f t="shared" si="260"/>
        <v>0</v>
      </c>
      <c r="BO640" s="132">
        <f t="shared" si="260"/>
        <v>0</v>
      </c>
      <c r="BP640" s="132">
        <f t="shared" si="260"/>
        <v>0</v>
      </c>
      <c r="BQ640" s="132">
        <f t="shared" si="260"/>
        <v>0</v>
      </c>
      <c r="BR640" s="132">
        <f t="shared" si="260"/>
        <v>0</v>
      </c>
      <c r="BS640" s="132">
        <f t="shared" si="260"/>
        <v>0</v>
      </c>
      <c r="BT640" s="132">
        <f t="shared" si="260"/>
        <v>0</v>
      </c>
      <c r="BU640" s="132">
        <f t="shared" si="260"/>
        <v>0</v>
      </c>
      <c r="BV640" s="132">
        <f t="shared" si="260"/>
        <v>0</v>
      </c>
      <c r="BW640" s="132">
        <f t="shared" si="260"/>
        <v>0</v>
      </c>
      <c r="BX640" s="133">
        <f>IF(OR(AND(BX636=0,AB636&lt;&gt;0),AND(BX637=0,AB637&lt;&gt;0),AND(BX638=0,AB638&lt;&gt;0),AND(BX639=0,AB639&lt;&gt;0)),"NO DEBEN QUEDAR CELDAS EN ROJO",SUM(BX636:BX639))</f>
        <v>38177860</v>
      </c>
      <c r="BY640" s="132">
        <f t="shared" si="260"/>
        <v>0</v>
      </c>
      <c r="BZ640" s="132">
        <f t="shared" si="260"/>
        <v>0</v>
      </c>
      <c r="CA640" s="132">
        <f t="shared" si="260"/>
        <v>0</v>
      </c>
      <c r="CB640" s="132">
        <f t="shared" si="260"/>
        <v>0</v>
      </c>
      <c r="CC640" s="132">
        <f t="shared" si="260"/>
        <v>33292585</v>
      </c>
      <c r="CD640" s="132">
        <f t="shared" si="260"/>
        <v>0</v>
      </c>
      <c r="CE640" s="132">
        <f t="shared" si="260"/>
        <v>0</v>
      </c>
      <c r="CF640" s="132">
        <f t="shared" si="260"/>
        <v>0</v>
      </c>
      <c r="CG640" s="132">
        <f t="shared" si="260"/>
        <v>0</v>
      </c>
      <c r="CH640" s="132">
        <f t="shared" si="260"/>
        <v>0</v>
      </c>
      <c r="CI640" s="132">
        <f t="shared" si="260"/>
        <v>0</v>
      </c>
      <c r="CJ640" s="132">
        <f t="shared" si="260"/>
        <v>0</v>
      </c>
      <c r="CK640" s="132">
        <f t="shared" si="260"/>
        <v>0</v>
      </c>
      <c r="CL640" s="132">
        <f t="shared" si="260"/>
        <v>0</v>
      </c>
      <c r="CM640" s="132">
        <f t="shared" si="260"/>
        <v>0</v>
      </c>
      <c r="CN640" s="133">
        <f>IF(OR(AND(CN636=0,AG636&lt;&gt;0),AND(CN637=0,AG637&lt;&gt;0),AND(CN638=0,AG638&lt;&gt;0),AND(CN639=0,AG639&lt;&gt;0)),"NO DEBEN QUEDAR CELDAS EN ROJO",SUM(CN636:CN639))</f>
        <v>33292585</v>
      </c>
      <c r="CO640" s="132">
        <f t="shared" si="260"/>
        <v>0</v>
      </c>
      <c r="CP640" s="132">
        <f t="shared" si="260"/>
        <v>0</v>
      </c>
      <c r="CQ640" s="132">
        <f t="shared" si="260"/>
        <v>0</v>
      </c>
      <c r="CR640" s="132">
        <f t="shared" si="260"/>
        <v>0</v>
      </c>
      <c r="CS640" s="132">
        <f t="shared" si="260"/>
        <v>35837826</v>
      </c>
      <c r="CT640" s="132">
        <f t="shared" si="260"/>
        <v>0</v>
      </c>
      <c r="CU640" s="132">
        <f t="shared" si="260"/>
        <v>0</v>
      </c>
      <c r="CV640" s="132">
        <f t="shared" si="260"/>
        <v>0</v>
      </c>
      <c r="CW640" s="132">
        <f t="shared" si="260"/>
        <v>0</v>
      </c>
      <c r="CX640" s="132">
        <f t="shared" si="260"/>
        <v>0</v>
      </c>
      <c r="CY640" s="132">
        <f t="shared" si="260"/>
        <v>0</v>
      </c>
      <c r="CZ640" s="132">
        <f t="shared" si="260"/>
        <v>0</v>
      </c>
      <c r="DA640" s="132">
        <f t="shared" si="260"/>
        <v>0</v>
      </c>
      <c r="DB640" s="132">
        <f t="shared" si="260"/>
        <v>0</v>
      </c>
      <c r="DC640" s="132">
        <f t="shared" si="260"/>
        <v>0</v>
      </c>
      <c r="DD640" s="133">
        <f>IF(OR(AND(DD636=0,AL636&lt;&gt;0),AND(DD637=0,AL637&lt;&gt;0),AND(DD638=0,AL638&lt;&gt;0),AND(DD639=0,AL639&lt;&gt;0)),"NO DEBEN QUEDAR CELDAS EN ROJO",SUM(DD636:DD639))</f>
        <v>35837826</v>
      </c>
      <c r="DE640" s="133">
        <f t="shared" si="260"/>
        <v>124645871</v>
      </c>
    </row>
    <row r="641" spans="1:109" s="99" customFormat="1" ht="102" customHeight="1">
      <c r="A641" s="103" t="s">
        <v>1243</v>
      </c>
      <c r="B641" s="103" t="s">
        <v>1469</v>
      </c>
      <c r="C641" s="103" t="s">
        <v>1691</v>
      </c>
      <c r="D641" s="103">
        <v>51</v>
      </c>
      <c r="E641" s="103" t="s">
        <v>1583</v>
      </c>
      <c r="F641" s="278" t="s">
        <v>1584</v>
      </c>
      <c r="G641" s="103" t="s">
        <v>3081</v>
      </c>
      <c r="H641" s="103">
        <v>60</v>
      </c>
      <c r="I641" s="103" t="s">
        <v>1585</v>
      </c>
      <c r="J641" s="103" t="s">
        <v>683</v>
      </c>
      <c r="K641" s="103">
        <v>1</v>
      </c>
      <c r="L641" s="103">
        <v>1</v>
      </c>
      <c r="M641" s="103" t="s">
        <v>1586</v>
      </c>
      <c r="N641" s="103" t="s">
        <v>1587</v>
      </c>
      <c r="O641" s="103" t="s">
        <v>1588</v>
      </c>
      <c r="P641" s="283">
        <v>576</v>
      </c>
      <c r="Q641" s="103" t="s">
        <v>3082</v>
      </c>
      <c r="R641" s="103" t="s">
        <v>230</v>
      </c>
      <c r="S641" s="103" t="s">
        <v>683</v>
      </c>
      <c r="T641" s="103">
        <v>24</v>
      </c>
      <c r="U641" s="267">
        <v>0.75</v>
      </c>
      <c r="V641" s="267">
        <v>0.25</v>
      </c>
      <c r="W641" s="224">
        <v>1</v>
      </c>
      <c r="X641" s="267">
        <v>0.25</v>
      </c>
      <c r="Y641" s="267">
        <v>0.25</v>
      </c>
      <c r="Z641" s="267">
        <v>0.25</v>
      </c>
      <c r="AA641" s="267">
        <v>0.25</v>
      </c>
      <c r="AB641" s="224">
        <v>1</v>
      </c>
      <c r="AC641" s="267">
        <v>0.25</v>
      </c>
      <c r="AD641" s="267">
        <v>0.25</v>
      </c>
      <c r="AE641" s="267">
        <v>0.25</v>
      </c>
      <c r="AF641" s="267">
        <v>0.25</v>
      </c>
      <c r="AG641" s="224">
        <v>1</v>
      </c>
      <c r="AH641" s="267">
        <v>0.25</v>
      </c>
      <c r="AI641" s="267">
        <v>0.25</v>
      </c>
      <c r="AJ641" s="267">
        <v>0.25</v>
      </c>
      <c r="AK641" s="267">
        <v>0.25</v>
      </c>
      <c r="AL641" s="224">
        <v>1</v>
      </c>
      <c r="AM641" s="102">
        <v>4</v>
      </c>
      <c r="AN641" s="103" t="s">
        <v>685</v>
      </c>
      <c r="AO641" s="103" t="s">
        <v>621</v>
      </c>
      <c r="AP641" s="103" t="s">
        <v>1225</v>
      </c>
      <c r="AQ641" s="103" t="s">
        <v>1193</v>
      </c>
      <c r="AR641" s="103" t="s">
        <v>946</v>
      </c>
      <c r="AS641" s="268"/>
      <c r="AT641" s="268"/>
      <c r="AU641" s="268"/>
      <c r="AV641" s="268"/>
      <c r="AW641" s="268">
        <v>39839767</v>
      </c>
      <c r="AX641" s="268"/>
      <c r="AY641" s="268"/>
      <c r="AZ641" s="268"/>
      <c r="BA641" s="268"/>
      <c r="BB641" s="268"/>
      <c r="BC641" s="268"/>
      <c r="BD641" s="268"/>
      <c r="BE641" s="268"/>
      <c r="BF641" s="268"/>
      <c r="BG641" s="268"/>
      <c r="BH641" s="234">
        <f>IF(W641=0,0,BG641+BF641+BE641+BD641+BC641+BB641+BA641+AZ641+AY641+AX641+AW641+AV641+AU641+AT641+AS641)</f>
        <v>39839767</v>
      </c>
      <c r="BI641" s="268"/>
      <c r="BJ641" s="268"/>
      <c r="BK641" s="268"/>
      <c r="BL641" s="268"/>
      <c r="BM641" s="268">
        <v>57428700</v>
      </c>
      <c r="BN641" s="268"/>
      <c r="BO641" s="268"/>
      <c r="BP641" s="268"/>
      <c r="BQ641" s="268"/>
      <c r="BR641" s="268"/>
      <c r="BS641" s="268"/>
      <c r="BT641" s="268"/>
      <c r="BU641" s="268"/>
      <c r="BV641" s="268"/>
      <c r="BW641" s="268"/>
      <c r="BX641" s="234">
        <f>IF(AB641=0,0,BI641+BJ641+BK641+BL641+BM641+BN641+BO641+BP641+BQ641+BR641+BS641+BT641+BU641+BV641+BW641)</f>
        <v>57428700</v>
      </c>
      <c r="BY641" s="268"/>
      <c r="BZ641" s="268"/>
      <c r="CA641" s="268"/>
      <c r="CB641" s="268"/>
      <c r="CC641" s="268">
        <v>44579028</v>
      </c>
      <c r="CD641" s="268"/>
      <c r="CE641" s="268"/>
      <c r="CF641" s="268"/>
      <c r="CG641" s="268"/>
      <c r="CH641" s="268"/>
      <c r="CI641" s="268"/>
      <c r="CJ641" s="268"/>
      <c r="CK641" s="268"/>
      <c r="CL641" s="268"/>
      <c r="CM641" s="268"/>
      <c r="CN641" s="234">
        <f>IF(AG641=0,0,(BY641+BZ641+CA641+CB641+CC641+CD641+CE641+CF641+CG641+CH641+CI641+CJ641+CK641+CL641+CM641))</f>
        <v>44579028</v>
      </c>
      <c r="CO641" s="268"/>
      <c r="CP641" s="268"/>
      <c r="CQ641" s="268"/>
      <c r="CR641" s="268"/>
      <c r="CS641" s="268">
        <v>61519058</v>
      </c>
      <c r="CT641" s="268"/>
      <c r="CU641" s="268"/>
      <c r="CV641" s="268"/>
      <c r="CW641" s="268"/>
      <c r="CX641" s="268"/>
      <c r="CY641" s="268"/>
      <c r="CZ641" s="268"/>
      <c r="DA641" s="268"/>
      <c r="DB641" s="268"/>
      <c r="DC641" s="268"/>
      <c r="DD641" s="234">
        <f>IF(AL641=0,0,(CO641+CP641+CQ641+CR641+CS641+CT641+CU641+CV641+CW641+CX641+CY641+CZ641+DA641+DB641+DC641))</f>
        <v>61519058</v>
      </c>
      <c r="DE641" s="243">
        <f t="shared" ref="DE641:DE645" si="261">SUM(DD641+CN641+BX641+BH641)</f>
        <v>203366553</v>
      </c>
    </row>
    <row r="642" spans="1:109" s="99" customFormat="1" ht="102" customHeight="1">
      <c r="A642" s="103" t="s">
        <v>1243</v>
      </c>
      <c r="B642" s="279" t="s">
        <v>1469</v>
      </c>
      <c r="C642" s="279" t="s">
        <v>1691</v>
      </c>
      <c r="D642" s="279">
        <v>51</v>
      </c>
      <c r="E642" s="279" t="s">
        <v>1583</v>
      </c>
      <c r="F642" s="280" t="s">
        <v>1584</v>
      </c>
      <c r="G642" s="279" t="s">
        <v>3081</v>
      </c>
      <c r="H642" s="279">
        <v>60</v>
      </c>
      <c r="I642" s="279" t="s">
        <v>1585</v>
      </c>
      <c r="J642" s="279" t="s">
        <v>683</v>
      </c>
      <c r="K642" s="279">
        <v>1</v>
      </c>
      <c r="L642" s="279">
        <v>1</v>
      </c>
      <c r="M642" s="279" t="s">
        <v>1586</v>
      </c>
      <c r="N642" s="279" t="s">
        <v>1587</v>
      </c>
      <c r="O642" s="279" t="s">
        <v>1588</v>
      </c>
      <c r="P642" s="283">
        <v>577</v>
      </c>
      <c r="Q642" s="279" t="s">
        <v>3083</v>
      </c>
      <c r="R642" s="279" t="s">
        <v>1589</v>
      </c>
      <c r="S642" s="279" t="s">
        <v>683</v>
      </c>
      <c r="T642" s="279">
        <v>0</v>
      </c>
      <c r="U642" s="267">
        <v>0.25</v>
      </c>
      <c r="V642" s="267">
        <v>0.25</v>
      </c>
      <c r="W642" s="224">
        <v>0.5</v>
      </c>
      <c r="X642" s="267"/>
      <c r="Y642" s="267">
        <v>0.25</v>
      </c>
      <c r="Z642" s="267"/>
      <c r="AA642" s="267">
        <v>0.25</v>
      </c>
      <c r="AB642" s="224">
        <v>0.5</v>
      </c>
      <c r="AC642" s="267"/>
      <c r="AD642" s="267">
        <v>0.25</v>
      </c>
      <c r="AE642" s="267"/>
      <c r="AF642" s="267">
        <v>0.25</v>
      </c>
      <c r="AG642" s="224">
        <v>0.5</v>
      </c>
      <c r="AH642" s="267"/>
      <c r="AI642" s="267">
        <v>0.25</v>
      </c>
      <c r="AJ642" s="267"/>
      <c r="AK642" s="267">
        <v>0.25</v>
      </c>
      <c r="AL642" s="224">
        <v>0.5</v>
      </c>
      <c r="AM642" s="104">
        <v>2</v>
      </c>
      <c r="AN642" s="103" t="s">
        <v>685</v>
      </c>
      <c r="AO642" s="103" t="s">
        <v>621</v>
      </c>
      <c r="AP642" s="103" t="s">
        <v>1225</v>
      </c>
      <c r="AQ642" s="103" t="s">
        <v>1193</v>
      </c>
      <c r="AR642" s="103" t="s">
        <v>946</v>
      </c>
      <c r="AS642" s="271"/>
      <c r="AT642" s="271"/>
      <c r="AU642" s="271"/>
      <c r="AV642" s="271"/>
      <c r="AW642" s="271">
        <v>39839766</v>
      </c>
      <c r="AX642" s="271"/>
      <c r="AY642" s="271"/>
      <c r="AZ642" s="271"/>
      <c r="BA642" s="271"/>
      <c r="BB642" s="271"/>
      <c r="BC642" s="271"/>
      <c r="BD642" s="271"/>
      <c r="BE642" s="271"/>
      <c r="BF642" s="271"/>
      <c r="BG642" s="271"/>
      <c r="BH642" s="235">
        <f>IF(W642=0,0,BG642+BF642+BE642+BD642+BC642+BB642+BA642+AZ642+AY642+AX642+AW642+AV642+AU642+AT642+AS642)</f>
        <v>39839766</v>
      </c>
      <c r="BI642" s="271"/>
      <c r="BJ642" s="271"/>
      <c r="BK642" s="271"/>
      <c r="BL642" s="271"/>
      <c r="BM642" s="271">
        <v>57428700</v>
      </c>
      <c r="BN642" s="271"/>
      <c r="BO642" s="271"/>
      <c r="BP642" s="271"/>
      <c r="BQ642" s="271"/>
      <c r="BR642" s="271"/>
      <c r="BS642" s="271"/>
      <c r="BT642" s="271"/>
      <c r="BU642" s="271"/>
      <c r="BV642" s="271"/>
      <c r="BW642" s="271"/>
      <c r="BX642" s="235">
        <f>IF(AB642=0,0,BI642+BJ642+BK642+BL642+BM642+BN642+BO642+BP642+BQ642+BR642+BS642+BT642+BU642+BV642+BW642)</f>
        <v>57428700</v>
      </c>
      <c r="BY642" s="271"/>
      <c r="BZ642" s="271"/>
      <c r="CA642" s="271"/>
      <c r="CB642" s="271"/>
      <c r="CC642" s="271">
        <v>44579028</v>
      </c>
      <c r="CD642" s="271"/>
      <c r="CE642" s="271"/>
      <c r="CF642" s="271"/>
      <c r="CG642" s="271"/>
      <c r="CH642" s="271"/>
      <c r="CI642" s="271"/>
      <c r="CJ642" s="271"/>
      <c r="CK642" s="271"/>
      <c r="CL642" s="271"/>
      <c r="CM642" s="271"/>
      <c r="CN642" s="235">
        <f>IF(AG642=0,0,(BY642+BZ642+CA642+CB642+CC642+CD642+CE642+CF642+CG642+CH642+CI642+CJ642+CK642+CL642+CM642))</f>
        <v>44579028</v>
      </c>
      <c r="CO642" s="271"/>
      <c r="CP642" s="271"/>
      <c r="CQ642" s="271"/>
      <c r="CR642" s="271"/>
      <c r="CS642" s="271">
        <v>61519058</v>
      </c>
      <c r="CT642" s="271"/>
      <c r="CU642" s="271"/>
      <c r="CV642" s="271"/>
      <c r="CW642" s="271"/>
      <c r="CX642" s="271"/>
      <c r="CY642" s="271"/>
      <c r="CZ642" s="271"/>
      <c r="DA642" s="271"/>
      <c r="DB642" s="271"/>
      <c r="DC642" s="271"/>
      <c r="DD642" s="234">
        <f>IF(AL642=0,0,(CO642+CP642+CQ642+CR642+CS642+CT642+CU642+CV642+CW642+CX642+CY642+CZ642+DA642+DB642+DC642))</f>
        <v>61519058</v>
      </c>
      <c r="DE642" s="244">
        <f t="shared" si="261"/>
        <v>203366552</v>
      </c>
    </row>
    <row r="643" spans="1:109" s="99" customFormat="1" ht="102" customHeight="1">
      <c r="A643" s="103" t="s">
        <v>1243</v>
      </c>
      <c r="B643" s="279" t="s">
        <v>1469</v>
      </c>
      <c r="C643" s="279" t="s">
        <v>1691</v>
      </c>
      <c r="D643" s="279">
        <v>51</v>
      </c>
      <c r="E643" s="279" t="s">
        <v>1583</v>
      </c>
      <c r="F643" s="280" t="s">
        <v>1584</v>
      </c>
      <c r="G643" s="279" t="s">
        <v>3081</v>
      </c>
      <c r="H643" s="279">
        <v>60</v>
      </c>
      <c r="I643" s="279" t="s">
        <v>1585</v>
      </c>
      <c r="J643" s="279" t="s">
        <v>683</v>
      </c>
      <c r="K643" s="279">
        <v>1</v>
      </c>
      <c r="L643" s="279">
        <v>1</v>
      </c>
      <c r="M643" s="279" t="s">
        <v>1586</v>
      </c>
      <c r="N643" s="279" t="s">
        <v>1587</v>
      </c>
      <c r="O643" s="279" t="s">
        <v>1588</v>
      </c>
      <c r="P643" s="283">
        <v>578</v>
      </c>
      <c r="Q643" s="279" t="s">
        <v>3084</v>
      </c>
      <c r="R643" s="279" t="s">
        <v>1590</v>
      </c>
      <c r="S643" s="279" t="s">
        <v>683</v>
      </c>
      <c r="T643" s="279">
        <v>24</v>
      </c>
      <c r="U643" s="267">
        <v>3</v>
      </c>
      <c r="V643" s="267">
        <v>1</v>
      </c>
      <c r="W643" s="224">
        <v>4</v>
      </c>
      <c r="X643" s="267">
        <v>1</v>
      </c>
      <c r="Y643" s="267">
        <v>1</v>
      </c>
      <c r="Z643" s="267">
        <v>1</v>
      </c>
      <c r="AA643" s="267">
        <v>1</v>
      </c>
      <c r="AB643" s="224">
        <v>4</v>
      </c>
      <c r="AC643" s="267">
        <v>1</v>
      </c>
      <c r="AD643" s="267">
        <v>1</v>
      </c>
      <c r="AE643" s="267">
        <v>1</v>
      </c>
      <c r="AF643" s="267">
        <v>1</v>
      </c>
      <c r="AG643" s="224">
        <v>4</v>
      </c>
      <c r="AH643" s="267">
        <v>1</v>
      </c>
      <c r="AI643" s="267">
        <v>1</v>
      </c>
      <c r="AJ643" s="267">
        <v>1</v>
      </c>
      <c r="AK643" s="267">
        <v>1</v>
      </c>
      <c r="AL643" s="224">
        <v>4</v>
      </c>
      <c r="AM643" s="104">
        <v>16</v>
      </c>
      <c r="AN643" s="103" t="s">
        <v>685</v>
      </c>
      <c r="AO643" s="103" t="s">
        <v>621</v>
      </c>
      <c r="AP643" s="103" t="s">
        <v>1225</v>
      </c>
      <c r="AQ643" s="103" t="s">
        <v>1199</v>
      </c>
      <c r="AR643" s="103" t="s">
        <v>946</v>
      </c>
      <c r="AS643" s="271"/>
      <c r="AT643" s="271"/>
      <c r="AU643" s="271"/>
      <c r="AV643" s="271"/>
      <c r="AW643" s="271">
        <v>2500000000</v>
      </c>
      <c r="AX643" s="271"/>
      <c r="AY643" s="271"/>
      <c r="AZ643" s="271"/>
      <c r="BA643" s="271"/>
      <c r="BB643" s="271"/>
      <c r="BC643" s="271"/>
      <c r="BD643" s="271"/>
      <c r="BE643" s="271"/>
      <c r="BF643" s="271"/>
      <c r="BG643" s="271"/>
      <c r="BH643" s="235">
        <f>IF(W643=0,0,BG643+BF643+BE643+BD643+BC643+BB643+BA643+AZ643+AY643+AX643+AW643+AV643+AU643+AT643+AS643)</f>
        <v>2500000000</v>
      </c>
      <c r="BI643" s="271"/>
      <c r="BJ643" s="271"/>
      <c r="BK643" s="271"/>
      <c r="BL643" s="271"/>
      <c r="BM643" s="271">
        <v>250000000</v>
      </c>
      <c r="BN643" s="271"/>
      <c r="BO643" s="271"/>
      <c r="BP643" s="271"/>
      <c r="BQ643" s="271"/>
      <c r="BR643" s="271"/>
      <c r="BS643" s="271"/>
      <c r="BT643" s="271"/>
      <c r="BU643" s="271"/>
      <c r="BV643" s="271"/>
      <c r="BW643" s="271"/>
      <c r="BX643" s="235">
        <f>IF(AB643=0,0,BI643+BJ643+BK643+BL643+BM643+BN643+BO643+BP643+BQ643+BR643+BS643+BT643+BU643+BV643+BW643)</f>
        <v>250000000</v>
      </c>
      <c r="BY643" s="271"/>
      <c r="BZ643" s="271"/>
      <c r="CA643" s="271"/>
      <c r="CB643" s="271"/>
      <c r="CC643" s="271">
        <v>100000000</v>
      </c>
      <c r="CD643" s="271"/>
      <c r="CE643" s="271"/>
      <c r="CF643" s="271"/>
      <c r="CG643" s="271"/>
      <c r="CH643" s="271"/>
      <c r="CI643" s="271"/>
      <c r="CJ643" s="271"/>
      <c r="CK643" s="271"/>
      <c r="CL643" s="271"/>
      <c r="CM643" s="271"/>
      <c r="CN643" s="235">
        <f>IF(AG643=0,0,(BY643+BZ643+CA643+CB643+CC643+CD643+CE643+CF643+CG643+CH643+CI643+CJ643+CK643+CL643+CM643))</f>
        <v>100000000</v>
      </c>
      <c r="CO643" s="271"/>
      <c r="CP643" s="271"/>
      <c r="CQ643" s="271"/>
      <c r="CR643" s="271"/>
      <c r="CS643" s="271">
        <v>100000000</v>
      </c>
      <c r="CT643" s="271"/>
      <c r="CU643" s="271"/>
      <c r="CV643" s="271"/>
      <c r="CW643" s="271"/>
      <c r="CX643" s="271"/>
      <c r="CY643" s="271"/>
      <c r="CZ643" s="271"/>
      <c r="DA643" s="271"/>
      <c r="DB643" s="271"/>
      <c r="DC643" s="271"/>
      <c r="DD643" s="234">
        <f>IF(AL643=0,0,(CO643+CP643+CQ643+CR643+CS643+CT643+CU643+CV643+CW643+CX643+CY643+CZ643+DA643+DB643+DC643))</f>
        <v>100000000</v>
      </c>
      <c r="DE643" s="244">
        <f t="shared" si="261"/>
        <v>2950000000</v>
      </c>
    </row>
    <row r="644" spans="1:109" s="99" customFormat="1" ht="102" customHeight="1">
      <c r="A644" s="103" t="s">
        <v>1243</v>
      </c>
      <c r="B644" s="279" t="s">
        <v>1469</v>
      </c>
      <c r="C644" s="279" t="s">
        <v>1691</v>
      </c>
      <c r="D644" s="279">
        <v>51</v>
      </c>
      <c r="E644" s="279" t="s">
        <v>1583</v>
      </c>
      <c r="F644" s="280" t="s">
        <v>1584</v>
      </c>
      <c r="G644" s="279" t="s">
        <v>3081</v>
      </c>
      <c r="H644" s="279">
        <v>60</v>
      </c>
      <c r="I644" s="279" t="s">
        <v>1585</v>
      </c>
      <c r="J644" s="279" t="s">
        <v>683</v>
      </c>
      <c r="K644" s="279">
        <v>1</v>
      </c>
      <c r="L644" s="279">
        <v>1</v>
      </c>
      <c r="M644" s="279" t="s">
        <v>1586</v>
      </c>
      <c r="N644" s="279" t="s">
        <v>1587</v>
      </c>
      <c r="O644" s="279" t="s">
        <v>1588</v>
      </c>
      <c r="P644" s="283">
        <v>579</v>
      </c>
      <c r="Q644" s="279" t="s">
        <v>3085</v>
      </c>
      <c r="R644" s="279" t="s">
        <v>1591</v>
      </c>
      <c r="S644" s="279" t="s">
        <v>683</v>
      </c>
      <c r="T644" s="279">
        <v>3</v>
      </c>
      <c r="U644" s="267"/>
      <c r="V644" s="267"/>
      <c r="W644" s="224">
        <v>0</v>
      </c>
      <c r="X644" s="267"/>
      <c r="Y644" s="267"/>
      <c r="Z644" s="267"/>
      <c r="AA644" s="267"/>
      <c r="AB644" s="224">
        <v>0</v>
      </c>
      <c r="AC644" s="267"/>
      <c r="AD644" s="267">
        <v>0.25</v>
      </c>
      <c r="AE644" s="267">
        <v>0.25</v>
      </c>
      <c r="AF644" s="267">
        <v>0.5</v>
      </c>
      <c r="AG644" s="224">
        <v>1</v>
      </c>
      <c r="AH644" s="267"/>
      <c r="AI644" s="267"/>
      <c r="AJ644" s="267"/>
      <c r="AK644" s="267"/>
      <c r="AL644" s="224">
        <v>0</v>
      </c>
      <c r="AM644" s="104">
        <v>1</v>
      </c>
      <c r="AN644" s="103" t="s">
        <v>685</v>
      </c>
      <c r="AO644" s="103" t="s">
        <v>621</v>
      </c>
      <c r="AP644" s="103" t="s">
        <v>1225</v>
      </c>
      <c r="AQ644" s="103" t="s">
        <v>1197</v>
      </c>
      <c r="AR644" s="103" t="s">
        <v>946</v>
      </c>
      <c r="AS644" s="271"/>
      <c r="AT644" s="271"/>
      <c r="AU644" s="271"/>
      <c r="AV644" s="271"/>
      <c r="AW644" s="271"/>
      <c r="AX644" s="271"/>
      <c r="AY644" s="271"/>
      <c r="AZ644" s="271"/>
      <c r="BA644" s="271"/>
      <c r="BB644" s="271"/>
      <c r="BC644" s="271"/>
      <c r="BD644" s="271"/>
      <c r="BE644" s="271"/>
      <c r="BF644" s="271"/>
      <c r="BG644" s="271"/>
      <c r="BH644" s="235">
        <f>IF(W644=0,0,BG644+BF644+BE644+BD644+BC644+BB644+BA644+AZ644+AY644+AX644+AW644+AV644+AU644+AT644+AS644)</f>
        <v>0</v>
      </c>
      <c r="BI644" s="271"/>
      <c r="BJ644" s="271"/>
      <c r="BK644" s="271"/>
      <c r="BL644" s="271"/>
      <c r="BM644" s="271"/>
      <c r="BN644" s="271"/>
      <c r="BO644" s="271"/>
      <c r="BP644" s="271"/>
      <c r="BQ644" s="271"/>
      <c r="BR644" s="271"/>
      <c r="BS644" s="271"/>
      <c r="BT644" s="271"/>
      <c r="BU644" s="271"/>
      <c r="BV644" s="271"/>
      <c r="BW644" s="271"/>
      <c r="BX644" s="235">
        <f>IF(AB644=0,0,BI644+BJ644+BK644+BL644+BM644+BN644+BO644+BP644+BQ644+BR644+BS644+BT644+BU644+BV644+BW644)</f>
        <v>0</v>
      </c>
      <c r="BY644" s="271"/>
      <c r="BZ644" s="271"/>
      <c r="CA644" s="271"/>
      <c r="CB644" s="271"/>
      <c r="CC644" s="271">
        <v>44579028</v>
      </c>
      <c r="CD644" s="271"/>
      <c r="CE644" s="271"/>
      <c r="CF644" s="271"/>
      <c r="CG644" s="271"/>
      <c r="CH644" s="271"/>
      <c r="CI644" s="271"/>
      <c r="CJ644" s="271"/>
      <c r="CK644" s="271"/>
      <c r="CL644" s="271"/>
      <c r="CM644" s="271"/>
      <c r="CN644" s="235">
        <f>IF(AG644=0,0,(BY644+BZ644+CA644+CB644+CC644+CD644+CE644+CF644+CG644+CH644+CI644+CJ644+CK644+CL644+CM644))</f>
        <v>44579028</v>
      </c>
      <c r="CO644" s="271"/>
      <c r="CP644" s="271"/>
      <c r="CQ644" s="271"/>
      <c r="CR644" s="271"/>
      <c r="CS644" s="271"/>
      <c r="CT644" s="271"/>
      <c r="CU644" s="271"/>
      <c r="CV644" s="271"/>
      <c r="CW644" s="271"/>
      <c r="CX644" s="271"/>
      <c r="CY644" s="271"/>
      <c r="CZ644" s="271"/>
      <c r="DA644" s="271"/>
      <c r="DB644" s="271"/>
      <c r="DC644" s="271"/>
      <c r="DD644" s="234">
        <f>IF(AL644=0,0,(CO644+CP644+CQ644+CR644+CS644+CT644+CU644+CV644+CW644+CX644+CY644+CZ644+DA644+DB644+DC644))</f>
        <v>0</v>
      </c>
      <c r="DE644" s="244">
        <f t="shared" si="261"/>
        <v>44579028</v>
      </c>
    </row>
    <row r="645" spans="1:109" s="99" customFormat="1" ht="102" customHeight="1">
      <c r="A645" s="120" t="s">
        <v>1243</v>
      </c>
      <c r="B645" s="281" t="s">
        <v>1469</v>
      </c>
      <c r="C645" s="281" t="s">
        <v>1691</v>
      </c>
      <c r="D645" s="281">
        <v>51</v>
      </c>
      <c r="E645" s="281" t="s">
        <v>1583</v>
      </c>
      <c r="F645" s="282" t="s">
        <v>1584</v>
      </c>
      <c r="G645" s="281" t="s">
        <v>3081</v>
      </c>
      <c r="H645" s="281">
        <v>60</v>
      </c>
      <c r="I645" s="281" t="s">
        <v>1585</v>
      </c>
      <c r="J645" s="281" t="s">
        <v>683</v>
      </c>
      <c r="K645" s="281">
        <v>1</v>
      </c>
      <c r="L645" s="281">
        <v>1</v>
      </c>
      <c r="M645" s="281" t="s">
        <v>1586</v>
      </c>
      <c r="N645" s="281" t="s">
        <v>1587</v>
      </c>
      <c r="O645" s="281" t="s">
        <v>1588</v>
      </c>
      <c r="P645" s="283">
        <v>580</v>
      </c>
      <c r="Q645" s="281" t="s">
        <v>3605</v>
      </c>
      <c r="R645" s="281" t="s">
        <v>1592</v>
      </c>
      <c r="S645" s="281" t="s">
        <v>683</v>
      </c>
      <c r="T645" s="281">
        <v>24</v>
      </c>
      <c r="U645" s="275">
        <v>3</v>
      </c>
      <c r="V645" s="275">
        <v>1</v>
      </c>
      <c r="W645" s="225">
        <v>4</v>
      </c>
      <c r="X645" s="275">
        <v>1</v>
      </c>
      <c r="Y645" s="275">
        <v>1</v>
      </c>
      <c r="Z645" s="275">
        <v>1</v>
      </c>
      <c r="AA645" s="275">
        <v>1</v>
      </c>
      <c r="AB645" s="225">
        <v>4</v>
      </c>
      <c r="AC645" s="275">
        <v>1</v>
      </c>
      <c r="AD645" s="275">
        <v>1</v>
      </c>
      <c r="AE645" s="275">
        <v>1</v>
      </c>
      <c r="AF645" s="275">
        <v>1</v>
      </c>
      <c r="AG645" s="225">
        <v>4</v>
      </c>
      <c r="AH645" s="275">
        <v>1</v>
      </c>
      <c r="AI645" s="275">
        <v>1</v>
      </c>
      <c r="AJ645" s="275">
        <v>1</v>
      </c>
      <c r="AK645" s="275">
        <v>1</v>
      </c>
      <c r="AL645" s="225">
        <v>4</v>
      </c>
      <c r="AM645" s="119">
        <v>16</v>
      </c>
      <c r="AN645" s="120" t="s">
        <v>685</v>
      </c>
      <c r="AO645" s="120" t="s">
        <v>621</v>
      </c>
      <c r="AP645" s="120" t="s">
        <v>1225</v>
      </c>
      <c r="AQ645" s="120" t="s">
        <v>1193</v>
      </c>
      <c r="AR645" s="120" t="s">
        <v>946</v>
      </c>
      <c r="AS645" s="276"/>
      <c r="AT645" s="276"/>
      <c r="AU645" s="276"/>
      <c r="AV645" s="276"/>
      <c r="AW645" s="276">
        <v>39839767</v>
      </c>
      <c r="AX645" s="276"/>
      <c r="AY645" s="276"/>
      <c r="AZ645" s="276"/>
      <c r="BA645" s="276"/>
      <c r="BB645" s="276"/>
      <c r="BC645" s="276"/>
      <c r="BD645" s="276"/>
      <c r="BE645" s="276"/>
      <c r="BF645" s="276"/>
      <c r="BG645" s="276"/>
      <c r="BH645" s="236">
        <f>IF(W645=0,0,BG645+BF645+BE645+BD645+BC645+BB645+BA645+AZ645+AY645+AX645+AW645+AV645+AU645+AT645+AS645)</f>
        <v>39839767</v>
      </c>
      <c r="BI645" s="276"/>
      <c r="BJ645" s="276"/>
      <c r="BK645" s="276"/>
      <c r="BL645" s="276"/>
      <c r="BM645" s="276">
        <v>57428700</v>
      </c>
      <c r="BN645" s="276"/>
      <c r="BO645" s="276"/>
      <c r="BP645" s="276"/>
      <c r="BQ645" s="276"/>
      <c r="BR645" s="276"/>
      <c r="BS645" s="276"/>
      <c r="BT645" s="276"/>
      <c r="BU645" s="276"/>
      <c r="BV645" s="276"/>
      <c r="BW645" s="276"/>
      <c r="BX645" s="236">
        <f>IF(AB645=0,0,BI645+BJ645+BK645+BL645+BM645+BN645+BO645+BP645+BQ645+BR645+BS645+BT645+BU645+BV645+BW645)</f>
        <v>57428700</v>
      </c>
      <c r="BY645" s="276"/>
      <c r="BZ645" s="276"/>
      <c r="CA645" s="276"/>
      <c r="CB645" s="276"/>
      <c r="CC645" s="276">
        <v>44579028</v>
      </c>
      <c r="CD645" s="276"/>
      <c r="CE645" s="276"/>
      <c r="CF645" s="276"/>
      <c r="CG645" s="276"/>
      <c r="CH645" s="276"/>
      <c r="CI645" s="276"/>
      <c r="CJ645" s="276"/>
      <c r="CK645" s="276"/>
      <c r="CL645" s="276"/>
      <c r="CM645" s="276"/>
      <c r="CN645" s="236">
        <f>IF(AG645=0,0,(BY645+BZ645+CA645+CB645+CC645+CD645+CE645+CF645+CG645+CH645+CI645+CJ645+CK645+CL645+CM645))</f>
        <v>44579028</v>
      </c>
      <c r="CO645" s="276"/>
      <c r="CP645" s="276"/>
      <c r="CQ645" s="276"/>
      <c r="CR645" s="276"/>
      <c r="CS645" s="276">
        <v>61519059</v>
      </c>
      <c r="CT645" s="276"/>
      <c r="CU645" s="276"/>
      <c r="CV645" s="276"/>
      <c r="CW645" s="276"/>
      <c r="CX645" s="276"/>
      <c r="CY645" s="276"/>
      <c r="CZ645" s="276"/>
      <c r="DA645" s="276"/>
      <c r="DB645" s="276"/>
      <c r="DC645" s="276"/>
      <c r="DD645" s="240">
        <f>IF(AL645=0,0,(CO645+CP645+CQ645+CR645+CS645+CT645+CU645+CV645+CW645+CX645+CY645+CZ645+DA645+DB645+DC645))</f>
        <v>61519059</v>
      </c>
      <c r="DE645" s="245">
        <f t="shared" si="261"/>
        <v>203366554</v>
      </c>
    </row>
    <row r="646" spans="1:109" s="46" customFormat="1" ht="65.099999999999994" customHeight="1">
      <c r="A646" s="134" t="s">
        <v>1243</v>
      </c>
      <c r="B646" s="134" t="s">
        <v>1469</v>
      </c>
      <c r="C646" s="134" t="s">
        <v>1691</v>
      </c>
      <c r="D646" s="148">
        <v>51</v>
      </c>
      <c r="E646" s="148" t="s">
        <v>1583</v>
      </c>
      <c r="F646" s="149"/>
      <c r="G646" s="150"/>
      <c r="H646" s="151"/>
      <c r="I646" s="151"/>
      <c r="J646" s="151"/>
      <c r="K646" s="152"/>
      <c r="L646" s="151"/>
      <c r="M646" s="151"/>
      <c r="N646" s="151"/>
      <c r="O646" s="151"/>
      <c r="P646" s="151"/>
      <c r="Q646" s="150"/>
      <c r="R646" s="153"/>
      <c r="S646" s="151"/>
      <c r="T646" s="151"/>
      <c r="U646" s="154"/>
      <c r="V646" s="154"/>
      <c r="W646" s="152"/>
      <c r="X646" s="154"/>
      <c r="Y646" s="154"/>
      <c r="Z646" s="154"/>
      <c r="AA646" s="154"/>
      <c r="AB646" s="152"/>
      <c r="AC646" s="154"/>
      <c r="AD646" s="154"/>
      <c r="AE646" s="154"/>
      <c r="AF646" s="154"/>
      <c r="AG646" s="152"/>
      <c r="AH646" s="154"/>
      <c r="AI646" s="154"/>
      <c r="AJ646" s="154"/>
      <c r="AK646" s="154"/>
      <c r="AL646" s="152"/>
      <c r="AM646" s="155"/>
      <c r="AN646" s="156"/>
      <c r="AO646" s="156"/>
      <c r="AP646" s="157"/>
      <c r="AQ646" s="157"/>
      <c r="AR646" s="158"/>
      <c r="AS646" s="132">
        <f>SUM(AS641:AS645)</f>
        <v>0</v>
      </c>
      <c r="AT646" s="132">
        <f t="shared" ref="AT646:DE646" si="262">SUM(AT641:AT645)</f>
        <v>0</v>
      </c>
      <c r="AU646" s="132">
        <f t="shared" si="262"/>
        <v>0</v>
      </c>
      <c r="AV646" s="132">
        <f t="shared" si="262"/>
        <v>0</v>
      </c>
      <c r="AW646" s="132">
        <f t="shared" si="262"/>
        <v>2619519300</v>
      </c>
      <c r="AX646" s="132">
        <f t="shared" si="262"/>
        <v>0</v>
      </c>
      <c r="AY646" s="132">
        <f t="shared" si="262"/>
        <v>0</v>
      </c>
      <c r="AZ646" s="132">
        <f t="shared" si="262"/>
        <v>0</v>
      </c>
      <c r="BA646" s="132">
        <f t="shared" si="262"/>
        <v>0</v>
      </c>
      <c r="BB646" s="132">
        <f t="shared" si="262"/>
        <v>0</v>
      </c>
      <c r="BC646" s="132">
        <f t="shared" si="262"/>
        <v>0</v>
      </c>
      <c r="BD646" s="132">
        <f t="shared" si="262"/>
        <v>0</v>
      </c>
      <c r="BE646" s="132">
        <f t="shared" si="262"/>
        <v>0</v>
      </c>
      <c r="BF646" s="132">
        <f t="shared" si="262"/>
        <v>0</v>
      </c>
      <c r="BG646" s="132">
        <f t="shared" si="262"/>
        <v>0</v>
      </c>
      <c r="BH646" s="133">
        <f>IF(OR(AND(BH641=0,W641&lt;&gt;0),AND(BH642=0,W642&lt;&gt;0),AND(BH643=0,W643&lt;&gt;0),AND(BH644=0,W644&lt;&gt;0),AND(BH645=0,W645&lt;&gt;0)),"NO DEBEN QUEDAR CELDAS EN ROJO",SUM(BH641:BH645))</f>
        <v>2619519300</v>
      </c>
      <c r="BI646" s="132">
        <f t="shared" si="262"/>
        <v>0</v>
      </c>
      <c r="BJ646" s="132">
        <f t="shared" si="262"/>
        <v>0</v>
      </c>
      <c r="BK646" s="132">
        <f t="shared" si="262"/>
        <v>0</v>
      </c>
      <c r="BL646" s="132">
        <f t="shared" si="262"/>
        <v>0</v>
      </c>
      <c r="BM646" s="132">
        <f t="shared" si="262"/>
        <v>422286100</v>
      </c>
      <c r="BN646" s="132">
        <f t="shared" si="262"/>
        <v>0</v>
      </c>
      <c r="BO646" s="132">
        <f t="shared" si="262"/>
        <v>0</v>
      </c>
      <c r="BP646" s="132">
        <f t="shared" si="262"/>
        <v>0</v>
      </c>
      <c r="BQ646" s="132">
        <f t="shared" si="262"/>
        <v>0</v>
      </c>
      <c r="BR646" s="132">
        <f t="shared" si="262"/>
        <v>0</v>
      </c>
      <c r="BS646" s="132">
        <f t="shared" si="262"/>
        <v>0</v>
      </c>
      <c r="BT646" s="132">
        <f t="shared" si="262"/>
        <v>0</v>
      </c>
      <c r="BU646" s="132">
        <f t="shared" si="262"/>
        <v>0</v>
      </c>
      <c r="BV646" s="132">
        <f t="shared" si="262"/>
        <v>0</v>
      </c>
      <c r="BW646" s="132">
        <f t="shared" si="262"/>
        <v>0</v>
      </c>
      <c r="BX646" s="133">
        <f>IF(OR(AND(BX641=0,AB641&lt;&gt;0),AND(BX642=0,AB642&lt;&gt;0),AND(BX643=0,AB643&lt;&gt;0),AND(BX644=0,AB644&lt;&gt;0),AND(BX645=0,AB645&lt;&gt;0)),"NO DEBEN QUEDAR CELDAS EN ROJO",SUM(BX641:BX645))</f>
        <v>422286100</v>
      </c>
      <c r="BY646" s="132">
        <f t="shared" si="262"/>
        <v>0</v>
      </c>
      <c r="BZ646" s="132">
        <f t="shared" si="262"/>
        <v>0</v>
      </c>
      <c r="CA646" s="132">
        <f t="shared" si="262"/>
        <v>0</v>
      </c>
      <c r="CB646" s="132">
        <f t="shared" si="262"/>
        <v>0</v>
      </c>
      <c r="CC646" s="132">
        <f t="shared" si="262"/>
        <v>278316112</v>
      </c>
      <c r="CD646" s="132">
        <f t="shared" si="262"/>
        <v>0</v>
      </c>
      <c r="CE646" s="132">
        <f t="shared" si="262"/>
        <v>0</v>
      </c>
      <c r="CF646" s="132">
        <f t="shared" si="262"/>
        <v>0</v>
      </c>
      <c r="CG646" s="132">
        <f t="shared" si="262"/>
        <v>0</v>
      </c>
      <c r="CH646" s="132">
        <f t="shared" si="262"/>
        <v>0</v>
      </c>
      <c r="CI646" s="132">
        <f t="shared" si="262"/>
        <v>0</v>
      </c>
      <c r="CJ646" s="132">
        <f t="shared" si="262"/>
        <v>0</v>
      </c>
      <c r="CK646" s="132">
        <f t="shared" si="262"/>
        <v>0</v>
      </c>
      <c r="CL646" s="132">
        <f t="shared" si="262"/>
        <v>0</v>
      </c>
      <c r="CM646" s="132">
        <f t="shared" si="262"/>
        <v>0</v>
      </c>
      <c r="CN646" s="133">
        <f>IF(OR(AND(CN641=0,AG641&lt;&gt;0),AND(CN642=0,AG642&lt;&gt;0),AND(CN643=0,AG643&lt;&gt;0),AND(CN644=0,AG644&lt;&gt;0),AND(CN645=0,AG645&lt;&gt;0)),"NO DEBEN QUEDAR CELDAS EN ROJO",SUM(CN641:CN645))</f>
        <v>278316112</v>
      </c>
      <c r="CO646" s="132">
        <f t="shared" si="262"/>
        <v>0</v>
      </c>
      <c r="CP646" s="132">
        <f t="shared" si="262"/>
        <v>0</v>
      </c>
      <c r="CQ646" s="132">
        <f t="shared" si="262"/>
        <v>0</v>
      </c>
      <c r="CR646" s="132">
        <f t="shared" si="262"/>
        <v>0</v>
      </c>
      <c r="CS646" s="132">
        <f t="shared" si="262"/>
        <v>284557175</v>
      </c>
      <c r="CT646" s="132">
        <f t="shared" si="262"/>
        <v>0</v>
      </c>
      <c r="CU646" s="132">
        <f t="shared" si="262"/>
        <v>0</v>
      </c>
      <c r="CV646" s="132">
        <f t="shared" si="262"/>
        <v>0</v>
      </c>
      <c r="CW646" s="132">
        <f t="shared" si="262"/>
        <v>0</v>
      </c>
      <c r="CX646" s="132">
        <f t="shared" si="262"/>
        <v>0</v>
      </c>
      <c r="CY646" s="132">
        <f t="shared" si="262"/>
        <v>0</v>
      </c>
      <c r="CZ646" s="132">
        <f t="shared" si="262"/>
        <v>0</v>
      </c>
      <c r="DA646" s="132">
        <f t="shared" si="262"/>
        <v>0</v>
      </c>
      <c r="DB646" s="132">
        <f t="shared" si="262"/>
        <v>0</v>
      </c>
      <c r="DC646" s="132">
        <f t="shared" si="262"/>
        <v>0</v>
      </c>
      <c r="DD646" s="133">
        <f>IF(OR(AND(DD641=0,AL641&lt;&gt;0),AND(DD642=0,AL642&lt;&gt;0),AND(DD643=0,AL643&lt;&gt;0),AND(DD644=0,AL644&lt;&gt;0),AND(DD645=0,AL645&lt;&gt;0)),"NO DEBEN QUEDAR CELDAS EN ROJO",SUM(DD641:DD645))</f>
        <v>284557175</v>
      </c>
      <c r="DE646" s="133">
        <f t="shared" si="262"/>
        <v>3604678687</v>
      </c>
    </row>
    <row r="647" spans="1:109" s="116" customFormat="1" ht="55.05" customHeight="1">
      <c r="A647" s="124" t="s">
        <v>1243</v>
      </c>
      <c r="B647" s="125" t="s">
        <v>1469</v>
      </c>
      <c r="C647" s="145" t="s">
        <v>1691</v>
      </c>
      <c r="D647" s="160"/>
      <c r="E647" s="161"/>
      <c r="F647" s="162"/>
      <c r="G647" s="163"/>
      <c r="H647" s="161"/>
      <c r="I647" s="161"/>
      <c r="J647" s="161"/>
      <c r="K647" s="161"/>
      <c r="L647" s="161"/>
      <c r="M647" s="161"/>
      <c r="N647" s="161"/>
      <c r="O647" s="161"/>
      <c r="P647" s="161"/>
      <c r="Q647" s="163"/>
      <c r="R647" s="164"/>
      <c r="S647" s="161"/>
      <c r="T647" s="161"/>
      <c r="U647" s="165"/>
      <c r="V647" s="165"/>
      <c r="W647" s="166"/>
      <c r="X647" s="165"/>
      <c r="Y647" s="165"/>
      <c r="Z647" s="165"/>
      <c r="AA647" s="165"/>
      <c r="AB647" s="166"/>
      <c r="AC647" s="165"/>
      <c r="AD647" s="165"/>
      <c r="AE647" s="165"/>
      <c r="AF647" s="165"/>
      <c r="AG647" s="166"/>
      <c r="AH647" s="165"/>
      <c r="AI647" s="165"/>
      <c r="AJ647" s="165"/>
      <c r="AK647" s="165"/>
      <c r="AL647" s="166"/>
      <c r="AM647" s="167"/>
      <c r="AN647" s="168"/>
      <c r="AO647" s="168"/>
      <c r="AP647" s="163"/>
      <c r="AQ647" s="163"/>
      <c r="AR647" s="169"/>
      <c r="AS647" s="147">
        <f>SUM(AS646+AS640+AS635+AS626+AS617+AS610)</f>
        <v>0</v>
      </c>
      <c r="AT647" s="130">
        <f t="shared" ref="AT647:DE647" si="263">SUM(AT646+AT640+AT635+AT626+AT617+AT610)</f>
        <v>0</v>
      </c>
      <c r="AU647" s="130">
        <f t="shared" si="263"/>
        <v>0</v>
      </c>
      <c r="AV647" s="130">
        <f t="shared" si="263"/>
        <v>0</v>
      </c>
      <c r="AW647" s="130">
        <f t="shared" si="263"/>
        <v>2706207300</v>
      </c>
      <c r="AX647" s="130">
        <f t="shared" si="263"/>
        <v>0</v>
      </c>
      <c r="AY647" s="130">
        <f t="shared" si="263"/>
        <v>0</v>
      </c>
      <c r="AZ647" s="130">
        <f t="shared" si="263"/>
        <v>0</v>
      </c>
      <c r="BA647" s="130">
        <f t="shared" si="263"/>
        <v>0</v>
      </c>
      <c r="BB647" s="130">
        <f t="shared" si="263"/>
        <v>0</v>
      </c>
      <c r="BC647" s="130">
        <f t="shared" si="263"/>
        <v>0</v>
      </c>
      <c r="BD647" s="130">
        <f t="shared" si="263"/>
        <v>0</v>
      </c>
      <c r="BE647" s="130">
        <f t="shared" si="263"/>
        <v>0</v>
      </c>
      <c r="BF647" s="130">
        <f t="shared" si="263"/>
        <v>0</v>
      </c>
      <c r="BG647" s="130">
        <f t="shared" si="263"/>
        <v>0</v>
      </c>
      <c r="BH647" s="130">
        <f t="shared" si="263"/>
        <v>2706207300</v>
      </c>
      <c r="BI647" s="130">
        <f t="shared" si="263"/>
        <v>0</v>
      </c>
      <c r="BJ647" s="130">
        <f t="shared" si="263"/>
        <v>0</v>
      </c>
      <c r="BK647" s="130">
        <f t="shared" si="263"/>
        <v>0</v>
      </c>
      <c r="BL647" s="130">
        <f t="shared" si="263"/>
        <v>0</v>
      </c>
      <c r="BM647" s="130">
        <f t="shared" si="263"/>
        <v>724500000</v>
      </c>
      <c r="BN647" s="130">
        <f t="shared" si="263"/>
        <v>0</v>
      </c>
      <c r="BO647" s="130">
        <f t="shared" si="263"/>
        <v>0</v>
      </c>
      <c r="BP647" s="130">
        <f t="shared" si="263"/>
        <v>0</v>
      </c>
      <c r="BQ647" s="130">
        <f t="shared" si="263"/>
        <v>0</v>
      </c>
      <c r="BR647" s="130">
        <f t="shared" si="263"/>
        <v>0</v>
      </c>
      <c r="BS647" s="130">
        <f t="shared" si="263"/>
        <v>0</v>
      </c>
      <c r="BT647" s="130">
        <f t="shared" si="263"/>
        <v>0</v>
      </c>
      <c r="BU647" s="130">
        <f t="shared" si="263"/>
        <v>0</v>
      </c>
      <c r="BV647" s="130">
        <f t="shared" si="263"/>
        <v>0</v>
      </c>
      <c r="BW647" s="130">
        <f t="shared" si="263"/>
        <v>0</v>
      </c>
      <c r="BX647" s="130">
        <f t="shared" si="263"/>
        <v>724500000</v>
      </c>
      <c r="BY647" s="130">
        <f t="shared" si="263"/>
        <v>0</v>
      </c>
      <c r="BZ647" s="130">
        <f t="shared" si="263"/>
        <v>0</v>
      </c>
      <c r="CA647" s="130">
        <f t="shared" si="263"/>
        <v>0</v>
      </c>
      <c r="CB647" s="130">
        <f t="shared" si="263"/>
        <v>0</v>
      </c>
      <c r="CC647" s="130">
        <f t="shared" si="263"/>
        <v>560000000</v>
      </c>
      <c r="CD647" s="130">
        <f t="shared" si="263"/>
        <v>0</v>
      </c>
      <c r="CE647" s="130">
        <f t="shared" si="263"/>
        <v>0</v>
      </c>
      <c r="CF647" s="130">
        <f t="shared" si="263"/>
        <v>0</v>
      </c>
      <c r="CG647" s="130">
        <f t="shared" si="263"/>
        <v>0</v>
      </c>
      <c r="CH647" s="130">
        <f t="shared" si="263"/>
        <v>0</v>
      </c>
      <c r="CI647" s="130">
        <f t="shared" si="263"/>
        <v>0</v>
      </c>
      <c r="CJ647" s="130">
        <f t="shared" si="263"/>
        <v>0</v>
      </c>
      <c r="CK647" s="130">
        <f t="shared" si="263"/>
        <v>0</v>
      </c>
      <c r="CL647" s="130">
        <f t="shared" si="263"/>
        <v>0</v>
      </c>
      <c r="CM647" s="130">
        <f t="shared" si="263"/>
        <v>7500000000</v>
      </c>
      <c r="CN647" s="130">
        <f t="shared" si="263"/>
        <v>8060000000</v>
      </c>
      <c r="CO647" s="130">
        <f t="shared" si="263"/>
        <v>0</v>
      </c>
      <c r="CP647" s="130">
        <f t="shared" si="263"/>
        <v>0</v>
      </c>
      <c r="CQ647" s="130">
        <f t="shared" si="263"/>
        <v>0</v>
      </c>
      <c r="CR647" s="130">
        <f t="shared" si="263"/>
        <v>0</v>
      </c>
      <c r="CS647" s="130">
        <f t="shared" si="263"/>
        <v>583000000</v>
      </c>
      <c r="CT647" s="130">
        <f t="shared" si="263"/>
        <v>0</v>
      </c>
      <c r="CU647" s="130">
        <f t="shared" si="263"/>
        <v>0</v>
      </c>
      <c r="CV647" s="130">
        <f t="shared" si="263"/>
        <v>0</v>
      </c>
      <c r="CW647" s="130">
        <f t="shared" si="263"/>
        <v>0</v>
      </c>
      <c r="CX647" s="130">
        <f t="shared" si="263"/>
        <v>0</v>
      </c>
      <c r="CY647" s="130">
        <f t="shared" si="263"/>
        <v>0</v>
      </c>
      <c r="CZ647" s="130">
        <f t="shared" si="263"/>
        <v>0</v>
      </c>
      <c r="DA647" s="130">
        <f t="shared" si="263"/>
        <v>0</v>
      </c>
      <c r="DB647" s="130">
        <f t="shared" si="263"/>
        <v>0</v>
      </c>
      <c r="DC647" s="130">
        <f t="shared" si="263"/>
        <v>0</v>
      </c>
      <c r="DD647" s="130">
        <f t="shared" si="263"/>
        <v>583000000</v>
      </c>
      <c r="DE647" s="130">
        <f t="shared" si="263"/>
        <v>12073707300</v>
      </c>
    </row>
    <row r="648" spans="1:109" s="99" customFormat="1" ht="114" customHeight="1">
      <c r="A648" s="103" t="s">
        <v>1235</v>
      </c>
      <c r="B648" s="103" t="s">
        <v>1469</v>
      </c>
      <c r="C648" s="103" t="s">
        <v>1690</v>
      </c>
      <c r="D648" s="103">
        <v>52</v>
      </c>
      <c r="E648" s="103" t="s">
        <v>1593</v>
      </c>
      <c r="F648" s="278" t="s">
        <v>2683</v>
      </c>
      <c r="G648" s="103" t="s">
        <v>2996</v>
      </c>
      <c r="H648" s="103">
        <v>61</v>
      </c>
      <c r="I648" s="103" t="s">
        <v>1594</v>
      </c>
      <c r="J648" s="103" t="s">
        <v>683</v>
      </c>
      <c r="K648" s="103">
        <v>40</v>
      </c>
      <c r="L648" s="103" t="s">
        <v>1595</v>
      </c>
      <c r="M648" s="103" t="s">
        <v>1596</v>
      </c>
      <c r="N648" s="103" t="s">
        <v>1597</v>
      </c>
      <c r="O648" s="103" t="s">
        <v>1598</v>
      </c>
      <c r="P648" s="283">
        <v>581</v>
      </c>
      <c r="Q648" s="103" t="s">
        <v>2997</v>
      </c>
      <c r="R648" s="103" t="s">
        <v>1599</v>
      </c>
      <c r="S648" s="103" t="s">
        <v>683</v>
      </c>
      <c r="T648" s="103">
        <v>0</v>
      </c>
      <c r="U648" s="267">
        <v>1</v>
      </c>
      <c r="V648" s="267">
        <v>2</v>
      </c>
      <c r="W648" s="224">
        <v>3</v>
      </c>
      <c r="X648" s="267">
        <v>1</v>
      </c>
      <c r="Y648" s="267">
        <v>2</v>
      </c>
      <c r="Z648" s="267">
        <v>1</v>
      </c>
      <c r="AA648" s="267">
        <v>1</v>
      </c>
      <c r="AB648" s="224">
        <v>5</v>
      </c>
      <c r="AC648" s="267">
        <v>1</v>
      </c>
      <c r="AD648" s="267">
        <v>2</v>
      </c>
      <c r="AE648" s="267">
        <v>2</v>
      </c>
      <c r="AF648" s="267">
        <v>1</v>
      </c>
      <c r="AG648" s="224">
        <v>6</v>
      </c>
      <c r="AH648" s="267">
        <v>1</v>
      </c>
      <c r="AI648" s="267">
        <v>1</v>
      </c>
      <c r="AJ648" s="267"/>
      <c r="AK648" s="267"/>
      <c r="AL648" s="224">
        <v>2</v>
      </c>
      <c r="AM648" s="102">
        <v>16</v>
      </c>
      <c r="AN648" s="103" t="s">
        <v>685</v>
      </c>
      <c r="AO648" s="103" t="s">
        <v>621</v>
      </c>
      <c r="AP648" s="103" t="s">
        <v>1225</v>
      </c>
      <c r="AQ648" s="103" t="s">
        <v>1197</v>
      </c>
      <c r="AR648" s="103" t="s">
        <v>943</v>
      </c>
      <c r="AS648" s="268"/>
      <c r="AT648" s="268"/>
      <c r="AU648" s="268"/>
      <c r="AV648" s="268"/>
      <c r="AW648" s="268">
        <v>3000000</v>
      </c>
      <c r="AX648" s="268"/>
      <c r="AY648" s="268"/>
      <c r="AZ648" s="268"/>
      <c r="BA648" s="268"/>
      <c r="BB648" s="268"/>
      <c r="BC648" s="268"/>
      <c r="BD648" s="268"/>
      <c r="BE648" s="268"/>
      <c r="BF648" s="268"/>
      <c r="BG648" s="268"/>
      <c r="BH648" s="234">
        <f t="shared" ref="BH648:BH653" si="264">IF(W648=0,0,BG648+BF648+BE648+BD648+BC648+BB648+BA648+AZ648+AY648+AX648+AW648+AV648+AU648+AT648+AS648)</f>
        <v>3000000</v>
      </c>
      <c r="BI648" s="268"/>
      <c r="BJ648" s="268"/>
      <c r="BK648" s="268"/>
      <c r="BL648" s="268"/>
      <c r="BM648" s="268">
        <v>20000000</v>
      </c>
      <c r="BN648" s="268"/>
      <c r="BO648" s="268"/>
      <c r="BP648" s="268"/>
      <c r="BQ648" s="268"/>
      <c r="BR648" s="268"/>
      <c r="BS648" s="268"/>
      <c r="BT648" s="268"/>
      <c r="BU648" s="268"/>
      <c r="BV648" s="268"/>
      <c r="BW648" s="268"/>
      <c r="BX648" s="234">
        <f t="shared" ref="BX648:BX653" si="265">IF(AB648=0,0,BI648+BJ648+BK648+BL648+BM648+BN648+BO648+BP648+BQ648+BR648+BS648+BT648+BU648+BV648+BW648)</f>
        <v>20000000</v>
      </c>
      <c r="BY648" s="268"/>
      <c r="BZ648" s="268"/>
      <c r="CA648" s="268"/>
      <c r="CB648" s="268"/>
      <c r="CC648" s="268">
        <v>20000000</v>
      </c>
      <c r="CD648" s="268"/>
      <c r="CE648" s="268"/>
      <c r="CF648" s="268"/>
      <c r="CG648" s="268"/>
      <c r="CH648" s="268"/>
      <c r="CI648" s="268"/>
      <c r="CJ648" s="268"/>
      <c r="CK648" s="268"/>
      <c r="CL648" s="268"/>
      <c r="CM648" s="268"/>
      <c r="CN648" s="234">
        <f t="shared" ref="CN648:CN653" si="266">IF(AG648=0,0,(BY648+BZ648+CA648+CB648+CC648+CD648+CE648+CF648+CG648+CH648+CI648+CJ648+CK648+CL648+CM648))</f>
        <v>20000000</v>
      </c>
      <c r="CO648" s="268"/>
      <c r="CP648" s="268"/>
      <c r="CQ648" s="268"/>
      <c r="CR648" s="268"/>
      <c r="CS648" s="268">
        <v>20000000</v>
      </c>
      <c r="CT648" s="268"/>
      <c r="CU648" s="268"/>
      <c r="CV648" s="268"/>
      <c r="CW648" s="268"/>
      <c r="CX648" s="268"/>
      <c r="CY648" s="268"/>
      <c r="CZ648" s="268"/>
      <c r="DA648" s="268"/>
      <c r="DB648" s="268"/>
      <c r="DC648" s="268"/>
      <c r="DD648" s="234">
        <f t="shared" ref="DD648:DD653" si="267">IF(AL648=0,0,(CO648+CP648+CQ648+CR648+CS648+CT648+CU648+CV648+CW648+CX648+CY648+CZ648+DA648+DB648+DC648))</f>
        <v>20000000</v>
      </c>
      <c r="DE648" s="243">
        <f t="shared" ref="DE648:DE650" si="268">SUM(DD648+CN648+BX648+BH648)</f>
        <v>63000000</v>
      </c>
    </row>
    <row r="649" spans="1:109" s="99" customFormat="1" ht="114" customHeight="1">
      <c r="A649" s="103" t="s">
        <v>1235</v>
      </c>
      <c r="B649" s="279" t="s">
        <v>1469</v>
      </c>
      <c r="C649" s="279" t="s">
        <v>1690</v>
      </c>
      <c r="D649" s="279">
        <v>52</v>
      </c>
      <c r="E649" s="279" t="s">
        <v>1593</v>
      </c>
      <c r="F649" s="280" t="s">
        <v>2683</v>
      </c>
      <c r="G649" s="279" t="s">
        <v>2996</v>
      </c>
      <c r="H649" s="279">
        <v>61</v>
      </c>
      <c r="I649" s="279" t="s">
        <v>1594</v>
      </c>
      <c r="J649" s="279" t="s">
        <v>683</v>
      </c>
      <c r="K649" s="279">
        <v>40</v>
      </c>
      <c r="L649" s="279" t="s">
        <v>1595</v>
      </c>
      <c r="M649" s="279" t="s">
        <v>1596</v>
      </c>
      <c r="N649" s="279" t="s">
        <v>1597</v>
      </c>
      <c r="O649" s="279" t="s">
        <v>1598</v>
      </c>
      <c r="P649" s="283">
        <v>582</v>
      </c>
      <c r="Q649" s="279" t="s">
        <v>2998</v>
      </c>
      <c r="R649" s="279" t="s">
        <v>1600</v>
      </c>
      <c r="S649" s="279" t="s">
        <v>683</v>
      </c>
      <c r="T649" s="279">
        <v>0</v>
      </c>
      <c r="U649" s="267"/>
      <c r="V649" s="267"/>
      <c r="W649" s="224">
        <v>0</v>
      </c>
      <c r="X649" s="267"/>
      <c r="Y649" s="267">
        <v>0.25</v>
      </c>
      <c r="Z649" s="267">
        <v>0.5</v>
      </c>
      <c r="AA649" s="267">
        <v>0.25</v>
      </c>
      <c r="AB649" s="224">
        <v>1</v>
      </c>
      <c r="AC649" s="267"/>
      <c r="AD649" s="267">
        <v>0.25</v>
      </c>
      <c r="AE649" s="267">
        <v>0.5</v>
      </c>
      <c r="AF649" s="267">
        <v>0.25</v>
      </c>
      <c r="AG649" s="224">
        <v>1</v>
      </c>
      <c r="AH649" s="267"/>
      <c r="AI649" s="267">
        <v>0.5</v>
      </c>
      <c r="AJ649" s="267">
        <v>0.5</v>
      </c>
      <c r="AK649" s="267"/>
      <c r="AL649" s="224">
        <v>1</v>
      </c>
      <c r="AM649" s="104">
        <v>3</v>
      </c>
      <c r="AN649" s="103" t="s">
        <v>685</v>
      </c>
      <c r="AO649" s="103" t="s">
        <v>621</v>
      </c>
      <c r="AP649" s="103" t="s">
        <v>1225</v>
      </c>
      <c r="AQ649" s="103" t="s">
        <v>1197</v>
      </c>
      <c r="AR649" s="103" t="s">
        <v>943</v>
      </c>
      <c r="AS649" s="271"/>
      <c r="AT649" s="271"/>
      <c r="AU649" s="271"/>
      <c r="AV649" s="271"/>
      <c r="AW649" s="271"/>
      <c r="AX649" s="271"/>
      <c r="AY649" s="271"/>
      <c r="AZ649" s="271"/>
      <c r="BA649" s="271"/>
      <c r="BB649" s="271"/>
      <c r="BC649" s="271"/>
      <c r="BD649" s="271"/>
      <c r="BE649" s="271"/>
      <c r="BF649" s="271"/>
      <c r="BG649" s="271"/>
      <c r="BH649" s="235">
        <f t="shared" si="264"/>
        <v>0</v>
      </c>
      <c r="BI649" s="271"/>
      <c r="BJ649" s="271"/>
      <c r="BK649" s="271"/>
      <c r="BL649" s="271"/>
      <c r="BM649" s="271">
        <v>20000000</v>
      </c>
      <c r="BN649" s="271"/>
      <c r="BO649" s="271"/>
      <c r="BP649" s="271"/>
      <c r="BQ649" s="271"/>
      <c r="BR649" s="271"/>
      <c r="BS649" s="271"/>
      <c r="BT649" s="271"/>
      <c r="BU649" s="271"/>
      <c r="BV649" s="271"/>
      <c r="BW649" s="271"/>
      <c r="BX649" s="235">
        <f t="shared" si="265"/>
        <v>20000000</v>
      </c>
      <c r="BY649" s="271"/>
      <c r="BZ649" s="271"/>
      <c r="CA649" s="271"/>
      <c r="CB649" s="271"/>
      <c r="CC649" s="271">
        <v>30000000</v>
      </c>
      <c r="CD649" s="271"/>
      <c r="CE649" s="271"/>
      <c r="CF649" s="271"/>
      <c r="CG649" s="271"/>
      <c r="CH649" s="271"/>
      <c r="CI649" s="271"/>
      <c r="CJ649" s="271"/>
      <c r="CK649" s="271"/>
      <c r="CL649" s="271"/>
      <c r="CM649" s="271"/>
      <c r="CN649" s="235">
        <f t="shared" si="266"/>
        <v>30000000</v>
      </c>
      <c r="CO649" s="271"/>
      <c r="CP649" s="271"/>
      <c r="CQ649" s="271"/>
      <c r="CR649" s="271"/>
      <c r="CS649" s="271">
        <v>50000000</v>
      </c>
      <c r="CT649" s="271"/>
      <c r="CU649" s="271"/>
      <c r="CV649" s="271"/>
      <c r="CW649" s="271"/>
      <c r="CX649" s="271"/>
      <c r="CY649" s="271"/>
      <c r="CZ649" s="271"/>
      <c r="DA649" s="271"/>
      <c r="DB649" s="271"/>
      <c r="DC649" s="271"/>
      <c r="DD649" s="234">
        <f t="shared" si="267"/>
        <v>50000000</v>
      </c>
      <c r="DE649" s="244">
        <f t="shared" si="268"/>
        <v>100000000</v>
      </c>
    </row>
    <row r="650" spans="1:109" s="99" customFormat="1" ht="114" customHeight="1">
      <c r="A650" s="103" t="s">
        <v>1235</v>
      </c>
      <c r="B650" s="279" t="s">
        <v>1469</v>
      </c>
      <c r="C650" s="279" t="s">
        <v>1690</v>
      </c>
      <c r="D650" s="279">
        <v>52</v>
      </c>
      <c r="E650" s="279" t="s">
        <v>1593</v>
      </c>
      <c r="F650" s="280" t="s">
        <v>2683</v>
      </c>
      <c r="G650" s="279" t="s">
        <v>2996</v>
      </c>
      <c r="H650" s="279">
        <v>61</v>
      </c>
      <c r="I650" s="279" t="s">
        <v>1594</v>
      </c>
      <c r="J650" s="279" t="s">
        <v>683</v>
      </c>
      <c r="K650" s="279">
        <v>40</v>
      </c>
      <c r="L650" s="279" t="s">
        <v>1595</v>
      </c>
      <c r="M650" s="279" t="s">
        <v>1596</v>
      </c>
      <c r="N650" s="279" t="s">
        <v>1597</v>
      </c>
      <c r="O650" s="279" t="s">
        <v>1598</v>
      </c>
      <c r="P650" s="283">
        <v>583</v>
      </c>
      <c r="Q650" s="279" t="s">
        <v>2999</v>
      </c>
      <c r="R650" s="279" t="s">
        <v>1601</v>
      </c>
      <c r="S650" s="279" t="s">
        <v>683</v>
      </c>
      <c r="T650" s="279">
        <v>24</v>
      </c>
      <c r="U650" s="267"/>
      <c r="V650" s="267">
        <v>1</v>
      </c>
      <c r="W650" s="224">
        <v>1</v>
      </c>
      <c r="X650" s="267">
        <v>1</v>
      </c>
      <c r="Y650" s="267">
        <v>1</v>
      </c>
      <c r="Z650" s="267">
        <v>1</v>
      </c>
      <c r="AA650" s="267">
        <v>1</v>
      </c>
      <c r="AB650" s="224">
        <v>4</v>
      </c>
      <c r="AC650" s="267">
        <v>1</v>
      </c>
      <c r="AD650" s="267">
        <v>1</v>
      </c>
      <c r="AE650" s="267">
        <v>1</v>
      </c>
      <c r="AF650" s="267">
        <v>1</v>
      </c>
      <c r="AG650" s="224">
        <v>4</v>
      </c>
      <c r="AH650" s="267"/>
      <c r="AI650" s="267">
        <v>1</v>
      </c>
      <c r="AJ650" s="267"/>
      <c r="AK650" s="267"/>
      <c r="AL650" s="224">
        <v>1</v>
      </c>
      <c r="AM650" s="104">
        <v>10</v>
      </c>
      <c r="AN650" s="103" t="s">
        <v>685</v>
      </c>
      <c r="AO650" s="103" t="s">
        <v>621</v>
      </c>
      <c r="AP650" s="103" t="s">
        <v>1225</v>
      </c>
      <c r="AQ650" s="103" t="s">
        <v>1197</v>
      </c>
      <c r="AR650" s="103" t="s">
        <v>943</v>
      </c>
      <c r="AS650" s="271"/>
      <c r="AT650" s="271"/>
      <c r="AU650" s="271"/>
      <c r="AV650" s="271"/>
      <c r="AW650" s="271">
        <v>3000000</v>
      </c>
      <c r="AX650" s="271"/>
      <c r="AY650" s="271"/>
      <c r="AZ650" s="271"/>
      <c r="BA650" s="271"/>
      <c r="BB650" s="271"/>
      <c r="BC650" s="271"/>
      <c r="BD650" s="271"/>
      <c r="BE650" s="271"/>
      <c r="BF650" s="271"/>
      <c r="BG650" s="271"/>
      <c r="BH650" s="235">
        <f t="shared" si="264"/>
        <v>3000000</v>
      </c>
      <c r="BI650" s="271"/>
      <c r="BJ650" s="271"/>
      <c r="BK650" s="271"/>
      <c r="BL650" s="271"/>
      <c r="BM650" s="271">
        <v>20000000</v>
      </c>
      <c r="BN650" s="271"/>
      <c r="BO650" s="271"/>
      <c r="BP650" s="271"/>
      <c r="BQ650" s="271"/>
      <c r="BR650" s="271"/>
      <c r="BS650" s="271"/>
      <c r="BT650" s="271"/>
      <c r="BU650" s="271"/>
      <c r="BV650" s="271"/>
      <c r="BW650" s="271"/>
      <c r="BX650" s="235">
        <f t="shared" si="265"/>
        <v>20000000</v>
      </c>
      <c r="BY650" s="271"/>
      <c r="BZ650" s="271"/>
      <c r="CA650" s="271"/>
      <c r="CB650" s="271"/>
      <c r="CC650" s="271">
        <v>25000000</v>
      </c>
      <c r="CD650" s="271"/>
      <c r="CE650" s="271"/>
      <c r="CF650" s="271"/>
      <c r="CG650" s="271"/>
      <c r="CH650" s="271"/>
      <c r="CI650" s="271"/>
      <c r="CJ650" s="271"/>
      <c r="CK650" s="271"/>
      <c r="CL650" s="271"/>
      <c r="CM650" s="271"/>
      <c r="CN650" s="235">
        <f t="shared" si="266"/>
        <v>25000000</v>
      </c>
      <c r="CO650" s="271"/>
      <c r="CP650" s="271"/>
      <c r="CQ650" s="271"/>
      <c r="CR650" s="271"/>
      <c r="CS650" s="271">
        <v>20000000</v>
      </c>
      <c r="CT650" s="271"/>
      <c r="CU650" s="271"/>
      <c r="CV650" s="271"/>
      <c r="CW650" s="271"/>
      <c r="CX650" s="271"/>
      <c r="CY650" s="271"/>
      <c r="CZ650" s="271"/>
      <c r="DA650" s="271"/>
      <c r="DB650" s="271"/>
      <c r="DC650" s="271"/>
      <c r="DD650" s="234">
        <f t="shared" si="267"/>
        <v>20000000</v>
      </c>
      <c r="DE650" s="244">
        <f t="shared" si="268"/>
        <v>68000000</v>
      </c>
    </row>
    <row r="651" spans="1:109" s="99" customFormat="1" ht="114" customHeight="1">
      <c r="A651" s="103" t="s">
        <v>1235</v>
      </c>
      <c r="B651" s="279" t="s">
        <v>1469</v>
      </c>
      <c r="C651" s="279" t="s">
        <v>1690</v>
      </c>
      <c r="D651" s="279">
        <v>52</v>
      </c>
      <c r="E651" s="279" t="s">
        <v>1593</v>
      </c>
      <c r="F651" s="280" t="s">
        <v>2683</v>
      </c>
      <c r="G651" s="279" t="s">
        <v>2996</v>
      </c>
      <c r="H651" s="279">
        <v>61</v>
      </c>
      <c r="I651" s="279" t="s">
        <v>1594</v>
      </c>
      <c r="J651" s="279" t="s">
        <v>683</v>
      </c>
      <c r="K651" s="279">
        <v>40</v>
      </c>
      <c r="L651" s="279" t="s">
        <v>1595</v>
      </c>
      <c r="M651" s="279" t="s">
        <v>1602</v>
      </c>
      <c r="N651" s="279" t="s">
        <v>1603</v>
      </c>
      <c r="O651" s="279" t="s">
        <v>1604</v>
      </c>
      <c r="P651" s="283">
        <v>584</v>
      </c>
      <c r="Q651" s="279" t="s">
        <v>3000</v>
      </c>
      <c r="R651" s="279" t="s">
        <v>1605</v>
      </c>
      <c r="S651" s="279" t="s">
        <v>683</v>
      </c>
      <c r="T651" s="279">
        <v>0</v>
      </c>
      <c r="U651" s="267">
        <v>0.05</v>
      </c>
      <c r="V651" s="267">
        <v>0.15</v>
      </c>
      <c r="W651" s="224">
        <v>0.2</v>
      </c>
      <c r="X651" s="267">
        <v>0.1</v>
      </c>
      <c r="Y651" s="267">
        <v>0.1</v>
      </c>
      <c r="Z651" s="267">
        <v>0.1</v>
      </c>
      <c r="AA651" s="267">
        <v>0.1</v>
      </c>
      <c r="AB651" s="224">
        <v>0.4</v>
      </c>
      <c r="AC651" s="267">
        <v>0.1</v>
      </c>
      <c r="AD651" s="267">
        <v>0.1</v>
      </c>
      <c r="AE651" s="267">
        <v>0.1</v>
      </c>
      <c r="AF651" s="267">
        <v>0.1</v>
      </c>
      <c r="AG651" s="224">
        <v>0.4</v>
      </c>
      <c r="AH651" s="267"/>
      <c r="AI651" s="267"/>
      <c r="AJ651" s="267"/>
      <c r="AK651" s="267"/>
      <c r="AL651" s="224">
        <v>0</v>
      </c>
      <c r="AM651" s="104">
        <v>1</v>
      </c>
      <c r="AN651" s="103" t="s">
        <v>685</v>
      </c>
      <c r="AO651" s="103" t="s">
        <v>621</v>
      </c>
      <c r="AP651" s="103" t="s">
        <v>1225</v>
      </c>
      <c r="AQ651" s="103" t="s">
        <v>1197</v>
      </c>
      <c r="AR651" s="103" t="s">
        <v>943</v>
      </c>
      <c r="AS651" s="271"/>
      <c r="AT651" s="271"/>
      <c r="AU651" s="271"/>
      <c r="AV651" s="271"/>
      <c r="AW651" s="271">
        <v>3000000</v>
      </c>
      <c r="AX651" s="271"/>
      <c r="AY651" s="271"/>
      <c r="AZ651" s="271"/>
      <c r="BA651" s="271"/>
      <c r="BB651" s="271"/>
      <c r="BC651" s="271"/>
      <c r="BD651" s="271"/>
      <c r="BE651" s="271"/>
      <c r="BF651" s="271"/>
      <c r="BG651" s="271"/>
      <c r="BH651" s="235">
        <f t="shared" si="264"/>
        <v>3000000</v>
      </c>
      <c r="BI651" s="271"/>
      <c r="BJ651" s="271"/>
      <c r="BK651" s="271"/>
      <c r="BL651" s="271"/>
      <c r="BM651" s="271">
        <v>5000000</v>
      </c>
      <c r="BN651" s="271"/>
      <c r="BO651" s="271"/>
      <c r="BP651" s="271"/>
      <c r="BQ651" s="271"/>
      <c r="BR651" s="271"/>
      <c r="BS651" s="271"/>
      <c r="BT651" s="271"/>
      <c r="BU651" s="271"/>
      <c r="BV651" s="271"/>
      <c r="BW651" s="271"/>
      <c r="BX651" s="235">
        <f t="shared" si="265"/>
        <v>5000000</v>
      </c>
      <c r="BY651" s="271"/>
      <c r="BZ651" s="271"/>
      <c r="CA651" s="271"/>
      <c r="CB651" s="271"/>
      <c r="CC651" s="271">
        <v>10000000</v>
      </c>
      <c r="CD651" s="271"/>
      <c r="CE651" s="271"/>
      <c r="CF651" s="271"/>
      <c r="CG651" s="271"/>
      <c r="CH651" s="271"/>
      <c r="CI651" s="271"/>
      <c r="CJ651" s="271"/>
      <c r="CK651" s="271"/>
      <c r="CL651" s="271"/>
      <c r="CM651" s="271"/>
      <c r="CN651" s="235">
        <f t="shared" si="266"/>
        <v>10000000</v>
      </c>
      <c r="CO651" s="271"/>
      <c r="CP651" s="271"/>
      <c r="CQ651" s="271"/>
      <c r="CR651" s="271"/>
      <c r="CS651" s="271"/>
      <c r="CT651" s="271"/>
      <c r="CU651" s="271"/>
      <c r="CV651" s="271"/>
      <c r="CW651" s="271"/>
      <c r="CX651" s="271"/>
      <c r="CY651" s="271"/>
      <c r="CZ651" s="271"/>
      <c r="DA651" s="271"/>
      <c r="DB651" s="271"/>
      <c r="DC651" s="271"/>
      <c r="DD651" s="234">
        <f t="shared" si="267"/>
        <v>0</v>
      </c>
      <c r="DE651" s="244">
        <f t="shared" ref="DE651:DE653" si="269">SUM(DD651+CN651+BX651+BH651)</f>
        <v>18000000</v>
      </c>
    </row>
    <row r="652" spans="1:109" s="99" customFormat="1" ht="114" customHeight="1">
      <c r="A652" s="103" t="s">
        <v>1235</v>
      </c>
      <c r="B652" s="279" t="s">
        <v>1469</v>
      </c>
      <c r="C652" s="279" t="s">
        <v>1690</v>
      </c>
      <c r="D652" s="279">
        <v>52</v>
      </c>
      <c r="E652" s="279" t="s">
        <v>1593</v>
      </c>
      <c r="F652" s="280" t="s">
        <v>2683</v>
      </c>
      <c r="G652" s="279" t="s">
        <v>2996</v>
      </c>
      <c r="H652" s="279">
        <v>61</v>
      </c>
      <c r="I652" s="279" t="s">
        <v>1594</v>
      </c>
      <c r="J652" s="279" t="s">
        <v>683</v>
      </c>
      <c r="K652" s="279">
        <v>40</v>
      </c>
      <c r="L652" s="279" t="s">
        <v>1595</v>
      </c>
      <c r="M652" s="279" t="s">
        <v>1602</v>
      </c>
      <c r="N652" s="279" t="s">
        <v>1603</v>
      </c>
      <c r="O652" s="279" t="s">
        <v>1604</v>
      </c>
      <c r="P652" s="283">
        <v>585</v>
      </c>
      <c r="Q652" s="279" t="s">
        <v>3606</v>
      </c>
      <c r="R652" s="279" t="s">
        <v>1606</v>
      </c>
      <c r="S652" s="279" t="s">
        <v>683</v>
      </c>
      <c r="T652" s="279">
        <v>0</v>
      </c>
      <c r="U652" s="267"/>
      <c r="V652" s="267">
        <v>0.1</v>
      </c>
      <c r="W652" s="224">
        <v>0.1</v>
      </c>
      <c r="X652" s="267"/>
      <c r="Y652" s="267">
        <v>0.1</v>
      </c>
      <c r="Z652" s="267">
        <v>0.1</v>
      </c>
      <c r="AA652" s="267">
        <v>0.1</v>
      </c>
      <c r="AB652" s="224">
        <v>0.30000000000000004</v>
      </c>
      <c r="AC652" s="267"/>
      <c r="AD652" s="267">
        <v>0.1</v>
      </c>
      <c r="AE652" s="267">
        <v>0.1</v>
      </c>
      <c r="AF652" s="267">
        <v>0.1</v>
      </c>
      <c r="AG652" s="224">
        <v>0.30000000000000004</v>
      </c>
      <c r="AH652" s="267">
        <v>0.1</v>
      </c>
      <c r="AI652" s="267">
        <v>0.1</v>
      </c>
      <c r="AJ652" s="267">
        <v>0.1</v>
      </c>
      <c r="AK652" s="267"/>
      <c r="AL652" s="224">
        <v>0.30000000000000004</v>
      </c>
      <c r="AM652" s="104">
        <v>1</v>
      </c>
      <c r="AN652" s="103" t="s">
        <v>685</v>
      </c>
      <c r="AO652" s="103" t="s">
        <v>621</v>
      </c>
      <c r="AP652" s="103" t="s">
        <v>1225</v>
      </c>
      <c r="AQ652" s="103" t="s">
        <v>1197</v>
      </c>
      <c r="AR652" s="103" t="s">
        <v>943</v>
      </c>
      <c r="AS652" s="271"/>
      <c r="AT652" s="271"/>
      <c r="AU652" s="271"/>
      <c r="AV652" s="271"/>
      <c r="AW652" s="271">
        <v>3000000</v>
      </c>
      <c r="AX652" s="271"/>
      <c r="AY652" s="271"/>
      <c r="AZ652" s="271"/>
      <c r="BA652" s="271"/>
      <c r="BB652" s="271"/>
      <c r="BC652" s="271"/>
      <c r="BD652" s="271"/>
      <c r="BE652" s="271"/>
      <c r="BF652" s="271"/>
      <c r="BG652" s="271"/>
      <c r="BH652" s="235">
        <f t="shared" si="264"/>
        <v>3000000</v>
      </c>
      <c r="BI652" s="271"/>
      <c r="BJ652" s="271"/>
      <c r="BK652" s="271"/>
      <c r="BL652" s="271"/>
      <c r="BM652" s="271">
        <v>5000000</v>
      </c>
      <c r="BN652" s="271"/>
      <c r="BO652" s="271"/>
      <c r="BP652" s="271"/>
      <c r="BQ652" s="271"/>
      <c r="BR652" s="271"/>
      <c r="BS652" s="271"/>
      <c r="BT652" s="271"/>
      <c r="BU652" s="271"/>
      <c r="BV652" s="271"/>
      <c r="BW652" s="271"/>
      <c r="BX652" s="235">
        <f t="shared" si="265"/>
        <v>5000000</v>
      </c>
      <c r="BY652" s="271"/>
      <c r="BZ652" s="271"/>
      <c r="CA652" s="271"/>
      <c r="CB652" s="271"/>
      <c r="CC652" s="271">
        <v>5000000</v>
      </c>
      <c r="CD652" s="271"/>
      <c r="CE652" s="271"/>
      <c r="CF652" s="271"/>
      <c r="CG652" s="271"/>
      <c r="CH652" s="271"/>
      <c r="CI652" s="271"/>
      <c r="CJ652" s="271"/>
      <c r="CK652" s="271"/>
      <c r="CL652" s="271"/>
      <c r="CM652" s="271"/>
      <c r="CN652" s="235">
        <f t="shared" si="266"/>
        <v>5000000</v>
      </c>
      <c r="CO652" s="271"/>
      <c r="CP652" s="271"/>
      <c r="CQ652" s="271"/>
      <c r="CR652" s="271"/>
      <c r="CS652" s="271">
        <v>10000000</v>
      </c>
      <c r="CT652" s="271"/>
      <c r="CU652" s="271"/>
      <c r="CV652" s="271"/>
      <c r="CW652" s="271"/>
      <c r="CX652" s="271"/>
      <c r="CY652" s="271"/>
      <c r="CZ652" s="271"/>
      <c r="DA652" s="271"/>
      <c r="DB652" s="271"/>
      <c r="DC652" s="271"/>
      <c r="DD652" s="234">
        <f t="shared" si="267"/>
        <v>10000000</v>
      </c>
      <c r="DE652" s="244">
        <f t="shared" si="269"/>
        <v>23000000</v>
      </c>
    </row>
    <row r="653" spans="1:109" s="99" customFormat="1" ht="114" customHeight="1">
      <c r="A653" s="120" t="s">
        <v>1235</v>
      </c>
      <c r="B653" s="281" t="s">
        <v>1469</v>
      </c>
      <c r="C653" s="281" t="s">
        <v>1690</v>
      </c>
      <c r="D653" s="281">
        <v>52</v>
      </c>
      <c r="E653" s="281" t="s">
        <v>1593</v>
      </c>
      <c r="F653" s="282" t="s">
        <v>2683</v>
      </c>
      <c r="G653" s="281" t="s">
        <v>2996</v>
      </c>
      <c r="H653" s="281">
        <v>61</v>
      </c>
      <c r="I653" s="281" t="s">
        <v>1594</v>
      </c>
      <c r="J653" s="281" t="s">
        <v>683</v>
      </c>
      <c r="K653" s="281">
        <v>40</v>
      </c>
      <c r="L653" s="281" t="s">
        <v>1595</v>
      </c>
      <c r="M653" s="281" t="s">
        <v>1602</v>
      </c>
      <c r="N653" s="281" t="s">
        <v>1603</v>
      </c>
      <c r="O653" s="281" t="s">
        <v>1604</v>
      </c>
      <c r="P653" s="283">
        <v>586</v>
      </c>
      <c r="Q653" s="281" t="s">
        <v>3001</v>
      </c>
      <c r="R653" s="281" t="s">
        <v>1607</v>
      </c>
      <c r="S653" s="281" t="s">
        <v>683</v>
      </c>
      <c r="T653" s="281">
        <v>0</v>
      </c>
      <c r="U653" s="275"/>
      <c r="V653" s="275">
        <v>0.2</v>
      </c>
      <c r="W653" s="225">
        <v>0.2</v>
      </c>
      <c r="X653" s="275">
        <v>0.1</v>
      </c>
      <c r="Y653" s="275">
        <v>0.1</v>
      </c>
      <c r="Z653" s="275">
        <v>0.1</v>
      </c>
      <c r="AA653" s="275">
        <v>0.1</v>
      </c>
      <c r="AB653" s="225">
        <v>0.4</v>
      </c>
      <c r="AC653" s="275">
        <v>0.1</v>
      </c>
      <c r="AD653" s="275">
        <v>0.1</v>
      </c>
      <c r="AE653" s="275">
        <v>0.1</v>
      </c>
      <c r="AF653" s="275">
        <v>0.1</v>
      </c>
      <c r="AG653" s="225">
        <v>0.4</v>
      </c>
      <c r="AH653" s="275"/>
      <c r="AI653" s="275"/>
      <c r="AJ653" s="275"/>
      <c r="AK653" s="275"/>
      <c r="AL653" s="225">
        <v>0</v>
      </c>
      <c r="AM653" s="119">
        <v>1</v>
      </c>
      <c r="AN653" s="120" t="s">
        <v>685</v>
      </c>
      <c r="AO653" s="120" t="s">
        <v>621</v>
      </c>
      <c r="AP653" s="120" t="s">
        <v>1225</v>
      </c>
      <c r="AQ653" s="120" t="s">
        <v>1197</v>
      </c>
      <c r="AR653" s="120" t="s">
        <v>943</v>
      </c>
      <c r="AS653" s="276"/>
      <c r="AT653" s="276"/>
      <c r="AU653" s="276"/>
      <c r="AV653" s="276"/>
      <c r="AW653" s="276">
        <v>3000000</v>
      </c>
      <c r="AX653" s="276"/>
      <c r="AY653" s="276"/>
      <c r="AZ653" s="276"/>
      <c r="BA653" s="276"/>
      <c r="BB653" s="276"/>
      <c r="BC653" s="276"/>
      <c r="BD653" s="276"/>
      <c r="BE653" s="276"/>
      <c r="BF653" s="276"/>
      <c r="BG653" s="276"/>
      <c r="BH653" s="236">
        <f t="shared" si="264"/>
        <v>3000000</v>
      </c>
      <c r="BI653" s="276"/>
      <c r="BJ653" s="276"/>
      <c r="BK653" s="276"/>
      <c r="BL653" s="276"/>
      <c r="BM653" s="276">
        <v>10000000</v>
      </c>
      <c r="BN653" s="276"/>
      <c r="BO653" s="276"/>
      <c r="BP653" s="276"/>
      <c r="BQ653" s="276"/>
      <c r="BR653" s="276"/>
      <c r="BS653" s="276"/>
      <c r="BT653" s="276"/>
      <c r="BU653" s="276"/>
      <c r="BV653" s="276"/>
      <c r="BW653" s="276"/>
      <c r="BX653" s="236">
        <f t="shared" si="265"/>
        <v>10000000</v>
      </c>
      <c r="BY653" s="276"/>
      <c r="BZ653" s="276"/>
      <c r="CA653" s="276"/>
      <c r="CB653" s="276"/>
      <c r="CC653" s="276">
        <v>10000000</v>
      </c>
      <c r="CD653" s="276"/>
      <c r="CE653" s="276"/>
      <c r="CF653" s="276"/>
      <c r="CG653" s="276"/>
      <c r="CH653" s="276"/>
      <c r="CI653" s="276"/>
      <c r="CJ653" s="276"/>
      <c r="CK653" s="276"/>
      <c r="CL653" s="276"/>
      <c r="CM653" s="276"/>
      <c r="CN653" s="236">
        <f t="shared" si="266"/>
        <v>10000000</v>
      </c>
      <c r="CO653" s="276"/>
      <c r="CP653" s="276"/>
      <c r="CQ653" s="276"/>
      <c r="CR653" s="276"/>
      <c r="CS653" s="276"/>
      <c r="CT653" s="276"/>
      <c r="CU653" s="276"/>
      <c r="CV653" s="276"/>
      <c r="CW653" s="276"/>
      <c r="CX653" s="276"/>
      <c r="CY653" s="276"/>
      <c r="CZ653" s="276"/>
      <c r="DA653" s="276"/>
      <c r="DB653" s="276"/>
      <c r="DC653" s="276"/>
      <c r="DD653" s="240">
        <f t="shared" si="267"/>
        <v>0</v>
      </c>
      <c r="DE653" s="245">
        <f t="shared" si="269"/>
        <v>23000000</v>
      </c>
    </row>
    <row r="654" spans="1:109" s="46" customFormat="1" ht="65.099999999999994" customHeight="1">
      <c r="A654" s="134" t="s">
        <v>1235</v>
      </c>
      <c r="B654" s="134" t="s">
        <v>1469</v>
      </c>
      <c r="C654" s="134" t="s">
        <v>1690</v>
      </c>
      <c r="D654" s="134">
        <v>52</v>
      </c>
      <c r="E654" s="134" t="s">
        <v>1593</v>
      </c>
      <c r="F654" s="135"/>
      <c r="G654" s="136"/>
      <c r="H654" s="137"/>
      <c r="I654" s="137"/>
      <c r="J654" s="137"/>
      <c r="K654" s="138"/>
      <c r="L654" s="137"/>
      <c r="M654" s="137"/>
      <c r="N654" s="137"/>
      <c r="O654" s="137"/>
      <c r="P654" s="137"/>
      <c r="Q654" s="136"/>
      <c r="R654" s="139"/>
      <c r="S654" s="137"/>
      <c r="T654" s="137"/>
      <c r="U654" s="140"/>
      <c r="V654" s="140"/>
      <c r="W654" s="138"/>
      <c r="X654" s="140"/>
      <c r="Y654" s="140"/>
      <c r="Z654" s="140"/>
      <c r="AA654" s="140"/>
      <c r="AB654" s="138"/>
      <c r="AC654" s="140"/>
      <c r="AD654" s="140"/>
      <c r="AE654" s="140"/>
      <c r="AF654" s="140"/>
      <c r="AG654" s="138"/>
      <c r="AH654" s="140"/>
      <c r="AI654" s="140"/>
      <c r="AJ654" s="140"/>
      <c r="AK654" s="140"/>
      <c r="AL654" s="138"/>
      <c r="AM654" s="141"/>
      <c r="AN654" s="142"/>
      <c r="AO654" s="142"/>
      <c r="AP654" s="143"/>
      <c r="AQ654" s="143"/>
      <c r="AR654" s="144"/>
      <c r="AS654" s="132">
        <f>SUM(AS648:AS653)</f>
        <v>0</v>
      </c>
      <c r="AT654" s="132">
        <f t="shared" ref="AT654:DE654" si="270">SUM(AT648:AT653)</f>
        <v>0</v>
      </c>
      <c r="AU654" s="132">
        <f t="shared" si="270"/>
        <v>0</v>
      </c>
      <c r="AV654" s="132">
        <f t="shared" si="270"/>
        <v>0</v>
      </c>
      <c r="AW654" s="132">
        <f t="shared" si="270"/>
        <v>15000000</v>
      </c>
      <c r="AX654" s="132">
        <f t="shared" si="270"/>
        <v>0</v>
      </c>
      <c r="AY654" s="132">
        <f t="shared" si="270"/>
        <v>0</v>
      </c>
      <c r="AZ654" s="132">
        <f t="shared" si="270"/>
        <v>0</v>
      </c>
      <c r="BA654" s="132">
        <f t="shared" si="270"/>
        <v>0</v>
      </c>
      <c r="BB654" s="132">
        <f t="shared" si="270"/>
        <v>0</v>
      </c>
      <c r="BC654" s="132">
        <f t="shared" si="270"/>
        <v>0</v>
      </c>
      <c r="BD654" s="132">
        <f t="shared" si="270"/>
        <v>0</v>
      </c>
      <c r="BE654" s="132">
        <f t="shared" si="270"/>
        <v>0</v>
      </c>
      <c r="BF654" s="132">
        <f t="shared" si="270"/>
        <v>0</v>
      </c>
      <c r="BG654" s="132">
        <f t="shared" si="270"/>
        <v>0</v>
      </c>
      <c r="BH654" s="133">
        <f>IF(OR(AND(BH648=0,W648&lt;&gt;0),AND(BH649=0,W649&lt;&gt;0),AND(BH650=0,W650&lt;&gt;0),AND(BH651=0,W651&lt;&gt;0),AND(BH652=0,W652&lt;&gt;0),AND(BH653=0,W653&lt;&gt;0)),"NO DEBEN QUEDAR CELDAS EN ROJO",SUM(BH648:BH653))</f>
        <v>15000000</v>
      </c>
      <c r="BI654" s="132">
        <f t="shared" si="270"/>
        <v>0</v>
      </c>
      <c r="BJ654" s="132">
        <f t="shared" si="270"/>
        <v>0</v>
      </c>
      <c r="BK654" s="132">
        <f t="shared" si="270"/>
        <v>0</v>
      </c>
      <c r="BL654" s="132">
        <f t="shared" si="270"/>
        <v>0</v>
      </c>
      <c r="BM654" s="132">
        <f t="shared" si="270"/>
        <v>80000000</v>
      </c>
      <c r="BN654" s="132">
        <f t="shared" si="270"/>
        <v>0</v>
      </c>
      <c r="BO654" s="132">
        <f t="shared" si="270"/>
        <v>0</v>
      </c>
      <c r="BP654" s="132">
        <f t="shared" si="270"/>
        <v>0</v>
      </c>
      <c r="BQ654" s="132">
        <f t="shared" si="270"/>
        <v>0</v>
      </c>
      <c r="BR654" s="132">
        <f t="shared" si="270"/>
        <v>0</v>
      </c>
      <c r="BS654" s="132">
        <f t="shared" si="270"/>
        <v>0</v>
      </c>
      <c r="BT654" s="132">
        <f t="shared" si="270"/>
        <v>0</v>
      </c>
      <c r="BU654" s="132">
        <f t="shared" si="270"/>
        <v>0</v>
      </c>
      <c r="BV654" s="132">
        <f t="shared" si="270"/>
        <v>0</v>
      </c>
      <c r="BW654" s="132">
        <f t="shared" si="270"/>
        <v>0</v>
      </c>
      <c r="BX654" s="133">
        <f>IF(OR(AND(BX648=0,AB648&lt;&gt;0),AND(BX649=0,AB649&lt;&gt;0),AND(BX650=0,AB650&lt;&gt;0),AND(BX651=0,AB651&lt;&gt;0),AND(BX652=0,AB652&lt;&gt;0),AND(BX653=0,AB653&lt;&gt;0)),"NO DEBEN QUEDAR CELDAS EN ROJO",SUM(BX648:BX653))</f>
        <v>80000000</v>
      </c>
      <c r="BY654" s="132">
        <f t="shared" si="270"/>
        <v>0</v>
      </c>
      <c r="BZ654" s="132">
        <f t="shared" si="270"/>
        <v>0</v>
      </c>
      <c r="CA654" s="132">
        <f t="shared" si="270"/>
        <v>0</v>
      </c>
      <c r="CB654" s="132">
        <f t="shared" si="270"/>
        <v>0</v>
      </c>
      <c r="CC654" s="132">
        <f t="shared" si="270"/>
        <v>100000000</v>
      </c>
      <c r="CD654" s="132">
        <f t="shared" si="270"/>
        <v>0</v>
      </c>
      <c r="CE654" s="132">
        <f t="shared" si="270"/>
        <v>0</v>
      </c>
      <c r="CF654" s="132">
        <f t="shared" si="270"/>
        <v>0</v>
      </c>
      <c r="CG654" s="132">
        <f t="shared" si="270"/>
        <v>0</v>
      </c>
      <c r="CH654" s="132">
        <f t="shared" si="270"/>
        <v>0</v>
      </c>
      <c r="CI654" s="132">
        <f t="shared" si="270"/>
        <v>0</v>
      </c>
      <c r="CJ654" s="132">
        <f t="shared" si="270"/>
        <v>0</v>
      </c>
      <c r="CK654" s="132">
        <f t="shared" si="270"/>
        <v>0</v>
      </c>
      <c r="CL654" s="132">
        <f t="shared" si="270"/>
        <v>0</v>
      </c>
      <c r="CM654" s="132">
        <f t="shared" si="270"/>
        <v>0</v>
      </c>
      <c r="CN654" s="133">
        <f>IF(OR(AND(CN648=0,AG648&lt;&gt;0),AND(CN649=0,AG649&lt;&gt;0),AND(CN650=0,AG650&lt;&gt;0),AND(CN651=0,AG651&lt;&gt;0),AND(CN652=0,AG652&lt;&gt;0),AND(CN653=0,AG653&lt;&gt;0)),"NO DEBEN QUEDAR CELDAS EN ROJO",SUM(CN648:CN653))</f>
        <v>100000000</v>
      </c>
      <c r="CO654" s="132">
        <f t="shared" si="270"/>
        <v>0</v>
      </c>
      <c r="CP654" s="132">
        <f t="shared" si="270"/>
        <v>0</v>
      </c>
      <c r="CQ654" s="132">
        <f t="shared" si="270"/>
        <v>0</v>
      </c>
      <c r="CR654" s="132">
        <f t="shared" si="270"/>
        <v>0</v>
      </c>
      <c r="CS654" s="132">
        <f t="shared" si="270"/>
        <v>100000000</v>
      </c>
      <c r="CT654" s="132">
        <f t="shared" si="270"/>
        <v>0</v>
      </c>
      <c r="CU654" s="132">
        <f t="shared" si="270"/>
        <v>0</v>
      </c>
      <c r="CV654" s="132">
        <f t="shared" si="270"/>
        <v>0</v>
      </c>
      <c r="CW654" s="132">
        <f t="shared" si="270"/>
        <v>0</v>
      </c>
      <c r="CX654" s="132">
        <f t="shared" si="270"/>
        <v>0</v>
      </c>
      <c r="CY654" s="132">
        <f t="shared" si="270"/>
        <v>0</v>
      </c>
      <c r="CZ654" s="132">
        <f t="shared" si="270"/>
        <v>0</v>
      </c>
      <c r="DA654" s="132">
        <f t="shared" si="270"/>
        <v>0</v>
      </c>
      <c r="DB654" s="132">
        <f t="shared" si="270"/>
        <v>0</v>
      </c>
      <c r="DC654" s="132">
        <f t="shared" si="270"/>
        <v>0</v>
      </c>
      <c r="DD654" s="133">
        <f>IF(OR(AND(DD648=0,AL648&lt;&gt;0),AND(DD649=0,AL649&lt;&gt;0),AND(DD650=0,AL650&lt;&gt;0),AND(DD651=0,AL651&lt;&gt;0),AND(DD652=0,AL652&lt;&gt;0),AND(DD653=0,AL653&lt;&gt;0)),"NO DEBEN QUEDAR CELDAS EN ROJO",SUM(DD648:DD653))</f>
        <v>100000000</v>
      </c>
      <c r="DE654" s="133">
        <f t="shared" si="270"/>
        <v>295000000</v>
      </c>
    </row>
    <row r="655" spans="1:109" s="99" customFormat="1" ht="119.1" customHeight="1">
      <c r="A655" s="103" t="s">
        <v>1235</v>
      </c>
      <c r="B655" s="103" t="s">
        <v>1469</v>
      </c>
      <c r="C655" s="103" t="s">
        <v>1690</v>
      </c>
      <c r="D655" s="103">
        <v>53</v>
      </c>
      <c r="E655" s="103" t="s">
        <v>1608</v>
      </c>
      <c r="F655" s="278" t="s">
        <v>241</v>
      </c>
      <c r="G655" s="103" t="s">
        <v>3607</v>
      </c>
      <c r="H655" s="103">
        <v>62</v>
      </c>
      <c r="I655" s="103" t="s">
        <v>1609</v>
      </c>
      <c r="J655" s="103" t="s">
        <v>683</v>
      </c>
      <c r="K655" s="103">
        <v>368</v>
      </c>
      <c r="L655" s="103" t="s">
        <v>722</v>
      </c>
      <c r="M655" s="103" t="s">
        <v>1610</v>
      </c>
      <c r="N655" s="103" t="s">
        <v>1611</v>
      </c>
      <c r="O655" s="103" t="s">
        <v>1612</v>
      </c>
      <c r="P655" s="283">
        <v>587</v>
      </c>
      <c r="Q655" s="103" t="s">
        <v>3002</v>
      </c>
      <c r="R655" s="103" t="s">
        <v>1613</v>
      </c>
      <c r="S655" s="103" t="s">
        <v>683</v>
      </c>
      <c r="T655" s="103">
        <v>368</v>
      </c>
      <c r="U655" s="267"/>
      <c r="V655" s="267"/>
      <c r="W655" s="224">
        <v>0</v>
      </c>
      <c r="X655" s="267">
        <v>3</v>
      </c>
      <c r="Y655" s="267">
        <v>4</v>
      </c>
      <c r="Z655" s="267">
        <v>4</v>
      </c>
      <c r="AA655" s="267">
        <v>3</v>
      </c>
      <c r="AB655" s="224">
        <v>14</v>
      </c>
      <c r="AC655" s="267">
        <v>4</v>
      </c>
      <c r="AD655" s="267">
        <v>4</v>
      </c>
      <c r="AE655" s="267">
        <v>4</v>
      </c>
      <c r="AF655" s="267">
        <v>4</v>
      </c>
      <c r="AG655" s="224">
        <v>16</v>
      </c>
      <c r="AH655" s="267">
        <v>3</v>
      </c>
      <c r="AI655" s="267">
        <v>4</v>
      </c>
      <c r="AJ655" s="267">
        <v>3</v>
      </c>
      <c r="AK655" s="267"/>
      <c r="AL655" s="224">
        <v>10</v>
      </c>
      <c r="AM655" s="102">
        <v>40</v>
      </c>
      <c r="AN655" s="103" t="s">
        <v>685</v>
      </c>
      <c r="AO655" s="103" t="s">
        <v>621</v>
      </c>
      <c r="AP655" s="103" t="s">
        <v>1225</v>
      </c>
      <c r="AQ655" s="103" t="s">
        <v>1197</v>
      </c>
      <c r="AR655" s="103" t="s">
        <v>943</v>
      </c>
      <c r="AS655" s="268"/>
      <c r="AT655" s="268"/>
      <c r="AU655" s="268"/>
      <c r="AV655" s="268"/>
      <c r="AW655" s="268"/>
      <c r="AX655" s="268"/>
      <c r="AY655" s="268"/>
      <c r="AZ655" s="268"/>
      <c r="BA655" s="268"/>
      <c r="BB655" s="268"/>
      <c r="BC655" s="268"/>
      <c r="BD655" s="268"/>
      <c r="BE655" s="268"/>
      <c r="BF655" s="268"/>
      <c r="BG655" s="268"/>
      <c r="BH655" s="234">
        <f>IF(W655=0,0,BG655+BF655+BE655+BD655+BC655+BB655+BA655+AZ655+AY655+AX655+AW655+AV655+AU655+AT655+AS655)</f>
        <v>0</v>
      </c>
      <c r="BI655" s="268"/>
      <c r="BJ655" s="268"/>
      <c r="BK655" s="268"/>
      <c r="BL655" s="268"/>
      <c r="BM655" s="268">
        <v>20000000</v>
      </c>
      <c r="BN655" s="268"/>
      <c r="BO655" s="268"/>
      <c r="BP655" s="268"/>
      <c r="BQ655" s="268"/>
      <c r="BR655" s="268"/>
      <c r="BS655" s="268"/>
      <c r="BT655" s="268"/>
      <c r="BU655" s="268"/>
      <c r="BV655" s="268"/>
      <c r="BW655" s="268"/>
      <c r="BX655" s="234">
        <f>IF(AB655=0,0,BI655+BJ655+BK655+BL655+BM655+BN655+BO655+BP655+BQ655+BR655+BS655+BT655+BU655+BV655+BW655)</f>
        <v>20000000</v>
      </c>
      <c r="BY655" s="268"/>
      <c r="BZ655" s="268"/>
      <c r="CA655" s="268"/>
      <c r="CB655" s="268"/>
      <c r="CC655" s="268">
        <v>25000000</v>
      </c>
      <c r="CD655" s="268"/>
      <c r="CE655" s="268"/>
      <c r="CF655" s="268"/>
      <c r="CG655" s="268"/>
      <c r="CH655" s="268"/>
      <c r="CI655" s="268"/>
      <c r="CJ655" s="268"/>
      <c r="CK655" s="268"/>
      <c r="CL655" s="268"/>
      <c r="CM655" s="268"/>
      <c r="CN655" s="234">
        <f>IF(AG655=0,0,(BY655+BZ655+CA655+CB655+CC655+CD655+CE655+CF655+CG655+CH655+CI655+CJ655+CK655+CL655+CM655))</f>
        <v>25000000</v>
      </c>
      <c r="CO655" s="268"/>
      <c r="CP655" s="268"/>
      <c r="CQ655" s="268"/>
      <c r="CR655" s="268"/>
      <c r="CS655" s="268">
        <v>30000000</v>
      </c>
      <c r="CT655" s="268"/>
      <c r="CU655" s="268"/>
      <c r="CV655" s="268"/>
      <c r="CW655" s="268"/>
      <c r="CX655" s="268"/>
      <c r="CY655" s="268"/>
      <c r="CZ655" s="268"/>
      <c r="DA655" s="268"/>
      <c r="DB655" s="268"/>
      <c r="DC655" s="268"/>
      <c r="DD655" s="234">
        <f>IF(AL655=0,0,(CO655+CP655+CQ655+CR655+CS655+CT655+CU655+CV655+CW655+CX655+CY655+CZ655+DA655+DB655+DC655))</f>
        <v>30000000</v>
      </c>
      <c r="DE655" s="243">
        <f t="shared" ref="DE655:DE658" si="271">SUM(DD655+CN655+BX655+BH655)</f>
        <v>75000000</v>
      </c>
    </row>
    <row r="656" spans="1:109" s="99" customFormat="1" ht="119.1" customHeight="1">
      <c r="A656" s="103" t="s">
        <v>1235</v>
      </c>
      <c r="B656" s="279" t="s">
        <v>1469</v>
      </c>
      <c r="C656" s="279" t="s">
        <v>1690</v>
      </c>
      <c r="D656" s="279">
        <v>53</v>
      </c>
      <c r="E656" s="279" t="s">
        <v>1608</v>
      </c>
      <c r="F656" s="280" t="s">
        <v>241</v>
      </c>
      <c r="G656" s="279" t="s">
        <v>3607</v>
      </c>
      <c r="H656" s="279">
        <v>62</v>
      </c>
      <c r="I656" s="279" t="s">
        <v>1609</v>
      </c>
      <c r="J656" s="279" t="s">
        <v>683</v>
      </c>
      <c r="K656" s="279">
        <v>368</v>
      </c>
      <c r="L656" s="279" t="s">
        <v>722</v>
      </c>
      <c r="M656" s="279" t="s">
        <v>1610</v>
      </c>
      <c r="N656" s="279" t="s">
        <v>1611</v>
      </c>
      <c r="O656" s="279" t="s">
        <v>1612</v>
      </c>
      <c r="P656" s="283">
        <v>588</v>
      </c>
      <c r="Q656" s="279" t="s">
        <v>3494</v>
      </c>
      <c r="R656" s="279" t="s">
        <v>1614</v>
      </c>
      <c r="S656" s="279" t="s">
        <v>683</v>
      </c>
      <c r="T656" s="279">
        <v>368</v>
      </c>
      <c r="U656" s="267"/>
      <c r="V656" s="267"/>
      <c r="W656" s="224">
        <v>0</v>
      </c>
      <c r="X656" s="267"/>
      <c r="Y656" s="267">
        <v>3</v>
      </c>
      <c r="Z656" s="267">
        <v>4</v>
      </c>
      <c r="AA656" s="267">
        <v>4</v>
      </c>
      <c r="AB656" s="224">
        <v>11</v>
      </c>
      <c r="AC656" s="267">
        <v>3</v>
      </c>
      <c r="AD656" s="267">
        <v>4</v>
      </c>
      <c r="AE656" s="267">
        <v>4</v>
      </c>
      <c r="AF656" s="267">
        <v>4</v>
      </c>
      <c r="AG656" s="224">
        <v>15</v>
      </c>
      <c r="AH656" s="267">
        <v>4</v>
      </c>
      <c r="AI656" s="267">
        <v>3</v>
      </c>
      <c r="AJ656" s="267">
        <v>4</v>
      </c>
      <c r="AK656" s="267">
        <v>3</v>
      </c>
      <c r="AL656" s="224">
        <v>14</v>
      </c>
      <c r="AM656" s="104">
        <v>40</v>
      </c>
      <c r="AN656" s="103" t="s">
        <v>685</v>
      </c>
      <c r="AO656" s="103" t="s">
        <v>621</v>
      </c>
      <c r="AP656" s="103" t="s">
        <v>1225</v>
      </c>
      <c r="AQ656" s="103" t="s">
        <v>1197</v>
      </c>
      <c r="AR656" s="103" t="s">
        <v>943</v>
      </c>
      <c r="AS656" s="271"/>
      <c r="AT656" s="271"/>
      <c r="AU656" s="271"/>
      <c r="AV656" s="271"/>
      <c r="AW656" s="271"/>
      <c r="AX656" s="271"/>
      <c r="AY656" s="271"/>
      <c r="AZ656" s="271"/>
      <c r="BA656" s="271"/>
      <c r="BB656" s="271"/>
      <c r="BC656" s="271"/>
      <c r="BD656" s="271"/>
      <c r="BE656" s="271"/>
      <c r="BF656" s="271"/>
      <c r="BG656" s="271"/>
      <c r="BH656" s="235">
        <f>IF(W656=0,0,BG656+BF656+BE656+BD656+BC656+BB656+BA656+AZ656+AY656+AX656+AW656+AV656+AU656+AT656+AS656)</f>
        <v>0</v>
      </c>
      <c r="BI656" s="271"/>
      <c r="BJ656" s="271"/>
      <c r="BK656" s="271"/>
      <c r="BL656" s="271"/>
      <c r="BM656" s="271">
        <v>20000000</v>
      </c>
      <c r="BN656" s="271"/>
      <c r="BO656" s="271"/>
      <c r="BP656" s="271"/>
      <c r="BQ656" s="271"/>
      <c r="BR656" s="271"/>
      <c r="BS656" s="271"/>
      <c r="BT656" s="271"/>
      <c r="BU656" s="271"/>
      <c r="BV656" s="271"/>
      <c r="BW656" s="271"/>
      <c r="BX656" s="235">
        <f>IF(AB656=0,0,BI656+BJ656+BK656+BL656+BM656+BN656+BO656+BP656+BQ656+BR656+BS656+BT656+BU656+BV656+BW656)</f>
        <v>20000000</v>
      </c>
      <c r="BY656" s="271"/>
      <c r="BZ656" s="271"/>
      <c r="CA656" s="271"/>
      <c r="CB656" s="271"/>
      <c r="CC656" s="271">
        <v>25000000</v>
      </c>
      <c r="CD656" s="271"/>
      <c r="CE656" s="271"/>
      <c r="CF656" s="271"/>
      <c r="CG656" s="271"/>
      <c r="CH656" s="271"/>
      <c r="CI656" s="271"/>
      <c r="CJ656" s="271"/>
      <c r="CK656" s="271"/>
      <c r="CL656" s="271"/>
      <c r="CM656" s="271"/>
      <c r="CN656" s="235">
        <f>IF(AG656=0,0,(BY656+BZ656+CA656+CB656+CC656+CD656+CE656+CF656+CG656+CH656+CI656+CJ656+CK656+CL656+CM656))</f>
        <v>25000000</v>
      </c>
      <c r="CO656" s="271"/>
      <c r="CP656" s="271"/>
      <c r="CQ656" s="271"/>
      <c r="CR656" s="271"/>
      <c r="CS656" s="271">
        <v>30000000</v>
      </c>
      <c r="CT656" s="271"/>
      <c r="CU656" s="271"/>
      <c r="CV656" s="271"/>
      <c r="CW656" s="271"/>
      <c r="CX656" s="271"/>
      <c r="CY656" s="271"/>
      <c r="CZ656" s="271"/>
      <c r="DA656" s="271"/>
      <c r="DB656" s="271"/>
      <c r="DC656" s="271"/>
      <c r="DD656" s="234">
        <f>IF(AL656=0,0,(CO656+CP656+CQ656+CR656+CS656+CT656+CU656+CV656+CW656+CX656+CY656+CZ656+DA656+DB656+DC656))</f>
        <v>30000000</v>
      </c>
      <c r="DE656" s="244">
        <f t="shared" si="271"/>
        <v>75000000</v>
      </c>
    </row>
    <row r="657" spans="1:109" s="99" customFormat="1" ht="119.1" customHeight="1">
      <c r="A657" s="103" t="s">
        <v>1235</v>
      </c>
      <c r="B657" s="279" t="s">
        <v>1469</v>
      </c>
      <c r="C657" s="279" t="s">
        <v>1690</v>
      </c>
      <c r="D657" s="279">
        <v>53</v>
      </c>
      <c r="E657" s="279" t="s">
        <v>1608</v>
      </c>
      <c r="F657" s="280" t="s">
        <v>241</v>
      </c>
      <c r="G657" s="279" t="s">
        <v>3003</v>
      </c>
      <c r="H657" s="279">
        <v>63</v>
      </c>
      <c r="I657" s="279" t="s">
        <v>1615</v>
      </c>
      <c r="J657" s="279" t="s">
        <v>683</v>
      </c>
      <c r="K657" s="279" t="s">
        <v>1616</v>
      </c>
      <c r="L657" s="279" t="s">
        <v>1617</v>
      </c>
      <c r="M657" s="279" t="s">
        <v>1618</v>
      </c>
      <c r="N657" s="279" t="s">
        <v>1619</v>
      </c>
      <c r="O657" s="279" t="s">
        <v>1620</v>
      </c>
      <c r="P657" s="283">
        <v>589</v>
      </c>
      <c r="Q657" s="279" t="s">
        <v>3004</v>
      </c>
      <c r="R657" s="279" t="s">
        <v>1621</v>
      </c>
      <c r="S657" s="279" t="s">
        <v>683</v>
      </c>
      <c r="T657" s="279" t="s">
        <v>244</v>
      </c>
      <c r="U657" s="267"/>
      <c r="V657" s="267">
        <v>2</v>
      </c>
      <c r="W657" s="224">
        <v>2</v>
      </c>
      <c r="X657" s="267"/>
      <c r="Y657" s="267">
        <v>2</v>
      </c>
      <c r="Z657" s="267">
        <v>3</v>
      </c>
      <c r="AA657" s="267">
        <v>3</v>
      </c>
      <c r="AB657" s="224">
        <v>8</v>
      </c>
      <c r="AC657" s="267"/>
      <c r="AD657" s="267">
        <v>2</v>
      </c>
      <c r="AE657" s="267">
        <v>3</v>
      </c>
      <c r="AF657" s="267">
        <v>3</v>
      </c>
      <c r="AG657" s="224">
        <v>8</v>
      </c>
      <c r="AH657" s="267"/>
      <c r="AI657" s="267">
        <v>2</v>
      </c>
      <c r="AJ657" s="267"/>
      <c r="AK657" s="267"/>
      <c r="AL657" s="224">
        <v>2</v>
      </c>
      <c r="AM657" s="104">
        <v>20</v>
      </c>
      <c r="AN657" s="103" t="s">
        <v>685</v>
      </c>
      <c r="AO657" s="103" t="s">
        <v>621</v>
      </c>
      <c r="AP657" s="103" t="s">
        <v>1225</v>
      </c>
      <c r="AQ657" s="103" t="s">
        <v>1197</v>
      </c>
      <c r="AR657" s="103" t="s">
        <v>943</v>
      </c>
      <c r="AS657" s="271"/>
      <c r="AT657" s="271"/>
      <c r="AU657" s="271"/>
      <c r="AV657" s="271"/>
      <c r="AW657" s="271">
        <v>15601900</v>
      </c>
      <c r="AX657" s="271"/>
      <c r="AY657" s="271"/>
      <c r="AZ657" s="271"/>
      <c r="BA657" s="271"/>
      <c r="BB657" s="271"/>
      <c r="BC657" s="271"/>
      <c r="BD657" s="271"/>
      <c r="BE657" s="271"/>
      <c r="BF657" s="271"/>
      <c r="BG657" s="271"/>
      <c r="BH657" s="235">
        <f>IF(W657=0,0,BG657+BF657+BE657+BD657+BC657+BB657+BA657+AZ657+AY657+AX657+AW657+AV657+AU657+AT657+AS657)</f>
        <v>15601900</v>
      </c>
      <c r="BI657" s="271"/>
      <c r="BJ657" s="271"/>
      <c r="BK657" s="271"/>
      <c r="BL657" s="271"/>
      <c r="BM657" s="271">
        <v>20000000</v>
      </c>
      <c r="BN657" s="271"/>
      <c r="BO657" s="271"/>
      <c r="BP657" s="271"/>
      <c r="BQ657" s="271"/>
      <c r="BR657" s="271"/>
      <c r="BS657" s="271"/>
      <c r="BT657" s="271"/>
      <c r="BU657" s="271"/>
      <c r="BV657" s="271"/>
      <c r="BW657" s="271"/>
      <c r="BX657" s="235">
        <f>IF(AB657=0,0,BI657+BJ657+BK657+BL657+BM657+BN657+BO657+BP657+BQ657+BR657+BS657+BT657+BU657+BV657+BW657)</f>
        <v>20000000</v>
      </c>
      <c r="BY657" s="271"/>
      <c r="BZ657" s="271"/>
      <c r="CA657" s="271"/>
      <c r="CB657" s="271"/>
      <c r="CC657" s="271">
        <v>25000000</v>
      </c>
      <c r="CD657" s="271"/>
      <c r="CE657" s="271"/>
      <c r="CF657" s="271"/>
      <c r="CG657" s="271"/>
      <c r="CH657" s="271"/>
      <c r="CI657" s="271"/>
      <c r="CJ657" s="271"/>
      <c r="CK657" s="271"/>
      <c r="CL657" s="271"/>
      <c r="CM657" s="271"/>
      <c r="CN657" s="235">
        <f>IF(AG657=0,0,(BY657+BZ657+CA657+CB657+CC657+CD657+CE657+CF657+CG657+CH657+CI657+CJ657+CK657+CL657+CM657))</f>
        <v>25000000</v>
      </c>
      <c r="CO657" s="271"/>
      <c r="CP657" s="271"/>
      <c r="CQ657" s="271"/>
      <c r="CR657" s="271"/>
      <c r="CS657" s="271">
        <v>10000000</v>
      </c>
      <c r="CT657" s="271"/>
      <c r="CU657" s="271"/>
      <c r="CV657" s="271"/>
      <c r="CW657" s="271"/>
      <c r="CX657" s="271"/>
      <c r="CY657" s="271"/>
      <c r="CZ657" s="271"/>
      <c r="DA657" s="271"/>
      <c r="DB657" s="271"/>
      <c r="DC657" s="271"/>
      <c r="DD657" s="234">
        <f>IF(AL657=0,0,(CO657+CP657+CQ657+CR657+CS657+CT657+CU657+CV657+CW657+CX657+CY657+CZ657+DA657+DB657+DC657))</f>
        <v>10000000</v>
      </c>
      <c r="DE657" s="244">
        <f t="shared" si="271"/>
        <v>70601900</v>
      </c>
    </row>
    <row r="658" spans="1:109" s="99" customFormat="1" ht="119.1" customHeight="1">
      <c r="A658" s="120" t="s">
        <v>1235</v>
      </c>
      <c r="B658" s="281" t="s">
        <v>1469</v>
      </c>
      <c r="C658" s="281" t="s">
        <v>1690</v>
      </c>
      <c r="D658" s="281">
        <v>53</v>
      </c>
      <c r="E658" s="281" t="s">
        <v>1608</v>
      </c>
      <c r="F658" s="282" t="s">
        <v>241</v>
      </c>
      <c r="G658" s="281" t="s">
        <v>3003</v>
      </c>
      <c r="H658" s="281">
        <v>63</v>
      </c>
      <c r="I658" s="281" t="s">
        <v>1615</v>
      </c>
      <c r="J658" s="281" t="s">
        <v>683</v>
      </c>
      <c r="K658" s="281" t="s">
        <v>1616</v>
      </c>
      <c r="L658" s="281" t="s">
        <v>1617</v>
      </c>
      <c r="M658" s="281" t="s">
        <v>1618</v>
      </c>
      <c r="N658" s="281" t="s">
        <v>1619</v>
      </c>
      <c r="O658" s="281" t="s">
        <v>1620</v>
      </c>
      <c r="P658" s="283">
        <v>590</v>
      </c>
      <c r="Q658" s="281" t="s">
        <v>3005</v>
      </c>
      <c r="R658" s="281" t="s">
        <v>1622</v>
      </c>
      <c r="S658" s="281" t="s">
        <v>683</v>
      </c>
      <c r="T658" s="281" t="s">
        <v>244</v>
      </c>
      <c r="U658" s="275"/>
      <c r="V658" s="275"/>
      <c r="W658" s="225">
        <v>0</v>
      </c>
      <c r="X658" s="275">
        <v>2</v>
      </c>
      <c r="Y658" s="275">
        <v>4</v>
      </c>
      <c r="Z658" s="275">
        <v>5</v>
      </c>
      <c r="AA658" s="275">
        <v>5</v>
      </c>
      <c r="AB658" s="225">
        <v>16</v>
      </c>
      <c r="AC658" s="275">
        <v>2</v>
      </c>
      <c r="AD658" s="275">
        <v>4</v>
      </c>
      <c r="AE658" s="275">
        <v>5</v>
      </c>
      <c r="AF658" s="275">
        <v>3</v>
      </c>
      <c r="AG658" s="225">
        <v>14</v>
      </c>
      <c r="AH658" s="275">
        <v>3</v>
      </c>
      <c r="AI658" s="275">
        <v>5</v>
      </c>
      <c r="AJ658" s="275">
        <v>2</v>
      </c>
      <c r="AK658" s="275"/>
      <c r="AL658" s="225">
        <v>10</v>
      </c>
      <c r="AM658" s="119">
        <v>40</v>
      </c>
      <c r="AN658" s="120" t="s">
        <v>685</v>
      </c>
      <c r="AO658" s="120" t="s">
        <v>621</v>
      </c>
      <c r="AP658" s="120" t="s">
        <v>1225</v>
      </c>
      <c r="AQ658" s="120" t="s">
        <v>1197</v>
      </c>
      <c r="AR658" s="120" t="s">
        <v>943</v>
      </c>
      <c r="AS658" s="276"/>
      <c r="AT658" s="276"/>
      <c r="AU658" s="276"/>
      <c r="AV658" s="276"/>
      <c r="AW658" s="276"/>
      <c r="AX658" s="276"/>
      <c r="AY658" s="276"/>
      <c r="AZ658" s="276"/>
      <c r="BA658" s="276"/>
      <c r="BB658" s="276"/>
      <c r="BC658" s="276"/>
      <c r="BD658" s="276"/>
      <c r="BE658" s="276"/>
      <c r="BF658" s="276"/>
      <c r="BG658" s="276"/>
      <c r="BH658" s="236">
        <f>IF(W658=0,0,BG658+BF658+BE658+BD658+BC658+BB658+BA658+AZ658+AY658+AX658+AW658+AV658+AU658+AT658+AS658)</f>
        <v>0</v>
      </c>
      <c r="BI658" s="276"/>
      <c r="BJ658" s="276"/>
      <c r="BK658" s="276"/>
      <c r="BL658" s="276"/>
      <c r="BM658" s="276">
        <v>20000000</v>
      </c>
      <c r="BN658" s="276"/>
      <c r="BO658" s="276"/>
      <c r="BP658" s="276"/>
      <c r="BQ658" s="276"/>
      <c r="BR658" s="276"/>
      <c r="BS658" s="276"/>
      <c r="BT658" s="276"/>
      <c r="BU658" s="276"/>
      <c r="BV658" s="276"/>
      <c r="BW658" s="276"/>
      <c r="BX658" s="236">
        <f>IF(AB658=0,0,BI658+BJ658+BK658+BL658+BM658+BN658+BO658+BP658+BQ658+BR658+BS658+BT658+BU658+BV658+BW658)</f>
        <v>20000000</v>
      </c>
      <c r="BY658" s="276"/>
      <c r="BZ658" s="276"/>
      <c r="CA658" s="276"/>
      <c r="CB658" s="276"/>
      <c r="CC658" s="276">
        <v>25000000</v>
      </c>
      <c r="CD658" s="276"/>
      <c r="CE658" s="276"/>
      <c r="CF658" s="276"/>
      <c r="CG658" s="276"/>
      <c r="CH658" s="276"/>
      <c r="CI658" s="276"/>
      <c r="CJ658" s="276"/>
      <c r="CK658" s="276"/>
      <c r="CL658" s="276"/>
      <c r="CM658" s="276"/>
      <c r="CN658" s="236">
        <f>IF(AG658=0,0,(BY658+BZ658+CA658+CB658+CC658+CD658+CE658+CF658+CG658+CH658+CI658+CJ658+CK658+CL658+CM658))</f>
        <v>25000000</v>
      </c>
      <c r="CO658" s="276"/>
      <c r="CP658" s="276"/>
      <c r="CQ658" s="276"/>
      <c r="CR658" s="276"/>
      <c r="CS658" s="276">
        <v>30000000</v>
      </c>
      <c r="CT658" s="276"/>
      <c r="CU658" s="276"/>
      <c r="CV658" s="276"/>
      <c r="CW658" s="276"/>
      <c r="CX658" s="276"/>
      <c r="CY658" s="276"/>
      <c r="CZ658" s="276"/>
      <c r="DA658" s="276"/>
      <c r="DB658" s="276"/>
      <c r="DC658" s="276"/>
      <c r="DD658" s="240">
        <f>IF(AL658=0,0,(CO658+CP658+CQ658+CR658+CS658+CT658+CU658+CV658+CW658+CX658+CY658+CZ658+DA658+DB658+DC658))</f>
        <v>30000000</v>
      </c>
      <c r="DE658" s="245">
        <f t="shared" si="271"/>
        <v>75000000</v>
      </c>
    </row>
    <row r="659" spans="1:109" s="46" customFormat="1" ht="65.099999999999994" customHeight="1">
      <c r="A659" s="134" t="s">
        <v>1235</v>
      </c>
      <c r="B659" s="134" t="s">
        <v>1469</v>
      </c>
      <c r="C659" s="134" t="s">
        <v>1690</v>
      </c>
      <c r="D659" s="134">
        <v>53</v>
      </c>
      <c r="E659" s="134" t="s">
        <v>1608</v>
      </c>
      <c r="F659" s="135"/>
      <c r="G659" s="136"/>
      <c r="H659" s="137"/>
      <c r="I659" s="137"/>
      <c r="J659" s="137"/>
      <c r="K659" s="138"/>
      <c r="L659" s="137"/>
      <c r="M659" s="137"/>
      <c r="N659" s="137"/>
      <c r="O659" s="137"/>
      <c r="P659" s="137"/>
      <c r="Q659" s="136"/>
      <c r="R659" s="139"/>
      <c r="S659" s="137"/>
      <c r="T659" s="137"/>
      <c r="U659" s="140"/>
      <c r="V659" s="140"/>
      <c r="W659" s="138"/>
      <c r="X659" s="140"/>
      <c r="Y659" s="140"/>
      <c r="Z659" s="140"/>
      <c r="AA659" s="140"/>
      <c r="AB659" s="138"/>
      <c r="AC659" s="140"/>
      <c r="AD659" s="140"/>
      <c r="AE659" s="140"/>
      <c r="AF659" s="140"/>
      <c r="AG659" s="138"/>
      <c r="AH659" s="140"/>
      <c r="AI659" s="140"/>
      <c r="AJ659" s="140"/>
      <c r="AK659" s="140"/>
      <c r="AL659" s="138"/>
      <c r="AM659" s="141"/>
      <c r="AN659" s="142"/>
      <c r="AO659" s="142"/>
      <c r="AP659" s="143"/>
      <c r="AQ659" s="143"/>
      <c r="AR659" s="144"/>
      <c r="AS659" s="132">
        <f>SUM(AS655:AS658)</f>
        <v>0</v>
      </c>
      <c r="AT659" s="132">
        <f t="shared" ref="AT659:DE659" si="272">SUM(AT655:AT658)</f>
        <v>0</v>
      </c>
      <c r="AU659" s="132">
        <f t="shared" si="272"/>
        <v>0</v>
      </c>
      <c r="AV659" s="132">
        <f t="shared" si="272"/>
        <v>0</v>
      </c>
      <c r="AW659" s="132">
        <f t="shared" si="272"/>
        <v>15601900</v>
      </c>
      <c r="AX659" s="132">
        <f t="shared" si="272"/>
        <v>0</v>
      </c>
      <c r="AY659" s="132">
        <f t="shared" si="272"/>
        <v>0</v>
      </c>
      <c r="AZ659" s="132">
        <f t="shared" si="272"/>
        <v>0</v>
      </c>
      <c r="BA659" s="132">
        <f t="shared" si="272"/>
        <v>0</v>
      </c>
      <c r="BB659" s="132">
        <f t="shared" si="272"/>
        <v>0</v>
      </c>
      <c r="BC659" s="132">
        <f t="shared" si="272"/>
        <v>0</v>
      </c>
      <c r="BD659" s="132">
        <f t="shared" si="272"/>
        <v>0</v>
      </c>
      <c r="BE659" s="132">
        <f t="shared" si="272"/>
        <v>0</v>
      </c>
      <c r="BF659" s="132">
        <f t="shared" si="272"/>
        <v>0</v>
      </c>
      <c r="BG659" s="132">
        <f t="shared" si="272"/>
        <v>0</v>
      </c>
      <c r="BH659" s="133">
        <f>IF(OR(AND(BH655=0,W655&lt;&gt;0),AND(BH656=0,W656&lt;&gt;0),AND(BH657=0,W657&lt;&gt;0),AND(BH658=0,W658&lt;&gt;0)),"NO DEBEN QUEDAR CELDAS EN ROJO",SUM(BH655:BH658))</f>
        <v>15601900</v>
      </c>
      <c r="BI659" s="132">
        <f t="shared" si="272"/>
        <v>0</v>
      </c>
      <c r="BJ659" s="132">
        <f t="shared" si="272"/>
        <v>0</v>
      </c>
      <c r="BK659" s="132">
        <f t="shared" si="272"/>
        <v>0</v>
      </c>
      <c r="BL659" s="132">
        <f t="shared" si="272"/>
        <v>0</v>
      </c>
      <c r="BM659" s="132">
        <f t="shared" si="272"/>
        <v>80000000</v>
      </c>
      <c r="BN659" s="132">
        <f t="shared" si="272"/>
        <v>0</v>
      </c>
      <c r="BO659" s="132">
        <f t="shared" si="272"/>
        <v>0</v>
      </c>
      <c r="BP659" s="132">
        <f t="shared" si="272"/>
        <v>0</v>
      </c>
      <c r="BQ659" s="132">
        <f t="shared" si="272"/>
        <v>0</v>
      </c>
      <c r="BR659" s="132">
        <f t="shared" si="272"/>
        <v>0</v>
      </c>
      <c r="BS659" s="132">
        <f t="shared" si="272"/>
        <v>0</v>
      </c>
      <c r="BT659" s="132">
        <f t="shared" si="272"/>
        <v>0</v>
      </c>
      <c r="BU659" s="132">
        <f t="shared" si="272"/>
        <v>0</v>
      </c>
      <c r="BV659" s="132">
        <f t="shared" si="272"/>
        <v>0</v>
      </c>
      <c r="BW659" s="132">
        <f t="shared" si="272"/>
        <v>0</v>
      </c>
      <c r="BX659" s="133">
        <f>IF(OR(AND(BX655=0,AB655&lt;&gt;0),AND(BX656=0,AB656&lt;&gt;0),AND(BX657=0,AB657&lt;&gt;0),AND(BX658=0,AB658&lt;&gt;0)),"NO DEBEN QUEDAR CELDAS EN ROJO",SUM(BX655:BX658))</f>
        <v>80000000</v>
      </c>
      <c r="BY659" s="132">
        <f t="shared" si="272"/>
        <v>0</v>
      </c>
      <c r="BZ659" s="132">
        <f t="shared" si="272"/>
        <v>0</v>
      </c>
      <c r="CA659" s="132">
        <f t="shared" si="272"/>
        <v>0</v>
      </c>
      <c r="CB659" s="132">
        <f t="shared" si="272"/>
        <v>0</v>
      </c>
      <c r="CC659" s="132">
        <f t="shared" si="272"/>
        <v>100000000</v>
      </c>
      <c r="CD659" s="132">
        <f t="shared" si="272"/>
        <v>0</v>
      </c>
      <c r="CE659" s="132">
        <f t="shared" si="272"/>
        <v>0</v>
      </c>
      <c r="CF659" s="132">
        <f t="shared" si="272"/>
        <v>0</v>
      </c>
      <c r="CG659" s="132">
        <f t="shared" si="272"/>
        <v>0</v>
      </c>
      <c r="CH659" s="132">
        <f t="shared" si="272"/>
        <v>0</v>
      </c>
      <c r="CI659" s="132">
        <f t="shared" si="272"/>
        <v>0</v>
      </c>
      <c r="CJ659" s="132">
        <f t="shared" si="272"/>
        <v>0</v>
      </c>
      <c r="CK659" s="132">
        <f t="shared" si="272"/>
        <v>0</v>
      </c>
      <c r="CL659" s="132">
        <f t="shared" si="272"/>
        <v>0</v>
      </c>
      <c r="CM659" s="132">
        <f t="shared" si="272"/>
        <v>0</v>
      </c>
      <c r="CN659" s="133">
        <f>IF(OR(AND(CN655=0,AG655&lt;&gt;0),AND(CN656=0,AG656&lt;&gt;0),AND(CN657=0,AG657&lt;&gt;0),AND(CN658=0,AG658&lt;&gt;0)),"NO DEBEN QUEDAR CELDAS EN ROJO",SUM(CN655:CN658))</f>
        <v>100000000</v>
      </c>
      <c r="CO659" s="132">
        <f t="shared" si="272"/>
        <v>0</v>
      </c>
      <c r="CP659" s="132">
        <f t="shared" si="272"/>
        <v>0</v>
      </c>
      <c r="CQ659" s="132">
        <f t="shared" si="272"/>
        <v>0</v>
      </c>
      <c r="CR659" s="132">
        <f t="shared" si="272"/>
        <v>0</v>
      </c>
      <c r="CS659" s="132">
        <f t="shared" si="272"/>
        <v>100000000</v>
      </c>
      <c r="CT659" s="132">
        <f t="shared" si="272"/>
        <v>0</v>
      </c>
      <c r="CU659" s="132">
        <f t="shared" si="272"/>
        <v>0</v>
      </c>
      <c r="CV659" s="132">
        <f t="shared" si="272"/>
        <v>0</v>
      </c>
      <c r="CW659" s="132">
        <f t="shared" si="272"/>
        <v>0</v>
      </c>
      <c r="CX659" s="132">
        <f t="shared" si="272"/>
        <v>0</v>
      </c>
      <c r="CY659" s="132">
        <f t="shared" si="272"/>
        <v>0</v>
      </c>
      <c r="CZ659" s="132">
        <f t="shared" si="272"/>
        <v>0</v>
      </c>
      <c r="DA659" s="132">
        <f t="shared" si="272"/>
        <v>0</v>
      </c>
      <c r="DB659" s="132">
        <f t="shared" si="272"/>
        <v>0</v>
      </c>
      <c r="DC659" s="132">
        <f t="shared" si="272"/>
        <v>0</v>
      </c>
      <c r="DD659" s="133">
        <f>IF(OR(AND(DD655=0,AL655&lt;&gt;0),AND(DD656=0,AL656&lt;&gt;0),AND(DD657=0,AL657&lt;&gt;0),AND(DD658=0,AL658&lt;&gt;0)),"NO DEBEN QUEDAR CELDAS EN ROJO",SUM(DD655:DD658))</f>
        <v>100000000</v>
      </c>
      <c r="DE659" s="133">
        <f t="shared" si="272"/>
        <v>295601900</v>
      </c>
    </row>
    <row r="660" spans="1:109" s="99" customFormat="1" ht="81" customHeight="1">
      <c r="A660" s="103" t="s">
        <v>1235</v>
      </c>
      <c r="B660" s="103" t="s">
        <v>1469</v>
      </c>
      <c r="C660" s="103" t="s">
        <v>1690</v>
      </c>
      <c r="D660" s="103">
        <v>54</v>
      </c>
      <c r="E660" s="103" t="s">
        <v>1623</v>
      </c>
      <c r="F660" s="278" t="s">
        <v>1624</v>
      </c>
      <c r="G660" s="103" t="s">
        <v>3006</v>
      </c>
      <c r="H660" s="103">
        <v>64</v>
      </c>
      <c r="I660" s="103" t="s">
        <v>1625</v>
      </c>
      <c r="J660" s="103" t="s">
        <v>683</v>
      </c>
      <c r="K660" s="102">
        <v>3903</v>
      </c>
      <c r="L660" s="103" t="s">
        <v>1626</v>
      </c>
      <c r="M660" s="103" t="s">
        <v>1627</v>
      </c>
      <c r="N660" s="103" t="s">
        <v>1628</v>
      </c>
      <c r="O660" s="103" t="s">
        <v>1629</v>
      </c>
      <c r="P660" s="283">
        <v>591</v>
      </c>
      <c r="Q660" s="103" t="s">
        <v>3608</v>
      </c>
      <c r="R660" s="103" t="s">
        <v>1630</v>
      </c>
      <c r="S660" s="103" t="s">
        <v>683</v>
      </c>
      <c r="T660" s="102">
        <v>1454</v>
      </c>
      <c r="U660" s="267"/>
      <c r="V660" s="267">
        <v>100</v>
      </c>
      <c r="W660" s="224">
        <v>100</v>
      </c>
      <c r="X660" s="267">
        <v>50</v>
      </c>
      <c r="Y660" s="267">
        <v>100</v>
      </c>
      <c r="Z660" s="267">
        <v>100</v>
      </c>
      <c r="AA660" s="267">
        <v>100</v>
      </c>
      <c r="AB660" s="224">
        <v>350</v>
      </c>
      <c r="AC660" s="267">
        <v>50</v>
      </c>
      <c r="AD660" s="267">
        <v>100</v>
      </c>
      <c r="AE660" s="267">
        <v>100</v>
      </c>
      <c r="AF660" s="267">
        <v>100</v>
      </c>
      <c r="AG660" s="224">
        <v>350</v>
      </c>
      <c r="AH660" s="267">
        <v>100</v>
      </c>
      <c r="AI660" s="267">
        <v>100</v>
      </c>
      <c r="AJ660" s="267"/>
      <c r="AK660" s="267"/>
      <c r="AL660" s="224">
        <v>200</v>
      </c>
      <c r="AM660" s="102">
        <v>1000</v>
      </c>
      <c r="AN660" s="103" t="s">
        <v>685</v>
      </c>
      <c r="AO660" s="103" t="s">
        <v>621</v>
      </c>
      <c r="AP660" s="103" t="s">
        <v>1225</v>
      </c>
      <c r="AQ660" s="103" t="s">
        <v>1195</v>
      </c>
      <c r="AR660" s="103" t="s">
        <v>945</v>
      </c>
      <c r="AS660" s="268"/>
      <c r="AT660" s="268"/>
      <c r="AU660" s="268"/>
      <c r="AV660" s="268"/>
      <c r="AW660" s="268">
        <v>5000000</v>
      </c>
      <c r="AX660" s="268"/>
      <c r="AY660" s="268"/>
      <c r="AZ660" s="268"/>
      <c r="BA660" s="268"/>
      <c r="BB660" s="268"/>
      <c r="BC660" s="268"/>
      <c r="BD660" s="268"/>
      <c r="BE660" s="268"/>
      <c r="BF660" s="268"/>
      <c r="BG660" s="268"/>
      <c r="BH660" s="234">
        <f>IF(W660=0,0,BG660+BF660+BE660+BD660+BC660+BB660+BA660+AZ660+AY660+AX660+AW660+AV660+AU660+AT660+AS660)</f>
        <v>5000000</v>
      </c>
      <c r="BI660" s="268"/>
      <c r="BJ660" s="268"/>
      <c r="BK660" s="268"/>
      <c r="BL660" s="268"/>
      <c r="BM660" s="268">
        <v>10000000</v>
      </c>
      <c r="BN660" s="268"/>
      <c r="BO660" s="268"/>
      <c r="BP660" s="268"/>
      <c r="BQ660" s="268"/>
      <c r="BR660" s="268"/>
      <c r="BS660" s="268"/>
      <c r="BT660" s="268"/>
      <c r="BU660" s="268"/>
      <c r="BV660" s="268"/>
      <c r="BW660" s="268"/>
      <c r="BX660" s="234">
        <f>IF(AB660=0,0,BI660+BJ660+BK660+BL660+BM660+BN660+BO660+BP660+BQ660+BR660+BS660+BT660+BU660+BV660+BW660)</f>
        <v>10000000</v>
      </c>
      <c r="BY660" s="268"/>
      <c r="BZ660" s="268"/>
      <c r="CA660" s="268"/>
      <c r="CB660" s="268"/>
      <c r="CC660" s="268">
        <v>10000000</v>
      </c>
      <c r="CD660" s="268"/>
      <c r="CE660" s="268"/>
      <c r="CF660" s="268"/>
      <c r="CG660" s="268"/>
      <c r="CH660" s="268"/>
      <c r="CI660" s="268"/>
      <c r="CJ660" s="268"/>
      <c r="CK660" s="268"/>
      <c r="CL660" s="268"/>
      <c r="CM660" s="268"/>
      <c r="CN660" s="234">
        <f>IF(AG660=0,0,(BY660+BZ660+CA660+CB660+CC660+CD660+CE660+CF660+CG660+CH660+CI660+CJ660+CK660+CL660+CM660))</f>
        <v>10000000</v>
      </c>
      <c r="CO660" s="268"/>
      <c r="CP660" s="268"/>
      <c r="CQ660" s="268"/>
      <c r="CR660" s="268"/>
      <c r="CS660" s="268">
        <v>25000000</v>
      </c>
      <c r="CT660" s="268"/>
      <c r="CU660" s="268"/>
      <c r="CV660" s="268"/>
      <c r="CW660" s="268"/>
      <c r="CX660" s="268"/>
      <c r="CY660" s="268"/>
      <c r="CZ660" s="268"/>
      <c r="DA660" s="268"/>
      <c r="DB660" s="268"/>
      <c r="DC660" s="268"/>
      <c r="DD660" s="234">
        <f>IF(AL660=0,0,(CO660+CP660+CQ660+CR660+CS660+CT660+CU660+CV660+CW660+CX660+CY660+CZ660+DA660+DB660+DC660))</f>
        <v>25000000</v>
      </c>
      <c r="DE660" s="243">
        <f t="shared" ref="DE660:DE664" si="273">SUM(DD660+CN660+BX660+BH660)</f>
        <v>50000000</v>
      </c>
    </row>
    <row r="661" spans="1:109" s="99" customFormat="1" ht="81" customHeight="1">
      <c r="A661" s="103" t="s">
        <v>1235</v>
      </c>
      <c r="B661" s="279" t="s">
        <v>1469</v>
      </c>
      <c r="C661" s="279" t="s">
        <v>1690</v>
      </c>
      <c r="D661" s="279">
        <v>54</v>
      </c>
      <c r="E661" s="279" t="s">
        <v>1623</v>
      </c>
      <c r="F661" s="280" t="s">
        <v>1624</v>
      </c>
      <c r="G661" s="279" t="s">
        <v>3006</v>
      </c>
      <c r="H661" s="279">
        <v>64</v>
      </c>
      <c r="I661" s="279" t="s">
        <v>1625</v>
      </c>
      <c r="J661" s="279" t="s">
        <v>683</v>
      </c>
      <c r="K661" s="104">
        <v>3903</v>
      </c>
      <c r="L661" s="279" t="s">
        <v>1626</v>
      </c>
      <c r="M661" s="279" t="s">
        <v>1631</v>
      </c>
      <c r="N661" s="279" t="s">
        <v>1632</v>
      </c>
      <c r="O661" s="279" t="s">
        <v>1633</v>
      </c>
      <c r="P661" s="283">
        <v>592</v>
      </c>
      <c r="Q661" s="279" t="s">
        <v>3007</v>
      </c>
      <c r="R661" s="279" t="s">
        <v>249</v>
      </c>
      <c r="S661" s="279" t="s">
        <v>683</v>
      </c>
      <c r="T661" s="279" t="s">
        <v>1634</v>
      </c>
      <c r="U661" s="267"/>
      <c r="V661" s="267"/>
      <c r="W661" s="224">
        <v>0</v>
      </c>
      <c r="X661" s="267"/>
      <c r="Y661" s="267"/>
      <c r="Z661" s="267"/>
      <c r="AA661" s="267">
        <v>5</v>
      </c>
      <c r="AB661" s="224">
        <v>5</v>
      </c>
      <c r="AC661" s="267"/>
      <c r="AD661" s="267"/>
      <c r="AE661" s="267"/>
      <c r="AF661" s="267">
        <v>5</v>
      </c>
      <c r="AG661" s="224">
        <v>5</v>
      </c>
      <c r="AH661" s="267"/>
      <c r="AI661" s="267"/>
      <c r="AJ661" s="267">
        <v>5</v>
      </c>
      <c r="AK661" s="267"/>
      <c r="AL661" s="224">
        <v>5</v>
      </c>
      <c r="AM661" s="104">
        <v>15</v>
      </c>
      <c r="AN661" s="103" t="s">
        <v>685</v>
      </c>
      <c r="AO661" s="103" t="s">
        <v>621</v>
      </c>
      <c r="AP661" s="103" t="s">
        <v>1225</v>
      </c>
      <c r="AQ661" s="103" t="s">
        <v>1195</v>
      </c>
      <c r="AR661" s="103" t="s">
        <v>943</v>
      </c>
      <c r="AS661" s="271"/>
      <c r="AT661" s="271"/>
      <c r="AU661" s="271"/>
      <c r="AV661" s="271"/>
      <c r="AW661" s="271"/>
      <c r="AX661" s="271"/>
      <c r="AY661" s="271"/>
      <c r="AZ661" s="271"/>
      <c r="BA661" s="271"/>
      <c r="BB661" s="271"/>
      <c r="BC661" s="271"/>
      <c r="BD661" s="271"/>
      <c r="BE661" s="271"/>
      <c r="BF661" s="271"/>
      <c r="BG661" s="271"/>
      <c r="BH661" s="235">
        <f>IF(W661=0,0,BG661+BF661+BE661+BD661+BC661+BB661+BA661+AZ661+AY661+AX661+AW661+AV661+AU661+AT661+AS661)</f>
        <v>0</v>
      </c>
      <c r="BI661" s="271"/>
      <c r="BJ661" s="271"/>
      <c r="BK661" s="271"/>
      <c r="BL661" s="271"/>
      <c r="BM661" s="271">
        <v>5000000</v>
      </c>
      <c r="BN661" s="271"/>
      <c r="BO661" s="271"/>
      <c r="BP661" s="271"/>
      <c r="BQ661" s="271"/>
      <c r="BR661" s="271"/>
      <c r="BS661" s="271"/>
      <c r="BT661" s="271"/>
      <c r="BU661" s="271"/>
      <c r="BV661" s="271"/>
      <c r="BW661" s="271"/>
      <c r="BX661" s="235">
        <f>IF(AB661=0,0,BI661+BJ661+BK661+BL661+BM661+BN661+BO661+BP661+BQ661+BR661+BS661+BT661+BU661+BV661+BW661)</f>
        <v>5000000</v>
      </c>
      <c r="BY661" s="271"/>
      <c r="BZ661" s="271"/>
      <c r="CA661" s="271"/>
      <c r="CB661" s="271"/>
      <c r="CC661" s="271">
        <v>5000000</v>
      </c>
      <c r="CD661" s="271"/>
      <c r="CE661" s="271"/>
      <c r="CF661" s="271"/>
      <c r="CG661" s="271"/>
      <c r="CH661" s="271"/>
      <c r="CI661" s="271"/>
      <c r="CJ661" s="271"/>
      <c r="CK661" s="271"/>
      <c r="CL661" s="271"/>
      <c r="CM661" s="271"/>
      <c r="CN661" s="235">
        <f>IF(AG661=0,0,(BY661+BZ661+CA661+CB661+CC661+CD661+CE661+CF661+CG661+CH661+CI661+CJ661+CK661+CL661+CM661))</f>
        <v>5000000</v>
      </c>
      <c r="CO661" s="271"/>
      <c r="CP661" s="271"/>
      <c r="CQ661" s="271"/>
      <c r="CR661" s="271"/>
      <c r="CS661" s="271">
        <v>6125000</v>
      </c>
      <c r="CT661" s="271"/>
      <c r="CU661" s="271"/>
      <c r="CV661" s="271"/>
      <c r="CW661" s="271"/>
      <c r="CX661" s="271"/>
      <c r="CY661" s="271"/>
      <c r="CZ661" s="271"/>
      <c r="DA661" s="271"/>
      <c r="DB661" s="271"/>
      <c r="DC661" s="271"/>
      <c r="DD661" s="234">
        <f>IF(AL661=0,0,(CO661+CP661+CQ661+CR661+CS661+CT661+CU661+CV661+CW661+CX661+CY661+CZ661+DA661+DB661+DC661))</f>
        <v>6125000</v>
      </c>
      <c r="DE661" s="244">
        <f t="shared" si="273"/>
        <v>16125000</v>
      </c>
    </row>
    <row r="662" spans="1:109" s="99" customFormat="1" ht="81" customHeight="1">
      <c r="A662" s="103" t="s">
        <v>1235</v>
      </c>
      <c r="B662" s="279" t="s">
        <v>1469</v>
      </c>
      <c r="C662" s="279" t="s">
        <v>1690</v>
      </c>
      <c r="D662" s="279">
        <v>54</v>
      </c>
      <c r="E662" s="279" t="s">
        <v>1623</v>
      </c>
      <c r="F662" s="280" t="s">
        <v>1624</v>
      </c>
      <c r="G662" s="279" t="s">
        <v>3006</v>
      </c>
      <c r="H662" s="279">
        <v>64</v>
      </c>
      <c r="I662" s="279" t="s">
        <v>1625</v>
      </c>
      <c r="J662" s="279" t="s">
        <v>683</v>
      </c>
      <c r="K662" s="104">
        <v>3903</v>
      </c>
      <c r="L662" s="279" t="s">
        <v>1626</v>
      </c>
      <c r="M662" s="279" t="s">
        <v>1635</v>
      </c>
      <c r="N662" s="279" t="s">
        <v>1636</v>
      </c>
      <c r="O662" s="279" t="s">
        <v>251</v>
      </c>
      <c r="P662" s="283">
        <v>593</v>
      </c>
      <c r="Q662" s="279" t="s">
        <v>3008</v>
      </c>
      <c r="R662" s="279" t="s">
        <v>1637</v>
      </c>
      <c r="S662" s="279" t="s">
        <v>683</v>
      </c>
      <c r="T662" s="279" t="s">
        <v>1616</v>
      </c>
      <c r="U662" s="267"/>
      <c r="V662" s="267"/>
      <c r="W662" s="224">
        <v>0</v>
      </c>
      <c r="X662" s="267"/>
      <c r="Y662" s="267"/>
      <c r="Z662" s="267">
        <v>10</v>
      </c>
      <c r="AA662" s="267">
        <v>10</v>
      </c>
      <c r="AB662" s="224">
        <v>20</v>
      </c>
      <c r="AC662" s="267"/>
      <c r="AD662" s="267"/>
      <c r="AE662" s="267">
        <v>10</v>
      </c>
      <c r="AF662" s="267">
        <v>10</v>
      </c>
      <c r="AG662" s="224">
        <v>20</v>
      </c>
      <c r="AH662" s="267"/>
      <c r="AI662" s="267"/>
      <c r="AJ662" s="267"/>
      <c r="AK662" s="267"/>
      <c r="AL662" s="224">
        <v>0</v>
      </c>
      <c r="AM662" s="104">
        <v>40</v>
      </c>
      <c r="AN662" s="103" t="s">
        <v>685</v>
      </c>
      <c r="AO662" s="103" t="s">
        <v>621</v>
      </c>
      <c r="AP662" s="103" t="s">
        <v>1225</v>
      </c>
      <c r="AQ662" s="103" t="s">
        <v>1195</v>
      </c>
      <c r="AR662" s="103" t="s">
        <v>943</v>
      </c>
      <c r="AS662" s="271"/>
      <c r="AT662" s="271"/>
      <c r="AU662" s="271"/>
      <c r="AV662" s="271"/>
      <c r="AW662" s="271"/>
      <c r="AX662" s="271"/>
      <c r="AY662" s="271"/>
      <c r="AZ662" s="271"/>
      <c r="BA662" s="271"/>
      <c r="BB662" s="271"/>
      <c r="BC662" s="271"/>
      <c r="BD662" s="271"/>
      <c r="BE662" s="271"/>
      <c r="BF662" s="271"/>
      <c r="BG662" s="271"/>
      <c r="BH662" s="235">
        <f>IF(W662=0,0,BG662+BF662+BE662+BD662+BC662+BB662+BA662+AZ662+AY662+AX662+AW662+AV662+AU662+AT662+AS662)</f>
        <v>0</v>
      </c>
      <c r="BI662" s="271"/>
      <c r="BJ662" s="271"/>
      <c r="BK662" s="271"/>
      <c r="BL662" s="271"/>
      <c r="BM662" s="271">
        <v>7500000</v>
      </c>
      <c r="BN662" s="271"/>
      <c r="BO662" s="271"/>
      <c r="BP662" s="271"/>
      <c r="BQ662" s="271"/>
      <c r="BR662" s="271"/>
      <c r="BS662" s="271"/>
      <c r="BT662" s="271"/>
      <c r="BU662" s="271"/>
      <c r="BV662" s="271"/>
      <c r="BW662" s="271"/>
      <c r="BX662" s="235">
        <f>IF(AB662=0,0,BI662+BJ662+BK662+BL662+BM662+BN662+BO662+BP662+BQ662+BR662+BS662+BT662+BU662+BV662+BW662)</f>
        <v>7500000</v>
      </c>
      <c r="BY662" s="271"/>
      <c r="BZ662" s="271"/>
      <c r="CA662" s="271"/>
      <c r="CB662" s="271"/>
      <c r="CC662" s="271">
        <v>7500000</v>
      </c>
      <c r="CD662" s="271"/>
      <c r="CE662" s="271"/>
      <c r="CF662" s="271"/>
      <c r="CG662" s="271"/>
      <c r="CH662" s="271"/>
      <c r="CI662" s="271"/>
      <c r="CJ662" s="271"/>
      <c r="CK662" s="271"/>
      <c r="CL662" s="271"/>
      <c r="CM662" s="271"/>
      <c r="CN662" s="235">
        <f>IF(AG662=0,0,(BY662+BZ662+CA662+CB662+CC662+CD662+CE662+CF662+CG662+CH662+CI662+CJ662+CK662+CL662+CM662))</f>
        <v>7500000</v>
      </c>
      <c r="CO662" s="271"/>
      <c r="CP662" s="271"/>
      <c r="CQ662" s="271"/>
      <c r="CR662" s="271"/>
      <c r="CS662" s="271"/>
      <c r="CT662" s="271"/>
      <c r="CU662" s="271"/>
      <c r="CV662" s="271"/>
      <c r="CW662" s="271"/>
      <c r="CX662" s="271"/>
      <c r="CY662" s="271"/>
      <c r="CZ662" s="271"/>
      <c r="DA662" s="271"/>
      <c r="DB662" s="271"/>
      <c r="DC662" s="271"/>
      <c r="DD662" s="234">
        <f>IF(AL662=0,0,(CO662+CP662+CQ662+CR662+CS662+CT662+CU662+CV662+CW662+CX662+CY662+CZ662+DA662+DB662+DC662))</f>
        <v>0</v>
      </c>
      <c r="DE662" s="244">
        <f t="shared" si="273"/>
        <v>15000000</v>
      </c>
    </row>
    <row r="663" spans="1:109" s="99" customFormat="1" ht="81" customHeight="1">
      <c r="A663" s="103" t="s">
        <v>1235</v>
      </c>
      <c r="B663" s="279" t="s">
        <v>1469</v>
      </c>
      <c r="C663" s="279" t="s">
        <v>1690</v>
      </c>
      <c r="D663" s="279">
        <v>54</v>
      </c>
      <c r="E663" s="279" t="s">
        <v>1623</v>
      </c>
      <c r="F663" s="280" t="s">
        <v>1624</v>
      </c>
      <c r="G663" s="279" t="s">
        <v>3006</v>
      </c>
      <c r="H663" s="279">
        <v>64</v>
      </c>
      <c r="I663" s="279" t="s">
        <v>1625</v>
      </c>
      <c r="J663" s="279" t="s">
        <v>683</v>
      </c>
      <c r="K663" s="104">
        <v>3903</v>
      </c>
      <c r="L663" s="279" t="s">
        <v>1626</v>
      </c>
      <c r="M663" s="279" t="s">
        <v>1638</v>
      </c>
      <c r="N663" s="279" t="s">
        <v>1639</v>
      </c>
      <c r="O663" s="279" t="s">
        <v>254</v>
      </c>
      <c r="P663" s="283">
        <v>594</v>
      </c>
      <c r="Q663" s="279" t="s">
        <v>3009</v>
      </c>
      <c r="R663" s="279" t="s">
        <v>1640</v>
      </c>
      <c r="S663" s="279" t="s">
        <v>683</v>
      </c>
      <c r="T663" s="279">
        <v>361</v>
      </c>
      <c r="U663" s="267">
        <v>15</v>
      </c>
      <c r="V663" s="267">
        <v>20</v>
      </c>
      <c r="W663" s="224">
        <v>35</v>
      </c>
      <c r="X663" s="267">
        <v>20</v>
      </c>
      <c r="Y663" s="267">
        <v>20</v>
      </c>
      <c r="Z663" s="267">
        <v>25</v>
      </c>
      <c r="AA663" s="267"/>
      <c r="AB663" s="224">
        <v>65</v>
      </c>
      <c r="AC663" s="267">
        <v>20</v>
      </c>
      <c r="AD663" s="267">
        <v>20</v>
      </c>
      <c r="AE663" s="267">
        <v>20</v>
      </c>
      <c r="AF663" s="267"/>
      <c r="AG663" s="224">
        <v>60</v>
      </c>
      <c r="AH663" s="267">
        <v>20</v>
      </c>
      <c r="AI663" s="267">
        <v>20</v>
      </c>
      <c r="AJ663" s="267"/>
      <c r="AK663" s="267"/>
      <c r="AL663" s="224">
        <v>40</v>
      </c>
      <c r="AM663" s="104">
        <v>200</v>
      </c>
      <c r="AN663" s="103" t="s">
        <v>685</v>
      </c>
      <c r="AO663" s="103" t="s">
        <v>621</v>
      </c>
      <c r="AP663" s="103" t="s">
        <v>1225</v>
      </c>
      <c r="AQ663" s="103" t="s">
        <v>1195</v>
      </c>
      <c r="AR663" s="103" t="s">
        <v>943</v>
      </c>
      <c r="AS663" s="271"/>
      <c r="AT663" s="271"/>
      <c r="AU663" s="271"/>
      <c r="AV663" s="271"/>
      <c r="AW663" s="271">
        <v>5000000</v>
      </c>
      <c r="AX663" s="271"/>
      <c r="AY663" s="271"/>
      <c r="AZ663" s="271"/>
      <c r="BA663" s="271"/>
      <c r="BB663" s="271"/>
      <c r="BC663" s="271"/>
      <c r="BD663" s="271"/>
      <c r="BE663" s="271"/>
      <c r="BF663" s="271"/>
      <c r="BG663" s="271"/>
      <c r="BH663" s="235">
        <f>IF(W663=0,0,BG663+BF663+BE663+BD663+BC663+BB663+BA663+AZ663+AY663+AX663+AW663+AV663+AU663+AT663+AS663)</f>
        <v>5000000</v>
      </c>
      <c r="BI663" s="271"/>
      <c r="BJ663" s="271"/>
      <c r="BK663" s="271"/>
      <c r="BL663" s="271"/>
      <c r="BM663" s="271">
        <v>7500000</v>
      </c>
      <c r="BN663" s="271"/>
      <c r="BO663" s="271"/>
      <c r="BP663" s="271"/>
      <c r="BQ663" s="271"/>
      <c r="BR663" s="271"/>
      <c r="BS663" s="271"/>
      <c r="BT663" s="271"/>
      <c r="BU663" s="271"/>
      <c r="BV663" s="271"/>
      <c r="BW663" s="271"/>
      <c r="BX663" s="235">
        <f>IF(AB663=0,0,BI663+BJ663+BK663+BL663+BM663+BN663+BO663+BP663+BQ663+BR663+BS663+BT663+BU663+BV663+BW663)</f>
        <v>7500000</v>
      </c>
      <c r="BY663" s="271"/>
      <c r="BZ663" s="271"/>
      <c r="CA663" s="271"/>
      <c r="CB663" s="271"/>
      <c r="CC663" s="271">
        <v>10000000</v>
      </c>
      <c r="CD663" s="271"/>
      <c r="CE663" s="271"/>
      <c r="CF663" s="271"/>
      <c r="CG663" s="271"/>
      <c r="CH663" s="271"/>
      <c r="CI663" s="271"/>
      <c r="CJ663" s="271"/>
      <c r="CK663" s="271"/>
      <c r="CL663" s="271"/>
      <c r="CM663" s="271"/>
      <c r="CN663" s="235">
        <f>IF(AG663=0,0,(BY663+BZ663+CA663+CB663+CC663+CD663+CE663+CF663+CG663+CH663+CI663+CJ663+CK663+CL663+CM663))</f>
        <v>10000000</v>
      </c>
      <c r="CO663" s="271"/>
      <c r="CP663" s="271"/>
      <c r="CQ663" s="271"/>
      <c r="CR663" s="271"/>
      <c r="CS663" s="271">
        <v>20000000</v>
      </c>
      <c r="CT663" s="271"/>
      <c r="CU663" s="271"/>
      <c r="CV663" s="271"/>
      <c r="CW663" s="271"/>
      <c r="CX663" s="271"/>
      <c r="CY663" s="271"/>
      <c r="CZ663" s="271"/>
      <c r="DA663" s="271"/>
      <c r="DB663" s="271"/>
      <c r="DC663" s="271"/>
      <c r="DD663" s="234">
        <f>IF(AL663=0,0,(CO663+CP663+CQ663+CR663+CS663+CT663+CU663+CV663+CW663+CX663+CY663+CZ663+DA663+DB663+DC663))</f>
        <v>20000000</v>
      </c>
      <c r="DE663" s="244">
        <f t="shared" si="273"/>
        <v>42500000</v>
      </c>
    </row>
    <row r="664" spans="1:109" s="99" customFormat="1" ht="81" customHeight="1">
      <c r="A664" s="120" t="s">
        <v>1235</v>
      </c>
      <c r="B664" s="281" t="s">
        <v>1469</v>
      </c>
      <c r="C664" s="281" t="s">
        <v>1690</v>
      </c>
      <c r="D664" s="281">
        <v>54</v>
      </c>
      <c r="E664" s="281" t="s">
        <v>1623</v>
      </c>
      <c r="F664" s="282" t="s">
        <v>1624</v>
      </c>
      <c r="G664" s="281" t="s">
        <v>3006</v>
      </c>
      <c r="H664" s="281">
        <v>64</v>
      </c>
      <c r="I664" s="281" t="s">
        <v>1625</v>
      </c>
      <c r="J664" s="281" t="s">
        <v>683</v>
      </c>
      <c r="K664" s="119">
        <v>3903</v>
      </c>
      <c r="L664" s="281" t="s">
        <v>1626</v>
      </c>
      <c r="M664" s="281" t="s">
        <v>1641</v>
      </c>
      <c r="N664" s="281" t="s">
        <v>1642</v>
      </c>
      <c r="O664" s="281" t="s">
        <v>1643</v>
      </c>
      <c r="P664" s="283">
        <v>595</v>
      </c>
      <c r="Q664" s="281" t="s">
        <v>3010</v>
      </c>
      <c r="R664" s="281" t="s">
        <v>1644</v>
      </c>
      <c r="S664" s="281" t="s">
        <v>683</v>
      </c>
      <c r="T664" s="281" t="s">
        <v>1616</v>
      </c>
      <c r="U664" s="275"/>
      <c r="V664" s="275">
        <v>50</v>
      </c>
      <c r="W664" s="225">
        <v>50</v>
      </c>
      <c r="X664" s="275">
        <v>50</v>
      </c>
      <c r="Y664" s="275">
        <v>50</v>
      </c>
      <c r="Z664" s="275">
        <v>50</v>
      </c>
      <c r="AA664" s="275">
        <v>50</v>
      </c>
      <c r="AB664" s="225">
        <v>200</v>
      </c>
      <c r="AC664" s="275">
        <v>50</v>
      </c>
      <c r="AD664" s="275">
        <v>50</v>
      </c>
      <c r="AE664" s="275">
        <v>50</v>
      </c>
      <c r="AF664" s="275">
        <v>30</v>
      </c>
      <c r="AG664" s="225">
        <v>180</v>
      </c>
      <c r="AH664" s="275">
        <v>50</v>
      </c>
      <c r="AI664" s="275">
        <v>20</v>
      </c>
      <c r="AJ664" s="275"/>
      <c r="AK664" s="275"/>
      <c r="AL664" s="225">
        <v>70</v>
      </c>
      <c r="AM664" s="119">
        <v>500</v>
      </c>
      <c r="AN664" s="120" t="s">
        <v>685</v>
      </c>
      <c r="AO664" s="120" t="s">
        <v>621</v>
      </c>
      <c r="AP664" s="120" t="s">
        <v>1225</v>
      </c>
      <c r="AQ664" s="120" t="s">
        <v>1195</v>
      </c>
      <c r="AR664" s="120" t="s">
        <v>943</v>
      </c>
      <c r="AS664" s="276"/>
      <c r="AT664" s="276"/>
      <c r="AU664" s="276"/>
      <c r="AV664" s="276"/>
      <c r="AW664" s="276">
        <v>5000000</v>
      </c>
      <c r="AX664" s="276"/>
      <c r="AY664" s="276"/>
      <c r="AZ664" s="276"/>
      <c r="BA664" s="276"/>
      <c r="BB664" s="276"/>
      <c r="BC664" s="276"/>
      <c r="BD664" s="276"/>
      <c r="BE664" s="276"/>
      <c r="BF664" s="276"/>
      <c r="BG664" s="276"/>
      <c r="BH664" s="236">
        <f>IF(W664=0,0,BG664+BF664+BE664+BD664+BC664+BB664+BA664+AZ664+AY664+AX664+AW664+AV664+AU664+AT664+AS664)</f>
        <v>5000000</v>
      </c>
      <c r="BI664" s="276"/>
      <c r="BJ664" s="276"/>
      <c r="BK664" s="276"/>
      <c r="BL664" s="276"/>
      <c r="BM664" s="276">
        <v>10000000</v>
      </c>
      <c r="BN664" s="276"/>
      <c r="BO664" s="276"/>
      <c r="BP664" s="276"/>
      <c r="BQ664" s="276"/>
      <c r="BR664" s="276"/>
      <c r="BS664" s="276"/>
      <c r="BT664" s="276"/>
      <c r="BU664" s="276"/>
      <c r="BV664" s="276"/>
      <c r="BW664" s="276"/>
      <c r="BX664" s="236">
        <f>IF(AB664=0,0,BI664+BJ664+BK664+BL664+BM664+BN664+BO664+BP664+BQ664+BR664+BS664+BT664+BU664+BV664+BW664)</f>
        <v>10000000</v>
      </c>
      <c r="BY664" s="276"/>
      <c r="BZ664" s="276"/>
      <c r="CA664" s="276"/>
      <c r="CB664" s="276"/>
      <c r="CC664" s="276">
        <v>7500000</v>
      </c>
      <c r="CD664" s="276"/>
      <c r="CE664" s="276"/>
      <c r="CF664" s="276"/>
      <c r="CG664" s="276"/>
      <c r="CH664" s="276"/>
      <c r="CI664" s="276"/>
      <c r="CJ664" s="276"/>
      <c r="CK664" s="276"/>
      <c r="CL664" s="276"/>
      <c r="CM664" s="276"/>
      <c r="CN664" s="236">
        <f>IF(AG664=0,0,(BY664+BZ664+CA664+CB664+CC664+CD664+CE664+CF664+CG664+CH664+CI664+CJ664+CK664+CL664+CM664))</f>
        <v>7500000</v>
      </c>
      <c r="CO664" s="276"/>
      <c r="CP664" s="276"/>
      <c r="CQ664" s="276"/>
      <c r="CR664" s="276"/>
      <c r="CS664" s="276">
        <v>25000000</v>
      </c>
      <c r="CT664" s="276"/>
      <c r="CU664" s="276"/>
      <c r="CV664" s="276"/>
      <c r="CW664" s="276"/>
      <c r="CX664" s="276"/>
      <c r="CY664" s="276"/>
      <c r="CZ664" s="276"/>
      <c r="DA664" s="276"/>
      <c r="DB664" s="276"/>
      <c r="DC664" s="276"/>
      <c r="DD664" s="240">
        <f>IF(AL664=0,0,(CO664+CP664+CQ664+CR664+CS664+CT664+CU664+CV664+CW664+CX664+CY664+CZ664+DA664+DB664+DC664))</f>
        <v>25000000</v>
      </c>
      <c r="DE664" s="245">
        <f t="shared" si="273"/>
        <v>47500000</v>
      </c>
    </row>
    <row r="665" spans="1:109" s="46" customFormat="1" ht="65.099999999999994" customHeight="1">
      <c r="A665" s="134" t="s">
        <v>1235</v>
      </c>
      <c r="B665" s="134" t="s">
        <v>1469</v>
      </c>
      <c r="C665" s="134" t="s">
        <v>1690</v>
      </c>
      <c r="D665" s="134">
        <v>54</v>
      </c>
      <c r="E665" s="134" t="s">
        <v>1623</v>
      </c>
      <c r="F665" s="135"/>
      <c r="G665" s="136"/>
      <c r="H665" s="137"/>
      <c r="I665" s="137"/>
      <c r="J665" s="137"/>
      <c r="K665" s="138"/>
      <c r="L665" s="137"/>
      <c r="M665" s="137"/>
      <c r="N665" s="137"/>
      <c r="O665" s="137"/>
      <c r="P665" s="137"/>
      <c r="Q665" s="136"/>
      <c r="R665" s="139"/>
      <c r="S665" s="137"/>
      <c r="T665" s="137"/>
      <c r="U665" s="140"/>
      <c r="V665" s="140"/>
      <c r="W665" s="138"/>
      <c r="X665" s="140"/>
      <c r="Y665" s="140"/>
      <c r="Z665" s="140"/>
      <c r="AA665" s="140"/>
      <c r="AB665" s="138"/>
      <c r="AC665" s="140"/>
      <c r="AD665" s="140"/>
      <c r="AE665" s="140"/>
      <c r="AF665" s="140"/>
      <c r="AG665" s="138"/>
      <c r="AH665" s="140"/>
      <c r="AI665" s="140"/>
      <c r="AJ665" s="140"/>
      <c r="AK665" s="140"/>
      <c r="AL665" s="138"/>
      <c r="AM665" s="141"/>
      <c r="AN665" s="142"/>
      <c r="AO665" s="142"/>
      <c r="AP665" s="143"/>
      <c r="AQ665" s="143"/>
      <c r="AR665" s="144"/>
      <c r="AS665" s="132">
        <f>SUM(AS660:AS664)</f>
        <v>0</v>
      </c>
      <c r="AT665" s="132">
        <f t="shared" ref="AT665:DE665" si="274">SUM(AT660:AT664)</f>
        <v>0</v>
      </c>
      <c r="AU665" s="132">
        <f t="shared" si="274"/>
        <v>0</v>
      </c>
      <c r="AV665" s="132">
        <f t="shared" si="274"/>
        <v>0</v>
      </c>
      <c r="AW665" s="132">
        <f t="shared" si="274"/>
        <v>15000000</v>
      </c>
      <c r="AX665" s="132">
        <f t="shared" si="274"/>
        <v>0</v>
      </c>
      <c r="AY665" s="132">
        <f t="shared" si="274"/>
        <v>0</v>
      </c>
      <c r="AZ665" s="132">
        <f t="shared" si="274"/>
        <v>0</v>
      </c>
      <c r="BA665" s="132">
        <f t="shared" si="274"/>
        <v>0</v>
      </c>
      <c r="BB665" s="132">
        <f t="shared" si="274"/>
        <v>0</v>
      </c>
      <c r="BC665" s="132">
        <f t="shared" si="274"/>
        <v>0</v>
      </c>
      <c r="BD665" s="132">
        <f t="shared" si="274"/>
        <v>0</v>
      </c>
      <c r="BE665" s="132">
        <f t="shared" si="274"/>
        <v>0</v>
      </c>
      <c r="BF665" s="132">
        <f t="shared" si="274"/>
        <v>0</v>
      </c>
      <c r="BG665" s="132">
        <f t="shared" si="274"/>
        <v>0</v>
      </c>
      <c r="BH665" s="133">
        <f>IF(OR(AND(BH660=0,W660&lt;&gt;0),AND(BH661=0,W661&lt;&gt;0),AND(BH662=0,W662&lt;&gt;0),AND(BH663=0,W663&lt;&gt;0),AND(BH664=0,W664&lt;&gt;0)),"NO DEBEN QUEDAR CELDAS EN ROJO",SUM(BH660:BH664))</f>
        <v>15000000</v>
      </c>
      <c r="BI665" s="132">
        <f t="shared" si="274"/>
        <v>0</v>
      </c>
      <c r="BJ665" s="132">
        <f t="shared" si="274"/>
        <v>0</v>
      </c>
      <c r="BK665" s="132">
        <f t="shared" si="274"/>
        <v>0</v>
      </c>
      <c r="BL665" s="132">
        <f t="shared" si="274"/>
        <v>0</v>
      </c>
      <c r="BM665" s="132">
        <f t="shared" si="274"/>
        <v>40000000</v>
      </c>
      <c r="BN665" s="132">
        <f t="shared" si="274"/>
        <v>0</v>
      </c>
      <c r="BO665" s="132">
        <f t="shared" si="274"/>
        <v>0</v>
      </c>
      <c r="BP665" s="132">
        <f t="shared" si="274"/>
        <v>0</v>
      </c>
      <c r="BQ665" s="132">
        <f t="shared" si="274"/>
        <v>0</v>
      </c>
      <c r="BR665" s="132">
        <f t="shared" si="274"/>
        <v>0</v>
      </c>
      <c r="BS665" s="132">
        <f t="shared" si="274"/>
        <v>0</v>
      </c>
      <c r="BT665" s="132">
        <f t="shared" si="274"/>
        <v>0</v>
      </c>
      <c r="BU665" s="132">
        <f t="shared" si="274"/>
        <v>0</v>
      </c>
      <c r="BV665" s="132">
        <f t="shared" si="274"/>
        <v>0</v>
      </c>
      <c r="BW665" s="132">
        <f t="shared" si="274"/>
        <v>0</v>
      </c>
      <c r="BX665" s="133">
        <f>IF(OR(AND(BX660=0,AB660&lt;&gt;0),AND(BX661=0,AB661&lt;&gt;0),AND(BX662=0,AB662&lt;&gt;0),AND(BX663=0,AB663&lt;&gt;0),AND(BX664=0,AB664&lt;&gt;0)),"NO DEBEN QUEDAR CELDAS EN ROJO",SUM(BX660:BX664))</f>
        <v>40000000</v>
      </c>
      <c r="BY665" s="132">
        <f t="shared" si="274"/>
        <v>0</v>
      </c>
      <c r="BZ665" s="132">
        <f t="shared" si="274"/>
        <v>0</v>
      </c>
      <c r="CA665" s="132">
        <f t="shared" si="274"/>
        <v>0</v>
      </c>
      <c r="CB665" s="132">
        <f t="shared" si="274"/>
        <v>0</v>
      </c>
      <c r="CC665" s="132">
        <f t="shared" si="274"/>
        <v>40000000</v>
      </c>
      <c r="CD665" s="132">
        <f t="shared" si="274"/>
        <v>0</v>
      </c>
      <c r="CE665" s="132">
        <f t="shared" si="274"/>
        <v>0</v>
      </c>
      <c r="CF665" s="132">
        <f t="shared" si="274"/>
        <v>0</v>
      </c>
      <c r="CG665" s="132">
        <f t="shared" si="274"/>
        <v>0</v>
      </c>
      <c r="CH665" s="132">
        <f t="shared" si="274"/>
        <v>0</v>
      </c>
      <c r="CI665" s="132">
        <f t="shared" si="274"/>
        <v>0</v>
      </c>
      <c r="CJ665" s="132">
        <f t="shared" si="274"/>
        <v>0</v>
      </c>
      <c r="CK665" s="132">
        <f t="shared" si="274"/>
        <v>0</v>
      </c>
      <c r="CL665" s="132">
        <f t="shared" si="274"/>
        <v>0</v>
      </c>
      <c r="CM665" s="132">
        <f t="shared" si="274"/>
        <v>0</v>
      </c>
      <c r="CN665" s="133">
        <f>IF(OR(AND(CN660=0,AG660&lt;&gt;0),AND(CN661=0,AG661&lt;&gt;0),AND(CN662=0,AG662&lt;&gt;0),AND(CN663=0,AG663&lt;&gt;0),AND(CN664=0,AG664&lt;&gt;0)),"NO DEBEN QUEDAR CELDAS EN ROJO",SUM(CN660:CN664))</f>
        <v>40000000</v>
      </c>
      <c r="CO665" s="132">
        <f t="shared" si="274"/>
        <v>0</v>
      </c>
      <c r="CP665" s="132">
        <f t="shared" si="274"/>
        <v>0</v>
      </c>
      <c r="CQ665" s="132">
        <f t="shared" si="274"/>
        <v>0</v>
      </c>
      <c r="CR665" s="132">
        <f t="shared" si="274"/>
        <v>0</v>
      </c>
      <c r="CS665" s="132">
        <f t="shared" si="274"/>
        <v>76125000</v>
      </c>
      <c r="CT665" s="132">
        <f t="shared" si="274"/>
        <v>0</v>
      </c>
      <c r="CU665" s="132">
        <f t="shared" si="274"/>
        <v>0</v>
      </c>
      <c r="CV665" s="132">
        <f t="shared" si="274"/>
        <v>0</v>
      </c>
      <c r="CW665" s="132">
        <f t="shared" si="274"/>
        <v>0</v>
      </c>
      <c r="CX665" s="132">
        <f t="shared" si="274"/>
        <v>0</v>
      </c>
      <c r="CY665" s="132">
        <f t="shared" si="274"/>
        <v>0</v>
      </c>
      <c r="CZ665" s="132">
        <f t="shared" si="274"/>
        <v>0</v>
      </c>
      <c r="DA665" s="132">
        <f t="shared" si="274"/>
        <v>0</v>
      </c>
      <c r="DB665" s="132">
        <f t="shared" si="274"/>
        <v>0</v>
      </c>
      <c r="DC665" s="132">
        <f t="shared" si="274"/>
        <v>0</v>
      </c>
      <c r="DD665" s="133">
        <f>IF(OR(AND(DD660=0,AL660&lt;&gt;0),AND(DD661=0,AL661&lt;&gt;0),AND(DD662=0,AL662&lt;&gt;0),AND(DD663=0,AL663&lt;&gt;0),AND(DD664=0,AL664&lt;&gt;0)),"NO DEBEN QUEDAR CELDAS EN ROJO",SUM(DD660:DD664))</f>
        <v>76125000</v>
      </c>
      <c r="DE665" s="133">
        <f t="shared" si="274"/>
        <v>171125000</v>
      </c>
    </row>
    <row r="666" spans="1:109" s="99" customFormat="1" ht="119.1" customHeight="1">
      <c r="A666" s="103" t="s">
        <v>1235</v>
      </c>
      <c r="B666" s="103" t="s">
        <v>1469</v>
      </c>
      <c r="C666" s="103" t="s">
        <v>1690</v>
      </c>
      <c r="D666" s="103">
        <v>55</v>
      </c>
      <c r="E666" s="103" t="s">
        <v>1645</v>
      </c>
      <c r="F666" s="278" t="s">
        <v>1646</v>
      </c>
      <c r="G666" s="103" t="s">
        <v>3011</v>
      </c>
      <c r="H666" s="103">
        <v>65</v>
      </c>
      <c r="I666" s="103" t="s">
        <v>257</v>
      </c>
      <c r="J666" s="103" t="s">
        <v>683</v>
      </c>
      <c r="K666" s="103">
        <v>0</v>
      </c>
      <c r="L666" s="103" t="s">
        <v>1647</v>
      </c>
      <c r="M666" s="103" t="s">
        <v>1648</v>
      </c>
      <c r="N666" s="103" t="s">
        <v>1649</v>
      </c>
      <c r="O666" s="103" t="s">
        <v>258</v>
      </c>
      <c r="P666" s="283">
        <v>596</v>
      </c>
      <c r="Q666" s="103" t="s">
        <v>3012</v>
      </c>
      <c r="R666" s="103" t="s">
        <v>259</v>
      </c>
      <c r="S666" s="103" t="s">
        <v>683</v>
      </c>
      <c r="T666" s="103" t="s">
        <v>1616</v>
      </c>
      <c r="U666" s="267"/>
      <c r="V666" s="267">
        <v>3</v>
      </c>
      <c r="W666" s="224">
        <v>3</v>
      </c>
      <c r="X666" s="267">
        <v>2</v>
      </c>
      <c r="Y666" s="267">
        <v>5</v>
      </c>
      <c r="Z666" s="267"/>
      <c r="AA666" s="267"/>
      <c r="AB666" s="224">
        <v>7</v>
      </c>
      <c r="AC666" s="267"/>
      <c r="AD666" s="267"/>
      <c r="AE666" s="267"/>
      <c r="AF666" s="267"/>
      <c r="AG666" s="224">
        <v>0</v>
      </c>
      <c r="AH666" s="267"/>
      <c r="AI666" s="267"/>
      <c r="AJ666" s="267"/>
      <c r="AK666" s="267"/>
      <c r="AL666" s="224">
        <v>0</v>
      </c>
      <c r="AM666" s="102">
        <v>10</v>
      </c>
      <c r="AN666" s="103" t="s">
        <v>685</v>
      </c>
      <c r="AO666" s="103" t="s">
        <v>621</v>
      </c>
      <c r="AP666" s="103" t="s">
        <v>1225</v>
      </c>
      <c r="AQ666" s="103" t="s">
        <v>1197</v>
      </c>
      <c r="AR666" s="103" t="s">
        <v>936</v>
      </c>
      <c r="AS666" s="268"/>
      <c r="AT666" s="268"/>
      <c r="AU666" s="268"/>
      <c r="AV666" s="268"/>
      <c r="AW666" s="268">
        <v>15000000</v>
      </c>
      <c r="AX666" s="268"/>
      <c r="AY666" s="268"/>
      <c r="AZ666" s="268"/>
      <c r="BA666" s="268"/>
      <c r="BB666" s="268"/>
      <c r="BC666" s="268"/>
      <c r="BD666" s="268"/>
      <c r="BE666" s="268"/>
      <c r="BF666" s="268"/>
      <c r="BG666" s="268"/>
      <c r="BH666" s="234">
        <f>IF(W666=0,0,BG666+BF666+BE666+BD666+BC666+BB666+BA666+AZ666+AY666+AX666+AW666+AV666+AU666+AT666+AS666)</f>
        <v>15000000</v>
      </c>
      <c r="BI666" s="268"/>
      <c r="BJ666" s="268"/>
      <c r="BK666" s="268"/>
      <c r="BL666" s="268"/>
      <c r="BM666" s="268">
        <v>20000000</v>
      </c>
      <c r="BN666" s="268"/>
      <c r="BO666" s="268"/>
      <c r="BP666" s="268"/>
      <c r="BQ666" s="268"/>
      <c r="BR666" s="268"/>
      <c r="BS666" s="268"/>
      <c r="BT666" s="268"/>
      <c r="BU666" s="268"/>
      <c r="BV666" s="268"/>
      <c r="BW666" s="268"/>
      <c r="BX666" s="234">
        <f>IF(AB666=0,0,BI666+BJ666+BK666+BL666+BM666+BN666+BO666+BP666+BQ666+BR666+BS666+BT666+BU666+BV666+BW666)</f>
        <v>20000000</v>
      </c>
      <c r="BY666" s="268"/>
      <c r="BZ666" s="268"/>
      <c r="CA666" s="268"/>
      <c r="CB666" s="268"/>
      <c r="CC666" s="268"/>
      <c r="CD666" s="268"/>
      <c r="CE666" s="268"/>
      <c r="CF666" s="268"/>
      <c r="CG666" s="268"/>
      <c r="CH666" s="268"/>
      <c r="CI666" s="268"/>
      <c r="CJ666" s="268"/>
      <c r="CK666" s="268"/>
      <c r="CL666" s="268"/>
      <c r="CM666" s="268"/>
      <c r="CN666" s="234">
        <f>IF(AG666=0,0,(BY666+BZ666+CA666+CB666+CC666+CD666+CE666+CF666+CG666+CH666+CI666+CJ666+CK666+CL666+CM666))</f>
        <v>0</v>
      </c>
      <c r="CO666" s="268"/>
      <c r="CP666" s="268"/>
      <c r="CQ666" s="268"/>
      <c r="CR666" s="268"/>
      <c r="CS666" s="268"/>
      <c r="CT666" s="268"/>
      <c r="CU666" s="268"/>
      <c r="CV666" s="268"/>
      <c r="CW666" s="268"/>
      <c r="CX666" s="268"/>
      <c r="CY666" s="268"/>
      <c r="CZ666" s="268"/>
      <c r="DA666" s="268"/>
      <c r="DB666" s="268"/>
      <c r="DC666" s="268"/>
      <c r="DD666" s="234">
        <f>IF(AL666=0,0,(CO666+CP666+CQ666+CR666+CS666+CT666+CU666+CV666+CW666+CX666+CY666+CZ666+DA666+DB666+DC666))</f>
        <v>0</v>
      </c>
      <c r="DE666" s="243">
        <f t="shared" ref="DE666:DE668" si="275">SUM(DD666+CN666+BX666+BH666)</f>
        <v>35000000</v>
      </c>
    </row>
    <row r="667" spans="1:109" s="99" customFormat="1" ht="119.1" customHeight="1">
      <c r="A667" s="103" t="s">
        <v>1235</v>
      </c>
      <c r="B667" s="279" t="s">
        <v>1469</v>
      </c>
      <c r="C667" s="279" t="s">
        <v>1690</v>
      </c>
      <c r="D667" s="279">
        <v>55</v>
      </c>
      <c r="E667" s="279" t="s">
        <v>1645</v>
      </c>
      <c r="F667" s="280" t="s">
        <v>1646</v>
      </c>
      <c r="G667" s="279" t="s">
        <v>3011</v>
      </c>
      <c r="H667" s="279">
        <v>65</v>
      </c>
      <c r="I667" s="279" t="s">
        <v>257</v>
      </c>
      <c r="J667" s="279" t="s">
        <v>683</v>
      </c>
      <c r="K667" s="279">
        <v>0</v>
      </c>
      <c r="L667" s="279" t="s">
        <v>1647</v>
      </c>
      <c r="M667" s="279" t="s">
        <v>1650</v>
      </c>
      <c r="N667" s="279" t="s">
        <v>3735</v>
      </c>
      <c r="O667" s="279" t="s">
        <v>1651</v>
      </c>
      <c r="P667" s="283">
        <v>597</v>
      </c>
      <c r="Q667" s="279" t="s">
        <v>3013</v>
      </c>
      <c r="R667" s="279" t="s">
        <v>261</v>
      </c>
      <c r="S667" s="279" t="s">
        <v>683</v>
      </c>
      <c r="T667" s="279" t="s">
        <v>1616</v>
      </c>
      <c r="U667" s="267"/>
      <c r="V667" s="267"/>
      <c r="W667" s="224">
        <v>0</v>
      </c>
      <c r="X667" s="267"/>
      <c r="Y667" s="267"/>
      <c r="Z667" s="267">
        <v>3</v>
      </c>
      <c r="AA667" s="267">
        <v>3</v>
      </c>
      <c r="AB667" s="224">
        <v>6</v>
      </c>
      <c r="AC667" s="267">
        <v>3</v>
      </c>
      <c r="AD667" s="267">
        <v>3</v>
      </c>
      <c r="AE667" s="267">
        <v>3</v>
      </c>
      <c r="AF667" s="267">
        <v>3</v>
      </c>
      <c r="AG667" s="224">
        <v>12</v>
      </c>
      <c r="AH667" s="267">
        <v>1</v>
      </c>
      <c r="AI667" s="267"/>
      <c r="AJ667" s="267">
        <v>1</v>
      </c>
      <c r="AK667" s="267"/>
      <c r="AL667" s="224">
        <v>2</v>
      </c>
      <c r="AM667" s="104">
        <v>20</v>
      </c>
      <c r="AN667" s="103" t="s">
        <v>685</v>
      </c>
      <c r="AO667" s="103" t="s">
        <v>621</v>
      </c>
      <c r="AP667" s="103" t="s">
        <v>1225</v>
      </c>
      <c r="AQ667" s="103" t="s">
        <v>1197</v>
      </c>
      <c r="AR667" s="103" t="s">
        <v>936</v>
      </c>
      <c r="AS667" s="271"/>
      <c r="AT667" s="271"/>
      <c r="AU667" s="271"/>
      <c r="AV667" s="271"/>
      <c r="AW667" s="271"/>
      <c r="AX667" s="271"/>
      <c r="AY667" s="271"/>
      <c r="AZ667" s="271"/>
      <c r="BA667" s="271"/>
      <c r="BB667" s="271"/>
      <c r="BC667" s="271"/>
      <c r="BD667" s="271"/>
      <c r="BE667" s="271"/>
      <c r="BF667" s="271"/>
      <c r="BG667" s="271"/>
      <c r="BH667" s="235">
        <f>IF(W667=0,0,BG667+BF667+BE667+BD667+BC667+BB667+BA667+AZ667+AY667+AX667+AW667+AV667+AU667+AT667+AS667)</f>
        <v>0</v>
      </c>
      <c r="BI667" s="271"/>
      <c r="BJ667" s="271"/>
      <c r="BK667" s="271"/>
      <c r="BL667" s="271"/>
      <c r="BM667" s="271">
        <v>50000000</v>
      </c>
      <c r="BN667" s="271"/>
      <c r="BO667" s="271"/>
      <c r="BP667" s="271"/>
      <c r="BQ667" s="271"/>
      <c r="BR667" s="271"/>
      <c r="BS667" s="271"/>
      <c r="BT667" s="271"/>
      <c r="BU667" s="271"/>
      <c r="BV667" s="271"/>
      <c r="BW667" s="271"/>
      <c r="BX667" s="235">
        <f>IF(AB667=0,0,BI667+BJ667+BK667+BL667+BM667+BN667+BO667+BP667+BQ667+BR667+BS667+BT667+BU667+BV667+BW667)</f>
        <v>50000000</v>
      </c>
      <c r="BY667" s="271"/>
      <c r="BZ667" s="271"/>
      <c r="CA667" s="271"/>
      <c r="CB667" s="271"/>
      <c r="CC667" s="271">
        <v>50000000</v>
      </c>
      <c r="CD667" s="271"/>
      <c r="CE667" s="271"/>
      <c r="CF667" s="271"/>
      <c r="CG667" s="271"/>
      <c r="CH667" s="271"/>
      <c r="CI667" s="271"/>
      <c r="CJ667" s="271"/>
      <c r="CK667" s="271"/>
      <c r="CL667" s="271"/>
      <c r="CM667" s="271"/>
      <c r="CN667" s="235">
        <f>IF(AG667=0,0,(BY667+BZ667+CA667+CB667+CC667+CD667+CE667+CF667+CG667+CH667+CI667+CJ667+CK667+CL667+CM667))</f>
        <v>50000000</v>
      </c>
      <c r="CO667" s="271"/>
      <c r="CP667" s="271"/>
      <c r="CQ667" s="271"/>
      <c r="CR667" s="271"/>
      <c r="CS667" s="271">
        <v>20000000</v>
      </c>
      <c r="CT667" s="271"/>
      <c r="CU667" s="271"/>
      <c r="CV667" s="271"/>
      <c r="CW667" s="271"/>
      <c r="CX667" s="271"/>
      <c r="CY667" s="271"/>
      <c r="CZ667" s="271"/>
      <c r="DA667" s="271"/>
      <c r="DB667" s="271"/>
      <c r="DC667" s="271"/>
      <c r="DD667" s="234">
        <f>IF(AL667=0,0,(CO667+CP667+CQ667+CR667+CS667+CT667+CU667+CV667+CW667+CX667+CY667+CZ667+DA667+DB667+DC667))</f>
        <v>20000000</v>
      </c>
      <c r="DE667" s="244">
        <f t="shared" si="275"/>
        <v>120000000</v>
      </c>
    </row>
    <row r="668" spans="1:109" s="99" customFormat="1" ht="119.1" customHeight="1">
      <c r="A668" s="120" t="s">
        <v>1235</v>
      </c>
      <c r="B668" s="281" t="s">
        <v>1469</v>
      </c>
      <c r="C668" s="281" t="s">
        <v>1690</v>
      </c>
      <c r="D668" s="281">
        <v>55</v>
      </c>
      <c r="E668" s="281" t="s">
        <v>1645</v>
      </c>
      <c r="F668" s="282" t="s">
        <v>1646</v>
      </c>
      <c r="G668" s="281" t="s">
        <v>3011</v>
      </c>
      <c r="H668" s="281">
        <v>65</v>
      </c>
      <c r="I668" s="281" t="s">
        <v>257</v>
      </c>
      <c r="J668" s="281" t="s">
        <v>683</v>
      </c>
      <c r="K668" s="281">
        <v>0</v>
      </c>
      <c r="L668" s="281" t="s">
        <v>1647</v>
      </c>
      <c r="M668" s="281" t="s">
        <v>1652</v>
      </c>
      <c r="N668" s="281" t="s">
        <v>1653</v>
      </c>
      <c r="O668" s="281" t="s">
        <v>1654</v>
      </c>
      <c r="P668" s="284">
        <v>598</v>
      </c>
      <c r="Q668" s="281" t="s">
        <v>3014</v>
      </c>
      <c r="R668" s="281" t="s">
        <v>1655</v>
      </c>
      <c r="S668" s="281" t="s">
        <v>683</v>
      </c>
      <c r="T668" s="281" t="s">
        <v>1616</v>
      </c>
      <c r="U668" s="275"/>
      <c r="V668" s="275"/>
      <c r="W668" s="225">
        <v>0</v>
      </c>
      <c r="X668" s="275"/>
      <c r="Y668" s="275"/>
      <c r="Z668" s="275"/>
      <c r="AA668" s="275"/>
      <c r="AB668" s="225">
        <v>0</v>
      </c>
      <c r="AC668" s="275"/>
      <c r="AD668" s="275"/>
      <c r="AE668" s="275">
        <v>0.5</v>
      </c>
      <c r="AF668" s="275">
        <v>0.5</v>
      </c>
      <c r="AG668" s="225">
        <v>1</v>
      </c>
      <c r="AH668" s="275">
        <v>0.5</v>
      </c>
      <c r="AI668" s="275">
        <v>0.5</v>
      </c>
      <c r="AJ668" s="275"/>
      <c r="AK668" s="275"/>
      <c r="AL668" s="225">
        <v>1</v>
      </c>
      <c r="AM668" s="119">
        <v>2</v>
      </c>
      <c r="AN668" s="120" t="s">
        <v>685</v>
      </c>
      <c r="AO668" s="120" t="s">
        <v>621</v>
      </c>
      <c r="AP668" s="120" t="s">
        <v>1225</v>
      </c>
      <c r="AQ668" s="120" t="s">
        <v>1197</v>
      </c>
      <c r="AR668" s="120" t="s">
        <v>936</v>
      </c>
      <c r="AS668" s="276"/>
      <c r="AT668" s="276"/>
      <c r="AU668" s="276"/>
      <c r="AV668" s="276"/>
      <c r="AW668" s="276"/>
      <c r="AX668" s="276"/>
      <c r="AY668" s="276"/>
      <c r="AZ668" s="276"/>
      <c r="BA668" s="276"/>
      <c r="BB668" s="276"/>
      <c r="BC668" s="276"/>
      <c r="BD668" s="276"/>
      <c r="BE668" s="276"/>
      <c r="BF668" s="276"/>
      <c r="BG668" s="276"/>
      <c r="BH668" s="236">
        <f>IF(W668=0,0,BG668+BF668+BE668+BD668+BC668+BB668+BA668+AZ668+AY668+AX668+AW668+AV668+AU668+AT668+AS668)</f>
        <v>0</v>
      </c>
      <c r="BI668" s="276"/>
      <c r="BJ668" s="276"/>
      <c r="BK668" s="276"/>
      <c r="BL668" s="276"/>
      <c r="BM668" s="276"/>
      <c r="BN668" s="276"/>
      <c r="BO668" s="276"/>
      <c r="BP668" s="276"/>
      <c r="BQ668" s="276"/>
      <c r="BR668" s="276"/>
      <c r="BS668" s="276"/>
      <c r="BT668" s="276"/>
      <c r="BU668" s="276"/>
      <c r="BV668" s="276"/>
      <c r="BW668" s="276"/>
      <c r="BX668" s="236">
        <f>IF(AB668=0,0,BI668+BJ668+BK668+BL668+BM668+BN668+BO668+BP668+BQ668+BR668+BS668+BT668+BU668+BV668+BW668)</f>
        <v>0</v>
      </c>
      <c r="BY668" s="276"/>
      <c r="BZ668" s="276"/>
      <c r="CA668" s="276"/>
      <c r="CB668" s="276"/>
      <c r="CC668" s="276">
        <v>50000000</v>
      </c>
      <c r="CD668" s="276"/>
      <c r="CE668" s="276"/>
      <c r="CF668" s="276"/>
      <c r="CG668" s="276"/>
      <c r="CH668" s="276"/>
      <c r="CI668" s="276"/>
      <c r="CJ668" s="276"/>
      <c r="CK668" s="276"/>
      <c r="CL668" s="276"/>
      <c r="CM668" s="276"/>
      <c r="CN668" s="236">
        <f>IF(AG668=0,0,(BY668+BZ668+CA668+CB668+CC668+CD668+CE668+CF668+CG668+CH668+CI668+CJ668+CK668+CL668+CM668))</f>
        <v>50000000</v>
      </c>
      <c r="CO668" s="276"/>
      <c r="CP668" s="276"/>
      <c r="CQ668" s="276"/>
      <c r="CR668" s="276"/>
      <c r="CS668" s="276">
        <v>50000000</v>
      </c>
      <c r="CT668" s="276"/>
      <c r="CU668" s="276"/>
      <c r="CV668" s="276"/>
      <c r="CW668" s="276"/>
      <c r="CX668" s="276"/>
      <c r="CY668" s="276"/>
      <c r="CZ668" s="276"/>
      <c r="DA668" s="276"/>
      <c r="DB668" s="276"/>
      <c r="DC668" s="276"/>
      <c r="DD668" s="240">
        <f>IF(AL668=0,0,(CO668+CP668+CQ668+CR668+CS668+CT668+CU668+CV668+CW668+CX668+CY668+CZ668+DA668+DB668+DC668))</f>
        <v>50000000</v>
      </c>
      <c r="DE668" s="245">
        <f t="shared" si="275"/>
        <v>100000000</v>
      </c>
    </row>
    <row r="669" spans="1:109" s="46" customFormat="1" ht="65.099999999999994" customHeight="1">
      <c r="A669" s="134" t="s">
        <v>1235</v>
      </c>
      <c r="B669" s="134" t="s">
        <v>1469</v>
      </c>
      <c r="C669" s="134" t="s">
        <v>1690</v>
      </c>
      <c r="D669" s="134">
        <v>55</v>
      </c>
      <c r="E669" s="134" t="s">
        <v>1645</v>
      </c>
      <c r="F669" s="135"/>
      <c r="G669" s="136"/>
      <c r="H669" s="137"/>
      <c r="I669" s="137"/>
      <c r="J669" s="137"/>
      <c r="K669" s="138"/>
      <c r="L669" s="137"/>
      <c r="M669" s="137"/>
      <c r="N669" s="137"/>
      <c r="O669" s="137"/>
      <c r="P669" s="137"/>
      <c r="Q669" s="136"/>
      <c r="R669" s="139"/>
      <c r="S669" s="137"/>
      <c r="T669" s="137"/>
      <c r="U669" s="140"/>
      <c r="V669" s="140"/>
      <c r="W669" s="138"/>
      <c r="X669" s="140"/>
      <c r="Y669" s="140"/>
      <c r="Z669" s="140"/>
      <c r="AA669" s="140"/>
      <c r="AB669" s="138"/>
      <c r="AC669" s="140"/>
      <c r="AD669" s="140"/>
      <c r="AE669" s="140"/>
      <c r="AF669" s="140"/>
      <c r="AG669" s="138"/>
      <c r="AH669" s="140"/>
      <c r="AI669" s="140"/>
      <c r="AJ669" s="140"/>
      <c r="AK669" s="140"/>
      <c r="AL669" s="138"/>
      <c r="AM669" s="141"/>
      <c r="AN669" s="142"/>
      <c r="AO669" s="142"/>
      <c r="AP669" s="143"/>
      <c r="AQ669" s="143"/>
      <c r="AR669" s="144"/>
      <c r="AS669" s="132">
        <f>SUM(AS666:AS668)</f>
        <v>0</v>
      </c>
      <c r="AT669" s="132">
        <f t="shared" ref="AT669:DE669" si="276">SUM(AT666:AT668)</f>
        <v>0</v>
      </c>
      <c r="AU669" s="132">
        <f t="shared" si="276"/>
        <v>0</v>
      </c>
      <c r="AV669" s="132">
        <f t="shared" si="276"/>
        <v>0</v>
      </c>
      <c r="AW669" s="132">
        <f t="shared" si="276"/>
        <v>15000000</v>
      </c>
      <c r="AX669" s="132">
        <f t="shared" si="276"/>
        <v>0</v>
      </c>
      <c r="AY669" s="132">
        <f t="shared" si="276"/>
        <v>0</v>
      </c>
      <c r="AZ669" s="132">
        <f t="shared" si="276"/>
        <v>0</v>
      </c>
      <c r="BA669" s="132">
        <f t="shared" si="276"/>
        <v>0</v>
      </c>
      <c r="BB669" s="132">
        <f t="shared" si="276"/>
        <v>0</v>
      </c>
      <c r="BC669" s="132">
        <f t="shared" si="276"/>
        <v>0</v>
      </c>
      <c r="BD669" s="132">
        <f t="shared" si="276"/>
        <v>0</v>
      </c>
      <c r="BE669" s="132">
        <f t="shared" si="276"/>
        <v>0</v>
      </c>
      <c r="BF669" s="132">
        <f t="shared" si="276"/>
        <v>0</v>
      </c>
      <c r="BG669" s="132">
        <f t="shared" si="276"/>
        <v>0</v>
      </c>
      <c r="BH669" s="133">
        <f>IF(OR(AND(BH666=0,W666&lt;&gt;0),AND(BH667=0,W667&lt;&gt;0),AND(BH668=0,W668&lt;&gt;0)),"NO DEBEN QUEDAR CELDAS EN ROJO",SUM(BH666:BH668))</f>
        <v>15000000</v>
      </c>
      <c r="BI669" s="132">
        <f t="shared" si="276"/>
        <v>0</v>
      </c>
      <c r="BJ669" s="132">
        <f t="shared" si="276"/>
        <v>0</v>
      </c>
      <c r="BK669" s="132">
        <f t="shared" si="276"/>
        <v>0</v>
      </c>
      <c r="BL669" s="132">
        <f t="shared" si="276"/>
        <v>0</v>
      </c>
      <c r="BM669" s="132">
        <f t="shared" si="276"/>
        <v>70000000</v>
      </c>
      <c r="BN669" s="132">
        <f t="shared" si="276"/>
        <v>0</v>
      </c>
      <c r="BO669" s="132">
        <f t="shared" si="276"/>
        <v>0</v>
      </c>
      <c r="BP669" s="132">
        <f t="shared" si="276"/>
        <v>0</v>
      </c>
      <c r="BQ669" s="132">
        <f t="shared" si="276"/>
        <v>0</v>
      </c>
      <c r="BR669" s="132">
        <f t="shared" si="276"/>
        <v>0</v>
      </c>
      <c r="BS669" s="132">
        <f t="shared" si="276"/>
        <v>0</v>
      </c>
      <c r="BT669" s="132">
        <f t="shared" si="276"/>
        <v>0</v>
      </c>
      <c r="BU669" s="132">
        <f t="shared" si="276"/>
        <v>0</v>
      </c>
      <c r="BV669" s="132">
        <f t="shared" si="276"/>
        <v>0</v>
      </c>
      <c r="BW669" s="132">
        <f t="shared" si="276"/>
        <v>0</v>
      </c>
      <c r="BX669" s="133">
        <f>IF(OR(AND(BX666=0,AB666&lt;&gt;0),AND(BX667=0,AB667&lt;&gt;0),AND(BX668=0,AB668&lt;&gt;0)),"NO DEBEN QUEDAR CELDAS EN ROJO",SUM(BX666:BX668))</f>
        <v>70000000</v>
      </c>
      <c r="BY669" s="132">
        <f t="shared" si="276"/>
        <v>0</v>
      </c>
      <c r="BZ669" s="132">
        <f t="shared" si="276"/>
        <v>0</v>
      </c>
      <c r="CA669" s="132">
        <f t="shared" si="276"/>
        <v>0</v>
      </c>
      <c r="CB669" s="132">
        <f t="shared" si="276"/>
        <v>0</v>
      </c>
      <c r="CC669" s="132">
        <f t="shared" si="276"/>
        <v>100000000</v>
      </c>
      <c r="CD669" s="132">
        <f t="shared" si="276"/>
        <v>0</v>
      </c>
      <c r="CE669" s="132">
        <f t="shared" si="276"/>
        <v>0</v>
      </c>
      <c r="CF669" s="132">
        <f t="shared" si="276"/>
        <v>0</v>
      </c>
      <c r="CG669" s="132">
        <f t="shared" si="276"/>
        <v>0</v>
      </c>
      <c r="CH669" s="132">
        <f t="shared" si="276"/>
        <v>0</v>
      </c>
      <c r="CI669" s="132">
        <f t="shared" si="276"/>
        <v>0</v>
      </c>
      <c r="CJ669" s="132">
        <f t="shared" si="276"/>
        <v>0</v>
      </c>
      <c r="CK669" s="132">
        <f t="shared" si="276"/>
        <v>0</v>
      </c>
      <c r="CL669" s="132">
        <f t="shared" si="276"/>
        <v>0</v>
      </c>
      <c r="CM669" s="132">
        <f t="shared" si="276"/>
        <v>0</v>
      </c>
      <c r="CN669" s="133">
        <f>IF(OR(AND(CN666=0,AG666&lt;&gt;0),AND(CN667=0,AG667&lt;&gt;0),AND(CN668=0,AG668&lt;&gt;0)),"NO DEBEN QUEDAR CELDAS EN ROJO",SUM(CN666:CN668))</f>
        <v>100000000</v>
      </c>
      <c r="CO669" s="132">
        <f t="shared" si="276"/>
        <v>0</v>
      </c>
      <c r="CP669" s="132">
        <f t="shared" si="276"/>
        <v>0</v>
      </c>
      <c r="CQ669" s="132">
        <f t="shared" si="276"/>
        <v>0</v>
      </c>
      <c r="CR669" s="132">
        <f t="shared" si="276"/>
        <v>0</v>
      </c>
      <c r="CS669" s="132">
        <f t="shared" si="276"/>
        <v>70000000</v>
      </c>
      <c r="CT669" s="132">
        <f t="shared" si="276"/>
        <v>0</v>
      </c>
      <c r="CU669" s="132">
        <f t="shared" si="276"/>
        <v>0</v>
      </c>
      <c r="CV669" s="132">
        <f t="shared" si="276"/>
        <v>0</v>
      </c>
      <c r="CW669" s="132">
        <f t="shared" si="276"/>
        <v>0</v>
      </c>
      <c r="CX669" s="132">
        <f t="shared" si="276"/>
        <v>0</v>
      </c>
      <c r="CY669" s="132">
        <f t="shared" si="276"/>
        <v>0</v>
      </c>
      <c r="CZ669" s="132">
        <f t="shared" si="276"/>
        <v>0</v>
      </c>
      <c r="DA669" s="132">
        <f t="shared" si="276"/>
        <v>0</v>
      </c>
      <c r="DB669" s="132">
        <f t="shared" si="276"/>
        <v>0</v>
      </c>
      <c r="DC669" s="132">
        <f t="shared" si="276"/>
        <v>0</v>
      </c>
      <c r="DD669" s="133">
        <f>IF(OR(AND(DD666=0,AL666&lt;&gt;0),AND(DD667=0,AL667&lt;&gt;0),AND(DD668=0,AL668&lt;&gt;0)),"NO DEBEN QUEDAR CELDAS EN ROJO",SUM(DD666:DD668))</f>
        <v>70000000</v>
      </c>
      <c r="DE669" s="133">
        <f t="shared" si="276"/>
        <v>255000000</v>
      </c>
    </row>
    <row r="670" spans="1:109" s="99" customFormat="1" ht="101.1" customHeight="1">
      <c r="A670" s="103" t="s">
        <v>1235</v>
      </c>
      <c r="B670" s="103" t="s">
        <v>1469</v>
      </c>
      <c r="C670" s="103" t="s">
        <v>1690</v>
      </c>
      <c r="D670" s="103">
        <v>56</v>
      </c>
      <c r="E670" s="103" t="s">
        <v>1656</v>
      </c>
      <c r="F670" s="278" t="s">
        <v>1657</v>
      </c>
      <c r="G670" s="103" t="s">
        <v>3015</v>
      </c>
      <c r="H670" s="103">
        <v>66</v>
      </c>
      <c r="I670" s="103" t="s">
        <v>265</v>
      </c>
      <c r="J670" s="103" t="s">
        <v>683</v>
      </c>
      <c r="K670" s="103">
        <v>3</v>
      </c>
      <c r="L670" s="103" t="s">
        <v>1658</v>
      </c>
      <c r="M670" s="103" t="s">
        <v>1659</v>
      </c>
      <c r="N670" s="103" t="s">
        <v>1660</v>
      </c>
      <c r="O670" s="103" t="s">
        <v>266</v>
      </c>
      <c r="P670" s="283">
        <v>599</v>
      </c>
      <c r="Q670" s="103" t="s">
        <v>3495</v>
      </c>
      <c r="R670" s="103" t="s">
        <v>1661</v>
      </c>
      <c r="S670" s="103" t="s">
        <v>683</v>
      </c>
      <c r="T670" s="103">
        <v>3</v>
      </c>
      <c r="U670" s="267">
        <v>2</v>
      </c>
      <c r="V670" s="267">
        <v>1</v>
      </c>
      <c r="W670" s="224">
        <v>3</v>
      </c>
      <c r="X670" s="267"/>
      <c r="Y670" s="267">
        <v>1</v>
      </c>
      <c r="Z670" s="267">
        <v>1</v>
      </c>
      <c r="AA670" s="267">
        <v>1</v>
      </c>
      <c r="AB670" s="224">
        <v>3</v>
      </c>
      <c r="AC670" s="267"/>
      <c r="AD670" s="267">
        <v>1</v>
      </c>
      <c r="AE670" s="267">
        <v>1</v>
      </c>
      <c r="AF670" s="267">
        <v>1</v>
      </c>
      <c r="AG670" s="224">
        <v>3</v>
      </c>
      <c r="AH670" s="267">
        <v>1</v>
      </c>
      <c r="AI670" s="267">
        <v>1</v>
      </c>
      <c r="AJ670" s="267">
        <v>1</v>
      </c>
      <c r="AK670" s="267"/>
      <c r="AL670" s="224">
        <v>3</v>
      </c>
      <c r="AM670" s="102">
        <v>3</v>
      </c>
      <c r="AN670" s="103" t="s">
        <v>686</v>
      </c>
      <c r="AO670" s="103" t="s">
        <v>621</v>
      </c>
      <c r="AP670" s="103" t="s">
        <v>1225</v>
      </c>
      <c r="AQ670" s="103" t="s">
        <v>1199</v>
      </c>
      <c r="AR670" s="103" t="s">
        <v>951</v>
      </c>
      <c r="AS670" s="268"/>
      <c r="AT670" s="268"/>
      <c r="AU670" s="268"/>
      <c r="AV670" s="268"/>
      <c r="AW670" s="268">
        <v>5000000</v>
      </c>
      <c r="AX670" s="268"/>
      <c r="AY670" s="268"/>
      <c r="AZ670" s="268"/>
      <c r="BA670" s="268"/>
      <c r="BB670" s="268"/>
      <c r="BC670" s="268"/>
      <c r="BD670" s="268"/>
      <c r="BE670" s="268"/>
      <c r="BF670" s="268"/>
      <c r="BG670" s="268"/>
      <c r="BH670" s="234">
        <f>IF(W670=0,0,BG670+BF670+BE670+BD670+BC670+BB670+BA670+AZ670+AY670+AX670+AW670+AV670+AU670+AT670+AS670)</f>
        <v>5000000</v>
      </c>
      <c r="BI670" s="268"/>
      <c r="BJ670" s="268"/>
      <c r="BK670" s="268"/>
      <c r="BL670" s="268"/>
      <c r="BM670" s="268">
        <v>30000000</v>
      </c>
      <c r="BN670" s="268"/>
      <c r="BO670" s="268"/>
      <c r="BP670" s="268"/>
      <c r="BQ670" s="268"/>
      <c r="BR670" s="268"/>
      <c r="BS670" s="268"/>
      <c r="BT670" s="268"/>
      <c r="BU670" s="268"/>
      <c r="BV670" s="268"/>
      <c r="BW670" s="268"/>
      <c r="BX670" s="234">
        <f>IF(AB670=0,0,BI670+BJ670+BK670+BL670+BM670+BN670+BO670+BP670+BQ670+BR670+BS670+BT670+BU670+BV670+BW670)</f>
        <v>30000000</v>
      </c>
      <c r="BY670" s="268"/>
      <c r="BZ670" s="268"/>
      <c r="CA670" s="268"/>
      <c r="CB670" s="268"/>
      <c r="CC670" s="268">
        <v>20000000</v>
      </c>
      <c r="CD670" s="268"/>
      <c r="CE670" s="268"/>
      <c r="CF670" s="268"/>
      <c r="CG670" s="268"/>
      <c r="CH670" s="268"/>
      <c r="CI670" s="268"/>
      <c r="CJ670" s="268"/>
      <c r="CK670" s="268"/>
      <c r="CL670" s="268"/>
      <c r="CM670" s="268"/>
      <c r="CN670" s="234">
        <f>IF(AG670=0,0,(BY670+BZ670+CA670+CB670+CC670+CD670+CE670+CF670+CG670+CH670+CI670+CJ670+CK670+CL670+CM670))</f>
        <v>20000000</v>
      </c>
      <c r="CO670" s="268"/>
      <c r="CP670" s="268"/>
      <c r="CQ670" s="268"/>
      <c r="CR670" s="268"/>
      <c r="CS670" s="268">
        <v>30000000</v>
      </c>
      <c r="CT670" s="268"/>
      <c r="CU670" s="268"/>
      <c r="CV670" s="268"/>
      <c r="CW670" s="268"/>
      <c r="CX670" s="268"/>
      <c r="CY670" s="268"/>
      <c r="CZ670" s="268"/>
      <c r="DA670" s="268"/>
      <c r="DB670" s="268"/>
      <c r="DC670" s="268"/>
      <c r="DD670" s="234">
        <f>IF(AL670=0,0,(CO670+CP670+CQ670+CR670+CS670+CT670+CU670+CV670+CW670+CX670+CY670+CZ670+DA670+DB670+DC670))</f>
        <v>30000000</v>
      </c>
      <c r="DE670" s="243">
        <f t="shared" ref="DE670:DE672" si="277">SUM(DD670+CN670+BX670+BH670)</f>
        <v>85000000</v>
      </c>
    </row>
    <row r="671" spans="1:109" s="99" customFormat="1" ht="101.1" customHeight="1">
      <c r="A671" s="103" t="s">
        <v>1235</v>
      </c>
      <c r="B671" s="279" t="s">
        <v>1469</v>
      </c>
      <c r="C671" s="279" t="s">
        <v>1690</v>
      </c>
      <c r="D671" s="279">
        <v>56</v>
      </c>
      <c r="E671" s="279" t="s">
        <v>1656</v>
      </c>
      <c r="F671" s="280" t="s">
        <v>1657</v>
      </c>
      <c r="G671" s="279" t="s">
        <v>3015</v>
      </c>
      <c r="H671" s="279">
        <v>66</v>
      </c>
      <c r="I671" s="279" t="s">
        <v>265</v>
      </c>
      <c r="J671" s="279" t="s">
        <v>683</v>
      </c>
      <c r="K671" s="279">
        <v>3</v>
      </c>
      <c r="L671" s="279" t="s">
        <v>1658</v>
      </c>
      <c r="M671" s="279" t="s">
        <v>1659</v>
      </c>
      <c r="N671" s="279" t="s">
        <v>1660</v>
      </c>
      <c r="O671" s="279" t="s">
        <v>266</v>
      </c>
      <c r="P671" s="283">
        <v>600</v>
      </c>
      <c r="Q671" s="279" t="s">
        <v>3016</v>
      </c>
      <c r="R671" s="279" t="s">
        <v>1661</v>
      </c>
      <c r="S671" s="279" t="s">
        <v>683</v>
      </c>
      <c r="T671" s="279">
        <v>3</v>
      </c>
      <c r="U671" s="267">
        <v>2</v>
      </c>
      <c r="V671" s="267">
        <v>1</v>
      </c>
      <c r="W671" s="224">
        <v>3</v>
      </c>
      <c r="X671" s="267">
        <v>1</v>
      </c>
      <c r="Y671" s="267">
        <v>1</v>
      </c>
      <c r="Z671" s="267"/>
      <c r="AA671" s="267"/>
      <c r="AB671" s="224">
        <v>2</v>
      </c>
      <c r="AC671" s="267"/>
      <c r="AD671" s="267">
        <v>1</v>
      </c>
      <c r="AE671" s="267"/>
      <c r="AF671" s="267"/>
      <c r="AG671" s="224">
        <v>1</v>
      </c>
      <c r="AH671" s="267"/>
      <c r="AI671" s="267">
        <v>1</v>
      </c>
      <c r="AJ671" s="267"/>
      <c r="AK671" s="267"/>
      <c r="AL671" s="224">
        <v>1</v>
      </c>
      <c r="AM671" s="104">
        <v>7</v>
      </c>
      <c r="AN671" s="103" t="s">
        <v>685</v>
      </c>
      <c r="AO671" s="103" t="s">
        <v>621</v>
      </c>
      <c r="AP671" s="103" t="s">
        <v>1225</v>
      </c>
      <c r="AQ671" s="103" t="s">
        <v>1199</v>
      </c>
      <c r="AR671" s="103" t="s">
        <v>951</v>
      </c>
      <c r="AS671" s="271"/>
      <c r="AT671" s="271"/>
      <c r="AU671" s="271"/>
      <c r="AV671" s="271"/>
      <c r="AW671" s="271">
        <v>5000000</v>
      </c>
      <c r="AX671" s="271"/>
      <c r="AY671" s="271"/>
      <c r="AZ671" s="271"/>
      <c r="BA671" s="271"/>
      <c r="BB671" s="271"/>
      <c r="BC671" s="271"/>
      <c r="BD671" s="271"/>
      <c r="BE671" s="271"/>
      <c r="BF671" s="271"/>
      <c r="BG671" s="271"/>
      <c r="BH671" s="235">
        <f>IF(W671=0,0,BG671+BF671+BE671+BD671+BC671+BB671+BA671+AZ671+AY671+AX671+AW671+AV671+AU671+AT671+AS671)</f>
        <v>5000000</v>
      </c>
      <c r="BI671" s="271"/>
      <c r="BJ671" s="271"/>
      <c r="BK671" s="271"/>
      <c r="BL671" s="271"/>
      <c r="BM671" s="271">
        <v>30000000</v>
      </c>
      <c r="BN671" s="271"/>
      <c r="BO671" s="271"/>
      <c r="BP671" s="271"/>
      <c r="BQ671" s="271"/>
      <c r="BR671" s="271"/>
      <c r="BS671" s="271"/>
      <c r="BT671" s="271"/>
      <c r="BU671" s="271"/>
      <c r="BV671" s="271"/>
      <c r="BW671" s="271"/>
      <c r="BX671" s="235">
        <f>IF(AB671=0,0,BI671+BJ671+BK671+BL671+BM671+BN671+BO671+BP671+BQ671+BR671+BS671+BT671+BU671+BV671+BW671)</f>
        <v>30000000</v>
      </c>
      <c r="BY671" s="271"/>
      <c r="BZ671" s="271"/>
      <c r="CA671" s="271"/>
      <c r="CB671" s="271"/>
      <c r="CC671" s="271">
        <v>20000000</v>
      </c>
      <c r="CD671" s="271"/>
      <c r="CE671" s="271"/>
      <c r="CF671" s="271"/>
      <c r="CG671" s="271"/>
      <c r="CH671" s="271"/>
      <c r="CI671" s="271"/>
      <c r="CJ671" s="271"/>
      <c r="CK671" s="271"/>
      <c r="CL671" s="271"/>
      <c r="CM671" s="271"/>
      <c r="CN671" s="235">
        <f>IF(AG671=0,0,(BY671+BZ671+CA671+CB671+CC671+CD671+CE671+CF671+CG671+CH671+CI671+CJ671+CK671+CL671+CM671))</f>
        <v>20000000</v>
      </c>
      <c r="CO671" s="271"/>
      <c r="CP671" s="271"/>
      <c r="CQ671" s="271"/>
      <c r="CR671" s="271"/>
      <c r="CS671" s="271">
        <v>30000000</v>
      </c>
      <c r="CT671" s="271"/>
      <c r="CU671" s="271"/>
      <c r="CV671" s="271"/>
      <c r="CW671" s="271"/>
      <c r="CX671" s="271"/>
      <c r="CY671" s="271"/>
      <c r="CZ671" s="271"/>
      <c r="DA671" s="271"/>
      <c r="DB671" s="271"/>
      <c r="DC671" s="271"/>
      <c r="DD671" s="234">
        <f>IF(AL671=0,0,(CO671+CP671+CQ671+CR671+CS671+CT671+CU671+CV671+CW671+CX671+CY671+CZ671+DA671+DB671+DC671))</f>
        <v>30000000</v>
      </c>
      <c r="DE671" s="244">
        <f t="shared" si="277"/>
        <v>85000000</v>
      </c>
    </row>
    <row r="672" spans="1:109" s="99" customFormat="1" ht="101.1" customHeight="1">
      <c r="A672" s="120" t="s">
        <v>1235</v>
      </c>
      <c r="B672" s="281" t="s">
        <v>1469</v>
      </c>
      <c r="C672" s="281" t="s">
        <v>1690</v>
      </c>
      <c r="D672" s="281">
        <v>56</v>
      </c>
      <c r="E672" s="281" t="s">
        <v>1656</v>
      </c>
      <c r="F672" s="282" t="s">
        <v>1657</v>
      </c>
      <c r="G672" s="281" t="s">
        <v>3015</v>
      </c>
      <c r="H672" s="281">
        <v>66</v>
      </c>
      <c r="I672" s="281" t="s">
        <v>265</v>
      </c>
      <c r="J672" s="281" t="s">
        <v>683</v>
      </c>
      <c r="K672" s="281">
        <v>3</v>
      </c>
      <c r="L672" s="281" t="s">
        <v>1658</v>
      </c>
      <c r="M672" s="281" t="s">
        <v>1659</v>
      </c>
      <c r="N672" s="281" t="s">
        <v>1660</v>
      </c>
      <c r="O672" s="281" t="s">
        <v>266</v>
      </c>
      <c r="P672" s="283">
        <v>601</v>
      </c>
      <c r="Q672" s="281" t="s">
        <v>3017</v>
      </c>
      <c r="R672" s="281" t="s">
        <v>268</v>
      </c>
      <c r="S672" s="281" t="s">
        <v>683</v>
      </c>
      <c r="T672" s="281">
        <v>0</v>
      </c>
      <c r="U672" s="275"/>
      <c r="V672" s="275">
        <v>50</v>
      </c>
      <c r="W672" s="225">
        <v>50</v>
      </c>
      <c r="X672" s="275"/>
      <c r="Y672" s="275">
        <v>50</v>
      </c>
      <c r="Z672" s="275">
        <v>100</v>
      </c>
      <c r="AA672" s="275">
        <v>50</v>
      </c>
      <c r="AB672" s="225">
        <v>200</v>
      </c>
      <c r="AC672" s="275"/>
      <c r="AD672" s="275">
        <v>50</v>
      </c>
      <c r="AE672" s="275">
        <v>100</v>
      </c>
      <c r="AF672" s="275">
        <v>50</v>
      </c>
      <c r="AG672" s="225">
        <v>200</v>
      </c>
      <c r="AH672" s="275"/>
      <c r="AI672" s="275">
        <v>50</v>
      </c>
      <c r="AJ672" s="275"/>
      <c r="AK672" s="275"/>
      <c r="AL672" s="225">
        <v>50</v>
      </c>
      <c r="AM672" s="119">
        <v>500</v>
      </c>
      <c r="AN672" s="120" t="s">
        <v>685</v>
      </c>
      <c r="AO672" s="120" t="s">
        <v>621</v>
      </c>
      <c r="AP672" s="120" t="s">
        <v>1225</v>
      </c>
      <c r="AQ672" s="120" t="s">
        <v>1199</v>
      </c>
      <c r="AR672" s="120" t="s">
        <v>951</v>
      </c>
      <c r="AS672" s="276"/>
      <c r="AT672" s="276"/>
      <c r="AU672" s="276"/>
      <c r="AV672" s="276"/>
      <c r="AW672" s="276">
        <v>20000000</v>
      </c>
      <c r="AX672" s="276"/>
      <c r="AY672" s="276"/>
      <c r="AZ672" s="276"/>
      <c r="BA672" s="276"/>
      <c r="BB672" s="276"/>
      <c r="BC672" s="276"/>
      <c r="BD672" s="276"/>
      <c r="BE672" s="276"/>
      <c r="BF672" s="276"/>
      <c r="BG672" s="276"/>
      <c r="BH672" s="236">
        <f>IF(W672=0,0,BG672+BF672+BE672+BD672+BC672+BB672+BA672+AZ672+AY672+AX672+AW672+AV672+AU672+AT672+AS672)</f>
        <v>20000000</v>
      </c>
      <c r="BI672" s="276"/>
      <c r="BJ672" s="276"/>
      <c r="BK672" s="276"/>
      <c r="BL672" s="276"/>
      <c r="BM672" s="276">
        <v>80000000</v>
      </c>
      <c r="BN672" s="276"/>
      <c r="BO672" s="276"/>
      <c r="BP672" s="276"/>
      <c r="BQ672" s="276"/>
      <c r="BR672" s="276"/>
      <c r="BS672" s="276"/>
      <c r="BT672" s="276"/>
      <c r="BU672" s="276"/>
      <c r="BV672" s="276"/>
      <c r="BW672" s="276"/>
      <c r="BX672" s="236">
        <f>IF(AB672=0,0,BI672+BJ672+BK672+BL672+BM672+BN672+BO672+BP672+BQ672+BR672+BS672+BT672+BU672+BV672+BW672)</f>
        <v>80000000</v>
      </c>
      <c r="BY672" s="276"/>
      <c r="BZ672" s="276"/>
      <c r="CA672" s="276"/>
      <c r="CB672" s="276"/>
      <c r="CC672" s="276">
        <v>52500000</v>
      </c>
      <c r="CD672" s="276"/>
      <c r="CE672" s="276"/>
      <c r="CF672" s="276"/>
      <c r="CG672" s="276"/>
      <c r="CH672" s="276"/>
      <c r="CI672" s="276"/>
      <c r="CJ672" s="276"/>
      <c r="CK672" s="276"/>
      <c r="CL672" s="276"/>
      <c r="CM672" s="276"/>
      <c r="CN672" s="236">
        <f>IF(AG672=0,0,(BY672+BZ672+CA672+CB672+CC672+CD672+CE672+CF672+CG672+CH672+CI672+CJ672+CK672+CL672+CM672))</f>
        <v>52500000</v>
      </c>
      <c r="CO672" s="276"/>
      <c r="CP672" s="276"/>
      <c r="CQ672" s="276"/>
      <c r="CR672" s="276"/>
      <c r="CS672" s="276">
        <v>50000000</v>
      </c>
      <c r="CT672" s="276"/>
      <c r="CU672" s="276"/>
      <c r="CV672" s="276"/>
      <c r="CW672" s="276"/>
      <c r="CX672" s="276"/>
      <c r="CY672" s="276"/>
      <c r="CZ672" s="276"/>
      <c r="DA672" s="276"/>
      <c r="DB672" s="276"/>
      <c r="DC672" s="276"/>
      <c r="DD672" s="240">
        <f>IF(AL672=0,0,(CO672+CP672+CQ672+CR672+CS672+CT672+CU672+CV672+CW672+CX672+CY672+CZ672+DA672+DB672+DC672))</f>
        <v>50000000</v>
      </c>
      <c r="DE672" s="245">
        <f t="shared" si="277"/>
        <v>202500000</v>
      </c>
    </row>
    <row r="673" spans="1:109" s="46" customFormat="1" ht="65.099999999999994" customHeight="1">
      <c r="A673" s="134" t="s">
        <v>1235</v>
      </c>
      <c r="B673" s="134" t="s">
        <v>1469</v>
      </c>
      <c r="C673" s="134" t="s">
        <v>1690</v>
      </c>
      <c r="D673" s="148">
        <v>56</v>
      </c>
      <c r="E673" s="148" t="s">
        <v>1656</v>
      </c>
      <c r="F673" s="149"/>
      <c r="G673" s="150"/>
      <c r="H673" s="151"/>
      <c r="I673" s="151"/>
      <c r="J673" s="151"/>
      <c r="K673" s="152"/>
      <c r="L673" s="151"/>
      <c r="M673" s="151"/>
      <c r="N673" s="151"/>
      <c r="O673" s="151"/>
      <c r="P673" s="151"/>
      <c r="Q673" s="150"/>
      <c r="R673" s="153"/>
      <c r="S673" s="151"/>
      <c r="T673" s="151"/>
      <c r="U673" s="154"/>
      <c r="V673" s="154"/>
      <c r="W673" s="152"/>
      <c r="X673" s="154"/>
      <c r="Y673" s="154"/>
      <c r="Z673" s="154"/>
      <c r="AA673" s="154"/>
      <c r="AB673" s="152"/>
      <c r="AC673" s="154"/>
      <c r="AD673" s="154"/>
      <c r="AE673" s="154"/>
      <c r="AF673" s="154"/>
      <c r="AG673" s="152"/>
      <c r="AH673" s="154"/>
      <c r="AI673" s="154"/>
      <c r="AJ673" s="154"/>
      <c r="AK673" s="154"/>
      <c r="AL673" s="152"/>
      <c r="AM673" s="155"/>
      <c r="AN673" s="156"/>
      <c r="AO673" s="156"/>
      <c r="AP673" s="157"/>
      <c r="AQ673" s="157"/>
      <c r="AR673" s="158"/>
      <c r="AS673" s="132">
        <f>SUM(AS670:AS672)</f>
        <v>0</v>
      </c>
      <c r="AT673" s="132">
        <f t="shared" ref="AT673:DE673" si="278">SUM(AT670:AT672)</f>
        <v>0</v>
      </c>
      <c r="AU673" s="132">
        <f t="shared" si="278"/>
        <v>0</v>
      </c>
      <c r="AV673" s="132">
        <f t="shared" si="278"/>
        <v>0</v>
      </c>
      <c r="AW673" s="132">
        <f t="shared" si="278"/>
        <v>30000000</v>
      </c>
      <c r="AX673" s="132">
        <f t="shared" si="278"/>
        <v>0</v>
      </c>
      <c r="AY673" s="132">
        <f t="shared" si="278"/>
        <v>0</v>
      </c>
      <c r="AZ673" s="132">
        <f t="shared" si="278"/>
        <v>0</v>
      </c>
      <c r="BA673" s="132">
        <f t="shared" si="278"/>
        <v>0</v>
      </c>
      <c r="BB673" s="132">
        <f t="shared" si="278"/>
        <v>0</v>
      </c>
      <c r="BC673" s="132">
        <f t="shared" si="278"/>
        <v>0</v>
      </c>
      <c r="BD673" s="132">
        <f t="shared" si="278"/>
        <v>0</v>
      </c>
      <c r="BE673" s="132">
        <f t="shared" si="278"/>
        <v>0</v>
      </c>
      <c r="BF673" s="132">
        <f t="shared" si="278"/>
        <v>0</v>
      </c>
      <c r="BG673" s="132">
        <f t="shared" si="278"/>
        <v>0</v>
      </c>
      <c r="BH673" s="133">
        <f>IF(OR(AND(BH670=0,W670&lt;&gt;0),AND(BH671=0,W671&lt;&gt;0),AND(BH672=0,W672&lt;&gt;0)),"NO DEBEN QUEDAR CELDAS EN ROJO",SUM(BH670:BH672))</f>
        <v>30000000</v>
      </c>
      <c r="BI673" s="132">
        <f t="shared" si="278"/>
        <v>0</v>
      </c>
      <c r="BJ673" s="132">
        <f t="shared" si="278"/>
        <v>0</v>
      </c>
      <c r="BK673" s="132">
        <f t="shared" si="278"/>
        <v>0</v>
      </c>
      <c r="BL673" s="132">
        <f t="shared" si="278"/>
        <v>0</v>
      </c>
      <c r="BM673" s="132">
        <f t="shared" si="278"/>
        <v>140000000</v>
      </c>
      <c r="BN673" s="132">
        <f t="shared" si="278"/>
        <v>0</v>
      </c>
      <c r="BO673" s="132">
        <f t="shared" si="278"/>
        <v>0</v>
      </c>
      <c r="BP673" s="132">
        <f t="shared" si="278"/>
        <v>0</v>
      </c>
      <c r="BQ673" s="132">
        <f t="shared" si="278"/>
        <v>0</v>
      </c>
      <c r="BR673" s="132">
        <f t="shared" si="278"/>
        <v>0</v>
      </c>
      <c r="BS673" s="132">
        <f t="shared" si="278"/>
        <v>0</v>
      </c>
      <c r="BT673" s="132">
        <f t="shared" si="278"/>
        <v>0</v>
      </c>
      <c r="BU673" s="132">
        <f t="shared" si="278"/>
        <v>0</v>
      </c>
      <c r="BV673" s="132">
        <f t="shared" si="278"/>
        <v>0</v>
      </c>
      <c r="BW673" s="132">
        <f t="shared" si="278"/>
        <v>0</v>
      </c>
      <c r="BX673" s="133">
        <f>IF(OR(AND(BX670=0,AB670&lt;&gt;0),AND(BX671=0,AB671&lt;&gt;0),AND(BX672=0,AB672&lt;&gt;0)),"NO DEBEN QUEDAR CELDAS EN ROJO",SUM(BX670:BX672))</f>
        <v>140000000</v>
      </c>
      <c r="BY673" s="132">
        <f t="shared" si="278"/>
        <v>0</v>
      </c>
      <c r="BZ673" s="132">
        <f t="shared" si="278"/>
        <v>0</v>
      </c>
      <c r="CA673" s="132">
        <f t="shared" si="278"/>
        <v>0</v>
      </c>
      <c r="CB673" s="132">
        <f t="shared" si="278"/>
        <v>0</v>
      </c>
      <c r="CC673" s="132">
        <f t="shared" si="278"/>
        <v>92500000</v>
      </c>
      <c r="CD673" s="132">
        <f t="shared" si="278"/>
        <v>0</v>
      </c>
      <c r="CE673" s="132">
        <f t="shared" si="278"/>
        <v>0</v>
      </c>
      <c r="CF673" s="132">
        <f t="shared" si="278"/>
        <v>0</v>
      </c>
      <c r="CG673" s="132">
        <f t="shared" si="278"/>
        <v>0</v>
      </c>
      <c r="CH673" s="132">
        <f t="shared" si="278"/>
        <v>0</v>
      </c>
      <c r="CI673" s="132">
        <f t="shared" si="278"/>
        <v>0</v>
      </c>
      <c r="CJ673" s="132">
        <f t="shared" si="278"/>
        <v>0</v>
      </c>
      <c r="CK673" s="132">
        <f t="shared" si="278"/>
        <v>0</v>
      </c>
      <c r="CL673" s="132">
        <f t="shared" si="278"/>
        <v>0</v>
      </c>
      <c r="CM673" s="132">
        <f t="shared" si="278"/>
        <v>0</v>
      </c>
      <c r="CN673" s="133">
        <f>IF(OR(AND(CN670=0,AG670&lt;&gt;0),AND(CN671=0,AG671&lt;&gt;0),AND(CN672=0,AG672&lt;&gt;0)),"NO DEBEN QUEDAR CELDAS EN ROJO",SUM(CN670:CN672))</f>
        <v>92500000</v>
      </c>
      <c r="CO673" s="132">
        <f t="shared" si="278"/>
        <v>0</v>
      </c>
      <c r="CP673" s="132">
        <f t="shared" si="278"/>
        <v>0</v>
      </c>
      <c r="CQ673" s="132">
        <f t="shared" si="278"/>
        <v>0</v>
      </c>
      <c r="CR673" s="132">
        <f t="shared" si="278"/>
        <v>0</v>
      </c>
      <c r="CS673" s="132">
        <f t="shared" si="278"/>
        <v>110000000</v>
      </c>
      <c r="CT673" s="132">
        <f t="shared" si="278"/>
        <v>0</v>
      </c>
      <c r="CU673" s="132">
        <f t="shared" si="278"/>
        <v>0</v>
      </c>
      <c r="CV673" s="132">
        <f t="shared" si="278"/>
        <v>0</v>
      </c>
      <c r="CW673" s="132">
        <f t="shared" si="278"/>
        <v>0</v>
      </c>
      <c r="CX673" s="132">
        <f t="shared" si="278"/>
        <v>0</v>
      </c>
      <c r="CY673" s="132">
        <f t="shared" si="278"/>
        <v>0</v>
      </c>
      <c r="CZ673" s="132">
        <f t="shared" si="278"/>
        <v>0</v>
      </c>
      <c r="DA673" s="132">
        <f t="shared" si="278"/>
        <v>0</v>
      </c>
      <c r="DB673" s="132">
        <f t="shared" si="278"/>
        <v>0</v>
      </c>
      <c r="DC673" s="132">
        <f t="shared" si="278"/>
        <v>0</v>
      </c>
      <c r="DD673" s="133">
        <f>IF(OR(AND(DD670=0,AL670&lt;&gt;0),AND(DD671=0,AL671&lt;&gt;0),AND(DD672=0,AL672&lt;&gt;0)),"NO DEBEN QUEDAR CELDAS EN ROJO",SUM(DD670:DD672))</f>
        <v>110000000</v>
      </c>
      <c r="DE673" s="133">
        <f t="shared" si="278"/>
        <v>372500000</v>
      </c>
    </row>
    <row r="674" spans="1:109" s="116" customFormat="1" ht="55.05" customHeight="1">
      <c r="A674" s="124" t="s">
        <v>1235</v>
      </c>
      <c r="B674" s="125" t="s">
        <v>1469</v>
      </c>
      <c r="C674" s="145" t="s">
        <v>1690</v>
      </c>
      <c r="D674" s="160"/>
      <c r="E674" s="161"/>
      <c r="F674" s="162"/>
      <c r="G674" s="163"/>
      <c r="H674" s="161"/>
      <c r="I674" s="161"/>
      <c r="J674" s="161"/>
      <c r="K674" s="161"/>
      <c r="L674" s="161"/>
      <c r="M674" s="161"/>
      <c r="N674" s="161"/>
      <c r="O674" s="161"/>
      <c r="P674" s="161"/>
      <c r="Q674" s="163"/>
      <c r="R674" s="164"/>
      <c r="S674" s="161"/>
      <c r="T674" s="161"/>
      <c r="U674" s="165"/>
      <c r="V674" s="165"/>
      <c r="W674" s="166"/>
      <c r="X674" s="165"/>
      <c r="Y674" s="165"/>
      <c r="Z674" s="165"/>
      <c r="AA674" s="165"/>
      <c r="AB674" s="166"/>
      <c r="AC674" s="165"/>
      <c r="AD674" s="165"/>
      <c r="AE674" s="165"/>
      <c r="AF674" s="165"/>
      <c r="AG674" s="166"/>
      <c r="AH674" s="165"/>
      <c r="AI674" s="165"/>
      <c r="AJ674" s="165"/>
      <c r="AK674" s="165"/>
      <c r="AL674" s="166"/>
      <c r="AM674" s="167"/>
      <c r="AN674" s="168"/>
      <c r="AO674" s="168"/>
      <c r="AP674" s="163"/>
      <c r="AQ674" s="163"/>
      <c r="AR674" s="169"/>
      <c r="AS674" s="147">
        <f>SUM(AS673+AS669+AS665+AS659+AS654)</f>
        <v>0</v>
      </c>
      <c r="AT674" s="130">
        <f t="shared" ref="AT674:DE674" si="279">SUM(AT673+AT669+AT665+AT659+AT654)</f>
        <v>0</v>
      </c>
      <c r="AU674" s="130">
        <f t="shared" si="279"/>
        <v>0</v>
      </c>
      <c r="AV674" s="130">
        <f t="shared" si="279"/>
        <v>0</v>
      </c>
      <c r="AW674" s="130">
        <f t="shared" si="279"/>
        <v>90601900</v>
      </c>
      <c r="AX674" s="130">
        <f t="shared" si="279"/>
        <v>0</v>
      </c>
      <c r="AY674" s="130">
        <f t="shared" si="279"/>
        <v>0</v>
      </c>
      <c r="AZ674" s="130">
        <f t="shared" si="279"/>
        <v>0</v>
      </c>
      <c r="BA674" s="130">
        <f t="shared" si="279"/>
        <v>0</v>
      </c>
      <c r="BB674" s="130">
        <f t="shared" si="279"/>
        <v>0</v>
      </c>
      <c r="BC674" s="130">
        <f t="shared" si="279"/>
        <v>0</v>
      </c>
      <c r="BD674" s="130">
        <f t="shared" si="279"/>
        <v>0</v>
      </c>
      <c r="BE674" s="130">
        <f t="shared" si="279"/>
        <v>0</v>
      </c>
      <c r="BF674" s="130">
        <f t="shared" si="279"/>
        <v>0</v>
      </c>
      <c r="BG674" s="130">
        <f t="shared" si="279"/>
        <v>0</v>
      </c>
      <c r="BH674" s="130">
        <f t="shared" si="279"/>
        <v>90601900</v>
      </c>
      <c r="BI674" s="130">
        <f t="shared" si="279"/>
        <v>0</v>
      </c>
      <c r="BJ674" s="130">
        <f t="shared" si="279"/>
        <v>0</v>
      </c>
      <c r="BK674" s="130">
        <f t="shared" si="279"/>
        <v>0</v>
      </c>
      <c r="BL674" s="130">
        <f t="shared" si="279"/>
        <v>0</v>
      </c>
      <c r="BM674" s="130">
        <f t="shared" si="279"/>
        <v>410000000</v>
      </c>
      <c r="BN674" s="130">
        <f t="shared" si="279"/>
        <v>0</v>
      </c>
      <c r="BO674" s="130">
        <f t="shared" si="279"/>
        <v>0</v>
      </c>
      <c r="BP674" s="130">
        <f t="shared" si="279"/>
        <v>0</v>
      </c>
      <c r="BQ674" s="130">
        <f t="shared" si="279"/>
        <v>0</v>
      </c>
      <c r="BR674" s="130">
        <f t="shared" si="279"/>
        <v>0</v>
      </c>
      <c r="BS674" s="130">
        <f t="shared" si="279"/>
        <v>0</v>
      </c>
      <c r="BT674" s="130">
        <f t="shared" si="279"/>
        <v>0</v>
      </c>
      <c r="BU674" s="130">
        <f t="shared" si="279"/>
        <v>0</v>
      </c>
      <c r="BV674" s="130">
        <f t="shared" si="279"/>
        <v>0</v>
      </c>
      <c r="BW674" s="130">
        <f t="shared" si="279"/>
        <v>0</v>
      </c>
      <c r="BX674" s="130">
        <f t="shared" si="279"/>
        <v>410000000</v>
      </c>
      <c r="BY674" s="130">
        <f t="shared" si="279"/>
        <v>0</v>
      </c>
      <c r="BZ674" s="130">
        <f t="shared" si="279"/>
        <v>0</v>
      </c>
      <c r="CA674" s="130">
        <f t="shared" si="279"/>
        <v>0</v>
      </c>
      <c r="CB674" s="130">
        <f t="shared" si="279"/>
        <v>0</v>
      </c>
      <c r="CC674" s="130">
        <f t="shared" si="279"/>
        <v>432500000</v>
      </c>
      <c r="CD674" s="130">
        <f t="shared" si="279"/>
        <v>0</v>
      </c>
      <c r="CE674" s="130">
        <f t="shared" si="279"/>
        <v>0</v>
      </c>
      <c r="CF674" s="130">
        <f t="shared" si="279"/>
        <v>0</v>
      </c>
      <c r="CG674" s="130">
        <f t="shared" si="279"/>
        <v>0</v>
      </c>
      <c r="CH674" s="130">
        <f t="shared" si="279"/>
        <v>0</v>
      </c>
      <c r="CI674" s="130">
        <f t="shared" si="279"/>
        <v>0</v>
      </c>
      <c r="CJ674" s="130">
        <f t="shared" si="279"/>
        <v>0</v>
      </c>
      <c r="CK674" s="130">
        <f t="shared" si="279"/>
        <v>0</v>
      </c>
      <c r="CL674" s="130">
        <f t="shared" si="279"/>
        <v>0</v>
      </c>
      <c r="CM674" s="130">
        <f t="shared" si="279"/>
        <v>0</v>
      </c>
      <c r="CN674" s="130">
        <f t="shared" si="279"/>
        <v>432500000</v>
      </c>
      <c r="CO674" s="130">
        <f t="shared" si="279"/>
        <v>0</v>
      </c>
      <c r="CP674" s="130">
        <f t="shared" si="279"/>
        <v>0</v>
      </c>
      <c r="CQ674" s="130">
        <f t="shared" si="279"/>
        <v>0</v>
      </c>
      <c r="CR674" s="130">
        <f t="shared" si="279"/>
        <v>0</v>
      </c>
      <c r="CS674" s="130">
        <f t="shared" si="279"/>
        <v>456125000</v>
      </c>
      <c r="CT674" s="130">
        <f t="shared" si="279"/>
        <v>0</v>
      </c>
      <c r="CU674" s="130">
        <f t="shared" si="279"/>
        <v>0</v>
      </c>
      <c r="CV674" s="130">
        <f t="shared" si="279"/>
        <v>0</v>
      </c>
      <c r="CW674" s="130">
        <f t="shared" si="279"/>
        <v>0</v>
      </c>
      <c r="CX674" s="130">
        <f t="shared" si="279"/>
        <v>0</v>
      </c>
      <c r="CY674" s="130">
        <f t="shared" si="279"/>
        <v>0</v>
      </c>
      <c r="CZ674" s="130">
        <f t="shared" si="279"/>
        <v>0</v>
      </c>
      <c r="DA674" s="130">
        <f t="shared" si="279"/>
        <v>0</v>
      </c>
      <c r="DB674" s="130">
        <f t="shared" si="279"/>
        <v>0</v>
      </c>
      <c r="DC674" s="130">
        <f t="shared" si="279"/>
        <v>0</v>
      </c>
      <c r="DD674" s="130">
        <f t="shared" si="279"/>
        <v>456125000</v>
      </c>
      <c r="DE674" s="130">
        <f t="shared" si="279"/>
        <v>1389226900</v>
      </c>
    </row>
    <row r="675" spans="1:109" s="99" customFormat="1" ht="108" customHeight="1">
      <c r="A675" s="103" t="s">
        <v>1244</v>
      </c>
      <c r="B675" s="103" t="s">
        <v>1469</v>
      </c>
      <c r="C675" s="103" t="s">
        <v>1692</v>
      </c>
      <c r="D675" s="103">
        <v>57</v>
      </c>
      <c r="E675" s="103" t="s">
        <v>1662</v>
      </c>
      <c r="F675" s="278" t="s">
        <v>273</v>
      </c>
      <c r="G675" s="103" t="s">
        <v>3114</v>
      </c>
      <c r="H675" s="103">
        <v>67</v>
      </c>
      <c r="I675" s="103" t="s">
        <v>274</v>
      </c>
      <c r="J675" s="103" t="s">
        <v>683</v>
      </c>
      <c r="K675" s="103">
        <v>954</v>
      </c>
      <c r="L675" s="103" t="s">
        <v>1663</v>
      </c>
      <c r="M675" s="103" t="s">
        <v>1664</v>
      </c>
      <c r="N675" s="103" t="s">
        <v>1665</v>
      </c>
      <c r="O675" s="103" t="s">
        <v>276</v>
      </c>
      <c r="P675" s="283">
        <v>602</v>
      </c>
      <c r="Q675" s="103" t="s">
        <v>3115</v>
      </c>
      <c r="R675" s="103" t="s">
        <v>277</v>
      </c>
      <c r="S675" s="103" t="s">
        <v>683</v>
      </c>
      <c r="T675" s="103">
        <v>0</v>
      </c>
      <c r="U675" s="267"/>
      <c r="V675" s="267"/>
      <c r="W675" s="224">
        <v>0</v>
      </c>
      <c r="X675" s="267">
        <v>30</v>
      </c>
      <c r="Y675" s="267">
        <v>60</v>
      </c>
      <c r="Z675" s="267">
        <v>60</v>
      </c>
      <c r="AA675" s="267">
        <v>50</v>
      </c>
      <c r="AB675" s="224">
        <v>200</v>
      </c>
      <c r="AC675" s="267">
        <v>50</v>
      </c>
      <c r="AD675" s="267">
        <v>50</v>
      </c>
      <c r="AE675" s="267">
        <v>50</v>
      </c>
      <c r="AF675" s="267">
        <v>50</v>
      </c>
      <c r="AG675" s="224">
        <v>200</v>
      </c>
      <c r="AH675" s="267">
        <v>25</v>
      </c>
      <c r="AI675" s="267">
        <v>30</v>
      </c>
      <c r="AJ675" s="267">
        <v>30</v>
      </c>
      <c r="AK675" s="267">
        <v>15</v>
      </c>
      <c r="AL675" s="224">
        <v>100</v>
      </c>
      <c r="AM675" s="102">
        <v>500</v>
      </c>
      <c r="AN675" s="103" t="s">
        <v>685</v>
      </c>
      <c r="AO675" s="103" t="s">
        <v>621</v>
      </c>
      <c r="AP675" s="103" t="s">
        <v>1225</v>
      </c>
      <c r="AQ675" s="103" t="s">
        <v>1197</v>
      </c>
      <c r="AR675" s="103" t="s">
        <v>943</v>
      </c>
      <c r="AS675" s="268"/>
      <c r="AT675" s="268"/>
      <c r="AU675" s="268"/>
      <c r="AV675" s="268"/>
      <c r="AW675" s="268"/>
      <c r="AX675" s="268"/>
      <c r="AY675" s="268"/>
      <c r="AZ675" s="268"/>
      <c r="BA675" s="268"/>
      <c r="BB675" s="268"/>
      <c r="BC675" s="268"/>
      <c r="BD675" s="268"/>
      <c r="BE675" s="268"/>
      <c r="BF675" s="268"/>
      <c r="BG675" s="268"/>
      <c r="BH675" s="234">
        <f t="shared" ref="BH675:BH686" si="280">IF(W675=0,0,BG675+BF675+BE675+BD675+BC675+BB675+BA675+AZ675+AY675+AX675+AW675+AV675+AU675+AT675+AS675)</f>
        <v>0</v>
      </c>
      <c r="BI675" s="268"/>
      <c r="BJ675" s="268"/>
      <c r="BK675" s="268"/>
      <c r="BL675" s="268"/>
      <c r="BM675" s="268">
        <v>50000000</v>
      </c>
      <c r="BN675" s="268"/>
      <c r="BO675" s="268"/>
      <c r="BP675" s="268"/>
      <c r="BQ675" s="268"/>
      <c r="BR675" s="268"/>
      <c r="BS675" s="268"/>
      <c r="BT675" s="268"/>
      <c r="BU675" s="268"/>
      <c r="BV675" s="268"/>
      <c r="BW675" s="268">
        <v>1125000000</v>
      </c>
      <c r="BX675" s="234">
        <f t="shared" ref="BX675:BX686" si="281">IF(AB675=0,0,BI675+BJ675+BK675+BL675+BM675+BN675+BO675+BP675+BQ675+BR675+BS675+BT675+BU675+BV675+BW675)</f>
        <v>1175000000</v>
      </c>
      <c r="BY675" s="268"/>
      <c r="BZ675" s="268"/>
      <c r="CA675" s="268"/>
      <c r="CB675" s="268"/>
      <c r="CC675" s="268">
        <v>20000000</v>
      </c>
      <c r="CD675" s="268"/>
      <c r="CE675" s="268"/>
      <c r="CF675" s="268"/>
      <c r="CG675" s="268"/>
      <c r="CH675" s="268"/>
      <c r="CI675" s="268"/>
      <c r="CJ675" s="268"/>
      <c r="CK675" s="268"/>
      <c r="CL675" s="268"/>
      <c r="CM675" s="268"/>
      <c r="CN675" s="234">
        <f t="shared" ref="CN675:CN686" si="282">IF(AG675=0,0,(BY675+BZ675+CA675+CB675+CC675+CD675+CE675+CF675+CG675+CH675+CI675+CJ675+CK675+CL675+CM675))</f>
        <v>20000000</v>
      </c>
      <c r="CO675" s="268"/>
      <c r="CP675" s="268"/>
      <c r="CQ675" s="268"/>
      <c r="CR675" s="268"/>
      <c r="CS675" s="268">
        <v>40000000</v>
      </c>
      <c r="CT675" s="268"/>
      <c r="CU675" s="268"/>
      <c r="CV675" s="268"/>
      <c r="CW675" s="268"/>
      <c r="CX675" s="268"/>
      <c r="CY675" s="268"/>
      <c r="CZ675" s="268"/>
      <c r="DA675" s="268"/>
      <c r="DB675" s="268"/>
      <c r="DC675" s="268"/>
      <c r="DD675" s="234">
        <f t="shared" ref="DD675:DD686" si="283">IF(AL675=0,0,(CO675+CP675+CQ675+CR675+CS675+CT675+CU675+CV675+CW675+CX675+CY675+CZ675+DA675+DB675+DC675))</f>
        <v>40000000</v>
      </c>
      <c r="DE675" s="243">
        <f t="shared" ref="DE675:DE686" si="284">SUM(DD675+CN675+BX675+BH675)</f>
        <v>1235000000</v>
      </c>
    </row>
    <row r="676" spans="1:109" s="99" customFormat="1" ht="108" customHeight="1">
      <c r="A676" s="103" t="s">
        <v>1244</v>
      </c>
      <c r="B676" s="279" t="s">
        <v>1469</v>
      </c>
      <c r="C676" s="279" t="s">
        <v>1692</v>
      </c>
      <c r="D676" s="279">
        <v>57</v>
      </c>
      <c r="E676" s="279" t="s">
        <v>1662</v>
      </c>
      <c r="F676" s="280" t="s">
        <v>273</v>
      </c>
      <c r="G676" s="279" t="s">
        <v>3114</v>
      </c>
      <c r="H676" s="279">
        <v>67</v>
      </c>
      <c r="I676" s="279" t="s">
        <v>274</v>
      </c>
      <c r="J676" s="279" t="s">
        <v>683</v>
      </c>
      <c r="K676" s="279">
        <v>954</v>
      </c>
      <c r="L676" s="279" t="s">
        <v>1663</v>
      </c>
      <c r="M676" s="279" t="s">
        <v>1664</v>
      </c>
      <c r="N676" s="279" t="s">
        <v>1665</v>
      </c>
      <c r="O676" s="279" t="s">
        <v>276</v>
      </c>
      <c r="P676" s="283">
        <v>603</v>
      </c>
      <c r="Q676" s="279" t="s">
        <v>3609</v>
      </c>
      <c r="R676" s="279" t="s">
        <v>279</v>
      </c>
      <c r="S676" s="279" t="s">
        <v>683</v>
      </c>
      <c r="T676" s="279">
        <v>50</v>
      </c>
      <c r="U676" s="267"/>
      <c r="V676" s="267"/>
      <c r="W676" s="224">
        <v>0</v>
      </c>
      <c r="X676" s="267">
        <v>5</v>
      </c>
      <c r="Y676" s="267">
        <v>10</v>
      </c>
      <c r="Z676" s="267">
        <v>15</v>
      </c>
      <c r="AA676" s="267">
        <v>10</v>
      </c>
      <c r="AB676" s="224">
        <v>40</v>
      </c>
      <c r="AC676" s="267">
        <v>5</v>
      </c>
      <c r="AD676" s="267">
        <v>10</v>
      </c>
      <c r="AE676" s="267">
        <v>15</v>
      </c>
      <c r="AF676" s="267">
        <v>5</v>
      </c>
      <c r="AG676" s="224">
        <v>35</v>
      </c>
      <c r="AH676" s="267">
        <v>5</v>
      </c>
      <c r="AI676" s="267">
        <v>10</v>
      </c>
      <c r="AJ676" s="267">
        <v>10</v>
      </c>
      <c r="AK676" s="267"/>
      <c r="AL676" s="224">
        <v>25</v>
      </c>
      <c r="AM676" s="104">
        <v>100</v>
      </c>
      <c r="AN676" s="103" t="s">
        <v>685</v>
      </c>
      <c r="AO676" s="103" t="s">
        <v>621</v>
      </c>
      <c r="AP676" s="103" t="s">
        <v>1225</v>
      </c>
      <c r="AQ676" s="103" t="s">
        <v>1195</v>
      </c>
      <c r="AR676" s="103" t="s">
        <v>943</v>
      </c>
      <c r="AS676" s="271"/>
      <c r="AT676" s="271"/>
      <c r="AU676" s="271"/>
      <c r="AV676" s="271"/>
      <c r="AW676" s="271"/>
      <c r="AX676" s="271"/>
      <c r="AY676" s="271"/>
      <c r="AZ676" s="271"/>
      <c r="BA676" s="271"/>
      <c r="BB676" s="271"/>
      <c r="BC676" s="271"/>
      <c r="BD676" s="271"/>
      <c r="BE676" s="271"/>
      <c r="BF676" s="271"/>
      <c r="BG676" s="271"/>
      <c r="BH676" s="235">
        <f t="shared" si="280"/>
        <v>0</v>
      </c>
      <c r="BI676" s="271"/>
      <c r="BJ676" s="271"/>
      <c r="BK676" s="271"/>
      <c r="BL676" s="271"/>
      <c r="BM676" s="271">
        <v>35000000</v>
      </c>
      <c r="BN676" s="271"/>
      <c r="BO676" s="271"/>
      <c r="BP676" s="271"/>
      <c r="BQ676" s="271"/>
      <c r="BR676" s="271"/>
      <c r="BS676" s="271"/>
      <c r="BT676" s="271"/>
      <c r="BU676" s="271"/>
      <c r="BV676" s="271"/>
      <c r="BW676" s="271">
        <v>1125000000</v>
      </c>
      <c r="BX676" s="235">
        <f t="shared" si="281"/>
        <v>1160000000</v>
      </c>
      <c r="BY676" s="271"/>
      <c r="BZ676" s="271"/>
      <c r="CA676" s="271"/>
      <c r="CB676" s="271"/>
      <c r="CC676" s="271">
        <v>20000000</v>
      </c>
      <c r="CD676" s="271"/>
      <c r="CE676" s="271"/>
      <c r="CF676" s="271"/>
      <c r="CG676" s="271"/>
      <c r="CH676" s="271"/>
      <c r="CI676" s="271"/>
      <c r="CJ676" s="271"/>
      <c r="CK676" s="271"/>
      <c r="CL676" s="271"/>
      <c r="CM676" s="271"/>
      <c r="CN676" s="235">
        <f t="shared" si="282"/>
        <v>20000000</v>
      </c>
      <c r="CO676" s="271"/>
      <c r="CP676" s="271"/>
      <c r="CQ676" s="271"/>
      <c r="CR676" s="271"/>
      <c r="CS676" s="271">
        <v>42000000</v>
      </c>
      <c r="CT676" s="271"/>
      <c r="CU676" s="271"/>
      <c r="CV676" s="271"/>
      <c r="CW676" s="271"/>
      <c r="CX676" s="271"/>
      <c r="CY676" s="271"/>
      <c r="CZ676" s="271"/>
      <c r="DA676" s="271"/>
      <c r="DB676" s="271"/>
      <c r="DC676" s="271"/>
      <c r="DD676" s="234">
        <f t="shared" si="283"/>
        <v>42000000</v>
      </c>
      <c r="DE676" s="244">
        <f t="shared" si="284"/>
        <v>1222000000</v>
      </c>
    </row>
    <row r="677" spans="1:109" s="99" customFormat="1" ht="108" customHeight="1">
      <c r="A677" s="103" t="s">
        <v>1244</v>
      </c>
      <c r="B677" s="279" t="s">
        <v>1469</v>
      </c>
      <c r="C677" s="279" t="s">
        <v>1692</v>
      </c>
      <c r="D677" s="279">
        <v>57</v>
      </c>
      <c r="E677" s="279" t="s">
        <v>1662</v>
      </c>
      <c r="F677" s="280" t="s">
        <v>273</v>
      </c>
      <c r="G677" s="279" t="s">
        <v>3114</v>
      </c>
      <c r="H677" s="279">
        <v>67</v>
      </c>
      <c r="I677" s="279" t="s">
        <v>274</v>
      </c>
      <c r="J677" s="279" t="s">
        <v>683</v>
      </c>
      <c r="K677" s="279">
        <v>954</v>
      </c>
      <c r="L677" s="279" t="s">
        <v>1663</v>
      </c>
      <c r="M677" s="279" t="s">
        <v>1664</v>
      </c>
      <c r="N677" s="279" t="s">
        <v>1665</v>
      </c>
      <c r="O677" s="279" t="s">
        <v>276</v>
      </c>
      <c r="P677" s="283">
        <v>604</v>
      </c>
      <c r="Q677" s="279" t="s">
        <v>3116</v>
      </c>
      <c r="R677" s="279" t="s">
        <v>283</v>
      </c>
      <c r="S677" s="279" t="s">
        <v>683</v>
      </c>
      <c r="T677" s="279">
        <v>0</v>
      </c>
      <c r="U677" s="267"/>
      <c r="V677" s="267">
        <v>0.5</v>
      </c>
      <c r="W677" s="224">
        <v>0.5</v>
      </c>
      <c r="X677" s="267"/>
      <c r="Y677" s="267">
        <v>0.5</v>
      </c>
      <c r="Z677" s="267"/>
      <c r="AA677" s="267"/>
      <c r="AB677" s="224">
        <v>0.5</v>
      </c>
      <c r="AC677" s="267"/>
      <c r="AD677" s="267"/>
      <c r="AE677" s="267"/>
      <c r="AF677" s="267"/>
      <c r="AG677" s="224">
        <v>0</v>
      </c>
      <c r="AH677" s="267"/>
      <c r="AI677" s="267"/>
      <c r="AJ677" s="267"/>
      <c r="AK677" s="267"/>
      <c r="AL677" s="224">
        <v>0</v>
      </c>
      <c r="AM677" s="104">
        <v>1</v>
      </c>
      <c r="AN677" s="103" t="s">
        <v>685</v>
      </c>
      <c r="AO677" s="103" t="s">
        <v>621</v>
      </c>
      <c r="AP677" s="103" t="s">
        <v>1225</v>
      </c>
      <c r="AQ677" s="103" t="s">
        <v>1197</v>
      </c>
      <c r="AR677" s="103" t="s">
        <v>943</v>
      </c>
      <c r="AS677" s="271"/>
      <c r="AT677" s="271"/>
      <c r="AU677" s="271"/>
      <c r="AV677" s="271"/>
      <c r="AW677" s="271">
        <v>200000000</v>
      </c>
      <c r="AX677" s="271"/>
      <c r="AY677" s="271"/>
      <c r="AZ677" s="271"/>
      <c r="BA677" s="271"/>
      <c r="BB677" s="271"/>
      <c r="BC677" s="271"/>
      <c r="BD677" s="271"/>
      <c r="BE677" s="271"/>
      <c r="BF677" s="271"/>
      <c r="BG677" s="271"/>
      <c r="BH677" s="235">
        <f t="shared" si="280"/>
        <v>200000000</v>
      </c>
      <c r="BI677" s="271"/>
      <c r="BJ677" s="271"/>
      <c r="BK677" s="271"/>
      <c r="BL677" s="271"/>
      <c r="BM677" s="271">
        <v>15000000</v>
      </c>
      <c r="BN677" s="271"/>
      <c r="BO677" s="271"/>
      <c r="BP677" s="271"/>
      <c r="BQ677" s="271"/>
      <c r="BR677" s="271"/>
      <c r="BS677" s="271"/>
      <c r="BT677" s="271"/>
      <c r="BU677" s="271"/>
      <c r="BV677" s="271"/>
      <c r="BW677" s="271">
        <v>1125000000</v>
      </c>
      <c r="BX677" s="235">
        <f t="shared" si="281"/>
        <v>1140000000</v>
      </c>
      <c r="BY677" s="271"/>
      <c r="BZ677" s="271"/>
      <c r="CA677" s="271"/>
      <c r="CB677" s="271"/>
      <c r="CC677" s="271"/>
      <c r="CD677" s="271"/>
      <c r="CE677" s="271"/>
      <c r="CF677" s="271"/>
      <c r="CG677" s="271"/>
      <c r="CH677" s="271"/>
      <c r="CI677" s="271"/>
      <c r="CJ677" s="271"/>
      <c r="CK677" s="271"/>
      <c r="CL677" s="271"/>
      <c r="CM677" s="271"/>
      <c r="CN677" s="235">
        <f t="shared" si="282"/>
        <v>0</v>
      </c>
      <c r="CO677" s="271"/>
      <c r="CP677" s="271"/>
      <c r="CQ677" s="271"/>
      <c r="CR677" s="271"/>
      <c r="CS677" s="271"/>
      <c r="CT677" s="271"/>
      <c r="CU677" s="271"/>
      <c r="CV677" s="271"/>
      <c r="CW677" s="271"/>
      <c r="CX677" s="271"/>
      <c r="CY677" s="271"/>
      <c r="CZ677" s="271"/>
      <c r="DA677" s="271"/>
      <c r="DB677" s="271"/>
      <c r="DC677" s="271"/>
      <c r="DD677" s="234">
        <f t="shared" si="283"/>
        <v>0</v>
      </c>
      <c r="DE677" s="244">
        <f t="shared" si="284"/>
        <v>1340000000</v>
      </c>
    </row>
    <row r="678" spans="1:109" s="99" customFormat="1" ht="108" customHeight="1">
      <c r="A678" s="103" t="s">
        <v>1244</v>
      </c>
      <c r="B678" s="279" t="s">
        <v>1469</v>
      </c>
      <c r="C678" s="279" t="s">
        <v>1692</v>
      </c>
      <c r="D678" s="279">
        <v>57</v>
      </c>
      <c r="E678" s="279" t="s">
        <v>1662</v>
      </c>
      <c r="F678" s="280" t="s">
        <v>273</v>
      </c>
      <c r="G678" s="279" t="s">
        <v>3114</v>
      </c>
      <c r="H678" s="279">
        <v>67</v>
      </c>
      <c r="I678" s="279" t="s">
        <v>274</v>
      </c>
      <c r="J678" s="279" t="s">
        <v>683</v>
      </c>
      <c r="K678" s="279">
        <v>954</v>
      </c>
      <c r="L678" s="279" t="s">
        <v>1663</v>
      </c>
      <c r="M678" s="279" t="s">
        <v>1664</v>
      </c>
      <c r="N678" s="279" t="s">
        <v>1665</v>
      </c>
      <c r="O678" s="279" t="s">
        <v>276</v>
      </c>
      <c r="P678" s="283">
        <v>605</v>
      </c>
      <c r="Q678" s="279" t="s">
        <v>3117</v>
      </c>
      <c r="R678" s="279" t="s">
        <v>285</v>
      </c>
      <c r="S678" s="279" t="s">
        <v>683</v>
      </c>
      <c r="T678" s="279">
        <v>0</v>
      </c>
      <c r="U678" s="267"/>
      <c r="V678" s="267"/>
      <c r="W678" s="224">
        <v>0</v>
      </c>
      <c r="X678" s="267"/>
      <c r="Y678" s="267">
        <v>0.25</v>
      </c>
      <c r="Z678" s="267">
        <v>0.75</v>
      </c>
      <c r="AA678" s="267"/>
      <c r="AB678" s="224">
        <v>1</v>
      </c>
      <c r="AC678" s="267">
        <v>0.25</v>
      </c>
      <c r="AD678" s="267">
        <v>0.25</v>
      </c>
      <c r="AE678" s="267">
        <v>0.5</v>
      </c>
      <c r="AF678" s="267"/>
      <c r="AG678" s="224">
        <v>1</v>
      </c>
      <c r="AH678" s="267"/>
      <c r="AI678" s="267"/>
      <c r="AJ678" s="267"/>
      <c r="AK678" s="267"/>
      <c r="AL678" s="224">
        <v>0</v>
      </c>
      <c r="AM678" s="104">
        <v>2</v>
      </c>
      <c r="AN678" s="103" t="s">
        <v>685</v>
      </c>
      <c r="AO678" s="103" t="s">
        <v>621</v>
      </c>
      <c r="AP678" s="103" t="s">
        <v>1225</v>
      </c>
      <c r="AQ678" s="103" t="s">
        <v>1197</v>
      </c>
      <c r="AR678" s="103" t="s">
        <v>943</v>
      </c>
      <c r="AS678" s="271"/>
      <c r="AT678" s="271"/>
      <c r="AU678" s="271"/>
      <c r="AV678" s="271"/>
      <c r="AW678" s="271"/>
      <c r="AX678" s="271"/>
      <c r="AY678" s="271"/>
      <c r="AZ678" s="271"/>
      <c r="BA678" s="271"/>
      <c r="BB678" s="271"/>
      <c r="BC678" s="271"/>
      <c r="BD678" s="271"/>
      <c r="BE678" s="271"/>
      <c r="BF678" s="271"/>
      <c r="BG678" s="271"/>
      <c r="BH678" s="235">
        <f t="shared" si="280"/>
        <v>0</v>
      </c>
      <c r="BI678" s="271"/>
      <c r="BJ678" s="271"/>
      <c r="BK678" s="271"/>
      <c r="BL678" s="271"/>
      <c r="BM678" s="271">
        <v>30000000</v>
      </c>
      <c r="BN678" s="271"/>
      <c r="BO678" s="271"/>
      <c r="BP678" s="271"/>
      <c r="BQ678" s="271"/>
      <c r="BR678" s="271"/>
      <c r="BS678" s="271"/>
      <c r="BT678" s="271"/>
      <c r="BU678" s="271"/>
      <c r="BV678" s="271"/>
      <c r="BW678" s="271">
        <v>1125000000</v>
      </c>
      <c r="BX678" s="235">
        <f t="shared" si="281"/>
        <v>1155000000</v>
      </c>
      <c r="BY678" s="271"/>
      <c r="BZ678" s="271"/>
      <c r="CA678" s="271"/>
      <c r="CB678" s="271"/>
      <c r="CC678" s="271">
        <v>35000000</v>
      </c>
      <c r="CD678" s="271"/>
      <c r="CE678" s="271"/>
      <c r="CF678" s="271"/>
      <c r="CG678" s="271"/>
      <c r="CH678" s="271"/>
      <c r="CI678" s="271"/>
      <c r="CJ678" s="271"/>
      <c r="CK678" s="271"/>
      <c r="CL678" s="271"/>
      <c r="CM678" s="271"/>
      <c r="CN678" s="235">
        <f t="shared" si="282"/>
        <v>35000000</v>
      </c>
      <c r="CO678" s="271"/>
      <c r="CP678" s="271"/>
      <c r="CQ678" s="271"/>
      <c r="CR678" s="271"/>
      <c r="CS678" s="271"/>
      <c r="CT678" s="271"/>
      <c r="CU678" s="271"/>
      <c r="CV678" s="271"/>
      <c r="CW678" s="271"/>
      <c r="CX678" s="271"/>
      <c r="CY678" s="271"/>
      <c r="CZ678" s="271"/>
      <c r="DA678" s="271"/>
      <c r="DB678" s="271"/>
      <c r="DC678" s="271"/>
      <c r="DD678" s="234">
        <f t="shared" si="283"/>
        <v>0</v>
      </c>
      <c r="DE678" s="244">
        <f t="shared" si="284"/>
        <v>1190000000</v>
      </c>
    </row>
    <row r="679" spans="1:109" s="99" customFormat="1" ht="108" customHeight="1">
      <c r="A679" s="103" t="s">
        <v>1244</v>
      </c>
      <c r="B679" s="279" t="s">
        <v>1469</v>
      </c>
      <c r="C679" s="279" t="s">
        <v>1692</v>
      </c>
      <c r="D679" s="279">
        <v>57</v>
      </c>
      <c r="E679" s="279" t="s">
        <v>1662</v>
      </c>
      <c r="F679" s="280" t="s">
        <v>273</v>
      </c>
      <c r="G679" s="279" t="s">
        <v>3114</v>
      </c>
      <c r="H679" s="279">
        <v>67</v>
      </c>
      <c r="I679" s="279" t="s">
        <v>274</v>
      </c>
      <c r="J679" s="279" t="s">
        <v>683</v>
      </c>
      <c r="K679" s="279">
        <v>954</v>
      </c>
      <c r="L679" s="279" t="s">
        <v>1663</v>
      </c>
      <c r="M679" s="279" t="s">
        <v>1666</v>
      </c>
      <c r="N679" s="279" t="s">
        <v>1667</v>
      </c>
      <c r="O679" s="279" t="s">
        <v>1668</v>
      </c>
      <c r="P679" s="283">
        <v>606</v>
      </c>
      <c r="Q679" s="279" t="s">
        <v>3118</v>
      </c>
      <c r="R679" s="279" t="s">
        <v>287</v>
      </c>
      <c r="S679" s="279" t="s">
        <v>683</v>
      </c>
      <c r="T679" s="279">
        <v>135</v>
      </c>
      <c r="U679" s="267">
        <v>58</v>
      </c>
      <c r="V679" s="267">
        <v>77</v>
      </c>
      <c r="W679" s="224">
        <v>135</v>
      </c>
      <c r="X679" s="267"/>
      <c r="Y679" s="267">
        <v>70</v>
      </c>
      <c r="Z679" s="267">
        <v>35</v>
      </c>
      <c r="AA679" s="267">
        <v>30</v>
      </c>
      <c r="AB679" s="224">
        <v>135</v>
      </c>
      <c r="AC679" s="267"/>
      <c r="AD679" s="267">
        <v>70</v>
      </c>
      <c r="AE679" s="267">
        <v>35</v>
      </c>
      <c r="AF679" s="267">
        <v>30</v>
      </c>
      <c r="AG679" s="224">
        <v>135</v>
      </c>
      <c r="AH679" s="267"/>
      <c r="AI679" s="267">
        <v>70</v>
      </c>
      <c r="AJ679" s="267">
        <v>35</v>
      </c>
      <c r="AK679" s="267">
        <v>30</v>
      </c>
      <c r="AL679" s="224">
        <v>135</v>
      </c>
      <c r="AM679" s="104">
        <v>135</v>
      </c>
      <c r="AN679" s="103" t="s">
        <v>686</v>
      </c>
      <c r="AO679" s="103" t="s">
        <v>621</v>
      </c>
      <c r="AP679" s="103" t="s">
        <v>1225</v>
      </c>
      <c r="AQ679" s="103" t="s">
        <v>1197</v>
      </c>
      <c r="AR679" s="103" t="s">
        <v>943</v>
      </c>
      <c r="AS679" s="271"/>
      <c r="AT679" s="271"/>
      <c r="AU679" s="271"/>
      <c r="AV679" s="271"/>
      <c r="AW679" s="271">
        <v>181433165</v>
      </c>
      <c r="AX679" s="271"/>
      <c r="AY679" s="271"/>
      <c r="AZ679" s="271"/>
      <c r="BA679" s="271"/>
      <c r="BB679" s="271"/>
      <c r="BC679" s="271"/>
      <c r="BD679" s="271"/>
      <c r="BE679" s="271"/>
      <c r="BF679" s="271"/>
      <c r="BG679" s="271"/>
      <c r="BH679" s="235">
        <f t="shared" si="280"/>
        <v>181433165</v>
      </c>
      <c r="BI679" s="271"/>
      <c r="BJ679" s="271"/>
      <c r="BK679" s="271"/>
      <c r="BL679" s="271"/>
      <c r="BM679" s="271">
        <v>70000000</v>
      </c>
      <c r="BN679" s="271"/>
      <c r="BO679" s="271"/>
      <c r="BP679" s="271"/>
      <c r="BQ679" s="271"/>
      <c r="BR679" s="271"/>
      <c r="BS679" s="271"/>
      <c r="BT679" s="271"/>
      <c r="BU679" s="271"/>
      <c r="BV679" s="271"/>
      <c r="BW679" s="271"/>
      <c r="BX679" s="235">
        <f t="shared" si="281"/>
        <v>70000000</v>
      </c>
      <c r="BY679" s="271"/>
      <c r="BZ679" s="271"/>
      <c r="CA679" s="271"/>
      <c r="CB679" s="271"/>
      <c r="CC679" s="271">
        <v>40000000</v>
      </c>
      <c r="CD679" s="271"/>
      <c r="CE679" s="271"/>
      <c r="CF679" s="271"/>
      <c r="CG679" s="271"/>
      <c r="CH679" s="271"/>
      <c r="CI679" s="271"/>
      <c r="CJ679" s="271"/>
      <c r="CK679" s="271"/>
      <c r="CL679" s="271"/>
      <c r="CM679" s="271"/>
      <c r="CN679" s="235">
        <f t="shared" si="282"/>
        <v>40000000</v>
      </c>
      <c r="CO679" s="271"/>
      <c r="CP679" s="271"/>
      <c r="CQ679" s="271"/>
      <c r="CR679" s="271"/>
      <c r="CS679" s="271">
        <v>40000000</v>
      </c>
      <c r="CT679" s="271"/>
      <c r="CU679" s="271"/>
      <c r="CV679" s="271"/>
      <c r="CW679" s="271"/>
      <c r="CX679" s="271"/>
      <c r="CY679" s="271"/>
      <c r="CZ679" s="271"/>
      <c r="DA679" s="271"/>
      <c r="DB679" s="271"/>
      <c r="DC679" s="271"/>
      <c r="DD679" s="234">
        <f t="shared" si="283"/>
        <v>40000000</v>
      </c>
      <c r="DE679" s="244">
        <f t="shared" si="284"/>
        <v>331433165</v>
      </c>
    </row>
    <row r="680" spans="1:109" s="99" customFormat="1" ht="108" customHeight="1">
      <c r="A680" s="103" t="s">
        <v>1244</v>
      </c>
      <c r="B680" s="279" t="s">
        <v>1469</v>
      </c>
      <c r="C680" s="279" t="s">
        <v>1692</v>
      </c>
      <c r="D680" s="279">
        <v>57</v>
      </c>
      <c r="E680" s="279" t="s">
        <v>1662</v>
      </c>
      <c r="F680" s="280" t="s">
        <v>273</v>
      </c>
      <c r="G680" s="279" t="s">
        <v>3114</v>
      </c>
      <c r="H680" s="279">
        <v>67</v>
      </c>
      <c r="I680" s="279" t="s">
        <v>274</v>
      </c>
      <c r="J680" s="279" t="s">
        <v>683</v>
      </c>
      <c r="K680" s="279">
        <v>954</v>
      </c>
      <c r="L680" s="279" t="s">
        <v>1663</v>
      </c>
      <c r="M680" s="279" t="s">
        <v>1666</v>
      </c>
      <c r="N680" s="279" t="s">
        <v>1667</v>
      </c>
      <c r="O680" s="279" t="s">
        <v>1668</v>
      </c>
      <c r="P680" s="283">
        <v>607</v>
      </c>
      <c r="Q680" s="279" t="s">
        <v>3119</v>
      </c>
      <c r="R680" s="279" t="s">
        <v>287</v>
      </c>
      <c r="S680" s="279" t="s">
        <v>683</v>
      </c>
      <c r="T680" s="279">
        <v>135</v>
      </c>
      <c r="U680" s="267"/>
      <c r="V680" s="267">
        <v>5</v>
      </c>
      <c r="W680" s="224">
        <v>5</v>
      </c>
      <c r="X680" s="267">
        <v>5</v>
      </c>
      <c r="Y680" s="267">
        <v>5</v>
      </c>
      <c r="Z680" s="267">
        <v>10</v>
      </c>
      <c r="AA680" s="267"/>
      <c r="AB680" s="224">
        <v>20</v>
      </c>
      <c r="AC680" s="267"/>
      <c r="AD680" s="267">
        <v>5</v>
      </c>
      <c r="AE680" s="267">
        <v>5</v>
      </c>
      <c r="AF680" s="267">
        <v>5</v>
      </c>
      <c r="AG680" s="224">
        <v>15</v>
      </c>
      <c r="AH680" s="267"/>
      <c r="AI680" s="267">
        <v>5</v>
      </c>
      <c r="AJ680" s="267">
        <v>5</v>
      </c>
      <c r="AK680" s="267"/>
      <c r="AL680" s="224">
        <v>10</v>
      </c>
      <c r="AM680" s="104">
        <v>50</v>
      </c>
      <c r="AN680" s="103" t="s">
        <v>685</v>
      </c>
      <c r="AO680" s="103" t="s">
        <v>621</v>
      </c>
      <c r="AP680" s="103" t="s">
        <v>1225</v>
      </c>
      <c r="AQ680" s="103" t="s">
        <v>1197</v>
      </c>
      <c r="AR680" s="103" t="s">
        <v>943</v>
      </c>
      <c r="AS680" s="271"/>
      <c r="AT680" s="271"/>
      <c r="AU680" s="271"/>
      <c r="AV680" s="271"/>
      <c r="AW680" s="271">
        <v>100000000</v>
      </c>
      <c r="AX680" s="271"/>
      <c r="AY680" s="271"/>
      <c r="AZ680" s="271"/>
      <c r="BA680" s="271"/>
      <c r="BB680" s="271"/>
      <c r="BC680" s="271"/>
      <c r="BD680" s="271"/>
      <c r="BE680" s="271"/>
      <c r="BF680" s="271"/>
      <c r="BG680" s="271"/>
      <c r="BH680" s="235">
        <f t="shared" si="280"/>
        <v>100000000</v>
      </c>
      <c r="BI680" s="271"/>
      <c r="BJ680" s="271"/>
      <c r="BK680" s="271"/>
      <c r="BL680" s="271"/>
      <c r="BM680" s="271">
        <v>76666665</v>
      </c>
      <c r="BN680" s="271"/>
      <c r="BO680" s="271"/>
      <c r="BP680" s="271"/>
      <c r="BQ680" s="271"/>
      <c r="BR680" s="271"/>
      <c r="BS680" s="271"/>
      <c r="BT680" s="271"/>
      <c r="BU680" s="271"/>
      <c r="BV680" s="271"/>
      <c r="BW680" s="271"/>
      <c r="BX680" s="235">
        <f t="shared" si="281"/>
        <v>76666665</v>
      </c>
      <c r="BY680" s="271"/>
      <c r="BZ680" s="271"/>
      <c r="CA680" s="271"/>
      <c r="CB680" s="271"/>
      <c r="CC680" s="271">
        <v>43888885</v>
      </c>
      <c r="CD680" s="271"/>
      <c r="CE680" s="271"/>
      <c r="CF680" s="271"/>
      <c r="CG680" s="271"/>
      <c r="CH680" s="271"/>
      <c r="CI680" s="271"/>
      <c r="CJ680" s="271"/>
      <c r="CK680" s="271"/>
      <c r="CL680" s="271"/>
      <c r="CM680" s="271"/>
      <c r="CN680" s="235">
        <f t="shared" si="282"/>
        <v>43888885</v>
      </c>
      <c r="CO680" s="271"/>
      <c r="CP680" s="271"/>
      <c r="CQ680" s="271"/>
      <c r="CR680" s="271"/>
      <c r="CS680" s="271">
        <v>42000000</v>
      </c>
      <c r="CT680" s="271"/>
      <c r="CU680" s="271"/>
      <c r="CV680" s="271"/>
      <c r="CW680" s="271"/>
      <c r="CX680" s="271"/>
      <c r="CY680" s="271"/>
      <c r="CZ680" s="271"/>
      <c r="DA680" s="271"/>
      <c r="DB680" s="271"/>
      <c r="DC680" s="271"/>
      <c r="DD680" s="234">
        <f t="shared" si="283"/>
        <v>42000000</v>
      </c>
      <c r="DE680" s="244">
        <f t="shared" si="284"/>
        <v>262555550</v>
      </c>
    </row>
    <row r="681" spans="1:109" s="99" customFormat="1" ht="108" customHeight="1">
      <c r="A681" s="103" t="s">
        <v>1244</v>
      </c>
      <c r="B681" s="279" t="s">
        <v>1469</v>
      </c>
      <c r="C681" s="279" t="s">
        <v>1692</v>
      </c>
      <c r="D681" s="279">
        <v>57</v>
      </c>
      <c r="E681" s="279" t="s">
        <v>1662</v>
      </c>
      <c r="F681" s="280" t="s">
        <v>273</v>
      </c>
      <c r="G681" s="279" t="s">
        <v>3114</v>
      </c>
      <c r="H681" s="279">
        <v>67</v>
      </c>
      <c r="I681" s="279" t="s">
        <v>274</v>
      </c>
      <c r="J681" s="279" t="s">
        <v>683</v>
      </c>
      <c r="K681" s="279">
        <v>954</v>
      </c>
      <c r="L681" s="279" t="s">
        <v>1663</v>
      </c>
      <c r="M681" s="279" t="s">
        <v>1669</v>
      </c>
      <c r="N681" s="279" t="s">
        <v>1670</v>
      </c>
      <c r="O681" s="279" t="s">
        <v>1671</v>
      </c>
      <c r="P681" s="283">
        <v>608</v>
      </c>
      <c r="Q681" s="279" t="s">
        <v>3120</v>
      </c>
      <c r="R681" s="279" t="s">
        <v>291</v>
      </c>
      <c r="S681" s="279" t="s">
        <v>683</v>
      </c>
      <c r="T681" s="279">
        <v>6</v>
      </c>
      <c r="U681" s="267">
        <v>0.5</v>
      </c>
      <c r="V681" s="267">
        <v>0.5</v>
      </c>
      <c r="W681" s="224">
        <v>1</v>
      </c>
      <c r="X681" s="267"/>
      <c r="Y681" s="267"/>
      <c r="Z681" s="267">
        <v>1</v>
      </c>
      <c r="AA681" s="267">
        <v>1</v>
      </c>
      <c r="AB681" s="224">
        <v>2</v>
      </c>
      <c r="AC681" s="267"/>
      <c r="AD681" s="267"/>
      <c r="AE681" s="267">
        <v>0.5</v>
      </c>
      <c r="AF681" s="267">
        <v>0.5</v>
      </c>
      <c r="AG681" s="224">
        <v>1</v>
      </c>
      <c r="AH681" s="267"/>
      <c r="AI681" s="267"/>
      <c r="AJ681" s="267">
        <v>0.5</v>
      </c>
      <c r="AK681" s="267">
        <v>0.5</v>
      </c>
      <c r="AL681" s="224">
        <v>1</v>
      </c>
      <c r="AM681" s="104">
        <v>5</v>
      </c>
      <c r="AN681" s="103" t="s">
        <v>685</v>
      </c>
      <c r="AO681" s="103" t="s">
        <v>621</v>
      </c>
      <c r="AP681" s="103" t="s">
        <v>1225</v>
      </c>
      <c r="AQ681" s="103" t="s">
        <v>1197</v>
      </c>
      <c r="AR681" s="103" t="s">
        <v>943</v>
      </c>
      <c r="AS681" s="271"/>
      <c r="AT681" s="271"/>
      <c r="AU681" s="271"/>
      <c r="AV681" s="271"/>
      <c r="AW681" s="271">
        <v>65000000</v>
      </c>
      <c r="AX681" s="271"/>
      <c r="AY681" s="271"/>
      <c r="AZ681" s="271"/>
      <c r="BA681" s="271"/>
      <c r="BB681" s="271"/>
      <c r="BC681" s="271"/>
      <c r="BD681" s="271"/>
      <c r="BE681" s="271"/>
      <c r="BF681" s="271"/>
      <c r="BG681" s="271"/>
      <c r="BH681" s="235">
        <f t="shared" si="280"/>
        <v>65000000</v>
      </c>
      <c r="BI681" s="271"/>
      <c r="BJ681" s="271"/>
      <c r="BK681" s="271"/>
      <c r="BL681" s="271"/>
      <c r="BM681" s="271">
        <v>45000000</v>
      </c>
      <c r="BN681" s="271"/>
      <c r="BO681" s="271"/>
      <c r="BP681" s="271"/>
      <c r="BQ681" s="271"/>
      <c r="BR681" s="271"/>
      <c r="BS681" s="271"/>
      <c r="BT681" s="271"/>
      <c r="BU681" s="271"/>
      <c r="BV681" s="271"/>
      <c r="BW681" s="271"/>
      <c r="BX681" s="235">
        <f t="shared" si="281"/>
        <v>45000000</v>
      </c>
      <c r="BY681" s="271"/>
      <c r="BZ681" s="271"/>
      <c r="CA681" s="271"/>
      <c r="CB681" s="271"/>
      <c r="CC681" s="271">
        <v>25000000</v>
      </c>
      <c r="CD681" s="271"/>
      <c r="CE681" s="271"/>
      <c r="CF681" s="271"/>
      <c r="CG681" s="271"/>
      <c r="CH681" s="271"/>
      <c r="CI681" s="271"/>
      <c r="CJ681" s="271"/>
      <c r="CK681" s="271"/>
      <c r="CL681" s="271"/>
      <c r="CM681" s="271"/>
      <c r="CN681" s="235">
        <f t="shared" si="282"/>
        <v>25000000</v>
      </c>
      <c r="CO681" s="271"/>
      <c r="CP681" s="271"/>
      <c r="CQ681" s="271"/>
      <c r="CR681" s="271"/>
      <c r="CS681" s="271">
        <v>30000000</v>
      </c>
      <c r="CT681" s="271"/>
      <c r="CU681" s="271"/>
      <c r="CV681" s="271"/>
      <c r="CW681" s="271"/>
      <c r="CX681" s="271"/>
      <c r="CY681" s="271"/>
      <c r="CZ681" s="271"/>
      <c r="DA681" s="271"/>
      <c r="DB681" s="271"/>
      <c r="DC681" s="271"/>
      <c r="DD681" s="234">
        <f t="shared" si="283"/>
        <v>30000000</v>
      </c>
      <c r="DE681" s="244">
        <f t="shared" si="284"/>
        <v>165000000</v>
      </c>
    </row>
    <row r="682" spans="1:109" s="99" customFormat="1" ht="108" customHeight="1">
      <c r="A682" s="103" t="s">
        <v>1244</v>
      </c>
      <c r="B682" s="279" t="s">
        <v>1469</v>
      </c>
      <c r="C682" s="279" t="s">
        <v>1692</v>
      </c>
      <c r="D682" s="279">
        <v>57</v>
      </c>
      <c r="E682" s="279" t="s">
        <v>1662</v>
      </c>
      <c r="F682" s="280" t="s">
        <v>273</v>
      </c>
      <c r="G682" s="279" t="s">
        <v>3114</v>
      </c>
      <c r="H682" s="279">
        <v>67</v>
      </c>
      <c r="I682" s="279" t="s">
        <v>274</v>
      </c>
      <c r="J682" s="279" t="s">
        <v>683</v>
      </c>
      <c r="K682" s="279">
        <v>954</v>
      </c>
      <c r="L682" s="279" t="s">
        <v>1663</v>
      </c>
      <c r="M682" s="279" t="s">
        <v>1669</v>
      </c>
      <c r="N682" s="279" t="s">
        <v>1670</v>
      </c>
      <c r="O682" s="279" t="s">
        <v>1671</v>
      </c>
      <c r="P682" s="283">
        <v>609</v>
      </c>
      <c r="Q682" s="279" t="s">
        <v>3121</v>
      </c>
      <c r="R682" s="279" t="s">
        <v>293</v>
      </c>
      <c r="S682" s="279" t="s">
        <v>683</v>
      </c>
      <c r="T682" s="279">
        <v>179</v>
      </c>
      <c r="U682" s="267"/>
      <c r="V682" s="267">
        <v>30</v>
      </c>
      <c r="W682" s="224">
        <v>30</v>
      </c>
      <c r="X682" s="267"/>
      <c r="Y682" s="267">
        <v>5</v>
      </c>
      <c r="Z682" s="267">
        <v>5</v>
      </c>
      <c r="AA682" s="267">
        <v>5</v>
      </c>
      <c r="AB682" s="224">
        <v>15</v>
      </c>
      <c r="AC682" s="267"/>
      <c r="AD682" s="267"/>
      <c r="AE682" s="267">
        <v>5</v>
      </c>
      <c r="AF682" s="267">
        <v>5</v>
      </c>
      <c r="AG682" s="224">
        <v>10</v>
      </c>
      <c r="AH682" s="267"/>
      <c r="AI682" s="267">
        <v>5</v>
      </c>
      <c r="AJ682" s="267">
        <v>5</v>
      </c>
      <c r="AK682" s="267">
        <v>5</v>
      </c>
      <c r="AL682" s="224">
        <v>15</v>
      </c>
      <c r="AM682" s="104">
        <v>70</v>
      </c>
      <c r="AN682" s="103" t="s">
        <v>685</v>
      </c>
      <c r="AO682" s="103" t="s">
        <v>621</v>
      </c>
      <c r="AP682" s="103" t="s">
        <v>1225</v>
      </c>
      <c r="AQ682" s="103" t="s">
        <v>1197</v>
      </c>
      <c r="AR682" s="103" t="s">
        <v>943</v>
      </c>
      <c r="AS682" s="271"/>
      <c r="AT682" s="271"/>
      <c r="AU682" s="271"/>
      <c r="AV682" s="271"/>
      <c r="AW682" s="271">
        <v>65000000</v>
      </c>
      <c r="AX682" s="271"/>
      <c r="AY682" s="271"/>
      <c r="AZ682" s="271"/>
      <c r="BA682" s="271"/>
      <c r="BB682" s="271"/>
      <c r="BC682" s="271"/>
      <c r="BD682" s="271"/>
      <c r="BE682" s="271"/>
      <c r="BF682" s="271"/>
      <c r="BG682" s="271"/>
      <c r="BH682" s="235">
        <f t="shared" si="280"/>
        <v>65000000</v>
      </c>
      <c r="BI682" s="271"/>
      <c r="BJ682" s="271"/>
      <c r="BK682" s="271"/>
      <c r="BL682" s="271"/>
      <c r="BM682" s="271">
        <v>45000000</v>
      </c>
      <c r="BN682" s="271"/>
      <c r="BO682" s="271"/>
      <c r="BP682" s="271"/>
      <c r="BQ682" s="271"/>
      <c r="BR682" s="271"/>
      <c r="BS682" s="271"/>
      <c r="BT682" s="271"/>
      <c r="BU682" s="271"/>
      <c r="BV682" s="271"/>
      <c r="BW682" s="271"/>
      <c r="BX682" s="235">
        <f t="shared" si="281"/>
        <v>45000000</v>
      </c>
      <c r="BY682" s="271"/>
      <c r="BZ682" s="271"/>
      <c r="CA682" s="271"/>
      <c r="CB682" s="271"/>
      <c r="CC682" s="271">
        <v>25000000</v>
      </c>
      <c r="CD682" s="271"/>
      <c r="CE682" s="271"/>
      <c r="CF682" s="271"/>
      <c r="CG682" s="271"/>
      <c r="CH682" s="271"/>
      <c r="CI682" s="271"/>
      <c r="CJ682" s="271"/>
      <c r="CK682" s="271"/>
      <c r="CL682" s="271"/>
      <c r="CM682" s="271"/>
      <c r="CN682" s="235">
        <f t="shared" si="282"/>
        <v>25000000</v>
      </c>
      <c r="CO682" s="271"/>
      <c r="CP682" s="271"/>
      <c r="CQ682" s="271"/>
      <c r="CR682" s="271"/>
      <c r="CS682" s="271">
        <v>30000000</v>
      </c>
      <c r="CT682" s="271"/>
      <c r="CU682" s="271"/>
      <c r="CV682" s="271"/>
      <c r="CW682" s="271"/>
      <c r="CX682" s="271"/>
      <c r="CY682" s="271"/>
      <c r="CZ682" s="271"/>
      <c r="DA682" s="271"/>
      <c r="DB682" s="271"/>
      <c r="DC682" s="271"/>
      <c r="DD682" s="234">
        <f t="shared" si="283"/>
        <v>30000000</v>
      </c>
      <c r="DE682" s="244">
        <f t="shared" si="284"/>
        <v>165000000</v>
      </c>
    </row>
    <row r="683" spans="1:109" s="99" customFormat="1" ht="108" customHeight="1">
      <c r="A683" s="103" t="s">
        <v>1244</v>
      </c>
      <c r="B683" s="279" t="s">
        <v>1469</v>
      </c>
      <c r="C683" s="279" t="s">
        <v>1692</v>
      </c>
      <c r="D683" s="279">
        <v>57</v>
      </c>
      <c r="E683" s="279" t="s">
        <v>1662</v>
      </c>
      <c r="F683" s="280" t="s">
        <v>273</v>
      </c>
      <c r="G683" s="279" t="s">
        <v>3610</v>
      </c>
      <c r="H683" s="279">
        <v>67</v>
      </c>
      <c r="I683" s="279" t="s">
        <v>274</v>
      </c>
      <c r="J683" s="279" t="s">
        <v>683</v>
      </c>
      <c r="K683" s="279">
        <v>954</v>
      </c>
      <c r="L683" s="279" t="s">
        <v>1663</v>
      </c>
      <c r="M683" s="279" t="s">
        <v>1669</v>
      </c>
      <c r="N683" s="279" t="s">
        <v>1670</v>
      </c>
      <c r="O683" s="279" t="s">
        <v>1671</v>
      </c>
      <c r="P683" s="283">
        <v>610</v>
      </c>
      <c r="Q683" s="279" t="s">
        <v>3122</v>
      </c>
      <c r="R683" s="279" t="s">
        <v>297</v>
      </c>
      <c r="S683" s="279" t="s">
        <v>683</v>
      </c>
      <c r="T683" s="279">
        <v>79</v>
      </c>
      <c r="U683" s="267">
        <v>18</v>
      </c>
      <c r="V683" s="267"/>
      <c r="W683" s="224">
        <v>18</v>
      </c>
      <c r="X683" s="267"/>
      <c r="Y683" s="267"/>
      <c r="Z683" s="267">
        <v>5</v>
      </c>
      <c r="AA683" s="267">
        <v>5</v>
      </c>
      <c r="AB683" s="224">
        <v>10</v>
      </c>
      <c r="AC683" s="267"/>
      <c r="AD683" s="267"/>
      <c r="AE683" s="267"/>
      <c r="AF683" s="267">
        <v>5</v>
      </c>
      <c r="AG683" s="224">
        <v>5</v>
      </c>
      <c r="AH683" s="267"/>
      <c r="AI683" s="267"/>
      <c r="AJ683" s="267">
        <v>5</v>
      </c>
      <c r="AK683" s="267">
        <v>2</v>
      </c>
      <c r="AL683" s="224">
        <v>7</v>
      </c>
      <c r="AM683" s="104">
        <v>40</v>
      </c>
      <c r="AN683" s="103" t="s">
        <v>685</v>
      </c>
      <c r="AO683" s="103" t="s">
        <v>621</v>
      </c>
      <c r="AP683" s="103" t="s">
        <v>1225</v>
      </c>
      <c r="AQ683" s="103" t="s">
        <v>1197</v>
      </c>
      <c r="AR683" s="103" t="s">
        <v>943</v>
      </c>
      <c r="AS683" s="271"/>
      <c r="AT683" s="271"/>
      <c r="AU683" s="271"/>
      <c r="AV683" s="271"/>
      <c r="AW683" s="271">
        <v>70000000</v>
      </c>
      <c r="AX683" s="271"/>
      <c r="AY683" s="271"/>
      <c r="AZ683" s="271"/>
      <c r="BA683" s="271"/>
      <c r="BB683" s="271"/>
      <c r="BC683" s="271"/>
      <c r="BD683" s="271"/>
      <c r="BE683" s="271"/>
      <c r="BF683" s="271"/>
      <c r="BG683" s="271"/>
      <c r="BH683" s="235">
        <f t="shared" si="280"/>
        <v>70000000</v>
      </c>
      <c r="BI683" s="271"/>
      <c r="BJ683" s="271"/>
      <c r="BK683" s="271"/>
      <c r="BL683" s="271"/>
      <c r="BM683" s="271">
        <v>40000000</v>
      </c>
      <c r="BN683" s="271"/>
      <c r="BO683" s="271"/>
      <c r="BP683" s="271"/>
      <c r="BQ683" s="271"/>
      <c r="BR683" s="271"/>
      <c r="BS683" s="271"/>
      <c r="BT683" s="271"/>
      <c r="BU683" s="271"/>
      <c r="BV683" s="271"/>
      <c r="BW683" s="271"/>
      <c r="BX683" s="235">
        <f t="shared" si="281"/>
        <v>40000000</v>
      </c>
      <c r="BY683" s="271"/>
      <c r="BZ683" s="271"/>
      <c r="CA683" s="271"/>
      <c r="CB683" s="271"/>
      <c r="CC683" s="271">
        <v>25000000</v>
      </c>
      <c r="CD683" s="271"/>
      <c r="CE683" s="271"/>
      <c r="CF683" s="271"/>
      <c r="CG683" s="271"/>
      <c r="CH683" s="271"/>
      <c r="CI683" s="271"/>
      <c r="CJ683" s="271"/>
      <c r="CK683" s="271"/>
      <c r="CL683" s="271"/>
      <c r="CM683" s="271"/>
      <c r="CN683" s="235">
        <f t="shared" si="282"/>
        <v>25000000</v>
      </c>
      <c r="CO683" s="271"/>
      <c r="CP683" s="271"/>
      <c r="CQ683" s="271"/>
      <c r="CR683" s="271"/>
      <c r="CS683" s="271">
        <v>22000000</v>
      </c>
      <c r="CT683" s="271"/>
      <c r="CU683" s="271"/>
      <c r="CV683" s="271"/>
      <c r="CW683" s="271"/>
      <c r="CX683" s="271"/>
      <c r="CY683" s="271"/>
      <c r="CZ683" s="271"/>
      <c r="DA683" s="271"/>
      <c r="DB683" s="271"/>
      <c r="DC683" s="271"/>
      <c r="DD683" s="234">
        <f t="shared" si="283"/>
        <v>22000000</v>
      </c>
      <c r="DE683" s="244">
        <f t="shared" si="284"/>
        <v>157000000</v>
      </c>
    </row>
    <row r="684" spans="1:109" s="99" customFormat="1" ht="108" customHeight="1">
      <c r="A684" s="103" t="s">
        <v>1244</v>
      </c>
      <c r="B684" s="279" t="s">
        <v>1469</v>
      </c>
      <c r="C684" s="279" t="s">
        <v>1692</v>
      </c>
      <c r="D684" s="279">
        <v>57</v>
      </c>
      <c r="E684" s="279" t="s">
        <v>1662</v>
      </c>
      <c r="F684" s="280" t="s">
        <v>273</v>
      </c>
      <c r="G684" s="279" t="s">
        <v>3610</v>
      </c>
      <c r="H684" s="279">
        <v>67</v>
      </c>
      <c r="I684" s="279" t="s">
        <v>274</v>
      </c>
      <c r="J684" s="279" t="s">
        <v>683</v>
      </c>
      <c r="K684" s="279">
        <v>954</v>
      </c>
      <c r="L684" s="279" t="s">
        <v>1663</v>
      </c>
      <c r="M684" s="279" t="s">
        <v>1672</v>
      </c>
      <c r="N684" s="279" t="s">
        <v>1673</v>
      </c>
      <c r="O684" s="279" t="s">
        <v>298</v>
      </c>
      <c r="P684" s="283">
        <v>611</v>
      </c>
      <c r="Q684" s="279" t="s">
        <v>3611</v>
      </c>
      <c r="R684" s="279" t="s">
        <v>299</v>
      </c>
      <c r="S684" s="279" t="s">
        <v>683</v>
      </c>
      <c r="T684" s="279">
        <v>300</v>
      </c>
      <c r="U684" s="267">
        <v>25</v>
      </c>
      <c r="V684" s="267">
        <v>25</v>
      </c>
      <c r="W684" s="224">
        <v>50</v>
      </c>
      <c r="X684" s="267">
        <v>21</v>
      </c>
      <c r="Y684" s="267">
        <v>21</v>
      </c>
      <c r="Z684" s="267">
        <v>21</v>
      </c>
      <c r="AA684" s="267">
        <v>21</v>
      </c>
      <c r="AB684" s="224">
        <v>84</v>
      </c>
      <c r="AC684" s="267">
        <v>25</v>
      </c>
      <c r="AD684" s="267">
        <v>25</v>
      </c>
      <c r="AE684" s="267">
        <v>25</v>
      </c>
      <c r="AF684" s="267">
        <v>25</v>
      </c>
      <c r="AG684" s="224">
        <v>100</v>
      </c>
      <c r="AH684" s="267">
        <v>17</v>
      </c>
      <c r="AI684" s="267">
        <v>17</v>
      </c>
      <c r="AJ684" s="267">
        <v>17</v>
      </c>
      <c r="AK684" s="267">
        <v>15</v>
      </c>
      <c r="AL684" s="224">
        <v>66</v>
      </c>
      <c r="AM684" s="104">
        <v>300</v>
      </c>
      <c r="AN684" s="103" t="s">
        <v>685</v>
      </c>
      <c r="AO684" s="103" t="s">
        <v>621</v>
      </c>
      <c r="AP684" s="103" t="s">
        <v>1225</v>
      </c>
      <c r="AQ684" s="103" t="s">
        <v>1197</v>
      </c>
      <c r="AR684" s="103" t="s">
        <v>943</v>
      </c>
      <c r="AS684" s="271"/>
      <c r="AT684" s="271"/>
      <c r="AU684" s="271"/>
      <c r="AV684" s="271"/>
      <c r="AW684" s="271">
        <v>150000000</v>
      </c>
      <c r="AX684" s="271"/>
      <c r="AY684" s="271"/>
      <c r="AZ684" s="271"/>
      <c r="BA684" s="271"/>
      <c r="BB684" s="271"/>
      <c r="BC684" s="271"/>
      <c r="BD684" s="271"/>
      <c r="BE684" s="271"/>
      <c r="BF684" s="271"/>
      <c r="BG684" s="271"/>
      <c r="BH684" s="235">
        <f t="shared" si="280"/>
        <v>150000000</v>
      </c>
      <c r="BI684" s="271"/>
      <c r="BJ684" s="271"/>
      <c r="BK684" s="271"/>
      <c r="BL684" s="271"/>
      <c r="BM684" s="271">
        <v>70000000</v>
      </c>
      <c r="BN684" s="271"/>
      <c r="BO684" s="271"/>
      <c r="BP684" s="271"/>
      <c r="BQ684" s="271"/>
      <c r="BR684" s="271"/>
      <c r="BS684" s="271"/>
      <c r="BT684" s="271"/>
      <c r="BU684" s="271"/>
      <c r="BV684" s="271"/>
      <c r="BW684" s="271"/>
      <c r="BX684" s="235">
        <f t="shared" si="281"/>
        <v>70000000</v>
      </c>
      <c r="BY684" s="271"/>
      <c r="BZ684" s="271"/>
      <c r="CA684" s="271"/>
      <c r="CB684" s="271"/>
      <c r="CC684" s="271">
        <v>50000000</v>
      </c>
      <c r="CD684" s="271"/>
      <c r="CE684" s="271"/>
      <c r="CF684" s="271"/>
      <c r="CG684" s="271"/>
      <c r="CH684" s="271"/>
      <c r="CI684" s="271"/>
      <c r="CJ684" s="271"/>
      <c r="CK684" s="271"/>
      <c r="CL684" s="271"/>
      <c r="CM684" s="271"/>
      <c r="CN684" s="235">
        <f t="shared" si="282"/>
        <v>50000000</v>
      </c>
      <c r="CO684" s="271"/>
      <c r="CP684" s="271"/>
      <c r="CQ684" s="271"/>
      <c r="CR684" s="271"/>
      <c r="CS684" s="271">
        <v>40000000</v>
      </c>
      <c r="CT684" s="271"/>
      <c r="CU684" s="271"/>
      <c r="CV684" s="271"/>
      <c r="CW684" s="271"/>
      <c r="CX684" s="271"/>
      <c r="CY684" s="271"/>
      <c r="CZ684" s="271"/>
      <c r="DA684" s="271"/>
      <c r="DB684" s="271"/>
      <c r="DC684" s="271"/>
      <c r="DD684" s="234">
        <f t="shared" si="283"/>
        <v>40000000</v>
      </c>
      <c r="DE684" s="244">
        <f t="shared" si="284"/>
        <v>310000000</v>
      </c>
    </row>
    <row r="685" spans="1:109" s="99" customFormat="1" ht="108" customHeight="1">
      <c r="A685" s="103" t="s">
        <v>1244</v>
      </c>
      <c r="B685" s="279" t="s">
        <v>1469</v>
      </c>
      <c r="C685" s="279" t="s">
        <v>1692</v>
      </c>
      <c r="D685" s="279">
        <v>57</v>
      </c>
      <c r="E685" s="279" t="s">
        <v>1662</v>
      </c>
      <c r="F685" s="280" t="s">
        <v>273</v>
      </c>
      <c r="G685" s="279" t="s">
        <v>3610</v>
      </c>
      <c r="H685" s="279">
        <v>67</v>
      </c>
      <c r="I685" s="279" t="s">
        <v>274</v>
      </c>
      <c r="J685" s="279" t="s">
        <v>683</v>
      </c>
      <c r="K685" s="279">
        <v>954</v>
      </c>
      <c r="L685" s="279" t="s">
        <v>1663</v>
      </c>
      <c r="M685" s="279" t="s">
        <v>1672</v>
      </c>
      <c r="N685" s="279" t="s">
        <v>1673</v>
      </c>
      <c r="O685" s="279" t="s">
        <v>298</v>
      </c>
      <c r="P685" s="283">
        <v>612</v>
      </c>
      <c r="Q685" s="279" t="s">
        <v>3123</v>
      </c>
      <c r="R685" s="279" t="s">
        <v>301</v>
      </c>
      <c r="S685" s="279" t="s">
        <v>683</v>
      </c>
      <c r="T685" s="279">
        <v>2</v>
      </c>
      <c r="U685" s="267"/>
      <c r="V685" s="267">
        <v>0.25</v>
      </c>
      <c r="W685" s="224">
        <v>0.25</v>
      </c>
      <c r="X685" s="267">
        <v>0.75</v>
      </c>
      <c r="Y685" s="267"/>
      <c r="Z685" s="267"/>
      <c r="AA685" s="267"/>
      <c r="AB685" s="224">
        <v>0.75</v>
      </c>
      <c r="AC685" s="267"/>
      <c r="AD685" s="267"/>
      <c r="AE685" s="267"/>
      <c r="AF685" s="267">
        <v>0.25</v>
      </c>
      <c r="AG685" s="224">
        <v>0.25</v>
      </c>
      <c r="AH685" s="267">
        <v>0.75</v>
      </c>
      <c r="AI685" s="267"/>
      <c r="AJ685" s="267"/>
      <c r="AK685" s="267"/>
      <c r="AL685" s="224">
        <v>0.75</v>
      </c>
      <c r="AM685" s="104">
        <v>2</v>
      </c>
      <c r="AN685" s="103" t="s">
        <v>685</v>
      </c>
      <c r="AO685" s="103" t="s">
        <v>621</v>
      </c>
      <c r="AP685" s="103" t="s">
        <v>1225</v>
      </c>
      <c r="AQ685" s="103" t="s">
        <v>1197</v>
      </c>
      <c r="AR685" s="103" t="s">
        <v>943</v>
      </c>
      <c r="AS685" s="271"/>
      <c r="AT685" s="271"/>
      <c r="AU685" s="271"/>
      <c r="AV685" s="271"/>
      <c r="AW685" s="271">
        <v>50000000</v>
      </c>
      <c r="AX685" s="271"/>
      <c r="AY685" s="271"/>
      <c r="AZ685" s="271"/>
      <c r="BA685" s="271"/>
      <c r="BB685" s="271"/>
      <c r="BC685" s="271"/>
      <c r="BD685" s="271"/>
      <c r="BE685" s="271"/>
      <c r="BF685" s="271"/>
      <c r="BG685" s="271"/>
      <c r="BH685" s="235">
        <f t="shared" si="280"/>
        <v>50000000</v>
      </c>
      <c r="BI685" s="271"/>
      <c r="BJ685" s="271"/>
      <c r="BK685" s="271"/>
      <c r="BL685" s="271"/>
      <c r="BM685" s="271">
        <v>60000000</v>
      </c>
      <c r="BN685" s="271"/>
      <c r="BO685" s="271"/>
      <c r="BP685" s="271"/>
      <c r="BQ685" s="271"/>
      <c r="BR685" s="271"/>
      <c r="BS685" s="271"/>
      <c r="BT685" s="271"/>
      <c r="BU685" s="271"/>
      <c r="BV685" s="271"/>
      <c r="BW685" s="271"/>
      <c r="BX685" s="235">
        <f t="shared" si="281"/>
        <v>60000000</v>
      </c>
      <c r="BY685" s="271"/>
      <c r="BZ685" s="271"/>
      <c r="CA685" s="271"/>
      <c r="CB685" s="271"/>
      <c r="CC685" s="271">
        <v>25000000</v>
      </c>
      <c r="CD685" s="271"/>
      <c r="CE685" s="271"/>
      <c r="CF685" s="271"/>
      <c r="CG685" s="271"/>
      <c r="CH685" s="271"/>
      <c r="CI685" s="271"/>
      <c r="CJ685" s="271"/>
      <c r="CK685" s="271"/>
      <c r="CL685" s="271"/>
      <c r="CM685" s="271"/>
      <c r="CN685" s="235">
        <f t="shared" si="282"/>
        <v>25000000</v>
      </c>
      <c r="CO685" s="271"/>
      <c r="CP685" s="271"/>
      <c r="CQ685" s="271"/>
      <c r="CR685" s="271"/>
      <c r="CS685" s="271">
        <v>42000000</v>
      </c>
      <c r="CT685" s="271"/>
      <c r="CU685" s="271"/>
      <c r="CV685" s="271"/>
      <c r="CW685" s="271"/>
      <c r="CX685" s="271"/>
      <c r="CY685" s="271"/>
      <c r="CZ685" s="271"/>
      <c r="DA685" s="271"/>
      <c r="DB685" s="271"/>
      <c r="DC685" s="271"/>
      <c r="DD685" s="234">
        <f t="shared" si="283"/>
        <v>42000000</v>
      </c>
      <c r="DE685" s="244">
        <f t="shared" si="284"/>
        <v>177000000</v>
      </c>
    </row>
    <row r="686" spans="1:109" s="99" customFormat="1" ht="108" customHeight="1">
      <c r="A686" s="120" t="s">
        <v>1244</v>
      </c>
      <c r="B686" s="281" t="s">
        <v>1469</v>
      </c>
      <c r="C686" s="281" t="s">
        <v>1692</v>
      </c>
      <c r="D686" s="281">
        <v>57</v>
      </c>
      <c r="E686" s="281" t="s">
        <v>1662</v>
      </c>
      <c r="F686" s="282" t="s">
        <v>273</v>
      </c>
      <c r="G686" s="281" t="s">
        <v>3610</v>
      </c>
      <c r="H686" s="281">
        <v>67</v>
      </c>
      <c r="I686" s="281" t="s">
        <v>274</v>
      </c>
      <c r="J686" s="281" t="s">
        <v>683</v>
      </c>
      <c r="K686" s="281">
        <v>954</v>
      </c>
      <c r="L686" s="281" t="s">
        <v>1663</v>
      </c>
      <c r="M686" s="281" t="s">
        <v>1674</v>
      </c>
      <c r="N686" s="281" t="s">
        <v>1675</v>
      </c>
      <c r="O686" s="281" t="s">
        <v>302</v>
      </c>
      <c r="P686" s="283">
        <v>613</v>
      </c>
      <c r="Q686" s="281" t="s">
        <v>3124</v>
      </c>
      <c r="R686" s="281" t="s">
        <v>303</v>
      </c>
      <c r="S686" s="281" t="s">
        <v>683</v>
      </c>
      <c r="T686" s="281">
        <v>4</v>
      </c>
      <c r="U686" s="275">
        <v>0.25</v>
      </c>
      <c r="V686" s="275">
        <v>0.25</v>
      </c>
      <c r="W686" s="225">
        <v>0.5</v>
      </c>
      <c r="X686" s="275">
        <v>0.25</v>
      </c>
      <c r="Y686" s="275">
        <v>0.25</v>
      </c>
      <c r="Z686" s="275">
        <v>0.5</v>
      </c>
      <c r="AA686" s="275">
        <v>0.5</v>
      </c>
      <c r="AB686" s="225">
        <v>1.5</v>
      </c>
      <c r="AC686" s="275">
        <v>0.25</v>
      </c>
      <c r="AD686" s="275">
        <v>0.25</v>
      </c>
      <c r="AE686" s="275">
        <v>0.25</v>
      </c>
      <c r="AF686" s="275">
        <v>0.25</v>
      </c>
      <c r="AG686" s="225">
        <v>1</v>
      </c>
      <c r="AH686" s="275">
        <v>0.25</v>
      </c>
      <c r="AI686" s="275">
        <v>0.25</v>
      </c>
      <c r="AJ686" s="275">
        <v>0.25</v>
      </c>
      <c r="AK686" s="275">
        <v>0.25</v>
      </c>
      <c r="AL686" s="225">
        <v>1</v>
      </c>
      <c r="AM686" s="119">
        <v>4</v>
      </c>
      <c r="AN686" s="120" t="s">
        <v>685</v>
      </c>
      <c r="AO686" s="120" t="s">
        <v>621</v>
      </c>
      <c r="AP686" s="120" t="s">
        <v>1225</v>
      </c>
      <c r="AQ686" s="120" t="s">
        <v>1195</v>
      </c>
      <c r="AR686" s="120" t="s">
        <v>943</v>
      </c>
      <c r="AS686" s="276"/>
      <c r="AT686" s="276"/>
      <c r="AU686" s="276"/>
      <c r="AV686" s="276"/>
      <c r="AW686" s="276">
        <v>200000000</v>
      </c>
      <c r="AX686" s="276"/>
      <c r="AY686" s="276"/>
      <c r="AZ686" s="276"/>
      <c r="BA686" s="276"/>
      <c r="BB686" s="276"/>
      <c r="BC686" s="276"/>
      <c r="BD686" s="276"/>
      <c r="BE686" s="276"/>
      <c r="BF686" s="276"/>
      <c r="BG686" s="276"/>
      <c r="BH686" s="236">
        <f t="shared" si="280"/>
        <v>200000000</v>
      </c>
      <c r="BI686" s="276"/>
      <c r="BJ686" s="276"/>
      <c r="BK686" s="276"/>
      <c r="BL686" s="276"/>
      <c r="BM686" s="276">
        <v>130000000</v>
      </c>
      <c r="BN686" s="276"/>
      <c r="BO686" s="276"/>
      <c r="BP686" s="276"/>
      <c r="BQ686" s="276"/>
      <c r="BR686" s="276"/>
      <c r="BS686" s="276"/>
      <c r="BT686" s="276"/>
      <c r="BU686" s="276"/>
      <c r="BV686" s="276"/>
      <c r="BW686" s="276"/>
      <c r="BX686" s="236">
        <f t="shared" si="281"/>
        <v>130000000</v>
      </c>
      <c r="BY686" s="276"/>
      <c r="BZ686" s="276"/>
      <c r="CA686" s="276"/>
      <c r="CB686" s="276"/>
      <c r="CC686" s="276">
        <v>80000000</v>
      </c>
      <c r="CD686" s="276"/>
      <c r="CE686" s="276"/>
      <c r="CF686" s="276"/>
      <c r="CG686" s="276"/>
      <c r="CH686" s="276"/>
      <c r="CI686" s="276"/>
      <c r="CJ686" s="276"/>
      <c r="CK686" s="276"/>
      <c r="CL686" s="276"/>
      <c r="CM686" s="276"/>
      <c r="CN686" s="236">
        <f t="shared" si="282"/>
        <v>80000000</v>
      </c>
      <c r="CO686" s="276"/>
      <c r="CP686" s="276"/>
      <c r="CQ686" s="276"/>
      <c r="CR686" s="276"/>
      <c r="CS686" s="276">
        <v>83111110</v>
      </c>
      <c r="CT686" s="276"/>
      <c r="CU686" s="276"/>
      <c r="CV686" s="276"/>
      <c r="CW686" s="276"/>
      <c r="CX686" s="276"/>
      <c r="CY686" s="276"/>
      <c r="CZ686" s="276"/>
      <c r="DA686" s="276"/>
      <c r="DB686" s="276"/>
      <c r="DC686" s="276"/>
      <c r="DD686" s="240">
        <f t="shared" si="283"/>
        <v>83111110</v>
      </c>
      <c r="DE686" s="245">
        <f t="shared" si="284"/>
        <v>493111110</v>
      </c>
    </row>
    <row r="687" spans="1:109" s="46" customFormat="1" ht="65.099999999999994" customHeight="1">
      <c r="A687" s="134" t="s">
        <v>1244</v>
      </c>
      <c r="B687" s="134" t="s">
        <v>1469</v>
      </c>
      <c r="C687" s="134" t="s">
        <v>1692</v>
      </c>
      <c r="D687" s="134">
        <v>57</v>
      </c>
      <c r="E687" s="134" t="s">
        <v>1662</v>
      </c>
      <c r="F687" s="135"/>
      <c r="G687" s="136"/>
      <c r="H687" s="137"/>
      <c r="I687" s="137"/>
      <c r="J687" s="137"/>
      <c r="K687" s="138"/>
      <c r="L687" s="137"/>
      <c r="M687" s="137"/>
      <c r="N687" s="137"/>
      <c r="O687" s="137"/>
      <c r="P687" s="137"/>
      <c r="Q687" s="136"/>
      <c r="R687" s="139"/>
      <c r="S687" s="137"/>
      <c r="T687" s="137"/>
      <c r="U687" s="140"/>
      <c r="V687" s="140"/>
      <c r="W687" s="138"/>
      <c r="X687" s="140"/>
      <c r="Y687" s="140"/>
      <c r="Z687" s="140"/>
      <c r="AA687" s="140"/>
      <c r="AB687" s="138"/>
      <c r="AC687" s="140"/>
      <c r="AD687" s="140"/>
      <c r="AE687" s="140"/>
      <c r="AF687" s="140"/>
      <c r="AG687" s="138"/>
      <c r="AH687" s="140"/>
      <c r="AI687" s="140"/>
      <c r="AJ687" s="140"/>
      <c r="AK687" s="140"/>
      <c r="AL687" s="138"/>
      <c r="AM687" s="141"/>
      <c r="AN687" s="142"/>
      <c r="AO687" s="142"/>
      <c r="AP687" s="143"/>
      <c r="AQ687" s="143"/>
      <c r="AR687" s="144"/>
      <c r="AS687" s="132">
        <f>SUM(AS675:AS686)</f>
        <v>0</v>
      </c>
      <c r="AT687" s="132">
        <f t="shared" ref="AT687:DE687" si="285">SUM(AT675:AT686)</f>
        <v>0</v>
      </c>
      <c r="AU687" s="132">
        <f t="shared" si="285"/>
        <v>0</v>
      </c>
      <c r="AV687" s="132">
        <f t="shared" si="285"/>
        <v>0</v>
      </c>
      <c r="AW687" s="132">
        <f t="shared" si="285"/>
        <v>1081433165</v>
      </c>
      <c r="AX687" s="132">
        <f t="shared" si="285"/>
        <v>0</v>
      </c>
      <c r="AY687" s="132">
        <f t="shared" si="285"/>
        <v>0</v>
      </c>
      <c r="AZ687" s="132">
        <f t="shared" si="285"/>
        <v>0</v>
      </c>
      <c r="BA687" s="132">
        <f t="shared" si="285"/>
        <v>0</v>
      </c>
      <c r="BB687" s="132">
        <f t="shared" si="285"/>
        <v>0</v>
      </c>
      <c r="BC687" s="132">
        <f t="shared" si="285"/>
        <v>0</v>
      </c>
      <c r="BD687" s="132">
        <f t="shared" si="285"/>
        <v>0</v>
      </c>
      <c r="BE687" s="132">
        <f t="shared" si="285"/>
        <v>0</v>
      </c>
      <c r="BF687" s="132">
        <f t="shared" si="285"/>
        <v>0</v>
      </c>
      <c r="BG687" s="132">
        <f t="shared" si="285"/>
        <v>0</v>
      </c>
      <c r="BH687" s="133">
        <f>IF(OR(AND(BH675=0,W675&lt;&gt;0),AND(BH676=0,W676&lt;&gt;0),AND(BH677=0,W677&lt;&gt;0),AND(BH678=0,W678&lt;&gt;0),AND(BH679=0,W679&lt;&gt;0),AND(BH680=0,W680&lt;&gt;0),AND(BH681=0,W681&lt;&gt;0),AND(BH682=0,W682&lt;&gt;0),AND(BH683=0,W683&lt;&gt;0),AND(BH684=0,W684&lt;&gt;0),AND(BH685=0,W685&lt;&gt;0),AND(BH686=0,W686&lt;&gt;0)),"NO DEBEN QUEDAR CELDAS EN ROJO",SUM(BH675:BH686))</f>
        <v>1081433165</v>
      </c>
      <c r="BI687" s="132">
        <f t="shared" si="285"/>
        <v>0</v>
      </c>
      <c r="BJ687" s="132">
        <f t="shared" si="285"/>
        <v>0</v>
      </c>
      <c r="BK687" s="132">
        <f t="shared" si="285"/>
        <v>0</v>
      </c>
      <c r="BL687" s="132">
        <f t="shared" si="285"/>
        <v>0</v>
      </c>
      <c r="BM687" s="132">
        <f t="shared" si="285"/>
        <v>666666665</v>
      </c>
      <c r="BN687" s="132">
        <f t="shared" si="285"/>
        <v>0</v>
      </c>
      <c r="BO687" s="132">
        <f t="shared" si="285"/>
        <v>0</v>
      </c>
      <c r="BP687" s="132">
        <f t="shared" si="285"/>
        <v>0</v>
      </c>
      <c r="BQ687" s="132">
        <f t="shared" si="285"/>
        <v>0</v>
      </c>
      <c r="BR687" s="132">
        <f t="shared" si="285"/>
        <v>0</v>
      </c>
      <c r="BS687" s="132">
        <f t="shared" si="285"/>
        <v>0</v>
      </c>
      <c r="BT687" s="132">
        <f t="shared" si="285"/>
        <v>0</v>
      </c>
      <c r="BU687" s="132">
        <f t="shared" si="285"/>
        <v>0</v>
      </c>
      <c r="BV687" s="132">
        <f t="shared" si="285"/>
        <v>0</v>
      </c>
      <c r="BW687" s="132">
        <f t="shared" si="285"/>
        <v>4500000000</v>
      </c>
      <c r="BX687" s="133">
        <f>IF(OR(AND(BX675=0,AB675&lt;&gt;0),AND(BX676=0,AB676&lt;&gt;0),AND(BX677=0,AB677&lt;&gt;0),AND(BX678=0,AB678&lt;&gt;0),AND(BX679=0,AB679&lt;&gt;0),AND(BX680=0,AB680&lt;&gt;0),AND(BX681=0,AB681&lt;&gt;0),AND(BX682=0,AB682&lt;&gt;0),AND(BX683=0,AB683&lt;&gt;0),AND(BX684=0,AB684&lt;&gt;0),AND(BX685=0,AB685&lt;&gt;0),AND(BX686=0,AB686&lt;&gt;0)),"NO DEBEN QUEDAR CELDAS EN ROJO",SUM(BX675:BX686))</f>
        <v>5166666665</v>
      </c>
      <c r="BY687" s="132">
        <f t="shared" si="285"/>
        <v>0</v>
      </c>
      <c r="BZ687" s="132">
        <f t="shared" si="285"/>
        <v>0</v>
      </c>
      <c r="CA687" s="132">
        <f t="shared" si="285"/>
        <v>0</v>
      </c>
      <c r="CB687" s="132">
        <f t="shared" si="285"/>
        <v>0</v>
      </c>
      <c r="CC687" s="132">
        <f t="shared" si="285"/>
        <v>388888885</v>
      </c>
      <c r="CD687" s="132">
        <f t="shared" si="285"/>
        <v>0</v>
      </c>
      <c r="CE687" s="132">
        <f t="shared" si="285"/>
        <v>0</v>
      </c>
      <c r="CF687" s="132">
        <f t="shared" si="285"/>
        <v>0</v>
      </c>
      <c r="CG687" s="132">
        <f t="shared" si="285"/>
        <v>0</v>
      </c>
      <c r="CH687" s="132">
        <f t="shared" si="285"/>
        <v>0</v>
      </c>
      <c r="CI687" s="132">
        <f t="shared" si="285"/>
        <v>0</v>
      </c>
      <c r="CJ687" s="132">
        <f t="shared" si="285"/>
        <v>0</v>
      </c>
      <c r="CK687" s="132">
        <f t="shared" si="285"/>
        <v>0</v>
      </c>
      <c r="CL687" s="132">
        <f t="shared" si="285"/>
        <v>0</v>
      </c>
      <c r="CM687" s="132">
        <f t="shared" si="285"/>
        <v>0</v>
      </c>
      <c r="CN687" s="133">
        <f>IF(OR(AND(CN675=0,AG675&lt;&gt;0),AND(CN676=0,AG676&lt;&gt;0),AND(CN677=0,AG677&lt;&gt;0),AND(CN678=0,AG678&lt;&gt;0),AND(CN679=0,AG679&lt;&gt;0),AND(CN680=0,AG680&lt;&gt;0),AND(CN681=0,AG681&lt;&gt;0),AND(CN682=0,AG682&lt;&gt;0),AND(CN683=0,AG683&lt;&gt;0),AND(CN684=0,AG684&lt;&gt;0),AND(CN685=0,AG685&lt;&gt;0),AND(CN686=0,AG686&lt;&gt;0)),"NO DEBEN QUEDAR CELDAS EN ROJO",SUM(CN675:CN686))</f>
        <v>388888885</v>
      </c>
      <c r="CO687" s="132">
        <f t="shared" si="285"/>
        <v>0</v>
      </c>
      <c r="CP687" s="132">
        <f t="shared" si="285"/>
        <v>0</v>
      </c>
      <c r="CQ687" s="132">
        <f t="shared" si="285"/>
        <v>0</v>
      </c>
      <c r="CR687" s="132">
        <f t="shared" si="285"/>
        <v>0</v>
      </c>
      <c r="CS687" s="132">
        <f t="shared" si="285"/>
        <v>411111110</v>
      </c>
      <c r="CT687" s="132">
        <f t="shared" si="285"/>
        <v>0</v>
      </c>
      <c r="CU687" s="132">
        <f t="shared" si="285"/>
        <v>0</v>
      </c>
      <c r="CV687" s="132">
        <f t="shared" si="285"/>
        <v>0</v>
      </c>
      <c r="CW687" s="132">
        <f t="shared" si="285"/>
        <v>0</v>
      </c>
      <c r="CX687" s="132">
        <f t="shared" si="285"/>
        <v>0</v>
      </c>
      <c r="CY687" s="132">
        <f t="shared" si="285"/>
        <v>0</v>
      </c>
      <c r="CZ687" s="132">
        <f t="shared" si="285"/>
        <v>0</v>
      </c>
      <c r="DA687" s="132">
        <f t="shared" si="285"/>
        <v>0</v>
      </c>
      <c r="DB687" s="132">
        <f t="shared" si="285"/>
        <v>0</v>
      </c>
      <c r="DC687" s="132">
        <f t="shared" si="285"/>
        <v>0</v>
      </c>
      <c r="DD687" s="133">
        <f>IF(OR(AND(DD675=0,AL675&lt;&gt;0),AND(DD676=0,AL676&lt;&gt;0),AND(DD677=0,AL677&lt;&gt;0),AND(DD678=0,AL678&lt;&gt;0),AND(DD679=0,AL679&lt;&gt;0),AND(DD680=0,AL680&lt;&gt;0),AND(DD681=0,AL681&lt;&gt;0),AND(DD682=0,AL682&lt;&gt;0),AND(DD683=0,AL683&lt;&gt;0),AND(DD684=0,AL684&lt;&gt;0),AND(DD685=0,AL685&lt;&gt;0),AND(DD686=0,AL686&lt;&gt;0)),"NO DEBEN QUEDAR CELDAS EN ROJO",SUM(DD675:DD686))</f>
        <v>411111110</v>
      </c>
      <c r="DE687" s="133">
        <f t="shared" si="285"/>
        <v>7048099825</v>
      </c>
    </row>
    <row r="688" spans="1:109" s="99" customFormat="1" ht="95.1" customHeight="1">
      <c r="A688" s="103" t="s">
        <v>1244</v>
      </c>
      <c r="B688" s="103" t="s">
        <v>1469</v>
      </c>
      <c r="C688" s="103" t="s">
        <v>1692</v>
      </c>
      <c r="D688" s="103">
        <v>58</v>
      </c>
      <c r="E688" s="103" t="s">
        <v>1676</v>
      </c>
      <c r="F688" s="278" t="s">
        <v>304</v>
      </c>
      <c r="G688" s="103" t="s">
        <v>3125</v>
      </c>
      <c r="H688" s="103">
        <v>68</v>
      </c>
      <c r="I688" s="103" t="s">
        <v>1677</v>
      </c>
      <c r="J688" s="103" t="s">
        <v>683</v>
      </c>
      <c r="K688" s="103">
        <v>33</v>
      </c>
      <c r="L688" s="103" t="s">
        <v>848</v>
      </c>
      <c r="M688" s="103" t="s">
        <v>1678</v>
      </c>
      <c r="N688" s="103" t="s">
        <v>1679</v>
      </c>
      <c r="O688" s="103" t="s">
        <v>307</v>
      </c>
      <c r="P688" s="283">
        <v>614</v>
      </c>
      <c r="Q688" s="103" t="s">
        <v>3126</v>
      </c>
      <c r="R688" s="103" t="s">
        <v>308</v>
      </c>
      <c r="S688" s="103" t="s">
        <v>683</v>
      </c>
      <c r="T688" s="103">
        <v>16</v>
      </c>
      <c r="U688" s="267">
        <v>1</v>
      </c>
      <c r="V688" s="267"/>
      <c r="W688" s="224">
        <v>1</v>
      </c>
      <c r="X688" s="267"/>
      <c r="Y688" s="267"/>
      <c r="Z688" s="267">
        <v>2</v>
      </c>
      <c r="AA688" s="267">
        <v>1</v>
      </c>
      <c r="AB688" s="224">
        <v>3</v>
      </c>
      <c r="AC688" s="267"/>
      <c r="AD688" s="267"/>
      <c r="AE688" s="267">
        <v>2</v>
      </c>
      <c r="AF688" s="267">
        <v>1</v>
      </c>
      <c r="AG688" s="224">
        <v>3</v>
      </c>
      <c r="AH688" s="267"/>
      <c r="AI688" s="267">
        <v>1</v>
      </c>
      <c r="AJ688" s="267"/>
      <c r="AK688" s="267"/>
      <c r="AL688" s="224">
        <v>1</v>
      </c>
      <c r="AM688" s="102">
        <v>8</v>
      </c>
      <c r="AN688" s="103" t="s">
        <v>685</v>
      </c>
      <c r="AO688" s="103" t="s">
        <v>621</v>
      </c>
      <c r="AP688" s="103" t="s">
        <v>1225</v>
      </c>
      <c r="AQ688" s="103" t="s">
        <v>1197</v>
      </c>
      <c r="AR688" s="103" t="s">
        <v>943</v>
      </c>
      <c r="AS688" s="268"/>
      <c r="AT688" s="268"/>
      <c r="AU688" s="268"/>
      <c r="AV688" s="268"/>
      <c r="AW688" s="268">
        <v>200000000</v>
      </c>
      <c r="AX688" s="268"/>
      <c r="AY688" s="268"/>
      <c r="AZ688" s="268"/>
      <c r="BA688" s="268"/>
      <c r="BB688" s="268"/>
      <c r="BC688" s="268"/>
      <c r="BD688" s="268"/>
      <c r="BE688" s="268"/>
      <c r="BF688" s="268"/>
      <c r="BG688" s="268"/>
      <c r="BH688" s="234">
        <f t="shared" ref="BH688:BH693" si="286">IF(W688=0,0,BG688+BF688+BE688+BD688+BC688+BB688+BA688+AZ688+AY688+AX688+AW688+AV688+AU688+AT688+AS688)</f>
        <v>200000000</v>
      </c>
      <c r="BI688" s="268"/>
      <c r="BJ688" s="268"/>
      <c r="BK688" s="268"/>
      <c r="BL688" s="268"/>
      <c r="BM688" s="268">
        <v>165000000</v>
      </c>
      <c r="BN688" s="268"/>
      <c r="BO688" s="268"/>
      <c r="BP688" s="268"/>
      <c r="BQ688" s="268"/>
      <c r="BR688" s="268"/>
      <c r="BS688" s="268"/>
      <c r="BT688" s="268"/>
      <c r="BU688" s="268"/>
      <c r="BV688" s="268"/>
      <c r="BW688" s="268">
        <v>1500000000</v>
      </c>
      <c r="BX688" s="234">
        <f t="shared" ref="BX688:BX693" si="287">IF(AB688=0,0,BI688+BJ688+BK688+BL688+BM688+BN688+BO688+BP688+BQ688+BR688+BS688+BT688+BU688+BV688+BW688)</f>
        <v>1665000000</v>
      </c>
      <c r="BY688" s="268"/>
      <c r="BZ688" s="268"/>
      <c r="CA688" s="268"/>
      <c r="CB688" s="268"/>
      <c r="CC688" s="268">
        <v>74000000</v>
      </c>
      <c r="CD688" s="268"/>
      <c r="CE688" s="268"/>
      <c r="CF688" s="268"/>
      <c r="CG688" s="268"/>
      <c r="CH688" s="268"/>
      <c r="CI688" s="268"/>
      <c r="CJ688" s="268"/>
      <c r="CK688" s="268"/>
      <c r="CL688" s="268"/>
      <c r="CM688" s="268"/>
      <c r="CN688" s="234">
        <f t="shared" ref="CN688:CN693" si="288">IF(AG688=0,0,(BY688+BZ688+CA688+CB688+CC688+CD688+CE688+CF688+CG688+CH688+CI688+CJ688+CK688+CL688+CM688))</f>
        <v>74000000</v>
      </c>
      <c r="CO688" s="268"/>
      <c r="CP688" s="268"/>
      <c r="CQ688" s="268"/>
      <c r="CR688" s="268"/>
      <c r="CS688" s="268">
        <v>80000000</v>
      </c>
      <c r="CT688" s="268"/>
      <c r="CU688" s="268"/>
      <c r="CV688" s="268"/>
      <c r="CW688" s="268"/>
      <c r="CX688" s="268"/>
      <c r="CY688" s="268"/>
      <c r="CZ688" s="268"/>
      <c r="DA688" s="268"/>
      <c r="DB688" s="268"/>
      <c r="DC688" s="268"/>
      <c r="DD688" s="234">
        <f t="shared" ref="DD688:DD693" si="289">IF(AL688=0,0,(CO688+CP688+CQ688+CR688+CS688+CT688+CU688+CV688+CW688+CX688+CY688+CZ688+DA688+DB688+DC688))</f>
        <v>80000000</v>
      </c>
      <c r="DE688" s="243">
        <f t="shared" ref="DE688:DE693" si="290">SUM(DD688+CN688+BX688+BH688)</f>
        <v>2019000000</v>
      </c>
    </row>
    <row r="689" spans="1:109" s="99" customFormat="1" ht="95.1" customHeight="1">
      <c r="A689" s="103" t="s">
        <v>1244</v>
      </c>
      <c r="B689" s="279" t="s">
        <v>1469</v>
      </c>
      <c r="C689" s="279" t="s">
        <v>1692</v>
      </c>
      <c r="D689" s="279">
        <v>58</v>
      </c>
      <c r="E689" s="279" t="s">
        <v>1676</v>
      </c>
      <c r="F689" s="280" t="s">
        <v>304</v>
      </c>
      <c r="G689" s="279" t="s">
        <v>3125</v>
      </c>
      <c r="H689" s="279">
        <v>68</v>
      </c>
      <c r="I689" s="279" t="s">
        <v>1677</v>
      </c>
      <c r="J689" s="279" t="s">
        <v>683</v>
      </c>
      <c r="K689" s="279">
        <v>33</v>
      </c>
      <c r="L689" s="279" t="s">
        <v>848</v>
      </c>
      <c r="M689" s="279" t="s">
        <v>1678</v>
      </c>
      <c r="N689" s="279" t="s">
        <v>1679</v>
      </c>
      <c r="O689" s="279" t="s">
        <v>307</v>
      </c>
      <c r="P689" s="283">
        <v>615</v>
      </c>
      <c r="Q689" s="279" t="s">
        <v>3612</v>
      </c>
      <c r="R689" s="279" t="s">
        <v>309</v>
      </c>
      <c r="S689" s="279" t="s">
        <v>683</v>
      </c>
      <c r="T689" s="279">
        <v>6</v>
      </c>
      <c r="U689" s="267">
        <v>0.25</v>
      </c>
      <c r="V689" s="267">
        <v>0.25</v>
      </c>
      <c r="W689" s="224">
        <v>0.5</v>
      </c>
      <c r="X689" s="267"/>
      <c r="Y689" s="267">
        <v>0.25</v>
      </c>
      <c r="Z689" s="267">
        <v>0.5</v>
      </c>
      <c r="AA689" s="267">
        <v>0.25</v>
      </c>
      <c r="AB689" s="224">
        <v>1</v>
      </c>
      <c r="AC689" s="267"/>
      <c r="AD689" s="267">
        <v>0.25</v>
      </c>
      <c r="AE689" s="267">
        <v>0.5</v>
      </c>
      <c r="AF689" s="267">
        <v>0.25</v>
      </c>
      <c r="AG689" s="224">
        <v>1</v>
      </c>
      <c r="AH689" s="267"/>
      <c r="AI689" s="267">
        <v>0.25</v>
      </c>
      <c r="AJ689" s="267">
        <v>0.25</v>
      </c>
      <c r="AK689" s="267"/>
      <c r="AL689" s="224">
        <v>0.5</v>
      </c>
      <c r="AM689" s="104">
        <v>3</v>
      </c>
      <c r="AN689" s="103" t="s">
        <v>685</v>
      </c>
      <c r="AO689" s="103" t="s">
        <v>621</v>
      </c>
      <c r="AP689" s="103" t="s">
        <v>1225</v>
      </c>
      <c r="AQ689" s="103" t="s">
        <v>1197</v>
      </c>
      <c r="AR689" s="103" t="s">
        <v>943</v>
      </c>
      <c r="AS689" s="271"/>
      <c r="AT689" s="271"/>
      <c r="AU689" s="271"/>
      <c r="AV689" s="271"/>
      <c r="AW689" s="271">
        <v>200000000</v>
      </c>
      <c r="AX689" s="271"/>
      <c r="AY689" s="271"/>
      <c r="AZ689" s="271"/>
      <c r="BA689" s="271"/>
      <c r="BB689" s="271"/>
      <c r="BC689" s="271"/>
      <c r="BD689" s="271"/>
      <c r="BE689" s="271"/>
      <c r="BF689" s="271"/>
      <c r="BG689" s="271"/>
      <c r="BH689" s="235">
        <f t="shared" si="286"/>
        <v>200000000</v>
      </c>
      <c r="BI689" s="271"/>
      <c r="BJ689" s="271"/>
      <c r="BK689" s="271"/>
      <c r="BL689" s="271"/>
      <c r="BM689" s="271">
        <v>105000000</v>
      </c>
      <c r="BN689" s="271"/>
      <c r="BO689" s="271"/>
      <c r="BP689" s="271"/>
      <c r="BQ689" s="271"/>
      <c r="BR689" s="271"/>
      <c r="BS689" s="271"/>
      <c r="BT689" s="271"/>
      <c r="BU689" s="271"/>
      <c r="BV689" s="271"/>
      <c r="BW689" s="271"/>
      <c r="BX689" s="235">
        <f t="shared" si="287"/>
        <v>105000000</v>
      </c>
      <c r="BY689" s="271"/>
      <c r="BZ689" s="271"/>
      <c r="CA689" s="271"/>
      <c r="CB689" s="271"/>
      <c r="CC689" s="271">
        <v>62000000</v>
      </c>
      <c r="CD689" s="271"/>
      <c r="CE689" s="271"/>
      <c r="CF689" s="271"/>
      <c r="CG689" s="271"/>
      <c r="CH689" s="271"/>
      <c r="CI689" s="271"/>
      <c r="CJ689" s="271"/>
      <c r="CK689" s="271"/>
      <c r="CL689" s="271"/>
      <c r="CM689" s="271"/>
      <c r="CN689" s="235">
        <f t="shared" si="288"/>
        <v>62000000</v>
      </c>
      <c r="CO689" s="271"/>
      <c r="CP689" s="271"/>
      <c r="CQ689" s="271"/>
      <c r="CR689" s="271"/>
      <c r="CS689" s="271">
        <v>65000000</v>
      </c>
      <c r="CT689" s="271"/>
      <c r="CU689" s="271"/>
      <c r="CV689" s="271"/>
      <c r="CW689" s="271"/>
      <c r="CX689" s="271"/>
      <c r="CY689" s="271"/>
      <c r="CZ689" s="271"/>
      <c r="DA689" s="271"/>
      <c r="DB689" s="271"/>
      <c r="DC689" s="271"/>
      <c r="DD689" s="234">
        <f t="shared" si="289"/>
        <v>65000000</v>
      </c>
      <c r="DE689" s="244">
        <f t="shared" si="290"/>
        <v>432000000</v>
      </c>
    </row>
    <row r="690" spans="1:109" s="99" customFormat="1" ht="95.1" customHeight="1">
      <c r="A690" s="103" t="s">
        <v>1244</v>
      </c>
      <c r="B690" s="279" t="s">
        <v>1469</v>
      </c>
      <c r="C690" s="279" t="s">
        <v>1692</v>
      </c>
      <c r="D690" s="279">
        <v>58</v>
      </c>
      <c r="E690" s="279" t="s">
        <v>1676</v>
      </c>
      <c r="F690" s="280" t="s">
        <v>304</v>
      </c>
      <c r="G690" s="279" t="s">
        <v>3125</v>
      </c>
      <c r="H690" s="279">
        <v>68</v>
      </c>
      <c r="I690" s="279" t="s">
        <v>1677</v>
      </c>
      <c r="J690" s="279" t="s">
        <v>683</v>
      </c>
      <c r="K690" s="279">
        <v>33</v>
      </c>
      <c r="L690" s="279" t="s">
        <v>848</v>
      </c>
      <c r="M690" s="279" t="s">
        <v>1680</v>
      </c>
      <c r="N690" s="279" t="s">
        <v>1681</v>
      </c>
      <c r="O690" s="279" t="s">
        <v>311</v>
      </c>
      <c r="P690" s="283">
        <v>616</v>
      </c>
      <c r="Q690" s="279" t="s">
        <v>3613</v>
      </c>
      <c r="R690" s="279" t="s">
        <v>312</v>
      </c>
      <c r="S690" s="279" t="s">
        <v>683</v>
      </c>
      <c r="T690" s="279">
        <v>7</v>
      </c>
      <c r="U690" s="267">
        <v>1</v>
      </c>
      <c r="V690" s="267">
        <v>1</v>
      </c>
      <c r="W690" s="224">
        <v>2</v>
      </c>
      <c r="X690" s="267">
        <v>0.25</v>
      </c>
      <c r="Y690" s="267">
        <v>0.75</v>
      </c>
      <c r="Z690" s="267">
        <v>0.75</v>
      </c>
      <c r="AA690" s="267">
        <v>0.25</v>
      </c>
      <c r="AB690" s="224">
        <v>2</v>
      </c>
      <c r="AC690" s="267">
        <v>0.25</v>
      </c>
      <c r="AD690" s="267">
        <v>0.75</v>
      </c>
      <c r="AE690" s="267">
        <v>0.75</v>
      </c>
      <c r="AF690" s="267">
        <v>0.25</v>
      </c>
      <c r="AG690" s="224">
        <v>2</v>
      </c>
      <c r="AH690" s="267">
        <v>0.25</v>
      </c>
      <c r="AI690" s="267">
        <v>0.25</v>
      </c>
      <c r="AJ690" s="267">
        <v>0.25</v>
      </c>
      <c r="AK690" s="267">
        <v>0.25</v>
      </c>
      <c r="AL690" s="224">
        <v>1</v>
      </c>
      <c r="AM690" s="104">
        <v>7</v>
      </c>
      <c r="AN690" s="103" t="s">
        <v>685</v>
      </c>
      <c r="AO690" s="103" t="s">
        <v>621</v>
      </c>
      <c r="AP690" s="103" t="s">
        <v>1225</v>
      </c>
      <c r="AQ690" s="103" t="s">
        <v>1197</v>
      </c>
      <c r="AR690" s="103" t="s">
        <v>943</v>
      </c>
      <c r="AS690" s="271"/>
      <c r="AT690" s="271"/>
      <c r="AU690" s="271"/>
      <c r="AV690" s="271"/>
      <c r="AW690" s="271">
        <v>150000000</v>
      </c>
      <c r="AX690" s="271"/>
      <c r="AY690" s="271"/>
      <c r="AZ690" s="271"/>
      <c r="BA690" s="271"/>
      <c r="BB690" s="271"/>
      <c r="BC690" s="271"/>
      <c r="BD690" s="271"/>
      <c r="BE690" s="271"/>
      <c r="BF690" s="271"/>
      <c r="BG690" s="271"/>
      <c r="BH690" s="235">
        <f t="shared" si="286"/>
        <v>150000000</v>
      </c>
      <c r="BI690" s="271"/>
      <c r="BJ690" s="271"/>
      <c r="BK690" s="271"/>
      <c r="BL690" s="271"/>
      <c r="BM690" s="271">
        <v>80000000</v>
      </c>
      <c r="BN690" s="271"/>
      <c r="BO690" s="271"/>
      <c r="BP690" s="271"/>
      <c r="BQ690" s="271"/>
      <c r="BR690" s="271"/>
      <c r="BS690" s="271"/>
      <c r="BT690" s="271"/>
      <c r="BU690" s="271"/>
      <c r="BV690" s="271"/>
      <c r="BW690" s="271"/>
      <c r="BX690" s="235">
        <f t="shared" si="287"/>
        <v>80000000</v>
      </c>
      <c r="BY690" s="271"/>
      <c r="BZ690" s="271"/>
      <c r="CA690" s="271"/>
      <c r="CB690" s="271"/>
      <c r="CC690" s="271">
        <v>50000000</v>
      </c>
      <c r="CD690" s="271"/>
      <c r="CE690" s="271"/>
      <c r="CF690" s="271"/>
      <c r="CG690" s="271"/>
      <c r="CH690" s="271"/>
      <c r="CI690" s="271"/>
      <c r="CJ690" s="271"/>
      <c r="CK690" s="271"/>
      <c r="CL690" s="271"/>
      <c r="CM690" s="271"/>
      <c r="CN690" s="235">
        <f t="shared" si="288"/>
        <v>50000000</v>
      </c>
      <c r="CO690" s="271"/>
      <c r="CP690" s="271"/>
      <c r="CQ690" s="271"/>
      <c r="CR690" s="271"/>
      <c r="CS690" s="271">
        <v>50000000</v>
      </c>
      <c r="CT690" s="271"/>
      <c r="CU690" s="271"/>
      <c r="CV690" s="271"/>
      <c r="CW690" s="271"/>
      <c r="CX690" s="271"/>
      <c r="CY690" s="271"/>
      <c r="CZ690" s="271"/>
      <c r="DA690" s="271"/>
      <c r="DB690" s="271"/>
      <c r="DC690" s="271"/>
      <c r="DD690" s="234">
        <f t="shared" si="289"/>
        <v>50000000</v>
      </c>
      <c r="DE690" s="244">
        <f t="shared" si="290"/>
        <v>330000000</v>
      </c>
    </row>
    <row r="691" spans="1:109" s="99" customFormat="1" ht="95.1" customHeight="1">
      <c r="A691" s="103" t="s">
        <v>1244</v>
      </c>
      <c r="B691" s="279" t="s">
        <v>1469</v>
      </c>
      <c r="C691" s="279" t="s">
        <v>1692</v>
      </c>
      <c r="D691" s="279">
        <v>58</v>
      </c>
      <c r="E691" s="279" t="s">
        <v>1676</v>
      </c>
      <c r="F691" s="280" t="s">
        <v>304</v>
      </c>
      <c r="G691" s="279" t="s">
        <v>3125</v>
      </c>
      <c r="H691" s="279">
        <v>68</v>
      </c>
      <c r="I691" s="279" t="s">
        <v>1677</v>
      </c>
      <c r="J691" s="279" t="s">
        <v>683</v>
      </c>
      <c r="K691" s="279">
        <v>33</v>
      </c>
      <c r="L691" s="279" t="s">
        <v>848</v>
      </c>
      <c r="M691" s="279" t="s">
        <v>1680</v>
      </c>
      <c r="N691" s="279" t="s">
        <v>1681</v>
      </c>
      <c r="O691" s="279" t="s">
        <v>311</v>
      </c>
      <c r="P691" s="283">
        <v>617</v>
      </c>
      <c r="Q691" s="279" t="s">
        <v>3496</v>
      </c>
      <c r="R691" s="279" t="s">
        <v>318</v>
      </c>
      <c r="S691" s="279" t="s">
        <v>683</v>
      </c>
      <c r="T691" s="279">
        <v>1</v>
      </c>
      <c r="U691" s="267">
        <v>1</v>
      </c>
      <c r="V691" s="267"/>
      <c r="W691" s="224">
        <v>1</v>
      </c>
      <c r="X691" s="267">
        <v>0.5</v>
      </c>
      <c r="Y691" s="267">
        <v>0.5</v>
      </c>
      <c r="Z691" s="267"/>
      <c r="AA691" s="267"/>
      <c r="AB691" s="224">
        <v>1</v>
      </c>
      <c r="AC691" s="267">
        <v>0.5</v>
      </c>
      <c r="AD691" s="267">
        <v>0.5</v>
      </c>
      <c r="AE691" s="267"/>
      <c r="AF691" s="267"/>
      <c r="AG691" s="224">
        <v>1</v>
      </c>
      <c r="AH691" s="267">
        <v>0.5</v>
      </c>
      <c r="AI691" s="267">
        <v>0.5</v>
      </c>
      <c r="AJ691" s="267"/>
      <c r="AK691" s="267"/>
      <c r="AL691" s="224">
        <v>1</v>
      </c>
      <c r="AM691" s="104">
        <v>4</v>
      </c>
      <c r="AN691" s="103" t="s">
        <v>685</v>
      </c>
      <c r="AO691" s="103" t="s">
        <v>621</v>
      </c>
      <c r="AP691" s="103" t="s">
        <v>1225</v>
      </c>
      <c r="AQ691" s="103" t="s">
        <v>1197</v>
      </c>
      <c r="AR691" s="103" t="s">
        <v>943</v>
      </c>
      <c r="AS691" s="271"/>
      <c r="AT691" s="271"/>
      <c r="AU691" s="271"/>
      <c r="AV691" s="271"/>
      <c r="AW691" s="271">
        <v>50000000</v>
      </c>
      <c r="AX691" s="271"/>
      <c r="AY691" s="271"/>
      <c r="AZ691" s="271"/>
      <c r="BA691" s="271"/>
      <c r="BB691" s="271"/>
      <c r="BC691" s="271"/>
      <c r="BD691" s="271"/>
      <c r="BE691" s="271"/>
      <c r="BF691" s="271"/>
      <c r="BG691" s="271"/>
      <c r="BH691" s="235">
        <f t="shared" si="286"/>
        <v>50000000</v>
      </c>
      <c r="BI691" s="271"/>
      <c r="BJ691" s="271"/>
      <c r="BK691" s="271"/>
      <c r="BL691" s="271"/>
      <c r="BM691" s="271">
        <v>20000000</v>
      </c>
      <c r="BN691" s="271"/>
      <c r="BO691" s="271"/>
      <c r="BP691" s="271"/>
      <c r="BQ691" s="271"/>
      <c r="BR691" s="271"/>
      <c r="BS691" s="271"/>
      <c r="BT691" s="271"/>
      <c r="BU691" s="271"/>
      <c r="BV691" s="271"/>
      <c r="BW691" s="271"/>
      <c r="BX691" s="235">
        <f t="shared" si="287"/>
        <v>20000000</v>
      </c>
      <c r="BY691" s="271"/>
      <c r="BZ691" s="271"/>
      <c r="CA691" s="271"/>
      <c r="CB691" s="271"/>
      <c r="CC691" s="271">
        <v>12000000</v>
      </c>
      <c r="CD691" s="271"/>
      <c r="CE691" s="271"/>
      <c r="CF691" s="271"/>
      <c r="CG691" s="271"/>
      <c r="CH691" s="271"/>
      <c r="CI691" s="271"/>
      <c r="CJ691" s="271"/>
      <c r="CK691" s="271"/>
      <c r="CL691" s="271"/>
      <c r="CM691" s="271"/>
      <c r="CN691" s="235">
        <f t="shared" si="288"/>
        <v>12000000</v>
      </c>
      <c r="CO691" s="271"/>
      <c r="CP691" s="271"/>
      <c r="CQ691" s="271"/>
      <c r="CR691" s="271"/>
      <c r="CS691" s="271">
        <v>15000000</v>
      </c>
      <c r="CT691" s="271"/>
      <c r="CU691" s="271"/>
      <c r="CV691" s="271"/>
      <c r="CW691" s="271"/>
      <c r="CX691" s="271"/>
      <c r="CY691" s="271"/>
      <c r="CZ691" s="271"/>
      <c r="DA691" s="271"/>
      <c r="DB691" s="271"/>
      <c r="DC691" s="271"/>
      <c r="DD691" s="234">
        <f t="shared" si="289"/>
        <v>15000000</v>
      </c>
      <c r="DE691" s="244">
        <f t="shared" si="290"/>
        <v>97000000</v>
      </c>
    </row>
    <row r="692" spans="1:109" s="99" customFormat="1" ht="95.1" customHeight="1">
      <c r="A692" s="103" t="s">
        <v>1244</v>
      </c>
      <c r="B692" s="279" t="s">
        <v>1469</v>
      </c>
      <c r="C692" s="279" t="s">
        <v>1692</v>
      </c>
      <c r="D692" s="279">
        <v>58</v>
      </c>
      <c r="E692" s="279" t="s">
        <v>1676</v>
      </c>
      <c r="F692" s="280" t="s">
        <v>304</v>
      </c>
      <c r="G692" s="279" t="s">
        <v>3125</v>
      </c>
      <c r="H692" s="279">
        <v>68</v>
      </c>
      <c r="I692" s="279" t="s">
        <v>1677</v>
      </c>
      <c r="J692" s="279" t="s">
        <v>683</v>
      </c>
      <c r="K692" s="279">
        <v>33</v>
      </c>
      <c r="L692" s="279" t="s">
        <v>848</v>
      </c>
      <c r="M692" s="279" t="s">
        <v>1682</v>
      </c>
      <c r="N692" s="279" t="s">
        <v>1683</v>
      </c>
      <c r="O692" s="279" t="s">
        <v>1684</v>
      </c>
      <c r="P692" s="283">
        <v>618</v>
      </c>
      <c r="Q692" s="279" t="s">
        <v>3127</v>
      </c>
      <c r="R692" s="279" t="s">
        <v>1685</v>
      </c>
      <c r="S692" s="279" t="s">
        <v>683</v>
      </c>
      <c r="T692" s="279">
        <v>2</v>
      </c>
      <c r="U692" s="267">
        <v>0.25</v>
      </c>
      <c r="V692" s="267">
        <v>0.25</v>
      </c>
      <c r="W692" s="224">
        <v>0.5</v>
      </c>
      <c r="X692" s="267">
        <v>0.25</v>
      </c>
      <c r="Y692" s="267">
        <v>0.5</v>
      </c>
      <c r="Z692" s="267">
        <v>0.25</v>
      </c>
      <c r="AA692" s="267">
        <v>0.5</v>
      </c>
      <c r="AB692" s="224">
        <v>1.5</v>
      </c>
      <c r="AC692" s="267"/>
      <c r="AD692" s="267">
        <v>0.25</v>
      </c>
      <c r="AE692" s="267">
        <v>0.25</v>
      </c>
      <c r="AF692" s="267">
        <v>0.5</v>
      </c>
      <c r="AG692" s="224">
        <v>1</v>
      </c>
      <c r="AH692" s="267">
        <v>0.25</v>
      </c>
      <c r="AI692" s="267">
        <v>0.25</v>
      </c>
      <c r="AJ692" s="267">
        <v>0.5</v>
      </c>
      <c r="AK692" s="267"/>
      <c r="AL692" s="224">
        <v>1</v>
      </c>
      <c r="AM692" s="104">
        <v>4</v>
      </c>
      <c r="AN692" s="103" t="s">
        <v>685</v>
      </c>
      <c r="AO692" s="103" t="s">
        <v>621</v>
      </c>
      <c r="AP692" s="103" t="s">
        <v>1225</v>
      </c>
      <c r="AQ692" s="103" t="s">
        <v>1197</v>
      </c>
      <c r="AR692" s="103" t="s">
        <v>943</v>
      </c>
      <c r="AS692" s="271"/>
      <c r="AT692" s="271"/>
      <c r="AU692" s="271"/>
      <c r="AV692" s="271"/>
      <c r="AW692" s="271">
        <v>200000000</v>
      </c>
      <c r="AX692" s="271"/>
      <c r="AY692" s="271"/>
      <c r="AZ692" s="271"/>
      <c r="BA692" s="271"/>
      <c r="BB692" s="271"/>
      <c r="BC692" s="271"/>
      <c r="BD692" s="271"/>
      <c r="BE692" s="271"/>
      <c r="BF692" s="271"/>
      <c r="BG692" s="271"/>
      <c r="BH692" s="235">
        <f t="shared" si="286"/>
        <v>200000000</v>
      </c>
      <c r="BI692" s="271"/>
      <c r="BJ692" s="271"/>
      <c r="BK692" s="271"/>
      <c r="BL692" s="271"/>
      <c r="BM692" s="271">
        <v>50000000</v>
      </c>
      <c r="BN692" s="271"/>
      <c r="BO692" s="271"/>
      <c r="BP692" s="271"/>
      <c r="BQ692" s="271"/>
      <c r="BR692" s="271"/>
      <c r="BS692" s="271"/>
      <c r="BT692" s="271"/>
      <c r="BU692" s="271"/>
      <c r="BV692" s="271"/>
      <c r="BW692" s="271">
        <v>500000000</v>
      </c>
      <c r="BX692" s="235">
        <f t="shared" si="287"/>
        <v>550000000</v>
      </c>
      <c r="BY692" s="271"/>
      <c r="BZ692" s="271"/>
      <c r="CA692" s="271"/>
      <c r="CB692" s="271"/>
      <c r="CC692" s="271">
        <v>50000000</v>
      </c>
      <c r="CD692" s="271"/>
      <c r="CE692" s="271"/>
      <c r="CF692" s="271"/>
      <c r="CG692" s="271"/>
      <c r="CH692" s="271"/>
      <c r="CI692" s="271"/>
      <c r="CJ692" s="271"/>
      <c r="CK692" s="271"/>
      <c r="CL692" s="271"/>
      <c r="CM692" s="271"/>
      <c r="CN692" s="235">
        <f t="shared" si="288"/>
        <v>50000000</v>
      </c>
      <c r="CO692" s="271"/>
      <c r="CP692" s="271"/>
      <c r="CQ692" s="271"/>
      <c r="CR692" s="271"/>
      <c r="CS692" s="271">
        <v>50000000</v>
      </c>
      <c r="CT692" s="271"/>
      <c r="CU692" s="271"/>
      <c r="CV692" s="271"/>
      <c r="CW692" s="271"/>
      <c r="CX692" s="271"/>
      <c r="CY692" s="271"/>
      <c r="CZ692" s="271"/>
      <c r="DA692" s="271"/>
      <c r="DB692" s="271"/>
      <c r="DC692" s="271"/>
      <c r="DD692" s="234">
        <f t="shared" si="289"/>
        <v>50000000</v>
      </c>
      <c r="DE692" s="244">
        <f t="shared" si="290"/>
        <v>850000000</v>
      </c>
    </row>
    <row r="693" spans="1:109" s="99" customFormat="1" ht="95.1" customHeight="1">
      <c r="A693" s="120" t="s">
        <v>1244</v>
      </c>
      <c r="B693" s="281" t="s">
        <v>1469</v>
      </c>
      <c r="C693" s="281" t="s">
        <v>1692</v>
      </c>
      <c r="D693" s="281">
        <v>58</v>
      </c>
      <c r="E693" s="281" t="s">
        <v>1676</v>
      </c>
      <c r="F693" s="282" t="s">
        <v>304</v>
      </c>
      <c r="G693" s="281" t="s">
        <v>3125</v>
      </c>
      <c r="H693" s="281">
        <v>68</v>
      </c>
      <c r="I693" s="281" t="s">
        <v>1677</v>
      </c>
      <c r="J693" s="281" t="s">
        <v>683</v>
      </c>
      <c r="K693" s="281">
        <v>33</v>
      </c>
      <c r="L693" s="281" t="s">
        <v>848</v>
      </c>
      <c r="M693" s="281" t="s">
        <v>1686</v>
      </c>
      <c r="N693" s="281" t="s">
        <v>1687</v>
      </c>
      <c r="O693" s="281" t="s">
        <v>1688</v>
      </c>
      <c r="P693" s="283">
        <v>619</v>
      </c>
      <c r="Q693" s="281" t="s">
        <v>3128</v>
      </c>
      <c r="R693" s="281" t="s">
        <v>323</v>
      </c>
      <c r="S693" s="281" t="s">
        <v>683</v>
      </c>
      <c r="T693" s="281">
        <v>1</v>
      </c>
      <c r="U693" s="275">
        <v>0.25</v>
      </c>
      <c r="V693" s="275">
        <v>0.25</v>
      </c>
      <c r="W693" s="225">
        <v>0.5</v>
      </c>
      <c r="X693" s="275">
        <v>0.25</v>
      </c>
      <c r="Y693" s="275">
        <v>0.25</v>
      </c>
      <c r="Z693" s="275">
        <v>0.5</v>
      </c>
      <c r="AA693" s="275">
        <v>0.5</v>
      </c>
      <c r="AB693" s="225">
        <v>1.5</v>
      </c>
      <c r="AC693" s="275">
        <v>0.25</v>
      </c>
      <c r="AD693" s="275">
        <v>0.25</v>
      </c>
      <c r="AE693" s="275">
        <v>0.25</v>
      </c>
      <c r="AF693" s="275">
        <v>0.25</v>
      </c>
      <c r="AG693" s="225">
        <v>1</v>
      </c>
      <c r="AH693" s="275">
        <v>0.25</v>
      </c>
      <c r="AI693" s="275">
        <v>0.25</v>
      </c>
      <c r="AJ693" s="275">
        <v>0.25</v>
      </c>
      <c r="AK693" s="275">
        <v>0.25</v>
      </c>
      <c r="AL693" s="225">
        <v>1</v>
      </c>
      <c r="AM693" s="119">
        <v>4</v>
      </c>
      <c r="AN693" s="120" t="s">
        <v>685</v>
      </c>
      <c r="AO693" s="120" t="s">
        <v>621</v>
      </c>
      <c r="AP693" s="120" t="s">
        <v>1225</v>
      </c>
      <c r="AQ693" s="120" t="s">
        <v>1195</v>
      </c>
      <c r="AR693" s="120" t="s">
        <v>944</v>
      </c>
      <c r="AS693" s="276"/>
      <c r="AT693" s="276"/>
      <c r="AU693" s="276"/>
      <c r="AV693" s="276"/>
      <c r="AW693" s="276">
        <v>265146535</v>
      </c>
      <c r="AX693" s="276"/>
      <c r="AY693" s="276"/>
      <c r="AZ693" s="276"/>
      <c r="BA693" s="276"/>
      <c r="BB693" s="276"/>
      <c r="BC693" s="276"/>
      <c r="BD693" s="276"/>
      <c r="BE693" s="276"/>
      <c r="BF693" s="276"/>
      <c r="BG693" s="276"/>
      <c r="BH693" s="236">
        <f t="shared" si="286"/>
        <v>265146535</v>
      </c>
      <c r="BI693" s="276"/>
      <c r="BJ693" s="276"/>
      <c r="BK693" s="276"/>
      <c r="BL693" s="276"/>
      <c r="BM693" s="276">
        <v>113333335</v>
      </c>
      <c r="BN693" s="276"/>
      <c r="BO693" s="276"/>
      <c r="BP693" s="276"/>
      <c r="BQ693" s="276"/>
      <c r="BR693" s="276"/>
      <c r="BS693" s="276"/>
      <c r="BT693" s="276"/>
      <c r="BU693" s="276"/>
      <c r="BV693" s="276"/>
      <c r="BW693" s="276">
        <v>1500000000</v>
      </c>
      <c r="BX693" s="236">
        <f t="shared" si="287"/>
        <v>1613333335</v>
      </c>
      <c r="BY693" s="276"/>
      <c r="BZ693" s="276"/>
      <c r="CA693" s="276"/>
      <c r="CB693" s="276"/>
      <c r="CC693" s="276">
        <v>63111115</v>
      </c>
      <c r="CD693" s="276"/>
      <c r="CE693" s="276"/>
      <c r="CF693" s="276"/>
      <c r="CG693" s="276"/>
      <c r="CH693" s="276"/>
      <c r="CI693" s="276"/>
      <c r="CJ693" s="276"/>
      <c r="CK693" s="276"/>
      <c r="CL693" s="276"/>
      <c r="CM693" s="276"/>
      <c r="CN693" s="236">
        <f t="shared" si="288"/>
        <v>63111115</v>
      </c>
      <c r="CO693" s="276"/>
      <c r="CP693" s="276"/>
      <c r="CQ693" s="276"/>
      <c r="CR693" s="276"/>
      <c r="CS693" s="276">
        <v>68888890</v>
      </c>
      <c r="CT693" s="276"/>
      <c r="CU693" s="276"/>
      <c r="CV693" s="276"/>
      <c r="CW693" s="276"/>
      <c r="CX693" s="276"/>
      <c r="CY693" s="276"/>
      <c r="CZ693" s="276"/>
      <c r="DA693" s="276"/>
      <c r="DB693" s="276"/>
      <c r="DC693" s="276"/>
      <c r="DD693" s="240">
        <f t="shared" si="289"/>
        <v>68888890</v>
      </c>
      <c r="DE693" s="245">
        <f t="shared" si="290"/>
        <v>2010479875</v>
      </c>
    </row>
    <row r="694" spans="1:109" s="46" customFormat="1" ht="56.1" customHeight="1">
      <c r="A694" s="134" t="s">
        <v>1244</v>
      </c>
      <c r="B694" s="134" t="s">
        <v>1469</v>
      </c>
      <c r="C694" s="134" t="s">
        <v>1692</v>
      </c>
      <c r="D694" s="148">
        <v>58</v>
      </c>
      <c r="E694" s="148" t="s">
        <v>1676</v>
      </c>
      <c r="F694" s="149"/>
      <c r="G694" s="150"/>
      <c r="H694" s="151"/>
      <c r="I694" s="151"/>
      <c r="J694" s="151"/>
      <c r="K694" s="152"/>
      <c r="L694" s="151"/>
      <c r="M694" s="151"/>
      <c r="N694" s="151"/>
      <c r="O694" s="151"/>
      <c r="P694" s="151"/>
      <c r="Q694" s="150"/>
      <c r="R694" s="153"/>
      <c r="S694" s="151"/>
      <c r="T694" s="151"/>
      <c r="U694" s="154"/>
      <c r="V694" s="154"/>
      <c r="W694" s="152"/>
      <c r="X694" s="154"/>
      <c r="Y694" s="154"/>
      <c r="Z694" s="154"/>
      <c r="AA694" s="154"/>
      <c r="AB694" s="152"/>
      <c r="AC694" s="154"/>
      <c r="AD694" s="154"/>
      <c r="AE694" s="154"/>
      <c r="AF694" s="154"/>
      <c r="AG694" s="152"/>
      <c r="AH694" s="154"/>
      <c r="AI694" s="154"/>
      <c r="AJ694" s="154"/>
      <c r="AK694" s="154"/>
      <c r="AL694" s="152"/>
      <c r="AM694" s="155"/>
      <c r="AN694" s="156"/>
      <c r="AO694" s="156"/>
      <c r="AP694" s="157"/>
      <c r="AQ694" s="157"/>
      <c r="AR694" s="158"/>
      <c r="AS694" s="132">
        <f>SUM(AS688:AS693)</f>
        <v>0</v>
      </c>
      <c r="AT694" s="132">
        <f t="shared" ref="AT694:DE694" si="291">SUM(AT688:AT693)</f>
        <v>0</v>
      </c>
      <c r="AU694" s="132">
        <f t="shared" si="291"/>
        <v>0</v>
      </c>
      <c r="AV694" s="132">
        <f t="shared" si="291"/>
        <v>0</v>
      </c>
      <c r="AW694" s="132">
        <f t="shared" si="291"/>
        <v>1065146535</v>
      </c>
      <c r="AX694" s="132">
        <f t="shared" si="291"/>
        <v>0</v>
      </c>
      <c r="AY694" s="132">
        <f t="shared" si="291"/>
        <v>0</v>
      </c>
      <c r="AZ694" s="132">
        <f t="shared" si="291"/>
        <v>0</v>
      </c>
      <c r="BA694" s="132">
        <f t="shared" si="291"/>
        <v>0</v>
      </c>
      <c r="BB694" s="132">
        <f t="shared" si="291"/>
        <v>0</v>
      </c>
      <c r="BC694" s="132">
        <f t="shared" si="291"/>
        <v>0</v>
      </c>
      <c r="BD694" s="132">
        <f t="shared" si="291"/>
        <v>0</v>
      </c>
      <c r="BE694" s="132">
        <f t="shared" si="291"/>
        <v>0</v>
      </c>
      <c r="BF694" s="132">
        <f t="shared" si="291"/>
        <v>0</v>
      </c>
      <c r="BG694" s="132">
        <f t="shared" si="291"/>
        <v>0</v>
      </c>
      <c r="BH694" s="133">
        <f>IF(OR(AND(BH688=0,W688&lt;&gt;0),AND(BH689=0,W689&lt;&gt;0),AND(BH690=0,W690&lt;&gt;0),AND(BH691=0,W691&lt;&gt;0),AND(BH692=0,W692&lt;&gt;0),AND(BH693=0,W693&lt;&gt;0)),"NO DEBEN QUEDAR CELDAS EN ROJO",SUM(BH688:BH693))</f>
        <v>1065146535</v>
      </c>
      <c r="BI694" s="132">
        <f t="shared" si="291"/>
        <v>0</v>
      </c>
      <c r="BJ694" s="132">
        <f t="shared" si="291"/>
        <v>0</v>
      </c>
      <c r="BK694" s="132">
        <f t="shared" si="291"/>
        <v>0</v>
      </c>
      <c r="BL694" s="132">
        <f t="shared" si="291"/>
        <v>0</v>
      </c>
      <c r="BM694" s="132">
        <f t="shared" si="291"/>
        <v>533333335</v>
      </c>
      <c r="BN694" s="132">
        <f t="shared" si="291"/>
        <v>0</v>
      </c>
      <c r="BO694" s="132">
        <f t="shared" si="291"/>
        <v>0</v>
      </c>
      <c r="BP694" s="132">
        <f t="shared" si="291"/>
        <v>0</v>
      </c>
      <c r="BQ694" s="132">
        <f t="shared" si="291"/>
        <v>0</v>
      </c>
      <c r="BR694" s="132">
        <f t="shared" si="291"/>
        <v>0</v>
      </c>
      <c r="BS694" s="132">
        <f t="shared" si="291"/>
        <v>0</v>
      </c>
      <c r="BT694" s="132">
        <f t="shared" si="291"/>
        <v>0</v>
      </c>
      <c r="BU694" s="132">
        <f t="shared" si="291"/>
        <v>0</v>
      </c>
      <c r="BV694" s="132">
        <f t="shared" si="291"/>
        <v>0</v>
      </c>
      <c r="BW694" s="132">
        <f t="shared" si="291"/>
        <v>3500000000</v>
      </c>
      <c r="BX694" s="133">
        <f>IF(OR(AND(BX688=0,AB688&lt;&gt;0),AND(BX689=0,AB689&lt;&gt;0),AND(BX690=0,AB690&lt;&gt;0),AND(BX691=0,AB691&lt;&gt;0),AND(BX692=0,AB692&lt;&gt;0),AND(BX693=0,AB693&lt;&gt;0)),"NO DEBEN QUEDAR CELDAS EN ROJO",SUM(BX688:BX693))</f>
        <v>4033333335</v>
      </c>
      <c r="BY694" s="132">
        <f t="shared" si="291"/>
        <v>0</v>
      </c>
      <c r="BZ694" s="132">
        <f t="shared" si="291"/>
        <v>0</v>
      </c>
      <c r="CA694" s="132">
        <f t="shared" si="291"/>
        <v>0</v>
      </c>
      <c r="CB694" s="132">
        <f t="shared" si="291"/>
        <v>0</v>
      </c>
      <c r="CC694" s="132">
        <f t="shared" si="291"/>
        <v>311111115</v>
      </c>
      <c r="CD694" s="132">
        <f t="shared" si="291"/>
        <v>0</v>
      </c>
      <c r="CE694" s="132">
        <f t="shared" si="291"/>
        <v>0</v>
      </c>
      <c r="CF694" s="132">
        <f t="shared" si="291"/>
        <v>0</v>
      </c>
      <c r="CG694" s="132">
        <f t="shared" si="291"/>
        <v>0</v>
      </c>
      <c r="CH694" s="132">
        <f t="shared" si="291"/>
        <v>0</v>
      </c>
      <c r="CI694" s="132">
        <f t="shared" si="291"/>
        <v>0</v>
      </c>
      <c r="CJ694" s="132">
        <f t="shared" si="291"/>
        <v>0</v>
      </c>
      <c r="CK694" s="132">
        <f t="shared" si="291"/>
        <v>0</v>
      </c>
      <c r="CL694" s="132">
        <f t="shared" si="291"/>
        <v>0</v>
      </c>
      <c r="CM694" s="132">
        <f t="shared" si="291"/>
        <v>0</v>
      </c>
      <c r="CN694" s="133">
        <f>IF(OR(AND(CN688=0,AG688&lt;&gt;0),AND(CN689=0,AG689&lt;&gt;0),AND(CN690=0,AG690&lt;&gt;0),AND(CN691=0,AG691&lt;&gt;0),AND(CN692=0,AG692&lt;&gt;0),AND(CN693=0,AG693&lt;&gt;0)),"NO DEBEN QUEDAR CELDAS EN ROJO",SUM(CN688:CN693))</f>
        <v>311111115</v>
      </c>
      <c r="CO694" s="132">
        <f t="shared" si="291"/>
        <v>0</v>
      </c>
      <c r="CP694" s="132">
        <f t="shared" si="291"/>
        <v>0</v>
      </c>
      <c r="CQ694" s="132">
        <f t="shared" si="291"/>
        <v>0</v>
      </c>
      <c r="CR694" s="132">
        <f t="shared" si="291"/>
        <v>0</v>
      </c>
      <c r="CS694" s="132">
        <f t="shared" si="291"/>
        <v>328888890</v>
      </c>
      <c r="CT694" s="132">
        <f t="shared" si="291"/>
        <v>0</v>
      </c>
      <c r="CU694" s="132">
        <f t="shared" si="291"/>
        <v>0</v>
      </c>
      <c r="CV694" s="132">
        <f t="shared" si="291"/>
        <v>0</v>
      </c>
      <c r="CW694" s="132">
        <f t="shared" si="291"/>
        <v>0</v>
      </c>
      <c r="CX694" s="132">
        <f t="shared" si="291"/>
        <v>0</v>
      </c>
      <c r="CY694" s="132">
        <f t="shared" si="291"/>
        <v>0</v>
      </c>
      <c r="CZ694" s="132">
        <f t="shared" si="291"/>
        <v>0</v>
      </c>
      <c r="DA694" s="132">
        <f t="shared" si="291"/>
        <v>0</v>
      </c>
      <c r="DB694" s="132">
        <f t="shared" si="291"/>
        <v>0</v>
      </c>
      <c r="DC694" s="132">
        <f t="shared" si="291"/>
        <v>0</v>
      </c>
      <c r="DD694" s="133">
        <f>IF(OR(AND(DD688=0,AL688&lt;&gt;0),AND(DD689=0,AL689&lt;&gt;0),AND(DD690=0,AL690&lt;&gt;0),AND(DD691=0,AL691&lt;&gt;0),AND(DD692=0,AL692&lt;&gt;0),AND(DD693=0,AL693&lt;&gt;0)),"NO DEBEN QUEDAR CELDAS EN ROJO",SUM(DD688:DD693))</f>
        <v>328888890</v>
      </c>
      <c r="DE694" s="133">
        <f t="shared" si="291"/>
        <v>5738479875</v>
      </c>
    </row>
    <row r="695" spans="1:109" s="116" customFormat="1" ht="55.05" customHeight="1" thickBot="1">
      <c r="A695" s="124" t="s">
        <v>1244</v>
      </c>
      <c r="B695" s="125" t="s">
        <v>1469</v>
      </c>
      <c r="C695" s="145" t="s">
        <v>1692</v>
      </c>
      <c r="D695" s="170"/>
      <c r="E695" s="171"/>
      <c r="F695" s="172"/>
      <c r="G695" s="173"/>
      <c r="H695" s="171"/>
      <c r="I695" s="171"/>
      <c r="J695" s="171"/>
      <c r="K695" s="171"/>
      <c r="L695" s="171"/>
      <c r="M695" s="171"/>
      <c r="N695" s="171"/>
      <c r="O695" s="171"/>
      <c r="P695" s="171"/>
      <c r="Q695" s="173"/>
      <c r="R695" s="174"/>
      <c r="S695" s="171"/>
      <c r="T695" s="171"/>
      <c r="U695" s="175"/>
      <c r="V695" s="175"/>
      <c r="W695" s="176"/>
      <c r="X695" s="175"/>
      <c r="Y695" s="175"/>
      <c r="Z695" s="175"/>
      <c r="AA695" s="175"/>
      <c r="AB695" s="176"/>
      <c r="AC695" s="175"/>
      <c r="AD695" s="175"/>
      <c r="AE695" s="175"/>
      <c r="AF695" s="175"/>
      <c r="AG695" s="176"/>
      <c r="AH695" s="175"/>
      <c r="AI695" s="175"/>
      <c r="AJ695" s="175"/>
      <c r="AK695" s="175"/>
      <c r="AL695" s="176"/>
      <c r="AM695" s="177"/>
      <c r="AN695" s="178"/>
      <c r="AO695" s="178"/>
      <c r="AP695" s="173"/>
      <c r="AQ695" s="173"/>
      <c r="AR695" s="179"/>
      <c r="AS695" s="195">
        <f>SUM(AS694+AS687)</f>
        <v>0</v>
      </c>
      <c r="AT695" s="196">
        <f t="shared" ref="AT695:DE695" si="292">SUM(AT694+AT687)</f>
        <v>0</v>
      </c>
      <c r="AU695" s="196">
        <f t="shared" si="292"/>
        <v>0</v>
      </c>
      <c r="AV695" s="196">
        <f t="shared" si="292"/>
        <v>0</v>
      </c>
      <c r="AW695" s="196">
        <f t="shared" si="292"/>
        <v>2146579700</v>
      </c>
      <c r="AX695" s="196">
        <f t="shared" si="292"/>
        <v>0</v>
      </c>
      <c r="AY695" s="196">
        <f t="shared" si="292"/>
        <v>0</v>
      </c>
      <c r="AZ695" s="196">
        <f t="shared" si="292"/>
        <v>0</v>
      </c>
      <c r="BA695" s="196">
        <f t="shared" si="292"/>
        <v>0</v>
      </c>
      <c r="BB695" s="196">
        <f t="shared" si="292"/>
        <v>0</v>
      </c>
      <c r="BC695" s="196">
        <f t="shared" si="292"/>
        <v>0</v>
      </c>
      <c r="BD695" s="196">
        <f t="shared" si="292"/>
        <v>0</v>
      </c>
      <c r="BE695" s="196">
        <f t="shared" si="292"/>
        <v>0</v>
      </c>
      <c r="BF695" s="196">
        <f t="shared" si="292"/>
        <v>0</v>
      </c>
      <c r="BG695" s="196">
        <f t="shared" si="292"/>
        <v>0</v>
      </c>
      <c r="BH695" s="196">
        <f t="shared" si="292"/>
        <v>2146579700</v>
      </c>
      <c r="BI695" s="196">
        <f t="shared" si="292"/>
        <v>0</v>
      </c>
      <c r="BJ695" s="196">
        <f t="shared" si="292"/>
        <v>0</v>
      </c>
      <c r="BK695" s="196">
        <f t="shared" si="292"/>
        <v>0</v>
      </c>
      <c r="BL695" s="196">
        <f t="shared" si="292"/>
        <v>0</v>
      </c>
      <c r="BM695" s="196">
        <f t="shared" si="292"/>
        <v>1200000000</v>
      </c>
      <c r="BN695" s="196">
        <f t="shared" si="292"/>
        <v>0</v>
      </c>
      <c r="BO695" s="196">
        <f t="shared" si="292"/>
        <v>0</v>
      </c>
      <c r="BP695" s="196">
        <f t="shared" si="292"/>
        <v>0</v>
      </c>
      <c r="BQ695" s="196">
        <f t="shared" si="292"/>
        <v>0</v>
      </c>
      <c r="BR695" s="196">
        <f t="shared" si="292"/>
        <v>0</v>
      </c>
      <c r="BS695" s="196">
        <f t="shared" si="292"/>
        <v>0</v>
      </c>
      <c r="BT695" s="196">
        <f t="shared" si="292"/>
        <v>0</v>
      </c>
      <c r="BU695" s="196">
        <f t="shared" si="292"/>
        <v>0</v>
      </c>
      <c r="BV695" s="196">
        <f t="shared" si="292"/>
        <v>0</v>
      </c>
      <c r="BW695" s="196">
        <f t="shared" si="292"/>
        <v>8000000000</v>
      </c>
      <c r="BX695" s="196">
        <f t="shared" si="292"/>
        <v>9200000000</v>
      </c>
      <c r="BY695" s="196">
        <f t="shared" si="292"/>
        <v>0</v>
      </c>
      <c r="BZ695" s="196">
        <f t="shared" si="292"/>
        <v>0</v>
      </c>
      <c r="CA695" s="196">
        <f t="shared" si="292"/>
        <v>0</v>
      </c>
      <c r="CB695" s="196">
        <f t="shared" si="292"/>
        <v>0</v>
      </c>
      <c r="CC695" s="196">
        <f t="shared" si="292"/>
        <v>700000000</v>
      </c>
      <c r="CD695" s="196">
        <f t="shared" si="292"/>
        <v>0</v>
      </c>
      <c r="CE695" s="196">
        <f t="shared" si="292"/>
        <v>0</v>
      </c>
      <c r="CF695" s="196">
        <f t="shared" si="292"/>
        <v>0</v>
      </c>
      <c r="CG695" s="196">
        <f t="shared" si="292"/>
        <v>0</v>
      </c>
      <c r="CH695" s="196">
        <f t="shared" si="292"/>
        <v>0</v>
      </c>
      <c r="CI695" s="196">
        <f t="shared" si="292"/>
        <v>0</v>
      </c>
      <c r="CJ695" s="196">
        <f t="shared" si="292"/>
        <v>0</v>
      </c>
      <c r="CK695" s="196">
        <f t="shared" si="292"/>
        <v>0</v>
      </c>
      <c r="CL695" s="196">
        <f t="shared" si="292"/>
        <v>0</v>
      </c>
      <c r="CM695" s="196">
        <f t="shared" si="292"/>
        <v>0</v>
      </c>
      <c r="CN695" s="196">
        <f t="shared" si="292"/>
        <v>700000000</v>
      </c>
      <c r="CO695" s="196">
        <f t="shared" si="292"/>
        <v>0</v>
      </c>
      <c r="CP695" s="196">
        <f t="shared" si="292"/>
        <v>0</v>
      </c>
      <c r="CQ695" s="196">
        <f t="shared" si="292"/>
        <v>0</v>
      </c>
      <c r="CR695" s="196">
        <f t="shared" si="292"/>
        <v>0</v>
      </c>
      <c r="CS695" s="196">
        <f t="shared" si="292"/>
        <v>740000000</v>
      </c>
      <c r="CT695" s="196">
        <f t="shared" si="292"/>
        <v>0</v>
      </c>
      <c r="CU695" s="196">
        <f t="shared" si="292"/>
        <v>0</v>
      </c>
      <c r="CV695" s="196">
        <f t="shared" si="292"/>
        <v>0</v>
      </c>
      <c r="CW695" s="196">
        <f t="shared" si="292"/>
        <v>0</v>
      </c>
      <c r="CX695" s="196">
        <f t="shared" si="292"/>
        <v>0</v>
      </c>
      <c r="CY695" s="196">
        <f t="shared" si="292"/>
        <v>0</v>
      </c>
      <c r="CZ695" s="196">
        <f t="shared" si="292"/>
        <v>0</v>
      </c>
      <c r="DA695" s="196">
        <f t="shared" si="292"/>
        <v>0</v>
      </c>
      <c r="DB695" s="196">
        <f t="shared" si="292"/>
        <v>0</v>
      </c>
      <c r="DC695" s="196">
        <f t="shared" si="292"/>
        <v>0</v>
      </c>
      <c r="DD695" s="196">
        <f t="shared" si="292"/>
        <v>740000000</v>
      </c>
      <c r="DE695" s="196">
        <f t="shared" si="292"/>
        <v>12786579700</v>
      </c>
    </row>
    <row r="696" spans="1:109" s="46" customFormat="1" ht="51" customHeight="1" thickBot="1">
      <c r="A696" s="671" t="s">
        <v>1469</v>
      </c>
      <c r="B696" s="672"/>
      <c r="C696" s="672"/>
      <c r="D696" s="180"/>
      <c r="E696" s="181"/>
      <c r="F696" s="182"/>
      <c r="G696" s="183"/>
      <c r="H696" s="181"/>
      <c r="I696" s="181"/>
      <c r="J696" s="181"/>
      <c r="K696" s="181"/>
      <c r="L696" s="181"/>
      <c r="M696" s="181"/>
      <c r="N696" s="181"/>
      <c r="O696" s="181"/>
      <c r="P696" s="184"/>
      <c r="Q696" s="183"/>
      <c r="R696" s="181"/>
      <c r="S696" s="181"/>
      <c r="T696" s="181"/>
      <c r="U696" s="185"/>
      <c r="V696" s="185"/>
      <c r="W696" s="186"/>
      <c r="X696" s="185"/>
      <c r="Y696" s="185"/>
      <c r="Z696" s="185"/>
      <c r="AA696" s="185"/>
      <c r="AB696" s="186"/>
      <c r="AC696" s="185"/>
      <c r="AD696" s="185"/>
      <c r="AE696" s="185"/>
      <c r="AF696" s="185"/>
      <c r="AG696" s="187"/>
      <c r="AH696" s="185"/>
      <c r="AI696" s="185"/>
      <c r="AJ696" s="185"/>
      <c r="AK696" s="185"/>
      <c r="AL696" s="187"/>
      <c r="AM696" s="188"/>
      <c r="AN696" s="189"/>
      <c r="AO696" s="189"/>
      <c r="AP696" s="190"/>
      <c r="AQ696" s="190"/>
      <c r="AR696" s="191"/>
      <c r="AS696" s="199">
        <f>SUM(AS695+AS674+AS647+AS607)</f>
        <v>0</v>
      </c>
      <c r="AT696" s="200">
        <f t="shared" ref="AT696:DE696" si="293">SUM(AT695+AT674+AT647+AT607)</f>
        <v>0</v>
      </c>
      <c r="AU696" s="200">
        <f t="shared" si="293"/>
        <v>0</v>
      </c>
      <c r="AV696" s="200">
        <f t="shared" si="293"/>
        <v>1830000000</v>
      </c>
      <c r="AW696" s="200">
        <f t="shared" si="293"/>
        <v>5228926500</v>
      </c>
      <c r="AX696" s="200">
        <f t="shared" si="293"/>
        <v>0</v>
      </c>
      <c r="AY696" s="200">
        <f t="shared" si="293"/>
        <v>0</v>
      </c>
      <c r="AZ696" s="200">
        <f t="shared" si="293"/>
        <v>0</v>
      </c>
      <c r="BA696" s="200">
        <f t="shared" si="293"/>
        <v>0</v>
      </c>
      <c r="BB696" s="200">
        <f t="shared" si="293"/>
        <v>0</v>
      </c>
      <c r="BC696" s="200">
        <f t="shared" si="293"/>
        <v>0</v>
      </c>
      <c r="BD696" s="200">
        <f t="shared" si="293"/>
        <v>0</v>
      </c>
      <c r="BE696" s="200">
        <f t="shared" si="293"/>
        <v>0</v>
      </c>
      <c r="BF696" s="200">
        <f t="shared" si="293"/>
        <v>0</v>
      </c>
      <c r="BG696" s="200">
        <f t="shared" si="293"/>
        <v>11000000000</v>
      </c>
      <c r="BH696" s="200">
        <f t="shared" si="293"/>
        <v>18058926500</v>
      </c>
      <c r="BI696" s="200">
        <f t="shared" si="293"/>
        <v>0</v>
      </c>
      <c r="BJ696" s="200">
        <f t="shared" si="293"/>
        <v>0</v>
      </c>
      <c r="BK696" s="200">
        <f t="shared" si="293"/>
        <v>0</v>
      </c>
      <c r="BL696" s="200">
        <f t="shared" si="293"/>
        <v>0</v>
      </c>
      <c r="BM696" s="200">
        <f t="shared" si="293"/>
        <v>4414536653</v>
      </c>
      <c r="BN696" s="200">
        <f t="shared" si="293"/>
        <v>0</v>
      </c>
      <c r="BO696" s="200">
        <f t="shared" si="293"/>
        <v>0</v>
      </c>
      <c r="BP696" s="200">
        <f t="shared" si="293"/>
        <v>0</v>
      </c>
      <c r="BQ696" s="200">
        <f t="shared" si="293"/>
        <v>0</v>
      </c>
      <c r="BR696" s="200">
        <f t="shared" si="293"/>
        <v>0</v>
      </c>
      <c r="BS696" s="200">
        <f t="shared" si="293"/>
        <v>0</v>
      </c>
      <c r="BT696" s="200">
        <f t="shared" si="293"/>
        <v>0</v>
      </c>
      <c r="BU696" s="200">
        <f t="shared" si="293"/>
        <v>0</v>
      </c>
      <c r="BV696" s="200">
        <f t="shared" si="293"/>
        <v>0</v>
      </c>
      <c r="BW696" s="200">
        <f t="shared" si="293"/>
        <v>19000000000</v>
      </c>
      <c r="BX696" s="200">
        <f t="shared" si="293"/>
        <v>23414536653</v>
      </c>
      <c r="BY696" s="200">
        <f t="shared" si="293"/>
        <v>0</v>
      </c>
      <c r="BZ696" s="200">
        <f t="shared" si="293"/>
        <v>0</v>
      </c>
      <c r="CA696" s="200">
        <f t="shared" si="293"/>
        <v>0</v>
      </c>
      <c r="CB696" s="200">
        <f t="shared" si="293"/>
        <v>0</v>
      </c>
      <c r="CC696" s="200">
        <f t="shared" si="293"/>
        <v>3876538486</v>
      </c>
      <c r="CD696" s="200">
        <f t="shared" si="293"/>
        <v>0</v>
      </c>
      <c r="CE696" s="200">
        <f t="shared" si="293"/>
        <v>0</v>
      </c>
      <c r="CF696" s="200">
        <f t="shared" si="293"/>
        <v>0</v>
      </c>
      <c r="CG696" s="200">
        <f t="shared" si="293"/>
        <v>0</v>
      </c>
      <c r="CH696" s="200">
        <f t="shared" si="293"/>
        <v>0</v>
      </c>
      <c r="CI696" s="200">
        <f t="shared" si="293"/>
        <v>0</v>
      </c>
      <c r="CJ696" s="200">
        <f t="shared" si="293"/>
        <v>0</v>
      </c>
      <c r="CK696" s="200">
        <f t="shared" si="293"/>
        <v>0</v>
      </c>
      <c r="CL696" s="200">
        <f t="shared" si="293"/>
        <v>0</v>
      </c>
      <c r="CM696" s="200">
        <f t="shared" si="293"/>
        <v>19500000000</v>
      </c>
      <c r="CN696" s="200">
        <f t="shared" si="293"/>
        <v>23376538486</v>
      </c>
      <c r="CO696" s="200">
        <f t="shared" si="293"/>
        <v>0</v>
      </c>
      <c r="CP696" s="200">
        <f t="shared" si="293"/>
        <v>0</v>
      </c>
      <c r="CQ696" s="200">
        <f t="shared" si="293"/>
        <v>0</v>
      </c>
      <c r="CR696" s="200">
        <f t="shared" si="293"/>
        <v>0</v>
      </c>
      <c r="CS696" s="200">
        <f t="shared" si="293"/>
        <v>4094205795</v>
      </c>
      <c r="CT696" s="200">
        <f t="shared" si="293"/>
        <v>0</v>
      </c>
      <c r="CU696" s="200">
        <f t="shared" si="293"/>
        <v>0</v>
      </c>
      <c r="CV696" s="200">
        <f t="shared" si="293"/>
        <v>0</v>
      </c>
      <c r="CW696" s="200">
        <f t="shared" si="293"/>
        <v>0</v>
      </c>
      <c r="CX696" s="200">
        <f t="shared" si="293"/>
        <v>0</v>
      </c>
      <c r="CY696" s="200">
        <f t="shared" si="293"/>
        <v>0</v>
      </c>
      <c r="CZ696" s="200">
        <f t="shared" si="293"/>
        <v>0</v>
      </c>
      <c r="DA696" s="200">
        <f t="shared" si="293"/>
        <v>0</v>
      </c>
      <c r="DB696" s="200">
        <f t="shared" si="293"/>
        <v>0</v>
      </c>
      <c r="DC696" s="200">
        <f t="shared" si="293"/>
        <v>13500000000</v>
      </c>
      <c r="DD696" s="200">
        <f t="shared" si="293"/>
        <v>17594205795</v>
      </c>
      <c r="DE696" s="202">
        <f t="shared" si="293"/>
        <v>82444207434</v>
      </c>
    </row>
    <row r="697" spans="1:109" s="98" customFormat="1" ht="119.1" customHeight="1">
      <c r="A697" s="103" t="s">
        <v>1245</v>
      </c>
      <c r="B697" s="103" t="s">
        <v>3614</v>
      </c>
      <c r="C697" s="103" t="s">
        <v>1703</v>
      </c>
      <c r="D697" s="103">
        <v>59</v>
      </c>
      <c r="E697" s="103" t="s">
        <v>1704</v>
      </c>
      <c r="F697" s="278" t="s">
        <v>1705</v>
      </c>
      <c r="G697" s="293" t="s">
        <v>3917</v>
      </c>
      <c r="H697" s="103">
        <v>69</v>
      </c>
      <c r="I697" s="103" t="s">
        <v>10</v>
      </c>
      <c r="J697" s="103" t="s">
        <v>683</v>
      </c>
      <c r="K697" s="103">
        <v>5</v>
      </c>
      <c r="L697" s="103">
        <v>5</v>
      </c>
      <c r="M697" s="103" t="s">
        <v>1706</v>
      </c>
      <c r="N697" s="103" t="s">
        <v>1707</v>
      </c>
      <c r="O697" s="103" t="s">
        <v>1708</v>
      </c>
      <c r="P697" s="283">
        <v>620</v>
      </c>
      <c r="Q697" s="103" t="s">
        <v>3736</v>
      </c>
      <c r="R697" s="103" t="s">
        <v>12</v>
      </c>
      <c r="S697" s="103" t="s">
        <v>683</v>
      </c>
      <c r="T697" s="103">
        <v>2</v>
      </c>
      <c r="U697" s="267"/>
      <c r="V697" s="267">
        <v>0.25</v>
      </c>
      <c r="W697" s="224">
        <v>0.25</v>
      </c>
      <c r="X697" s="267"/>
      <c r="Y697" s="267"/>
      <c r="Z697" s="267">
        <v>0.25</v>
      </c>
      <c r="AA697" s="267">
        <v>0.25</v>
      </c>
      <c r="AB697" s="224">
        <v>0.5</v>
      </c>
      <c r="AC697" s="267"/>
      <c r="AD697" s="267">
        <v>0.25</v>
      </c>
      <c r="AE697" s="267">
        <v>0.5</v>
      </c>
      <c r="AF697" s="267"/>
      <c r="AG697" s="224">
        <v>0.75</v>
      </c>
      <c r="AH697" s="267"/>
      <c r="AI697" s="267"/>
      <c r="AJ697" s="267">
        <v>0.5</v>
      </c>
      <c r="AK697" s="267"/>
      <c r="AL697" s="224">
        <v>0.5</v>
      </c>
      <c r="AM697" s="102">
        <v>2</v>
      </c>
      <c r="AN697" s="103" t="s">
        <v>685</v>
      </c>
      <c r="AO697" s="103" t="s">
        <v>622</v>
      </c>
      <c r="AP697" s="103" t="s">
        <v>1222</v>
      </c>
      <c r="AQ697" s="103" t="s">
        <v>2753</v>
      </c>
      <c r="AR697" s="103" t="s">
        <v>950</v>
      </c>
      <c r="AS697" s="268"/>
      <c r="AT697" s="268"/>
      <c r="AU697" s="268"/>
      <c r="AV697" s="268"/>
      <c r="AW697" s="268">
        <v>15000000</v>
      </c>
      <c r="AX697" s="268"/>
      <c r="AY697" s="268"/>
      <c r="AZ697" s="268"/>
      <c r="BA697" s="268"/>
      <c r="BB697" s="268"/>
      <c r="BC697" s="268"/>
      <c r="BD697" s="268"/>
      <c r="BE697" s="268"/>
      <c r="BF697" s="268"/>
      <c r="BG697" s="268"/>
      <c r="BH697" s="234">
        <f t="shared" ref="BH697:BH706" si="294">IF(W697=0,0,BG697+BF697+BE697+BD697+BC697+BB697+BA697+AZ697+AY697+AX697+AW697+AV697+AU697+AT697+AS697)</f>
        <v>15000000</v>
      </c>
      <c r="BI697" s="268"/>
      <c r="BJ697" s="268"/>
      <c r="BK697" s="268"/>
      <c r="BL697" s="268"/>
      <c r="BM697" s="268">
        <v>25000000</v>
      </c>
      <c r="BN697" s="268"/>
      <c r="BO697" s="268"/>
      <c r="BP697" s="268"/>
      <c r="BQ697" s="268"/>
      <c r="BR697" s="268"/>
      <c r="BS697" s="268"/>
      <c r="BT697" s="268"/>
      <c r="BU697" s="268"/>
      <c r="BV697" s="268"/>
      <c r="BW697" s="268"/>
      <c r="BX697" s="234">
        <f t="shared" ref="BX697:BX706" si="295">IF(AB697=0,0,BI697+BJ697+BK697+BL697+BM697+BN697+BO697+BP697+BQ697+BR697+BS697+BT697+BU697+BV697+BW697)</f>
        <v>25000000</v>
      </c>
      <c r="BY697" s="268"/>
      <c r="BZ697" s="268"/>
      <c r="CA697" s="268"/>
      <c r="CB697" s="268"/>
      <c r="CC697" s="268">
        <v>25000000</v>
      </c>
      <c r="CD697" s="268"/>
      <c r="CE697" s="268"/>
      <c r="CF697" s="268"/>
      <c r="CG697" s="268"/>
      <c r="CH697" s="268"/>
      <c r="CI697" s="268"/>
      <c r="CJ697" s="268"/>
      <c r="CK697" s="268"/>
      <c r="CL697" s="268"/>
      <c r="CM697" s="268"/>
      <c r="CN697" s="234">
        <f t="shared" ref="CN697:CN706" si="296">IF(AG697=0,0,(BY697+BZ697+CA697+CB697+CC697+CD697+CE697+CF697+CG697+CH697+CI697+CJ697+CK697+CL697+CM697))</f>
        <v>25000000</v>
      </c>
      <c r="CO697" s="268"/>
      <c r="CP697" s="268"/>
      <c r="CQ697" s="268"/>
      <c r="CR697" s="268"/>
      <c r="CS697" s="268">
        <v>30000000</v>
      </c>
      <c r="CT697" s="268"/>
      <c r="CU697" s="268"/>
      <c r="CV697" s="268"/>
      <c r="CW697" s="268"/>
      <c r="CX697" s="268"/>
      <c r="CY697" s="268"/>
      <c r="CZ697" s="268"/>
      <c r="DA697" s="268"/>
      <c r="DB697" s="268"/>
      <c r="DC697" s="268">
        <v>100000000</v>
      </c>
      <c r="DD697" s="234">
        <f t="shared" ref="DD697:DD706" si="297">IF(AL697=0,0,(CO697+CP697+CQ697+CR697+CS697+CT697+CU697+CV697+CW697+CX697+CY697+CZ697+DA697+DB697+DC697))</f>
        <v>130000000</v>
      </c>
      <c r="DE697" s="243">
        <f t="shared" ref="DE697:DE706" si="298">SUM(DD697+CN697+BX697+BH697)</f>
        <v>195000000</v>
      </c>
    </row>
    <row r="698" spans="1:109" s="98" customFormat="1" ht="119.1" customHeight="1">
      <c r="A698" s="103" t="s">
        <v>1245</v>
      </c>
      <c r="B698" s="279" t="s">
        <v>3614</v>
      </c>
      <c r="C698" s="279" t="s">
        <v>1703</v>
      </c>
      <c r="D698" s="279">
        <v>59</v>
      </c>
      <c r="E698" s="279" t="s">
        <v>1704</v>
      </c>
      <c r="F698" s="280" t="s">
        <v>1705</v>
      </c>
      <c r="G698" s="294" t="s">
        <v>3615</v>
      </c>
      <c r="H698" s="279">
        <v>69</v>
      </c>
      <c r="I698" s="279" t="s">
        <v>10</v>
      </c>
      <c r="J698" s="279" t="s">
        <v>683</v>
      </c>
      <c r="K698" s="279">
        <v>5</v>
      </c>
      <c r="L698" s="279">
        <v>5</v>
      </c>
      <c r="M698" s="279" t="s">
        <v>1706</v>
      </c>
      <c r="N698" s="279" t="s">
        <v>1707</v>
      </c>
      <c r="O698" s="279" t="s">
        <v>1708</v>
      </c>
      <c r="P698" s="283">
        <v>621</v>
      </c>
      <c r="Q698" s="279" t="s">
        <v>3646</v>
      </c>
      <c r="R698" s="279" t="s">
        <v>1709</v>
      </c>
      <c r="S698" s="279" t="s">
        <v>683</v>
      </c>
      <c r="T698" s="279">
        <v>3</v>
      </c>
      <c r="U698" s="267"/>
      <c r="V698" s="267">
        <v>0.25</v>
      </c>
      <c r="W698" s="224">
        <v>0.25</v>
      </c>
      <c r="X698" s="267"/>
      <c r="Y698" s="267">
        <v>0.25</v>
      </c>
      <c r="Z698" s="267">
        <v>0.25</v>
      </c>
      <c r="AA698" s="267">
        <v>0.25</v>
      </c>
      <c r="AB698" s="224">
        <v>0.75</v>
      </c>
      <c r="AC698" s="267"/>
      <c r="AD698" s="267">
        <v>0.5</v>
      </c>
      <c r="AE698" s="267">
        <v>0.25</v>
      </c>
      <c r="AF698" s="267">
        <v>0.25</v>
      </c>
      <c r="AG698" s="224">
        <v>1</v>
      </c>
      <c r="AH698" s="267"/>
      <c r="AI698" s="267">
        <v>0.5</v>
      </c>
      <c r="AJ698" s="267">
        <v>0.25</v>
      </c>
      <c r="AK698" s="267">
        <v>0.25</v>
      </c>
      <c r="AL698" s="224">
        <v>1</v>
      </c>
      <c r="AM698" s="104">
        <v>3</v>
      </c>
      <c r="AN698" s="103" t="s">
        <v>685</v>
      </c>
      <c r="AO698" s="103" t="s">
        <v>622</v>
      </c>
      <c r="AP698" s="103" t="s">
        <v>1222</v>
      </c>
      <c r="AQ698" s="103" t="s">
        <v>2753</v>
      </c>
      <c r="AR698" s="103" t="s">
        <v>950</v>
      </c>
      <c r="AS698" s="271"/>
      <c r="AT698" s="271"/>
      <c r="AU698" s="271"/>
      <c r="AV698" s="271"/>
      <c r="AW698" s="271">
        <v>30000000</v>
      </c>
      <c r="AX698" s="271"/>
      <c r="AY698" s="271"/>
      <c r="AZ698" s="271"/>
      <c r="BA698" s="271"/>
      <c r="BB698" s="271"/>
      <c r="BC698" s="271"/>
      <c r="BD698" s="271"/>
      <c r="BE698" s="271"/>
      <c r="BF698" s="271"/>
      <c r="BG698" s="271"/>
      <c r="BH698" s="235">
        <f t="shared" si="294"/>
        <v>30000000</v>
      </c>
      <c r="BI698" s="271"/>
      <c r="BJ698" s="271"/>
      <c r="BK698" s="271"/>
      <c r="BL698" s="271"/>
      <c r="BM698" s="271">
        <v>40000000</v>
      </c>
      <c r="BN698" s="271"/>
      <c r="BO698" s="271"/>
      <c r="BP698" s="271"/>
      <c r="BQ698" s="271"/>
      <c r="BR698" s="271"/>
      <c r="BS698" s="271"/>
      <c r="BT698" s="271"/>
      <c r="BU698" s="271"/>
      <c r="BV698" s="271"/>
      <c r="BW698" s="271"/>
      <c r="BX698" s="235">
        <f t="shared" si="295"/>
        <v>40000000</v>
      </c>
      <c r="BY698" s="271"/>
      <c r="BZ698" s="271"/>
      <c r="CA698" s="271"/>
      <c r="CB698" s="271"/>
      <c r="CC698" s="271">
        <v>40000000</v>
      </c>
      <c r="CD698" s="271"/>
      <c r="CE698" s="271"/>
      <c r="CF698" s="271"/>
      <c r="CG698" s="271"/>
      <c r="CH698" s="271"/>
      <c r="CI698" s="271"/>
      <c r="CJ698" s="271"/>
      <c r="CK698" s="271"/>
      <c r="CL698" s="271"/>
      <c r="CM698" s="271"/>
      <c r="CN698" s="235">
        <f t="shared" si="296"/>
        <v>40000000</v>
      </c>
      <c r="CO698" s="271"/>
      <c r="CP698" s="271"/>
      <c r="CQ698" s="271"/>
      <c r="CR698" s="271"/>
      <c r="CS698" s="271">
        <v>45000000</v>
      </c>
      <c r="CT698" s="271"/>
      <c r="CU698" s="271"/>
      <c r="CV698" s="271"/>
      <c r="CW698" s="271"/>
      <c r="CX698" s="271"/>
      <c r="CY698" s="271"/>
      <c r="CZ698" s="271"/>
      <c r="DA698" s="271"/>
      <c r="DB698" s="271"/>
      <c r="DC698" s="271">
        <v>100000000</v>
      </c>
      <c r="DD698" s="234">
        <f t="shared" si="297"/>
        <v>145000000</v>
      </c>
      <c r="DE698" s="244">
        <f t="shared" si="298"/>
        <v>255000000</v>
      </c>
    </row>
    <row r="699" spans="1:109" s="98" customFormat="1" ht="119.1" customHeight="1">
      <c r="A699" s="103" t="s">
        <v>1245</v>
      </c>
      <c r="B699" s="279" t="s">
        <v>3614</v>
      </c>
      <c r="C699" s="279" t="s">
        <v>1703</v>
      </c>
      <c r="D699" s="279">
        <v>59</v>
      </c>
      <c r="E699" s="279" t="s">
        <v>1704</v>
      </c>
      <c r="F699" s="280" t="s">
        <v>1705</v>
      </c>
      <c r="G699" s="294" t="s">
        <v>3615</v>
      </c>
      <c r="H699" s="279">
        <v>69</v>
      </c>
      <c r="I699" s="279" t="s">
        <v>10</v>
      </c>
      <c r="J699" s="279" t="s">
        <v>683</v>
      </c>
      <c r="K699" s="279">
        <v>5</v>
      </c>
      <c r="L699" s="279">
        <v>5</v>
      </c>
      <c r="M699" s="279" t="s">
        <v>1710</v>
      </c>
      <c r="N699" s="279" t="s">
        <v>1711</v>
      </c>
      <c r="O699" s="279" t="s">
        <v>1712</v>
      </c>
      <c r="P699" s="283">
        <v>622</v>
      </c>
      <c r="Q699" s="279" t="s">
        <v>3737</v>
      </c>
      <c r="R699" s="279" t="s">
        <v>1713</v>
      </c>
      <c r="S699" s="279" t="s">
        <v>1714</v>
      </c>
      <c r="T699" s="104">
        <v>10844</v>
      </c>
      <c r="U699" s="267"/>
      <c r="V699" s="267">
        <v>150</v>
      </c>
      <c r="W699" s="224">
        <v>150</v>
      </c>
      <c r="X699" s="267"/>
      <c r="Y699" s="267"/>
      <c r="Z699" s="267">
        <v>100</v>
      </c>
      <c r="AA699" s="267"/>
      <c r="AB699" s="224">
        <v>100</v>
      </c>
      <c r="AC699" s="267"/>
      <c r="AD699" s="267"/>
      <c r="AE699" s="267">
        <v>100</v>
      </c>
      <c r="AF699" s="267"/>
      <c r="AG699" s="224">
        <v>100</v>
      </c>
      <c r="AH699" s="267"/>
      <c r="AI699" s="267"/>
      <c r="AJ699" s="267">
        <v>50</v>
      </c>
      <c r="AK699" s="267"/>
      <c r="AL699" s="224">
        <v>50</v>
      </c>
      <c r="AM699" s="104">
        <v>400</v>
      </c>
      <c r="AN699" s="103" t="s">
        <v>685</v>
      </c>
      <c r="AO699" s="103" t="s">
        <v>622</v>
      </c>
      <c r="AP699" s="103" t="s">
        <v>1222</v>
      </c>
      <c r="AQ699" s="103" t="s">
        <v>2753</v>
      </c>
      <c r="AR699" s="103" t="s">
        <v>950</v>
      </c>
      <c r="AS699" s="271"/>
      <c r="AT699" s="271"/>
      <c r="AU699" s="271"/>
      <c r="AV699" s="271"/>
      <c r="AW699" s="271">
        <v>529170403</v>
      </c>
      <c r="AX699" s="271"/>
      <c r="AY699" s="271"/>
      <c r="AZ699" s="271"/>
      <c r="BA699" s="271"/>
      <c r="BB699" s="271"/>
      <c r="BC699" s="271"/>
      <c r="BD699" s="271"/>
      <c r="BE699" s="271"/>
      <c r="BF699" s="271"/>
      <c r="BG699" s="271"/>
      <c r="BH699" s="235">
        <f t="shared" si="294"/>
        <v>529170403</v>
      </c>
      <c r="BI699" s="271"/>
      <c r="BJ699" s="271"/>
      <c r="BK699" s="271"/>
      <c r="BL699" s="271"/>
      <c r="BM699" s="271">
        <v>514408378</v>
      </c>
      <c r="BN699" s="271"/>
      <c r="BO699" s="271"/>
      <c r="BP699" s="271"/>
      <c r="BQ699" s="271"/>
      <c r="BR699" s="271"/>
      <c r="BS699" s="271"/>
      <c r="BT699" s="271"/>
      <c r="BU699" s="271"/>
      <c r="BV699" s="271"/>
      <c r="BW699" s="271"/>
      <c r="BX699" s="235">
        <f t="shared" si="295"/>
        <v>514408378</v>
      </c>
      <c r="BY699" s="271"/>
      <c r="BZ699" s="271"/>
      <c r="CA699" s="271"/>
      <c r="CB699" s="271"/>
      <c r="CC699" s="271">
        <v>582902299</v>
      </c>
      <c r="CD699" s="271"/>
      <c r="CE699" s="271"/>
      <c r="CF699" s="271"/>
      <c r="CG699" s="271"/>
      <c r="CH699" s="271"/>
      <c r="CI699" s="271"/>
      <c r="CJ699" s="271"/>
      <c r="CK699" s="271"/>
      <c r="CL699" s="271"/>
      <c r="CM699" s="271"/>
      <c r="CN699" s="235">
        <f t="shared" si="296"/>
        <v>582902299</v>
      </c>
      <c r="CO699" s="271"/>
      <c r="CP699" s="271"/>
      <c r="CQ699" s="271"/>
      <c r="CR699" s="271"/>
      <c r="CS699" s="271">
        <v>689618391</v>
      </c>
      <c r="CT699" s="271"/>
      <c r="CU699" s="271"/>
      <c r="CV699" s="271"/>
      <c r="CW699" s="271"/>
      <c r="CX699" s="271"/>
      <c r="CY699" s="271"/>
      <c r="CZ699" s="271"/>
      <c r="DA699" s="271"/>
      <c r="DB699" s="271"/>
      <c r="DC699" s="271">
        <f>6534000000</f>
        <v>6534000000</v>
      </c>
      <c r="DD699" s="234">
        <f t="shared" si="297"/>
        <v>7223618391</v>
      </c>
      <c r="DE699" s="244">
        <f t="shared" si="298"/>
        <v>8850099471</v>
      </c>
    </row>
    <row r="700" spans="1:109" s="98" customFormat="1" ht="119.1" customHeight="1">
      <c r="A700" s="103" t="s">
        <v>1245</v>
      </c>
      <c r="B700" s="279" t="s">
        <v>3614</v>
      </c>
      <c r="C700" s="279" t="s">
        <v>1703</v>
      </c>
      <c r="D700" s="279">
        <v>59</v>
      </c>
      <c r="E700" s="279" t="s">
        <v>1704</v>
      </c>
      <c r="F700" s="280" t="s">
        <v>1705</v>
      </c>
      <c r="G700" s="294" t="s">
        <v>3615</v>
      </c>
      <c r="H700" s="279">
        <v>69</v>
      </c>
      <c r="I700" s="279" t="s">
        <v>10</v>
      </c>
      <c r="J700" s="279" t="s">
        <v>683</v>
      </c>
      <c r="K700" s="279">
        <v>5</v>
      </c>
      <c r="L700" s="279">
        <v>5</v>
      </c>
      <c r="M700" s="279" t="s">
        <v>1710</v>
      </c>
      <c r="N700" s="279" t="s">
        <v>1711</v>
      </c>
      <c r="O700" s="279" t="s">
        <v>1712</v>
      </c>
      <c r="P700" s="283">
        <v>623</v>
      </c>
      <c r="Q700" s="279" t="s">
        <v>3647</v>
      </c>
      <c r="R700" s="279" t="s">
        <v>20</v>
      </c>
      <c r="S700" s="279" t="s">
        <v>683</v>
      </c>
      <c r="T700" s="279">
        <v>12</v>
      </c>
      <c r="U700" s="267"/>
      <c r="V700" s="267">
        <v>12</v>
      </c>
      <c r="W700" s="224">
        <v>12</v>
      </c>
      <c r="X700" s="267"/>
      <c r="Y700" s="267">
        <v>12</v>
      </c>
      <c r="Z700" s="267"/>
      <c r="AA700" s="267"/>
      <c r="AB700" s="224">
        <v>12</v>
      </c>
      <c r="AC700" s="267"/>
      <c r="AD700" s="267">
        <v>12</v>
      </c>
      <c r="AE700" s="267"/>
      <c r="AF700" s="267"/>
      <c r="AG700" s="224">
        <v>12</v>
      </c>
      <c r="AH700" s="267"/>
      <c r="AI700" s="267">
        <v>12</v>
      </c>
      <c r="AJ700" s="267"/>
      <c r="AK700" s="267"/>
      <c r="AL700" s="224">
        <v>12</v>
      </c>
      <c r="AM700" s="104">
        <v>12</v>
      </c>
      <c r="AN700" s="103" t="s">
        <v>686</v>
      </c>
      <c r="AO700" s="103" t="s">
        <v>622</v>
      </c>
      <c r="AP700" s="103" t="s">
        <v>1222</v>
      </c>
      <c r="AQ700" s="103" t="s">
        <v>2753</v>
      </c>
      <c r="AR700" s="103" t="s">
        <v>950</v>
      </c>
      <c r="AS700" s="271"/>
      <c r="AT700" s="271"/>
      <c r="AU700" s="271"/>
      <c r="AV700" s="271"/>
      <c r="AW700" s="271">
        <v>25000000</v>
      </c>
      <c r="AX700" s="271"/>
      <c r="AY700" s="271"/>
      <c r="AZ700" s="271"/>
      <c r="BA700" s="271"/>
      <c r="BB700" s="271"/>
      <c r="BC700" s="271"/>
      <c r="BD700" s="271"/>
      <c r="BE700" s="271"/>
      <c r="BF700" s="271"/>
      <c r="BG700" s="271"/>
      <c r="BH700" s="235">
        <f t="shared" si="294"/>
        <v>25000000</v>
      </c>
      <c r="BI700" s="271"/>
      <c r="BJ700" s="271"/>
      <c r="BK700" s="271"/>
      <c r="BL700" s="271"/>
      <c r="BM700" s="271">
        <v>40000000</v>
      </c>
      <c r="BN700" s="271"/>
      <c r="BO700" s="271"/>
      <c r="BP700" s="271"/>
      <c r="BQ700" s="271"/>
      <c r="BR700" s="271"/>
      <c r="BS700" s="271"/>
      <c r="BT700" s="271"/>
      <c r="BU700" s="271"/>
      <c r="BV700" s="271"/>
      <c r="BW700" s="271"/>
      <c r="BX700" s="235">
        <f t="shared" si="295"/>
        <v>40000000</v>
      </c>
      <c r="BY700" s="271"/>
      <c r="BZ700" s="271"/>
      <c r="CA700" s="271"/>
      <c r="CB700" s="271"/>
      <c r="CC700" s="271">
        <v>40000000</v>
      </c>
      <c r="CD700" s="271"/>
      <c r="CE700" s="271"/>
      <c r="CF700" s="271"/>
      <c r="CG700" s="271"/>
      <c r="CH700" s="271"/>
      <c r="CI700" s="271"/>
      <c r="CJ700" s="271"/>
      <c r="CK700" s="271"/>
      <c r="CL700" s="271"/>
      <c r="CM700" s="271"/>
      <c r="CN700" s="235">
        <f t="shared" si="296"/>
        <v>40000000</v>
      </c>
      <c r="CO700" s="271"/>
      <c r="CP700" s="271"/>
      <c r="CQ700" s="271"/>
      <c r="CR700" s="271"/>
      <c r="CS700" s="271"/>
      <c r="CT700" s="271"/>
      <c r="CU700" s="271"/>
      <c r="CV700" s="271"/>
      <c r="CW700" s="271"/>
      <c r="CX700" s="271"/>
      <c r="CY700" s="271"/>
      <c r="CZ700" s="271"/>
      <c r="DA700" s="271"/>
      <c r="DB700" s="271"/>
      <c r="DC700" s="271">
        <v>60000000</v>
      </c>
      <c r="DD700" s="234">
        <f t="shared" si="297"/>
        <v>60000000</v>
      </c>
      <c r="DE700" s="244">
        <f t="shared" si="298"/>
        <v>165000000</v>
      </c>
    </row>
    <row r="701" spans="1:109" s="98" customFormat="1" ht="119.1" customHeight="1">
      <c r="A701" s="103" t="s">
        <v>1245</v>
      </c>
      <c r="B701" s="279" t="s">
        <v>3614</v>
      </c>
      <c r="C701" s="279" t="s">
        <v>1703</v>
      </c>
      <c r="D701" s="279">
        <v>59</v>
      </c>
      <c r="E701" s="279" t="s">
        <v>1704</v>
      </c>
      <c r="F701" s="280" t="s">
        <v>1705</v>
      </c>
      <c r="G701" s="294" t="s">
        <v>3615</v>
      </c>
      <c r="H701" s="279">
        <v>69</v>
      </c>
      <c r="I701" s="279" t="s">
        <v>10</v>
      </c>
      <c r="J701" s="279" t="s">
        <v>683</v>
      </c>
      <c r="K701" s="279">
        <v>5</v>
      </c>
      <c r="L701" s="279">
        <v>5</v>
      </c>
      <c r="M701" s="279" t="s">
        <v>1710</v>
      </c>
      <c r="N701" s="279" t="s">
        <v>1711</v>
      </c>
      <c r="O701" s="279" t="s">
        <v>1712</v>
      </c>
      <c r="P701" s="283">
        <v>624</v>
      </c>
      <c r="Q701" s="279" t="s">
        <v>3738</v>
      </c>
      <c r="R701" s="279" t="s">
        <v>20</v>
      </c>
      <c r="S701" s="279" t="s">
        <v>683</v>
      </c>
      <c r="T701" s="279">
        <v>12</v>
      </c>
      <c r="U701" s="267"/>
      <c r="V701" s="267">
        <v>1</v>
      </c>
      <c r="W701" s="224">
        <v>1</v>
      </c>
      <c r="X701" s="267"/>
      <c r="Y701" s="267">
        <v>2</v>
      </c>
      <c r="Z701" s="267"/>
      <c r="AA701" s="267"/>
      <c r="AB701" s="224">
        <v>2</v>
      </c>
      <c r="AC701" s="267"/>
      <c r="AD701" s="267"/>
      <c r="AE701" s="267"/>
      <c r="AF701" s="267"/>
      <c r="AG701" s="224">
        <v>0</v>
      </c>
      <c r="AH701" s="267"/>
      <c r="AI701" s="267"/>
      <c r="AJ701" s="267"/>
      <c r="AK701" s="267"/>
      <c r="AL701" s="224">
        <v>0</v>
      </c>
      <c r="AM701" s="104">
        <v>3</v>
      </c>
      <c r="AN701" s="103" t="s">
        <v>685</v>
      </c>
      <c r="AO701" s="103" t="s">
        <v>622</v>
      </c>
      <c r="AP701" s="103" t="s">
        <v>1222</v>
      </c>
      <c r="AQ701" s="103" t="s">
        <v>2753</v>
      </c>
      <c r="AR701" s="103" t="s">
        <v>950</v>
      </c>
      <c r="AS701" s="271"/>
      <c r="AT701" s="271"/>
      <c r="AU701" s="271"/>
      <c r="AV701" s="271"/>
      <c r="AW701" s="271">
        <v>30000000</v>
      </c>
      <c r="AX701" s="271"/>
      <c r="AY701" s="271"/>
      <c r="AZ701" s="271"/>
      <c r="BA701" s="271"/>
      <c r="BB701" s="271"/>
      <c r="BC701" s="271"/>
      <c r="BD701" s="271"/>
      <c r="BE701" s="271"/>
      <c r="BF701" s="271"/>
      <c r="BG701" s="271"/>
      <c r="BH701" s="235">
        <f t="shared" si="294"/>
        <v>30000000</v>
      </c>
      <c r="BI701" s="271"/>
      <c r="BJ701" s="271"/>
      <c r="BK701" s="271"/>
      <c r="BL701" s="271"/>
      <c r="BM701" s="271">
        <v>50000000</v>
      </c>
      <c r="BN701" s="271"/>
      <c r="BO701" s="271"/>
      <c r="BP701" s="271"/>
      <c r="BQ701" s="271"/>
      <c r="BR701" s="271"/>
      <c r="BS701" s="271"/>
      <c r="BT701" s="271"/>
      <c r="BU701" s="271"/>
      <c r="BV701" s="271"/>
      <c r="BW701" s="271"/>
      <c r="BX701" s="235">
        <f t="shared" si="295"/>
        <v>50000000</v>
      </c>
      <c r="BY701" s="271"/>
      <c r="BZ701" s="271"/>
      <c r="CA701" s="271"/>
      <c r="CB701" s="271"/>
      <c r="CC701" s="271"/>
      <c r="CD701" s="271"/>
      <c r="CE701" s="271"/>
      <c r="CF701" s="271"/>
      <c r="CG701" s="271"/>
      <c r="CH701" s="271"/>
      <c r="CI701" s="271"/>
      <c r="CJ701" s="271"/>
      <c r="CK701" s="271"/>
      <c r="CL701" s="271"/>
      <c r="CM701" s="271"/>
      <c r="CN701" s="235">
        <f t="shared" si="296"/>
        <v>0</v>
      </c>
      <c r="CO701" s="271"/>
      <c r="CP701" s="271"/>
      <c r="CQ701" s="271"/>
      <c r="CR701" s="271"/>
      <c r="CS701" s="271"/>
      <c r="CT701" s="271"/>
      <c r="CU701" s="271"/>
      <c r="CV701" s="271"/>
      <c r="CW701" s="271"/>
      <c r="CX701" s="271"/>
      <c r="CY701" s="271"/>
      <c r="CZ701" s="271"/>
      <c r="DA701" s="271"/>
      <c r="DB701" s="271"/>
      <c r="DC701" s="271"/>
      <c r="DD701" s="234">
        <f t="shared" si="297"/>
        <v>0</v>
      </c>
      <c r="DE701" s="244">
        <f t="shared" si="298"/>
        <v>80000000</v>
      </c>
    </row>
    <row r="702" spans="1:109" s="98" customFormat="1" ht="119.1" customHeight="1">
      <c r="A702" s="103" t="s">
        <v>1245</v>
      </c>
      <c r="B702" s="279" t="s">
        <v>3614</v>
      </c>
      <c r="C702" s="279" t="s">
        <v>1703</v>
      </c>
      <c r="D702" s="279">
        <v>59</v>
      </c>
      <c r="E702" s="279" t="s">
        <v>1704</v>
      </c>
      <c r="F702" s="280" t="s">
        <v>1705</v>
      </c>
      <c r="G702" s="294" t="s">
        <v>3615</v>
      </c>
      <c r="H702" s="279">
        <v>69</v>
      </c>
      <c r="I702" s="279" t="s">
        <v>10</v>
      </c>
      <c r="J702" s="279" t="s">
        <v>683</v>
      </c>
      <c r="K702" s="279">
        <v>5</v>
      </c>
      <c r="L702" s="279">
        <v>5</v>
      </c>
      <c r="M702" s="279" t="s">
        <v>1710</v>
      </c>
      <c r="N702" s="279" t="s">
        <v>1711</v>
      </c>
      <c r="O702" s="279" t="s">
        <v>1712</v>
      </c>
      <c r="P702" s="283">
        <v>625</v>
      </c>
      <c r="Q702" s="279" t="s">
        <v>3648</v>
      </c>
      <c r="R702" s="279" t="s">
        <v>23</v>
      </c>
      <c r="S702" s="279" t="s">
        <v>683</v>
      </c>
      <c r="T702" s="279">
        <v>1</v>
      </c>
      <c r="U702" s="267"/>
      <c r="V702" s="267">
        <v>1</v>
      </c>
      <c r="W702" s="224">
        <v>1</v>
      </c>
      <c r="X702" s="267"/>
      <c r="Y702" s="267"/>
      <c r="Z702" s="267">
        <v>1</v>
      </c>
      <c r="AA702" s="267"/>
      <c r="AB702" s="224">
        <v>1</v>
      </c>
      <c r="AC702" s="267"/>
      <c r="AD702" s="267"/>
      <c r="AE702" s="267">
        <v>1</v>
      </c>
      <c r="AF702" s="267"/>
      <c r="AG702" s="224">
        <v>1</v>
      </c>
      <c r="AH702" s="267"/>
      <c r="AI702" s="267"/>
      <c r="AJ702" s="267">
        <v>1</v>
      </c>
      <c r="AK702" s="267"/>
      <c r="AL702" s="224">
        <v>1</v>
      </c>
      <c r="AM702" s="104">
        <v>1</v>
      </c>
      <c r="AN702" s="103" t="s">
        <v>686</v>
      </c>
      <c r="AO702" s="103" t="s">
        <v>622</v>
      </c>
      <c r="AP702" s="103" t="s">
        <v>1222</v>
      </c>
      <c r="AQ702" s="103" t="s">
        <v>2753</v>
      </c>
      <c r="AR702" s="103" t="s">
        <v>950</v>
      </c>
      <c r="AS702" s="271"/>
      <c r="AT702" s="271"/>
      <c r="AU702" s="271"/>
      <c r="AV702" s="271"/>
      <c r="AW702" s="271">
        <v>25000000</v>
      </c>
      <c r="AX702" s="271"/>
      <c r="AY702" s="271"/>
      <c r="AZ702" s="271"/>
      <c r="BA702" s="271"/>
      <c r="BB702" s="271"/>
      <c r="BC702" s="271"/>
      <c r="BD702" s="271"/>
      <c r="BE702" s="271"/>
      <c r="BF702" s="271"/>
      <c r="BG702" s="271"/>
      <c r="BH702" s="235">
        <f t="shared" si="294"/>
        <v>25000000</v>
      </c>
      <c r="BI702" s="271"/>
      <c r="BJ702" s="271"/>
      <c r="BK702" s="271"/>
      <c r="BL702" s="271"/>
      <c r="BM702" s="271">
        <v>20000000</v>
      </c>
      <c r="BN702" s="271"/>
      <c r="BO702" s="271"/>
      <c r="BP702" s="271"/>
      <c r="BQ702" s="271"/>
      <c r="BR702" s="271"/>
      <c r="BS702" s="271"/>
      <c r="BT702" s="271"/>
      <c r="BU702" s="271"/>
      <c r="BV702" s="271"/>
      <c r="BW702" s="271"/>
      <c r="BX702" s="235">
        <f t="shared" si="295"/>
        <v>20000000</v>
      </c>
      <c r="BY702" s="271"/>
      <c r="BZ702" s="271"/>
      <c r="CA702" s="271"/>
      <c r="CB702" s="271"/>
      <c r="CC702" s="271">
        <v>10000000</v>
      </c>
      <c r="CD702" s="271"/>
      <c r="CE702" s="271"/>
      <c r="CF702" s="271"/>
      <c r="CG702" s="271"/>
      <c r="CH702" s="271"/>
      <c r="CI702" s="271"/>
      <c r="CJ702" s="271"/>
      <c r="CK702" s="271"/>
      <c r="CL702" s="271"/>
      <c r="CM702" s="271"/>
      <c r="CN702" s="235">
        <f t="shared" si="296"/>
        <v>10000000</v>
      </c>
      <c r="CO702" s="271"/>
      <c r="CP702" s="271"/>
      <c r="CQ702" s="271"/>
      <c r="CR702" s="271"/>
      <c r="CS702" s="271"/>
      <c r="CT702" s="271"/>
      <c r="CU702" s="271"/>
      <c r="CV702" s="271"/>
      <c r="CW702" s="271"/>
      <c r="CX702" s="271"/>
      <c r="CY702" s="271"/>
      <c r="CZ702" s="271"/>
      <c r="DA702" s="271"/>
      <c r="DB702" s="271"/>
      <c r="DC702" s="271">
        <v>20000000</v>
      </c>
      <c r="DD702" s="234">
        <f t="shared" si="297"/>
        <v>20000000</v>
      </c>
      <c r="DE702" s="244">
        <f t="shared" si="298"/>
        <v>75000000</v>
      </c>
    </row>
    <row r="703" spans="1:109" s="98" customFormat="1" ht="119.1" customHeight="1">
      <c r="A703" s="103" t="s">
        <v>1245</v>
      </c>
      <c r="B703" s="279" t="s">
        <v>3614</v>
      </c>
      <c r="C703" s="279" t="s">
        <v>1703</v>
      </c>
      <c r="D703" s="279">
        <v>59</v>
      </c>
      <c r="E703" s="279" t="s">
        <v>1704</v>
      </c>
      <c r="F703" s="280" t="s">
        <v>1705</v>
      </c>
      <c r="G703" s="294" t="s">
        <v>3615</v>
      </c>
      <c r="H703" s="279">
        <v>69</v>
      </c>
      <c r="I703" s="279" t="s">
        <v>10</v>
      </c>
      <c r="J703" s="279" t="s">
        <v>683</v>
      </c>
      <c r="K703" s="279">
        <v>5</v>
      </c>
      <c r="L703" s="279">
        <v>5</v>
      </c>
      <c r="M703" s="279" t="s">
        <v>1710</v>
      </c>
      <c r="N703" s="279" t="s">
        <v>1711</v>
      </c>
      <c r="O703" s="279" t="s">
        <v>1712</v>
      </c>
      <c r="P703" s="283">
        <v>626</v>
      </c>
      <c r="Q703" s="279" t="s">
        <v>3649</v>
      </c>
      <c r="R703" s="279" t="s">
        <v>23</v>
      </c>
      <c r="S703" s="279" t="s">
        <v>683</v>
      </c>
      <c r="T703" s="279">
        <v>1</v>
      </c>
      <c r="U703" s="267"/>
      <c r="V703" s="267">
        <v>0.25</v>
      </c>
      <c r="W703" s="224">
        <v>0.25</v>
      </c>
      <c r="X703" s="267"/>
      <c r="Y703" s="267">
        <v>0.25</v>
      </c>
      <c r="Z703" s="267">
        <v>0.25</v>
      </c>
      <c r="AA703" s="267"/>
      <c r="AB703" s="224">
        <v>0.5</v>
      </c>
      <c r="AC703" s="267"/>
      <c r="AD703" s="267">
        <v>0.25</v>
      </c>
      <c r="AE703" s="267">
        <v>0.25</v>
      </c>
      <c r="AF703" s="267"/>
      <c r="AG703" s="224">
        <v>0.5</v>
      </c>
      <c r="AH703" s="267"/>
      <c r="AI703" s="267"/>
      <c r="AJ703" s="267">
        <v>0.75</v>
      </c>
      <c r="AK703" s="267"/>
      <c r="AL703" s="224">
        <v>0.75</v>
      </c>
      <c r="AM703" s="104">
        <v>2</v>
      </c>
      <c r="AN703" s="103" t="s">
        <v>685</v>
      </c>
      <c r="AO703" s="103" t="s">
        <v>622</v>
      </c>
      <c r="AP703" s="103" t="s">
        <v>1222</v>
      </c>
      <c r="AQ703" s="103" t="s">
        <v>2753</v>
      </c>
      <c r="AR703" s="103" t="s">
        <v>950</v>
      </c>
      <c r="AS703" s="271"/>
      <c r="AT703" s="271"/>
      <c r="AU703" s="271"/>
      <c r="AV703" s="271"/>
      <c r="AW703" s="271">
        <v>20000000</v>
      </c>
      <c r="AX703" s="271"/>
      <c r="AY703" s="271"/>
      <c r="AZ703" s="271"/>
      <c r="BA703" s="271"/>
      <c r="BB703" s="271"/>
      <c r="BC703" s="271"/>
      <c r="BD703" s="271"/>
      <c r="BE703" s="271"/>
      <c r="BF703" s="271"/>
      <c r="BG703" s="271"/>
      <c r="BH703" s="235">
        <f t="shared" si="294"/>
        <v>20000000</v>
      </c>
      <c r="BI703" s="271"/>
      <c r="BJ703" s="271"/>
      <c r="BK703" s="271"/>
      <c r="BL703" s="271"/>
      <c r="BM703" s="271">
        <v>50000000</v>
      </c>
      <c r="BN703" s="271"/>
      <c r="BO703" s="271"/>
      <c r="BP703" s="271"/>
      <c r="BQ703" s="271"/>
      <c r="BR703" s="271"/>
      <c r="BS703" s="271"/>
      <c r="BT703" s="271"/>
      <c r="BU703" s="271"/>
      <c r="BV703" s="271"/>
      <c r="BW703" s="271"/>
      <c r="BX703" s="235">
        <f t="shared" si="295"/>
        <v>50000000</v>
      </c>
      <c r="BY703" s="271"/>
      <c r="BZ703" s="271"/>
      <c r="CA703" s="271"/>
      <c r="CB703" s="271"/>
      <c r="CC703" s="271">
        <v>30000000</v>
      </c>
      <c r="CD703" s="271"/>
      <c r="CE703" s="271"/>
      <c r="CF703" s="271"/>
      <c r="CG703" s="271"/>
      <c r="CH703" s="271"/>
      <c r="CI703" s="271"/>
      <c r="CJ703" s="271"/>
      <c r="CK703" s="271"/>
      <c r="CL703" s="271"/>
      <c r="CM703" s="271"/>
      <c r="CN703" s="235">
        <f t="shared" si="296"/>
        <v>30000000</v>
      </c>
      <c r="CO703" s="271"/>
      <c r="CP703" s="271"/>
      <c r="CQ703" s="271"/>
      <c r="CR703" s="271"/>
      <c r="CS703" s="271">
        <v>20000000</v>
      </c>
      <c r="CT703" s="271"/>
      <c r="CU703" s="271"/>
      <c r="CV703" s="271"/>
      <c r="CW703" s="271"/>
      <c r="CX703" s="271"/>
      <c r="CY703" s="271"/>
      <c r="CZ703" s="271"/>
      <c r="DA703" s="271"/>
      <c r="DB703" s="271"/>
      <c r="DC703" s="271">
        <v>100000000</v>
      </c>
      <c r="DD703" s="234">
        <f t="shared" si="297"/>
        <v>120000000</v>
      </c>
      <c r="DE703" s="244">
        <f t="shared" si="298"/>
        <v>220000000</v>
      </c>
    </row>
    <row r="704" spans="1:109" s="98" customFormat="1" ht="119.1" customHeight="1">
      <c r="A704" s="103" t="s">
        <v>1245</v>
      </c>
      <c r="B704" s="279" t="s">
        <v>3614</v>
      </c>
      <c r="C704" s="279" t="s">
        <v>1703</v>
      </c>
      <c r="D704" s="279">
        <v>59</v>
      </c>
      <c r="E704" s="279" t="s">
        <v>1704</v>
      </c>
      <c r="F704" s="280" t="s">
        <v>1705</v>
      </c>
      <c r="G704" s="294" t="s">
        <v>3615</v>
      </c>
      <c r="H704" s="279">
        <v>69</v>
      </c>
      <c r="I704" s="279" t="s">
        <v>10</v>
      </c>
      <c r="J704" s="279" t="s">
        <v>683</v>
      </c>
      <c r="K704" s="279">
        <v>5</v>
      </c>
      <c r="L704" s="279">
        <v>5</v>
      </c>
      <c r="M704" s="279" t="s">
        <v>1710</v>
      </c>
      <c r="N704" s="279" t="s">
        <v>1711</v>
      </c>
      <c r="O704" s="279" t="s">
        <v>1712</v>
      </c>
      <c r="P704" s="283">
        <v>627</v>
      </c>
      <c r="Q704" s="279" t="s">
        <v>3650</v>
      </c>
      <c r="R704" s="279" t="s">
        <v>1715</v>
      </c>
      <c r="S704" s="279" t="s">
        <v>683</v>
      </c>
      <c r="T704" s="279">
        <v>2</v>
      </c>
      <c r="U704" s="267"/>
      <c r="V704" s="267">
        <v>0.25</v>
      </c>
      <c r="W704" s="224">
        <v>0.25</v>
      </c>
      <c r="X704" s="267"/>
      <c r="Y704" s="267">
        <v>0.5</v>
      </c>
      <c r="Z704" s="267">
        <v>0.25</v>
      </c>
      <c r="AA704" s="267"/>
      <c r="AB704" s="224">
        <v>0.75</v>
      </c>
      <c r="AC704" s="267"/>
      <c r="AD704" s="267"/>
      <c r="AE704" s="267">
        <v>0.5</v>
      </c>
      <c r="AF704" s="267"/>
      <c r="AG704" s="224">
        <v>0.5</v>
      </c>
      <c r="AH704" s="267"/>
      <c r="AI704" s="267"/>
      <c r="AJ704" s="267">
        <v>0.5</v>
      </c>
      <c r="AK704" s="267"/>
      <c r="AL704" s="224">
        <v>0.5</v>
      </c>
      <c r="AM704" s="104">
        <v>2</v>
      </c>
      <c r="AN704" s="103" t="s">
        <v>685</v>
      </c>
      <c r="AO704" s="103" t="s">
        <v>622</v>
      </c>
      <c r="AP704" s="103" t="s">
        <v>1222</v>
      </c>
      <c r="AQ704" s="103" t="s">
        <v>2753</v>
      </c>
      <c r="AR704" s="103" t="s">
        <v>950</v>
      </c>
      <c r="AS704" s="271"/>
      <c r="AT704" s="271"/>
      <c r="AU704" s="271"/>
      <c r="AV704" s="271"/>
      <c r="AW704" s="271">
        <v>25000000</v>
      </c>
      <c r="AX704" s="271"/>
      <c r="AY704" s="271"/>
      <c r="AZ704" s="271"/>
      <c r="BA704" s="271"/>
      <c r="BB704" s="271"/>
      <c r="BC704" s="271"/>
      <c r="BD704" s="271"/>
      <c r="BE704" s="271"/>
      <c r="BF704" s="271"/>
      <c r="BG704" s="271"/>
      <c r="BH704" s="235">
        <f t="shared" si="294"/>
        <v>25000000</v>
      </c>
      <c r="BI704" s="271"/>
      <c r="BJ704" s="271"/>
      <c r="BK704" s="271"/>
      <c r="BL704" s="271"/>
      <c r="BM704" s="271">
        <v>50000000</v>
      </c>
      <c r="BN704" s="271"/>
      <c r="BO704" s="271"/>
      <c r="BP704" s="271"/>
      <c r="BQ704" s="271"/>
      <c r="BR704" s="271"/>
      <c r="BS704" s="271"/>
      <c r="BT704" s="271"/>
      <c r="BU704" s="271"/>
      <c r="BV704" s="271"/>
      <c r="BW704" s="271"/>
      <c r="BX704" s="235">
        <f t="shared" si="295"/>
        <v>50000000</v>
      </c>
      <c r="BY704" s="271"/>
      <c r="BZ704" s="271"/>
      <c r="CA704" s="271"/>
      <c r="CB704" s="271"/>
      <c r="CC704" s="271">
        <v>50000000</v>
      </c>
      <c r="CD704" s="271"/>
      <c r="CE704" s="271"/>
      <c r="CF704" s="271"/>
      <c r="CG704" s="271"/>
      <c r="CH704" s="271"/>
      <c r="CI704" s="271"/>
      <c r="CJ704" s="271"/>
      <c r="CK704" s="271"/>
      <c r="CL704" s="271"/>
      <c r="CM704" s="271"/>
      <c r="CN704" s="235">
        <f t="shared" si="296"/>
        <v>50000000</v>
      </c>
      <c r="CO704" s="271"/>
      <c r="CP704" s="271"/>
      <c r="CQ704" s="271"/>
      <c r="CR704" s="271"/>
      <c r="CS704" s="271">
        <v>30000000</v>
      </c>
      <c r="CT704" s="271"/>
      <c r="CU704" s="271"/>
      <c r="CV704" s="271"/>
      <c r="CW704" s="271"/>
      <c r="CX704" s="271"/>
      <c r="CY704" s="271"/>
      <c r="CZ704" s="271"/>
      <c r="DA704" s="271"/>
      <c r="DB704" s="271"/>
      <c r="DC704" s="271">
        <v>50000000</v>
      </c>
      <c r="DD704" s="234">
        <f t="shared" si="297"/>
        <v>80000000</v>
      </c>
      <c r="DE704" s="244">
        <f t="shared" si="298"/>
        <v>205000000</v>
      </c>
    </row>
    <row r="705" spans="1:110" s="98" customFormat="1" ht="119.1" customHeight="1">
      <c r="A705" s="103" t="s">
        <v>1245</v>
      </c>
      <c r="B705" s="279" t="s">
        <v>3614</v>
      </c>
      <c r="C705" s="279" t="s">
        <v>1703</v>
      </c>
      <c r="D705" s="279">
        <v>59</v>
      </c>
      <c r="E705" s="279" t="s">
        <v>1704</v>
      </c>
      <c r="F705" s="280" t="s">
        <v>1705</v>
      </c>
      <c r="G705" s="294" t="s">
        <v>3615</v>
      </c>
      <c r="H705" s="279">
        <v>69</v>
      </c>
      <c r="I705" s="279" t="s">
        <v>10</v>
      </c>
      <c r="J705" s="279" t="s">
        <v>683</v>
      </c>
      <c r="K705" s="279">
        <v>5</v>
      </c>
      <c r="L705" s="279">
        <v>5</v>
      </c>
      <c r="M705" s="279" t="s">
        <v>1716</v>
      </c>
      <c r="N705" s="279" t="s">
        <v>1717</v>
      </c>
      <c r="O705" s="279" t="s">
        <v>38</v>
      </c>
      <c r="P705" s="283">
        <v>628</v>
      </c>
      <c r="Q705" s="279" t="s">
        <v>3651</v>
      </c>
      <c r="R705" s="279" t="s">
        <v>1718</v>
      </c>
      <c r="S705" s="279" t="s">
        <v>683</v>
      </c>
      <c r="T705" s="279">
        <v>2</v>
      </c>
      <c r="U705" s="267"/>
      <c r="V705" s="267">
        <v>0.25</v>
      </c>
      <c r="W705" s="224">
        <v>0.25</v>
      </c>
      <c r="X705" s="267"/>
      <c r="Y705" s="267">
        <v>0.25</v>
      </c>
      <c r="Z705" s="267">
        <v>0.5</v>
      </c>
      <c r="AA705" s="267"/>
      <c r="AB705" s="224">
        <v>0.75</v>
      </c>
      <c r="AC705" s="267"/>
      <c r="AD705" s="267">
        <v>0.5</v>
      </c>
      <c r="AE705" s="267">
        <v>0.5</v>
      </c>
      <c r="AF705" s="267"/>
      <c r="AG705" s="224">
        <v>1</v>
      </c>
      <c r="AH705" s="267"/>
      <c r="AI705" s="267">
        <v>0.5</v>
      </c>
      <c r="AJ705" s="267">
        <v>0.5</v>
      </c>
      <c r="AK705" s="267"/>
      <c r="AL705" s="224">
        <v>1</v>
      </c>
      <c r="AM705" s="104">
        <v>3</v>
      </c>
      <c r="AN705" s="103" t="s">
        <v>685</v>
      </c>
      <c r="AO705" s="103" t="s">
        <v>622</v>
      </c>
      <c r="AP705" s="103" t="s">
        <v>1222</v>
      </c>
      <c r="AQ705" s="103" t="s">
        <v>2753</v>
      </c>
      <c r="AR705" s="103" t="s">
        <v>950</v>
      </c>
      <c r="AS705" s="271"/>
      <c r="AT705" s="271"/>
      <c r="AU705" s="271"/>
      <c r="AV705" s="271"/>
      <c r="AW705" s="271">
        <v>15000000</v>
      </c>
      <c r="AX705" s="271"/>
      <c r="AY705" s="271"/>
      <c r="AZ705" s="271"/>
      <c r="BA705" s="271"/>
      <c r="BB705" s="271"/>
      <c r="BC705" s="271"/>
      <c r="BD705" s="271"/>
      <c r="BE705" s="271"/>
      <c r="BF705" s="271"/>
      <c r="BG705" s="271"/>
      <c r="BH705" s="235">
        <f t="shared" si="294"/>
        <v>15000000</v>
      </c>
      <c r="BI705" s="271"/>
      <c r="BJ705" s="271"/>
      <c r="BK705" s="271"/>
      <c r="BL705" s="271"/>
      <c r="BM705" s="271">
        <v>15000000</v>
      </c>
      <c r="BN705" s="271"/>
      <c r="BO705" s="271"/>
      <c r="BP705" s="271"/>
      <c r="BQ705" s="271"/>
      <c r="BR705" s="271"/>
      <c r="BS705" s="271"/>
      <c r="BT705" s="271"/>
      <c r="BU705" s="271"/>
      <c r="BV705" s="271"/>
      <c r="BW705" s="271"/>
      <c r="BX705" s="235">
        <f t="shared" si="295"/>
        <v>15000000</v>
      </c>
      <c r="BY705" s="271"/>
      <c r="BZ705" s="271"/>
      <c r="CA705" s="271"/>
      <c r="CB705" s="271"/>
      <c r="CC705" s="271">
        <v>15000000</v>
      </c>
      <c r="CD705" s="271"/>
      <c r="CE705" s="271"/>
      <c r="CF705" s="271"/>
      <c r="CG705" s="271"/>
      <c r="CH705" s="271"/>
      <c r="CI705" s="271"/>
      <c r="CJ705" s="271"/>
      <c r="CK705" s="271"/>
      <c r="CL705" s="271"/>
      <c r="CM705" s="271"/>
      <c r="CN705" s="235">
        <f t="shared" si="296"/>
        <v>15000000</v>
      </c>
      <c r="CO705" s="271"/>
      <c r="CP705" s="271"/>
      <c r="CQ705" s="271"/>
      <c r="CR705" s="271"/>
      <c r="CS705" s="271">
        <v>10000000</v>
      </c>
      <c r="CT705" s="271"/>
      <c r="CU705" s="271"/>
      <c r="CV705" s="271"/>
      <c r="CW705" s="271"/>
      <c r="CX705" s="271"/>
      <c r="CY705" s="271"/>
      <c r="CZ705" s="271"/>
      <c r="DA705" s="271"/>
      <c r="DB705" s="271"/>
      <c r="DC705" s="271">
        <v>30000000</v>
      </c>
      <c r="DD705" s="234">
        <f t="shared" si="297"/>
        <v>40000000</v>
      </c>
      <c r="DE705" s="244">
        <f t="shared" si="298"/>
        <v>85000000</v>
      </c>
    </row>
    <row r="706" spans="1:110" s="98" customFormat="1" ht="119.1" customHeight="1">
      <c r="A706" s="120" t="s">
        <v>1245</v>
      </c>
      <c r="B706" s="281" t="s">
        <v>3614</v>
      </c>
      <c r="C706" s="281" t="s">
        <v>1703</v>
      </c>
      <c r="D706" s="281">
        <v>59</v>
      </c>
      <c r="E706" s="281" t="s">
        <v>1704</v>
      </c>
      <c r="F706" s="282" t="s">
        <v>1705</v>
      </c>
      <c r="G706" s="295" t="s">
        <v>3615</v>
      </c>
      <c r="H706" s="281">
        <v>69</v>
      </c>
      <c r="I706" s="281" t="s">
        <v>10</v>
      </c>
      <c r="J706" s="281" t="s">
        <v>683</v>
      </c>
      <c r="K706" s="281">
        <v>5</v>
      </c>
      <c r="L706" s="281">
        <v>5</v>
      </c>
      <c r="M706" s="281" t="s">
        <v>1716</v>
      </c>
      <c r="N706" s="281" t="s">
        <v>1717</v>
      </c>
      <c r="O706" s="281" t="s">
        <v>38</v>
      </c>
      <c r="P706" s="283">
        <v>629</v>
      </c>
      <c r="Q706" s="281" t="s">
        <v>3739</v>
      </c>
      <c r="R706" s="281" t="s">
        <v>1719</v>
      </c>
      <c r="S706" s="281" t="s">
        <v>683</v>
      </c>
      <c r="T706" s="281">
        <v>0</v>
      </c>
      <c r="U706" s="275"/>
      <c r="V706" s="275">
        <v>0.25</v>
      </c>
      <c r="W706" s="225">
        <v>0.25</v>
      </c>
      <c r="X706" s="275"/>
      <c r="Y706" s="275">
        <v>0.25</v>
      </c>
      <c r="Z706" s="275">
        <v>0.5</v>
      </c>
      <c r="AA706" s="275"/>
      <c r="AB706" s="225">
        <v>0.75</v>
      </c>
      <c r="AC706" s="275"/>
      <c r="AD706" s="275"/>
      <c r="AE706" s="275"/>
      <c r="AF706" s="275"/>
      <c r="AG706" s="225">
        <v>0</v>
      </c>
      <c r="AH706" s="275"/>
      <c r="AI706" s="275"/>
      <c r="AJ706" s="275"/>
      <c r="AK706" s="275"/>
      <c r="AL706" s="225">
        <v>0</v>
      </c>
      <c r="AM706" s="119">
        <v>1</v>
      </c>
      <c r="AN706" s="120" t="s">
        <v>685</v>
      </c>
      <c r="AO706" s="120" t="s">
        <v>622</v>
      </c>
      <c r="AP706" s="120" t="s">
        <v>1222</v>
      </c>
      <c r="AQ706" s="120" t="s">
        <v>2753</v>
      </c>
      <c r="AR706" s="120" t="s">
        <v>950</v>
      </c>
      <c r="AS706" s="276"/>
      <c r="AT706" s="276"/>
      <c r="AU706" s="276"/>
      <c r="AV706" s="276"/>
      <c r="AW706" s="276">
        <v>15000000</v>
      </c>
      <c r="AX706" s="276"/>
      <c r="AY706" s="276"/>
      <c r="AZ706" s="276"/>
      <c r="BA706" s="276"/>
      <c r="BB706" s="276"/>
      <c r="BC706" s="276"/>
      <c r="BD706" s="276"/>
      <c r="BE706" s="276"/>
      <c r="BF706" s="276"/>
      <c r="BG706" s="276"/>
      <c r="BH706" s="236">
        <f t="shared" si="294"/>
        <v>15000000</v>
      </c>
      <c r="BI706" s="276"/>
      <c r="BJ706" s="276"/>
      <c r="BK706" s="276"/>
      <c r="BL706" s="276"/>
      <c r="BM706" s="276">
        <v>15000000</v>
      </c>
      <c r="BN706" s="276"/>
      <c r="BO706" s="276"/>
      <c r="BP706" s="276"/>
      <c r="BQ706" s="276"/>
      <c r="BR706" s="276"/>
      <c r="BS706" s="276"/>
      <c r="BT706" s="276"/>
      <c r="BU706" s="276"/>
      <c r="BV706" s="276"/>
      <c r="BW706" s="276"/>
      <c r="BX706" s="236">
        <f t="shared" si="295"/>
        <v>15000000</v>
      </c>
      <c r="BY706" s="276"/>
      <c r="BZ706" s="276"/>
      <c r="CA706" s="276"/>
      <c r="CB706" s="276"/>
      <c r="CC706" s="276"/>
      <c r="CD706" s="276"/>
      <c r="CE706" s="276"/>
      <c r="CF706" s="276"/>
      <c r="CG706" s="276"/>
      <c r="CH706" s="276"/>
      <c r="CI706" s="276"/>
      <c r="CJ706" s="276"/>
      <c r="CK706" s="276"/>
      <c r="CL706" s="276"/>
      <c r="CM706" s="276"/>
      <c r="CN706" s="236">
        <f t="shared" si="296"/>
        <v>0</v>
      </c>
      <c r="CO706" s="276"/>
      <c r="CP706" s="276"/>
      <c r="CQ706" s="276"/>
      <c r="CR706" s="276"/>
      <c r="CS706" s="276"/>
      <c r="CT706" s="276"/>
      <c r="CU706" s="276"/>
      <c r="CV706" s="276"/>
      <c r="CW706" s="276"/>
      <c r="CX706" s="276"/>
      <c r="CY706" s="276"/>
      <c r="CZ706" s="276"/>
      <c r="DA706" s="276"/>
      <c r="DB706" s="276"/>
      <c r="DC706" s="276"/>
      <c r="DD706" s="240">
        <f t="shared" si="297"/>
        <v>0</v>
      </c>
      <c r="DE706" s="245">
        <f t="shared" si="298"/>
        <v>30000000</v>
      </c>
    </row>
    <row r="707" spans="1:110" ht="65.099999999999994" customHeight="1">
      <c r="A707" s="118" t="s">
        <v>1245</v>
      </c>
      <c r="B707" s="118" t="s">
        <v>3614</v>
      </c>
      <c r="C707" s="118" t="s">
        <v>1703</v>
      </c>
      <c r="D707" s="118">
        <v>59</v>
      </c>
      <c r="E707" s="118" t="s">
        <v>1704</v>
      </c>
      <c r="F707" s="135"/>
      <c r="G707" s="136"/>
      <c r="H707" s="137"/>
      <c r="I707" s="137"/>
      <c r="J707" s="137"/>
      <c r="K707" s="138"/>
      <c r="L707" s="137"/>
      <c r="M707" s="137"/>
      <c r="N707" s="137"/>
      <c r="O707" s="137"/>
      <c r="P707" s="137"/>
      <c r="Q707" s="136"/>
      <c r="R707" s="139"/>
      <c r="S707" s="137"/>
      <c r="T707" s="137"/>
      <c r="U707" s="140"/>
      <c r="V707" s="140"/>
      <c r="W707" s="138"/>
      <c r="X707" s="140"/>
      <c r="Y707" s="140"/>
      <c r="Z707" s="140"/>
      <c r="AA707" s="140"/>
      <c r="AB707" s="138"/>
      <c r="AC707" s="140"/>
      <c r="AD707" s="140"/>
      <c r="AE707" s="140"/>
      <c r="AF707" s="140"/>
      <c r="AG707" s="138"/>
      <c r="AH707" s="140"/>
      <c r="AI707" s="140"/>
      <c r="AJ707" s="140"/>
      <c r="AK707" s="140"/>
      <c r="AL707" s="138"/>
      <c r="AM707" s="141"/>
      <c r="AN707" s="142"/>
      <c r="AO707" s="142"/>
      <c r="AP707" s="143"/>
      <c r="AQ707" s="143"/>
      <c r="AR707" s="144"/>
      <c r="AS707" s="132">
        <f>SUM(AS697:AS706)</f>
        <v>0</v>
      </c>
      <c r="AT707" s="132">
        <f t="shared" ref="AT707:BG707" si="299">SUM(AT697:AT706)</f>
        <v>0</v>
      </c>
      <c r="AU707" s="132">
        <f t="shared" si="299"/>
        <v>0</v>
      </c>
      <c r="AV707" s="132">
        <f t="shared" si="299"/>
        <v>0</v>
      </c>
      <c r="AW707" s="132">
        <f t="shared" si="299"/>
        <v>729170403</v>
      </c>
      <c r="AX707" s="132">
        <f t="shared" si="299"/>
        <v>0</v>
      </c>
      <c r="AY707" s="132">
        <f t="shared" si="299"/>
        <v>0</v>
      </c>
      <c r="AZ707" s="132">
        <f t="shared" si="299"/>
        <v>0</v>
      </c>
      <c r="BA707" s="132">
        <f t="shared" si="299"/>
        <v>0</v>
      </c>
      <c r="BB707" s="132">
        <f t="shared" si="299"/>
        <v>0</v>
      </c>
      <c r="BC707" s="132">
        <f t="shared" si="299"/>
        <v>0</v>
      </c>
      <c r="BD707" s="132">
        <f t="shared" si="299"/>
        <v>0</v>
      </c>
      <c r="BE707" s="132">
        <f t="shared" si="299"/>
        <v>0</v>
      </c>
      <c r="BF707" s="132">
        <f t="shared" si="299"/>
        <v>0</v>
      </c>
      <c r="BG707" s="132">
        <f t="shared" si="299"/>
        <v>0</v>
      </c>
      <c r="BH707" s="132">
        <f>IF(OR(AND(BH697=0,W697&lt;&gt;0),AND(BH698=0,W698&lt;&gt;0),AND(BH699=0,W699&lt;&gt;0),AND(BH700=0,W700&lt;&gt;0),AND(BH701=0,W701&lt;&gt;0),AND(BH702=0,W702&lt;&gt;0),AND(BH703=0,W703&lt;&gt;0),AND(BH704=0,W704&lt;&gt;0),AND(BH705=0,W705&lt;&gt;0),AND(BH706=0,W706&lt;&gt;0)),"NO DEBEN QUEDAR CELDAS EN ROJO",SUM(BH697:BH706))</f>
        <v>729170403</v>
      </c>
      <c r="BI707" s="132">
        <f t="shared" ref="BI707:BW707" si="300">SUM(BI697:BI706)</f>
        <v>0</v>
      </c>
      <c r="BJ707" s="132">
        <f t="shared" si="300"/>
        <v>0</v>
      </c>
      <c r="BK707" s="132">
        <f t="shared" si="300"/>
        <v>0</v>
      </c>
      <c r="BL707" s="132">
        <f t="shared" si="300"/>
        <v>0</v>
      </c>
      <c r="BM707" s="132">
        <f t="shared" si="300"/>
        <v>819408378</v>
      </c>
      <c r="BN707" s="132">
        <f t="shared" si="300"/>
        <v>0</v>
      </c>
      <c r="BO707" s="132">
        <f t="shared" si="300"/>
        <v>0</v>
      </c>
      <c r="BP707" s="132">
        <f t="shared" si="300"/>
        <v>0</v>
      </c>
      <c r="BQ707" s="132">
        <f t="shared" si="300"/>
        <v>0</v>
      </c>
      <c r="BR707" s="132">
        <f t="shared" si="300"/>
        <v>0</v>
      </c>
      <c r="BS707" s="132">
        <f t="shared" si="300"/>
        <v>0</v>
      </c>
      <c r="BT707" s="132">
        <f t="shared" si="300"/>
        <v>0</v>
      </c>
      <c r="BU707" s="132">
        <f t="shared" si="300"/>
        <v>0</v>
      </c>
      <c r="BV707" s="132">
        <f t="shared" si="300"/>
        <v>0</v>
      </c>
      <c r="BW707" s="132">
        <f t="shared" si="300"/>
        <v>0</v>
      </c>
      <c r="BX707" s="132">
        <f>IF(OR(AND(BX697=0,AB697&lt;&gt;0),AND(BX698=0,AB698&lt;&gt;0),AND(BX699=0,AB699&lt;&gt;0),AND(BX700=0,AB700&lt;&gt;0),AND(BX701=0,AB701&lt;&gt;0),AND(BX702=0,AB702&lt;&gt;0),AND(BX703=0,AB703&lt;&gt;0),AND(BX704=0,AB704&lt;&gt;0),AND(BX705=0,AB705&lt;&gt;0),AND(BX706=0,AB706&lt;&gt;0)),"NO DEBEN QUEDAR CELDAS EN ROJO",SUM(BX697:BX706))</f>
        <v>819408378</v>
      </c>
      <c r="BY707" s="132">
        <f t="shared" ref="BY707:CM707" si="301">SUM(BY697:BY706)</f>
        <v>0</v>
      </c>
      <c r="BZ707" s="132">
        <f t="shared" si="301"/>
        <v>0</v>
      </c>
      <c r="CA707" s="132">
        <f t="shared" si="301"/>
        <v>0</v>
      </c>
      <c r="CB707" s="132">
        <f t="shared" si="301"/>
        <v>0</v>
      </c>
      <c r="CC707" s="132">
        <f t="shared" si="301"/>
        <v>792902299</v>
      </c>
      <c r="CD707" s="132">
        <f t="shared" si="301"/>
        <v>0</v>
      </c>
      <c r="CE707" s="132">
        <f t="shared" si="301"/>
        <v>0</v>
      </c>
      <c r="CF707" s="132">
        <f t="shared" si="301"/>
        <v>0</v>
      </c>
      <c r="CG707" s="132">
        <f t="shared" si="301"/>
        <v>0</v>
      </c>
      <c r="CH707" s="132">
        <f t="shared" si="301"/>
        <v>0</v>
      </c>
      <c r="CI707" s="132">
        <f t="shared" si="301"/>
        <v>0</v>
      </c>
      <c r="CJ707" s="132">
        <f t="shared" si="301"/>
        <v>0</v>
      </c>
      <c r="CK707" s="132">
        <f t="shared" si="301"/>
        <v>0</v>
      </c>
      <c r="CL707" s="132">
        <f t="shared" si="301"/>
        <v>0</v>
      </c>
      <c r="CM707" s="132">
        <f t="shared" si="301"/>
        <v>0</v>
      </c>
      <c r="CN707" s="132">
        <f>IF(OR(AND(CN697=0,AG697&lt;&gt;0),AND(CN698=0,AG698&lt;&gt;0),AND(CN699=0,AG699&lt;&gt;0),AND(CN700=0,AG700&lt;&gt;0),AND(CN701=0,AG701&lt;&gt;0),AND(CN702=0,AG702&lt;&gt;0),AND(CN703=0,AG703&lt;&gt;0),AND(CN704=0,AG704&lt;&gt;0),AND(CN705=0,AG705&lt;&gt;0),AND(CN706=0,AG706&lt;&gt;0)),"NO DEBEN QUEDAR CELDAS EN ROJO",SUM(CN697:CN706))</f>
        <v>792902299</v>
      </c>
      <c r="CO707" s="132">
        <f t="shared" ref="CO707:DC707" si="302">SUM(CO697:CO706)</f>
        <v>0</v>
      </c>
      <c r="CP707" s="132">
        <f t="shared" si="302"/>
        <v>0</v>
      </c>
      <c r="CQ707" s="132">
        <f t="shared" si="302"/>
        <v>0</v>
      </c>
      <c r="CR707" s="132">
        <f t="shared" si="302"/>
        <v>0</v>
      </c>
      <c r="CS707" s="132">
        <f t="shared" si="302"/>
        <v>824618391</v>
      </c>
      <c r="CT707" s="132">
        <f t="shared" si="302"/>
        <v>0</v>
      </c>
      <c r="CU707" s="132">
        <f t="shared" si="302"/>
        <v>0</v>
      </c>
      <c r="CV707" s="132">
        <f t="shared" si="302"/>
        <v>0</v>
      </c>
      <c r="CW707" s="132">
        <f t="shared" si="302"/>
        <v>0</v>
      </c>
      <c r="CX707" s="132">
        <f t="shared" si="302"/>
        <v>0</v>
      </c>
      <c r="CY707" s="132">
        <f t="shared" si="302"/>
        <v>0</v>
      </c>
      <c r="CZ707" s="132">
        <f t="shared" si="302"/>
        <v>0</v>
      </c>
      <c r="DA707" s="132">
        <f t="shared" si="302"/>
        <v>0</v>
      </c>
      <c r="DB707" s="132">
        <f t="shared" si="302"/>
        <v>0</v>
      </c>
      <c r="DC707" s="132">
        <f t="shared" si="302"/>
        <v>6994000000</v>
      </c>
      <c r="DD707" s="132">
        <f>IF(OR(AND(DD697=0,AL697&lt;&gt;0),AND(DD698=0,AL698&lt;&gt;0),AND(DD699=0,AL699&lt;&gt;0),AND(DD700=0,AL700&lt;&gt;0),AND(DD701=0,AL701&lt;&gt;0),AND(DD702=0,AL702&lt;&gt;0),AND(DD703=0,AL703&lt;&gt;0),AND(DD704=0,AL704&lt;&gt;0),AND(DD705=0,AL705&lt;&gt;0),AND(DD706=0,AL706&lt;&gt;0)),"NO DEBEN QUEDAR CELDAS EN ROJO",SUM(DD697:DD706))</f>
        <v>7818618391</v>
      </c>
      <c r="DE707" s="132">
        <f>SUM(DE697:DE706)</f>
        <v>10160099471</v>
      </c>
      <c r="DF707" s="101"/>
    </row>
    <row r="708" spans="1:110" s="98" customFormat="1" ht="119.1" customHeight="1">
      <c r="A708" s="103" t="s">
        <v>1245</v>
      </c>
      <c r="B708" s="103" t="s">
        <v>3614</v>
      </c>
      <c r="C708" s="103" t="s">
        <v>1703</v>
      </c>
      <c r="D708" s="103">
        <v>60</v>
      </c>
      <c r="E708" s="103" t="s">
        <v>1720</v>
      </c>
      <c r="F708" s="278" t="s">
        <v>1721</v>
      </c>
      <c r="G708" s="103" t="s">
        <v>3643</v>
      </c>
      <c r="H708" s="103">
        <v>70</v>
      </c>
      <c r="I708" s="103" t="s">
        <v>39</v>
      </c>
      <c r="J708" s="103" t="s">
        <v>683</v>
      </c>
      <c r="K708" s="103">
        <v>0</v>
      </c>
      <c r="L708" s="103">
        <v>3</v>
      </c>
      <c r="M708" s="103" t="s">
        <v>1722</v>
      </c>
      <c r="N708" s="103" t="s">
        <v>1723</v>
      </c>
      <c r="O708" s="103" t="s">
        <v>40</v>
      </c>
      <c r="P708" s="283">
        <v>630</v>
      </c>
      <c r="Q708" s="103" t="s">
        <v>3652</v>
      </c>
      <c r="R708" s="103" t="s">
        <v>41</v>
      </c>
      <c r="S708" s="103" t="s">
        <v>683</v>
      </c>
      <c r="T708" s="103">
        <v>5</v>
      </c>
      <c r="U708" s="267"/>
      <c r="V708" s="267"/>
      <c r="W708" s="224">
        <v>0</v>
      </c>
      <c r="X708" s="267"/>
      <c r="Y708" s="267"/>
      <c r="Z708" s="267">
        <v>1</v>
      </c>
      <c r="AA708" s="267"/>
      <c r="AB708" s="224">
        <v>1</v>
      </c>
      <c r="AC708" s="267"/>
      <c r="AD708" s="267">
        <v>1</v>
      </c>
      <c r="AE708" s="267"/>
      <c r="AF708" s="267">
        <v>1</v>
      </c>
      <c r="AG708" s="224">
        <v>2</v>
      </c>
      <c r="AH708" s="267"/>
      <c r="AI708" s="267">
        <v>1</v>
      </c>
      <c r="AJ708" s="267">
        <v>1</v>
      </c>
      <c r="AK708" s="267"/>
      <c r="AL708" s="224">
        <v>2</v>
      </c>
      <c r="AM708" s="102">
        <v>5</v>
      </c>
      <c r="AN708" s="103" t="s">
        <v>685</v>
      </c>
      <c r="AO708" s="103" t="s">
        <v>622</v>
      </c>
      <c r="AP708" s="103" t="s">
        <v>1222</v>
      </c>
      <c r="AQ708" s="103" t="s">
        <v>1197</v>
      </c>
      <c r="AR708" s="103" t="s">
        <v>943</v>
      </c>
      <c r="AS708" s="268"/>
      <c r="AT708" s="268"/>
      <c r="AU708" s="268"/>
      <c r="AV708" s="268"/>
      <c r="AW708" s="268"/>
      <c r="AX708" s="268"/>
      <c r="AY708" s="268"/>
      <c r="AZ708" s="268"/>
      <c r="BA708" s="268"/>
      <c r="BB708" s="268"/>
      <c r="BC708" s="268"/>
      <c r="BD708" s="268"/>
      <c r="BE708" s="268"/>
      <c r="BF708" s="268"/>
      <c r="BG708" s="268"/>
      <c r="BH708" s="234">
        <f t="shared" ref="BH708:BH714" si="303">IF(W708=0,0,BG708+BF708+BE708+BD708+BC708+BB708+BA708+AZ708+AY708+AX708+AW708+AV708+AU708+AT708+AS708)</f>
        <v>0</v>
      </c>
      <c r="BI708" s="268"/>
      <c r="BJ708" s="268"/>
      <c r="BK708" s="268"/>
      <c r="BL708" s="268"/>
      <c r="BM708" s="268">
        <v>50200000</v>
      </c>
      <c r="BN708" s="268"/>
      <c r="BO708" s="268"/>
      <c r="BP708" s="268"/>
      <c r="BQ708" s="268"/>
      <c r="BR708" s="268"/>
      <c r="BS708" s="268"/>
      <c r="BT708" s="268"/>
      <c r="BU708" s="268"/>
      <c r="BV708" s="268"/>
      <c r="BW708" s="268"/>
      <c r="BX708" s="234">
        <f t="shared" ref="BX708:BX714" si="304">IF(AB708=0,0,BI708+BJ708+BK708+BL708+BM708+BN708+BO708+BP708+BQ708+BR708+BS708+BT708+BU708+BV708+BW708)</f>
        <v>50200000</v>
      </c>
      <c r="BY708" s="268"/>
      <c r="BZ708" s="268"/>
      <c r="CA708" s="268"/>
      <c r="CB708" s="268"/>
      <c r="CC708" s="268">
        <v>100400000</v>
      </c>
      <c r="CD708" s="268"/>
      <c r="CE708" s="268"/>
      <c r="CF708" s="268"/>
      <c r="CG708" s="268"/>
      <c r="CH708" s="268"/>
      <c r="CI708" s="268"/>
      <c r="CJ708" s="268"/>
      <c r="CK708" s="268"/>
      <c r="CL708" s="268"/>
      <c r="CM708" s="268"/>
      <c r="CN708" s="234">
        <f t="shared" ref="CN708:CN714" si="305">IF(AG708=0,0,(BY708+BZ708+CA708+CB708+CC708+CD708+CE708+CF708+CG708+CH708+CI708+CJ708+CK708+CL708+CM708))</f>
        <v>100400000</v>
      </c>
      <c r="CO708" s="268"/>
      <c r="CP708" s="268"/>
      <c r="CQ708" s="268"/>
      <c r="CR708" s="268"/>
      <c r="CS708" s="268"/>
      <c r="CT708" s="268"/>
      <c r="CU708" s="268"/>
      <c r="CV708" s="268"/>
      <c r="CW708" s="268"/>
      <c r="CX708" s="268"/>
      <c r="CY708" s="268"/>
      <c r="CZ708" s="268"/>
      <c r="DA708" s="268"/>
      <c r="DB708" s="268"/>
      <c r="DC708" s="268">
        <v>200800000</v>
      </c>
      <c r="DD708" s="234">
        <f t="shared" ref="DD708:DD714" si="306">IF(AL708=0,0,(CO708+CP708+CQ708+CR708+CS708+CT708+CU708+CV708+CW708+CX708+CY708+CZ708+DA708+DB708+DC708))</f>
        <v>200800000</v>
      </c>
      <c r="DE708" s="243">
        <f t="shared" ref="DE708" si="307">SUM(DD708+CN708+BX708+BH708)</f>
        <v>351400000</v>
      </c>
    </row>
    <row r="709" spans="1:110" s="98" customFormat="1" ht="119.1" customHeight="1">
      <c r="A709" s="103" t="s">
        <v>1245</v>
      </c>
      <c r="B709" s="279" t="s">
        <v>3614</v>
      </c>
      <c r="C709" s="279" t="s">
        <v>1703</v>
      </c>
      <c r="D709" s="279">
        <v>60</v>
      </c>
      <c r="E709" s="279" t="s">
        <v>1720</v>
      </c>
      <c r="F709" s="280" t="s">
        <v>1721</v>
      </c>
      <c r="G709" s="279" t="s">
        <v>2754</v>
      </c>
      <c r="H709" s="279">
        <v>70</v>
      </c>
      <c r="I709" s="279" t="s">
        <v>39</v>
      </c>
      <c r="J709" s="279" t="s">
        <v>683</v>
      </c>
      <c r="K709" s="279">
        <v>0</v>
      </c>
      <c r="L709" s="279">
        <v>3</v>
      </c>
      <c r="M709" s="279" t="s">
        <v>1722</v>
      </c>
      <c r="N709" s="279" t="s">
        <v>1723</v>
      </c>
      <c r="O709" s="279" t="s">
        <v>40</v>
      </c>
      <c r="P709" s="283">
        <v>631</v>
      </c>
      <c r="Q709" s="279" t="s">
        <v>3653</v>
      </c>
      <c r="R709" s="279" t="s">
        <v>44</v>
      </c>
      <c r="S709" s="279" t="s">
        <v>683</v>
      </c>
      <c r="T709" s="279">
        <v>1</v>
      </c>
      <c r="U709" s="267"/>
      <c r="V709" s="267">
        <v>0.5</v>
      </c>
      <c r="W709" s="224">
        <v>0.5</v>
      </c>
      <c r="X709" s="267"/>
      <c r="Y709" s="267">
        <v>0.25</v>
      </c>
      <c r="Z709" s="267">
        <v>0.25</v>
      </c>
      <c r="AA709" s="267"/>
      <c r="AB709" s="224">
        <v>0.5</v>
      </c>
      <c r="AC709" s="267">
        <v>0.25</v>
      </c>
      <c r="AD709" s="267">
        <v>0.25</v>
      </c>
      <c r="AE709" s="267">
        <v>0.25</v>
      </c>
      <c r="AF709" s="267">
        <v>0.25</v>
      </c>
      <c r="AG709" s="224">
        <v>1</v>
      </c>
      <c r="AH709" s="267">
        <v>0.25</v>
      </c>
      <c r="AI709" s="267">
        <v>0.25</v>
      </c>
      <c r="AJ709" s="267">
        <v>0.25</v>
      </c>
      <c r="AK709" s="267">
        <v>0.25</v>
      </c>
      <c r="AL709" s="224">
        <v>1</v>
      </c>
      <c r="AM709" s="104">
        <v>3</v>
      </c>
      <c r="AN709" s="103" t="s">
        <v>685</v>
      </c>
      <c r="AO709" s="103" t="s">
        <v>622</v>
      </c>
      <c r="AP709" s="103" t="s">
        <v>1222</v>
      </c>
      <c r="AQ709" s="103" t="s">
        <v>1197</v>
      </c>
      <c r="AR709" s="103" t="s">
        <v>943</v>
      </c>
      <c r="AS709" s="271"/>
      <c r="AT709" s="271"/>
      <c r="AU709" s="271"/>
      <c r="AV709" s="271"/>
      <c r="AW709" s="271">
        <v>301200000</v>
      </c>
      <c r="AX709" s="271"/>
      <c r="AY709" s="271"/>
      <c r="AZ709" s="271"/>
      <c r="BA709" s="271"/>
      <c r="BB709" s="271"/>
      <c r="BC709" s="271"/>
      <c r="BD709" s="271"/>
      <c r="BE709" s="271"/>
      <c r="BF709" s="271"/>
      <c r="BG709" s="271"/>
      <c r="BH709" s="235">
        <f t="shared" si="303"/>
        <v>301200000</v>
      </c>
      <c r="BI709" s="271"/>
      <c r="BJ709" s="271"/>
      <c r="BK709" s="271"/>
      <c r="BL709" s="271"/>
      <c r="BM709" s="271">
        <v>269609425</v>
      </c>
      <c r="BN709" s="271"/>
      <c r="BO709" s="271"/>
      <c r="BP709" s="271"/>
      <c r="BQ709" s="271"/>
      <c r="BR709" s="271"/>
      <c r="BS709" s="271"/>
      <c r="BT709" s="271"/>
      <c r="BU709" s="271"/>
      <c r="BV709" s="271"/>
      <c r="BW709" s="271"/>
      <c r="BX709" s="235">
        <f t="shared" si="304"/>
        <v>269609425</v>
      </c>
      <c r="BY709" s="271"/>
      <c r="BZ709" s="271"/>
      <c r="CA709" s="271"/>
      <c r="CB709" s="271"/>
      <c r="CC709" s="271">
        <v>205816563</v>
      </c>
      <c r="CD709" s="271"/>
      <c r="CE709" s="271"/>
      <c r="CF709" s="271"/>
      <c r="CG709" s="271"/>
      <c r="CH709" s="271"/>
      <c r="CI709" s="271"/>
      <c r="CJ709" s="271"/>
      <c r="CK709" s="271"/>
      <c r="CL709" s="271"/>
      <c r="CM709" s="271"/>
      <c r="CN709" s="235">
        <f t="shared" si="305"/>
        <v>205816563</v>
      </c>
      <c r="CO709" s="271"/>
      <c r="CP709" s="271"/>
      <c r="CQ709" s="271"/>
      <c r="CR709" s="271"/>
      <c r="CS709" s="271"/>
      <c r="CT709" s="271"/>
      <c r="CU709" s="271"/>
      <c r="CV709" s="271"/>
      <c r="CW709" s="271"/>
      <c r="CX709" s="271"/>
      <c r="CY709" s="271"/>
      <c r="CZ709" s="271"/>
      <c r="DA709" s="271"/>
      <c r="DB709" s="271"/>
      <c r="DC709" s="271">
        <v>4155200000</v>
      </c>
      <c r="DD709" s="234">
        <f t="shared" si="306"/>
        <v>4155200000</v>
      </c>
      <c r="DE709" s="244">
        <f t="shared" ref="DE709:DE714" si="308">SUM(DD709+CN709+BX709+BH709)</f>
        <v>4931825988</v>
      </c>
    </row>
    <row r="710" spans="1:110" s="98" customFormat="1" ht="119.1" customHeight="1">
      <c r="A710" s="103" t="s">
        <v>1245</v>
      </c>
      <c r="B710" s="279" t="s">
        <v>3614</v>
      </c>
      <c r="C710" s="279" t="s">
        <v>1703</v>
      </c>
      <c r="D710" s="279">
        <v>60</v>
      </c>
      <c r="E710" s="279" t="s">
        <v>1720</v>
      </c>
      <c r="F710" s="280" t="s">
        <v>1721</v>
      </c>
      <c r="G710" s="279" t="s">
        <v>2754</v>
      </c>
      <c r="H710" s="279">
        <v>70</v>
      </c>
      <c r="I710" s="279" t="s">
        <v>39</v>
      </c>
      <c r="J710" s="279" t="s">
        <v>683</v>
      </c>
      <c r="K710" s="279">
        <v>0</v>
      </c>
      <c r="L710" s="279">
        <v>3</v>
      </c>
      <c r="M710" s="279" t="s">
        <v>1724</v>
      </c>
      <c r="N710" s="279" t="s">
        <v>1725</v>
      </c>
      <c r="O710" s="279" t="s">
        <v>1726</v>
      </c>
      <c r="P710" s="283">
        <v>632</v>
      </c>
      <c r="Q710" s="279" t="s">
        <v>3654</v>
      </c>
      <c r="R710" s="279" t="s">
        <v>26</v>
      </c>
      <c r="S710" s="279" t="s">
        <v>683</v>
      </c>
      <c r="T710" s="279">
        <v>7</v>
      </c>
      <c r="U710" s="267"/>
      <c r="V710" s="267"/>
      <c r="W710" s="224">
        <v>0</v>
      </c>
      <c r="X710" s="267"/>
      <c r="Y710" s="267"/>
      <c r="Z710" s="267">
        <v>0.5</v>
      </c>
      <c r="AA710" s="267"/>
      <c r="AB710" s="224">
        <v>0.5</v>
      </c>
      <c r="AC710" s="267"/>
      <c r="AD710" s="267"/>
      <c r="AE710" s="267">
        <v>0.5</v>
      </c>
      <c r="AF710" s="267"/>
      <c r="AG710" s="224">
        <v>0.5</v>
      </c>
      <c r="AH710" s="267"/>
      <c r="AI710" s="267">
        <v>0.5</v>
      </c>
      <c r="AJ710" s="267">
        <v>0.5</v>
      </c>
      <c r="AK710" s="267"/>
      <c r="AL710" s="224">
        <v>1</v>
      </c>
      <c r="AM710" s="104">
        <v>2</v>
      </c>
      <c r="AN710" s="103" t="s">
        <v>685</v>
      </c>
      <c r="AO710" s="103" t="s">
        <v>622</v>
      </c>
      <c r="AP710" s="103" t="s">
        <v>1222</v>
      </c>
      <c r="AQ710" s="103" t="s">
        <v>2753</v>
      </c>
      <c r="AR710" s="103" t="s">
        <v>950</v>
      </c>
      <c r="AS710" s="271"/>
      <c r="AT710" s="271"/>
      <c r="AU710" s="271"/>
      <c r="AV710" s="271"/>
      <c r="AW710" s="271"/>
      <c r="AX710" s="271"/>
      <c r="AY710" s="271"/>
      <c r="AZ710" s="271"/>
      <c r="BA710" s="271"/>
      <c r="BB710" s="271"/>
      <c r="BC710" s="271"/>
      <c r="BD710" s="271"/>
      <c r="BE710" s="271"/>
      <c r="BF710" s="271"/>
      <c r="BG710" s="271"/>
      <c r="BH710" s="235">
        <f t="shared" si="303"/>
        <v>0</v>
      </c>
      <c r="BI710" s="271"/>
      <c r="BJ710" s="271"/>
      <c r="BK710" s="271"/>
      <c r="BL710" s="271"/>
      <c r="BM710" s="271">
        <v>30000000</v>
      </c>
      <c r="BN710" s="271"/>
      <c r="BO710" s="271"/>
      <c r="BP710" s="271"/>
      <c r="BQ710" s="271"/>
      <c r="BR710" s="271"/>
      <c r="BS710" s="271"/>
      <c r="BT710" s="271"/>
      <c r="BU710" s="271"/>
      <c r="BV710" s="271"/>
      <c r="BW710" s="271"/>
      <c r="BX710" s="235">
        <f t="shared" si="304"/>
        <v>30000000</v>
      </c>
      <c r="BY710" s="271"/>
      <c r="BZ710" s="271"/>
      <c r="CA710" s="271"/>
      <c r="CB710" s="271"/>
      <c r="CC710" s="271">
        <v>30000000</v>
      </c>
      <c r="CD710" s="271"/>
      <c r="CE710" s="271"/>
      <c r="CF710" s="271"/>
      <c r="CG710" s="271"/>
      <c r="CH710" s="271"/>
      <c r="CI710" s="271"/>
      <c r="CJ710" s="271"/>
      <c r="CK710" s="271"/>
      <c r="CL710" s="271"/>
      <c r="CM710" s="271"/>
      <c r="CN710" s="235">
        <f t="shared" si="305"/>
        <v>30000000</v>
      </c>
      <c r="CO710" s="271"/>
      <c r="CP710" s="271"/>
      <c r="CQ710" s="271"/>
      <c r="CR710" s="271"/>
      <c r="CS710" s="271">
        <v>150000000</v>
      </c>
      <c r="CT710" s="271"/>
      <c r="CU710" s="271"/>
      <c r="CV710" s="271"/>
      <c r="CW710" s="271"/>
      <c r="CX710" s="271"/>
      <c r="CY710" s="271"/>
      <c r="CZ710" s="271"/>
      <c r="DA710" s="271"/>
      <c r="DB710" s="271"/>
      <c r="DC710" s="271"/>
      <c r="DD710" s="234">
        <f t="shared" si="306"/>
        <v>150000000</v>
      </c>
      <c r="DE710" s="244">
        <f t="shared" si="308"/>
        <v>210000000</v>
      </c>
    </row>
    <row r="711" spans="1:110" s="98" customFormat="1" ht="119.1" customHeight="1">
      <c r="A711" s="103" t="s">
        <v>1245</v>
      </c>
      <c r="B711" s="279" t="s">
        <v>3614</v>
      </c>
      <c r="C711" s="279" t="s">
        <v>1703</v>
      </c>
      <c r="D711" s="279">
        <v>60</v>
      </c>
      <c r="E711" s="279" t="s">
        <v>1720</v>
      </c>
      <c r="F711" s="280" t="s">
        <v>1721</v>
      </c>
      <c r="G711" s="279" t="s">
        <v>2754</v>
      </c>
      <c r="H711" s="279">
        <v>70</v>
      </c>
      <c r="I711" s="279" t="s">
        <v>39</v>
      </c>
      <c r="J711" s="279" t="s">
        <v>683</v>
      </c>
      <c r="K711" s="279">
        <v>0</v>
      </c>
      <c r="L711" s="279">
        <v>3</v>
      </c>
      <c r="M711" s="279" t="s">
        <v>1724</v>
      </c>
      <c r="N711" s="279" t="s">
        <v>1725</v>
      </c>
      <c r="O711" s="279" t="s">
        <v>1726</v>
      </c>
      <c r="P711" s="283">
        <v>633</v>
      </c>
      <c r="Q711" s="279" t="s">
        <v>3655</v>
      </c>
      <c r="R711" s="279" t="s">
        <v>31</v>
      </c>
      <c r="S711" s="279" t="s">
        <v>683</v>
      </c>
      <c r="T711" s="279">
        <v>3</v>
      </c>
      <c r="U711" s="267"/>
      <c r="V711" s="267"/>
      <c r="W711" s="224">
        <v>0</v>
      </c>
      <c r="X711" s="267"/>
      <c r="Y711" s="267"/>
      <c r="Z711" s="267">
        <v>0.5</v>
      </c>
      <c r="AA711" s="267">
        <v>0.5</v>
      </c>
      <c r="AB711" s="224">
        <v>1</v>
      </c>
      <c r="AC711" s="267"/>
      <c r="AD711" s="267">
        <v>0.5</v>
      </c>
      <c r="AE711" s="267">
        <v>0.5</v>
      </c>
      <c r="AF711" s="267">
        <v>0.5</v>
      </c>
      <c r="AG711" s="224">
        <v>1.5</v>
      </c>
      <c r="AH711" s="267"/>
      <c r="AI711" s="267">
        <v>0.5</v>
      </c>
      <c r="AJ711" s="267">
        <v>0.5</v>
      </c>
      <c r="AK711" s="267">
        <v>0.5</v>
      </c>
      <c r="AL711" s="224">
        <v>1.5</v>
      </c>
      <c r="AM711" s="104">
        <v>4</v>
      </c>
      <c r="AN711" s="103" t="s">
        <v>685</v>
      </c>
      <c r="AO711" s="103" t="s">
        <v>622</v>
      </c>
      <c r="AP711" s="103" t="s">
        <v>1222</v>
      </c>
      <c r="AQ711" s="103" t="s">
        <v>2753</v>
      </c>
      <c r="AR711" s="103" t="s">
        <v>950</v>
      </c>
      <c r="AS711" s="271"/>
      <c r="AT711" s="271"/>
      <c r="AU711" s="271"/>
      <c r="AV711" s="271"/>
      <c r="AW711" s="271"/>
      <c r="AX711" s="271"/>
      <c r="AY711" s="271"/>
      <c r="AZ711" s="271"/>
      <c r="BA711" s="271"/>
      <c r="BB711" s="271"/>
      <c r="BC711" s="271"/>
      <c r="BD711" s="271"/>
      <c r="BE711" s="271"/>
      <c r="BF711" s="271"/>
      <c r="BG711" s="271"/>
      <c r="BH711" s="235">
        <f t="shared" si="303"/>
        <v>0</v>
      </c>
      <c r="BI711" s="271"/>
      <c r="BJ711" s="271"/>
      <c r="BK711" s="271"/>
      <c r="BL711" s="271"/>
      <c r="BM711" s="271">
        <v>15000000</v>
      </c>
      <c r="BN711" s="271"/>
      <c r="BO711" s="271"/>
      <c r="BP711" s="271"/>
      <c r="BQ711" s="271"/>
      <c r="BR711" s="271"/>
      <c r="BS711" s="271"/>
      <c r="BT711" s="271"/>
      <c r="BU711" s="271"/>
      <c r="BV711" s="271"/>
      <c r="BW711" s="271"/>
      <c r="BX711" s="235">
        <f t="shared" si="304"/>
        <v>15000000</v>
      </c>
      <c r="BY711" s="271"/>
      <c r="BZ711" s="271"/>
      <c r="CA711" s="271"/>
      <c r="CB711" s="271"/>
      <c r="CC711" s="271">
        <v>15000000</v>
      </c>
      <c r="CD711" s="271"/>
      <c r="CE711" s="271"/>
      <c r="CF711" s="271"/>
      <c r="CG711" s="271"/>
      <c r="CH711" s="271"/>
      <c r="CI711" s="271"/>
      <c r="CJ711" s="271"/>
      <c r="CK711" s="271"/>
      <c r="CL711" s="271"/>
      <c r="CM711" s="271"/>
      <c r="CN711" s="235">
        <f t="shared" si="305"/>
        <v>15000000</v>
      </c>
      <c r="CO711" s="271"/>
      <c r="CP711" s="271"/>
      <c r="CQ711" s="271"/>
      <c r="CR711" s="271"/>
      <c r="CS711" s="271">
        <v>100000000</v>
      </c>
      <c r="CT711" s="271"/>
      <c r="CU711" s="271"/>
      <c r="CV711" s="271"/>
      <c r="CW711" s="271"/>
      <c r="CX711" s="271"/>
      <c r="CY711" s="271"/>
      <c r="CZ711" s="271"/>
      <c r="DA711" s="271"/>
      <c r="DB711" s="271"/>
      <c r="DC711" s="271"/>
      <c r="DD711" s="234">
        <f t="shared" si="306"/>
        <v>100000000</v>
      </c>
      <c r="DE711" s="244">
        <f t="shared" si="308"/>
        <v>130000000</v>
      </c>
    </row>
    <row r="712" spans="1:110" s="98" customFormat="1" ht="119.1" customHeight="1">
      <c r="A712" s="103" t="s">
        <v>1245</v>
      </c>
      <c r="B712" s="279" t="s">
        <v>3614</v>
      </c>
      <c r="C712" s="279" t="s">
        <v>1703</v>
      </c>
      <c r="D712" s="279">
        <v>60</v>
      </c>
      <c r="E712" s="279" t="s">
        <v>1720</v>
      </c>
      <c r="F712" s="280" t="s">
        <v>1721</v>
      </c>
      <c r="G712" s="279" t="s">
        <v>2754</v>
      </c>
      <c r="H712" s="279">
        <v>70</v>
      </c>
      <c r="I712" s="279" t="s">
        <v>39</v>
      </c>
      <c r="J712" s="279" t="s">
        <v>683</v>
      </c>
      <c r="K712" s="279">
        <v>0</v>
      </c>
      <c r="L712" s="279">
        <v>3</v>
      </c>
      <c r="M712" s="279" t="s">
        <v>1724</v>
      </c>
      <c r="N712" s="279" t="s">
        <v>1725</v>
      </c>
      <c r="O712" s="279" t="s">
        <v>1726</v>
      </c>
      <c r="P712" s="283">
        <v>634</v>
      </c>
      <c r="Q712" s="279" t="s">
        <v>3656</v>
      </c>
      <c r="R712" s="279" t="s">
        <v>33</v>
      </c>
      <c r="S712" s="279" t="s">
        <v>683</v>
      </c>
      <c r="T712" s="279">
        <v>100</v>
      </c>
      <c r="U712" s="267"/>
      <c r="V712" s="267"/>
      <c r="W712" s="224">
        <v>0</v>
      </c>
      <c r="X712" s="267"/>
      <c r="Y712" s="267">
        <v>30</v>
      </c>
      <c r="Z712" s="267">
        <v>20</v>
      </c>
      <c r="AA712" s="267"/>
      <c r="AB712" s="224">
        <v>50</v>
      </c>
      <c r="AC712" s="267"/>
      <c r="AD712" s="267">
        <v>30</v>
      </c>
      <c r="AE712" s="267">
        <v>20</v>
      </c>
      <c r="AF712" s="267"/>
      <c r="AG712" s="224">
        <v>50</v>
      </c>
      <c r="AH712" s="267"/>
      <c r="AI712" s="267">
        <v>20</v>
      </c>
      <c r="AJ712" s="267"/>
      <c r="AK712" s="267"/>
      <c r="AL712" s="224">
        <v>20</v>
      </c>
      <c r="AM712" s="104">
        <v>120</v>
      </c>
      <c r="AN712" s="103" t="s">
        <v>685</v>
      </c>
      <c r="AO712" s="103" t="s">
        <v>622</v>
      </c>
      <c r="AP712" s="103" t="s">
        <v>1222</v>
      </c>
      <c r="AQ712" s="103" t="s">
        <v>2753</v>
      </c>
      <c r="AR712" s="103" t="s">
        <v>950</v>
      </c>
      <c r="AS712" s="271"/>
      <c r="AT712" s="271"/>
      <c r="AU712" s="271"/>
      <c r="AV712" s="271"/>
      <c r="AW712" s="271"/>
      <c r="AX712" s="271"/>
      <c r="AY712" s="271"/>
      <c r="AZ712" s="271"/>
      <c r="BA712" s="271"/>
      <c r="BB712" s="271"/>
      <c r="BC712" s="271"/>
      <c r="BD712" s="271"/>
      <c r="BE712" s="271"/>
      <c r="BF712" s="271"/>
      <c r="BG712" s="271"/>
      <c r="BH712" s="235">
        <f t="shared" si="303"/>
        <v>0</v>
      </c>
      <c r="BI712" s="271"/>
      <c r="BJ712" s="271"/>
      <c r="BK712" s="271"/>
      <c r="BL712" s="271"/>
      <c r="BM712" s="271">
        <v>5000000</v>
      </c>
      <c r="BN712" s="271"/>
      <c r="BO712" s="271"/>
      <c r="BP712" s="271"/>
      <c r="BQ712" s="271"/>
      <c r="BR712" s="271"/>
      <c r="BS712" s="271"/>
      <c r="BT712" s="271"/>
      <c r="BU712" s="271"/>
      <c r="BV712" s="271"/>
      <c r="BW712" s="271"/>
      <c r="BX712" s="235">
        <f t="shared" si="304"/>
        <v>5000000</v>
      </c>
      <c r="BY712" s="271"/>
      <c r="BZ712" s="271"/>
      <c r="CA712" s="271"/>
      <c r="CB712" s="271"/>
      <c r="CC712" s="271">
        <v>5000000</v>
      </c>
      <c r="CD712" s="271"/>
      <c r="CE712" s="271"/>
      <c r="CF712" s="271"/>
      <c r="CG712" s="271"/>
      <c r="CH712" s="271"/>
      <c r="CI712" s="271"/>
      <c r="CJ712" s="271"/>
      <c r="CK712" s="271"/>
      <c r="CL712" s="271"/>
      <c r="CM712" s="271"/>
      <c r="CN712" s="235">
        <f t="shared" si="305"/>
        <v>5000000</v>
      </c>
      <c r="CO712" s="271"/>
      <c r="CP712" s="271"/>
      <c r="CQ712" s="271"/>
      <c r="CR712" s="271"/>
      <c r="CS712" s="271">
        <v>10000000</v>
      </c>
      <c r="CT712" s="271"/>
      <c r="CU712" s="271"/>
      <c r="CV712" s="271"/>
      <c r="CW712" s="271"/>
      <c r="CX712" s="271"/>
      <c r="CY712" s="271"/>
      <c r="CZ712" s="271"/>
      <c r="DA712" s="271"/>
      <c r="DB712" s="271"/>
      <c r="DC712" s="271"/>
      <c r="DD712" s="234">
        <f t="shared" si="306"/>
        <v>10000000</v>
      </c>
      <c r="DE712" s="244">
        <f t="shared" si="308"/>
        <v>20000000</v>
      </c>
    </row>
    <row r="713" spans="1:110" s="98" customFormat="1" ht="119.1" customHeight="1">
      <c r="A713" s="103" t="s">
        <v>1245</v>
      </c>
      <c r="B713" s="279" t="s">
        <v>3614</v>
      </c>
      <c r="C713" s="279" t="s">
        <v>1703</v>
      </c>
      <c r="D713" s="279">
        <v>60</v>
      </c>
      <c r="E713" s="279" t="s">
        <v>1720</v>
      </c>
      <c r="F713" s="280" t="s">
        <v>1721</v>
      </c>
      <c r="G713" s="279" t="s">
        <v>2754</v>
      </c>
      <c r="H713" s="279">
        <v>70</v>
      </c>
      <c r="I713" s="279" t="s">
        <v>39</v>
      </c>
      <c r="J713" s="279" t="s">
        <v>683</v>
      </c>
      <c r="K713" s="279">
        <v>0</v>
      </c>
      <c r="L713" s="279">
        <v>3</v>
      </c>
      <c r="M713" s="279" t="s">
        <v>1724</v>
      </c>
      <c r="N713" s="279" t="s">
        <v>1725</v>
      </c>
      <c r="O713" s="279" t="s">
        <v>1726</v>
      </c>
      <c r="P713" s="283">
        <v>635</v>
      </c>
      <c r="Q713" s="279" t="s">
        <v>3740</v>
      </c>
      <c r="R713" s="279" t="s">
        <v>34</v>
      </c>
      <c r="S713" s="279" t="s">
        <v>683</v>
      </c>
      <c r="T713" s="104">
        <v>300000</v>
      </c>
      <c r="U713" s="267">
        <v>10000</v>
      </c>
      <c r="V713" s="267">
        <v>10000</v>
      </c>
      <c r="W713" s="224">
        <v>20000</v>
      </c>
      <c r="X713" s="267"/>
      <c r="Y713" s="267">
        <v>15000</v>
      </c>
      <c r="Z713" s="267">
        <v>30000</v>
      </c>
      <c r="AA713" s="267">
        <v>15000</v>
      </c>
      <c r="AB713" s="224">
        <v>60000</v>
      </c>
      <c r="AC713" s="267"/>
      <c r="AD713" s="267">
        <v>15000</v>
      </c>
      <c r="AE713" s="267">
        <v>30000</v>
      </c>
      <c r="AF713" s="267">
        <v>15000</v>
      </c>
      <c r="AG713" s="224">
        <v>60000</v>
      </c>
      <c r="AH713" s="267"/>
      <c r="AI713" s="267">
        <v>15000</v>
      </c>
      <c r="AJ713" s="267">
        <v>30000</v>
      </c>
      <c r="AK713" s="267">
        <v>15000</v>
      </c>
      <c r="AL713" s="224">
        <v>60000</v>
      </c>
      <c r="AM713" s="104">
        <v>200000</v>
      </c>
      <c r="AN713" s="103" t="s">
        <v>685</v>
      </c>
      <c r="AO713" s="103" t="s">
        <v>622</v>
      </c>
      <c r="AP713" s="103" t="s">
        <v>1222</v>
      </c>
      <c r="AQ713" s="103" t="s">
        <v>2753</v>
      </c>
      <c r="AR713" s="103" t="s">
        <v>950</v>
      </c>
      <c r="AS713" s="271"/>
      <c r="AT713" s="271"/>
      <c r="AU713" s="271"/>
      <c r="AV713" s="271"/>
      <c r="AW713" s="271">
        <v>62733540</v>
      </c>
      <c r="AX713" s="271"/>
      <c r="AY713" s="271"/>
      <c r="AZ713" s="271"/>
      <c r="BA713" s="271"/>
      <c r="BB713" s="271"/>
      <c r="BC713" s="271"/>
      <c r="BD713" s="271"/>
      <c r="BE713" s="271"/>
      <c r="BF713" s="271"/>
      <c r="BG713" s="271"/>
      <c r="BH713" s="235">
        <f t="shared" si="303"/>
        <v>62733540</v>
      </c>
      <c r="BI713" s="271"/>
      <c r="BJ713" s="271"/>
      <c r="BK713" s="271"/>
      <c r="BL713" s="271"/>
      <c r="BM713" s="271">
        <v>45400000</v>
      </c>
      <c r="BN713" s="271"/>
      <c r="BO713" s="271"/>
      <c r="BP713" s="271"/>
      <c r="BQ713" s="271"/>
      <c r="BR713" s="271"/>
      <c r="BS713" s="271"/>
      <c r="BT713" s="271"/>
      <c r="BU713" s="271"/>
      <c r="BV713" s="271"/>
      <c r="BW713" s="271"/>
      <c r="BX713" s="235">
        <f t="shared" si="304"/>
        <v>45400000</v>
      </c>
      <c r="BY713" s="271"/>
      <c r="BZ713" s="271"/>
      <c r="CA713" s="271"/>
      <c r="CB713" s="271"/>
      <c r="CC713" s="271">
        <v>45400000</v>
      </c>
      <c r="CD713" s="271"/>
      <c r="CE713" s="271"/>
      <c r="CF713" s="271"/>
      <c r="CG713" s="271"/>
      <c r="CH713" s="271"/>
      <c r="CI713" s="271"/>
      <c r="CJ713" s="271"/>
      <c r="CK713" s="271"/>
      <c r="CL713" s="271"/>
      <c r="CM713" s="271"/>
      <c r="CN713" s="235">
        <f t="shared" si="305"/>
        <v>45400000</v>
      </c>
      <c r="CO713" s="271"/>
      <c r="CP713" s="271"/>
      <c r="CQ713" s="271"/>
      <c r="CR713" s="271"/>
      <c r="CS713" s="271">
        <v>150000000</v>
      </c>
      <c r="CT713" s="271"/>
      <c r="CU713" s="271"/>
      <c r="CV713" s="271"/>
      <c r="CW713" s="271"/>
      <c r="CX713" s="271"/>
      <c r="CY713" s="271"/>
      <c r="CZ713" s="271"/>
      <c r="DA713" s="271"/>
      <c r="DB713" s="271"/>
      <c r="DC713" s="271"/>
      <c r="DD713" s="234">
        <f t="shared" si="306"/>
        <v>150000000</v>
      </c>
      <c r="DE713" s="244">
        <f t="shared" si="308"/>
        <v>303533540</v>
      </c>
    </row>
    <row r="714" spans="1:110" s="98" customFormat="1" ht="119.1" customHeight="1">
      <c r="A714" s="120" t="s">
        <v>1245</v>
      </c>
      <c r="B714" s="281" t="s">
        <v>3614</v>
      </c>
      <c r="C714" s="281" t="s">
        <v>1703</v>
      </c>
      <c r="D714" s="281">
        <v>60</v>
      </c>
      <c r="E714" s="281" t="s">
        <v>1720</v>
      </c>
      <c r="F714" s="282" t="s">
        <v>1721</v>
      </c>
      <c r="G714" s="281" t="s">
        <v>2754</v>
      </c>
      <c r="H714" s="281">
        <v>70</v>
      </c>
      <c r="I714" s="281" t="s">
        <v>39</v>
      </c>
      <c r="J714" s="281" t="s">
        <v>683</v>
      </c>
      <c r="K714" s="281">
        <v>0</v>
      </c>
      <c r="L714" s="281">
        <v>3</v>
      </c>
      <c r="M714" s="281" t="s">
        <v>1724</v>
      </c>
      <c r="N714" s="281" t="s">
        <v>1725</v>
      </c>
      <c r="O714" s="281" t="s">
        <v>1726</v>
      </c>
      <c r="P714" s="283">
        <v>636</v>
      </c>
      <c r="Q714" s="281" t="s">
        <v>3741</v>
      </c>
      <c r="R714" s="281" t="s">
        <v>36</v>
      </c>
      <c r="S714" s="281" t="s">
        <v>683</v>
      </c>
      <c r="T714" s="281">
        <v>1</v>
      </c>
      <c r="U714" s="275"/>
      <c r="V714" s="275">
        <v>0.2</v>
      </c>
      <c r="W714" s="225">
        <v>0.2</v>
      </c>
      <c r="X714" s="275"/>
      <c r="Y714" s="275">
        <v>0.25</v>
      </c>
      <c r="Z714" s="275">
        <v>0.05</v>
      </c>
      <c r="AA714" s="275"/>
      <c r="AB714" s="225">
        <v>0.3</v>
      </c>
      <c r="AC714" s="275"/>
      <c r="AD714" s="275"/>
      <c r="AE714" s="275">
        <v>0.25</v>
      </c>
      <c r="AF714" s="275"/>
      <c r="AG714" s="225">
        <v>0.25</v>
      </c>
      <c r="AH714" s="275"/>
      <c r="AI714" s="275">
        <v>0.25</v>
      </c>
      <c r="AJ714" s="275"/>
      <c r="AK714" s="275"/>
      <c r="AL714" s="225">
        <v>0.25</v>
      </c>
      <c r="AM714" s="119">
        <v>1</v>
      </c>
      <c r="AN714" s="120" t="s">
        <v>685</v>
      </c>
      <c r="AO714" s="120" t="s">
        <v>622</v>
      </c>
      <c r="AP714" s="120" t="s">
        <v>1222</v>
      </c>
      <c r="AQ714" s="120" t="s">
        <v>2753</v>
      </c>
      <c r="AR714" s="120" t="s">
        <v>950</v>
      </c>
      <c r="AS714" s="276"/>
      <c r="AT714" s="276"/>
      <c r="AU714" s="276"/>
      <c r="AV714" s="276"/>
      <c r="AW714" s="276">
        <v>10000000</v>
      </c>
      <c r="AX714" s="276"/>
      <c r="AY714" s="276"/>
      <c r="AZ714" s="276"/>
      <c r="BA714" s="276"/>
      <c r="BB714" s="276"/>
      <c r="BC714" s="276"/>
      <c r="BD714" s="276"/>
      <c r="BE714" s="276"/>
      <c r="BF714" s="276"/>
      <c r="BG714" s="276"/>
      <c r="BH714" s="236">
        <f t="shared" si="303"/>
        <v>10000000</v>
      </c>
      <c r="BI714" s="276"/>
      <c r="BJ714" s="276"/>
      <c r="BK714" s="276"/>
      <c r="BL714" s="276"/>
      <c r="BM714" s="276">
        <v>5000000</v>
      </c>
      <c r="BN714" s="276"/>
      <c r="BO714" s="276"/>
      <c r="BP714" s="276"/>
      <c r="BQ714" s="276"/>
      <c r="BR714" s="276"/>
      <c r="BS714" s="276"/>
      <c r="BT714" s="276"/>
      <c r="BU714" s="276"/>
      <c r="BV714" s="276"/>
      <c r="BW714" s="276"/>
      <c r="BX714" s="236">
        <f t="shared" si="304"/>
        <v>5000000</v>
      </c>
      <c r="BY714" s="276"/>
      <c r="BZ714" s="276"/>
      <c r="CA714" s="276"/>
      <c r="CB714" s="276"/>
      <c r="CC714" s="276">
        <v>5000000</v>
      </c>
      <c r="CD714" s="276"/>
      <c r="CE714" s="276"/>
      <c r="CF714" s="276"/>
      <c r="CG714" s="276"/>
      <c r="CH714" s="276"/>
      <c r="CI714" s="276"/>
      <c r="CJ714" s="276"/>
      <c r="CK714" s="276"/>
      <c r="CL714" s="276"/>
      <c r="CM714" s="276"/>
      <c r="CN714" s="236">
        <f t="shared" si="305"/>
        <v>5000000</v>
      </c>
      <c r="CO714" s="276"/>
      <c r="CP714" s="276"/>
      <c r="CQ714" s="276"/>
      <c r="CR714" s="276"/>
      <c r="CS714" s="276">
        <v>12881226</v>
      </c>
      <c r="CT714" s="276"/>
      <c r="CU714" s="276"/>
      <c r="CV714" s="276"/>
      <c r="CW714" s="276"/>
      <c r="CX714" s="276"/>
      <c r="CY714" s="276"/>
      <c r="CZ714" s="276"/>
      <c r="DA714" s="276"/>
      <c r="DB714" s="276"/>
      <c r="DC714" s="276"/>
      <c r="DD714" s="240">
        <f t="shared" si="306"/>
        <v>12881226</v>
      </c>
      <c r="DE714" s="245">
        <f t="shared" si="308"/>
        <v>32881226</v>
      </c>
    </row>
    <row r="715" spans="1:110" ht="65.099999999999994" customHeight="1">
      <c r="A715" s="118" t="s">
        <v>1245</v>
      </c>
      <c r="B715" s="118" t="s">
        <v>3614</v>
      </c>
      <c r="C715" s="118" t="s">
        <v>1703</v>
      </c>
      <c r="D715" s="118">
        <v>60</v>
      </c>
      <c r="E715" s="118" t="s">
        <v>1720</v>
      </c>
      <c r="F715" s="135"/>
      <c r="G715" s="136"/>
      <c r="H715" s="137"/>
      <c r="I715" s="137"/>
      <c r="J715" s="137"/>
      <c r="K715" s="138"/>
      <c r="L715" s="137"/>
      <c r="M715" s="137"/>
      <c r="N715" s="137"/>
      <c r="O715" s="137"/>
      <c r="P715" s="137"/>
      <c r="Q715" s="136"/>
      <c r="R715" s="139"/>
      <c r="S715" s="137"/>
      <c r="T715" s="137"/>
      <c r="U715" s="140"/>
      <c r="V715" s="140"/>
      <c r="W715" s="138"/>
      <c r="X715" s="140"/>
      <c r="Y715" s="140"/>
      <c r="Z715" s="140"/>
      <c r="AA715" s="140"/>
      <c r="AB715" s="138"/>
      <c r="AC715" s="140"/>
      <c r="AD715" s="140"/>
      <c r="AE715" s="140"/>
      <c r="AF715" s="140"/>
      <c r="AG715" s="138"/>
      <c r="AH715" s="140"/>
      <c r="AI715" s="140"/>
      <c r="AJ715" s="140"/>
      <c r="AK715" s="140"/>
      <c r="AL715" s="138"/>
      <c r="AM715" s="141"/>
      <c r="AN715" s="142"/>
      <c r="AO715" s="142"/>
      <c r="AP715" s="143"/>
      <c r="AQ715" s="143"/>
      <c r="AR715" s="144"/>
      <c r="AS715" s="132">
        <f>SUM(AS708:AS714)</f>
        <v>0</v>
      </c>
      <c r="AT715" s="132">
        <f t="shared" ref="AT715:DE715" si="309">SUM(AT708:AT714)</f>
        <v>0</v>
      </c>
      <c r="AU715" s="132">
        <f t="shared" si="309"/>
        <v>0</v>
      </c>
      <c r="AV715" s="132">
        <f t="shared" si="309"/>
        <v>0</v>
      </c>
      <c r="AW715" s="132">
        <f t="shared" si="309"/>
        <v>373933540</v>
      </c>
      <c r="AX715" s="132">
        <f t="shared" si="309"/>
        <v>0</v>
      </c>
      <c r="AY715" s="132">
        <f t="shared" si="309"/>
        <v>0</v>
      </c>
      <c r="AZ715" s="132">
        <f t="shared" si="309"/>
        <v>0</v>
      </c>
      <c r="BA715" s="132">
        <f t="shared" si="309"/>
        <v>0</v>
      </c>
      <c r="BB715" s="132">
        <f t="shared" si="309"/>
        <v>0</v>
      </c>
      <c r="BC715" s="132">
        <f t="shared" si="309"/>
        <v>0</v>
      </c>
      <c r="BD715" s="132">
        <f t="shared" si="309"/>
        <v>0</v>
      </c>
      <c r="BE715" s="132">
        <f t="shared" si="309"/>
        <v>0</v>
      </c>
      <c r="BF715" s="132">
        <f t="shared" si="309"/>
        <v>0</v>
      </c>
      <c r="BG715" s="132">
        <f t="shared" si="309"/>
        <v>0</v>
      </c>
      <c r="BH715" s="132">
        <f>IF(OR(AND(BH708=0,W708&lt;&gt;0),AND(BH709=0,W709&lt;&gt;0),AND(BH710=0,W710&lt;&gt;0),AND(BH711=0,W711&lt;&gt;0),AND(BH712=0,W712&lt;&gt;0),AND(BH713=0,W713&lt;&gt;0),AND(BH714=0,W714&lt;&gt;0)),"NO DEBEN QUEDAR CELDAS EN ROJO",SUM(BH708:BH714))</f>
        <v>373933540</v>
      </c>
      <c r="BI715" s="132">
        <f t="shared" si="309"/>
        <v>0</v>
      </c>
      <c r="BJ715" s="132">
        <f t="shared" si="309"/>
        <v>0</v>
      </c>
      <c r="BK715" s="132">
        <f t="shared" si="309"/>
        <v>0</v>
      </c>
      <c r="BL715" s="132">
        <f t="shared" si="309"/>
        <v>0</v>
      </c>
      <c r="BM715" s="132">
        <f t="shared" si="309"/>
        <v>420209425</v>
      </c>
      <c r="BN715" s="132">
        <f t="shared" si="309"/>
        <v>0</v>
      </c>
      <c r="BO715" s="132">
        <f t="shared" si="309"/>
        <v>0</v>
      </c>
      <c r="BP715" s="132">
        <f t="shared" si="309"/>
        <v>0</v>
      </c>
      <c r="BQ715" s="132">
        <f t="shared" si="309"/>
        <v>0</v>
      </c>
      <c r="BR715" s="132">
        <f t="shared" si="309"/>
        <v>0</v>
      </c>
      <c r="BS715" s="132">
        <f t="shared" si="309"/>
        <v>0</v>
      </c>
      <c r="BT715" s="132">
        <f t="shared" si="309"/>
        <v>0</v>
      </c>
      <c r="BU715" s="132">
        <f t="shared" si="309"/>
        <v>0</v>
      </c>
      <c r="BV715" s="132">
        <f t="shared" si="309"/>
        <v>0</v>
      </c>
      <c r="BW715" s="132">
        <f t="shared" si="309"/>
        <v>0</v>
      </c>
      <c r="BX715" s="132">
        <f>IF(OR(AND(BX708=0,AB708&lt;&gt;0),AND(BX709=0,AB709&lt;&gt;0),AND(BX710=0,AB710&lt;&gt;0),AND(BX711=0,AB711&lt;&gt;0),AND(BX712=0,AB712&lt;&gt;0),AND(BX713=0,AB713&lt;&gt;0),AND(BX714=0,AB714&lt;&gt;0)),"NO DEBEN QUEDAR CELDAS EN ROJO",SUM(BX708:BX714))</f>
        <v>420209425</v>
      </c>
      <c r="BY715" s="132">
        <f t="shared" si="309"/>
        <v>0</v>
      </c>
      <c r="BZ715" s="132">
        <f t="shared" si="309"/>
        <v>0</v>
      </c>
      <c r="CA715" s="132">
        <f t="shared" si="309"/>
        <v>0</v>
      </c>
      <c r="CB715" s="132">
        <f t="shared" si="309"/>
        <v>0</v>
      </c>
      <c r="CC715" s="132">
        <f t="shared" si="309"/>
        <v>406616563</v>
      </c>
      <c r="CD715" s="132">
        <f t="shared" si="309"/>
        <v>0</v>
      </c>
      <c r="CE715" s="132">
        <f t="shared" si="309"/>
        <v>0</v>
      </c>
      <c r="CF715" s="132">
        <f t="shared" si="309"/>
        <v>0</v>
      </c>
      <c r="CG715" s="132">
        <f t="shared" si="309"/>
        <v>0</v>
      </c>
      <c r="CH715" s="132">
        <f t="shared" si="309"/>
        <v>0</v>
      </c>
      <c r="CI715" s="132">
        <f t="shared" si="309"/>
        <v>0</v>
      </c>
      <c r="CJ715" s="132">
        <f t="shared" si="309"/>
        <v>0</v>
      </c>
      <c r="CK715" s="132">
        <f t="shared" si="309"/>
        <v>0</v>
      </c>
      <c r="CL715" s="132">
        <f t="shared" si="309"/>
        <v>0</v>
      </c>
      <c r="CM715" s="132">
        <f t="shared" si="309"/>
        <v>0</v>
      </c>
      <c r="CN715" s="132">
        <f>IF(OR(AND(CN708=0,AG708&lt;&gt;0),AND(CN709=0,AG709&lt;&gt;0),AND(CN710=0,AG710&lt;&gt;0),AND(CN711=0,AG711&lt;&gt;0),AND(CN712=0,AG712&lt;&gt;0),AND(CN713=0,AG713&lt;&gt;0),AND(CN714=0,AG714&lt;&gt;0)),"NO DEBEN QUEDAR CELDAS EN ROJO",SUM(CN708:CN714))</f>
        <v>406616563</v>
      </c>
      <c r="CO715" s="132">
        <f t="shared" si="309"/>
        <v>0</v>
      </c>
      <c r="CP715" s="132">
        <f t="shared" si="309"/>
        <v>0</v>
      </c>
      <c r="CQ715" s="132">
        <f t="shared" si="309"/>
        <v>0</v>
      </c>
      <c r="CR715" s="132">
        <f t="shared" si="309"/>
        <v>0</v>
      </c>
      <c r="CS715" s="132">
        <f t="shared" si="309"/>
        <v>422881226</v>
      </c>
      <c r="CT715" s="132">
        <f t="shared" si="309"/>
        <v>0</v>
      </c>
      <c r="CU715" s="132">
        <f t="shared" si="309"/>
        <v>0</v>
      </c>
      <c r="CV715" s="132">
        <f t="shared" si="309"/>
        <v>0</v>
      </c>
      <c r="CW715" s="132">
        <f t="shared" si="309"/>
        <v>0</v>
      </c>
      <c r="CX715" s="132">
        <f t="shared" si="309"/>
        <v>0</v>
      </c>
      <c r="CY715" s="132">
        <f t="shared" si="309"/>
        <v>0</v>
      </c>
      <c r="CZ715" s="132">
        <f t="shared" si="309"/>
        <v>0</v>
      </c>
      <c r="DA715" s="132">
        <f t="shared" si="309"/>
        <v>0</v>
      </c>
      <c r="DB715" s="132">
        <f t="shared" si="309"/>
        <v>0</v>
      </c>
      <c r="DC715" s="132">
        <f t="shared" si="309"/>
        <v>4356000000</v>
      </c>
      <c r="DD715" s="132">
        <f>IF(OR(AND(DD708=0,AL708&lt;&gt;0),AND(DD709=0,AL709&lt;&gt;0),AND(DD710=0,AL710&lt;&gt;0),AND(DD711=0,AL711&lt;&gt;0),AND(DD712=0,AL712&lt;&gt;0),AND(DD713=0,AL713&lt;&gt;0),AND(DD714=0,AL714&lt;&gt;0)),"NO DEBEN QUEDAR CELDAS EN ROJO",SUM(DD708:DD714))</f>
        <v>4778881226</v>
      </c>
      <c r="DE715" s="132">
        <f t="shared" si="309"/>
        <v>5979640754</v>
      </c>
      <c r="DF715" s="101"/>
    </row>
    <row r="716" spans="1:110" s="98" customFormat="1" ht="119.1" customHeight="1">
      <c r="A716" s="103" t="s">
        <v>1245</v>
      </c>
      <c r="B716" s="103" t="s">
        <v>3614</v>
      </c>
      <c r="C716" s="103" t="s">
        <v>1703</v>
      </c>
      <c r="D716" s="103">
        <v>61</v>
      </c>
      <c r="E716" s="103" t="s">
        <v>1727</v>
      </c>
      <c r="F716" s="278" t="s">
        <v>1728</v>
      </c>
      <c r="G716" s="103" t="s">
        <v>2755</v>
      </c>
      <c r="H716" s="103">
        <v>71</v>
      </c>
      <c r="I716" s="103" t="s">
        <v>46</v>
      </c>
      <c r="J716" s="103" t="s">
        <v>683</v>
      </c>
      <c r="K716" s="103">
        <v>123</v>
      </c>
      <c r="L716" s="103">
        <v>123</v>
      </c>
      <c r="M716" s="103" t="s">
        <v>1729</v>
      </c>
      <c r="N716" s="103" t="s">
        <v>1730</v>
      </c>
      <c r="O716" s="103" t="s">
        <v>1731</v>
      </c>
      <c r="P716" s="283">
        <v>637</v>
      </c>
      <c r="Q716" s="103" t="s">
        <v>3657</v>
      </c>
      <c r="R716" s="103" t="s">
        <v>50</v>
      </c>
      <c r="S716" s="103" t="s">
        <v>683</v>
      </c>
      <c r="T716" s="103">
        <v>137</v>
      </c>
      <c r="U716" s="267"/>
      <c r="V716" s="267">
        <v>10</v>
      </c>
      <c r="W716" s="224">
        <v>10</v>
      </c>
      <c r="X716" s="267"/>
      <c r="Y716" s="267">
        <v>10</v>
      </c>
      <c r="Z716" s="267">
        <v>10</v>
      </c>
      <c r="AA716" s="267">
        <v>5</v>
      </c>
      <c r="AB716" s="224">
        <v>25</v>
      </c>
      <c r="AC716" s="267"/>
      <c r="AD716" s="267">
        <v>10</v>
      </c>
      <c r="AE716" s="267">
        <v>10</v>
      </c>
      <c r="AF716" s="267">
        <v>5</v>
      </c>
      <c r="AG716" s="224">
        <v>25</v>
      </c>
      <c r="AH716" s="267"/>
      <c r="AI716" s="267">
        <v>10</v>
      </c>
      <c r="AJ716" s="267">
        <v>10</v>
      </c>
      <c r="AK716" s="267"/>
      <c r="AL716" s="224">
        <v>20</v>
      </c>
      <c r="AM716" s="102">
        <v>80</v>
      </c>
      <c r="AN716" s="103" t="s">
        <v>685</v>
      </c>
      <c r="AO716" s="103" t="s">
        <v>622</v>
      </c>
      <c r="AP716" s="103" t="s">
        <v>1222</v>
      </c>
      <c r="AQ716" s="103" t="s">
        <v>1200</v>
      </c>
      <c r="AR716" s="103" t="s">
        <v>939</v>
      </c>
      <c r="AS716" s="268"/>
      <c r="AT716" s="268"/>
      <c r="AU716" s="268"/>
      <c r="AV716" s="268"/>
      <c r="AW716" s="268">
        <v>8306832</v>
      </c>
      <c r="AX716" s="268"/>
      <c r="AY716" s="268"/>
      <c r="AZ716" s="268"/>
      <c r="BA716" s="268"/>
      <c r="BB716" s="268"/>
      <c r="BC716" s="268"/>
      <c r="BD716" s="268"/>
      <c r="BE716" s="268"/>
      <c r="BF716" s="268"/>
      <c r="BG716" s="268"/>
      <c r="BH716" s="234">
        <f t="shared" ref="BH716:BH726" si="310">IF(W716=0,0,BG716+BF716+BE716+BD716+BC716+BB716+BA716+AZ716+AY716+AX716+AW716+AV716+AU716+AT716+AS716)</f>
        <v>8306832</v>
      </c>
      <c r="BI716" s="268"/>
      <c r="BJ716" s="268"/>
      <c r="BK716" s="268"/>
      <c r="BL716" s="268"/>
      <c r="BM716" s="268">
        <v>10040000</v>
      </c>
      <c r="BN716" s="268"/>
      <c r="BO716" s="268"/>
      <c r="BP716" s="268"/>
      <c r="BQ716" s="268"/>
      <c r="BR716" s="268"/>
      <c r="BS716" s="268"/>
      <c r="BT716" s="268"/>
      <c r="BU716" s="268"/>
      <c r="BV716" s="268"/>
      <c r="BW716" s="268"/>
      <c r="BX716" s="234">
        <f t="shared" ref="BX716:BX726" si="311">IF(AB716=0,0,BI716+BJ716+BK716+BL716+BM716+BN716+BO716+BP716+BQ716+BR716+BS716+BT716+BU716+BV716+BW716)</f>
        <v>10040000</v>
      </c>
      <c r="BY716" s="268"/>
      <c r="BZ716" s="268"/>
      <c r="CA716" s="268"/>
      <c r="CB716" s="268"/>
      <c r="CC716" s="268">
        <v>10040000</v>
      </c>
      <c r="CD716" s="268"/>
      <c r="CE716" s="268"/>
      <c r="CF716" s="268"/>
      <c r="CG716" s="268"/>
      <c r="CH716" s="268"/>
      <c r="CI716" s="268"/>
      <c r="CJ716" s="268"/>
      <c r="CK716" s="268"/>
      <c r="CL716" s="268"/>
      <c r="CM716" s="268"/>
      <c r="CN716" s="234">
        <f t="shared" ref="CN716:CN726" si="312">IF(AG716=0,0,(BY716+BZ716+CA716+CB716+CC716+CD716+CE716+CF716+CG716+CH716+CI716+CJ716+CK716+CL716+CM716))</f>
        <v>10040000</v>
      </c>
      <c r="CO716" s="268"/>
      <c r="CP716" s="268"/>
      <c r="CQ716" s="268"/>
      <c r="CR716" s="268"/>
      <c r="CS716" s="268">
        <v>10040000</v>
      </c>
      <c r="CT716" s="268"/>
      <c r="CU716" s="268"/>
      <c r="CV716" s="268"/>
      <c r="CW716" s="268"/>
      <c r="CX716" s="268"/>
      <c r="CY716" s="268"/>
      <c r="CZ716" s="268"/>
      <c r="DA716" s="268"/>
      <c r="DB716" s="268"/>
      <c r="DC716" s="268"/>
      <c r="DD716" s="234">
        <f t="shared" ref="DD716:DD726" si="313">IF(AL716=0,0,(CO716+CP716+CQ716+CR716+CS716+CT716+CU716+CV716+CW716+CX716+CY716+CZ716+DA716+DB716+DC716))</f>
        <v>10040000</v>
      </c>
      <c r="DE716" s="243">
        <f t="shared" ref="DE716:DE726" si="314">SUM(DD716+CN716+BX716+BH716)</f>
        <v>38426832</v>
      </c>
    </row>
    <row r="717" spans="1:110" s="98" customFormat="1" ht="119.1" customHeight="1">
      <c r="A717" s="103" t="s">
        <v>1245</v>
      </c>
      <c r="B717" s="279" t="s">
        <v>3614</v>
      </c>
      <c r="C717" s="279" t="s">
        <v>1703</v>
      </c>
      <c r="D717" s="279">
        <v>61</v>
      </c>
      <c r="E717" s="279" t="s">
        <v>1727</v>
      </c>
      <c r="F717" s="280" t="s">
        <v>1728</v>
      </c>
      <c r="G717" s="279" t="s">
        <v>2755</v>
      </c>
      <c r="H717" s="279">
        <v>71</v>
      </c>
      <c r="I717" s="279" t="s">
        <v>46</v>
      </c>
      <c r="J717" s="279" t="s">
        <v>683</v>
      </c>
      <c r="K717" s="279">
        <v>123</v>
      </c>
      <c r="L717" s="279">
        <v>123</v>
      </c>
      <c r="M717" s="279" t="s">
        <v>1729</v>
      </c>
      <c r="N717" s="279" t="s">
        <v>1730</v>
      </c>
      <c r="O717" s="279" t="s">
        <v>1731</v>
      </c>
      <c r="P717" s="283">
        <v>638</v>
      </c>
      <c r="Q717" s="279" t="s">
        <v>3658</v>
      </c>
      <c r="R717" s="279" t="s">
        <v>52</v>
      </c>
      <c r="S717" s="279" t="s">
        <v>683</v>
      </c>
      <c r="T717" s="279">
        <v>2</v>
      </c>
      <c r="U717" s="267"/>
      <c r="V717" s="267">
        <v>0.25</v>
      </c>
      <c r="W717" s="224">
        <v>0.25</v>
      </c>
      <c r="X717" s="267"/>
      <c r="Y717" s="267">
        <v>0.25</v>
      </c>
      <c r="Z717" s="267">
        <v>0.25</v>
      </c>
      <c r="AA717" s="267">
        <v>0.25</v>
      </c>
      <c r="AB717" s="224">
        <v>0.75</v>
      </c>
      <c r="AC717" s="267"/>
      <c r="AD717" s="267">
        <v>0.5</v>
      </c>
      <c r="AE717" s="267">
        <v>0.5</v>
      </c>
      <c r="AF717" s="267"/>
      <c r="AG717" s="224">
        <v>1</v>
      </c>
      <c r="AH717" s="267"/>
      <c r="AI717" s="267">
        <v>0.5</v>
      </c>
      <c r="AJ717" s="267">
        <v>0.5</v>
      </c>
      <c r="AK717" s="267"/>
      <c r="AL717" s="224">
        <v>1</v>
      </c>
      <c r="AM717" s="104">
        <v>3</v>
      </c>
      <c r="AN717" s="103" t="s">
        <v>685</v>
      </c>
      <c r="AO717" s="103" t="s">
        <v>622</v>
      </c>
      <c r="AP717" s="103" t="s">
        <v>1222</v>
      </c>
      <c r="AQ717" s="103" t="s">
        <v>1200</v>
      </c>
      <c r="AR717" s="103" t="s">
        <v>939</v>
      </c>
      <c r="AS717" s="271"/>
      <c r="AT717" s="271"/>
      <c r="AU717" s="271"/>
      <c r="AV717" s="271"/>
      <c r="AW717" s="271">
        <v>50000000</v>
      </c>
      <c r="AX717" s="271"/>
      <c r="AY717" s="271"/>
      <c r="AZ717" s="271"/>
      <c r="BA717" s="271"/>
      <c r="BB717" s="271"/>
      <c r="BC717" s="271"/>
      <c r="BD717" s="271"/>
      <c r="BE717" s="271"/>
      <c r="BF717" s="271"/>
      <c r="BG717" s="271"/>
      <c r="BH717" s="235">
        <f t="shared" si="310"/>
        <v>50000000</v>
      </c>
      <c r="BI717" s="271"/>
      <c r="BJ717" s="271"/>
      <c r="BK717" s="271"/>
      <c r="BL717" s="271"/>
      <c r="BM717" s="271">
        <v>15060000</v>
      </c>
      <c r="BN717" s="271"/>
      <c r="BO717" s="271"/>
      <c r="BP717" s="271"/>
      <c r="BQ717" s="271"/>
      <c r="BR717" s="271"/>
      <c r="BS717" s="271"/>
      <c r="BT717" s="271"/>
      <c r="BU717" s="271"/>
      <c r="BV717" s="271"/>
      <c r="BW717" s="271"/>
      <c r="BX717" s="235">
        <f t="shared" si="311"/>
        <v>15060000</v>
      </c>
      <c r="BY717" s="271"/>
      <c r="BZ717" s="271"/>
      <c r="CA717" s="271"/>
      <c r="CB717" s="271"/>
      <c r="CC717" s="271">
        <v>15060000</v>
      </c>
      <c r="CD717" s="271"/>
      <c r="CE717" s="271"/>
      <c r="CF717" s="271"/>
      <c r="CG717" s="271"/>
      <c r="CH717" s="271"/>
      <c r="CI717" s="271"/>
      <c r="CJ717" s="271"/>
      <c r="CK717" s="271"/>
      <c r="CL717" s="271"/>
      <c r="CM717" s="271"/>
      <c r="CN717" s="235">
        <f t="shared" si="312"/>
        <v>15060000</v>
      </c>
      <c r="CO717" s="271"/>
      <c r="CP717" s="271"/>
      <c r="CQ717" s="271"/>
      <c r="CR717" s="271"/>
      <c r="CS717" s="271">
        <v>35060000</v>
      </c>
      <c r="CT717" s="271"/>
      <c r="CU717" s="271"/>
      <c r="CV717" s="271"/>
      <c r="CW717" s="271"/>
      <c r="CX717" s="271"/>
      <c r="CY717" s="271"/>
      <c r="CZ717" s="271"/>
      <c r="DA717" s="271"/>
      <c r="DB717" s="271"/>
      <c r="DC717" s="271"/>
      <c r="DD717" s="234">
        <f t="shared" si="313"/>
        <v>35060000</v>
      </c>
      <c r="DE717" s="244">
        <f t="shared" si="314"/>
        <v>115180000</v>
      </c>
    </row>
    <row r="718" spans="1:110" s="98" customFormat="1" ht="119.1" customHeight="1">
      <c r="A718" s="103" t="s">
        <v>1245</v>
      </c>
      <c r="B718" s="279" t="s">
        <v>3614</v>
      </c>
      <c r="C718" s="279" t="s">
        <v>1703</v>
      </c>
      <c r="D718" s="279">
        <v>61</v>
      </c>
      <c r="E718" s="279" t="s">
        <v>1727</v>
      </c>
      <c r="F718" s="280" t="s">
        <v>1728</v>
      </c>
      <c r="G718" s="279" t="s">
        <v>2755</v>
      </c>
      <c r="H718" s="279">
        <v>71</v>
      </c>
      <c r="I718" s="279" t="s">
        <v>46</v>
      </c>
      <c r="J718" s="279" t="s">
        <v>683</v>
      </c>
      <c r="K718" s="279">
        <v>123</v>
      </c>
      <c r="L718" s="279">
        <v>123</v>
      </c>
      <c r="M718" s="279" t="s">
        <v>1732</v>
      </c>
      <c r="N718" s="279" t="s">
        <v>1733</v>
      </c>
      <c r="O718" s="279" t="s">
        <v>1734</v>
      </c>
      <c r="P718" s="283">
        <v>639</v>
      </c>
      <c r="Q718" s="279" t="s">
        <v>3659</v>
      </c>
      <c r="R718" s="279" t="s">
        <v>55</v>
      </c>
      <c r="S718" s="279" t="s">
        <v>683</v>
      </c>
      <c r="T718" s="279">
        <v>5</v>
      </c>
      <c r="U718" s="267"/>
      <c r="V718" s="267"/>
      <c r="W718" s="224">
        <v>0</v>
      </c>
      <c r="X718" s="267"/>
      <c r="Y718" s="267">
        <v>0.5</v>
      </c>
      <c r="Z718" s="267">
        <v>0.5</v>
      </c>
      <c r="AA718" s="267"/>
      <c r="AB718" s="224">
        <v>1</v>
      </c>
      <c r="AC718" s="267"/>
      <c r="AD718" s="267">
        <v>0.5</v>
      </c>
      <c r="AE718" s="267">
        <v>0.5</v>
      </c>
      <c r="AF718" s="267"/>
      <c r="AG718" s="224">
        <v>1</v>
      </c>
      <c r="AH718" s="267"/>
      <c r="AI718" s="267"/>
      <c r="AJ718" s="267"/>
      <c r="AK718" s="267"/>
      <c r="AL718" s="224">
        <v>0</v>
      </c>
      <c r="AM718" s="104">
        <v>2</v>
      </c>
      <c r="AN718" s="103" t="s">
        <v>685</v>
      </c>
      <c r="AO718" s="103" t="s">
        <v>622</v>
      </c>
      <c r="AP718" s="103" t="s">
        <v>1222</v>
      </c>
      <c r="AQ718" s="103" t="s">
        <v>1200</v>
      </c>
      <c r="AR718" s="103" t="s">
        <v>946</v>
      </c>
      <c r="AS718" s="271"/>
      <c r="AT718" s="271"/>
      <c r="AU718" s="271"/>
      <c r="AV718" s="271"/>
      <c r="AW718" s="271"/>
      <c r="AX718" s="271"/>
      <c r="AY718" s="271"/>
      <c r="AZ718" s="271"/>
      <c r="BA718" s="271"/>
      <c r="BB718" s="271"/>
      <c r="BC718" s="271"/>
      <c r="BD718" s="271"/>
      <c r="BE718" s="271"/>
      <c r="BF718" s="271"/>
      <c r="BG718" s="271"/>
      <c r="BH718" s="235">
        <f t="shared" si="310"/>
        <v>0</v>
      </c>
      <c r="BI718" s="271"/>
      <c r="BJ718" s="271"/>
      <c r="BK718" s="271"/>
      <c r="BL718" s="271"/>
      <c r="BM718" s="271">
        <v>49096082</v>
      </c>
      <c r="BN718" s="271"/>
      <c r="BO718" s="271"/>
      <c r="BP718" s="271"/>
      <c r="BQ718" s="271"/>
      <c r="BR718" s="271"/>
      <c r="BS718" s="271"/>
      <c r="BT718" s="271"/>
      <c r="BU718" s="271"/>
      <c r="BV718" s="271"/>
      <c r="BW718" s="271"/>
      <c r="BX718" s="235">
        <f t="shared" si="311"/>
        <v>49096082</v>
      </c>
      <c r="BY718" s="271"/>
      <c r="BZ718" s="271"/>
      <c r="CA718" s="271"/>
      <c r="CB718" s="271"/>
      <c r="CC718" s="271">
        <v>49096082</v>
      </c>
      <c r="CD718" s="271"/>
      <c r="CE718" s="271"/>
      <c r="CF718" s="271"/>
      <c r="CG718" s="271"/>
      <c r="CH718" s="271"/>
      <c r="CI718" s="271"/>
      <c r="CJ718" s="271"/>
      <c r="CK718" s="271"/>
      <c r="CL718" s="271"/>
      <c r="CM718" s="271"/>
      <c r="CN718" s="235">
        <f t="shared" si="312"/>
        <v>49096082</v>
      </c>
      <c r="CO718" s="271"/>
      <c r="CP718" s="271"/>
      <c r="CQ718" s="271"/>
      <c r="CR718" s="271"/>
      <c r="CS718" s="271"/>
      <c r="CT718" s="271"/>
      <c r="CU718" s="271"/>
      <c r="CV718" s="271"/>
      <c r="CW718" s="271"/>
      <c r="CX718" s="271"/>
      <c r="CY718" s="271"/>
      <c r="CZ718" s="271"/>
      <c r="DA718" s="271"/>
      <c r="DB718" s="271"/>
      <c r="DC718" s="271"/>
      <c r="DD718" s="234">
        <f t="shared" si="313"/>
        <v>0</v>
      </c>
      <c r="DE718" s="244">
        <f t="shared" si="314"/>
        <v>98192164</v>
      </c>
    </row>
    <row r="719" spans="1:110" s="98" customFormat="1" ht="119.1" customHeight="1">
      <c r="A719" s="103" t="s">
        <v>1245</v>
      </c>
      <c r="B719" s="279" t="s">
        <v>3614</v>
      </c>
      <c r="C719" s="279" t="s">
        <v>1703</v>
      </c>
      <c r="D719" s="279">
        <v>61</v>
      </c>
      <c r="E719" s="279" t="s">
        <v>1727</v>
      </c>
      <c r="F719" s="280" t="s">
        <v>1728</v>
      </c>
      <c r="G719" s="279" t="s">
        <v>2755</v>
      </c>
      <c r="H719" s="279">
        <v>71</v>
      </c>
      <c r="I719" s="279" t="s">
        <v>46</v>
      </c>
      <c r="J719" s="279" t="s">
        <v>683</v>
      </c>
      <c r="K719" s="279">
        <v>123</v>
      </c>
      <c r="L719" s="279">
        <v>123</v>
      </c>
      <c r="M719" s="279" t="s">
        <v>1732</v>
      </c>
      <c r="N719" s="279" t="s">
        <v>1733</v>
      </c>
      <c r="O719" s="279" t="s">
        <v>1734</v>
      </c>
      <c r="P719" s="283">
        <v>640</v>
      </c>
      <c r="Q719" s="279" t="s">
        <v>3742</v>
      </c>
      <c r="R719" s="279" t="s">
        <v>57</v>
      </c>
      <c r="S719" s="279" t="s">
        <v>683</v>
      </c>
      <c r="T719" s="279">
        <v>5</v>
      </c>
      <c r="U719" s="267"/>
      <c r="V719" s="267">
        <v>5</v>
      </c>
      <c r="W719" s="224">
        <v>5</v>
      </c>
      <c r="X719" s="267"/>
      <c r="Y719" s="267"/>
      <c r="Z719" s="267">
        <v>10</v>
      </c>
      <c r="AA719" s="267"/>
      <c r="AB719" s="224">
        <v>10</v>
      </c>
      <c r="AC719" s="267"/>
      <c r="AD719" s="267"/>
      <c r="AE719" s="267">
        <v>10</v>
      </c>
      <c r="AF719" s="267"/>
      <c r="AG719" s="224">
        <v>10</v>
      </c>
      <c r="AH719" s="267"/>
      <c r="AI719" s="267">
        <v>5</v>
      </c>
      <c r="AJ719" s="267"/>
      <c r="AK719" s="267"/>
      <c r="AL719" s="224">
        <v>5</v>
      </c>
      <c r="AM719" s="104">
        <v>30</v>
      </c>
      <c r="AN719" s="103" t="s">
        <v>685</v>
      </c>
      <c r="AO719" s="103" t="s">
        <v>622</v>
      </c>
      <c r="AP719" s="103" t="s">
        <v>1222</v>
      </c>
      <c r="AQ719" s="103" t="s">
        <v>1200</v>
      </c>
      <c r="AR719" s="103" t="s">
        <v>946</v>
      </c>
      <c r="AS719" s="271"/>
      <c r="AT719" s="271"/>
      <c r="AU719" s="271"/>
      <c r="AV719" s="271"/>
      <c r="AW719" s="271">
        <v>115400000</v>
      </c>
      <c r="AX719" s="271"/>
      <c r="AY719" s="271"/>
      <c r="AZ719" s="271"/>
      <c r="BA719" s="271"/>
      <c r="BB719" s="271"/>
      <c r="BC719" s="271"/>
      <c r="BD719" s="271"/>
      <c r="BE719" s="271"/>
      <c r="BF719" s="271"/>
      <c r="BG719" s="271"/>
      <c r="BH719" s="235">
        <f t="shared" si="310"/>
        <v>115400000</v>
      </c>
      <c r="BI719" s="271"/>
      <c r="BJ719" s="271"/>
      <c r="BK719" s="271"/>
      <c r="BL719" s="271"/>
      <c r="BM719" s="271">
        <v>70745729</v>
      </c>
      <c r="BN719" s="271"/>
      <c r="BO719" s="271"/>
      <c r="BP719" s="271"/>
      <c r="BQ719" s="271"/>
      <c r="BR719" s="271"/>
      <c r="BS719" s="271"/>
      <c r="BT719" s="271"/>
      <c r="BU719" s="271"/>
      <c r="BV719" s="271"/>
      <c r="BW719" s="271"/>
      <c r="BX719" s="235">
        <f t="shared" si="311"/>
        <v>70745729</v>
      </c>
      <c r="BY719" s="271"/>
      <c r="BZ719" s="271"/>
      <c r="CA719" s="271"/>
      <c r="CB719" s="271"/>
      <c r="CC719" s="271">
        <v>65308585</v>
      </c>
      <c r="CD719" s="271"/>
      <c r="CE719" s="271"/>
      <c r="CF719" s="271"/>
      <c r="CG719" s="271"/>
      <c r="CH719" s="271"/>
      <c r="CI719" s="271"/>
      <c r="CJ719" s="271"/>
      <c r="CK719" s="271"/>
      <c r="CL719" s="271"/>
      <c r="CM719" s="271"/>
      <c r="CN719" s="235">
        <f t="shared" si="312"/>
        <v>65308585</v>
      </c>
      <c r="CO719" s="271"/>
      <c r="CP719" s="271"/>
      <c r="CQ719" s="271"/>
      <c r="CR719" s="271"/>
      <c r="CS719" s="271">
        <v>106442490</v>
      </c>
      <c r="CT719" s="271"/>
      <c r="CU719" s="271"/>
      <c r="CV719" s="271"/>
      <c r="CW719" s="271"/>
      <c r="CX719" s="271"/>
      <c r="CY719" s="271"/>
      <c r="CZ719" s="271"/>
      <c r="DA719" s="271"/>
      <c r="DB719" s="271"/>
      <c r="DC719" s="271"/>
      <c r="DD719" s="234">
        <f t="shared" si="313"/>
        <v>106442490</v>
      </c>
      <c r="DE719" s="244">
        <f t="shared" si="314"/>
        <v>357896804</v>
      </c>
    </row>
    <row r="720" spans="1:110" s="98" customFormat="1" ht="119.1" customHeight="1">
      <c r="A720" s="103" t="s">
        <v>1245</v>
      </c>
      <c r="B720" s="279" t="s">
        <v>3614</v>
      </c>
      <c r="C720" s="279" t="s">
        <v>1703</v>
      </c>
      <c r="D720" s="279">
        <v>61</v>
      </c>
      <c r="E720" s="279" t="s">
        <v>1727</v>
      </c>
      <c r="F720" s="280" t="s">
        <v>1728</v>
      </c>
      <c r="G720" s="279" t="s">
        <v>2755</v>
      </c>
      <c r="H720" s="279">
        <v>71</v>
      </c>
      <c r="I720" s="279" t="s">
        <v>46</v>
      </c>
      <c r="J720" s="279" t="s">
        <v>683</v>
      </c>
      <c r="K720" s="279">
        <v>123</v>
      </c>
      <c r="L720" s="279">
        <v>123</v>
      </c>
      <c r="M720" s="279" t="s">
        <v>1732</v>
      </c>
      <c r="N720" s="279" t="s">
        <v>1733</v>
      </c>
      <c r="O720" s="279" t="s">
        <v>1734</v>
      </c>
      <c r="P720" s="283">
        <v>641</v>
      </c>
      <c r="Q720" s="279" t="s">
        <v>3660</v>
      </c>
      <c r="R720" s="279" t="s">
        <v>60</v>
      </c>
      <c r="S720" s="279" t="s">
        <v>683</v>
      </c>
      <c r="T720" s="279">
        <v>0</v>
      </c>
      <c r="U720" s="267"/>
      <c r="V720" s="267"/>
      <c r="W720" s="224">
        <v>0</v>
      </c>
      <c r="X720" s="267"/>
      <c r="Y720" s="267">
        <v>0.25</v>
      </c>
      <c r="Z720" s="267">
        <v>0.25</v>
      </c>
      <c r="AA720" s="267"/>
      <c r="AB720" s="224">
        <v>0.5</v>
      </c>
      <c r="AC720" s="267"/>
      <c r="AD720" s="267">
        <v>0.25</v>
      </c>
      <c r="AE720" s="267">
        <v>0.25</v>
      </c>
      <c r="AF720" s="267"/>
      <c r="AG720" s="224">
        <v>0.5</v>
      </c>
      <c r="AH720" s="267"/>
      <c r="AI720" s="267"/>
      <c r="AJ720" s="267"/>
      <c r="AK720" s="267"/>
      <c r="AL720" s="224">
        <v>0</v>
      </c>
      <c r="AM720" s="104">
        <v>1</v>
      </c>
      <c r="AN720" s="103" t="s">
        <v>685</v>
      </c>
      <c r="AO720" s="103" t="s">
        <v>622</v>
      </c>
      <c r="AP720" s="103" t="s">
        <v>1222</v>
      </c>
      <c r="AQ720" s="103" t="s">
        <v>1200</v>
      </c>
      <c r="AR720" s="103" t="s">
        <v>939</v>
      </c>
      <c r="AS720" s="271"/>
      <c r="AT720" s="271"/>
      <c r="AU720" s="271"/>
      <c r="AV720" s="271"/>
      <c r="AW720" s="271"/>
      <c r="AX720" s="271"/>
      <c r="AY720" s="271"/>
      <c r="AZ720" s="271"/>
      <c r="BA720" s="271"/>
      <c r="BB720" s="271"/>
      <c r="BC720" s="271"/>
      <c r="BD720" s="271"/>
      <c r="BE720" s="271"/>
      <c r="BF720" s="271"/>
      <c r="BG720" s="271"/>
      <c r="BH720" s="235">
        <f t="shared" si="310"/>
        <v>0</v>
      </c>
      <c r="BI720" s="271"/>
      <c r="BJ720" s="271"/>
      <c r="BK720" s="271"/>
      <c r="BL720" s="271"/>
      <c r="BM720" s="271">
        <v>20080000</v>
      </c>
      <c r="BN720" s="271"/>
      <c r="BO720" s="271"/>
      <c r="BP720" s="271"/>
      <c r="BQ720" s="271"/>
      <c r="BR720" s="271"/>
      <c r="BS720" s="271"/>
      <c r="BT720" s="271"/>
      <c r="BU720" s="271"/>
      <c r="BV720" s="271"/>
      <c r="BW720" s="271"/>
      <c r="BX720" s="235">
        <f t="shared" si="311"/>
        <v>20080000</v>
      </c>
      <c r="BY720" s="271"/>
      <c r="BZ720" s="271"/>
      <c r="CA720" s="271"/>
      <c r="CB720" s="271"/>
      <c r="CC720" s="271">
        <v>20080000</v>
      </c>
      <c r="CD720" s="271"/>
      <c r="CE720" s="271"/>
      <c r="CF720" s="271"/>
      <c r="CG720" s="271"/>
      <c r="CH720" s="271"/>
      <c r="CI720" s="271"/>
      <c r="CJ720" s="271"/>
      <c r="CK720" s="271"/>
      <c r="CL720" s="271"/>
      <c r="CM720" s="271"/>
      <c r="CN720" s="235">
        <f t="shared" si="312"/>
        <v>20080000</v>
      </c>
      <c r="CO720" s="271"/>
      <c r="CP720" s="271"/>
      <c r="CQ720" s="271"/>
      <c r="CR720" s="271"/>
      <c r="CS720" s="271"/>
      <c r="CT720" s="271"/>
      <c r="CU720" s="271"/>
      <c r="CV720" s="271"/>
      <c r="CW720" s="271"/>
      <c r="CX720" s="271"/>
      <c r="CY720" s="271"/>
      <c r="CZ720" s="271"/>
      <c r="DA720" s="271"/>
      <c r="DB720" s="271"/>
      <c r="DC720" s="271"/>
      <c r="DD720" s="234">
        <f t="shared" si="313"/>
        <v>0</v>
      </c>
      <c r="DE720" s="244">
        <f t="shared" si="314"/>
        <v>40160000</v>
      </c>
    </row>
    <row r="721" spans="1:110" s="98" customFormat="1" ht="119.1" customHeight="1">
      <c r="A721" s="103" t="s">
        <v>1245</v>
      </c>
      <c r="B721" s="279" t="s">
        <v>3614</v>
      </c>
      <c r="C721" s="279" t="s">
        <v>1703</v>
      </c>
      <c r="D721" s="279">
        <v>61</v>
      </c>
      <c r="E721" s="279" t="s">
        <v>1727</v>
      </c>
      <c r="F721" s="280" t="s">
        <v>1728</v>
      </c>
      <c r="G721" s="279" t="s">
        <v>2755</v>
      </c>
      <c r="H721" s="279">
        <v>71</v>
      </c>
      <c r="I721" s="279" t="s">
        <v>46</v>
      </c>
      <c r="J721" s="279" t="s">
        <v>683</v>
      </c>
      <c r="K721" s="279">
        <v>123</v>
      </c>
      <c r="L721" s="279">
        <v>123</v>
      </c>
      <c r="M721" s="279" t="s">
        <v>1732</v>
      </c>
      <c r="N721" s="279" t="s">
        <v>1733</v>
      </c>
      <c r="O721" s="279" t="s">
        <v>1734</v>
      </c>
      <c r="P721" s="283">
        <v>642</v>
      </c>
      <c r="Q721" s="279" t="s">
        <v>3661</v>
      </c>
      <c r="R721" s="279" t="s">
        <v>67</v>
      </c>
      <c r="S721" s="279" t="s">
        <v>683</v>
      </c>
      <c r="T721" s="279">
        <v>0</v>
      </c>
      <c r="U721" s="267"/>
      <c r="V721" s="267">
        <v>5</v>
      </c>
      <c r="W721" s="224">
        <v>5</v>
      </c>
      <c r="X721" s="267"/>
      <c r="Y721" s="267"/>
      <c r="Z721" s="267">
        <v>10</v>
      </c>
      <c r="AA721" s="267"/>
      <c r="AB721" s="224">
        <v>10</v>
      </c>
      <c r="AC721" s="267"/>
      <c r="AD721" s="267"/>
      <c r="AE721" s="267">
        <v>10</v>
      </c>
      <c r="AF721" s="267"/>
      <c r="AG721" s="224">
        <v>10</v>
      </c>
      <c r="AH721" s="267"/>
      <c r="AI721" s="267">
        <v>5</v>
      </c>
      <c r="AJ721" s="267"/>
      <c r="AK721" s="267"/>
      <c r="AL721" s="224">
        <v>5</v>
      </c>
      <c r="AM721" s="104">
        <v>30</v>
      </c>
      <c r="AN721" s="103" t="s">
        <v>685</v>
      </c>
      <c r="AO721" s="103" t="s">
        <v>622</v>
      </c>
      <c r="AP721" s="103" t="s">
        <v>1222</v>
      </c>
      <c r="AQ721" s="103" t="s">
        <v>1200</v>
      </c>
      <c r="AR721" s="103" t="s">
        <v>939</v>
      </c>
      <c r="AS721" s="271"/>
      <c r="AT721" s="271"/>
      <c r="AU721" s="271"/>
      <c r="AV721" s="271"/>
      <c r="AW721" s="271">
        <v>115400000</v>
      </c>
      <c r="AX721" s="271"/>
      <c r="AY721" s="271"/>
      <c r="AZ721" s="271"/>
      <c r="BA721" s="271"/>
      <c r="BB721" s="271"/>
      <c r="BC721" s="271"/>
      <c r="BD721" s="271"/>
      <c r="BE721" s="271"/>
      <c r="BF721" s="271"/>
      <c r="BG721" s="271"/>
      <c r="BH721" s="235">
        <f t="shared" si="310"/>
        <v>115400000</v>
      </c>
      <c r="BI721" s="271"/>
      <c r="BJ721" s="271"/>
      <c r="BK721" s="271"/>
      <c r="BL721" s="271"/>
      <c r="BM721" s="271">
        <v>70745729</v>
      </c>
      <c r="BN721" s="271"/>
      <c r="BO721" s="271"/>
      <c r="BP721" s="271"/>
      <c r="BQ721" s="271"/>
      <c r="BR721" s="271"/>
      <c r="BS721" s="271"/>
      <c r="BT721" s="271"/>
      <c r="BU721" s="271"/>
      <c r="BV721" s="271"/>
      <c r="BW721" s="271"/>
      <c r="BX721" s="235">
        <f t="shared" si="311"/>
        <v>70745729</v>
      </c>
      <c r="BY721" s="271"/>
      <c r="BZ721" s="271"/>
      <c r="CA721" s="271"/>
      <c r="CB721" s="271"/>
      <c r="CC721" s="271">
        <v>65308584</v>
      </c>
      <c r="CD721" s="271"/>
      <c r="CE721" s="271"/>
      <c r="CF721" s="271"/>
      <c r="CG721" s="271"/>
      <c r="CH721" s="271"/>
      <c r="CI721" s="271"/>
      <c r="CJ721" s="271"/>
      <c r="CK721" s="271"/>
      <c r="CL721" s="271"/>
      <c r="CM721" s="271"/>
      <c r="CN721" s="235">
        <f t="shared" si="312"/>
        <v>65308584</v>
      </c>
      <c r="CO721" s="271"/>
      <c r="CP721" s="271"/>
      <c r="CQ721" s="271"/>
      <c r="CR721" s="271"/>
      <c r="CS721" s="271">
        <v>106442491</v>
      </c>
      <c r="CT721" s="271"/>
      <c r="CU721" s="271"/>
      <c r="CV721" s="271"/>
      <c r="CW721" s="271"/>
      <c r="CX721" s="271"/>
      <c r="CY721" s="271"/>
      <c r="CZ721" s="271"/>
      <c r="DA721" s="271"/>
      <c r="DB721" s="271"/>
      <c r="DC721" s="271"/>
      <c r="DD721" s="234">
        <f t="shared" si="313"/>
        <v>106442491</v>
      </c>
      <c r="DE721" s="244">
        <f t="shared" si="314"/>
        <v>357896804</v>
      </c>
    </row>
    <row r="722" spans="1:110" s="98" customFormat="1" ht="119.1" customHeight="1">
      <c r="A722" s="103" t="s">
        <v>1245</v>
      </c>
      <c r="B722" s="279" t="s">
        <v>3614</v>
      </c>
      <c r="C722" s="279" t="s">
        <v>1703</v>
      </c>
      <c r="D722" s="279">
        <v>61</v>
      </c>
      <c r="E722" s="279" t="s">
        <v>1727</v>
      </c>
      <c r="F722" s="280" t="s">
        <v>1728</v>
      </c>
      <c r="G722" s="279" t="s">
        <v>2755</v>
      </c>
      <c r="H722" s="279">
        <v>71</v>
      </c>
      <c r="I722" s="279" t="s">
        <v>46</v>
      </c>
      <c r="J722" s="279" t="s">
        <v>683</v>
      </c>
      <c r="K722" s="279">
        <v>123</v>
      </c>
      <c r="L722" s="279">
        <v>123</v>
      </c>
      <c r="M722" s="279" t="s">
        <v>1732</v>
      </c>
      <c r="N722" s="279" t="s">
        <v>1733</v>
      </c>
      <c r="O722" s="279" t="s">
        <v>1734</v>
      </c>
      <c r="P722" s="283">
        <v>643</v>
      </c>
      <c r="Q722" s="279" t="s">
        <v>3662</v>
      </c>
      <c r="R722" s="279" t="s">
        <v>1735</v>
      </c>
      <c r="S722" s="279" t="s">
        <v>683</v>
      </c>
      <c r="T722" s="279">
        <v>0</v>
      </c>
      <c r="U722" s="267"/>
      <c r="V722" s="267"/>
      <c r="W722" s="224">
        <v>0</v>
      </c>
      <c r="X722" s="267"/>
      <c r="Y722" s="267"/>
      <c r="Z722" s="267">
        <v>1</v>
      </c>
      <c r="AA722" s="267"/>
      <c r="AB722" s="224">
        <v>1</v>
      </c>
      <c r="AC722" s="267"/>
      <c r="AD722" s="267"/>
      <c r="AE722" s="267">
        <v>1</v>
      </c>
      <c r="AF722" s="267"/>
      <c r="AG722" s="224">
        <v>1</v>
      </c>
      <c r="AH722" s="267"/>
      <c r="AI722" s="267"/>
      <c r="AJ722" s="267">
        <v>1</v>
      </c>
      <c r="AK722" s="267"/>
      <c r="AL722" s="224">
        <v>1</v>
      </c>
      <c r="AM722" s="104">
        <v>3</v>
      </c>
      <c r="AN722" s="103" t="s">
        <v>685</v>
      </c>
      <c r="AO722" s="103" t="s">
        <v>622</v>
      </c>
      <c r="AP722" s="103" t="s">
        <v>1222</v>
      </c>
      <c r="AQ722" s="103" t="s">
        <v>1200</v>
      </c>
      <c r="AR722" s="103" t="s">
        <v>946</v>
      </c>
      <c r="AS722" s="271"/>
      <c r="AT722" s="271"/>
      <c r="AU722" s="271"/>
      <c r="AV722" s="271"/>
      <c r="AW722" s="271"/>
      <c r="AX722" s="271"/>
      <c r="AY722" s="271"/>
      <c r="AZ722" s="271"/>
      <c r="BA722" s="271"/>
      <c r="BB722" s="271"/>
      <c r="BC722" s="271"/>
      <c r="BD722" s="271"/>
      <c r="BE722" s="271"/>
      <c r="BF722" s="271"/>
      <c r="BG722" s="271"/>
      <c r="BH722" s="235">
        <f t="shared" si="310"/>
        <v>0</v>
      </c>
      <c r="BI722" s="271"/>
      <c r="BJ722" s="271"/>
      <c r="BK722" s="271"/>
      <c r="BL722" s="271"/>
      <c r="BM722" s="271">
        <v>30120000</v>
      </c>
      <c r="BN722" s="271"/>
      <c r="BO722" s="271"/>
      <c r="BP722" s="271"/>
      <c r="BQ722" s="271"/>
      <c r="BR722" s="271"/>
      <c r="BS722" s="271"/>
      <c r="BT722" s="271"/>
      <c r="BU722" s="271"/>
      <c r="BV722" s="271"/>
      <c r="BW722" s="271"/>
      <c r="BX722" s="235">
        <f t="shared" si="311"/>
        <v>30120000</v>
      </c>
      <c r="BY722" s="271"/>
      <c r="BZ722" s="271"/>
      <c r="CA722" s="271"/>
      <c r="CB722" s="271"/>
      <c r="CC722" s="271">
        <v>30120000</v>
      </c>
      <c r="CD722" s="271"/>
      <c r="CE722" s="271"/>
      <c r="CF722" s="271"/>
      <c r="CG722" s="271"/>
      <c r="CH722" s="271"/>
      <c r="CI722" s="271"/>
      <c r="CJ722" s="271"/>
      <c r="CK722" s="271"/>
      <c r="CL722" s="271"/>
      <c r="CM722" s="271"/>
      <c r="CN722" s="235">
        <f t="shared" si="312"/>
        <v>30120000</v>
      </c>
      <c r="CO722" s="271"/>
      <c r="CP722" s="271"/>
      <c r="CQ722" s="271"/>
      <c r="CR722" s="271"/>
      <c r="CS722" s="271">
        <v>30120000</v>
      </c>
      <c r="CT722" s="271"/>
      <c r="CU722" s="271"/>
      <c r="CV722" s="271"/>
      <c r="CW722" s="271"/>
      <c r="CX722" s="271"/>
      <c r="CY722" s="271"/>
      <c r="CZ722" s="271"/>
      <c r="DA722" s="271"/>
      <c r="DB722" s="271"/>
      <c r="DC722" s="271"/>
      <c r="DD722" s="234">
        <f t="shared" si="313"/>
        <v>30120000</v>
      </c>
      <c r="DE722" s="244">
        <f t="shared" si="314"/>
        <v>90360000</v>
      </c>
    </row>
    <row r="723" spans="1:110" s="98" customFormat="1" ht="119.1" customHeight="1">
      <c r="A723" s="103" t="s">
        <v>1245</v>
      </c>
      <c r="B723" s="279" t="s">
        <v>3614</v>
      </c>
      <c r="C723" s="279" t="s">
        <v>1703</v>
      </c>
      <c r="D723" s="279">
        <v>61</v>
      </c>
      <c r="E723" s="279" t="s">
        <v>1727</v>
      </c>
      <c r="F723" s="280" t="s">
        <v>1728</v>
      </c>
      <c r="G723" s="279" t="s">
        <v>2755</v>
      </c>
      <c r="H723" s="279">
        <v>71</v>
      </c>
      <c r="I723" s="279" t="s">
        <v>46</v>
      </c>
      <c r="J723" s="279" t="s">
        <v>683</v>
      </c>
      <c r="K723" s="279">
        <v>123</v>
      </c>
      <c r="L723" s="279">
        <v>123</v>
      </c>
      <c r="M723" s="279" t="s">
        <v>1732</v>
      </c>
      <c r="N723" s="279" t="s">
        <v>1733</v>
      </c>
      <c r="O723" s="279" t="s">
        <v>1734</v>
      </c>
      <c r="P723" s="283">
        <v>644</v>
      </c>
      <c r="Q723" s="279" t="s">
        <v>3663</v>
      </c>
      <c r="R723" s="279" t="s">
        <v>70</v>
      </c>
      <c r="S723" s="279" t="s">
        <v>683</v>
      </c>
      <c r="T723" s="279">
        <v>16</v>
      </c>
      <c r="U723" s="267"/>
      <c r="V723" s="267">
        <v>1</v>
      </c>
      <c r="W723" s="224">
        <v>1</v>
      </c>
      <c r="X723" s="267"/>
      <c r="Y723" s="267">
        <v>1</v>
      </c>
      <c r="Z723" s="267">
        <v>1</v>
      </c>
      <c r="AA723" s="267">
        <v>1</v>
      </c>
      <c r="AB723" s="224">
        <v>3</v>
      </c>
      <c r="AC723" s="267">
        <v>1</v>
      </c>
      <c r="AD723" s="267">
        <v>1</v>
      </c>
      <c r="AE723" s="267">
        <v>1</v>
      </c>
      <c r="AF723" s="267">
        <v>1</v>
      </c>
      <c r="AG723" s="224">
        <v>4</v>
      </c>
      <c r="AH723" s="267">
        <v>1</v>
      </c>
      <c r="AI723" s="267">
        <v>1</v>
      </c>
      <c r="AJ723" s="267">
        <v>1</v>
      </c>
      <c r="AK723" s="267">
        <v>1</v>
      </c>
      <c r="AL723" s="224">
        <v>4</v>
      </c>
      <c r="AM723" s="104">
        <v>12</v>
      </c>
      <c r="AN723" s="103" t="s">
        <v>685</v>
      </c>
      <c r="AO723" s="103" t="s">
        <v>622</v>
      </c>
      <c r="AP723" s="103" t="s">
        <v>1222</v>
      </c>
      <c r="AQ723" s="103" t="s">
        <v>1200</v>
      </c>
      <c r="AR723" s="103" t="s">
        <v>946</v>
      </c>
      <c r="AS723" s="271"/>
      <c r="AT723" s="271"/>
      <c r="AU723" s="271"/>
      <c r="AV723" s="271"/>
      <c r="AW723" s="271">
        <v>10040000</v>
      </c>
      <c r="AX723" s="271"/>
      <c r="AY723" s="271"/>
      <c r="AZ723" s="271"/>
      <c r="BA723" s="271"/>
      <c r="BB723" s="271"/>
      <c r="BC723" s="271"/>
      <c r="BD723" s="271"/>
      <c r="BE723" s="271"/>
      <c r="BF723" s="271"/>
      <c r="BG723" s="271"/>
      <c r="BH723" s="235">
        <f t="shared" si="310"/>
        <v>10040000</v>
      </c>
      <c r="BI723" s="271"/>
      <c r="BJ723" s="271"/>
      <c r="BK723" s="271"/>
      <c r="BL723" s="271"/>
      <c r="BM723" s="271">
        <v>15060000</v>
      </c>
      <c r="BN723" s="271"/>
      <c r="BO723" s="271"/>
      <c r="BP723" s="271"/>
      <c r="BQ723" s="271"/>
      <c r="BR723" s="271"/>
      <c r="BS723" s="271"/>
      <c r="BT723" s="271"/>
      <c r="BU723" s="271"/>
      <c r="BV723" s="271"/>
      <c r="BW723" s="271"/>
      <c r="BX723" s="235">
        <f t="shared" si="311"/>
        <v>15060000</v>
      </c>
      <c r="BY723" s="271"/>
      <c r="BZ723" s="271"/>
      <c r="CA723" s="271"/>
      <c r="CB723" s="271"/>
      <c r="CC723" s="271">
        <v>15060000</v>
      </c>
      <c r="CD723" s="271"/>
      <c r="CE723" s="271"/>
      <c r="CF723" s="271"/>
      <c r="CG723" s="271"/>
      <c r="CH723" s="271"/>
      <c r="CI723" s="271"/>
      <c r="CJ723" s="271"/>
      <c r="CK723" s="271"/>
      <c r="CL723" s="271"/>
      <c r="CM723" s="271"/>
      <c r="CN723" s="235">
        <f t="shared" si="312"/>
        <v>15060000</v>
      </c>
      <c r="CO723" s="271"/>
      <c r="CP723" s="271"/>
      <c r="CQ723" s="271"/>
      <c r="CR723" s="271"/>
      <c r="CS723" s="271">
        <v>15060000</v>
      </c>
      <c r="CT723" s="271"/>
      <c r="CU723" s="271"/>
      <c r="CV723" s="271"/>
      <c r="CW723" s="271"/>
      <c r="CX723" s="271"/>
      <c r="CY723" s="271"/>
      <c r="CZ723" s="271"/>
      <c r="DA723" s="271"/>
      <c r="DB723" s="271"/>
      <c r="DC723" s="271"/>
      <c r="DD723" s="234">
        <f t="shared" si="313"/>
        <v>15060000</v>
      </c>
      <c r="DE723" s="244">
        <f t="shared" si="314"/>
        <v>55220000</v>
      </c>
    </row>
    <row r="724" spans="1:110" s="98" customFormat="1" ht="119.1" customHeight="1">
      <c r="A724" s="103" t="s">
        <v>1245</v>
      </c>
      <c r="B724" s="279" t="s">
        <v>3614</v>
      </c>
      <c r="C724" s="279" t="s">
        <v>1703</v>
      </c>
      <c r="D724" s="279">
        <v>61</v>
      </c>
      <c r="E724" s="279" t="s">
        <v>1727</v>
      </c>
      <c r="F724" s="280" t="s">
        <v>1728</v>
      </c>
      <c r="G724" s="279" t="s">
        <v>2755</v>
      </c>
      <c r="H724" s="279">
        <v>71</v>
      </c>
      <c r="I724" s="279" t="s">
        <v>46</v>
      </c>
      <c r="J724" s="279" t="s">
        <v>683</v>
      </c>
      <c r="K724" s="279">
        <v>123</v>
      </c>
      <c r="L724" s="279">
        <v>123</v>
      </c>
      <c r="M724" s="279" t="s">
        <v>1732</v>
      </c>
      <c r="N724" s="279" t="s">
        <v>1733</v>
      </c>
      <c r="O724" s="279" t="s">
        <v>1734</v>
      </c>
      <c r="P724" s="283">
        <v>645</v>
      </c>
      <c r="Q724" s="279" t="s">
        <v>3664</v>
      </c>
      <c r="R724" s="279" t="s">
        <v>74</v>
      </c>
      <c r="S724" s="279" t="s">
        <v>683</v>
      </c>
      <c r="T724" s="279">
        <v>6</v>
      </c>
      <c r="U724" s="267"/>
      <c r="V724" s="267"/>
      <c r="W724" s="224">
        <v>0</v>
      </c>
      <c r="X724" s="267"/>
      <c r="Y724" s="267">
        <v>1</v>
      </c>
      <c r="Z724" s="267"/>
      <c r="AA724" s="267">
        <v>1</v>
      </c>
      <c r="AB724" s="224">
        <v>2</v>
      </c>
      <c r="AC724" s="267"/>
      <c r="AD724" s="267">
        <v>1</v>
      </c>
      <c r="AE724" s="267"/>
      <c r="AF724" s="267">
        <v>1</v>
      </c>
      <c r="AG724" s="224">
        <v>2</v>
      </c>
      <c r="AH724" s="267">
        <v>1</v>
      </c>
      <c r="AI724" s="267"/>
      <c r="AJ724" s="267">
        <v>1</v>
      </c>
      <c r="AK724" s="267"/>
      <c r="AL724" s="224">
        <v>2</v>
      </c>
      <c r="AM724" s="104">
        <v>6</v>
      </c>
      <c r="AN724" s="103" t="s">
        <v>685</v>
      </c>
      <c r="AO724" s="103" t="s">
        <v>622</v>
      </c>
      <c r="AP724" s="103" t="s">
        <v>1222</v>
      </c>
      <c r="AQ724" s="103" t="s">
        <v>1200</v>
      </c>
      <c r="AR724" s="103" t="s">
        <v>946</v>
      </c>
      <c r="AS724" s="271"/>
      <c r="AT724" s="271"/>
      <c r="AU724" s="271"/>
      <c r="AV724" s="271"/>
      <c r="AW724" s="271"/>
      <c r="AX724" s="271"/>
      <c r="AY724" s="271"/>
      <c r="AZ724" s="271"/>
      <c r="BA724" s="271"/>
      <c r="BB724" s="271"/>
      <c r="BC724" s="271"/>
      <c r="BD724" s="271"/>
      <c r="BE724" s="271"/>
      <c r="BF724" s="271"/>
      <c r="BG724" s="271"/>
      <c r="BH724" s="235">
        <f t="shared" si="310"/>
        <v>0</v>
      </c>
      <c r="BI724" s="271"/>
      <c r="BJ724" s="271"/>
      <c r="BK724" s="271"/>
      <c r="BL724" s="271"/>
      <c r="BM724" s="271">
        <v>15060000</v>
      </c>
      <c r="BN724" s="271"/>
      <c r="BO724" s="271"/>
      <c r="BP724" s="271"/>
      <c r="BQ724" s="271"/>
      <c r="BR724" s="271"/>
      <c r="BS724" s="271"/>
      <c r="BT724" s="271"/>
      <c r="BU724" s="271"/>
      <c r="BV724" s="271"/>
      <c r="BW724" s="271"/>
      <c r="BX724" s="235">
        <f t="shared" si="311"/>
        <v>15060000</v>
      </c>
      <c r="BY724" s="271"/>
      <c r="BZ724" s="271"/>
      <c r="CA724" s="271"/>
      <c r="CB724" s="271"/>
      <c r="CC724" s="271">
        <v>15060000</v>
      </c>
      <c r="CD724" s="271"/>
      <c r="CE724" s="271"/>
      <c r="CF724" s="271"/>
      <c r="CG724" s="271"/>
      <c r="CH724" s="271"/>
      <c r="CI724" s="271"/>
      <c r="CJ724" s="271"/>
      <c r="CK724" s="271"/>
      <c r="CL724" s="271"/>
      <c r="CM724" s="271"/>
      <c r="CN724" s="235">
        <f t="shared" si="312"/>
        <v>15060000</v>
      </c>
      <c r="CO724" s="271"/>
      <c r="CP724" s="271"/>
      <c r="CQ724" s="271"/>
      <c r="CR724" s="271"/>
      <c r="CS724" s="271">
        <v>15060000</v>
      </c>
      <c r="CT724" s="271"/>
      <c r="CU724" s="271"/>
      <c r="CV724" s="271"/>
      <c r="CW724" s="271"/>
      <c r="CX724" s="271"/>
      <c r="CY724" s="271"/>
      <c r="CZ724" s="271"/>
      <c r="DA724" s="271"/>
      <c r="DB724" s="271"/>
      <c r="DC724" s="271"/>
      <c r="DD724" s="234">
        <f t="shared" si="313"/>
        <v>15060000</v>
      </c>
      <c r="DE724" s="244">
        <f t="shared" si="314"/>
        <v>45180000</v>
      </c>
    </row>
    <row r="725" spans="1:110" s="98" customFormat="1" ht="119.1" customHeight="1">
      <c r="A725" s="103" t="s">
        <v>1245</v>
      </c>
      <c r="B725" s="279" t="s">
        <v>3614</v>
      </c>
      <c r="C725" s="279" t="s">
        <v>1703</v>
      </c>
      <c r="D725" s="279">
        <v>61</v>
      </c>
      <c r="E725" s="279" t="s">
        <v>1727</v>
      </c>
      <c r="F725" s="280" t="s">
        <v>1728</v>
      </c>
      <c r="G725" s="279" t="s">
        <v>2755</v>
      </c>
      <c r="H725" s="279">
        <v>71</v>
      </c>
      <c r="I725" s="279" t="s">
        <v>46</v>
      </c>
      <c r="J725" s="279" t="s">
        <v>683</v>
      </c>
      <c r="K725" s="279">
        <v>123</v>
      </c>
      <c r="L725" s="279">
        <v>123</v>
      </c>
      <c r="M725" s="279" t="s">
        <v>1732</v>
      </c>
      <c r="N725" s="279" t="s">
        <v>1733</v>
      </c>
      <c r="O725" s="279" t="s">
        <v>1734</v>
      </c>
      <c r="P725" s="283">
        <v>646</v>
      </c>
      <c r="Q725" s="279" t="s">
        <v>3665</v>
      </c>
      <c r="R725" s="279" t="s">
        <v>1736</v>
      </c>
      <c r="S725" s="279" t="s">
        <v>683</v>
      </c>
      <c r="T725" s="279">
        <v>0</v>
      </c>
      <c r="U725" s="267"/>
      <c r="V725" s="267"/>
      <c r="W725" s="224">
        <v>0</v>
      </c>
      <c r="X725" s="267"/>
      <c r="Y725" s="267">
        <v>0.25</v>
      </c>
      <c r="Z725" s="267">
        <v>0.25</v>
      </c>
      <c r="AA725" s="267"/>
      <c r="AB725" s="224">
        <v>0.5</v>
      </c>
      <c r="AC725" s="267"/>
      <c r="AD725" s="267">
        <v>0.25</v>
      </c>
      <c r="AE725" s="267">
        <v>0.25</v>
      </c>
      <c r="AF725" s="267"/>
      <c r="AG725" s="224">
        <v>0.5</v>
      </c>
      <c r="AH725" s="267"/>
      <c r="AI725" s="267"/>
      <c r="AJ725" s="267"/>
      <c r="AK725" s="267"/>
      <c r="AL725" s="224">
        <v>0</v>
      </c>
      <c r="AM725" s="104">
        <v>1</v>
      </c>
      <c r="AN725" s="103" t="s">
        <v>685</v>
      </c>
      <c r="AO725" s="103" t="s">
        <v>622</v>
      </c>
      <c r="AP725" s="103" t="s">
        <v>1222</v>
      </c>
      <c r="AQ725" s="103" t="s">
        <v>1200</v>
      </c>
      <c r="AR725" s="103" t="s">
        <v>946</v>
      </c>
      <c r="AS725" s="271"/>
      <c r="AT725" s="271"/>
      <c r="AU725" s="271"/>
      <c r="AV725" s="271"/>
      <c r="AW725" s="271"/>
      <c r="AX725" s="271"/>
      <c r="AY725" s="271"/>
      <c r="AZ725" s="271"/>
      <c r="BA725" s="271"/>
      <c r="BB725" s="271"/>
      <c r="BC725" s="271"/>
      <c r="BD725" s="271"/>
      <c r="BE725" s="271"/>
      <c r="BF725" s="271"/>
      <c r="BG725" s="271"/>
      <c r="BH725" s="235">
        <f t="shared" si="310"/>
        <v>0</v>
      </c>
      <c r="BI725" s="271"/>
      <c r="BJ725" s="271"/>
      <c r="BK725" s="271"/>
      <c r="BL725" s="271"/>
      <c r="BM725" s="271">
        <v>20080000</v>
      </c>
      <c r="BN725" s="271"/>
      <c r="BO725" s="271"/>
      <c r="BP725" s="271"/>
      <c r="BQ725" s="271"/>
      <c r="BR725" s="271"/>
      <c r="BS725" s="271"/>
      <c r="BT725" s="271"/>
      <c r="BU725" s="271"/>
      <c r="BV725" s="271"/>
      <c r="BW725" s="271"/>
      <c r="BX725" s="235">
        <f t="shared" si="311"/>
        <v>20080000</v>
      </c>
      <c r="BY725" s="271"/>
      <c r="BZ725" s="271"/>
      <c r="CA725" s="271"/>
      <c r="CB725" s="271"/>
      <c r="CC725" s="271">
        <v>20080000</v>
      </c>
      <c r="CD725" s="271"/>
      <c r="CE725" s="271"/>
      <c r="CF725" s="271"/>
      <c r="CG725" s="271"/>
      <c r="CH725" s="271"/>
      <c r="CI725" s="271"/>
      <c r="CJ725" s="271"/>
      <c r="CK725" s="271"/>
      <c r="CL725" s="271"/>
      <c r="CM725" s="271"/>
      <c r="CN725" s="235">
        <f t="shared" si="312"/>
        <v>20080000</v>
      </c>
      <c r="CO725" s="271"/>
      <c r="CP725" s="271"/>
      <c r="CQ725" s="271"/>
      <c r="CR725" s="271"/>
      <c r="CS725" s="271"/>
      <c r="CT725" s="271"/>
      <c r="CU725" s="271"/>
      <c r="CV725" s="271"/>
      <c r="CW725" s="271"/>
      <c r="CX725" s="271"/>
      <c r="CY725" s="271"/>
      <c r="CZ725" s="271"/>
      <c r="DA725" s="271"/>
      <c r="DB725" s="271"/>
      <c r="DC725" s="271"/>
      <c r="DD725" s="234">
        <f t="shared" si="313"/>
        <v>0</v>
      </c>
      <c r="DE725" s="244">
        <f t="shared" si="314"/>
        <v>40160000</v>
      </c>
    </row>
    <row r="726" spans="1:110" s="98" customFormat="1" ht="119.1" customHeight="1">
      <c r="A726" s="120" t="s">
        <v>1245</v>
      </c>
      <c r="B726" s="281" t="s">
        <v>3614</v>
      </c>
      <c r="C726" s="281" t="s">
        <v>1703</v>
      </c>
      <c r="D726" s="281">
        <v>61</v>
      </c>
      <c r="E726" s="281" t="s">
        <v>1727</v>
      </c>
      <c r="F726" s="282" t="s">
        <v>1728</v>
      </c>
      <c r="G726" s="281" t="s">
        <v>2755</v>
      </c>
      <c r="H726" s="281">
        <v>71</v>
      </c>
      <c r="I726" s="281" t="s">
        <v>46</v>
      </c>
      <c r="J726" s="281" t="s">
        <v>683</v>
      </c>
      <c r="K726" s="281">
        <v>123</v>
      </c>
      <c r="L726" s="281">
        <v>123</v>
      </c>
      <c r="M726" s="281" t="s">
        <v>1732</v>
      </c>
      <c r="N726" s="281" t="s">
        <v>1733</v>
      </c>
      <c r="O726" s="281" t="s">
        <v>1734</v>
      </c>
      <c r="P726" s="283">
        <v>647</v>
      </c>
      <c r="Q726" s="281" t="s">
        <v>3666</v>
      </c>
      <c r="R726" s="281" t="s">
        <v>1737</v>
      </c>
      <c r="S726" s="281" t="s">
        <v>683</v>
      </c>
      <c r="T726" s="281">
        <v>0</v>
      </c>
      <c r="U726" s="275"/>
      <c r="V726" s="275"/>
      <c r="W726" s="225">
        <v>0</v>
      </c>
      <c r="X726" s="275"/>
      <c r="Y726" s="275">
        <v>1</v>
      </c>
      <c r="Z726" s="275">
        <v>1</v>
      </c>
      <c r="AA726" s="275">
        <v>1</v>
      </c>
      <c r="AB726" s="225">
        <v>3</v>
      </c>
      <c r="AC726" s="275"/>
      <c r="AD726" s="275">
        <v>1</v>
      </c>
      <c r="AE726" s="275">
        <v>1</v>
      </c>
      <c r="AF726" s="275">
        <v>1</v>
      </c>
      <c r="AG726" s="225">
        <v>3</v>
      </c>
      <c r="AH726" s="275"/>
      <c r="AI726" s="275">
        <v>1</v>
      </c>
      <c r="AJ726" s="275">
        <v>1</v>
      </c>
      <c r="AK726" s="275">
        <v>1</v>
      </c>
      <c r="AL726" s="225">
        <v>3</v>
      </c>
      <c r="AM726" s="119">
        <v>9</v>
      </c>
      <c r="AN726" s="120" t="s">
        <v>685</v>
      </c>
      <c r="AO726" s="120" t="s">
        <v>622</v>
      </c>
      <c r="AP726" s="120" t="s">
        <v>1222</v>
      </c>
      <c r="AQ726" s="120" t="s">
        <v>1200</v>
      </c>
      <c r="AR726" s="120" t="s">
        <v>946</v>
      </c>
      <c r="AS726" s="276"/>
      <c r="AT726" s="276"/>
      <c r="AU726" s="276"/>
      <c r="AV726" s="276"/>
      <c r="AW726" s="276"/>
      <c r="AX726" s="276"/>
      <c r="AY726" s="276"/>
      <c r="AZ726" s="276"/>
      <c r="BA726" s="276"/>
      <c r="BB726" s="276"/>
      <c r="BC726" s="276"/>
      <c r="BD726" s="276"/>
      <c r="BE726" s="276"/>
      <c r="BF726" s="276"/>
      <c r="BG726" s="276"/>
      <c r="BH726" s="236">
        <f t="shared" si="310"/>
        <v>0</v>
      </c>
      <c r="BI726" s="276"/>
      <c r="BJ726" s="276"/>
      <c r="BK726" s="276"/>
      <c r="BL726" s="276"/>
      <c r="BM726" s="276">
        <v>20080000</v>
      </c>
      <c r="BN726" s="276"/>
      <c r="BO726" s="276"/>
      <c r="BP726" s="276"/>
      <c r="BQ726" s="276"/>
      <c r="BR726" s="276"/>
      <c r="BS726" s="276"/>
      <c r="BT726" s="276"/>
      <c r="BU726" s="276"/>
      <c r="BV726" s="276"/>
      <c r="BW726" s="276"/>
      <c r="BX726" s="236">
        <f t="shared" si="311"/>
        <v>20080000</v>
      </c>
      <c r="BY726" s="276"/>
      <c r="BZ726" s="276"/>
      <c r="CA726" s="276"/>
      <c r="CB726" s="276"/>
      <c r="CC726" s="276">
        <v>20080000</v>
      </c>
      <c r="CD726" s="276"/>
      <c r="CE726" s="276"/>
      <c r="CF726" s="276"/>
      <c r="CG726" s="276"/>
      <c r="CH726" s="276"/>
      <c r="CI726" s="276"/>
      <c r="CJ726" s="276"/>
      <c r="CK726" s="276"/>
      <c r="CL726" s="276"/>
      <c r="CM726" s="276"/>
      <c r="CN726" s="236">
        <f t="shared" si="312"/>
        <v>20080000</v>
      </c>
      <c r="CO726" s="276"/>
      <c r="CP726" s="276"/>
      <c r="CQ726" s="276"/>
      <c r="CR726" s="276"/>
      <c r="CS726" s="276">
        <v>20080000</v>
      </c>
      <c r="CT726" s="276"/>
      <c r="CU726" s="276"/>
      <c r="CV726" s="276"/>
      <c r="CW726" s="276"/>
      <c r="CX726" s="276"/>
      <c r="CY726" s="276"/>
      <c r="CZ726" s="276"/>
      <c r="DA726" s="276"/>
      <c r="DB726" s="276"/>
      <c r="DC726" s="276"/>
      <c r="DD726" s="240">
        <f t="shared" si="313"/>
        <v>20080000</v>
      </c>
      <c r="DE726" s="245">
        <f t="shared" si="314"/>
        <v>60240000</v>
      </c>
    </row>
    <row r="727" spans="1:110" ht="65.099999999999994" customHeight="1">
      <c r="A727" s="118" t="s">
        <v>1245</v>
      </c>
      <c r="B727" s="118" t="s">
        <v>3614</v>
      </c>
      <c r="C727" s="118" t="s">
        <v>1703</v>
      </c>
      <c r="D727" s="159">
        <v>61</v>
      </c>
      <c r="E727" s="159" t="s">
        <v>1727</v>
      </c>
      <c r="F727" s="149"/>
      <c r="G727" s="150"/>
      <c r="H727" s="151"/>
      <c r="I727" s="151"/>
      <c r="J727" s="151"/>
      <c r="K727" s="152"/>
      <c r="L727" s="151"/>
      <c r="M727" s="151"/>
      <c r="N727" s="151"/>
      <c r="O727" s="151"/>
      <c r="P727" s="151"/>
      <c r="Q727" s="150"/>
      <c r="R727" s="153"/>
      <c r="S727" s="151"/>
      <c r="T727" s="151"/>
      <c r="U727" s="154"/>
      <c r="V727" s="154"/>
      <c r="W727" s="152"/>
      <c r="X727" s="154"/>
      <c r="Y727" s="154"/>
      <c r="Z727" s="154"/>
      <c r="AA727" s="154"/>
      <c r="AB727" s="152"/>
      <c r="AC727" s="154"/>
      <c r="AD727" s="154"/>
      <c r="AE727" s="154"/>
      <c r="AF727" s="154"/>
      <c r="AG727" s="152"/>
      <c r="AH727" s="154"/>
      <c r="AI727" s="154"/>
      <c r="AJ727" s="154"/>
      <c r="AK727" s="154"/>
      <c r="AL727" s="152"/>
      <c r="AM727" s="155"/>
      <c r="AN727" s="156"/>
      <c r="AO727" s="156"/>
      <c r="AP727" s="157"/>
      <c r="AQ727" s="157"/>
      <c r="AR727" s="158"/>
      <c r="AS727" s="132">
        <f>SUM(AS716:AS726)</f>
        <v>0</v>
      </c>
      <c r="AT727" s="132">
        <f t="shared" ref="AT727:DE727" si="315">SUM(AT716:AT726)</f>
        <v>0</v>
      </c>
      <c r="AU727" s="132">
        <f t="shared" si="315"/>
        <v>0</v>
      </c>
      <c r="AV727" s="132">
        <f t="shared" si="315"/>
        <v>0</v>
      </c>
      <c r="AW727" s="132">
        <f t="shared" si="315"/>
        <v>299146832</v>
      </c>
      <c r="AX727" s="132">
        <f t="shared" si="315"/>
        <v>0</v>
      </c>
      <c r="AY727" s="132">
        <f t="shared" si="315"/>
        <v>0</v>
      </c>
      <c r="AZ727" s="132">
        <f t="shared" si="315"/>
        <v>0</v>
      </c>
      <c r="BA727" s="132">
        <f t="shared" si="315"/>
        <v>0</v>
      </c>
      <c r="BB727" s="132">
        <f t="shared" si="315"/>
        <v>0</v>
      </c>
      <c r="BC727" s="132">
        <f t="shared" si="315"/>
        <v>0</v>
      </c>
      <c r="BD727" s="132">
        <f t="shared" si="315"/>
        <v>0</v>
      </c>
      <c r="BE727" s="132">
        <f t="shared" si="315"/>
        <v>0</v>
      </c>
      <c r="BF727" s="132">
        <f t="shared" si="315"/>
        <v>0</v>
      </c>
      <c r="BG727" s="132">
        <f t="shared" si="315"/>
        <v>0</v>
      </c>
      <c r="BH727" s="132">
        <f>IF(OR(AND(BH716=0,W716&lt;&gt;0),AND(BH717=0,W717&lt;&gt;0),AND(BH718=0,W718&lt;&gt;0),AND(BH719=0,W719&lt;&gt;0),AND(BH720=0,W720&lt;&gt;0),AND(BH721=0,W721&lt;&gt;0),AND(BH722=0,W722&lt;&gt;0),AND(BH723=0,W723&lt;&gt;0),AND(BH724=0,W724&lt;&gt;0),AND(BH725=0,W725&lt;&gt;0),AND(BH726=0,W726&lt;&gt;0)),"NO DEBEN QUEDAR CELDAS EN ROJO",SUM(BH716:BH726))</f>
        <v>299146832</v>
      </c>
      <c r="BI727" s="132">
        <f t="shared" si="315"/>
        <v>0</v>
      </c>
      <c r="BJ727" s="132">
        <f t="shared" si="315"/>
        <v>0</v>
      </c>
      <c r="BK727" s="132">
        <f t="shared" si="315"/>
        <v>0</v>
      </c>
      <c r="BL727" s="132">
        <f t="shared" si="315"/>
        <v>0</v>
      </c>
      <c r="BM727" s="132">
        <f t="shared" si="315"/>
        <v>336167540</v>
      </c>
      <c r="BN727" s="132">
        <f t="shared" si="315"/>
        <v>0</v>
      </c>
      <c r="BO727" s="132">
        <f t="shared" si="315"/>
        <v>0</v>
      </c>
      <c r="BP727" s="132">
        <f t="shared" si="315"/>
        <v>0</v>
      </c>
      <c r="BQ727" s="132">
        <f t="shared" si="315"/>
        <v>0</v>
      </c>
      <c r="BR727" s="132">
        <f t="shared" si="315"/>
        <v>0</v>
      </c>
      <c r="BS727" s="132">
        <f t="shared" si="315"/>
        <v>0</v>
      </c>
      <c r="BT727" s="132">
        <f t="shared" si="315"/>
        <v>0</v>
      </c>
      <c r="BU727" s="132">
        <f t="shared" si="315"/>
        <v>0</v>
      </c>
      <c r="BV727" s="132">
        <f t="shared" si="315"/>
        <v>0</v>
      </c>
      <c r="BW727" s="132">
        <f t="shared" si="315"/>
        <v>0</v>
      </c>
      <c r="BX727" s="132">
        <f>IF(OR(AND(BX716=0,AB716&lt;&gt;0),AND(BX717=0,AB717&lt;&gt;0),AND(BX718=0,AB718&lt;&gt;0),AND(BX719=0,AB719&lt;&gt;0),AND(BX720=0,AB720&lt;&gt;0),AND(BX721=0,AB721&lt;&gt;0),AND(BX722=0,AB722&lt;&gt;0),AND(BX723=0,AB723&lt;&gt;0),AND(BX724=0,AB724&lt;&gt;0),AND(BX725=0,AB725&lt;&gt;0),AND(BX726=0,AB726&lt;&gt;0)),"NO DEBEN QUEDAR CELDAS EN ROJO",SUM(BX716:BX726))</f>
        <v>336167540</v>
      </c>
      <c r="BY727" s="132">
        <f t="shared" si="315"/>
        <v>0</v>
      </c>
      <c r="BZ727" s="132">
        <f t="shared" si="315"/>
        <v>0</v>
      </c>
      <c r="CA727" s="132">
        <f t="shared" si="315"/>
        <v>0</v>
      </c>
      <c r="CB727" s="132">
        <f t="shared" si="315"/>
        <v>0</v>
      </c>
      <c r="CC727" s="132">
        <f t="shared" si="315"/>
        <v>325293251</v>
      </c>
      <c r="CD727" s="132">
        <f t="shared" si="315"/>
        <v>0</v>
      </c>
      <c r="CE727" s="132">
        <f t="shared" si="315"/>
        <v>0</v>
      </c>
      <c r="CF727" s="132">
        <f t="shared" si="315"/>
        <v>0</v>
      </c>
      <c r="CG727" s="132">
        <f t="shared" si="315"/>
        <v>0</v>
      </c>
      <c r="CH727" s="132">
        <f t="shared" si="315"/>
        <v>0</v>
      </c>
      <c r="CI727" s="132">
        <f t="shared" si="315"/>
        <v>0</v>
      </c>
      <c r="CJ727" s="132">
        <f t="shared" si="315"/>
        <v>0</v>
      </c>
      <c r="CK727" s="132">
        <f t="shared" si="315"/>
        <v>0</v>
      </c>
      <c r="CL727" s="132">
        <f t="shared" si="315"/>
        <v>0</v>
      </c>
      <c r="CM727" s="132">
        <f t="shared" si="315"/>
        <v>0</v>
      </c>
      <c r="CN727" s="132">
        <f>IF(OR(AND(CN716=0,AG716&lt;&gt;0),AND(CN717=0,AG717&lt;&gt;0),AND(CN718=0,AG718&lt;&gt;0),AND(CN719=0,AG719&lt;&gt;0),AND(CN720=0,AG720&lt;&gt;0),AND(CN721=0,AG721&lt;&gt;0),AND(CN722=0,AG722&lt;&gt;0),AND(CN723=0,AG723&lt;&gt;0),AND(CN724=0,AG724&lt;&gt;0),AND(CN725=0,AG725&lt;&gt;0),AND(CN726=0,AG726&lt;&gt;0)),"NO DEBEN QUEDAR CELDAS EN ROJO",SUM(CN716:CN726))</f>
        <v>325293251</v>
      </c>
      <c r="CO727" s="132">
        <f t="shared" si="315"/>
        <v>0</v>
      </c>
      <c r="CP727" s="132">
        <f t="shared" si="315"/>
        <v>0</v>
      </c>
      <c r="CQ727" s="132">
        <f t="shared" si="315"/>
        <v>0</v>
      </c>
      <c r="CR727" s="132">
        <f t="shared" si="315"/>
        <v>0</v>
      </c>
      <c r="CS727" s="132">
        <f t="shared" si="315"/>
        <v>338304981</v>
      </c>
      <c r="CT727" s="132">
        <f t="shared" si="315"/>
        <v>0</v>
      </c>
      <c r="CU727" s="132">
        <f t="shared" si="315"/>
        <v>0</v>
      </c>
      <c r="CV727" s="132">
        <f t="shared" si="315"/>
        <v>0</v>
      </c>
      <c r="CW727" s="132">
        <f t="shared" si="315"/>
        <v>0</v>
      </c>
      <c r="CX727" s="132">
        <f t="shared" si="315"/>
        <v>0</v>
      </c>
      <c r="CY727" s="132">
        <f t="shared" si="315"/>
        <v>0</v>
      </c>
      <c r="CZ727" s="132">
        <f t="shared" si="315"/>
        <v>0</v>
      </c>
      <c r="DA727" s="132">
        <f t="shared" si="315"/>
        <v>0</v>
      </c>
      <c r="DB727" s="132">
        <f t="shared" si="315"/>
        <v>0</v>
      </c>
      <c r="DC727" s="132">
        <f t="shared" si="315"/>
        <v>0</v>
      </c>
      <c r="DD727" s="132">
        <f>IF(OR(AND(DD716=0,AL716&lt;&gt;0),AND(DD717=0,AL717&lt;&gt;0),AND(DD718=0,AL718&lt;&gt;0),AND(DD719=0,AL719&lt;&gt;0),AND(DD720=0,AL720&lt;&gt;0),AND(DD721=0,AL721&lt;&gt;0),AND(DD722=0,AL722&lt;&gt;0),AND(DD723=0,AL723&lt;&gt;0),AND(DD724=0,AL724&lt;&gt;0),AND(DD725=0,AL725&lt;&gt;0),AND(DD726=0,AL726&lt;&gt;0)),"NO DEBEN QUEDAR CELDAS EN ROJO",SUM(DD716:DD726))</f>
        <v>338304981</v>
      </c>
      <c r="DE727" s="132">
        <f t="shared" si="315"/>
        <v>1298912604</v>
      </c>
      <c r="DF727" s="101"/>
    </row>
    <row r="728" spans="1:110" s="117" customFormat="1" ht="55.05" customHeight="1">
      <c r="A728" s="127" t="s">
        <v>1245</v>
      </c>
      <c r="B728" s="126" t="s">
        <v>3614</v>
      </c>
      <c r="C728" s="146" t="s">
        <v>1703</v>
      </c>
      <c r="D728" s="160"/>
      <c r="E728" s="161"/>
      <c r="F728" s="162"/>
      <c r="G728" s="163"/>
      <c r="H728" s="161"/>
      <c r="I728" s="161"/>
      <c r="J728" s="161"/>
      <c r="K728" s="161"/>
      <c r="L728" s="161"/>
      <c r="M728" s="161"/>
      <c r="N728" s="161"/>
      <c r="O728" s="161"/>
      <c r="P728" s="161"/>
      <c r="Q728" s="163"/>
      <c r="R728" s="164"/>
      <c r="S728" s="161"/>
      <c r="T728" s="161"/>
      <c r="U728" s="165"/>
      <c r="V728" s="165"/>
      <c r="W728" s="166"/>
      <c r="X728" s="165"/>
      <c r="Y728" s="165"/>
      <c r="Z728" s="165"/>
      <c r="AA728" s="165"/>
      <c r="AB728" s="166"/>
      <c r="AC728" s="165"/>
      <c r="AD728" s="165"/>
      <c r="AE728" s="165"/>
      <c r="AF728" s="165"/>
      <c r="AG728" s="166"/>
      <c r="AH728" s="165"/>
      <c r="AI728" s="165"/>
      <c r="AJ728" s="165"/>
      <c r="AK728" s="165"/>
      <c r="AL728" s="166"/>
      <c r="AM728" s="167"/>
      <c r="AN728" s="168"/>
      <c r="AO728" s="168"/>
      <c r="AP728" s="163"/>
      <c r="AQ728" s="163"/>
      <c r="AR728" s="169"/>
      <c r="AS728" s="147">
        <f>SUM(AS727+AS715+AS707)</f>
        <v>0</v>
      </c>
      <c r="AT728" s="130">
        <f t="shared" ref="AT728:DD728" si="316">SUM(AT727+AT715+AT707)</f>
        <v>0</v>
      </c>
      <c r="AU728" s="130">
        <f t="shared" si="316"/>
        <v>0</v>
      </c>
      <c r="AV728" s="130">
        <f t="shared" si="316"/>
        <v>0</v>
      </c>
      <c r="AW728" s="130">
        <f t="shared" si="316"/>
        <v>1402250775</v>
      </c>
      <c r="AX728" s="130">
        <f t="shared" si="316"/>
        <v>0</v>
      </c>
      <c r="AY728" s="130">
        <f t="shared" si="316"/>
        <v>0</v>
      </c>
      <c r="AZ728" s="130">
        <f t="shared" si="316"/>
        <v>0</v>
      </c>
      <c r="BA728" s="130">
        <f t="shared" si="316"/>
        <v>0</v>
      </c>
      <c r="BB728" s="130">
        <f t="shared" si="316"/>
        <v>0</v>
      </c>
      <c r="BC728" s="130">
        <f t="shared" si="316"/>
        <v>0</v>
      </c>
      <c r="BD728" s="130">
        <f t="shared" si="316"/>
        <v>0</v>
      </c>
      <c r="BE728" s="130">
        <f t="shared" si="316"/>
        <v>0</v>
      </c>
      <c r="BF728" s="130">
        <f t="shared" si="316"/>
        <v>0</v>
      </c>
      <c r="BG728" s="130">
        <f t="shared" si="316"/>
        <v>0</v>
      </c>
      <c r="BH728" s="130">
        <f t="shared" si="316"/>
        <v>1402250775</v>
      </c>
      <c r="BI728" s="130">
        <f t="shared" si="316"/>
        <v>0</v>
      </c>
      <c r="BJ728" s="130">
        <f t="shared" si="316"/>
        <v>0</v>
      </c>
      <c r="BK728" s="130">
        <f t="shared" si="316"/>
        <v>0</v>
      </c>
      <c r="BL728" s="130">
        <f t="shared" si="316"/>
        <v>0</v>
      </c>
      <c r="BM728" s="130">
        <f t="shared" si="316"/>
        <v>1575785343</v>
      </c>
      <c r="BN728" s="130">
        <f t="shared" si="316"/>
        <v>0</v>
      </c>
      <c r="BO728" s="130">
        <f t="shared" si="316"/>
        <v>0</v>
      </c>
      <c r="BP728" s="130">
        <f t="shared" si="316"/>
        <v>0</v>
      </c>
      <c r="BQ728" s="130">
        <f t="shared" si="316"/>
        <v>0</v>
      </c>
      <c r="BR728" s="130">
        <f t="shared" si="316"/>
        <v>0</v>
      </c>
      <c r="BS728" s="130">
        <f t="shared" si="316"/>
        <v>0</v>
      </c>
      <c r="BT728" s="130">
        <f t="shared" si="316"/>
        <v>0</v>
      </c>
      <c r="BU728" s="130">
        <f t="shared" si="316"/>
        <v>0</v>
      </c>
      <c r="BV728" s="130">
        <f t="shared" si="316"/>
        <v>0</v>
      </c>
      <c r="BW728" s="130">
        <f t="shared" si="316"/>
        <v>0</v>
      </c>
      <c r="BX728" s="130">
        <f t="shared" si="316"/>
        <v>1575785343</v>
      </c>
      <c r="BY728" s="130">
        <f t="shared" si="316"/>
        <v>0</v>
      </c>
      <c r="BZ728" s="130">
        <f t="shared" si="316"/>
        <v>0</v>
      </c>
      <c r="CA728" s="130">
        <f t="shared" si="316"/>
        <v>0</v>
      </c>
      <c r="CB728" s="130">
        <f t="shared" si="316"/>
        <v>0</v>
      </c>
      <c r="CC728" s="130">
        <f t="shared" si="316"/>
        <v>1524812113</v>
      </c>
      <c r="CD728" s="130">
        <f t="shared" si="316"/>
        <v>0</v>
      </c>
      <c r="CE728" s="130">
        <f t="shared" si="316"/>
        <v>0</v>
      </c>
      <c r="CF728" s="130">
        <f t="shared" si="316"/>
        <v>0</v>
      </c>
      <c r="CG728" s="130">
        <f t="shared" si="316"/>
        <v>0</v>
      </c>
      <c r="CH728" s="130">
        <f t="shared" si="316"/>
        <v>0</v>
      </c>
      <c r="CI728" s="130">
        <f t="shared" si="316"/>
        <v>0</v>
      </c>
      <c r="CJ728" s="130">
        <f t="shared" si="316"/>
        <v>0</v>
      </c>
      <c r="CK728" s="130">
        <f t="shared" si="316"/>
        <v>0</v>
      </c>
      <c r="CL728" s="130">
        <f t="shared" si="316"/>
        <v>0</v>
      </c>
      <c r="CM728" s="130">
        <f t="shared" si="316"/>
        <v>0</v>
      </c>
      <c r="CN728" s="130">
        <f t="shared" si="316"/>
        <v>1524812113</v>
      </c>
      <c r="CO728" s="130">
        <f t="shared" si="316"/>
        <v>0</v>
      </c>
      <c r="CP728" s="130">
        <f t="shared" si="316"/>
        <v>0</v>
      </c>
      <c r="CQ728" s="130">
        <f t="shared" si="316"/>
        <v>0</v>
      </c>
      <c r="CR728" s="130">
        <f t="shared" si="316"/>
        <v>0</v>
      </c>
      <c r="CS728" s="130">
        <f t="shared" si="316"/>
        <v>1585804598</v>
      </c>
      <c r="CT728" s="130">
        <f t="shared" si="316"/>
        <v>0</v>
      </c>
      <c r="CU728" s="130">
        <f t="shared" si="316"/>
        <v>0</v>
      </c>
      <c r="CV728" s="130">
        <f t="shared" si="316"/>
        <v>0</v>
      </c>
      <c r="CW728" s="130">
        <f t="shared" si="316"/>
        <v>0</v>
      </c>
      <c r="CX728" s="130">
        <f t="shared" si="316"/>
        <v>0</v>
      </c>
      <c r="CY728" s="130">
        <f t="shared" si="316"/>
        <v>0</v>
      </c>
      <c r="CZ728" s="130">
        <f t="shared" si="316"/>
        <v>0</v>
      </c>
      <c r="DA728" s="130">
        <f t="shared" si="316"/>
        <v>0</v>
      </c>
      <c r="DB728" s="130">
        <f t="shared" si="316"/>
        <v>0</v>
      </c>
      <c r="DC728" s="130">
        <f t="shared" si="316"/>
        <v>11350000000</v>
      </c>
      <c r="DD728" s="130">
        <f t="shared" si="316"/>
        <v>12935804598</v>
      </c>
      <c r="DE728" s="130">
        <f>SUM(DE727+DE715+DE707)</f>
        <v>17438652829</v>
      </c>
    </row>
    <row r="729" spans="1:110" s="98" customFormat="1" ht="119.1" customHeight="1">
      <c r="A729" s="103" t="s">
        <v>1245</v>
      </c>
      <c r="B729" s="103" t="s">
        <v>3614</v>
      </c>
      <c r="C729" s="103" t="s">
        <v>1738</v>
      </c>
      <c r="D729" s="103">
        <v>62</v>
      </c>
      <c r="E729" s="103" t="s">
        <v>1739</v>
      </c>
      <c r="F729" s="278" t="s">
        <v>77</v>
      </c>
      <c r="G729" s="296" t="s">
        <v>3228</v>
      </c>
      <c r="H729" s="103">
        <v>72</v>
      </c>
      <c r="I729" s="103" t="s">
        <v>78</v>
      </c>
      <c r="J729" s="103" t="s">
        <v>677</v>
      </c>
      <c r="K729" s="103">
        <v>49.63</v>
      </c>
      <c r="L729" s="103" t="s">
        <v>1740</v>
      </c>
      <c r="M729" s="103" t="s">
        <v>1741</v>
      </c>
      <c r="N729" s="103" t="s">
        <v>1742</v>
      </c>
      <c r="O729" s="103" t="s">
        <v>1743</v>
      </c>
      <c r="P729" s="283">
        <v>648</v>
      </c>
      <c r="Q729" s="103" t="s">
        <v>3667</v>
      </c>
      <c r="R729" s="103" t="s">
        <v>80</v>
      </c>
      <c r="S729" s="103" t="s">
        <v>683</v>
      </c>
      <c r="T729" s="103">
        <v>160</v>
      </c>
      <c r="U729" s="267"/>
      <c r="V729" s="267"/>
      <c r="W729" s="224">
        <v>0</v>
      </c>
      <c r="X729" s="267">
        <v>4</v>
      </c>
      <c r="Y729" s="267">
        <v>14</v>
      </c>
      <c r="Z729" s="267">
        <v>14</v>
      </c>
      <c r="AA729" s="267">
        <v>8</v>
      </c>
      <c r="AB729" s="224">
        <v>40</v>
      </c>
      <c r="AC729" s="267">
        <v>4</v>
      </c>
      <c r="AD729" s="267">
        <v>14</v>
      </c>
      <c r="AE729" s="267">
        <v>14</v>
      </c>
      <c r="AF729" s="267">
        <v>8</v>
      </c>
      <c r="AG729" s="224">
        <v>40</v>
      </c>
      <c r="AH729" s="267">
        <v>4</v>
      </c>
      <c r="AI729" s="267">
        <v>14</v>
      </c>
      <c r="AJ729" s="267">
        <v>14</v>
      </c>
      <c r="AK729" s="267">
        <v>8</v>
      </c>
      <c r="AL729" s="224">
        <v>40</v>
      </c>
      <c r="AM729" s="102">
        <v>120</v>
      </c>
      <c r="AN729" s="103" t="s">
        <v>685</v>
      </c>
      <c r="AO729" s="103" t="s">
        <v>623</v>
      </c>
      <c r="AP729" s="103" t="s">
        <v>1215</v>
      </c>
      <c r="AQ729" s="103" t="s">
        <v>1196</v>
      </c>
      <c r="AR729" s="103" t="s">
        <v>941</v>
      </c>
      <c r="AS729" s="268"/>
      <c r="AT729" s="268"/>
      <c r="AU729" s="268"/>
      <c r="AV729" s="268"/>
      <c r="AW729" s="268"/>
      <c r="AX729" s="268"/>
      <c r="AY729" s="268"/>
      <c r="AZ729" s="268"/>
      <c r="BA729" s="268"/>
      <c r="BB729" s="268"/>
      <c r="BC729" s="268"/>
      <c r="BD729" s="268"/>
      <c r="BE729" s="268"/>
      <c r="BF729" s="268"/>
      <c r="BG729" s="268"/>
      <c r="BH729" s="234">
        <f t="shared" ref="BH729:BH741" si="317">IF(W729=0,0,BG729+BF729+BE729+BD729+BC729+BB729+BA729+AZ729+AY729+AX729+AW729+AV729+AU729+AT729+AS729)</f>
        <v>0</v>
      </c>
      <c r="BI729" s="268"/>
      <c r="BJ729" s="268"/>
      <c r="BK729" s="268"/>
      <c r="BL729" s="268"/>
      <c r="BM729" s="268">
        <v>400000</v>
      </c>
      <c r="BN729" s="268"/>
      <c r="BO729" s="268"/>
      <c r="BP729" s="268"/>
      <c r="BQ729" s="268"/>
      <c r="BR729" s="268"/>
      <c r="BS729" s="268"/>
      <c r="BT729" s="268"/>
      <c r="BU729" s="268"/>
      <c r="BV729" s="268"/>
      <c r="BW729" s="268"/>
      <c r="BX729" s="234">
        <f t="shared" ref="BX729:BX741" si="318">IF(AB729=0,0,BI729+BJ729+BK729+BL729+BM729+BN729+BO729+BP729+BQ729+BR729+BS729+BT729+BU729+BV729+BW729)</f>
        <v>400000</v>
      </c>
      <c r="BY729" s="268"/>
      <c r="BZ729" s="268"/>
      <c r="CA729" s="268"/>
      <c r="CB729" s="268"/>
      <c r="CC729" s="268">
        <v>550000</v>
      </c>
      <c r="CD729" s="268"/>
      <c r="CE729" s="268"/>
      <c r="CF729" s="268"/>
      <c r="CG729" s="268"/>
      <c r="CH729" s="268"/>
      <c r="CI729" s="268"/>
      <c r="CJ729" s="268"/>
      <c r="CK729" s="268"/>
      <c r="CL729" s="268"/>
      <c r="CM729" s="268"/>
      <c r="CN729" s="234">
        <f t="shared" ref="CN729:CN741" si="319">IF(AG729=0,0,(BY729+BZ729+CA729+CB729+CC729+CD729+CE729+CF729+CG729+CH729+CI729+CJ729+CK729+CL729+CM729))</f>
        <v>550000</v>
      </c>
      <c r="CO729" s="268"/>
      <c r="CP729" s="268"/>
      <c r="CQ729" s="268"/>
      <c r="CR729" s="268"/>
      <c r="CS729" s="268">
        <v>700000</v>
      </c>
      <c r="CT729" s="268"/>
      <c r="CU729" s="268"/>
      <c r="CV729" s="268"/>
      <c r="CW729" s="268"/>
      <c r="CX729" s="268"/>
      <c r="CY729" s="268"/>
      <c r="CZ729" s="268"/>
      <c r="DA729" s="268"/>
      <c r="DB729" s="268"/>
      <c r="DC729" s="268"/>
      <c r="DD729" s="234">
        <f t="shared" ref="DD729:DD741" si="320">IF(AL729=0,0,(CO729+CP729+CQ729+CR729+CS729+CT729+CU729+CV729+CW729+CX729+CY729+CZ729+DA729+DB729+DC729))</f>
        <v>700000</v>
      </c>
      <c r="DE729" s="243">
        <f t="shared" ref="DE729:DE735" si="321">SUM(DD729+CN729+BX729+BH729)</f>
        <v>1650000</v>
      </c>
    </row>
    <row r="730" spans="1:110" s="98" customFormat="1" ht="119.1" customHeight="1">
      <c r="A730" s="103" t="s">
        <v>1245</v>
      </c>
      <c r="B730" s="279" t="s">
        <v>3614</v>
      </c>
      <c r="C730" s="279" t="s">
        <v>1738</v>
      </c>
      <c r="D730" s="279">
        <v>62</v>
      </c>
      <c r="E730" s="279" t="s">
        <v>1739</v>
      </c>
      <c r="F730" s="280" t="s">
        <v>77</v>
      </c>
      <c r="G730" s="297" t="s">
        <v>3228</v>
      </c>
      <c r="H730" s="279">
        <v>72</v>
      </c>
      <c r="I730" s="279" t="s">
        <v>78</v>
      </c>
      <c r="J730" s="279" t="s">
        <v>677</v>
      </c>
      <c r="K730" s="279">
        <v>49.63</v>
      </c>
      <c r="L730" s="279" t="s">
        <v>1740</v>
      </c>
      <c r="M730" s="279" t="s">
        <v>1741</v>
      </c>
      <c r="N730" s="279" t="s">
        <v>1742</v>
      </c>
      <c r="O730" s="279" t="s">
        <v>1743</v>
      </c>
      <c r="P730" s="283">
        <v>649</v>
      </c>
      <c r="Q730" s="279" t="s">
        <v>2756</v>
      </c>
      <c r="R730" s="279" t="s">
        <v>82</v>
      </c>
      <c r="S730" s="279" t="s">
        <v>683</v>
      </c>
      <c r="T730" s="279">
        <v>80</v>
      </c>
      <c r="U730" s="267"/>
      <c r="V730" s="267"/>
      <c r="W730" s="224">
        <v>0</v>
      </c>
      <c r="X730" s="267">
        <v>2</v>
      </c>
      <c r="Y730" s="267">
        <v>5</v>
      </c>
      <c r="Z730" s="267">
        <v>5</v>
      </c>
      <c r="AA730" s="267">
        <v>4</v>
      </c>
      <c r="AB730" s="224">
        <v>16</v>
      </c>
      <c r="AC730" s="267">
        <v>2</v>
      </c>
      <c r="AD730" s="267">
        <v>5</v>
      </c>
      <c r="AE730" s="267">
        <v>5</v>
      </c>
      <c r="AF730" s="267">
        <v>4</v>
      </c>
      <c r="AG730" s="224">
        <v>16</v>
      </c>
      <c r="AH730" s="267">
        <v>2</v>
      </c>
      <c r="AI730" s="267">
        <v>5</v>
      </c>
      <c r="AJ730" s="267">
        <v>5</v>
      </c>
      <c r="AK730" s="267">
        <v>4</v>
      </c>
      <c r="AL730" s="224">
        <v>16</v>
      </c>
      <c r="AM730" s="104">
        <v>48</v>
      </c>
      <c r="AN730" s="103" t="s">
        <v>685</v>
      </c>
      <c r="AO730" s="103" t="s">
        <v>623</v>
      </c>
      <c r="AP730" s="103" t="s">
        <v>1215</v>
      </c>
      <c r="AQ730" s="103" t="s">
        <v>1196</v>
      </c>
      <c r="AR730" s="103" t="s">
        <v>941</v>
      </c>
      <c r="AS730" s="271"/>
      <c r="AT730" s="271"/>
      <c r="AU730" s="271"/>
      <c r="AV730" s="271"/>
      <c r="AW730" s="271"/>
      <c r="AX730" s="271"/>
      <c r="AY730" s="271"/>
      <c r="AZ730" s="271"/>
      <c r="BA730" s="271"/>
      <c r="BB730" s="271"/>
      <c r="BC730" s="271"/>
      <c r="BD730" s="271"/>
      <c r="BE730" s="271"/>
      <c r="BF730" s="271"/>
      <c r="BG730" s="271"/>
      <c r="BH730" s="235">
        <f t="shared" si="317"/>
        <v>0</v>
      </c>
      <c r="BI730" s="271"/>
      <c r="BJ730" s="271"/>
      <c r="BK730" s="271"/>
      <c r="BL730" s="271"/>
      <c r="BM730" s="271">
        <v>400000</v>
      </c>
      <c r="BN730" s="271"/>
      <c r="BO730" s="271"/>
      <c r="BP730" s="271"/>
      <c r="BQ730" s="271"/>
      <c r="BR730" s="271"/>
      <c r="BS730" s="271"/>
      <c r="BT730" s="271"/>
      <c r="BU730" s="271"/>
      <c r="BV730" s="271"/>
      <c r="BW730" s="271"/>
      <c r="BX730" s="235">
        <f t="shared" si="318"/>
        <v>400000</v>
      </c>
      <c r="BY730" s="271"/>
      <c r="BZ730" s="271"/>
      <c r="CA730" s="271"/>
      <c r="CB730" s="271"/>
      <c r="CC730" s="271">
        <v>550000</v>
      </c>
      <c r="CD730" s="271"/>
      <c r="CE730" s="271"/>
      <c r="CF730" s="271"/>
      <c r="CG730" s="271"/>
      <c r="CH730" s="271"/>
      <c r="CI730" s="271"/>
      <c r="CJ730" s="271"/>
      <c r="CK730" s="271"/>
      <c r="CL730" s="271"/>
      <c r="CM730" s="271"/>
      <c r="CN730" s="235">
        <f t="shared" si="319"/>
        <v>550000</v>
      </c>
      <c r="CO730" s="271"/>
      <c r="CP730" s="271"/>
      <c r="CQ730" s="271"/>
      <c r="CR730" s="271"/>
      <c r="CS730" s="271">
        <v>700000</v>
      </c>
      <c r="CT730" s="271"/>
      <c r="CU730" s="271"/>
      <c r="CV730" s="271"/>
      <c r="CW730" s="271"/>
      <c r="CX730" s="271"/>
      <c r="CY730" s="271"/>
      <c r="CZ730" s="271"/>
      <c r="DA730" s="271"/>
      <c r="DB730" s="271"/>
      <c r="DC730" s="271"/>
      <c r="DD730" s="234">
        <f t="shared" si="320"/>
        <v>700000</v>
      </c>
      <c r="DE730" s="244">
        <f t="shared" si="321"/>
        <v>1650000</v>
      </c>
    </row>
    <row r="731" spans="1:110" s="98" customFormat="1" ht="119.1" customHeight="1">
      <c r="A731" s="103" t="s">
        <v>1245</v>
      </c>
      <c r="B731" s="279" t="s">
        <v>3614</v>
      </c>
      <c r="C731" s="279" t="s">
        <v>1738</v>
      </c>
      <c r="D731" s="279">
        <v>62</v>
      </c>
      <c r="E731" s="279" t="s">
        <v>1739</v>
      </c>
      <c r="F731" s="280" t="s">
        <v>77</v>
      </c>
      <c r="G731" s="297" t="s">
        <v>3228</v>
      </c>
      <c r="H731" s="279">
        <v>72</v>
      </c>
      <c r="I731" s="279" t="s">
        <v>78</v>
      </c>
      <c r="J731" s="279" t="s">
        <v>677</v>
      </c>
      <c r="K731" s="279">
        <v>49.63</v>
      </c>
      <c r="L731" s="279" t="s">
        <v>1740</v>
      </c>
      <c r="M731" s="279" t="s">
        <v>1741</v>
      </c>
      <c r="N731" s="279" t="s">
        <v>1742</v>
      </c>
      <c r="O731" s="279" t="s">
        <v>1743</v>
      </c>
      <c r="P731" s="283">
        <v>650</v>
      </c>
      <c r="Q731" s="279" t="s">
        <v>2757</v>
      </c>
      <c r="R731" s="279" t="s">
        <v>83</v>
      </c>
      <c r="S731" s="279" t="s">
        <v>683</v>
      </c>
      <c r="T731" s="279">
        <v>0</v>
      </c>
      <c r="U731" s="267"/>
      <c r="V731" s="267">
        <v>2</v>
      </c>
      <c r="W731" s="224">
        <v>2</v>
      </c>
      <c r="X731" s="267">
        <v>2</v>
      </c>
      <c r="Y731" s="267">
        <v>5</v>
      </c>
      <c r="Z731" s="267">
        <v>5</v>
      </c>
      <c r="AA731" s="267">
        <v>2</v>
      </c>
      <c r="AB731" s="224">
        <v>14</v>
      </c>
      <c r="AC731" s="267">
        <v>2</v>
      </c>
      <c r="AD731" s="267">
        <v>5</v>
      </c>
      <c r="AE731" s="267">
        <v>5</v>
      </c>
      <c r="AF731" s="267">
        <v>4</v>
      </c>
      <c r="AG731" s="224">
        <v>16</v>
      </c>
      <c r="AH731" s="267">
        <v>2</v>
      </c>
      <c r="AI731" s="267">
        <v>5</v>
      </c>
      <c r="AJ731" s="267">
        <v>5</v>
      </c>
      <c r="AK731" s="267">
        <v>4</v>
      </c>
      <c r="AL731" s="224">
        <v>16</v>
      </c>
      <c r="AM731" s="104">
        <v>48</v>
      </c>
      <c r="AN731" s="103" t="s">
        <v>685</v>
      </c>
      <c r="AO731" s="103" t="s">
        <v>623</v>
      </c>
      <c r="AP731" s="103" t="s">
        <v>1215</v>
      </c>
      <c r="AQ731" s="103" t="s">
        <v>1196</v>
      </c>
      <c r="AR731" s="103" t="s">
        <v>941</v>
      </c>
      <c r="AS731" s="271"/>
      <c r="AT731" s="271"/>
      <c r="AU731" s="271"/>
      <c r="AV731" s="271"/>
      <c r="AW731" s="271">
        <v>2345103</v>
      </c>
      <c r="AX731" s="271"/>
      <c r="AY731" s="271"/>
      <c r="AZ731" s="271"/>
      <c r="BA731" s="271"/>
      <c r="BB731" s="271"/>
      <c r="BC731" s="271"/>
      <c r="BD731" s="271"/>
      <c r="BE731" s="271"/>
      <c r="BF731" s="271"/>
      <c r="BG731" s="271"/>
      <c r="BH731" s="235">
        <f t="shared" si="317"/>
        <v>2345103</v>
      </c>
      <c r="BI731" s="271"/>
      <c r="BJ731" s="271"/>
      <c r="BK731" s="271"/>
      <c r="BL731" s="271"/>
      <c r="BM731" s="271">
        <v>400000</v>
      </c>
      <c r="BN731" s="271"/>
      <c r="BO731" s="271"/>
      <c r="BP731" s="271"/>
      <c r="BQ731" s="271"/>
      <c r="BR731" s="271"/>
      <c r="BS731" s="271"/>
      <c r="BT731" s="271"/>
      <c r="BU731" s="271"/>
      <c r="BV731" s="271"/>
      <c r="BW731" s="271"/>
      <c r="BX731" s="235">
        <f t="shared" si="318"/>
        <v>400000</v>
      </c>
      <c r="BY731" s="271"/>
      <c r="BZ731" s="271"/>
      <c r="CA731" s="271"/>
      <c r="CB731" s="271"/>
      <c r="CC731" s="271">
        <v>550000</v>
      </c>
      <c r="CD731" s="271"/>
      <c r="CE731" s="271"/>
      <c r="CF731" s="271"/>
      <c r="CG731" s="271"/>
      <c r="CH731" s="271"/>
      <c r="CI731" s="271"/>
      <c r="CJ731" s="271"/>
      <c r="CK731" s="271"/>
      <c r="CL731" s="271"/>
      <c r="CM731" s="271"/>
      <c r="CN731" s="235">
        <f t="shared" si="319"/>
        <v>550000</v>
      </c>
      <c r="CO731" s="271"/>
      <c r="CP731" s="271"/>
      <c r="CQ731" s="271"/>
      <c r="CR731" s="271"/>
      <c r="CS731" s="271">
        <v>700000</v>
      </c>
      <c r="CT731" s="271"/>
      <c r="CU731" s="271"/>
      <c r="CV731" s="271"/>
      <c r="CW731" s="271"/>
      <c r="CX731" s="271"/>
      <c r="CY731" s="271"/>
      <c r="CZ731" s="271"/>
      <c r="DA731" s="271"/>
      <c r="DB731" s="271"/>
      <c r="DC731" s="271"/>
      <c r="DD731" s="234">
        <f t="shared" si="320"/>
        <v>700000</v>
      </c>
      <c r="DE731" s="244">
        <f t="shared" si="321"/>
        <v>3995103</v>
      </c>
    </row>
    <row r="732" spans="1:110" s="98" customFormat="1" ht="119.1" customHeight="1">
      <c r="A732" s="103" t="s">
        <v>1245</v>
      </c>
      <c r="B732" s="279" t="s">
        <v>3614</v>
      </c>
      <c r="C732" s="279" t="s">
        <v>1738</v>
      </c>
      <c r="D732" s="279">
        <v>62</v>
      </c>
      <c r="E732" s="279" t="s">
        <v>1739</v>
      </c>
      <c r="F732" s="280" t="s">
        <v>77</v>
      </c>
      <c r="G732" s="297" t="s">
        <v>3228</v>
      </c>
      <c r="H732" s="279">
        <v>72</v>
      </c>
      <c r="I732" s="279" t="s">
        <v>78</v>
      </c>
      <c r="J732" s="279" t="s">
        <v>677</v>
      </c>
      <c r="K732" s="279">
        <v>49.63</v>
      </c>
      <c r="L732" s="279" t="s">
        <v>1740</v>
      </c>
      <c r="M732" s="279" t="s">
        <v>1741</v>
      </c>
      <c r="N732" s="279" t="s">
        <v>1742</v>
      </c>
      <c r="O732" s="279" t="s">
        <v>1743</v>
      </c>
      <c r="P732" s="283">
        <v>651</v>
      </c>
      <c r="Q732" s="279" t="s">
        <v>2758</v>
      </c>
      <c r="R732" s="279" t="s">
        <v>84</v>
      </c>
      <c r="S732" s="279" t="s">
        <v>683</v>
      </c>
      <c r="T732" s="279">
        <v>0</v>
      </c>
      <c r="U732" s="267"/>
      <c r="V732" s="267">
        <v>1</v>
      </c>
      <c r="W732" s="224">
        <v>1</v>
      </c>
      <c r="X732" s="267"/>
      <c r="Y732" s="267">
        <v>0.5</v>
      </c>
      <c r="Z732" s="267">
        <v>0.5</v>
      </c>
      <c r="AA732" s="267"/>
      <c r="AB732" s="224">
        <v>1</v>
      </c>
      <c r="AC732" s="267"/>
      <c r="AD732" s="267">
        <v>0.5</v>
      </c>
      <c r="AE732" s="267">
        <v>0.5</v>
      </c>
      <c r="AF732" s="267"/>
      <c r="AG732" s="224">
        <v>1</v>
      </c>
      <c r="AH732" s="267"/>
      <c r="AI732" s="267"/>
      <c r="AJ732" s="267"/>
      <c r="AK732" s="267"/>
      <c r="AL732" s="224">
        <v>0</v>
      </c>
      <c r="AM732" s="104">
        <v>3</v>
      </c>
      <c r="AN732" s="103" t="s">
        <v>685</v>
      </c>
      <c r="AO732" s="103" t="s">
        <v>623</v>
      </c>
      <c r="AP732" s="103" t="s">
        <v>1215</v>
      </c>
      <c r="AQ732" s="103" t="s">
        <v>1196</v>
      </c>
      <c r="AR732" s="103" t="s">
        <v>941</v>
      </c>
      <c r="AS732" s="271"/>
      <c r="AT732" s="271"/>
      <c r="AU732" s="271"/>
      <c r="AV732" s="271"/>
      <c r="AW732" s="271">
        <v>1000000</v>
      </c>
      <c r="AX732" s="271"/>
      <c r="AY732" s="271"/>
      <c r="AZ732" s="271"/>
      <c r="BA732" s="271"/>
      <c r="BB732" s="271"/>
      <c r="BC732" s="271"/>
      <c r="BD732" s="271"/>
      <c r="BE732" s="271"/>
      <c r="BF732" s="271"/>
      <c r="BG732" s="271"/>
      <c r="BH732" s="235">
        <f t="shared" si="317"/>
        <v>1000000</v>
      </c>
      <c r="BI732" s="271"/>
      <c r="BJ732" s="271"/>
      <c r="BK732" s="271"/>
      <c r="BL732" s="271"/>
      <c r="BM732" s="271">
        <v>400000</v>
      </c>
      <c r="BN732" s="271"/>
      <c r="BO732" s="271"/>
      <c r="BP732" s="271"/>
      <c r="BQ732" s="271"/>
      <c r="BR732" s="271"/>
      <c r="BS732" s="271"/>
      <c r="BT732" s="271"/>
      <c r="BU732" s="271"/>
      <c r="BV732" s="271"/>
      <c r="BW732" s="271"/>
      <c r="BX732" s="235">
        <f t="shared" si="318"/>
        <v>400000</v>
      </c>
      <c r="BY732" s="271"/>
      <c r="BZ732" s="271"/>
      <c r="CA732" s="271"/>
      <c r="CB732" s="271"/>
      <c r="CC732" s="271">
        <v>550000</v>
      </c>
      <c r="CD732" s="271"/>
      <c r="CE732" s="271"/>
      <c r="CF732" s="271"/>
      <c r="CG732" s="271"/>
      <c r="CH732" s="271"/>
      <c r="CI732" s="271"/>
      <c r="CJ732" s="271"/>
      <c r="CK732" s="271"/>
      <c r="CL732" s="271"/>
      <c r="CM732" s="271"/>
      <c r="CN732" s="235">
        <f t="shared" si="319"/>
        <v>550000</v>
      </c>
      <c r="CO732" s="271"/>
      <c r="CP732" s="271"/>
      <c r="CQ732" s="271"/>
      <c r="CR732" s="271"/>
      <c r="CS732" s="271"/>
      <c r="CT732" s="271"/>
      <c r="CU732" s="271"/>
      <c r="CV732" s="271"/>
      <c r="CW732" s="271"/>
      <c r="CX732" s="271"/>
      <c r="CY732" s="271"/>
      <c r="CZ732" s="271"/>
      <c r="DA732" s="271"/>
      <c r="DB732" s="271"/>
      <c r="DC732" s="271"/>
      <c r="DD732" s="234">
        <f t="shared" si="320"/>
        <v>0</v>
      </c>
      <c r="DE732" s="244">
        <f t="shared" si="321"/>
        <v>1950000</v>
      </c>
    </row>
    <row r="733" spans="1:110" s="98" customFormat="1" ht="119.1" customHeight="1">
      <c r="A733" s="103" t="s">
        <v>1245</v>
      </c>
      <c r="B733" s="279" t="s">
        <v>3614</v>
      </c>
      <c r="C733" s="279" t="s">
        <v>1738</v>
      </c>
      <c r="D733" s="279">
        <v>62</v>
      </c>
      <c r="E733" s="279" t="s">
        <v>1739</v>
      </c>
      <c r="F733" s="280" t="s">
        <v>77</v>
      </c>
      <c r="G733" s="297" t="s">
        <v>3228</v>
      </c>
      <c r="H733" s="279">
        <v>72</v>
      </c>
      <c r="I733" s="279" t="s">
        <v>78</v>
      </c>
      <c r="J733" s="279" t="s">
        <v>677</v>
      </c>
      <c r="K733" s="279">
        <v>49.63</v>
      </c>
      <c r="L733" s="279" t="s">
        <v>1740</v>
      </c>
      <c r="M733" s="279" t="s">
        <v>1741</v>
      </c>
      <c r="N733" s="279" t="s">
        <v>1742</v>
      </c>
      <c r="O733" s="279" t="s">
        <v>1743</v>
      </c>
      <c r="P733" s="283">
        <v>652</v>
      </c>
      <c r="Q733" s="279" t="s">
        <v>3668</v>
      </c>
      <c r="R733" s="279" t="s">
        <v>88</v>
      </c>
      <c r="S733" s="279" t="s">
        <v>683</v>
      </c>
      <c r="T733" s="279">
        <v>0</v>
      </c>
      <c r="U733" s="267"/>
      <c r="V733" s="267"/>
      <c r="W733" s="224">
        <v>0</v>
      </c>
      <c r="X733" s="267"/>
      <c r="Y733" s="267">
        <v>1</v>
      </c>
      <c r="Z733" s="267"/>
      <c r="AA733" s="267">
        <v>1</v>
      </c>
      <c r="AB733" s="224">
        <v>2</v>
      </c>
      <c r="AC733" s="267"/>
      <c r="AD733" s="267">
        <v>1</v>
      </c>
      <c r="AE733" s="267"/>
      <c r="AF733" s="267">
        <v>1</v>
      </c>
      <c r="AG733" s="224">
        <v>2</v>
      </c>
      <c r="AH733" s="267"/>
      <c r="AI733" s="267">
        <v>1</v>
      </c>
      <c r="AJ733" s="267"/>
      <c r="AK733" s="267">
        <v>1</v>
      </c>
      <c r="AL733" s="224">
        <v>2</v>
      </c>
      <c r="AM733" s="104">
        <v>6</v>
      </c>
      <c r="AN733" s="103" t="s">
        <v>685</v>
      </c>
      <c r="AO733" s="103" t="s">
        <v>623</v>
      </c>
      <c r="AP733" s="103" t="s">
        <v>1215</v>
      </c>
      <c r="AQ733" s="103" t="s">
        <v>1196</v>
      </c>
      <c r="AR733" s="103" t="s">
        <v>941</v>
      </c>
      <c r="AS733" s="271"/>
      <c r="AT733" s="271"/>
      <c r="AU733" s="271"/>
      <c r="AV733" s="271"/>
      <c r="AW733" s="271"/>
      <c r="AX733" s="271"/>
      <c r="AY733" s="271"/>
      <c r="AZ733" s="271"/>
      <c r="BA733" s="271"/>
      <c r="BB733" s="271"/>
      <c r="BC733" s="271"/>
      <c r="BD733" s="271"/>
      <c r="BE733" s="271"/>
      <c r="BF733" s="271"/>
      <c r="BG733" s="271"/>
      <c r="BH733" s="235">
        <f t="shared" si="317"/>
        <v>0</v>
      </c>
      <c r="BI733" s="271"/>
      <c r="BJ733" s="271"/>
      <c r="BK733" s="271"/>
      <c r="BL733" s="271"/>
      <c r="BM733" s="271">
        <v>1350000</v>
      </c>
      <c r="BN733" s="271"/>
      <c r="BO733" s="271"/>
      <c r="BP733" s="271"/>
      <c r="BQ733" s="271"/>
      <c r="BR733" s="271"/>
      <c r="BS733" s="271"/>
      <c r="BT733" s="271"/>
      <c r="BU733" s="271"/>
      <c r="BV733" s="271"/>
      <c r="BW733" s="271"/>
      <c r="BX733" s="235">
        <f t="shared" si="318"/>
        <v>1350000</v>
      </c>
      <c r="BY733" s="271"/>
      <c r="BZ733" s="271"/>
      <c r="CA733" s="271"/>
      <c r="CB733" s="271"/>
      <c r="CC733" s="271">
        <v>1600000</v>
      </c>
      <c r="CD733" s="271"/>
      <c r="CE733" s="271"/>
      <c r="CF733" s="271"/>
      <c r="CG733" s="271"/>
      <c r="CH733" s="271"/>
      <c r="CI733" s="271"/>
      <c r="CJ733" s="271"/>
      <c r="CK733" s="271"/>
      <c r="CL733" s="271"/>
      <c r="CM733" s="271"/>
      <c r="CN733" s="235">
        <f t="shared" si="319"/>
        <v>1600000</v>
      </c>
      <c r="CO733" s="271"/>
      <c r="CP733" s="271"/>
      <c r="CQ733" s="271"/>
      <c r="CR733" s="271"/>
      <c r="CS733" s="271">
        <v>2000000</v>
      </c>
      <c r="CT733" s="271"/>
      <c r="CU733" s="271"/>
      <c r="CV733" s="271"/>
      <c r="CW733" s="271"/>
      <c r="CX733" s="271"/>
      <c r="CY733" s="271"/>
      <c r="CZ733" s="271"/>
      <c r="DA733" s="271"/>
      <c r="DB733" s="271"/>
      <c r="DC733" s="271"/>
      <c r="DD733" s="234">
        <f t="shared" si="320"/>
        <v>2000000</v>
      </c>
      <c r="DE733" s="244">
        <f t="shared" si="321"/>
        <v>4950000</v>
      </c>
    </row>
    <row r="734" spans="1:110" s="98" customFormat="1" ht="119.1" customHeight="1">
      <c r="A734" s="103" t="s">
        <v>1245</v>
      </c>
      <c r="B734" s="279" t="s">
        <v>3614</v>
      </c>
      <c r="C734" s="279" t="s">
        <v>1738</v>
      </c>
      <c r="D734" s="279">
        <v>62</v>
      </c>
      <c r="E734" s="279" t="s">
        <v>1739</v>
      </c>
      <c r="F734" s="280" t="s">
        <v>77</v>
      </c>
      <c r="G734" s="297" t="s">
        <v>3228</v>
      </c>
      <c r="H734" s="279">
        <v>72</v>
      </c>
      <c r="I734" s="279" t="s">
        <v>78</v>
      </c>
      <c r="J734" s="279" t="s">
        <v>677</v>
      </c>
      <c r="K734" s="279">
        <v>49.63</v>
      </c>
      <c r="L734" s="279" t="s">
        <v>1740</v>
      </c>
      <c r="M734" s="279" t="s">
        <v>1741</v>
      </c>
      <c r="N734" s="279" t="s">
        <v>1742</v>
      </c>
      <c r="O734" s="279" t="s">
        <v>1743</v>
      </c>
      <c r="P734" s="283">
        <v>653</v>
      </c>
      <c r="Q734" s="279" t="s">
        <v>3669</v>
      </c>
      <c r="R734" s="279" t="s">
        <v>1744</v>
      </c>
      <c r="S734" s="279" t="s">
        <v>683</v>
      </c>
      <c r="T734" s="279">
        <v>0</v>
      </c>
      <c r="U734" s="267"/>
      <c r="V734" s="267">
        <v>2</v>
      </c>
      <c r="W734" s="224">
        <v>2</v>
      </c>
      <c r="X734" s="267"/>
      <c r="Y734" s="267">
        <v>1</v>
      </c>
      <c r="Z734" s="267"/>
      <c r="AA734" s="267">
        <v>1</v>
      </c>
      <c r="AB734" s="224">
        <v>2</v>
      </c>
      <c r="AC734" s="267"/>
      <c r="AD734" s="267">
        <v>1</v>
      </c>
      <c r="AE734" s="267"/>
      <c r="AF734" s="267">
        <v>1</v>
      </c>
      <c r="AG734" s="224">
        <v>2</v>
      </c>
      <c r="AH734" s="267"/>
      <c r="AI734" s="267">
        <v>1</v>
      </c>
      <c r="AJ734" s="267"/>
      <c r="AK734" s="267">
        <v>1</v>
      </c>
      <c r="AL734" s="224">
        <v>2</v>
      </c>
      <c r="AM734" s="104">
        <v>8</v>
      </c>
      <c r="AN734" s="103" t="s">
        <v>685</v>
      </c>
      <c r="AO734" s="103" t="s">
        <v>623</v>
      </c>
      <c r="AP734" s="103" t="s">
        <v>1215</v>
      </c>
      <c r="AQ734" s="103" t="s">
        <v>1196</v>
      </c>
      <c r="AR734" s="103" t="s">
        <v>941</v>
      </c>
      <c r="AS734" s="271"/>
      <c r="AT734" s="271"/>
      <c r="AU734" s="271"/>
      <c r="AV734" s="271"/>
      <c r="AW734" s="271">
        <v>4000000</v>
      </c>
      <c r="AX734" s="271"/>
      <c r="AY734" s="271"/>
      <c r="AZ734" s="271"/>
      <c r="BA734" s="271"/>
      <c r="BB734" s="271"/>
      <c r="BC734" s="271"/>
      <c r="BD734" s="271"/>
      <c r="BE734" s="271"/>
      <c r="BF734" s="271"/>
      <c r="BG734" s="271"/>
      <c r="BH734" s="235">
        <f t="shared" si="317"/>
        <v>4000000</v>
      </c>
      <c r="BI734" s="271"/>
      <c r="BJ734" s="271"/>
      <c r="BK734" s="271"/>
      <c r="BL734" s="271"/>
      <c r="BM734" s="271">
        <v>1350000</v>
      </c>
      <c r="BN734" s="271"/>
      <c r="BO734" s="271"/>
      <c r="BP734" s="271"/>
      <c r="BQ734" s="271"/>
      <c r="BR734" s="271"/>
      <c r="BS734" s="271"/>
      <c r="BT734" s="271"/>
      <c r="BU734" s="271"/>
      <c r="BV734" s="271"/>
      <c r="BW734" s="271"/>
      <c r="BX734" s="235">
        <f t="shared" si="318"/>
        <v>1350000</v>
      </c>
      <c r="BY734" s="271"/>
      <c r="BZ734" s="271"/>
      <c r="CA734" s="271"/>
      <c r="CB734" s="271"/>
      <c r="CC734" s="271">
        <v>1600000</v>
      </c>
      <c r="CD734" s="271"/>
      <c r="CE734" s="271"/>
      <c r="CF734" s="271"/>
      <c r="CG734" s="271"/>
      <c r="CH734" s="271"/>
      <c r="CI734" s="271"/>
      <c r="CJ734" s="271"/>
      <c r="CK734" s="271"/>
      <c r="CL734" s="271"/>
      <c r="CM734" s="271"/>
      <c r="CN734" s="235">
        <f t="shared" si="319"/>
        <v>1600000</v>
      </c>
      <c r="CO734" s="271"/>
      <c r="CP734" s="271"/>
      <c r="CQ734" s="271"/>
      <c r="CR734" s="271"/>
      <c r="CS734" s="271">
        <v>2000000</v>
      </c>
      <c r="CT734" s="271"/>
      <c r="CU734" s="271"/>
      <c r="CV734" s="271"/>
      <c r="CW734" s="271"/>
      <c r="CX734" s="271"/>
      <c r="CY734" s="271"/>
      <c r="CZ734" s="271"/>
      <c r="DA734" s="271"/>
      <c r="DB734" s="271"/>
      <c r="DC734" s="271"/>
      <c r="DD734" s="234">
        <f t="shared" si="320"/>
        <v>2000000</v>
      </c>
      <c r="DE734" s="244">
        <f t="shared" si="321"/>
        <v>8950000</v>
      </c>
    </row>
    <row r="735" spans="1:110" s="98" customFormat="1" ht="119.1" customHeight="1">
      <c r="A735" s="103" t="s">
        <v>1245</v>
      </c>
      <c r="B735" s="279" t="s">
        <v>3614</v>
      </c>
      <c r="C735" s="279" t="s">
        <v>1738</v>
      </c>
      <c r="D735" s="279">
        <v>62</v>
      </c>
      <c r="E735" s="279" t="s">
        <v>1739</v>
      </c>
      <c r="F735" s="280" t="s">
        <v>77</v>
      </c>
      <c r="G735" s="297" t="s">
        <v>3228</v>
      </c>
      <c r="H735" s="279">
        <v>72</v>
      </c>
      <c r="I735" s="279" t="s">
        <v>78</v>
      </c>
      <c r="J735" s="279" t="s">
        <v>677</v>
      </c>
      <c r="K735" s="279">
        <v>49.63</v>
      </c>
      <c r="L735" s="279" t="s">
        <v>1740</v>
      </c>
      <c r="M735" s="279" t="s">
        <v>1741</v>
      </c>
      <c r="N735" s="279" t="s">
        <v>1742</v>
      </c>
      <c r="O735" s="279" t="s">
        <v>1743</v>
      </c>
      <c r="P735" s="283">
        <v>654</v>
      </c>
      <c r="Q735" s="279" t="s">
        <v>3616</v>
      </c>
      <c r="R735" s="279" t="s">
        <v>91</v>
      </c>
      <c r="S735" s="279" t="s">
        <v>683</v>
      </c>
      <c r="T735" s="279">
        <v>0</v>
      </c>
      <c r="U735" s="267"/>
      <c r="V735" s="267"/>
      <c r="W735" s="224">
        <v>0</v>
      </c>
      <c r="X735" s="267"/>
      <c r="Y735" s="267"/>
      <c r="Z735" s="267">
        <v>0.1</v>
      </c>
      <c r="AA735" s="267">
        <v>0.1</v>
      </c>
      <c r="AB735" s="224">
        <v>0.2</v>
      </c>
      <c r="AC735" s="267"/>
      <c r="AD735" s="267"/>
      <c r="AE735" s="267">
        <v>0.2</v>
      </c>
      <c r="AF735" s="267">
        <v>0.2</v>
      </c>
      <c r="AG735" s="224">
        <v>0.4</v>
      </c>
      <c r="AH735" s="267"/>
      <c r="AI735" s="267">
        <v>0.2</v>
      </c>
      <c r="AJ735" s="267">
        <v>0.2</v>
      </c>
      <c r="AK735" s="267"/>
      <c r="AL735" s="224">
        <v>0.4</v>
      </c>
      <c r="AM735" s="104">
        <v>1</v>
      </c>
      <c r="AN735" s="103" t="s">
        <v>685</v>
      </c>
      <c r="AO735" s="103" t="s">
        <v>623</v>
      </c>
      <c r="AP735" s="103" t="s">
        <v>1215</v>
      </c>
      <c r="AQ735" s="103" t="s">
        <v>1196</v>
      </c>
      <c r="AR735" s="103" t="s">
        <v>941</v>
      </c>
      <c r="AS735" s="271"/>
      <c r="AT735" s="271"/>
      <c r="AU735" s="271"/>
      <c r="AV735" s="271"/>
      <c r="AW735" s="271"/>
      <c r="AX735" s="271"/>
      <c r="AY735" s="271"/>
      <c r="AZ735" s="271"/>
      <c r="BA735" s="271"/>
      <c r="BB735" s="271"/>
      <c r="BC735" s="271"/>
      <c r="BD735" s="271"/>
      <c r="BE735" s="271"/>
      <c r="BF735" s="271"/>
      <c r="BG735" s="271"/>
      <c r="BH735" s="235">
        <f t="shared" si="317"/>
        <v>0</v>
      </c>
      <c r="BI735" s="271"/>
      <c r="BJ735" s="271"/>
      <c r="BK735" s="271"/>
      <c r="BL735" s="271"/>
      <c r="BM735" s="271">
        <v>700000</v>
      </c>
      <c r="BN735" s="271"/>
      <c r="BO735" s="271"/>
      <c r="BP735" s="271"/>
      <c r="BQ735" s="271"/>
      <c r="BR735" s="271"/>
      <c r="BS735" s="271"/>
      <c r="BT735" s="271"/>
      <c r="BU735" s="271"/>
      <c r="BV735" s="271"/>
      <c r="BW735" s="271"/>
      <c r="BX735" s="235">
        <f t="shared" si="318"/>
        <v>700000</v>
      </c>
      <c r="BY735" s="271"/>
      <c r="BZ735" s="271"/>
      <c r="CA735" s="271"/>
      <c r="CB735" s="271"/>
      <c r="CC735" s="271">
        <v>770905</v>
      </c>
      <c r="CD735" s="271"/>
      <c r="CE735" s="271"/>
      <c r="CF735" s="271"/>
      <c r="CG735" s="271"/>
      <c r="CH735" s="271"/>
      <c r="CI735" s="271"/>
      <c r="CJ735" s="271"/>
      <c r="CK735" s="271"/>
      <c r="CL735" s="271"/>
      <c r="CM735" s="271"/>
      <c r="CN735" s="235">
        <f t="shared" si="319"/>
        <v>770905</v>
      </c>
      <c r="CO735" s="271"/>
      <c r="CP735" s="271"/>
      <c r="CQ735" s="271"/>
      <c r="CR735" s="271"/>
      <c r="CS735" s="271">
        <v>827516</v>
      </c>
      <c r="CT735" s="271"/>
      <c r="CU735" s="271"/>
      <c r="CV735" s="271"/>
      <c r="CW735" s="271"/>
      <c r="CX735" s="271"/>
      <c r="CY735" s="271"/>
      <c r="CZ735" s="271"/>
      <c r="DA735" s="271"/>
      <c r="DB735" s="271"/>
      <c r="DC735" s="271"/>
      <c r="DD735" s="234">
        <f t="shared" si="320"/>
        <v>827516</v>
      </c>
      <c r="DE735" s="244">
        <f t="shared" si="321"/>
        <v>2298421</v>
      </c>
    </row>
    <row r="736" spans="1:110" s="98" customFormat="1" ht="119.1" customHeight="1">
      <c r="A736" s="103" t="s">
        <v>1246</v>
      </c>
      <c r="B736" s="279" t="s">
        <v>3614</v>
      </c>
      <c r="C736" s="279" t="s">
        <v>1738</v>
      </c>
      <c r="D736" s="279">
        <v>62</v>
      </c>
      <c r="E736" s="279" t="s">
        <v>1739</v>
      </c>
      <c r="F736" s="280" t="s">
        <v>77</v>
      </c>
      <c r="G736" s="279" t="s">
        <v>3617</v>
      </c>
      <c r="H736" s="279">
        <v>73</v>
      </c>
      <c r="I736" s="279" t="s">
        <v>1745</v>
      </c>
      <c r="J736" s="279" t="s">
        <v>677</v>
      </c>
      <c r="K736" s="279">
        <v>83</v>
      </c>
      <c r="L736" s="279" t="s">
        <v>1746</v>
      </c>
      <c r="M736" s="279" t="s">
        <v>1747</v>
      </c>
      <c r="N736" s="279" t="s">
        <v>1748</v>
      </c>
      <c r="O736" s="279" t="s">
        <v>93</v>
      </c>
      <c r="P736" s="283">
        <v>655</v>
      </c>
      <c r="Q736" s="279" t="s">
        <v>2764</v>
      </c>
      <c r="R736" s="279" t="s">
        <v>95</v>
      </c>
      <c r="S736" s="279" t="s">
        <v>683</v>
      </c>
      <c r="T736" s="279">
        <v>58</v>
      </c>
      <c r="U736" s="267"/>
      <c r="V736" s="267">
        <v>9</v>
      </c>
      <c r="W736" s="224">
        <v>9</v>
      </c>
      <c r="X736" s="267"/>
      <c r="Y736" s="267"/>
      <c r="Z736" s="267"/>
      <c r="AA736" s="267">
        <v>2</v>
      </c>
      <c r="AB736" s="224">
        <v>2</v>
      </c>
      <c r="AC736" s="267"/>
      <c r="AD736" s="267"/>
      <c r="AE736" s="267"/>
      <c r="AF736" s="267">
        <v>2</v>
      </c>
      <c r="AG736" s="224">
        <v>2</v>
      </c>
      <c r="AH736" s="267"/>
      <c r="AI736" s="267"/>
      <c r="AJ736" s="267"/>
      <c r="AK736" s="267">
        <v>2</v>
      </c>
      <c r="AL736" s="224">
        <v>2</v>
      </c>
      <c r="AM736" s="104">
        <v>15</v>
      </c>
      <c r="AN736" s="103" t="s">
        <v>685</v>
      </c>
      <c r="AO736" s="103" t="s">
        <v>623</v>
      </c>
      <c r="AP736" s="103" t="s">
        <v>1215</v>
      </c>
      <c r="AQ736" s="103" t="s">
        <v>1196</v>
      </c>
      <c r="AR736" s="103" t="s">
        <v>941</v>
      </c>
      <c r="AS736" s="271"/>
      <c r="AT736" s="271"/>
      <c r="AU736" s="271"/>
      <c r="AV736" s="271"/>
      <c r="AW736" s="271"/>
      <c r="AX736" s="271"/>
      <c r="AY736" s="271">
        <v>600000000</v>
      </c>
      <c r="AZ736" s="271"/>
      <c r="BA736" s="271"/>
      <c r="BB736" s="271"/>
      <c r="BC736" s="271"/>
      <c r="BD736" s="271"/>
      <c r="BE736" s="271"/>
      <c r="BF736" s="271"/>
      <c r="BG736" s="271"/>
      <c r="BH736" s="235">
        <f t="shared" si="317"/>
        <v>600000000</v>
      </c>
      <c r="BI736" s="271"/>
      <c r="BJ736" s="271"/>
      <c r="BK736" s="271"/>
      <c r="BL736" s="271"/>
      <c r="BM736" s="271"/>
      <c r="BN736" s="271"/>
      <c r="BO736" s="271">
        <v>200000000</v>
      </c>
      <c r="BP736" s="271"/>
      <c r="BQ736" s="271"/>
      <c r="BR736" s="271"/>
      <c r="BS736" s="271"/>
      <c r="BT736" s="271"/>
      <c r="BU736" s="271"/>
      <c r="BV736" s="271"/>
      <c r="BW736" s="271"/>
      <c r="BX736" s="235">
        <f t="shared" si="318"/>
        <v>200000000</v>
      </c>
      <c r="BY736" s="271"/>
      <c r="BZ736" s="271"/>
      <c r="CA736" s="271"/>
      <c r="CB736" s="271"/>
      <c r="CC736" s="271"/>
      <c r="CD736" s="271"/>
      <c r="CE736" s="271">
        <v>200000000</v>
      </c>
      <c r="CF736" s="271"/>
      <c r="CG736" s="271"/>
      <c r="CH736" s="271"/>
      <c r="CI736" s="271"/>
      <c r="CJ736" s="271"/>
      <c r="CK736" s="271"/>
      <c r="CL736" s="271"/>
      <c r="CM736" s="271"/>
      <c r="CN736" s="235">
        <f t="shared" si="319"/>
        <v>200000000</v>
      </c>
      <c r="CO736" s="271"/>
      <c r="CP736" s="271"/>
      <c r="CQ736" s="271"/>
      <c r="CR736" s="271"/>
      <c r="CS736" s="271"/>
      <c r="CT736" s="271"/>
      <c r="CU736" s="271">
        <v>200000000</v>
      </c>
      <c r="CV736" s="271"/>
      <c r="CW736" s="271"/>
      <c r="CX736" s="271"/>
      <c r="CY736" s="271"/>
      <c r="CZ736" s="271"/>
      <c r="DA736" s="271"/>
      <c r="DB736" s="271"/>
      <c r="DC736" s="271"/>
      <c r="DD736" s="234">
        <f t="shared" si="320"/>
        <v>200000000</v>
      </c>
      <c r="DE736" s="244">
        <f t="shared" ref="DE736:DE741" si="322">SUM(DD736+CN736+BX736+BH736)</f>
        <v>1200000000</v>
      </c>
    </row>
    <row r="737" spans="1:110" s="98" customFormat="1" ht="119.1" customHeight="1">
      <c r="A737" s="103" t="s">
        <v>1246</v>
      </c>
      <c r="B737" s="279" t="s">
        <v>3614</v>
      </c>
      <c r="C737" s="279" t="s">
        <v>1738</v>
      </c>
      <c r="D737" s="279">
        <v>62</v>
      </c>
      <c r="E737" s="279" t="s">
        <v>1739</v>
      </c>
      <c r="F737" s="280" t="s">
        <v>77</v>
      </c>
      <c r="G737" s="279" t="s">
        <v>3617</v>
      </c>
      <c r="H737" s="279">
        <v>73</v>
      </c>
      <c r="I737" s="279" t="s">
        <v>1745</v>
      </c>
      <c r="J737" s="279" t="s">
        <v>677</v>
      </c>
      <c r="K737" s="279">
        <v>83</v>
      </c>
      <c r="L737" s="279" t="s">
        <v>1746</v>
      </c>
      <c r="M737" s="279" t="s">
        <v>1747</v>
      </c>
      <c r="N737" s="279" t="s">
        <v>1748</v>
      </c>
      <c r="O737" s="279" t="s">
        <v>93</v>
      </c>
      <c r="P737" s="283">
        <v>656</v>
      </c>
      <c r="Q737" s="279" t="s">
        <v>2765</v>
      </c>
      <c r="R737" s="279" t="s">
        <v>98</v>
      </c>
      <c r="S737" s="279" t="s">
        <v>683</v>
      </c>
      <c r="T737" s="279">
        <v>80</v>
      </c>
      <c r="U737" s="267"/>
      <c r="V737" s="267">
        <v>30</v>
      </c>
      <c r="W737" s="224">
        <v>30</v>
      </c>
      <c r="X737" s="267"/>
      <c r="Y737" s="267"/>
      <c r="Z737" s="267"/>
      <c r="AA737" s="267">
        <v>20</v>
      </c>
      <c r="AB737" s="224">
        <v>20</v>
      </c>
      <c r="AC737" s="267"/>
      <c r="AD737" s="267"/>
      <c r="AE737" s="267"/>
      <c r="AF737" s="267">
        <v>20</v>
      </c>
      <c r="AG737" s="224">
        <v>20</v>
      </c>
      <c r="AH737" s="267"/>
      <c r="AI737" s="267"/>
      <c r="AJ737" s="267"/>
      <c r="AK737" s="267">
        <v>10</v>
      </c>
      <c r="AL737" s="224">
        <v>10</v>
      </c>
      <c r="AM737" s="104">
        <v>80</v>
      </c>
      <c r="AN737" s="103" t="s">
        <v>685</v>
      </c>
      <c r="AO737" s="103" t="s">
        <v>623</v>
      </c>
      <c r="AP737" s="103" t="s">
        <v>1215</v>
      </c>
      <c r="AQ737" s="103" t="s">
        <v>1196</v>
      </c>
      <c r="AR737" s="103" t="s">
        <v>941</v>
      </c>
      <c r="AS737" s="271"/>
      <c r="AT737" s="271"/>
      <c r="AU737" s="271"/>
      <c r="AV737" s="271"/>
      <c r="AW737" s="271"/>
      <c r="AX737" s="271"/>
      <c r="AY737" s="271">
        <v>1100000000</v>
      </c>
      <c r="AZ737" s="271"/>
      <c r="BA737" s="271"/>
      <c r="BB737" s="271"/>
      <c r="BC737" s="271"/>
      <c r="BD737" s="271"/>
      <c r="BE737" s="271"/>
      <c r="BF737" s="271"/>
      <c r="BG737" s="271"/>
      <c r="BH737" s="235">
        <f t="shared" si="317"/>
        <v>1100000000</v>
      </c>
      <c r="BI737" s="271"/>
      <c r="BJ737" s="271"/>
      <c r="BK737" s="271"/>
      <c r="BL737" s="271"/>
      <c r="BM737" s="271"/>
      <c r="BN737" s="271"/>
      <c r="BO737" s="271">
        <v>520000000</v>
      </c>
      <c r="BP737" s="271"/>
      <c r="BQ737" s="271"/>
      <c r="BR737" s="271"/>
      <c r="BS737" s="271"/>
      <c r="BT737" s="271"/>
      <c r="BU737" s="271"/>
      <c r="BV737" s="271"/>
      <c r="BW737" s="271"/>
      <c r="BX737" s="235">
        <f t="shared" si="318"/>
        <v>520000000</v>
      </c>
      <c r="BY737" s="271"/>
      <c r="BZ737" s="271"/>
      <c r="CA737" s="271"/>
      <c r="CB737" s="271"/>
      <c r="CC737" s="271"/>
      <c r="CD737" s="271"/>
      <c r="CE737" s="271">
        <v>500000000</v>
      </c>
      <c r="CF737" s="271"/>
      <c r="CG737" s="271"/>
      <c r="CH737" s="271"/>
      <c r="CI737" s="271"/>
      <c r="CJ737" s="271"/>
      <c r="CK737" s="271"/>
      <c r="CL737" s="271"/>
      <c r="CM737" s="271"/>
      <c r="CN737" s="235">
        <f t="shared" si="319"/>
        <v>500000000</v>
      </c>
      <c r="CO737" s="271"/>
      <c r="CP737" s="271"/>
      <c r="CQ737" s="271"/>
      <c r="CR737" s="271"/>
      <c r="CS737" s="271"/>
      <c r="CT737" s="271"/>
      <c r="CU737" s="271">
        <v>200000000</v>
      </c>
      <c r="CV737" s="271"/>
      <c r="CW737" s="271"/>
      <c r="CX737" s="271"/>
      <c r="CY737" s="271"/>
      <c r="CZ737" s="271"/>
      <c r="DA737" s="271"/>
      <c r="DB737" s="271"/>
      <c r="DC737" s="271"/>
      <c r="DD737" s="234">
        <f t="shared" si="320"/>
        <v>200000000</v>
      </c>
      <c r="DE737" s="244">
        <f t="shared" si="322"/>
        <v>2320000000</v>
      </c>
    </row>
    <row r="738" spans="1:110" s="98" customFormat="1" ht="119.1" customHeight="1">
      <c r="A738" s="103" t="s">
        <v>1246</v>
      </c>
      <c r="B738" s="279" t="s">
        <v>3614</v>
      </c>
      <c r="C738" s="279" t="s">
        <v>1738</v>
      </c>
      <c r="D738" s="279">
        <v>62</v>
      </c>
      <c r="E738" s="279" t="s">
        <v>1739</v>
      </c>
      <c r="F738" s="280" t="s">
        <v>77</v>
      </c>
      <c r="G738" s="279" t="s">
        <v>3617</v>
      </c>
      <c r="H738" s="279">
        <v>73</v>
      </c>
      <c r="I738" s="279" t="s">
        <v>1745</v>
      </c>
      <c r="J738" s="279" t="s">
        <v>677</v>
      </c>
      <c r="K738" s="279">
        <v>83</v>
      </c>
      <c r="L738" s="279" t="s">
        <v>1746</v>
      </c>
      <c r="M738" s="279" t="s">
        <v>1747</v>
      </c>
      <c r="N738" s="279" t="s">
        <v>1748</v>
      </c>
      <c r="O738" s="279" t="s">
        <v>93</v>
      </c>
      <c r="P738" s="283">
        <v>657</v>
      </c>
      <c r="Q738" s="279" t="s">
        <v>3743</v>
      </c>
      <c r="R738" s="279" t="s">
        <v>1749</v>
      </c>
      <c r="S738" s="279" t="s">
        <v>683</v>
      </c>
      <c r="T738" s="279">
        <v>0</v>
      </c>
      <c r="U738" s="267"/>
      <c r="V738" s="267">
        <v>2</v>
      </c>
      <c r="W738" s="224">
        <v>2</v>
      </c>
      <c r="X738" s="267"/>
      <c r="Y738" s="267"/>
      <c r="Z738" s="267"/>
      <c r="AA738" s="267">
        <v>10</v>
      </c>
      <c r="AB738" s="224">
        <v>10</v>
      </c>
      <c r="AC738" s="267"/>
      <c r="AD738" s="267"/>
      <c r="AE738" s="267"/>
      <c r="AF738" s="267">
        <v>3</v>
      </c>
      <c r="AG738" s="224">
        <v>3</v>
      </c>
      <c r="AH738" s="267"/>
      <c r="AI738" s="267"/>
      <c r="AJ738" s="267"/>
      <c r="AK738" s="267">
        <v>5</v>
      </c>
      <c r="AL738" s="224">
        <v>5</v>
      </c>
      <c r="AM738" s="104">
        <v>20</v>
      </c>
      <c r="AN738" s="103" t="s">
        <v>685</v>
      </c>
      <c r="AO738" s="103" t="s">
        <v>623</v>
      </c>
      <c r="AP738" s="103" t="s">
        <v>1215</v>
      </c>
      <c r="AQ738" s="103" t="s">
        <v>1196</v>
      </c>
      <c r="AR738" s="103" t="s">
        <v>941</v>
      </c>
      <c r="AS738" s="271"/>
      <c r="AT738" s="271"/>
      <c r="AU738" s="271"/>
      <c r="AV738" s="271"/>
      <c r="AW738" s="271"/>
      <c r="AX738" s="271"/>
      <c r="AY738" s="271">
        <v>200000000</v>
      </c>
      <c r="AZ738" s="271"/>
      <c r="BA738" s="271"/>
      <c r="BB738" s="271"/>
      <c r="BC738" s="271"/>
      <c r="BD738" s="271"/>
      <c r="BE738" s="271"/>
      <c r="BF738" s="271"/>
      <c r="BG738" s="271"/>
      <c r="BH738" s="235">
        <f t="shared" si="317"/>
        <v>200000000</v>
      </c>
      <c r="BI738" s="271"/>
      <c r="BJ738" s="271"/>
      <c r="BK738" s="271"/>
      <c r="BL738" s="271"/>
      <c r="BM738" s="271"/>
      <c r="BN738" s="271"/>
      <c r="BO738" s="271">
        <v>300000000</v>
      </c>
      <c r="BP738" s="271"/>
      <c r="BQ738" s="271"/>
      <c r="BR738" s="271"/>
      <c r="BS738" s="271"/>
      <c r="BT738" s="271"/>
      <c r="BU738" s="271"/>
      <c r="BV738" s="271"/>
      <c r="BW738" s="271"/>
      <c r="BX738" s="235">
        <f t="shared" si="318"/>
        <v>300000000</v>
      </c>
      <c r="BY738" s="271"/>
      <c r="BZ738" s="271"/>
      <c r="CA738" s="271"/>
      <c r="CB738" s="271"/>
      <c r="CC738" s="271"/>
      <c r="CD738" s="271"/>
      <c r="CE738" s="271">
        <v>100000000</v>
      </c>
      <c r="CF738" s="271"/>
      <c r="CG738" s="271"/>
      <c r="CH738" s="271"/>
      <c r="CI738" s="271"/>
      <c r="CJ738" s="271"/>
      <c r="CK738" s="271"/>
      <c r="CL738" s="271"/>
      <c r="CM738" s="271"/>
      <c r="CN738" s="235">
        <f t="shared" si="319"/>
        <v>100000000</v>
      </c>
      <c r="CO738" s="271"/>
      <c r="CP738" s="271"/>
      <c r="CQ738" s="271"/>
      <c r="CR738" s="271"/>
      <c r="CS738" s="271"/>
      <c r="CT738" s="271"/>
      <c r="CU738" s="271">
        <v>245000000</v>
      </c>
      <c r="CV738" s="271"/>
      <c r="CW738" s="271"/>
      <c r="CX738" s="271"/>
      <c r="CY738" s="271"/>
      <c r="CZ738" s="271"/>
      <c r="DA738" s="271"/>
      <c r="DB738" s="271"/>
      <c r="DC738" s="271"/>
      <c r="DD738" s="234">
        <f t="shared" si="320"/>
        <v>245000000</v>
      </c>
      <c r="DE738" s="244">
        <f t="shared" si="322"/>
        <v>845000000</v>
      </c>
    </row>
    <row r="739" spans="1:110" s="98" customFormat="1" ht="119.1" customHeight="1">
      <c r="A739" s="103" t="s">
        <v>1246</v>
      </c>
      <c r="B739" s="279" t="s">
        <v>3614</v>
      </c>
      <c r="C739" s="279" t="s">
        <v>1738</v>
      </c>
      <c r="D739" s="279">
        <v>62</v>
      </c>
      <c r="E739" s="279" t="s">
        <v>1739</v>
      </c>
      <c r="F739" s="280" t="s">
        <v>77</v>
      </c>
      <c r="G739" s="279" t="s">
        <v>3617</v>
      </c>
      <c r="H739" s="279">
        <v>73</v>
      </c>
      <c r="I739" s="279" t="s">
        <v>1745</v>
      </c>
      <c r="J739" s="279" t="s">
        <v>677</v>
      </c>
      <c r="K739" s="279">
        <v>83</v>
      </c>
      <c r="L739" s="279" t="s">
        <v>1746</v>
      </c>
      <c r="M739" s="279" t="s">
        <v>1747</v>
      </c>
      <c r="N739" s="279" t="s">
        <v>1748</v>
      </c>
      <c r="O739" s="279" t="s">
        <v>93</v>
      </c>
      <c r="P739" s="283">
        <v>658</v>
      </c>
      <c r="Q739" s="279" t="s">
        <v>3744</v>
      </c>
      <c r="R739" s="279" t="s">
        <v>100</v>
      </c>
      <c r="S739" s="279" t="s">
        <v>683</v>
      </c>
      <c r="T739" s="279">
        <v>1</v>
      </c>
      <c r="U739" s="267"/>
      <c r="V739" s="267"/>
      <c r="W739" s="224">
        <v>0</v>
      </c>
      <c r="X739" s="267"/>
      <c r="Y739" s="267"/>
      <c r="Z739" s="267"/>
      <c r="AA739" s="267"/>
      <c r="AB739" s="224">
        <v>0</v>
      </c>
      <c r="AC739" s="267"/>
      <c r="AD739" s="267"/>
      <c r="AE739" s="267"/>
      <c r="AF739" s="267">
        <v>1</v>
      </c>
      <c r="AG739" s="224">
        <v>1</v>
      </c>
      <c r="AH739" s="267"/>
      <c r="AI739" s="267"/>
      <c r="AJ739" s="267"/>
      <c r="AK739" s="267"/>
      <c r="AL739" s="224">
        <v>0</v>
      </c>
      <c r="AM739" s="104">
        <v>1</v>
      </c>
      <c r="AN739" s="103" t="s">
        <v>685</v>
      </c>
      <c r="AO739" s="103" t="s">
        <v>623</v>
      </c>
      <c r="AP739" s="103" t="s">
        <v>1215</v>
      </c>
      <c r="AQ739" s="103" t="s">
        <v>1196</v>
      </c>
      <c r="AR739" s="103" t="s">
        <v>941</v>
      </c>
      <c r="AS739" s="271"/>
      <c r="AT739" s="271"/>
      <c r="AU739" s="271"/>
      <c r="AV739" s="271"/>
      <c r="AW739" s="271"/>
      <c r="AX739" s="271"/>
      <c r="AY739" s="271"/>
      <c r="AZ739" s="271"/>
      <c r="BA739" s="271"/>
      <c r="BB739" s="271"/>
      <c r="BC739" s="271"/>
      <c r="BD739" s="271"/>
      <c r="BE739" s="271"/>
      <c r="BF739" s="271"/>
      <c r="BG739" s="271"/>
      <c r="BH739" s="235">
        <f t="shared" si="317"/>
        <v>0</v>
      </c>
      <c r="BI739" s="271"/>
      <c r="BJ739" s="271"/>
      <c r="BK739" s="271"/>
      <c r="BL739" s="271"/>
      <c r="BM739" s="271"/>
      <c r="BN739" s="271"/>
      <c r="BO739" s="271"/>
      <c r="BP739" s="271"/>
      <c r="BQ739" s="271"/>
      <c r="BR739" s="271"/>
      <c r="BS739" s="271"/>
      <c r="BT739" s="271"/>
      <c r="BU739" s="271"/>
      <c r="BV739" s="271"/>
      <c r="BW739" s="271"/>
      <c r="BX739" s="235">
        <f t="shared" si="318"/>
        <v>0</v>
      </c>
      <c r="BY739" s="271"/>
      <c r="BZ739" s="271"/>
      <c r="CA739" s="271"/>
      <c r="CB739" s="271"/>
      <c r="CC739" s="271"/>
      <c r="CD739" s="271"/>
      <c r="CE739" s="271">
        <v>200000000</v>
      </c>
      <c r="CF739" s="271"/>
      <c r="CG739" s="271"/>
      <c r="CH739" s="271"/>
      <c r="CI739" s="271"/>
      <c r="CJ739" s="271"/>
      <c r="CK739" s="271"/>
      <c r="CL739" s="271"/>
      <c r="CM739" s="271"/>
      <c r="CN739" s="235">
        <f t="shared" si="319"/>
        <v>200000000</v>
      </c>
      <c r="CO739" s="271"/>
      <c r="CP739" s="271"/>
      <c r="CQ739" s="271"/>
      <c r="CR739" s="271"/>
      <c r="CS739" s="271"/>
      <c r="CT739" s="271"/>
      <c r="CU739" s="271"/>
      <c r="CV739" s="271"/>
      <c r="CW739" s="271"/>
      <c r="CX739" s="271"/>
      <c r="CY739" s="271"/>
      <c r="CZ739" s="271"/>
      <c r="DA739" s="271"/>
      <c r="DB739" s="271"/>
      <c r="DC739" s="271"/>
      <c r="DD739" s="234">
        <f t="shared" si="320"/>
        <v>0</v>
      </c>
      <c r="DE739" s="244">
        <f t="shared" si="322"/>
        <v>200000000</v>
      </c>
    </row>
    <row r="740" spans="1:110" s="98" customFormat="1" ht="119.1" customHeight="1">
      <c r="A740" s="103" t="s">
        <v>1246</v>
      </c>
      <c r="B740" s="279" t="s">
        <v>3614</v>
      </c>
      <c r="C740" s="279" t="s">
        <v>1738</v>
      </c>
      <c r="D740" s="279">
        <v>62</v>
      </c>
      <c r="E740" s="279" t="s">
        <v>1739</v>
      </c>
      <c r="F740" s="280" t="s">
        <v>77</v>
      </c>
      <c r="G740" s="279" t="s">
        <v>3617</v>
      </c>
      <c r="H740" s="279">
        <v>73</v>
      </c>
      <c r="I740" s="279" t="s">
        <v>1745</v>
      </c>
      <c r="J740" s="279" t="s">
        <v>677</v>
      </c>
      <c r="K740" s="279">
        <v>83</v>
      </c>
      <c r="L740" s="279" t="s">
        <v>1746</v>
      </c>
      <c r="M740" s="279" t="s">
        <v>1747</v>
      </c>
      <c r="N740" s="279" t="s">
        <v>1748</v>
      </c>
      <c r="O740" s="279" t="s">
        <v>93</v>
      </c>
      <c r="P740" s="283">
        <v>659</v>
      </c>
      <c r="Q740" s="279" t="s">
        <v>2766</v>
      </c>
      <c r="R740" s="279" t="s">
        <v>105</v>
      </c>
      <c r="S740" s="279" t="s">
        <v>683</v>
      </c>
      <c r="T740" s="279">
        <v>5</v>
      </c>
      <c r="U740" s="267"/>
      <c r="V740" s="267">
        <v>2</v>
      </c>
      <c r="W740" s="224">
        <v>2</v>
      </c>
      <c r="X740" s="267"/>
      <c r="Y740" s="267"/>
      <c r="Z740" s="267"/>
      <c r="AA740" s="267">
        <v>2</v>
      </c>
      <c r="AB740" s="224">
        <v>2</v>
      </c>
      <c r="AC740" s="267"/>
      <c r="AD740" s="267"/>
      <c r="AE740" s="267"/>
      <c r="AF740" s="267">
        <v>2</v>
      </c>
      <c r="AG740" s="224">
        <v>2</v>
      </c>
      <c r="AH740" s="267"/>
      <c r="AI740" s="267"/>
      <c r="AJ740" s="267"/>
      <c r="AK740" s="267">
        <v>2</v>
      </c>
      <c r="AL740" s="224">
        <v>2</v>
      </c>
      <c r="AM740" s="104">
        <v>8</v>
      </c>
      <c r="AN740" s="103" t="s">
        <v>685</v>
      </c>
      <c r="AO740" s="103" t="s">
        <v>623</v>
      </c>
      <c r="AP740" s="103" t="s">
        <v>1215</v>
      </c>
      <c r="AQ740" s="103" t="s">
        <v>1196</v>
      </c>
      <c r="AR740" s="103" t="s">
        <v>941</v>
      </c>
      <c r="AS740" s="271"/>
      <c r="AT740" s="271"/>
      <c r="AU740" s="271"/>
      <c r="AV740" s="271"/>
      <c r="AW740" s="271"/>
      <c r="AX740" s="271"/>
      <c r="AY740" s="271">
        <v>320000000</v>
      </c>
      <c r="AZ740" s="271"/>
      <c r="BA740" s="271"/>
      <c r="BB740" s="271"/>
      <c r="BC740" s="271"/>
      <c r="BD740" s="271"/>
      <c r="BE740" s="271"/>
      <c r="BF740" s="271"/>
      <c r="BG740" s="271"/>
      <c r="BH740" s="235">
        <f t="shared" si="317"/>
        <v>320000000</v>
      </c>
      <c r="BI740" s="271"/>
      <c r="BJ740" s="271"/>
      <c r="BK740" s="271"/>
      <c r="BL740" s="271"/>
      <c r="BM740" s="271"/>
      <c r="BN740" s="271"/>
      <c r="BO740" s="271">
        <v>299999959.98000002</v>
      </c>
      <c r="BP740" s="271"/>
      <c r="BQ740" s="271"/>
      <c r="BR740" s="271"/>
      <c r="BS740" s="271"/>
      <c r="BT740" s="271"/>
      <c r="BU740" s="271"/>
      <c r="BV740" s="271"/>
      <c r="BW740" s="271"/>
      <c r="BX740" s="235">
        <f t="shared" si="318"/>
        <v>299999959.98000002</v>
      </c>
      <c r="BY740" s="271"/>
      <c r="BZ740" s="271"/>
      <c r="CA740" s="271"/>
      <c r="CB740" s="271"/>
      <c r="CC740" s="271"/>
      <c r="CD740" s="271"/>
      <c r="CE740" s="271">
        <v>280000000</v>
      </c>
      <c r="CF740" s="271"/>
      <c r="CG740" s="271"/>
      <c r="CH740" s="271"/>
      <c r="CI740" s="271"/>
      <c r="CJ740" s="271"/>
      <c r="CK740" s="271"/>
      <c r="CL740" s="271"/>
      <c r="CM740" s="271"/>
      <c r="CN740" s="235">
        <f t="shared" si="319"/>
        <v>280000000</v>
      </c>
      <c r="CO740" s="271"/>
      <c r="CP740" s="271"/>
      <c r="CQ740" s="271"/>
      <c r="CR740" s="271"/>
      <c r="CS740" s="271"/>
      <c r="CT740" s="271"/>
      <c r="CU740" s="271">
        <v>280000000</v>
      </c>
      <c r="CV740" s="271"/>
      <c r="CW740" s="271"/>
      <c r="CX740" s="271"/>
      <c r="CY740" s="271"/>
      <c r="CZ740" s="271"/>
      <c r="DA740" s="271"/>
      <c r="DB740" s="271"/>
      <c r="DC740" s="271"/>
      <c r="DD740" s="234">
        <f t="shared" si="320"/>
        <v>280000000</v>
      </c>
      <c r="DE740" s="244">
        <f t="shared" si="322"/>
        <v>1179999959.98</v>
      </c>
    </row>
    <row r="741" spans="1:110" s="98" customFormat="1" ht="119.1" customHeight="1">
      <c r="A741" s="120" t="s">
        <v>1246</v>
      </c>
      <c r="B741" s="281" t="s">
        <v>3614</v>
      </c>
      <c r="C741" s="281" t="s">
        <v>1738</v>
      </c>
      <c r="D741" s="281">
        <v>62</v>
      </c>
      <c r="E741" s="281" t="s">
        <v>1739</v>
      </c>
      <c r="F741" s="282" t="s">
        <v>77</v>
      </c>
      <c r="G741" s="281" t="s">
        <v>3617</v>
      </c>
      <c r="H741" s="281">
        <v>73</v>
      </c>
      <c r="I741" s="281" t="s">
        <v>1745</v>
      </c>
      <c r="J741" s="281" t="s">
        <v>677</v>
      </c>
      <c r="K741" s="281">
        <v>83</v>
      </c>
      <c r="L741" s="281" t="s">
        <v>1746</v>
      </c>
      <c r="M741" s="281" t="s">
        <v>1747</v>
      </c>
      <c r="N741" s="281" t="s">
        <v>1748</v>
      </c>
      <c r="O741" s="281" t="s">
        <v>93</v>
      </c>
      <c r="P741" s="283">
        <v>660</v>
      </c>
      <c r="Q741" s="281" t="s">
        <v>2767</v>
      </c>
      <c r="R741" s="281" t="s">
        <v>109</v>
      </c>
      <c r="S741" s="281" t="s">
        <v>683</v>
      </c>
      <c r="T741" s="281">
        <v>11</v>
      </c>
      <c r="U741" s="275"/>
      <c r="V741" s="275"/>
      <c r="W741" s="225">
        <v>0</v>
      </c>
      <c r="X741" s="275"/>
      <c r="Y741" s="275"/>
      <c r="Z741" s="275"/>
      <c r="AA741" s="275"/>
      <c r="AB741" s="225">
        <v>0</v>
      </c>
      <c r="AC741" s="275"/>
      <c r="AD741" s="275"/>
      <c r="AE741" s="275"/>
      <c r="AF741" s="275"/>
      <c r="AG741" s="225">
        <v>0</v>
      </c>
      <c r="AH741" s="275"/>
      <c r="AI741" s="275"/>
      <c r="AJ741" s="275"/>
      <c r="AK741" s="275">
        <v>11</v>
      </c>
      <c r="AL741" s="225">
        <v>11</v>
      </c>
      <c r="AM741" s="119">
        <v>11</v>
      </c>
      <c r="AN741" s="120" t="s">
        <v>685</v>
      </c>
      <c r="AO741" s="120" t="s">
        <v>623</v>
      </c>
      <c r="AP741" s="120" t="s">
        <v>1215</v>
      </c>
      <c r="AQ741" s="120" t="s">
        <v>1196</v>
      </c>
      <c r="AR741" s="120" t="s">
        <v>941</v>
      </c>
      <c r="AS741" s="276"/>
      <c r="AT741" s="276"/>
      <c r="AU741" s="276"/>
      <c r="AV741" s="276"/>
      <c r="AW741" s="276"/>
      <c r="AX741" s="276"/>
      <c r="AY741" s="276"/>
      <c r="AZ741" s="276"/>
      <c r="BA741" s="276"/>
      <c r="BB741" s="276"/>
      <c r="BC741" s="276"/>
      <c r="BD741" s="276"/>
      <c r="BE741" s="276"/>
      <c r="BF741" s="276"/>
      <c r="BG741" s="276"/>
      <c r="BH741" s="236">
        <f t="shared" si="317"/>
        <v>0</v>
      </c>
      <c r="BI741" s="276"/>
      <c r="BJ741" s="276"/>
      <c r="BK741" s="276"/>
      <c r="BL741" s="276"/>
      <c r="BM741" s="276"/>
      <c r="BN741" s="276"/>
      <c r="BO741" s="276"/>
      <c r="BP741" s="276"/>
      <c r="BQ741" s="276"/>
      <c r="BR741" s="276"/>
      <c r="BS741" s="276"/>
      <c r="BT741" s="276"/>
      <c r="BU741" s="276"/>
      <c r="BV741" s="276"/>
      <c r="BW741" s="276"/>
      <c r="BX741" s="236">
        <f t="shared" si="318"/>
        <v>0</v>
      </c>
      <c r="BY741" s="276"/>
      <c r="BZ741" s="276"/>
      <c r="CA741" s="276"/>
      <c r="CB741" s="276"/>
      <c r="CC741" s="276"/>
      <c r="CD741" s="276"/>
      <c r="CE741" s="276"/>
      <c r="CF741" s="276"/>
      <c r="CG741" s="276"/>
      <c r="CH741" s="276"/>
      <c r="CI741" s="276"/>
      <c r="CJ741" s="276"/>
      <c r="CK741" s="276"/>
      <c r="CL741" s="276"/>
      <c r="CM741" s="276"/>
      <c r="CN741" s="236">
        <f t="shared" si="319"/>
        <v>0</v>
      </c>
      <c r="CO741" s="276"/>
      <c r="CP741" s="276"/>
      <c r="CQ741" s="276"/>
      <c r="CR741" s="276"/>
      <c r="CS741" s="276"/>
      <c r="CT741" s="276"/>
      <c r="CU741" s="276">
        <v>220000000</v>
      </c>
      <c r="CV741" s="276"/>
      <c r="CW741" s="276"/>
      <c r="CX741" s="276"/>
      <c r="CY741" s="276"/>
      <c r="CZ741" s="276"/>
      <c r="DA741" s="276"/>
      <c r="DB741" s="276"/>
      <c r="DC741" s="276"/>
      <c r="DD741" s="240">
        <f t="shared" si="320"/>
        <v>220000000</v>
      </c>
      <c r="DE741" s="245">
        <f t="shared" si="322"/>
        <v>220000000</v>
      </c>
    </row>
    <row r="742" spans="1:110" ht="65.099999999999994" customHeight="1">
      <c r="A742" s="134"/>
      <c r="B742" s="134" t="s">
        <v>3614</v>
      </c>
      <c r="C742" s="134" t="s">
        <v>1738</v>
      </c>
      <c r="D742" s="134">
        <v>62</v>
      </c>
      <c r="E742" s="134" t="s">
        <v>1739</v>
      </c>
      <c r="F742" s="135"/>
      <c r="G742" s="136"/>
      <c r="H742" s="137"/>
      <c r="I742" s="137"/>
      <c r="J742" s="137"/>
      <c r="K742" s="138"/>
      <c r="L742" s="137"/>
      <c r="M742" s="137"/>
      <c r="N742" s="137"/>
      <c r="O742" s="137"/>
      <c r="P742" s="137"/>
      <c r="Q742" s="136"/>
      <c r="R742" s="139"/>
      <c r="S742" s="137"/>
      <c r="T742" s="137"/>
      <c r="U742" s="140"/>
      <c r="V742" s="140"/>
      <c r="W742" s="138"/>
      <c r="X742" s="140"/>
      <c r="Y742" s="140"/>
      <c r="Z742" s="140"/>
      <c r="AA742" s="140"/>
      <c r="AB742" s="138"/>
      <c r="AC742" s="140"/>
      <c r="AD742" s="140"/>
      <c r="AE742" s="140"/>
      <c r="AF742" s="140"/>
      <c r="AG742" s="138"/>
      <c r="AH742" s="140"/>
      <c r="AI742" s="140"/>
      <c r="AJ742" s="140"/>
      <c r="AK742" s="140"/>
      <c r="AL742" s="138"/>
      <c r="AM742" s="141"/>
      <c r="AN742" s="142"/>
      <c r="AO742" s="142"/>
      <c r="AP742" s="143"/>
      <c r="AQ742" s="143"/>
      <c r="AR742" s="144"/>
      <c r="AS742" s="132">
        <f>SUM(AS729:AS741)</f>
        <v>0</v>
      </c>
      <c r="AT742" s="132">
        <f t="shared" ref="AT742:DE742" si="323">SUM(AT729:AT741)</f>
        <v>0</v>
      </c>
      <c r="AU742" s="132">
        <f t="shared" si="323"/>
        <v>0</v>
      </c>
      <c r="AV742" s="132">
        <f t="shared" si="323"/>
        <v>0</v>
      </c>
      <c r="AW742" s="132">
        <f t="shared" si="323"/>
        <v>7345103</v>
      </c>
      <c r="AX742" s="132">
        <f t="shared" si="323"/>
        <v>0</v>
      </c>
      <c r="AY742" s="132">
        <f t="shared" si="323"/>
        <v>2220000000</v>
      </c>
      <c r="AZ742" s="132">
        <f t="shared" si="323"/>
        <v>0</v>
      </c>
      <c r="BA742" s="132">
        <f t="shared" si="323"/>
        <v>0</v>
      </c>
      <c r="BB742" s="132">
        <f t="shared" si="323"/>
        <v>0</v>
      </c>
      <c r="BC742" s="132">
        <f t="shared" si="323"/>
        <v>0</v>
      </c>
      <c r="BD742" s="132">
        <f t="shared" si="323"/>
        <v>0</v>
      </c>
      <c r="BE742" s="132">
        <f t="shared" si="323"/>
        <v>0</v>
      </c>
      <c r="BF742" s="132">
        <f t="shared" si="323"/>
        <v>0</v>
      </c>
      <c r="BG742" s="132">
        <f t="shared" si="323"/>
        <v>0</v>
      </c>
      <c r="BH742" s="132">
        <f t="shared" si="323"/>
        <v>2227345103</v>
      </c>
      <c r="BI742" s="132">
        <f t="shared" si="323"/>
        <v>0</v>
      </c>
      <c r="BJ742" s="132">
        <f t="shared" si="323"/>
        <v>0</v>
      </c>
      <c r="BK742" s="132">
        <f t="shared" si="323"/>
        <v>0</v>
      </c>
      <c r="BL742" s="132">
        <f t="shared" si="323"/>
        <v>0</v>
      </c>
      <c r="BM742" s="132">
        <f t="shared" si="323"/>
        <v>5000000</v>
      </c>
      <c r="BN742" s="132">
        <f t="shared" si="323"/>
        <v>0</v>
      </c>
      <c r="BO742" s="132">
        <f t="shared" si="323"/>
        <v>1319999959.98</v>
      </c>
      <c r="BP742" s="132">
        <f t="shared" si="323"/>
        <v>0</v>
      </c>
      <c r="BQ742" s="132">
        <f t="shared" si="323"/>
        <v>0</v>
      </c>
      <c r="BR742" s="132">
        <f t="shared" si="323"/>
        <v>0</v>
      </c>
      <c r="BS742" s="132">
        <f t="shared" si="323"/>
        <v>0</v>
      </c>
      <c r="BT742" s="132">
        <f t="shared" si="323"/>
        <v>0</v>
      </c>
      <c r="BU742" s="132">
        <f t="shared" si="323"/>
        <v>0</v>
      </c>
      <c r="BV742" s="132">
        <f t="shared" si="323"/>
        <v>0</v>
      </c>
      <c r="BW742" s="132">
        <f t="shared" si="323"/>
        <v>0</v>
      </c>
      <c r="BX742" s="132">
        <f t="shared" si="323"/>
        <v>1324999959.98</v>
      </c>
      <c r="BY742" s="132">
        <f t="shared" si="323"/>
        <v>0</v>
      </c>
      <c r="BZ742" s="132">
        <f t="shared" si="323"/>
        <v>0</v>
      </c>
      <c r="CA742" s="132">
        <f t="shared" si="323"/>
        <v>0</v>
      </c>
      <c r="CB742" s="132">
        <f t="shared" si="323"/>
        <v>0</v>
      </c>
      <c r="CC742" s="132">
        <f t="shared" si="323"/>
        <v>6170905</v>
      </c>
      <c r="CD742" s="132">
        <f t="shared" si="323"/>
        <v>0</v>
      </c>
      <c r="CE742" s="132">
        <f t="shared" si="323"/>
        <v>1280000000</v>
      </c>
      <c r="CF742" s="132">
        <f t="shared" si="323"/>
        <v>0</v>
      </c>
      <c r="CG742" s="132">
        <f t="shared" si="323"/>
        <v>0</v>
      </c>
      <c r="CH742" s="132">
        <f t="shared" si="323"/>
        <v>0</v>
      </c>
      <c r="CI742" s="132">
        <f t="shared" si="323"/>
        <v>0</v>
      </c>
      <c r="CJ742" s="132">
        <f t="shared" si="323"/>
        <v>0</v>
      </c>
      <c r="CK742" s="132">
        <f t="shared" si="323"/>
        <v>0</v>
      </c>
      <c r="CL742" s="132">
        <f t="shared" si="323"/>
        <v>0</v>
      </c>
      <c r="CM742" s="132">
        <f t="shared" si="323"/>
        <v>0</v>
      </c>
      <c r="CN742" s="132">
        <f t="shared" si="323"/>
        <v>1286170905</v>
      </c>
      <c r="CO742" s="132">
        <f t="shared" si="323"/>
        <v>0</v>
      </c>
      <c r="CP742" s="132">
        <f t="shared" si="323"/>
        <v>0</v>
      </c>
      <c r="CQ742" s="132">
        <f t="shared" si="323"/>
        <v>0</v>
      </c>
      <c r="CR742" s="132">
        <f t="shared" si="323"/>
        <v>0</v>
      </c>
      <c r="CS742" s="132">
        <f t="shared" si="323"/>
        <v>6927516</v>
      </c>
      <c r="CT742" s="132">
        <f t="shared" si="323"/>
        <v>0</v>
      </c>
      <c r="CU742" s="132">
        <f t="shared" si="323"/>
        <v>1145000000</v>
      </c>
      <c r="CV742" s="132">
        <f t="shared" si="323"/>
        <v>0</v>
      </c>
      <c r="CW742" s="132">
        <f t="shared" si="323"/>
        <v>0</v>
      </c>
      <c r="CX742" s="132">
        <f t="shared" si="323"/>
        <v>0</v>
      </c>
      <c r="CY742" s="132">
        <f t="shared" si="323"/>
        <v>0</v>
      </c>
      <c r="CZ742" s="132">
        <f t="shared" si="323"/>
        <v>0</v>
      </c>
      <c r="DA742" s="132">
        <f t="shared" si="323"/>
        <v>0</v>
      </c>
      <c r="DB742" s="132">
        <f t="shared" si="323"/>
        <v>0</v>
      </c>
      <c r="DC742" s="132">
        <f t="shared" si="323"/>
        <v>0</v>
      </c>
      <c r="DD742" s="132">
        <f t="shared" si="323"/>
        <v>1151927516</v>
      </c>
      <c r="DE742" s="132">
        <f t="shared" si="323"/>
        <v>5990443483.9799995</v>
      </c>
      <c r="DF742" s="101"/>
    </row>
    <row r="743" spans="1:110" s="98" customFormat="1" ht="119.1" customHeight="1">
      <c r="A743" s="103" t="s">
        <v>1246</v>
      </c>
      <c r="B743" s="103" t="s">
        <v>3614</v>
      </c>
      <c r="C743" s="103" t="s">
        <v>1738</v>
      </c>
      <c r="D743" s="103">
        <v>63</v>
      </c>
      <c r="E743" s="103" t="s">
        <v>1750</v>
      </c>
      <c r="F743" s="278" t="s">
        <v>1751</v>
      </c>
      <c r="G743" s="103" t="s">
        <v>3618</v>
      </c>
      <c r="H743" s="103">
        <v>74</v>
      </c>
      <c r="I743" s="103" t="s">
        <v>111</v>
      </c>
      <c r="J743" s="103" t="s">
        <v>677</v>
      </c>
      <c r="K743" s="103">
        <v>100</v>
      </c>
      <c r="L743" s="103">
        <v>100</v>
      </c>
      <c r="M743" s="103" t="s">
        <v>1752</v>
      </c>
      <c r="N743" s="103" t="s">
        <v>1753</v>
      </c>
      <c r="O743" s="103" t="s">
        <v>1754</v>
      </c>
      <c r="P743" s="283">
        <v>661</v>
      </c>
      <c r="Q743" s="103" t="s">
        <v>3619</v>
      </c>
      <c r="R743" s="103" t="s">
        <v>1755</v>
      </c>
      <c r="S743" s="103" t="s">
        <v>683</v>
      </c>
      <c r="T743" s="103">
        <v>24</v>
      </c>
      <c r="U743" s="267"/>
      <c r="V743" s="267">
        <v>5</v>
      </c>
      <c r="W743" s="224">
        <v>5</v>
      </c>
      <c r="X743" s="267"/>
      <c r="Y743" s="267"/>
      <c r="Z743" s="267"/>
      <c r="AA743" s="267">
        <v>10</v>
      </c>
      <c r="AB743" s="224">
        <v>10</v>
      </c>
      <c r="AC743" s="267"/>
      <c r="AD743" s="267"/>
      <c r="AE743" s="267"/>
      <c r="AF743" s="267">
        <v>15</v>
      </c>
      <c r="AG743" s="224">
        <v>15</v>
      </c>
      <c r="AH743" s="267"/>
      <c r="AI743" s="267"/>
      <c r="AJ743" s="267"/>
      <c r="AK743" s="267"/>
      <c r="AL743" s="224">
        <v>0</v>
      </c>
      <c r="AM743" s="102">
        <v>30</v>
      </c>
      <c r="AN743" s="103" t="s">
        <v>685</v>
      </c>
      <c r="AO743" s="103" t="s">
        <v>623</v>
      </c>
      <c r="AP743" s="103" t="s">
        <v>1215</v>
      </c>
      <c r="AQ743" s="103" t="s">
        <v>1196</v>
      </c>
      <c r="AR743" s="103" t="s">
        <v>941</v>
      </c>
      <c r="AS743" s="268"/>
      <c r="AT743" s="268"/>
      <c r="AU743" s="268"/>
      <c r="AV743" s="268"/>
      <c r="AW743" s="268"/>
      <c r="AX743" s="268"/>
      <c r="AY743" s="268">
        <v>306666666.75999999</v>
      </c>
      <c r="AZ743" s="268"/>
      <c r="BA743" s="268"/>
      <c r="BB743" s="268"/>
      <c r="BC743" s="268"/>
      <c r="BD743" s="268"/>
      <c r="BE743" s="268"/>
      <c r="BF743" s="268"/>
      <c r="BG743" s="268"/>
      <c r="BH743" s="234">
        <f>IF(W743=0,0,BG743+BF743+BE743+BD743+BC743+BB743+BA743+AZ743+AY743+AX743+AW743+AV743+AU743+AT743+AS743)</f>
        <v>306666666.75999999</v>
      </c>
      <c r="BI743" s="268"/>
      <c r="BJ743" s="268"/>
      <c r="BK743" s="268"/>
      <c r="BL743" s="268"/>
      <c r="BM743" s="268"/>
      <c r="BN743" s="268"/>
      <c r="BO743" s="268">
        <v>339999986.67000002</v>
      </c>
      <c r="BP743" s="268"/>
      <c r="BQ743" s="268"/>
      <c r="BR743" s="268"/>
      <c r="BS743" s="268"/>
      <c r="BT743" s="268"/>
      <c r="BU743" s="268"/>
      <c r="BV743" s="268"/>
      <c r="BW743" s="268"/>
      <c r="BX743" s="234">
        <f>IF(AB743=0,0,BI743+BJ743+BK743+BL743+BM743+BN743+BO743+BP743+BQ743+BR743+BS743+BT743+BU743+BV743+BW743)</f>
        <v>339999986.67000002</v>
      </c>
      <c r="BY743" s="268"/>
      <c r="BZ743" s="268"/>
      <c r="CA743" s="268"/>
      <c r="CB743" s="268"/>
      <c r="CC743" s="268"/>
      <c r="CD743" s="268"/>
      <c r="CE743" s="268">
        <v>426666666.66000003</v>
      </c>
      <c r="CF743" s="268"/>
      <c r="CG743" s="268"/>
      <c r="CH743" s="268"/>
      <c r="CI743" s="268"/>
      <c r="CJ743" s="268"/>
      <c r="CK743" s="268"/>
      <c r="CL743" s="268"/>
      <c r="CM743" s="268"/>
      <c r="CN743" s="234">
        <f>IF(AG743=0,0,(BY743+BZ743+CA743+CB743+CC743+CD743+CE743+CF743+CG743+CH743+CI743+CJ743+CK743+CL743+CM743))</f>
        <v>426666666.66000003</v>
      </c>
      <c r="CO743" s="268"/>
      <c r="CP743" s="268"/>
      <c r="CQ743" s="268"/>
      <c r="CR743" s="268"/>
      <c r="CS743" s="268"/>
      <c r="CT743" s="268"/>
      <c r="CU743" s="268"/>
      <c r="CV743" s="268"/>
      <c r="CW743" s="268"/>
      <c r="CX743" s="268"/>
      <c r="CY743" s="268"/>
      <c r="CZ743" s="268"/>
      <c r="DA743" s="268"/>
      <c r="DB743" s="268"/>
      <c r="DC743" s="268"/>
      <c r="DD743" s="234">
        <f>IF(AL743=0,0,(CO743+CP743+CQ743+CR743+CS743+CT743+CU743+CV743+CW743+CX743+CY743+CZ743+DA743+DB743+DC743))</f>
        <v>0</v>
      </c>
      <c r="DE743" s="243">
        <f t="shared" ref="DE743:DE745" si="324">SUM(DD743+CN743+BX743+BH743)</f>
        <v>1073333320.09</v>
      </c>
    </row>
    <row r="744" spans="1:110" s="98" customFormat="1" ht="119.1" customHeight="1">
      <c r="A744" s="103" t="s">
        <v>1246</v>
      </c>
      <c r="B744" s="279" t="s">
        <v>3614</v>
      </c>
      <c r="C744" s="279" t="s">
        <v>1738</v>
      </c>
      <c r="D744" s="279">
        <v>63</v>
      </c>
      <c r="E744" s="279" t="s">
        <v>1750</v>
      </c>
      <c r="F744" s="280" t="s">
        <v>1751</v>
      </c>
      <c r="G744" s="279" t="s">
        <v>3618</v>
      </c>
      <c r="H744" s="279">
        <v>74</v>
      </c>
      <c r="I744" s="279" t="s">
        <v>111</v>
      </c>
      <c r="J744" s="279" t="s">
        <v>677</v>
      </c>
      <c r="K744" s="279">
        <v>100</v>
      </c>
      <c r="L744" s="279">
        <v>100</v>
      </c>
      <c r="M744" s="279" t="s">
        <v>1752</v>
      </c>
      <c r="N744" s="279" t="s">
        <v>1753</v>
      </c>
      <c r="O744" s="279" t="s">
        <v>1754</v>
      </c>
      <c r="P744" s="283">
        <v>662</v>
      </c>
      <c r="Q744" s="279" t="s">
        <v>3670</v>
      </c>
      <c r="R744" s="279" t="s">
        <v>113</v>
      </c>
      <c r="S744" s="279" t="s">
        <v>683</v>
      </c>
      <c r="T744" s="279">
        <v>24</v>
      </c>
      <c r="U744" s="267"/>
      <c r="V744" s="267">
        <v>5</v>
      </c>
      <c r="W744" s="224">
        <v>5</v>
      </c>
      <c r="X744" s="267"/>
      <c r="Y744" s="267"/>
      <c r="Z744" s="267"/>
      <c r="AA744" s="267">
        <v>10</v>
      </c>
      <c r="AB744" s="224">
        <v>10</v>
      </c>
      <c r="AC744" s="267"/>
      <c r="AD744" s="267"/>
      <c r="AE744" s="267"/>
      <c r="AF744" s="267">
        <v>15</v>
      </c>
      <c r="AG744" s="224">
        <v>15</v>
      </c>
      <c r="AH744" s="267"/>
      <c r="AI744" s="267"/>
      <c r="AJ744" s="267"/>
      <c r="AK744" s="267"/>
      <c r="AL744" s="224">
        <v>0</v>
      </c>
      <c r="AM744" s="104">
        <v>30</v>
      </c>
      <c r="AN744" s="103" t="s">
        <v>685</v>
      </c>
      <c r="AO744" s="103" t="s">
        <v>623</v>
      </c>
      <c r="AP744" s="103" t="s">
        <v>1215</v>
      </c>
      <c r="AQ744" s="103" t="s">
        <v>1196</v>
      </c>
      <c r="AR744" s="103" t="s">
        <v>941</v>
      </c>
      <c r="AS744" s="271"/>
      <c r="AT744" s="271"/>
      <c r="AU744" s="271"/>
      <c r="AV744" s="271"/>
      <c r="AW744" s="271"/>
      <c r="AX744" s="271"/>
      <c r="AY744" s="271">
        <v>306666666.75999999</v>
      </c>
      <c r="AZ744" s="271"/>
      <c r="BA744" s="271"/>
      <c r="BB744" s="271"/>
      <c r="BC744" s="271"/>
      <c r="BD744" s="271"/>
      <c r="BE744" s="271"/>
      <c r="BF744" s="271"/>
      <c r="BG744" s="271"/>
      <c r="BH744" s="235">
        <f>IF(W744=0,0,BG744+BF744+BE744+BD744+BC744+BB744+BA744+AZ744+AY744+AX744+AW744+AV744+AU744+AT744+AS744)</f>
        <v>306666666.75999999</v>
      </c>
      <c r="BI744" s="271"/>
      <c r="BJ744" s="271"/>
      <c r="BK744" s="271"/>
      <c r="BL744" s="271"/>
      <c r="BM744" s="271"/>
      <c r="BN744" s="271"/>
      <c r="BO744" s="271">
        <v>339999986.67000002</v>
      </c>
      <c r="BP744" s="271"/>
      <c r="BQ744" s="271"/>
      <c r="BR744" s="271"/>
      <c r="BS744" s="271"/>
      <c r="BT744" s="271"/>
      <c r="BU744" s="271"/>
      <c r="BV744" s="271"/>
      <c r="BW744" s="271"/>
      <c r="BX744" s="235">
        <f>IF(AB744=0,0,BI744+BJ744+BK744+BL744+BM744+BN744+BO744+BP744+BQ744+BR744+BS744+BT744+BU744+BV744+BW744)</f>
        <v>339999986.67000002</v>
      </c>
      <c r="BY744" s="271"/>
      <c r="BZ744" s="271"/>
      <c r="CA744" s="271"/>
      <c r="CB744" s="271"/>
      <c r="CC744" s="271"/>
      <c r="CD744" s="271"/>
      <c r="CE744" s="271">
        <v>426666666.67000002</v>
      </c>
      <c r="CF744" s="271"/>
      <c r="CG744" s="271"/>
      <c r="CH744" s="271"/>
      <c r="CI744" s="271"/>
      <c r="CJ744" s="271"/>
      <c r="CK744" s="271"/>
      <c r="CL744" s="271"/>
      <c r="CM744" s="271"/>
      <c r="CN744" s="235">
        <f>IF(AG744=0,0,(BY744+BZ744+CA744+CB744+CC744+CD744+CE744+CF744+CG744+CH744+CI744+CJ744+CK744+CL744+CM744))</f>
        <v>426666666.67000002</v>
      </c>
      <c r="CO744" s="271"/>
      <c r="CP744" s="271"/>
      <c r="CQ744" s="271"/>
      <c r="CR744" s="271"/>
      <c r="CS744" s="271"/>
      <c r="CT744" s="271"/>
      <c r="CU744" s="271"/>
      <c r="CV744" s="271"/>
      <c r="CW744" s="271"/>
      <c r="CX744" s="271"/>
      <c r="CY744" s="271"/>
      <c r="CZ744" s="271"/>
      <c r="DA744" s="271"/>
      <c r="DB744" s="271"/>
      <c r="DC744" s="271"/>
      <c r="DD744" s="234">
        <f>IF(AL744=0,0,(CO744+CP744+CQ744+CR744+CS744+CT744+CU744+CV744+CW744+CX744+CY744+CZ744+DA744+DB744+DC744))</f>
        <v>0</v>
      </c>
      <c r="DE744" s="244">
        <f t="shared" si="324"/>
        <v>1073333320.1</v>
      </c>
    </row>
    <row r="745" spans="1:110" s="98" customFormat="1" ht="119.1" customHeight="1">
      <c r="A745" s="120" t="s">
        <v>1246</v>
      </c>
      <c r="B745" s="281" t="s">
        <v>3614</v>
      </c>
      <c r="C745" s="281" t="s">
        <v>1738</v>
      </c>
      <c r="D745" s="281">
        <v>63</v>
      </c>
      <c r="E745" s="281" t="s">
        <v>1750</v>
      </c>
      <c r="F745" s="282" t="s">
        <v>1751</v>
      </c>
      <c r="G745" s="281" t="s">
        <v>3618</v>
      </c>
      <c r="H745" s="281">
        <v>74</v>
      </c>
      <c r="I745" s="281" t="s">
        <v>111</v>
      </c>
      <c r="J745" s="281" t="s">
        <v>677</v>
      </c>
      <c r="K745" s="281">
        <v>100</v>
      </c>
      <c r="L745" s="281">
        <v>100</v>
      </c>
      <c r="M745" s="281" t="s">
        <v>1752</v>
      </c>
      <c r="N745" s="281" t="s">
        <v>1753</v>
      </c>
      <c r="O745" s="281" t="s">
        <v>1754</v>
      </c>
      <c r="P745" s="284">
        <v>663</v>
      </c>
      <c r="Q745" s="281" t="s">
        <v>2768</v>
      </c>
      <c r="R745" s="281" t="s">
        <v>115</v>
      </c>
      <c r="S745" s="281" t="s">
        <v>683</v>
      </c>
      <c r="T745" s="281">
        <v>24</v>
      </c>
      <c r="U745" s="275"/>
      <c r="V745" s="275">
        <v>5</v>
      </c>
      <c r="W745" s="225">
        <v>5</v>
      </c>
      <c r="X745" s="275"/>
      <c r="Y745" s="275"/>
      <c r="Z745" s="275"/>
      <c r="AA745" s="275">
        <v>10</v>
      </c>
      <c r="AB745" s="225">
        <v>10</v>
      </c>
      <c r="AC745" s="275"/>
      <c r="AD745" s="275"/>
      <c r="AE745" s="275"/>
      <c r="AF745" s="275">
        <v>15</v>
      </c>
      <c r="AG745" s="225">
        <v>15</v>
      </c>
      <c r="AH745" s="275"/>
      <c r="AI745" s="275"/>
      <c r="AJ745" s="275"/>
      <c r="AK745" s="275"/>
      <c r="AL745" s="225">
        <v>0</v>
      </c>
      <c r="AM745" s="119">
        <v>30</v>
      </c>
      <c r="AN745" s="120" t="s">
        <v>685</v>
      </c>
      <c r="AO745" s="120" t="s">
        <v>623</v>
      </c>
      <c r="AP745" s="120" t="s">
        <v>1215</v>
      </c>
      <c r="AQ745" s="120" t="s">
        <v>1196</v>
      </c>
      <c r="AR745" s="120" t="s">
        <v>941</v>
      </c>
      <c r="AS745" s="276"/>
      <c r="AT745" s="276"/>
      <c r="AU745" s="276"/>
      <c r="AV745" s="276"/>
      <c r="AW745" s="276"/>
      <c r="AX745" s="276"/>
      <c r="AY745" s="276">
        <v>306666666.48000002</v>
      </c>
      <c r="AZ745" s="276"/>
      <c r="BA745" s="276"/>
      <c r="BB745" s="276"/>
      <c r="BC745" s="276"/>
      <c r="BD745" s="276"/>
      <c r="BE745" s="276"/>
      <c r="BF745" s="276"/>
      <c r="BG745" s="276"/>
      <c r="BH745" s="236">
        <f>IF(W745=0,0,BG745+BF745+BE745+BD745+BC745+BB745+BA745+AZ745+AY745+AX745+AW745+AV745+AU745+AT745+AS745)</f>
        <v>306666666.48000002</v>
      </c>
      <c r="BI745" s="276"/>
      <c r="BJ745" s="276"/>
      <c r="BK745" s="276"/>
      <c r="BL745" s="276"/>
      <c r="BM745" s="276"/>
      <c r="BN745" s="276"/>
      <c r="BO745" s="276">
        <v>339999986.66000003</v>
      </c>
      <c r="BP745" s="276"/>
      <c r="BQ745" s="276"/>
      <c r="BR745" s="276"/>
      <c r="BS745" s="276"/>
      <c r="BT745" s="276"/>
      <c r="BU745" s="276"/>
      <c r="BV745" s="276"/>
      <c r="BW745" s="276"/>
      <c r="BX745" s="236">
        <f>IF(AB745=0,0,BI745+BJ745+BK745+BL745+BM745+BN745+BO745+BP745+BQ745+BR745+BS745+BT745+BU745+BV745+BW745)</f>
        <v>339999986.66000003</v>
      </c>
      <c r="BY745" s="276"/>
      <c r="BZ745" s="276"/>
      <c r="CA745" s="276"/>
      <c r="CB745" s="276"/>
      <c r="CC745" s="276"/>
      <c r="CD745" s="276"/>
      <c r="CE745" s="276">
        <v>426666666.67000002</v>
      </c>
      <c r="CF745" s="276"/>
      <c r="CG745" s="276"/>
      <c r="CH745" s="276"/>
      <c r="CI745" s="276"/>
      <c r="CJ745" s="276"/>
      <c r="CK745" s="276"/>
      <c r="CL745" s="276"/>
      <c r="CM745" s="276"/>
      <c r="CN745" s="236">
        <f>IF(AG745=0,0,(BY745+BZ745+CA745+CB745+CC745+CD745+CE745+CF745+CG745+CH745+CI745+CJ745+CK745+CL745+CM745))</f>
        <v>426666666.67000002</v>
      </c>
      <c r="CO745" s="276"/>
      <c r="CP745" s="276"/>
      <c r="CQ745" s="276"/>
      <c r="CR745" s="276"/>
      <c r="CS745" s="276"/>
      <c r="CT745" s="276"/>
      <c r="CU745" s="276"/>
      <c r="CV745" s="276"/>
      <c r="CW745" s="276"/>
      <c r="CX745" s="276"/>
      <c r="CY745" s="276"/>
      <c r="CZ745" s="276"/>
      <c r="DA745" s="276"/>
      <c r="DB745" s="276"/>
      <c r="DC745" s="276"/>
      <c r="DD745" s="240">
        <f>IF(AL745=0,0,(CO745+CP745+CQ745+CR745+CS745+CT745+CU745+CV745+CW745+CX745+CY745+CZ745+DA745+DB745+DC745))</f>
        <v>0</v>
      </c>
      <c r="DE745" s="245">
        <f t="shared" si="324"/>
        <v>1073333319.8100001</v>
      </c>
    </row>
    <row r="746" spans="1:110" ht="65.099999999999994" customHeight="1">
      <c r="A746" s="134" t="s">
        <v>1246</v>
      </c>
      <c r="B746" s="134" t="s">
        <v>3614</v>
      </c>
      <c r="C746" s="134" t="s">
        <v>1738</v>
      </c>
      <c r="D746" s="134">
        <v>63</v>
      </c>
      <c r="E746" s="134" t="s">
        <v>1750</v>
      </c>
      <c r="F746" s="135"/>
      <c r="G746" s="136"/>
      <c r="H746" s="137"/>
      <c r="I746" s="137"/>
      <c r="J746" s="137"/>
      <c r="K746" s="138"/>
      <c r="L746" s="137"/>
      <c r="M746" s="137"/>
      <c r="N746" s="137"/>
      <c r="O746" s="137"/>
      <c r="P746" s="137"/>
      <c r="Q746" s="136"/>
      <c r="R746" s="139"/>
      <c r="S746" s="137"/>
      <c r="T746" s="137"/>
      <c r="U746" s="140"/>
      <c r="V746" s="140"/>
      <c r="W746" s="138"/>
      <c r="X746" s="140"/>
      <c r="Y746" s="140"/>
      <c r="Z746" s="140"/>
      <c r="AA746" s="140"/>
      <c r="AB746" s="138"/>
      <c r="AC746" s="140"/>
      <c r="AD746" s="140"/>
      <c r="AE746" s="140"/>
      <c r="AF746" s="140"/>
      <c r="AG746" s="138"/>
      <c r="AH746" s="140"/>
      <c r="AI746" s="140"/>
      <c r="AJ746" s="140"/>
      <c r="AK746" s="140"/>
      <c r="AL746" s="138"/>
      <c r="AM746" s="141"/>
      <c r="AN746" s="142"/>
      <c r="AO746" s="142"/>
      <c r="AP746" s="143"/>
      <c r="AQ746" s="143"/>
      <c r="AR746" s="144"/>
      <c r="AS746" s="132">
        <f>SUM(AS743:AS745)</f>
        <v>0</v>
      </c>
      <c r="AT746" s="132">
        <f t="shared" ref="AT746:DE746" si="325">SUM(AT743:AT745)</f>
        <v>0</v>
      </c>
      <c r="AU746" s="132">
        <f t="shared" si="325"/>
        <v>0</v>
      </c>
      <c r="AV746" s="132">
        <f t="shared" si="325"/>
        <v>0</v>
      </c>
      <c r="AW746" s="132">
        <f t="shared" si="325"/>
        <v>0</v>
      </c>
      <c r="AX746" s="132">
        <f t="shared" si="325"/>
        <v>0</v>
      </c>
      <c r="AY746" s="132">
        <f t="shared" si="325"/>
        <v>920000000</v>
      </c>
      <c r="AZ746" s="132">
        <f t="shared" si="325"/>
        <v>0</v>
      </c>
      <c r="BA746" s="132">
        <f t="shared" si="325"/>
        <v>0</v>
      </c>
      <c r="BB746" s="132">
        <f t="shared" si="325"/>
        <v>0</v>
      </c>
      <c r="BC746" s="132">
        <f t="shared" si="325"/>
        <v>0</v>
      </c>
      <c r="BD746" s="132">
        <f t="shared" si="325"/>
        <v>0</v>
      </c>
      <c r="BE746" s="132">
        <f t="shared" si="325"/>
        <v>0</v>
      </c>
      <c r="BF746" s="132">
        <f t="shared" si="325"/>
        <v>0</v>
      </c>
      <c r="BG746" s="132">
        <f t="shared" si="325"/>
        <v>0</v>
      </c>
      <c r="BH746" s="133">
        <f>IF(OR(AND(BH743=0,W743&lt;&gt;0),AND(BH744=0,W744&lt;&gt;0),AND(BH745=0,W745&lt;&gt;0)),"NO DEBEN QUEDAR CELDAS EN ROJO",SUM(BH743:BH745))</f>
        <v>920000000</v>
      </c>
      <c r="BI746" s="132">
        <f t="shared" si="325"/>
        <v>0</v>
      </c>
      <c r="BJ746" s="132">
        <f t="shared" si="325"/>
        <v>0</v>
      </c>
      <c r="BK746" s="132">
        <f t="shared" si="325"/>
        <v>0</v>
      </c>
      <c r="BL746" s="132">
        <f t="shared" si="325"/>
        <v>0</v>
      </c>
      <c r="BM746" s="132">
        <f t="shared" si="325"/>
        <v>0</v>
      </c>
      <c r="BN746" s="132">
        <f t="shared" si="325"/>
        <v>0</v>
      </c>
      <c r="BO746" s="132">
        <f t="shared" si="325"/>
        <v>1019999960</v>
      </c>
      <c r="BP746" s="132">
        <f t="shared" si="325"/>
        <v>0</v>
      </c>
      <c r="BQ746" s="132">
        <f t="shared" si="325"/>
        <v>0</v>
      </c>
      <c r="BR746" s="132">
        <f t="shared" si="325"/>
        <v>0</v>
      </c>
      <c r="BS746" s="132">
        <f t="shared" si="325"/>
        <v>0</v>
      </c>
      <c r="BT746" s="132">
        <f t="shared" si="325"/>
        <v>0</v>
      </c>
      <c r="BU746" s="132">
        <f t="shared" si="325"/>
        <v>0</v>
      </c>
      <c r="BV746" s="132">
        <f t="shared" si="325"/>
        <v>0</v>
      </c>
      <c r="BW746" s="132">
        <f t="shared" si="325"/>
        <v>0</v>
      </c>
      <c r="BX746" s="133">
        <f>IF(OR(AND(BX743=0,AB743&lt;&gt;0),AND(BX744=0,AB744&lt;&gt;0),AND(BX745=0,AB745&lt;&gt;0)),"NO DEBEN QUEDAR CELDAS EN ROJO",SUM(BX743:BX745))</f>
        <v>1019999960</v>
      </c>
      <c r="BY746" s="132">
        <f t="shared" si="325"/>
        <v>0</v>
      </c>
      <c r="BZ746" s="132">
        <f t="shared" si="325"/>
        <v>0</v>
      </c>
      <c r="CA746" s="132">
        <f t="shared" si="325"/>
        <v>0</v>
      </c>
      <c r="CB746" s="132">
        <f t="shared" si="325"/>
        <v>0</v>
      </c>
      <c r="CC746" s="132">
        <f t="shared" si="325"/>
        <v>0</v>
      </c>
      <c r="CD746" s="132">
        <f t="shared" si="325"/>
        <v>0</v>
      </c>
      <c r="CE746" s="132">
        <f t="shared" si="325"/>
        <v>1280000000</v>
      </c>
      <c r="CF746" s="132">
        <f t="shared" si="325"/>
        <v>0</v>
      </c>
      <c r="CG746" s="132">
        <f t="shared" si="325"/>
        <v>0</v>
      </c>
      <c r="CH746" s="132">
        <f t="shared" si="325"/>
        <v>0</v>
      </c>
      <c r="CI746" s="132">
        <f t="shared" si="325"/>
        <v>0</v>
      </c>
      <c r="CJ746" s="132">
        <f t="shared" si="325"/>
        <v>0</v>
      </c>
      <c r="CK746" s="132">
        <f t="shared" si="325"/>
        <v>0</v>
      </c>
      <c r="CL746" s="132">
        <f t="shared" si="325"/>
        <v>0</v>
      </c>
      <c r="CM746" s="132">
        <f t="shared" si="325"/>
        <v>0</v>
      </c>
      <c r="CN746" s="133">
        <f>IF(OR(AND(CN743=0,AG743&lt;&gt;0),AND(CN744=0,AG744&lt;&gt;0),AND(CN745=0,AG745&lt;&gt;0)),"NO DEBEN QUEDAR CELDAS EN ROJO",SUM(CN743:CN745))</f>
        <v>1280000000</v>
      </c>
      <c r="CO746" s="132">
        <f t="shared" si="325"/>
        <v>0</v>
      </c>
      <c r="CP746" s="132">
        <f t="shared" si="325"/>
        <v>0</v>
      </c>
      <c r="CQ746" s="132">
        <f t="shared" si="325"/>
        <v>0</v>
      </c>
      <c r="CR746" s="132">
        <f t="shared" si="325"/>
        <v>0</v>
      </c>
      <c r="CS746" s="132">
        <f t="shared" si="325"/>
        <v>0</v>
      </c>
      <c r="CT746" s="132">
        <f t="shared" si="325"/>
        <v>0</v>
      </c>
      <c r="CU746" s="132">
        <f t="shared" si="325"/>
        <v>0</v>
      </c>
      <c r="CV746" s="132">
        <f t="shared" si="325"/>
        <v>0</v>
      </c>
      <c r="CW746" s="132">
        <f t="shared" si="325"/>
        <v>0</v>
      </c>
      <c r="CX746" s="132">
        <f t="shared" si="325"/>
        <v>0</v>
      </c>
      <c r="CY746" s="132">
        <f t="shared" si="325"/>
        <v>0</v>
      </c>
      <c r="CZ746" s="132">
        <f t="shared" si="325"/>
        <v>0</v>
      </c>
      <c r="DA746" s="132">
        <f t="shared" si="325"/>
        <v>0</v>
      </c>
      <c r="DB746" s="132">
        <f t="shared" si="325"/>
        <v>0</v>
      </c>
      <c r="DC746" s="132">
        <f t="shared" si="325"/>
        <v>0</v>
      </c>
      <c r="DD746" s="133">
        <f>IF(OR(AND(DD743=0,AL743&lt;&gt;0),AND(DD744=0,AL744&lt;&gt;0),AND(DD745=0,AL745&lt;&gt;0)),"NO DEBEN QUEDAR CELDAS EN ROJO",SUM(DD743:DD745))</f>
        <v>0</v>
      </c>
      <c r="DE746" s="133">
        <f t="shared" si="325"/>
        <v>3219999960</v>
      </c>
      <c r="DF746" s="101"/>
    </row>
    <row r="747" spans="1:110" s="98" customFormat="1" ht="119.1" customHeight="1">
      <c r="A747" s="103" t="s">
        <v>1245</v>
      </c>
      <c r="B747" s="103" t="s">
        <v>3614</v>
      </c>
      <c r="C747" s="103" t="s">
        <v>1738</v>
      </c>
      <c r="D747" s="103">
        <v>64</v>
      </c>
      <c r="E747" s="103" t="s">
        <v>1756</v>
      </c>
      <c r="F747" s="278" t="s">
        <v>116</v>
      </c>
      <c r="G747" s="103" t="s">
        <v>3620</v>
      </c>
      <c r="H747" s="103">
        <v>75</v>
      </c>
      <c r="I747" s="103" t="s">
        <v>117</v>
      </c>
      <c r="J747" s="103" t="s">
        <v>677</v>
      </c>
      <c r="K747" s="103">
        <v>44.02</v>
      </c>
      <c r="L747" s="103" t="s">
        <v>1757</v>
      </c>
      <c r="M747" s="103" t="s">
        <v>1758</v>
      </c>
      <c r="N747" s="103" t="s">
        <v>1759</v>
      </c>
      <c r="O747" s="103" t="s">
        <v>118</v>
      </c>
      <c r="P747" s="283">
        <v>664</v>
      </c>
      <c r="Q747" s="103" t="s">
        <v>3671</v>
      </c>
      <c r="R747" s="103" t="s">
        <v>119</v>
      </c>
      <c r="S747" s="103" t="s">
        <v>683</v>
      </c>
      <c r="T747" s="103">
        <v>0</v>
      </c>
      <c r="U747" s="267"/>
      <c r="V747" s="267"/>
      <c r="W747" s="224">
        <v>0</v>
      </c>
      <c r="X747" s="267">
        <v>2</v>
      </c>
      <c r="Y747" s="267">
        <v>3</v>
      </c>
      <c r="Z747" s="267">
        <v>3</v>
      </c>
      <c r="AA747" s="267">
        <v>2</v>
      </c>
      <c r="AB747" s="224">
        <v>10</v>
      </c>
      <c r="AC747" s="267">
        <v>2</v>
      </c>
      <c r="AD747" s="267">
        <v>5</v>
      </c>
      <c r="AE747" s="267">
        <v>5</v>
      </c>
      <c r="AF747" s="267">
        <v>3</v>
      </c>
      <c r="AG747" s="224">
        <v>15</v>
      </c>
      <c r="AH747" s="267">
        <v>2</v>
      </c>
      <c r="AI747" s="267">
        <v>5</v>
      </c>
      <c r="AJ747" s="267">
        <v>5</v>
      </c>
      <c r="AK747" s="267">
        <v>3</v>
      </c>
      <c r="AL747" s="224">
        <v>15</v>
      </c>
      <c r="AM747" s="102">
        <v>40</v>
      </c>
      <c r="AN747" s="103" t="s">
        <v>685</v>
      </c>
      <c r="AO747" s="103" t="s">
        <v>623</v>
      </c>
      <c r="AP747" s="103" t="s">
        <v>1215</v>
      </c>
      <c r="AQ747" s="103" t="s">
        <v>1196</v>
      </c>
      <c r="AR747" s="103" t="s">
        <v>941</v>
      </c>
      <c r="AS747" s="268"/>
      <c r="AT747" s="268"/>
      <c r="AU747" s="268"/>
      <c r="AV747" s="268"/>
      <c r="AW747" s="268"/>
      <c r="AX747" s="268"/>
      <c r="AY747" s="268"/>
      <c r="AZ747" s="268"/>
      <c r="BA747" s="268"/>
      <c r="BB747" s="268"/>
      <c r="BC747" s="268"/>
      <c r="BD747" s="268"/>
      <c r="BE747" s="268"/>
      <c r="BF747" s="268"/>
      <c r="BG747" s="268"/>
      <c r="BH747" s="234">
        <f t="shared" ref="BH747:BH756" si="326">IF(W747=0,0,BG747+BF747+BE747+BD747+BC747+BB747+BA747+AZ747+AY747+AX747+AW747+AV747+AU747+AT747+AS747)</f>
        <v>0</v>
      </c>
      <c r="BI747" s="268"/>
      <c r="BJ747" s="268"/>
      <c r="BK747" s="268"/>
      <c r="BL747" s="268"/>
      <c r="BM747" s="268">
        <v>1000000</v>
      </c>
      <c r="BN747" s="268"/>
      <c r="BO747" s="268"/>
      <c r="BP747" s="268"/>
      <c r="BQ747" s="268"/>
      <c r="BR747" s="268"/>
      <c r="BS747" s="268"/>
      <c r="BT747" s="268"/>
      <c r="BU747" s="268"/>
      <c r="BV747" s="268"/>
      <c r="BW747" s="268"/>
      <c r="BX747" s="234">
        <f t="shared" ref="BX747:BX756" si="327">IF(AB747=0,0,BI747+BJ747+BK747+BL747+BM747+BN747+BO747+BP747+BQ747+BR747+BS747+BT747+BU747+BV747+BW747)</f>
        <v>1000000</v>
      </c>
      <c r="BY747" s="268"/>
      <c r="BZ747" s="268"/>
      <c r="CA747" s="268"/>
      <c r="CB747" s="268"/>
      <c r="CC747" s="268">
        <v>1000000</v>
      </c>
      <c r="CD747" s="268"/>
      <c r="CE747" s="268"/>
      <c r="CF747" s="268"/>
      <c r="CG747" s="268"/>
      <c r="CH747" s="268"/>
      <c r="CI747" s="268"/>
      <c r="CJ747" s="268"/>
      <c r="CK747" s="268"/>
      <c r="CL747" s="268"/>
      <c r="CM747" s="268"/>
      <c r="CN747" s="234">
        <f t="shared" ref="CN747:CN756" si="328">IF(AG747=0,0,(BY747+BZ747+CA747+CB747+CC747+CD747+CE747+CF747+CG747+CH747+CI747+CJ747+CK747+CL747+CM747))</f>
        <v>1000000</v>
      </c>
      <c r="CO747" s="268"/>
      <c r="CP747" s="268"/>
      <c r="CQ747" s="268"/>
      <c r="CR747" s="268"/>
      <c r="CS747" s="268">
        <v>1000000</v>
      </c>
      <c r="CT747" s="268"/>
      <c r="CU747" s="268"/>
      <c r="CV747" s="268"/>
      <c r="CW747" s="268"/>
      <c r="CX747" s="268"/>
      <c r="CY747" s="268"/>
      <c r="CZ747" s="268"/>
      <c r="DA747" s="268"/>
      <c r="DB747" s="268"/>
      <c r="DC747" s="268"/>
      <c r="DD747" s="234">
        <f t="shared" ref="DD747:DD756" si="329">IF(AL747=0,0,(CO747+CP747+CQ747+CR747+CS747+CT747+CU747+CV747+CW747+CX747+CY747+CZ747+DA747+DB747+DC747))</f>
        <v>1000000</v>
      </c>
      <c r="DE747" s="243">
        <f t="shared" ref="DE747:DE751" si="330">SUM(DD747+CN747+BX747+BH747)</f>
        <v>3000000</v>
      </c>
    </row>
    <row r="748" spans="1:110" s="98" customFormat="1" ht="119.1" customHeight="1">
      <c r="A748" s="103" t="s">
        <v>1245</v>
      </c>
      <c r="B748" s="279" t="s">
        <v>3614</v>
      </c>
      <c r="C748" s="279" t="s">
        <v>1738</v>
      </c>
      <c r="D748" s="279">
        <v>64</v>
      </c>
      <c r="E748" s="279" t="s">
        <v>1756</v>
      </c>
      <c r="F748" s="280" t="s">
        <v>116</v>
      </c>
      <c r="G748" s="279" t="s">
        <v>3620</v>
      </c>
      <c r="H748" s="279">
        <v>75</v>
      </c>
      <c r="I748" s="279" t="s">
        <v>117</v>
      </c>
      <c r="J748" s="279" t="s">
        <v>677</v>
      </c>
      <c r="K748" s="279">
        <v>44.02</v>
      </c>
      <c r="L748" s="279" t="s">
        <v>1757</v>
      </c>
      <c r="M748" s="279" t="s">
        <v>1758</v>
      </c>
      <c r="N748" s="279" t="s">
        <v>1759</v>
      </c>
      <c r="O748" s="279" t="s">
        <v>118</v>
      </c>
      <c r="P748" s="283">
        <v>665</v>
      </c>
      <c r="Q748" s="279" t="s">
        <v>3745</v>
      </c>
      <c r="R748" s="279" t="s">
        <v>124</v>
      </c>
      <c r="S748" s="279" t="s">
        <v>683</v>
      </c>
      <c r="T748" s="279">
        <v>110</v>
      </c>
      <c r="U748" s="267"/>
      <c r="V748" s="267"/>
      <c r="W748" s="224">
        <v>0</v>
      </c>
      <c r="X748" s="267">
        <v>4</v>
      </c>
      <c r="Y748" s="267">
        <v>6</v>
      </c>
      <c r="Z748" s="267">
        <v>3</v>
      </c>
      <c r="AA748" s="267">
        <v>2</v>
      </c>
      <c r="AB748" s="224">
        <v>15</v>
      </c>
      <c r="AC748" s="267">
        <v>2</v>
      </c>
      <c r="AD748" s="267">
        <v>4</v>
      </c>
      <c r="AE748" s="267">
        <v>4</v>
      </c>
      <c r="AF748" s="267">
        <v>3</v>
      </c>
      <c r="AG748" s="224">
        <v>13</v>
      </c>
      <c r="AH748" s="267">
        <v>2</v>
      </c>
      <c r="AI748" s="267">
        <v>4</v>
      </c>
      <c r="AJ748" s="267">
        <v>4</v>
      </c>
      <c r="AK748" s="267">
        <v>2</v>
      </c>
      <c r="AL748" s="224">
        <v>12</v>
      </c>
      <c r="AM748" s="104">
        <v>40</v>
      </c>
      <c r="AN748" s="103" t="s">
        <v>685</v>
      </c>
      <c r="AO748" s="103" t="s">
        <v>623</v>
      </c>
      <c r="AP748" s="103" t="s">
        <v>1215</v>
      </c>
      <c r="AQ748" s="103" t="s">
        <v>1196</v>
      </c>
      <c r="AR748" s="103" t="s">
        <v>941</v>
      </c>
      <c r="AS748" s="271"/>
      <c r="AT748" s="271"/>
      <c r="AU748" s="271"/>
      <c r="AV748" s="271"/>
      <c r="AW748" s="271"/>
      <c r="AX748" s="271"/>
      <c r="AY748" s="271"/>
      <c r="AZ748" s="271"/>
      <c r="BA748" s="271"/>
      <c r="BB748" s="271"/>
      <c r="BC748" s="271"/>
      <c r="BD748" s="271"/>
      <c r="BE748" s="271"/>
      <c r="BF748" s="271"/>
      <c r="BG748" s="271"/>
      <c r="BH748" s="235">
        <f t="shared" si="326"/>
        <v>0</v>
      </c>
      <c r="BI748" s="271"/>
      <c r="BJ748" s="271"/>
      <c r="BK748" s="271"/>
      <c r="BL748" s="271"/>
      <c r="BM748" s="271">
        <v>1000000</v>
      </c>
      <c r="BN748" s="271"/>
      <c r="BO748" s="271"/>
      <c r="BP748" s="271"/>
      <c r="BQ748" s="271"/>
      <c r="BR748" s="271"/>
      <c r="BS748" s="271"/>
      <c r="BT748" s="271"/>
      <c r="BU748" s="271"/>
      <c r="BV748" s="271"/>
      <c r="BW748" s="271"/>
      <c r="BX748" s="235">
        <f t="shared" si="327"/>
        <v>1000000</v>
      </c>
      <c r="BY748" s="271"/>
      <c r="BZ748" s="271"/>
      <c r="CA748" s="271"/>
      <c r="CB748" s="271"/>
      <c r="CC748" s="271">
        <v>1000000</v>
      </c>
      <c r="CD748" s="271"/>
      <c r="CE748" s="271"/>
      <c r="CF748" s="271"/>
      <c r="CG748" s="271"/>
      <c r="CH748" s="271"/>
      <c r="CI748" s="271"/>
      <c r="CJ748" s="271"/>
      <c r="CK748" s="271"/>
      <c r="CL748" s="271"/>
      <c r="CM748" s="271"/>
      <c r="CN748" s="235">
        <f t="shared" si="328"/>
        <v>1000000</v>
      </c>
      <c r="CO748" s="271"/>
      <c r="CP748" s="271"/>
      <c r="CQ748" s="271"/>
      <c r="CR748" s="271"/>
      <c r="CS748" s="271">
        <v>1000000</v>
      </c>
      <c r="CT748" s="271"/>
      <c r="CU748" s="271"/>
      <c r="CV748" s="271"/>
      <c r="CW748" s="271"/>
      <c r="CX748" s="271"/>
      <c r="CY748" s="271"/>
      <c r="CZ748" s="271"/>
      <c r="DA748" s="271"/>
      <c r="DB748" s="271"/>
      <c r="DC748" s="271"/>
      <c r="DD748" s="234">
        <f t="shared" si="329"/>
        <v>1000000</v>
      </c>
      <c r="DE748" s="244">
        <f t="shared" si="330"/>
        <v>3000000</v>
      </c>
    </row>
    <row r="749" spans="1:110" s="98" customFormat="1" ht="119.1" customHeight="1">
      <c r="A749" s="103" t="s">
        <v>1245</v>
      </c>
      <c r="B749" s="279" t="s">
        <v>3614</v>
      </c>
      <c r="C749" s="279" t="s">
        <v>1738</v>
      </c>
      <c r="D749" s="279">
        <v>64</v>
      </c>
      <c r="E749" s="279" t="s">
        <v>1756</v>
      </c>
      <c r="F749" s="280" t="s">
        <v>116</v>
      </c>
      <c r="G749" s="279" t="s">
        <v>3620</v>
      </c>
      <c r="H749" s="279">
        <v>75</v>
      </c>
      <c r="I749" s="279" t="s">
        <v>117</v>
      </c>
      <c r="J749" s="279" t="s">
        <v>677</v>
      </c>
      <c r="K749" s="279">
        <v>44.02</v>
      </c>
      <c r="L749" s="279" t="s">
        <v>1757</v>
      </c>
      <c r="M749" s="279" t="s">
        <v>1758</v>
      </c>
      <c r="N749" s="279" t="s">
        <v>1759</v>
      </c>
      <c r="O749" s="279" t="s">
        <v>118</v>
      </c>
      <c r="P749" s="283">
        <v>666</v>
      </c>
      <c r="Q749" s="279" t="s">
        <v>3621</v>
      </c>
      <c r="R749" s="279" t="s">
        <v>128</v>
      </c>
      <c r="S749" s="279" t="s">
        <v>683</v>
      </c>
      <c r="T749" s="279">
        <v>0</v>
      </c>
      <c r="U749" s="267"/>
      <c r="V749" s="267"/>
      <c r="W749" s="224">
        <v>0</v>
      </c>
      <c r="X749" s="267"/>
      <c r="Y749" s="267"/>
      <c r="Z749" s="267"/>
      <c r="AA749" s="267"/>
      <c r="AB749" s="224">
        <v>0</v>
      </c>
      <c r="AC749" s="267"/>
      <c r="AD749" s="267"/>
      <c r="AE749" s="267">
        <v>1</v>
      </c>
      <c r="AF749" s="267">
        <v>2</v>
      </c>
      <c r="AG749" s="224">
        <v>3</v>
      </c>
      <c r="AH749" s="267"/>
      <c r="AI749" s="267"/>
      <c r="AJ749" s="267"/>
      <c r="AK749" s="267"/>
      <c r="AL749" s="224">
        <v>0</v>
      </c>
      <c r="AM749" s="104">
        <v>3</v>
      </c>
      <c r="AN749" s="103" t="s">
        <v>685</v>
      </c>
      <c r="AO749" s="103" t="s">
        <v>623</v>
      </c>
      <c r="AP749" s="103" t="s">
        <v>1215</v>
      </c>
      <c r="AQ749" s="103" t="s">
        <v>1196</v>
      </c>
      <c r="AR749" s="103" t="s">
        <v>941</v>
      </c>
      <c r="AS749" s="271"/>
      <c r="AT749" s="271"/>
      <c r="AU749" s="271"/>
      <c r="AV749" s="271"/>
      <c r="AW749" s="271"/>
      <c r="AX749" s="271"/>
      <c r="AY749" s="271"/>
      <c r="AZ749" s="271"/>
      <c r="BA749" s="271"/>
      <c r="BB749" s="271"/>
      <c r="BC749" s="271"/>
      <c r="BD749" s="271"/>
      <c r="BE749" s="271"/>
      <c r="BF749" s="271"/>
      <c r="BG749" s="271"/>
      <c r="BH749" s="235">
        <f t="shared" si="326"/>
        <v>0</v>
      </c>
      <c r="BI749" s="271"/>
      <c r="BJ749" s="271"/>
      <c r="BK749" s="271"/>
      <c r="BL749" s="271"/>
      <c r="BM749" s="271"/>
      <c r="BN749" s="271"/>
      <c r="BO749" s="271"/>
      <c r="BP749" s="271"/>
      <c r="BQ749" s="271"/>
      <c r="BR749" s="271"/>
      <c r="BS749" s="271"/>
      <c r="BT749" s="271"/>
      <c r="BU749" s="271"/>
      <c r="BV749" s="271"/>
      <c r="BW749" s="271"/>
      <c r="BX749" s="235">
        <f t="shared" si="327"/>
        <v>0</v>
      </c>
      <c r="BY749" s="271"/>
      <c r="BZ749" s="271"/>
      <c r="CA749" s="271"/>
      <c r="CB749" s="271"/>
      <c r="CC749" s="271">
        <v>90000000</v>
      </c>
      <c r="CD749" s="271"/>
      <c r="CE749" s="271"/>
      <c r="CF749" s="271"/>
      <c r="CG749" s="271"/>
      <c r="CH749" s="271"/>
      <c r="CI749" s="271"/>
      <c r="CJ749" s="271"/>
      <c r="CK749" s="271"/>
      <c r="CL749" s="271"/>
      <c r="CM749" s="271"/>
      <c r="CN749" s="235">
        <f t="shared" si="328"/>
        <v>90000000</v>
      </c>
      <c r="CO749" s="271"/>
      <c r="CP749" s="271"/>
      <c r="CQ749" s="271"/>
      <c r="CR749" s="271"/>
      <c r="CS749" s="271"/>
      <c r="CT749" s="271"/>
      <c r="CU749" s="271"/>
      <c r="CV749" s="271"/>
      <c r="CW749" s="271"/>
      <c r="CX749" s="271"/>
      <c r="CY749" s="271"/>
      <c r="CZ749" s="271"/>
      <c r="DA749" s="271"/>
      <c r="DB749" s="271"/>
      <c r="DC749" s="271"/>
      <c r="DD749" s="234">
        <f t="shared" si="329"/>
        <v>0</v>
      </c>
      <c r="DE749" s="244">
        <f t="shared" si="330"/>
        <v>90000000</v>
      </c>
    </row>
    <row r="750" spans="1:110" s="98" customFormat="1" ht="119.1" customHeight="1">
      <c r="A750" s="103" t="s">
        <v>1245</v>
      </c>
      <c r="B750" s="279" t="s">
        <v>3614</v>
      </c>
      <c r="C750" s="279" t="s">
        <v>1738</v>
      </c>
      <c r="D750" s="279">
        <v>64</v>
      </c>
      <c r="E750" s="279" t="s">
        <v>1756</v>
      </c>
      <c r="F750" s="280" t="s">
        <v>116</v>
      </c>
      <c r="G750" s="279" t="s">
        <v>3620</v>
      </c>
      <c r="H750" s="279">
        <v>75</v>
      </c>
      <c r="I750" s="279" t="s">
        <v>117</v>
      </c>
      <c r="J750" s="279" t="s">
        <v>677</v>
      </c>
      <c r="K750" s="279">
        <v>44.02</v>
      </c>
      <c r="L750" s="279" t="s">
        <v>1757</v>
      </c>
      <c r="M750" s="279" t="s">
        <v>1758</v>
      </c>
      <c r="N750" s="279" t="s">
        <v>1759</v>
      </c>
      <c r="O750" s="279" t="s">
        <v>118</v>
      </c>
      <c r="P750" s="283">
        <v>667</v>
      </c>
      <c r="Q750" s="279" t="s">
        <v>2759</v>
      </c>
      <c r="R750" s="279" t="s">
        <v>129</v>
      </c>
      <c r="S750" s="279" t="s">
        <v>683</v>
      </c>
      <c r="T750" s="279">
        <v>3</v>
      </c>
      <c r="U750" s="267"/>
      <c r="V750" s="267"/>
      <c r="W750" s="224">
        <v>0</v>
      </c>
      <c r="X750" s="267"/>
      <c r="Y750" s="267"/>
      <c r="Z750" s="267"/>
      <c r="AA750" s="267"/>
      <c r="AB750" s="224">
        <v>0</v>
      </c>
      <c r="AC750" s="267"/>
      <c r="AD750" s="267"/>
      <c r="AE750" s="267">
        <v>1</v>
      </c>
      <c r="AF750" s="267">
        <v>1</v>
      </c>
      <c r="AG750" s="224">
        <v>2</v>
      </c>
      <c r="AH750" s="267"/>
      <c r="AI750" s="267"/>
      <c r="AJ750" s="267">
        <v>1</v>
      </c>
      <c r="AK750" s="267"/>
      <c r="AL750" s="224">
        <v>1</v>
      </c>
      <c r="AM750" s="104">
        <v>3</v>
      </c>
      <c r="AN750" s="103" t="s">
        <v>685</v>
      </c>
      <c r="AO750" s="103" t="s">
        <v>623</v>
      </c>
      <c r="AP750" s="103" t="s">
        <v>1215</v>
      </c>
      <c r="AQ750" s="103" t="s">
        <v>1196</v>
      </c>
      <c r="AR750" s="103" t="s">
        <v>941</v>
      </c>
      <c r="AS750" s="271"/>
      <c r="AT750" s="271"/>
      <c r="AU750" s="271"/>
      <c r="AV750" s="271"/>
      <c r="AW750" s="271"/>
      <c r="AX750" s="271"/>
      <c r="AY750" s="271"/>
      <c r="AZ750" s="271"/>
      <c r="BA750" s="271"/>
      <c r="BB750" s="271"/>
      <c r="BC750" s="271"/>
      <c r="BD750" s="271"/>
      <c r="BE750" s="271"/>
      <c r="BF750" s="271"/>
      <c r="BG750" s="271"/>
      <c r="BH750" s="235">
        <f t="shared" si="326"/>
        <v>0</v>
      </c>
      <c r="BI750" s="271"/>
      <c r="BJ750" s="271"/>
      <c r="BK750" s="271"/>
      <c r="BL750" s="271"/>
      <c r="BM750" s="271"/>
      <c r="BN750" s="271"/>
      <c r="BO750" s="271"/>
      <c r="BP750" s="271"/>
      <c r="BQ750" s="271"/>
      <c r="BR750" s="271"/>
      <c r="BS750" s="271"/>
      <c r="BT750" s="271"/>
      <c r="BU750" s="271"/>
      <c r="BV750" s="271"/>
      <c r="BW750" s="271"/>
      <c r="BX750" s="235">
        <f t="shared" si="327"/>
        <v>0</v>
      </c>
      <c r="BY750" s="271"/>
      <c r="BZ750" s="271"/>
      <c r="CA750" s="271"/>
      <c r="CB750" s="271"/>
      <c r="CC750" s="271">
        <v>606000000</v>
      </c>
      <c r="CD750" s="271"/>
      <c r="CE750" s="271"/>
      <c r="CF750" s="271"/>
      <c r="CG750" s="271"/>
      <c r="CH750" s="271"/>
      <c r="CI750" s="271"/>
      <c r="CJ750" s="271"/>
      <c r="CK750" s="271"/>
      <c r="CL750" s="271"/>
      <c r="CM750" s="271"/>
      <c r="CN750" s="235">
        <f t="shared" si="328"/>
        <v>606000000</v>
      </c>
      <c r="CO750" s="271"/>
      <c r="CP750" s="271"/>
      <c r="CQ750" s="271"/>
      <c r="CR750" s="271"/>
      <c r="CS750" s="271">
        <v>458000000</v>
      </c>
      <c r="CT750" s="271"/>
      <c r="CU750" s="271"/>
      <c r="CV750" s="271"/>
      <c r="CW750" s="271"/>
      <c r="CX750" s="271"/>
      <c r="CY750" s="271"/>
      <c r="CZ750" s="271"/>
      <c r="DA750" s="271"/>
      <c r="DB750" s="271"/>
      <c r="DC750" s="271"/>
      <c r="DD750" s="234">
        <f t="shared" si="329"/>
        <v>458000000</v>
      </c>
      <c r="DE750" s="244">
        <f t="shared" si="330"/>
        <v>1064000000</v>
      </c>
    </row>
    <row r="751" spans="1:110" s="98" customFormat="1" ht="119.1" customHeight="1">
      <c r="A751" s="103" t="s">
        <v>1245</v>
      </c>
      <c r="B751" s="279" t="s">
        <v>3614</v>
      </c>
      <c r="C751" s="279" t="s">
        <v>1738</v>
      </c>
      <c r="D751" s="279">
        <v>64</v>
      </c>
      <c r="E751" s="279" t="s">
        <v>1756</v>
      </c>
      <c r="F751" s="280" t="s">
        <v>116</v>
      </c>
      <c r="G751" s="279" t="s">
        <v>3620</v>
      </c>
      <c r="H751" s="279">
        <v>75</v>
      </c>
      <c r="I751" s="279" t="s">
        <v>117</v>
      </c>
      <c r="J751" s="279" t="s">
        <v>677</v>
      </c>
      <c r="K751" s="279">
        <v>44.02</v>
      </c>
      <c r="L751" s="279" t="s">
        <v>1757</v>
      </c>
      <c r="M751" s="279" t="s">
        <v>1758</v>
      </c>
      <c r="N751" s="279" t="s">
        <v>1759</v>
      </c>
      <c r="O751" s="279" t="s">
        <v>118</v>
      </c>
      <c r="P751" s="283">
        <v>668</v>
      </c>
      <c r="Q751" s="279" t="s">
        <v>2760</v>
      </c>
      <c r="R751" s="279" t="s">
        <v>1760</v>
      </c>
      <c r="S751" s="279" t="s">
        <v>683</v>
      </c>
      <c r="T751" s="279">
        <v>14</v>
      </c>
      <c r="U751" s="267"/>
      <c r="V751" s="267"/>
      <c r="W751" s="224">
        <v>0</v>
      </c>
      <c r="X751" s="267">
        <v>3</v>
      </c>
      <c r="Y751" s="267">
        <v>3</v>
      </c>
      <c r="Z751" s="267">
        <v>2</v>
      </c>
      <c r="AA751" s="267">
        <v>1</v>
      </c>
      <c r="AB751" s="224">
        <v>9</v>
      </c>
      <c r="AC751" s="267">
        <v>1</v>
      </c>
      <c r="AD751" s="267">
        <v>2</v>
      </c>
      <c r="AE751" s="267">
        <v>2</v>
      </c>
      <c r="AF751" s="267">
        <v>1</v>
      </c>
      <c r="AG751" s="224">
        <v>6</v>
      </c>
      <c r="AH751" s="267"/>
      <c r="AI751" s="267"/>
      <c r="AJ751" s="267"/>
      <c r="AK751" s="267"/>
      <c r="AL751" s="224">
        <v>0</v>
      </c>
      <c r="AM751" s="104">
        <v>15</v>
      </c>
      <c r="AN751" s="103" t="s">
        <v>685</v>
      </c>
      <c r="AO751" s="103" t="s">
        <v>623</v>
      </c>
      <c r="AP751" s="103" t="s">
        <v>1215</v>
      </c>
      <c r="AQ751" s="103" t="s">
        <v>1196</v>
      </c>
      <c r="AR751" s="103" t="s">
        <v>941</v>
      </c>
      <c r="AS751" s="271"/>
      <c r="AT751" s="271"/>
      <c r="AU751" s="271"/>
      <c r="AV751" s="271"/>
      <c r="AW751" s="271"/>
      <c r="AX751" s="271"/>
      <c r="AY751" s="271"/>
      <c r="AZ751" s="271"/>
      <c r="BA751" s="271"/>
      <c r="BB751" s="271"/>
      <c r="BC751" s="271"/>
      <c r="BD751" s="271"/>
      <c r="BE751" s="271"/>
      <c r="BF751" s="271"/>
      <c r="BG751" s="271"/>
      <c r="BH751" s="235">
        <f t="shared" si="326"/>
        <v>0</v>
      </c>
      <c r="BI751" s="271"/>
      <c r="BJ751" s="271"/>
      <c r="BK751" s="271"/>
      <c r="BL751" s="271"/>
      <c r="BM751" s="271">
        <v>3000000</v>
      </c>
      <c r="BN751" s="271"/>
      <c r="BO751" s="271"/>
      <c r="BP751" s="271"/>
      <c r="BQ751" s="271"/>
      <c r="BR751" s="271"/>
      <c r="BS751" s="271"/>
      <c r="BT751" s="271"/>
      <c r="BU751" s="271"/>
      <c r="BV751" s="271"/>
      <c r="BW751" s="271"/>
      <c r="BX751" s="235">
        <f t="shared" si="327"/>
        <v>3000000</v>
      </c>
      <c r="BY751" s="271"/>
      <c r="BZ751" s="271"/>
      <c r="CA751" s="271"/>
      <c r="CB751" s="271"/>
      <c r="CC751" s="271">
        <v>2000000</v>
      </c>
      <c r="CD751" s="271"/>
      <c r="CE751" s="271"/>
      <c r="CF751" s="271"/>
      <c r="CG751" s="271"/>
      <c r="CH751" s="271"/>
      <c r="CI751" s="271"/>
      <c r="CJ751" s="271"/>
      <c r="CK751" s="271"/>
      <c r="CL751" s="271"/>
      <c r="CM751" s="271"/>
      <c r="CN751" s="235">
        <f t="shared" si="328"/>
        <v>2000000</v>
      </c>
      <c r="CO751" s="271"/>
      <c r="CP751" s="271"/>
      <c r="CQ751" s="271"/>
      <c r="CR751" s="271"/>
      <c r="CS751" s="271"/>
      <c r="CT751" s="271"/>
      <c r="CU751" s="271"/>
      <c r="CV751" s="271"/>
      <c r="CW751" s="271"/>
      <c r="CX751" s="271"/>
      <c r="CY751" s="271"/>
      <c r="CZ751" s="271"/>
      <c r="DA751" s="271"/>
      <c r="DB751" s="271"/>
      <c r="DC751" s="271"/>
      <c r="DD751" s="234">
        <f t="shared" si="329"/>
        <v>0</v>
      </c>
      <c r="DE751" s="244">
        <f t="shared" si="330"/>
        <v>5000000</v>
      </c>
    </row>
    <row r="752" spans="1:110" s="98" customFormat="1" ht="119.1" customHeight="1">
      <c r="A752" s="103" t="s">
        <v>1246</v>
      </c>
      <c r="B752" s="279" t="s">
        <v>3614</v>
      </c>
      <c r="C752" s="279" t="s">
        <v>1738</v>
      </c>
      <c r="D752" s="279">
        <v>64</v>
      </c>
      <c r="E752" s="279" t="s">
        <v>1756</v>
      </c>
      <c r="F752" s="280" t="s">
        <v>116</v>
      </c>
      <c r="G752" s="279" t="s">
        <v>3620</v>
      </c>
      <c r="H752" s="279">
        <v>75</v>
      </c>
      <c r="I752" s="279" t="s">
        <v>117</v>
      </c>
      <c r="J752" s="279" t="s">
        <v>677</v>
      </c>
      <c r="K752" s="279">
        <v>44.02</v>
      </c>
      <c r="L752" s="279" t="s">
        <v>1757</v>
      </c>
      <c r="M752" s="279" t="s">
        <v>1761</v>
      </c>
      <c r="N752" s="279" t="s">
        <v>1762</v>
      </c>
      <c r="O752" s="279" t="s">
        <v>131</v>
      </c>
      <c r="P752" s="283">
        <v>669</v>
      </c>
      <c r="Q752" s="279" t="s">
        <v>3746</v>
      </c>
      <c r="R752" s="279" t="s">
        <v>1763</v>
      </c>
      <c r="S752" s="279" t="s">
        <v>683</v>
      </c>
      <c r="T752" s="279">
        <v>0</v>
      </c>
      <c r="U752" s="267"/>
      <c r="V752" s="267"/>
      <c r="W752" s="224">
        <v>0</v>
      </c>
      <c r="X752" s="267"/>
      <c r="Y752" s="267"/>
      <c r="Z752" s="267">
        <v>2</v>
      </c>
      <c r="AA752" s="267"/>
      <c r="AB752" s="224">
        <v>2</v>
      </c>
      <c r="AC752" s="267"/>
      <c r="AD752" s="267">
        <v>2</v>
      </c>
      <c r="AE752" s="267"/>
      <c r="AF752" s="267"/>
      <c r="AG752" s="224">
        <v>2</v>
      </c>
      <c r="AH752" s="267"/>
      <c r="AI752" s="267">
        <v>2</v>
      </c>
      <c r="AJ752" s="267"/>
      <c r="AK752" s="267"/>
      <c r="AL752" s="224">
        <v>2</v>
      </c>
      <c r="AM752" s="104">
        <v>6</v>
      </c>
      <c r="AN752" s="103" t="s">
        <v>685</v>
      </c>
      <c r="AO752" s="103" t="s">
        <v>623</v>
      </c>
      <c r="AP752" s="103" t="s">
        <v>1215</v>
      </c>
      <c r="AQ752" s="103" t="s">
        <v>1196</v>
      </c>
      <c r="AR752" s="103" t="s">
        <v>941</v>
      </c>
      <c r="AS752" s="271"/>
      <c r="AT752" s="271"/>
      <c r="AU752" s="271"/>
      <c r="AV752" s="271"/>
      <c r="AW752" s="271"/>
      <c r="AX752" s="271"/>
      <c r="AY752" s="271"/>
      <c r="AZ752" s="271"/>
      <c r="BA752" s="271"/>
      <c r="BB752" s="271"/>
      <c r="BC752" s="271"/>
      <c r="BD752" s="271"/>
      <c r="BE752" s="271"/>
      <c r="BF752" s="271"/>
      <c r="BG752" s="271"/>
      <c r="BH752" s="235">
        <f t="shared" si="326"/>
        <v>0</v>
      </c>
      <c r="BI752" s="271"/>
      <c r="BJ752" s="271"/>
      <c r="BK752" s="271"/>
      <c r="BL752" s="271"/>
      <c r="BM752" s="271"/>
      <c r="BN752" s="271"/>
      <c r="BO752" s="271">
        <v>200000000</v>
      </c>
      <c r="BP752" s="271"/>
      <c r="BQ752" s="271"/>
      <c r="BR752" s="271"/>
      <c r="BS752" s="271"/>
      <c r="BT752" s="271"/>
      <c r="BU752" s="271"/>
      <c r="BV752" s="271"/>
      <c r="BW752" s="271">
        <v>3871935224.5</v>
      </c>
      <c r="BX752" s="235">
        <f t="shared" si="327"/>
        <v>4071935224.5</v>
      </c>
      <c r="BY752" s="271"/>
      <c r="BZ752" s="271"/>
      <c r="CA752" s="271"/>
      <c r="CB752" s="271"/>
      <c r="CC752" s="271"/>
      <c r="CD752" s="271"/>
      <c r="CE752" s="271">
        <v>200000000</v>
      </c>
      <c r="CF752" s="271"/>
      <c r="CG752" s="271"/>
      <c r="CH752" s="271"/>
      <c r="CI752" s="271"/>
      <c r="CJ752" s="271"/>
      <c r="CK752" s="271"/>
      <c r="CL752" s="271"/>
      <c r="CM752" s="271"/>
      <c r="CN752" s="235">
        <f t="shared" si="328"/>
        <v>200000000</v>
      </c>
      <c r="CO752" s="271"/>
      <c r="CP752" s="271"/>
      <c r="CQ752" s="271"/>
      <c r="CR752" s="271"/>
      <c r="CS752" s="271"/>
      <c r="CT752" s="271"/>
      <c r="CU752" s="271">
        <v>100000000</v>
      </c>
      <c r="CV752" s="271"/>
      <c r="CW752" s="271"/>
      <c r="CX752" s="271"/>
      <c r="CY752" s="271"/>
      <c r="CZ752" s="271"/>
      <c r="DA752" s="271"/>
      <c r="DB752" s="271"/>
      <c r="DC752" s="271"/>
      <c r="DD752" s="234">
        <f t="shared" si="329"/>
        <v>100000000</v>
      </c>
      <c r="DE752" s="244">
        <f t="shared" ref="DE752:DE756" si="331">SUM(DD752+CN752+BX752+BH752)</f>
        <v>4371935224.5</v>
      </c>
    </row>
    <row r="753" spans="1:110" s="98" customFormat="1" ht="119.1" customHeight="1">
      <c r="A753" s="103" t="s">
        <v>1246</v>
      </c>
      <c r="B753" s="279" t="s">
        <v>3614</v>
      </c>
      <c r="C753" s="279" t="s">
        <v>1738</v>
      </c>
      <c r="D753" s="279">
        <v>64</v>
      </c>
      <c r="E753" s="279" t="s">
        <v>1756</v>
      </c>
      <c r="F753" s="280" t="s">
        <v>116</v>
      </c>
      <c r="G753" s="279" t="s">
        <v>3622</v>
      </c>
      <c r="H753" s="279">
        <v>76</v>
      </c>
      <c r="I753" s="279" t="s">
        <v>133</v>
      </c>
      <c r="J753" s="279" t="s">
        <v>677</v>
      </c>
      <c r="K753" s="279">
        <v>5.54</v>
      </c>
      <c r="L753" s="279" t="s">
        <v>1764</v>
      </c>
      <c r="M753" s="279" t="s">
        <v>1765</v>
      </c>
      <c r="N753" s="279" t="s">
        <v>1766</v>
      </c>
      <c r="O753" s="279" t="s">
        <v>1767</v>
      </c>
      <c r="P753" s="283">
        <v>670</v>
      </c>
      <c r="Q753" s="279" t="s">
        <v>3672</v>
      </c>
      <c r="R753" s="279" t="s">
        <v>135</v>
      </c>
      <c r="S753" s="279" t="s">
        <v>683</v>
      </c>
      <c r="T753" s="279">
        <v>0</v>
      </c>
      <c r="U753" s="267"/>
      <c r="V753" s="267"/>
      <c r="W753" s="224">
        <v>0</v>
      </c>
      <c r="X753" s="267"/>
      <c r="Y753" s="267">
        <v>0.5</v>
      </c>
      <c r="Z753" s="267">
        <v>0.5</v>
      </c>
      <c r="AA753" s="267"/>
      <c r="AB753" s="224">
        <v>1</v>
      </c>
      <c r="AC753" s="267"/>
      <c r="AD753" s="267"/>
      <c r="AE753" s="267"/>
      <c r="AF753" s="267"/>
      <c r="AG753" s="224">
        <v>0</v>
      </c>
      <c r="AH753" s="267"/>
      <c r="AI753" s="267"/>
      <c r="AJ753" s="267"/>
      <c r="AK753" s="267"/>
      <c r="AL753" s="224">
        <v>0</v>
      </c>
      <c r="AM753" s="104">
        <v>1</v>
      </c>
      <c r="AN753" s="103" t="s">
        <v>685</v>
      </c>
      <c r="AO753" s="103" t="s">
        <v>623</v>
      </c>
      <c r="AP753" s="103" t="s">
        <v>1215</v>
      </c>
      <c r="AQ753" s="103" t="s">
        <v>1196</v>
      </c>
      <c r="AR753" s="103" t="s">
        <v>941</v>
      </c>
      <c r="AS753" s="271"/>
      <c r="AT753" s="271"/>
      <c r="AU753" s="271"/>
      <c r="AV753" s="271"/>
      <c r="AW753" s="271"/>
      <c r="AX753" s="271"/>
      <c r="AY753" s="271"/>
      <c r="AZ753" s="271"/>
      <c r="BA753" s="271"/>
      <c r="BB753" s="271"/>
      <c r="BC753" s="271"/>
      <c r="BD753" s="271"/>
      <c r="BE753" s="271"/>
      <c r="BF753" s="271"/>
      <c r="BG753" s="271"/>
      <c r="BH753" s="235">
        <f t="shared" si="326"/>
        <v>0</v>
      </c>
      <c r="BI753" s="271"/>
      <c r="BJ753" s="271"/>
      <c r="BK753" s="271"/>
      <c r="BL753" s="271"/>
      <c r="BM753" s="271"/>
      <c r="BN753" s="271"/>
      <c r="BO753" s="271">
        <v>100000000</v>
      </c>
      <c r="BP753" s="271"/>
      <c r="BQ753" s="271"/>
      <c r="BR753" s="271"/>
      <c r="BS753" s="271"/>
      <c r="BT753" s="271"/>
      <c r="BU753" s="271"/>
      <c r="BV753" s="271"/>
      <c r="BW753" s="271"/>
      <c r="BX753" s="235">
        <f t="shared" si="327"/>
        <v>100000000</v>
      </c>
      <c r="BY753" s="271"/>
      <c r="BZ753" s="271"/>
      <c r="CA753" s="271"/>
      <c r="CB753" s="271"/>
      <c r="CC753" s="271"/>
      <c r="CD753" s="271"/>
      <c r="CE753" s="271"/>
      <c r="CF753" s="271"/>
      <c r="CG753" s="271"/>
      <c r="CH753" s="271"/>
      <c r="CI753" s="271"/>
      <c r="CJ753" s="271"/>
      <c r="CK753" s="271"/>
      <c r="CL753" s="271"/>
      <c r="CM753" s="271"/>
      <c r="CN753" s="235">
        <f t="shared" si="328"/>
        <v>0</v>
      </c>
      <c r="CO753" s="271"/>
      <c r="CP753" s="271"/>
      <c r="CQ753" s="271"/>
      <c r="CR753" s="271"/>
      <c r="CS753" s="271"/>
      <c r="CT753" s="271"/>
      <c r="CU753" s="271"/>
      <c r="CV753" s="271"/>
      <c r="CW753" s="271"/>
      <c r="CX753" s="271"/>
      <c r="CY753" s="271"/>
      <c r="CZ753" s="271"/>
      <c r="DA753" s="271"/>
      <c r="DB753" s="271"/>
      <c r="DC753" s="271"/>
      <c r="DD753" s="234">
        <f t="shared" si="329"/>
        <v>0</v>
      </c>
      <c r="DE753" s="244">
        <f t="shared" si="331"/>
        <v>100000000</v>
      </c>
    </row>
    <row r="754" spans="1:110" s="98" customFormat="1" ht="119.1" customHeight="1">
      <c r="A754" s="103" t="s">
        <v>1246</v>
      </c>
      <c r="B754" s="279" t="s">
        <v>3614</v>
      </c>
      <c r="C754" s="279" t="s">
        <v>1738</v>
      </c>
      <c r="D754" s="279">
        <v>64</v>
      </c>
      <c r="E754" s="279" t="s">
        <v>1756</v>
      </c>
      <c r="F754" s="280" t="s">
        <v>116</v>
      </c>
      <c r="G754" s="279" t="s">
        <v>3622</v>
      </c>
      <c r="H754" s="279">
        <v>76</v>
      </c>
      <c r="I754" s="279" t="s">
        <v>133</v>
      </c>
      <c r="J754" s="279" t="s">
        <v>677</v>
      </c>
      <c r="K754" s="279">
        <v>5.54</v>
      </c>
      <c r="L754" s="279" t="s">
        <v>1764</v>
      </c>
      <c r="M754" s="279" t="s">
        <v>1765</v>
      </c>
      <c r="N754" s="279" t="s">
        <v>1766</v>
      </c>
      <c r="O754" s="279" t="s">
        <v>1767</v>
      </c>
      <c r="P754" s="283">
        <v>671</v>
      </c>
      <c r="Q754" s="279" t="s">
        <v>3673</v>
      </c>
      <c r="R754" s="279" t="s">
        <v>140</v>
      </c>
      <c r="S754" s="279" t="s">
        <v>683</v>
      </c>
      <c r="T754" s="279">
        <v>80</v>
      </c>
      <c r="U754" s="267"/>
      <c r="V754" s="267">
        <v>40</v>
      </c>
      <c r="W754" s="224">
        <v>40</v>
      </c>
      <c r="X754" s="267"/>
      <c r="Y754" s="267"/>
      <c r="Z754" s="267"/>
      <c r="AA754" s="267">
        <v>30</v>
      </c>
      <c r="AB754" s="224">
        <v>30</v>
      </c>
      <c r="AC754" s="267"/>
      <c r="AD754" s="267"/>
      <c r="AE754" s="267"/>
      <c r="AF754" s="267">
        <v>30</v>
      </c>
      <c r="AG754" s="224">
        <v>30</v>
      </c>
      <c r="AH754" s="267"/>
      <c r="AI754" s="267"/>
      <c r="AJ754" s="267"/>
      <c r="AK754" s="267"/>
      <c r="AL754" s="224">
        <v>0</v>
      </c>
      <c r="AM754" s="104">
        <v>100</v>
      </c>
      <c r="AN754" s="103" t="s">
        <v>685</v>
      </c>
      <c r="AO754" s="103" t="s">
        <v>623</v>
      </c>
      <c r="AP754" s="103" t="s">
        <v>1215</v>
      </c>
      <c r="AQ754" s="103" t="s">
        <v>1196</v>
      </c>
      <c r="AR754" s="103" t="s">
        <v>941</v>
      </c>
      <c r="AS754" s="271"/>
      <c r="AT754" s="271"/>
      <c r="AU754" s="271"/>
      <c r="AV754" s="271"/>
      <c r="AW754" s="271"/>
      <c r="AX754" s="271"/>
      <c r="AY754" s="271">
        <v>420000000</v>
      </c>
      <c r="AZ754" s="271"/>
      <c r="BA754" s="271"/>
      <c r="BB754" s="271"/>
      <c r="BC754" s="271"/>
      <c r="BD754" s="271"/>
      <c r="BE754" s="271"/>
      <c r="BF754" s="271"/>
      <c r="BG754" s="271"/>
      <c r="BH754" s="235">
        <f t="shared" si="326"/>
        <v>420000000</v>
      </c>
      <c r="BI754" s="271"/>
      <c r="BJ754" s="271"/>
      <c r="BK754" s="271"/>
      <c r="BL754" s="271"/>
      <c r="BM754" s="271"/>
      <c r="BN754" s="271"/>
      <c r="BO754" s="271">
        <v>100000000</v>
      </c>
      <c r="BP754" s="271"/>
      <c r="BQ754" s="271"/>
      <c r="BR754" s="271"/>
      <c r="BS754" s="271"/>
      <c r="BT754" s="271"/>
      <c r="BU754" s="271"/>
      <c r="BV754" s="271"/>
      <c r="BW754" s="271"/>
      <c r="BX754" s="235">
        <f t="shared" si="327"/>
        <v>100000000</v>
      </c>
      <c r="BY754" s="271"/>
      <c r="BZ754" s="271"/>
      <c r="CA754" s="271"/>
      <c r="CB754" s="271"/>
      <c r="CC754" s="271"/>
      <c r="CD754" s="271"/>
      <c r="CE754" s="271">
        <v>100000000</v>
      </c>
      <c r="CF754" s="271"/>
      <c r="CG754" s="271"/>
      <c r="CH754" s="271"/>
      <c r="CI754" s="271"/>
      <c r="CJ754" s="271"/>
      <c r="CK754" s="271"/>
      <c r="CL754" s="271"/>
      <c r="CM754" s="271"/>
      <c r="CN754" s="235">
        <f t="shared" si="328"/>
        <v>100000000</v>
      </c>
      <c r="CO754" s="271"/>
      <c r="CP754" s="271"/>
      <c r="CQ754" s="271"/>
      <c r="CR754" s="271"/>
      <c r="CS754" s="271"/>
      <c r="CT754" s="271"/>
      <c r="CU754" s="271"/>
      <c r="CV754" s="271"/>
      <c r="CW754" s="271"/>
      <c r="CX754" s="271"/>
      <c r="CY754" s="271"/>
      <c r="CZ754" s="271"/>
      <c r="DA754" s="271"/>
      <c r="DB754" s="271"/>
      <c r="DC754" s="271"/>
      <c r="DD754" s="234">
        <f t="shared" si="329"/>
        <v>0</v>
      </c>
      <c r="DE754" s="244">
        <f t="shared" si="331"/>
        <v>620000000</v>
      </c>
    </row>
    <row r="755" spans="1:110" s="98" customFormat="1" ht="119.1" customHeight="1">
      <c r="A755" s="103" t="s">
        <v>1246</v>
      </c>
      <c r="B755" s="279" t="s">
        <v>3614</v>
      </c>
      <c r="C755" s="279" t="s">
        <v>1738</v>
      </c>
      <c r="D755" s="279">
        <v>64</v>
      </c>
      <c r="E755" s="279" t="s">
        <v>1756</v>
      </c>
      <c r="F755" s="280" t="s">
        <v>116</v>
      </c>
      <c r="G755" s="279" t="s">
        <v>3622</v>
      </c>
      <c r="H755" s="279">
        <v>76</v>
      </c>
      <c r="I755" s="279" t="s">
        <v>133</v>
      </c>
      <c r="J755" s="279" t="s">
        <v>677</v>
      </c>
      <c r="K755" s="279">
        <v>5.54</v>
      </c>
      <c r="L755" s="279" t="s">
        <v>1764</v>
      </c>
      <c r="M755" s="279" t="s">
        <v>1765</v>
      </c>
      <c r="N755" s="279" t="s">
        <v>1766</v>
      </c>
      <c r="O755" s="279" t="s">
        <v>1767</v>
      </c>
      <c r="P755" s="283">
        <v>672</v>
      </c>
      <c r="Q755" s="279" t="s">
        <v>3747</v>
      </c>
      <c r="R755" s="279" t="s">
        <v>141</v>
      </c>
      <c r="S755" s="279" t="s">
        <v>683</v>
      </c>
      <c r="T755" s="279">
        <v>7</v>
      </c>
      <c r="U755" s="267"/>
      <c r="V755" s="267">
        <v>1</v>
      </c>
      <c r="W755" s="224">
        <v>1</v>
      </c>
      <c r="X755" s="267"/>
      <c r="Y755" s="267"/>
      <c r="Z755" s="267"/>
      <c r="AA755" s="267">
        <v>2</v>
      </c>
      <c r="AB755" s="224">
        <v>2</v>
      </c>
      <c r="AC755" s="267"/>
      <c r="AD755" s="267"/>
      <c r="AE755" s="267"/>
      <c r="AF755" s="267">
        <v>2</v>
      </c>
      <c r="AG755" s="224">
        <v>2</v>
      </c>
      <c r="AH755" s="267"/>
      <c r="AI755" s="267"/>
      <c r="AJ755" s="267"/>
      <c r="AK755" s="267">
        <v>2</v>
      </c>
      <c r="AL755" s="224">
        <v>2</v>
      </c>
      <c r="AM755" s="104">
        <v>7</v>
      </c>
      <c r="AN755" s="103" t="s">
        <v>685</v>
      </c>
      <c r="AO755" s="103" t="s">
        <v>623</v>
      </c>
      <c r="AP755" s="103" t="s">
        <v>1215</v>
      </c>
      <c r="AQ755" s="103" t="s">
        <v>1196</v>
      </c>
      <c r="AR755" s="103" t="s">
        <v>941</v>
      </c>
      <c r="AS755" s="271"/>
      <c r="AT755" s="271"/>
      <c r="AU755" s="271"/>
      <c r="AV755" s="271"/>
      <c r="AW755" s="271"/>
      <c r="AX755" s="271"/>
      <c r="AY755" s="271">
        <v>900000000</v>
      </c>
      <c r="AZ755" s="271"/>
      <c r="BA755" s="271"/>
      <c r="BB755" s="271"/>
      <c r="BC755" s="271"/>
      <c r="BD755" s="271"/>
      <c r="BE755" s="271"/>
      <c r="BF755" s="271"/>
      <c r="BG755" s="271"/>
      <c r="BH755" s="235">
        <f t="shared" si="326"/>
        <v>900000000</v>
      </c>
      <c r="BI755" s="271"/>
      <c r="BJ755" s="271"/>
      <c r="BK755" s="271"/>
      <c r="BL755" s="271"/>
      <c r="BM755" s="271"/>
      <c r="BN755" s="271"/>
      <c r="BO755" s="271">
        <v>119999960</v>
      </c>
      <c r="BP755" s="271"/>
      <c r="BQ755" s="271"/>
      <c r="BR755" s="271"/>
      <c r="BS755" s="271"/>
      <c r="BT755" s="271"/>
      <c r="BU755" s="271"/>
      <c r="BV755" s="271"/>
      <c r="BW755" s="271"/>
      <c r="BX755" s="235">
        <f t="shared" si="327"/>
        <v>119999960</v>
      </c>
      <c r="BY755" s="271"/>
      <c r="BZ755" s="271"/>
      <c r="CA755" s="271"/>
      <c r="CB755" s="271"/>
      <c r="CC755" s="271"/>
      <c r="CD755" s="271"/>
      <c r="CE755" s="271">
        <v>200000000</v>
      </c>
      <c r="CF755" s="271"/>
      <c r="CG755" s="271"/>
      <c r="CH755" s="271"/>
      <c r="CI755" s="271"/>
      <c r="CJ755" s="271"/>
      <c r="CK755" s="271"/>
      <c r="CL755" s="271"/>
      <c r="CM755" s="271"/>
      <c r="CN755" s="235">
        <f t="shared" si="328"/>
        <v>200000000</v>
      </c>
      <c r="CO755" s="271"/>
      <c r="CP755" s="271"/>
      <c r="CQ755" s="271"/>
      <c r="CR755" s="271"/>
      <c r="CS755" s="271"/>
      <c r="CT755" s="271"/>
      <c r="CU755" s="271">
        <v>200000000</v>
      </c>
      <c r="CV755" s="271"/>
      <c r="CW755" s="271"/>
      <c r="CX755" s="271"/>
      <c r="CY755" s="271"/>
      <c r="CZ755" s="271"/>
      <c r="DA755" s="271"/>
      <c r="DB755" s="271"/>
      <c r="DC755" s="271"/>
      <c r="DD755" s="234">
        <f t="shared" si="329"/>
        <v>200000000</v>
      </c>
      <c r="DE755" s="244">
        <f t="shared" si="331"/>
        <v>1419999960</v>
      </c>
    </row>
    <row r="756" spans="1:110" s="98" customFormat="1" ht="119.1" customHeight="1">
      <c r="A756" s="120" t="s">
        <v>1246</v>
      </c>
      <c r="B756" s="281" t="s">
        <v>3614</v>
      </c>
      <c r="C756" s="281" t="s">
        <v>1738</v>
      </c>
      <c r="D756" s="281">
        <v>64</v>
      </c>
      <c r="E756" s="281" t="s">
        <v>1756</v>
      </c>
      <c r="F756" s="282" t="s">
        <v>116</v>
      </c>
      <c r="G756" s="281" t="s">
        <v>3622</v>
      </c>
      <c r="H756" s="281">
        <v>76</v>
      </c>
      <c r="I756" s="281" t="s">
        <v>133</v>
      </c>
      <c r="J756" s="281" t="s">
        <v>677</v>
      </c>
      <c r="K756" s="281">
        <v>5.54</v>
      </c>
      <c r="L756" s="281" t="s">
        <v>1764</v>
      </c>
      <c r="M756" s="281" t="s">
        <v>1765</v>
      </c>
      <c r="N756" s="281" t="s">
        <v>1766</v>
      </c>
      <c r="O756" s="281" t="s">
        <v>1767</v>
      </c>
      <c r="P756" s="283">
        <v>673</v>
      </c>
      <c r="Q756" s="281" t="s">
        <v>3748</v>
      </c>
      <c r="R756" s="281" t="s">
        <v>143</v>
      </c>
      <c r="S756" s="281" t="s">
        <v>683</v>
      </c>
      <c r="T756" s="281">
        <v>4</v>
      </c>
      <c r="U756" s="275"/>
      <c r="V756" s="275"/>
      <c r="W756" s="225">
        <v>0</v>
      </c>
      <c r="X756" s="275"/>
      <c r="Y756" s="275"/>
      <c r="Z756" s="275"/>
      <c r="AA756" s="275">
        <v>1</v>
      </c>
      <c r="AB756" s="225">
        <v>1</v>
      </c>
      <c r="AC756" s="275"/>
      <c r="AD756" s="275"/>
      <c r="AE756" s="275"/>
      <c r="AF756" s="275">
        <v>1</v>
      </c>
      <c r="AG756" s="225">
        <v>1</v>
      </c>
      <c r="AH756" s="275"/>
      <c r="AI756" s="275"/>
      <c r="AJ756" s="275"/>
      <c r="AK756" s="275">
        <v>2</v>
      </c>
      <c r="AL756" s="225">
        <v>2</v>
      </c>
      <c r="AM756" s="119">
        <v>4</v>
      </c>
      <c r="AN756" s="120" t="s">
        <v>685</v>
      </c>
      <c r="AO756" s="120" t="s">
        <v>623</v>
      </c>
      <c r="AP756" s="120" t="s">
        <v>1215</v>
      </c>
      <c r="AQ756" s="120" t="s">
        <v>1196</v>
      </c>
      <c r="AR756" s="120" t="s">
        <v>941</v>
      </c>
      <c r="AS756" s="276"/>
      <c r="AT756" s="276"/>
      <c r="AU756" s="276"/>
      <c r="AV756" s="276"/>
      <c r="AW756" s="276"/>
      <c r="AX756" s="276"/>
      <c r="AY756" s="276"/>
      <c r="AZ756" s="276"/>
      <c r="BA756" s="276"/>
      <c r="BB756" s="276"/>
      <c r="BC756" s="276"/>
      <c r="BD756" s="276"/>
      <c r="BE756" s="276"/>
      <c r="BF756" s="276"/>
      <c r="BG756" s="276"/>
      <c r="BH756" s="236">
        <f t="shared" si="326"/>
        <v>0</v>
      </c>
      <c r="BI756" s="276"/>
      <c r="BJ756" s="276"/>
      <c r="BK756" s="276"/>
      <c r="BL756" s="276"/>
      <c r="BM756" s="276"/>
      <c r="BN756" s="276"/>
      <c r="BO756" s="276">
        <v>300000000</v>
      </c>
      <c r="BP756" s="276"/>
      <c r="BQ756" s="276"/>
      <c r="BR756" s="276"/>
      <c r="BS756" s="276"/>
      <c r="BT756" s="276"/>
      <c r="BU756" s="276"/>
      <c r="BV756" s="276"/>
      <c r="BW756" s="276">
        <v>1000000000</v>
      </c>
      <c r="BX756" s="236">
        <f t="shared" si="327"/>
        <v>1300000000</v>
      </c>
      <c r="BY756" s="276"/>
      <c r="BZ756" s="276"/>
      <c r="CA756" s="276"/>
      <c r="CB756" s="276"/>
      <c r="CC756" s="276"/>
      <c r="CD756" s="276"/>
      <c r="CE756" s="276">
        <v>480000000</v>
      </c>
      <c r="CF756" s="276"/>
      <c r="CG756" s="276"/>
      <c r="CH756" s="276"/>
      <c r="CI756" s="276"/>
      <c r="CJ756" s="276"/>
      <c r="CK756" s="276"/>
      <c r="CL756" s="276"/>
      <c r="CM756" s="276"/>
      <c r="CN756" s="236">
        <f t="shared" si="328"/>
        <v>480000000</v>
      </c>
      <c r="CO756" s="276"/>
      <c r="CP756" s="276"/>
      <c r="CQ756" s="276"/>
      <c r="CR756" s="276"/>
      <c r="CS756" s="276"/>
      <c r="CT756" s="276"/>
      <c r="CU756" s="276">
        <v>445000000</v>
      </c>
      <c r="CV756" s="276"/>
      <c r="CW756" s="276"/>
      <c r="CX756" s="276"/>
      <c r="CY756" s="276"/>
      <c r="CZ756" s="276"/>
      <c r="DA756" s="276"/>
      <c r="DB756" s="276"/>
      <c r="DC756" s="276"/>
      <c r="DD756" s="240">
        <f t="shared" si="329"/>
        <v>445000000</v>
      </c>
      <c r="DE756" s="245">
        <f t="shared" si="331"/>
        <v>2225000000</v>
      </c>
    </row>
    <row r="757" spans="1:110" ht="65.099999999999994" customHeight="1">
      <c r="A757" s="134"/>
      <c r="B757" s="134" t="s">
        <v>3614</v>
      </c>
      <c r="C757" s="134" t="s">
        <v>1738</v>
      </c>
      <c r="D757" s="134">
        <v>64</v>
      </c>
      <c r="E757" s="134" t="s">
        <v>1756</v>
      </c>
      <c r="F757" s="135"/>
      <c r="G757" s="136"/>
      <c r="H757" s="137"/>
      <c r="I757" s="137"/>
      <c r="J757" s="137"/>
      <c r="K757" s="138"/>
      <c r="L757" s="137"/>
      <c r="M757" s="137"/>
      <c r="N757" s="137"/>
      <c r="O757" s="137"/>
      <c r="P757" s="137"/>
      <c r="Q757" s="136"/>
      <c r="R757" s="139"/>
      <c r="S757" s="137"/>
      <c r="T757" s="137"/>
      <c r="U757" s="140"/>
      <c r="V757" s="140"/>
      <c r="W757" s="138"/>
      <c r="X757" s="140"/>
      <c r="Y757" s="140"/>
      <c r="Z757" s="140"/>
      <c r="AA757" s="140"/>
      <c r="AB757" s="138"/>
      <c r="AC757" s="140"/>
      <c r="AD757" s="140"/>
      <c r="AE757" s="140"/>
      <c r="AF757" s="140"/>
      <c r="AG757" s="138"/>
      <c r="AH757" s="140"/>
      <c r="AI757" s="140"/>
      <c r="AJ757" s="140"/>
      <c r="AK757" s="140"/>
      <c r="AL757" s="138"/>
      <c r="AM757" s="141"/>
      <c r="AN757" s="142"/>
      <c r="AO757" s="142"/>
      <c r="AP757" s="143"/>
      <c r="AQ757" s="143"/>
      <c r="AR757" s="144"/>
      <c r="AS757" s="132">
        <f>SUM(AS747:AS756)</f>
        <v>0</v>
      </c>
      <c r="AT757" s="132">
        <f t="shared" ref="AT757:DE757" si="332">SUM(AT747:AT756)</f>
        <v>0</v>
      </c>
      <c r="AU757" s="132">
        <f t="shared" si="332"/>
        <v>0</v>
      </c>
      <c r="AV757" s="132">
        <f t="shared" si="332"/>
        <v>0</v>
      </c>
      <c r="AW757" s="132">
        <f t="shared" si="332"/>
        <v>0</v>
      </c>
      <c r="AX757" s="132">
        <f t="shared" si="332"/>
        <v>0</v>
      </c>
      <c r="AY757" s="132">
        <f t="shared" si="332"/>
        <v>1320000000</v>
      </c>
      <c r="AZ757" s="132">
        <f t="shared" si="332"/>
        <v>0</v>
      </c>
      <c r="BA757" s="132">
        <f t="shared" si="332"/>
        <v>0</v>
      </c>
      <c r="BB757" s="132">
        <f t="shared" si="332"/>
        <v>0</v>
      </c>
      <c r="BC757" s="132">
        <f t="shared" si="332"/>
        <v>0</v>
      </c>
      <c r="BD757" s="132">
        <f t="shared" si="332"/>
        <v>0</v>
      </c>
      <c r="BE757" s="132">
        <f t="shared" si="332"/>
        <v>0</v>
      </c>
      <c r="BF757" s="132">
        <f t="shared" si="332"/>
        <v>0</v>
      </c>
      <c r="BG757" s="132">
        <f t="shared" si="332"/>
        <v>0</v>
      </c>
      <c r="BH757" s="132">
        <f t="shared" si="332"/>
        <v>1320000000</v>
      </c>
      <c r="BI757" s="132">
        <f t="shared" si="332"/>
        <v>0</v>
      </c>
      <c r="BJ757" s="132">
        <f t="shared" si="332"/>
        <v>0</v>
      </c>
      <c r="BK757" s="132">
        <f t="shared" si="332"/>
        <v>0</v>
      </c>
      <c r="BL757" s="132">
        <f t="shared" si="332"/>
        <v>0</v>
      </c>
      <c r="BM757" s="132">
        <f t="shared" si="332"/>
        <v>5000000</v>
      </c>
      <c r="BN757" s="132">
        <f t="shared" si="332"/>
        <v>0</v>
      </c>
      <c r="BO757" s="132">
        <f t="shared" si="332"/>
        <v>819999960</v>
      </c>
      <c r="BP757" s="132">
        <f t="shared" si="332"/>
        <v>0</v>
      </c>
      <c r="BQ757" s="132">
        <f t="shared" si="332"/>
        <v>0</v>
      </c>
      <c r="BR757" s="132">
        <f t="shared" si="332"/>
        <v>0</v>
      </c>
      <c r="BS757" s="132">
        <f t="shared" si="332"/>
        <v>0</v>
      </c>
      <c r="BT757" s="132">
        <f t="shared" si="332"/>
        <v>0</v>
      </c>
      <c r="BU757" s="132">
        <f t="shared" si="332"/>
        <v>0</v>
      </c>
      <c r="BV757" s="132">
        <f t="shared" si="332"/>
        <v>0</v>
      </c>
      <c r="BW757" s="132">
        <f t="shared" si="332"/>
        <v>4871935224.5</v>
      </c>
      <c r="BX757" s="132">
        <f t="shared" si="332"/>
        <v>5696935184.5</v>
      </c>
      <c r="BY757" s="132">
        <f t="shared" si="332"/>
        <v>0</v>
      </c>
      <c r="BZ757" s="132">
        <f t="shared" si="332"/>
        <v>0</v>
      </c>
      <c r="CA757" s="132">
        <f t="shared" si="332"/>
        <v>0</v>
      </c>
      <c r="CB757" s="132">
        <f t="shared" si="332"/>
        <v>0</v>
      </c>
      <c r="CC757" s="132">
        <f t="shared" si="332"/>
        <v>700000000</v>
      </c>
      <c r="CD757" s="132">
        <f t="shared" si="332"/>
        <v>0</v>
      </c>
      <c r="CE757" s="132">
        <f t="shared" si="332"/>
        <v>980000000</v>
      </c>
      <c r="CF757" s="132">
        <f t="shared" si="332"/>
        <v>0</v>
      </c>
      <c r="CG757" s="132">
        <f t="shared" si="332"/>
        <v>0</v>
      </c>
      <c r="CH757" s="132">
        <f t="shared" si="332"/>
        <v>0</v>
      </c>
      <c r="CI757" s="132">
        <f t="shared" si="332"/>
        <v>0</v>
      </c>
      <c r="CJ757" s="132">
        <f t="shared" si="332"/>
        <v>0</v>
      </c>
      <c r="CK757" s="132">
        <f t="shared" si="332"/>
        <v>0</v>
      </c>
      <c r="CL757" s="132">
        <f t="shared" si="332"/>
        <v>0</v>
      </c>
      <c r="CM757" s="132">
        <f t="shared" si="332"/>
        <v>0</v>
      </c>
      <c r="CN757" s="132">
        <f t="shared" si="332"/>
        <v>1680000000</v>
      </c>
      <c r="CO757" s="132">
        <f t="shared" si="332"/>
        <v>0</v>
      </c>
      <c r="CP757" s="132">
        <f t="shared" si="332"/>
        <v>0</v>
      </c>
      <c r="CQ757" s="132">
        <f t="shared" si="332"/>
        <v>0</v>
      </c>
      <c r="CR757" s="132">
        <f t="shared" si="332"/>
        <v>0</v>
      </c>
      <c r="CS757" s="132">
        <f t="shared" si="332"/>
        <v>460000000</v>
      </c>
      <c r="CT757" s="132">
        <f t="shared" si="332"/>
        <v>0</v>
      </c>
      <c r="CU757" s="132">
        <f t="shared" si="332"/>
        <v>745000000</v>
      </c>
      <c r="CV757" s="132">
        <f t="shared" si="332"/>
        <v>0</v>
      </c>
      <c r="CW757" s="132">
        <f t="shared" si="332"/>
        <v>0</v>
      </c>
      <c r="CX757" s="132">
        <f t="shared" si="332"/>
        <v>0</v>
      </c>
      <c r="CY757" s="132">
        <f t="shared" si="332"/>
        <v>0</v>
      </c>
      <c r="CZ757" s="132">
        <f t="shared" si="332"/>
        <v>0</v>
      </c>
      <c r="DA757" s="132">
        <f t="shared" si="332"/>
        <v>0</v>
      </c>
      <c r="DB757" s="132">
        <f t="shared" si="332"/>
        <v>0</v>
      </c>
      <c r="DC757" s="132">
        <f t="shared" si="332"/>
        <v>0</v>
      </c>
      <c r="DD757" s="132">
        <f t="shared" si="332"/>
        <v>1205000000</v>
      </c>
      <c r="DE757" s="132">
        <f t="shared" si="332"/>
        <v>9901935184.5</v>
      </c>
      <c r="DF757" s="101"/>
    </row>
    <row r="758" spans="1:110" s="98" customFormat="1" ht="119.1" customHeight="1">
      <c r="A758" s="103" t="s">
        <v>1245</v>
      </c>
      <c r="B758" s="103" t="s">
        <v>3614</v>
      </c>
      <c r="C758" s="103" t="s">
        <v>1738</v>
      </c>
      <c r="D758" s="103">
        <v>65</v>
      </c>
      <c r="E758" s="103" t="s">
        <v>1768</v>
      </c>
      <c r="F758" s="278" t="s">
        <v>145</v>
      </c>
      <c r="G758" s="103" t="s">
        <v>3229</v>
      </c>
      <c r="H758" s="103">
        <v>77</v>
      </c>
      <c r="I758" s="103" t="s">
        <v>146</v>
      </c>
      <c r="J758" s="103" t="s">
        <v>677</v>
      </c>
      <c r="K758" s="103">
        <v>64.37</v>
      </c>
      <c r="L758" s="103" t="s">
        <v>1769</v>
      </c>
      <c r="M758" s="103" t="s">
        <v>1770</v>
      </c>
      <c r="N758" s="103" t="s">
        <v>1771</v>
      </c>
      <c r="O758" s="103" t="s">
        <v>1772</v>
      </c>
      <c r="P758" s="283">
        <v>674</v>
      </c>
      <c r="Q758" s="103" t="s">
        <v>2761</v>
      </c>
      <c r="R758" s="103" t="s">
        <v>148</v>
      </c>
      <c r="S758" s="103" t="s">
        <v>683</v>
      </c>
      <c r="T758" s="103">
        <v>7</v>
      </c>
      <c r="U758" s="267"/>
      <c r="V758" s="267">
        <v>1</v>
      </c>
      <c r="W758" s="224">
        <v>1</v>
      </c>
      <c r="X758" s="267"/>
      <c r="Y758" s="267"/>
      <c r="Z758" s="267">
        <v>1</v>
      </c>
      <c r="AA758" s="267"/>
      <c r="AB758" s="224">
        <v>1</v>
      </c>
      <c r="AC758" s="267"/>
      <c r="AD758" s="267"/>
      <c r="AE758" s="267"/>
      <c r="AF758" s="267">
        <v>2</v>
      </c>
      <c r="AG758" s="224">
        <v>2</v>
      </c>
      <c r="AH758" s="267"/>
      <c r="AI758" s="267"/>
      <c r="AJ758" s="267"/>
      <c r="AK758" s="267"/>
      <c r="AL758" s="224">
        <v>0</v>
      </c>
      <c r="AM758" s="102">
        <v>4</v>
      </c>
      <c r="AN758" s="103" t="s">
        <v>685</v>
      </c>
      <c r="AO758" s="103" t="s">
        <v>623</v>
      </c>
      <c r="AP758" s="103" t="s">
        <v>1215</v>
      </c>
      <c r="AQ758" s="103" t="s">
        <v>1196</v>
      </c>
      <c r="AR758" s="103" t="s">
        <v>941</v>
      </c>
      <c r="AS758" s="268"/>
      <c r="AT758" s="268"/>
      <c r="AU758" s="268"/>
      <c r="AV758" s="268"/>
      <c r="AW758" s="268">
        <v>399900000</v>
      </c>
      <c r="AX758" s="268"/>
      <c r="AY758" s="268"/>
      <c r="AZ758" s="268"/>
      <c r="BA758" s="268"/>
      <c r="BB758" s="268"/>
      <c r="BC758" s="268"/>
      <c r="BD758" s="268"/>
      <c r="BE758" s="268"/>
      <c r="BF758" s="268"/>
      <c r="BG758" s="268"/>
      <c r="BH758" s="234">
        <f t="shared" ref="BH758:BH765" si="333">IF(W758=0,0,BG758+BF758+BE758+BD758+BC758+BB758+BA758+AZ758+AY758+AX758+AW758+AV758+AU758+AT758+AS758)</f>
        <v>399900000</v>
      </c>
      <c r="BI758" s="268"/>
      <c r="BJ758" s="268"/>
      <c r="BK758" s="268"/>
      <c r="BL758" s="268"/>
      <c r="BM758" s="268">
        <v>545900000</v>
      </c>
      <c r="BN758" s="268"/>
      <c r="BO758" s="268"/>
      <c r="BP758" s="268"/>
      <c r="BQ758" s="268"/>
      <c r="BR758" s="268"/>
      <c r="BS758" s="268"/>
      <c r="BT758" s="268"/>
      <c r="BU758" s="268"/>
      <c r="BV758" s="268"/>
      <c r="BW758" s="268"/>
      <c r="BX758" s="234">
        <f t="shared" ref="BX758:BX765" si="334">IF(AB758=0,0,BI758+BJ758+BK758+BL758+BM758+BN758+BO758+BP758+BQ758+BR758+BS758+BT758+BU758+BV758+BW758)</f>
        <v>545900000</v>
      </c>
      <c r="BY758" s="268"/>
      <c r="BZ758" s="268"/>
      <c r="CA758" s="268"/>
      <c r="CB758" s="268"/>
      <c r="CC758" s="268"/>
      <c r="CD758" s="268"/>
      <c r="CE758" s="268"/>
      <c r="CF758" s="268"/>
      <c r="CG758" s="268"/>
      <c r="CH758" s="268"/>
      <c r="CI758" s="268"/>
      <c r="CJ758" s="268"/>
      <c r="CK758" s="268"/>
      <c r="CL758" s="268"/>
      <c r="CM758" s="268">
        <v>1689500000</v>
      </c>
      <c r="CN758" s="234">
        <f t="shared" ref="CN758:CN765" si="335">IF(AG758=0,0,(BY758+BZ758+CA758+CB758+CC758+CD758+CE758+CF758+CG758+CH758+CI758+CJ758+CK758+CL758+CM758))</f>
        <v>1689500000</v>
      </c>
      <c r="CO758" s="268"/>
      <c r="CP758" s="268"/>
      <c r="CQ758" s="268"/>
      <c r="CR758" s="268"/>
      <c r="CS758" s="268"/>
      <c r="CT758" s="268"/>
      <c r="CU758" s="268"/>
      <c r="CV758" s="268"/>
      <c r="CW758" s="268"/>
      <c r="CX758" s="268"/>
      <c r="CY758" s="268"/>
      <c r="CZ758" s="268"/>
      <c r="DA758" s="268"/>
      <c r="DB758" s="268"/>
      <c r="DC758" s="268"/>
      <c r="DD758" s="234">
        <f t="shared" ref="DD758:DD765" si="336">IF(AL758=0,0,(CO758+CP758+CQ758+CR758+CS758+CT758+CU758+CV758+CW758+CX758+CY758+CZ758+DA758+DB758+DC758))</f>
        <v>0</v>
      </c>
      <c r="DE758" s="243">
        <f t="shared" ref="DE758:DE760" si="337">SUM(DD758+CN758+BX758+BH758)</f>
        <v>2635300000</v>
      </c>
    </row>
    <row r="759" spans="1:110" s="98" customFormat="1" ht="119.1" customHeight="1">
      <c r="A759" s="103" t="s">
        <v>1245</v>
      </c>
      <c r="B759" s="279" t="s">
        <v>3614</v>
      </c>
      <c r="C759" s="279" t="s">
        <v>1738</v>
      </c>
      <c r="D759" s="279">
        <v>65</v>
      </c>
      <c r="E759" s="279" t="s">
        <v>1768</v>
      </c>
      <c r="F759" s="280" t="s">
        <v>145</v>
      </c>
      <c r="G759" s="279" t="s">
        <v>3229</v>
      </c>
      <c r="H759" s="279">
        <v>77</v>
      </c>
      <c r="I759" s="279" t="s">
        <v>146</v>
      </c>
      <c r="J759" s="279" t="s">
        <v>677</v>
      </c>
      <c r="K759" s="279">
        <v>64.37</v>
      </c>
      <c r="L759" s="279" t="s">
        <v>1769</v>
      </c>
      <c r="M759" s="279" t="s">
        <v>1770</v>
      </c>
      <c r="N759" s="279" t="s">
        <v>1771</v>
      </c>
      <c r="O759" s="279" t="s">
        <v>1772</v>
      </c>
      <c r="P759" s="283">
        <v>675</v>
      </c>
      <c r="Q759" s="279" t="s">
        <v>2762</v>
      </c>
      <c r="R759" s="279" t="s">
        <v>150</v>
      </c>
      <c r="S759" s="279" t="s">
        <v>683</v>
      </c>
      <c r="T759" s="279">
        <v>0</v>
      </c>
      <c r="U759" s="267"/>
      <c r="V759" s="267"/>
      <c r="W759" s="224">
        <v>0</v>
      </c>
      <c r="X759" s="267"/>
      <c r="Y759" s="267"/>
      <c r="Z759" s="267"/>
      <c r="AA759" s="267">
        <v>2</v>
      </c>
      <c r="AB759" s="224">
        <v>2</v>
      </c>
      <c r="AC759" s="267"/>
      <c r="AD759" s="267"/>
      <c r="AE759" s="267"/>
      <c r="AF759" s="267"/>
      <c r="AG759" s="224">
        <v>0</v>
      </c>
      <c r="AH759" s="267"/>
      <c r="AI759" s="267"/>
      <c r="AJ759" s="267"/>
      <c r="AK759" s="267"/>
      <c r="AL759" s="224">
        <v>0</v>
      </c>
      <c r="AM759" s="104">
        <v>2</v>
      </c>
      <c r="AN759" s="103" t="s">
        <v>685</v>
      </c>
      <c r="AO759" s="103" t="s">
        <v>623</v>
      </c>
      <c r="AP759" s="103" t="s">
        <v>1215</v>
      </c>
      <c r="AQ759" s="103" t="s">
        <v>1196</v>
      </c>
      <c r="AR759" s="103" t="s">
        <v>941</v>
      </c>
      <c r="AS759" s="271"/>
      <c r="AT759" s="271"/>
      <c r="AU759" s="271"/>
      <c r="AV759" s="271"/>
      <c r="AW759" s="271"/>
      <c r="AX759" s="271"/>
      <c r="AY759" s="271"/>
      <c r="AZ759" s="271"/>
      <c r="BA759" s="271"/>
      <c r="BB759" s="271"/>
      <c r="BC759" s="271"/>
      <c r="BD759" s="271"/>
      <c r="BE759" s="271"/>
      <c r="BF759" s="271"/>
      <c r="BG759" s="271"/>
      <c r="BH759" s="235">
        <f t="shared" si="333"/>
        <v>0</v>
      </c>
      <c r="BI759" s="271"/>
      <c r="BJ759" s="271"/>
      <c r="BK759" s="271"/>
      <c r="BL759" s="271"/>
      <c r="BM759" s="271">
        <v>200000000</v>
      </c>
      <c r="BN759" s="271"/>
      <c r="BO759" s="271"/>
      <c r="BP759" s="271"/>
      <c r="BQ759" s="271"/>
      <c r="BR759" s="271"/>
      <c r="BS759" s="271"/>
      <c r="BT759" s="271"/>
      <c r="BU759" s="271"/>
      <c r="BV759" s="271"/>
      <c r="BW759" s="271"/>
      <c r="BX759" s="235">
        <f t="shared" si="334"/>
        <v>200000000</v>
      </c>
      <c r="BY759" s="271"/>
      <c r="BZ759" s="271"/>
      <c r="CA759" s="271"/>
      <c r="CB759" s="271"/>
      <c r="CC759" s="271"/>
      <c r="CD759" s="271"/>
      <c r="CE759" s="271"/>
      <c r="CF759" s="271"/>
      <c r="CG759" s="271"/>
      <c r="CH759" s="271"/>
      <c r="CI759" s="271"/>
      <c r="CJ759" s="271"/>
      <c r="CK759" s="271"/>
      <c r="CL759" s="271"/>
      <c r="CM759" s="271"/>
      <c r="CN759" s="235">
        <f t="shared" si="335"/>
        <v>0</v>
      </c>
      <c r="CO759" s="271"/>
      <c r="CP759" s="271"/>
      <c r="CQ759" s="271"/>
      <c r="CR759" s="271"/>
      <c r="CS759" s="271"/>
      <c r="CT759" s="271"/>
      <c r="CU759" s="271"/>
      <c r="CV759" s="271"/>
      <c r="CW759" s="271"/>
      <c r="CX759" s="271"/>
      <c r="CY759" s="271"/>
      <c r="CZ759" s="271"/>
      <c r="DA759" s="271"/>
      <c r="DB759" s="271"/>
      <c r="DC759" s="271"/>
      <c r="DD759" s="234">
        <f t="shared" si="336"/>
        <v>0</v>
      </c>
      <c r="DE759" s="244">
        <f t="shared" si="337"/>
        <v>200000000</v>
      </c>
    </row>
    <row r="760" spans="1:110" s="98" customFormat="1" ht="119.1" customHeight="1">
      <c r="A760" s="103" t="s">
        <v>1245</v>
      </c>
      <c r="B760" s="279" t="s">
        <v>3614</v>
      </c>
      <c r="C760" s="279" t="s">
        <v>1738</v>
      </c>
      <c r="D760" s="279">
        <v>65</v>
      </c>
      <c r="E760" s="279" t="s">
        <v>1768</v>
      </c>
      <c r="F760" s="280" t="s">
        <v>145</v>
      </c>
      <c r="G760" s="279" t="s">
        <v>3229</v>
      </c>
      <c r="H760" s="279">
        <v>77</v>
      </c>
      <c r="I760" s="279" t="s">
        <v>146</v>
      </c>
      <c r="J760" s="279" t="s">
        <v>677</v>
      </c>
      <c r="K760" s="279">
        <v>64.37</v>
      </c>
      <c r="L760" s="279" t="s">
        <v>1769</v>
      </c>
      <c r="M760" s="279" t="s">
        <v>1770</v>
      </c>
      <c r="N760" s="279" t="s">
        <v>1771</v>
      </c>
      <c r="O760" s="279" t="s">
        <v>1772</v>
      </c>
      <c r="P760" s="283">
        <v>676</v>
      </c>
      <c r="Q760" s="279" t="s">
        <v>3623</v>
      </c>
      <c r="R760" s="279" t="s">
        <v>152</v>
      </c>
      <c r="S760" s="279" t="s">
        <v>683</v>
      </c>
      <c r="T760" s="279">
        <v>110</v>
      </c>
      <c r="U760" s="267">
        <v>7</v>
      </c>
      <c r="V760" s="267">
        <v>3</v>
      </c>
      <c r="W760" s="224">
        <v>10</v>
      </c>
      <c r="X760" s="267">
        <v>2</v>
      </c>
      <c r="Y760" s="267">
        <v>5</v>
      </c>
      <c r="Z760" s="267">
        <v>5</v>
      </c>
      <c r="AA760" s="267">
        <v>3</v>
      </c>
      <c r="AB760" s="224">
        <v>15</v>
      </c>
      <c r="AC760" s="267">
        <v>2</v>
      </c>
      <c r="AD760" s="267">
        <v>5</v>
      </c>
      <c r="AE760" s="267">
        <v>5</v>
      </c>
      <c r="AF760" s="267">
        <v>3</v>
      </c>
      <c r="AG760" s="224">
        <v>15</v>
      </c>
      <c r="AH760" s="267"/>
      <c r="AI760" s="267"/>
      <c r="AJ760" s="267"/>
      <c r="AK760" s="267"/>
      <c r="AL760" s="224">
        <v>0</v>
      </c>
      <c r="AM760" s="104">
        <v>40</v>
      </c>
      <c r="AN760" s="103" t="s">
        <v>685</v>
      </c>
      <c r="AO760" s="103" t="s">
        <v>623</v>
      </c>
      <c r="AP760" s="103" t="s">
        <v>1215</v>
      </c>
      <c r="AQ760" s="103" t="s">
        <v>1196</v>
      </c>
      <c r="AR760" s="103" t="s">
        <v>941</v>
      </c>
      <c r="AS760" s="271"/>
      <c r="AT760" s="271"/>
      <c r="AU760" s="271"/>
      <c r="AV760" s="271"/>
      <c r="AW760" s="271">
        <v>100000</v>
      </c>
      <c r="AX760" s="271"/>
      <c r="AY760" s="271"/>
      <c r="AZ760" s="271"/>
      <c r="BA760" s="271"/>
      <c r="BB760" s="271"/>
      <c r="BC760" s="271"/>
      <c r="BD760" s="271"/>
      <c r="BE760" s="271"/>
      <c r="BF760" s="271"/>
      <c r="BG760" s="271"/>
      <c r="BH760" s="235">
        <f t="shared" si="333"/>
        <v>100000</v>
      </c>
      <c r="BI760" s="271"/>
      <c r="BJ760" s="271"/>
      <c r="BK760" s="271"/>
      <c r="BL760" s="271"/>
      <c r="BM760" s="271">
        <v>184520</v>
      </c>
      <c r="BN760" s="271"/>
      <c r="BO760" s="271"/>
      <c r="BP760" s="271"/>
      <c r="BQ760" s="271"/>
      <c r="BR760" s="271"/>
      <c r="BS760" s="271"/>
      <c r="BT760" s="271"/>
      <c r="BU760" s="271"/>
      <c r="BV760" s="271"/>
      <c r="BW760" s="271"/>
      <c r="BX760" s="235">
        <f t="shared" si="334"/>
        <v>184520</v>
      </c>
      <c r="BY760" s="271"/>
      <c r="BZ760" s="271"/>
      <c r="CA760" s="271"/>
      <c r="CB760" s="271"/>
      <c r="CC760" s="271"/>
      <c r="CD760" s="271"/>
      <c r="CE760" s="271"/>
      <c r="CF760" s="271"/>
      <c r="CG760" s="271"/>
      <c r="CH760" s="271"/>
      <c r="CI760" s="271"/>
      <c r="CJ760" s="271"/>
      <c r="CK760" s="271"/>
      <c r="CL760" s="271"/>
      <c r="CM760" s="271">
        <v>142573</v>
      </c>
      <c r="CN760" s="235">
        <f t="shared" si="335"/>
        <v>142573</v>
      </c>
      <c r="CO760" s="271"/>
      <c r="CP760" s="271"/>
      <c r="CQ760" s="271"/>
      <c r="CR760" s="271"/>
      <c r="CS760" s="271"/>
      <c r="CT760" s="271"/>
      <c r="CU760" s="271"/>
      <c r="CV760" s="271"/>
      <c r="CW760" s="271"/>
      <c r="CX760" s="271"/>
      <c r="CY760" s="271"/>
      <c r="CZ760" s="271"/>
      <c r="DA760" s="271"/>
      <c r="DB760" s="271"/>
      <c r="DC760" s="271"/>
      <c r="DD760" s="234">
        <f t="shared" si="336"/>
        <v>0</v>
      </c>
      <c r="DE760" s="244">
        <f t="shared" si="337"/>
        <v>427093</v>
      </c>
    </row>
    <row r="761" spans="1:110" s="98" customFormat="1" ht="119.1" customHeight="1">
      <c r="A761" s="103" t="s">
        <v>1246</v>
      </c>
      <c r="B761" s="279" t="s">
        <v>3614</v>
      </c>
      <c r="C761" s="279" t="s">
        <v>1738</v>
      </c>
      <c r="D761" s="279">
        <v>65</v>
      </c>
      <c r="E761" s="279" t="s">
        <v>1768</v>
      </c>
      <c r="F761" s="280" t="s">
        <v>145</v>
      </c>
      <c r="G761" s="279" t="s">
        <v>3229</v>
      </c>
      <c r="H761" s="279">
        <v>77</v>
      </c>
      <c r="I761" s="279" t="s">
        <v>146</v>
      </c>
      <c r="J761" s="279" t="s">
        <v>677</v>
      </c>
      <c r="K761" s="279">
        <v>64.37</v>
      </c>
      <c r="L761" s="279" t="s">
        <v>1769</v>
      </c>
      <c r="M761" s="279" t="s">
        <v>1773</v>
      </c>
      <c r="N761" s="279" t="s">
        <v>1774</v>
      </c>
      <c r="O761" s="279" t="s">
        <v>156</v>
      </c>
      <c r="P761" s="283">
        <v>677</v>
      </c>
      <c r="Q761" s="279" t="s">
        <v>3749</v>
      </c>
      <c r="R761" s="279" t="s">
        <v>158</v>
      </c>
      <c r="S761" s="279" t="s">
        <v>683</v>
      </c>
      <c r="T761" s="279">
        <v>0</v>
      </c>
      <c r="U761" s="267"/>
      <c r="V761" s="267">
        <v>1</v>
      </c>
      <c r="W761" s="224">
        <v>1</v>
      </c>
      <c r="X761" s="267"/>
      <c r="Y761" s="267"/>
      <c r="Z761" s="267"/>
      <c r="AA761" s="267">
        <v>1</v>
      </c>
      <c r="AB761" s="224">
        <v>1</v>
      </c>
      <c r="AC761" s="267"/>
      <c r="AD761" s="267"/>
      <c r="AE761" s="267"/>
      <c r="AF761" s="267">
        <v>4</v>
      </c>
      <c r="AG761" s="224">
        <v>4</v>
      </c>
      <c r="AH761" s="267"/>
      <c r="AI761" s="267"/>
      <c r="AJ761" s="267"/>
      <c r="AK761" s="267">
        <v>4</v>
      </c>
      <c r="AL761" s="224">
        <v>4</v>
      </c>
      <c r="AM761" s="104">
        <v>10</v>
      </c>
      <c r="AN761" s="103" t="s">
        <v>685</v>
      </c>
      <c r="AO761" s="103" t="s">
        <v>623</v>
      </c>
      <c r="AP761" s="103" t="s">
        <v>1215</v>
      </c>
      <c r="AQ761" s="103" t="s">
        <v>1196</v>
      </c>
      <c r="AR761" s="103" t="s">
        <v>941</v>
      </c>
      <c r="AS761" s="271"/>
      <c r="AT761" s="271"/>
      <c r="AU761" s="271"/>
      <c r="AV761" s="271"/>
      <c r="AW761" s="271"/>
      <c r="AX761" s="271"/>
      <c r="AY761" s="271">
        <v>420000000</v>
      </c>
      <c r="AZ761" s="271"/>
      <c r="BA761" s="271"/>
      <c r="BB761" s="271"/>
      <c r="BC761" s="271"/>
      <c r="BD761" s="271"/>
      <c r="BE761" s="271"/>
      <c r="BF761" s="271"/>
      <c r="BG761" s="271"/>
      <c r="BH761" s="235">
        <f t="shared" si="333"/>
        <v>420000000</v>
      </c>
      <c r="BI761" s="271"/>
      <c r="BJ761" s="271"/>
      <c r="BK761" s="271"/>
      <c r="BL761" s="271"/>
      <c r="BM761" s="271"/>
      <c r="BN761" s="271"/>
      <c r="BO761" s="271">
        <v>100000000</v>
      </c>
      <c r="BP761" s="271"/>
      <c r="BQ761" s="271"/>
      <c r="BR761" s="271"/>
      <c r="BS761" s="271"/>
      <c r="BT761" s="271"/>
      <c r="BU761" s="271"/>
      <c r="BV761" s="271"/>
      <c r="BW761" s="271">
        <v>3446460208</v>
      </c>
      <c r="BX761" s="235">
        <f t="shared" si="334"/>
        <v>3546460208</v>
      </c>
      <c r="BY761" s="271"/>
      <c r="BZ761" s="271"/>
      <c r="CA761" s="271"/>
      <c r="CB761" s="271"/>
      <c r="CC761" s="271"/>
      <c r="CD761" s="271"/>
      <c r="CE761" s="271">
        <v>100000000</v>
      </c>
      <c r="CF761" s="271"/>
      <c r="CG761" s="271"/>
      <c r="CH761" s="271"/>
      <c r="CI761" s="271"/>
      <c r="CJ761" s="271"/>
      <c r="CK761" s="271"/>
      <c r="CL761" s="271"/>
      <c r="CM761" s="271"/>
      <c r="CN761" s="235">
        <f t="shared" si="335"/>
        <v>100000000</v>
      </c>
      <c r="CO761" s="271"/>
      <c r="CP761" s="271"/>
      <c r="CQ761" s="271"/>
      <c r="CR761" s="271"/>
      <c r="CS761" s="271"/>
      <c r="CT761" s="271"/>
      <c r="CU761" s="271">
        <v>100000000</v>
      </c>
      <c r="CV761" s="271"/>
      <c r="CW761" s="271"/>
      <c r="CX761" s="271"/>
      <c r="CY761" s="271"/>
      <c r="CZ761" s="271"/>
      <c r="DA761" s="271"/>
      <c r="DB761" s="271"/>
      <c r="DC761" s="271"/>
      <c r="DD761" s="234">
        <f t="shared" si="336"/>
        <v>100000000</v>
      </c>
      <c r="DE761" s="244">
        <f t="shared" ref="DE761:DE763" si="338">SUM(DD761+CN761+BX761+BH761)</f>
        <v>4166460208</v>
      </c>
    </row>
    <row r="762" spans="1:110" s="98" customFormat="1" ht="119.1" customHeight="1">
      <c r="A762" s="103" t="s">
        <v>1246</v>
      </c>
      <c r="B762" s="279" t="s">
        <v>3614</v>
      </c>
      <c r="C762" s="279" t="s">
        <v>1738</v>
      </c>
      <c r="D762" s="279">
        <v>65</v>
      </c>
      <c r="E762" s="279" t="s">
        <v>1768</v>
      </c>
      <c r="F762" s="280" t="s">
        <v>145</v>
      </c>
      <c r="G762" s="279" t="s">
        <v>3230</v>
      </c>
      <c r="H762" s="279">
        <v>78</v>
      </c>
      <c r="I762" s="279" t="s">
        <v>160</v>
      </c>
      <c r="J762" s="279" t="s">
        <v>677</v>
      </c>
      <c r="K762" s="279">
        <v>99.26</v>
      </c>
      <c r="L762" s="279" t="s">
        <v>1775</v>
      </c>
      <c r="M762" s="279" t="s">
        <v>1776</v>
      </c>
      <c r="N762" s="279" t="s">
        <v>1777</v>
      </c>
      <c r="O762" s="279" t="s">
        <v>1778</v>
      </c>
      <c r="P762" s="283">
        <v>678</v>
      </c>
      <c r="Q762" s="279" t="s">
        <v>3750</v>
      </c>
      <c r="R762" s="279" t="s">
        <v>161</v>
      </c>
      <c r="S762" s="279" t="s">
        <v>683</v>
      </c>
      <c r="T762" s="279">
        <v>10</v>
      </c>
      <c r="U762" s="267"/>
      <c r="V762" s="267"/>
      <c r="W762" s="224">
        <v>0</v>
      </c>
      <c r="X762" s="267"/>
      <c r="Y762" s="267"/>
      <c r="Z762" s="267"/>
      <c r="AA762" s="267">
        <v>2</v>
      </c>
      <c r="AB762" s="224">
        <v>2</v>
      </c>
      <c r="AC762" s="267"/>
      <c r="AD762" s="267"/>
      <c r="AE762" s="267"/>
      <c r="AF762" s="267">
        <v>4</v>
      </c>
      <c r="AG762" s="224">
        <v>4</v>
      </c>
      <c r="AH762" s="267"/>
      <c r="AI762" s="267"/>
      <c r="AJ762" s="267"/>
      <c r="AK762" s="267">
        <v>4</v>
      </c>
      <c r="AL762" s="224">
        <v>4</v>
      </c>
      <c r="AM762" s="104">
        <v>10</v>
      </c>
      <c r="AN762" s="103" t="s">
        <v>685</v>
      </c>
      <c r="AO762" s="103" t="s">
        <v>623</v>
      </c>
      <c r="AP762" s="103" t="s">
        <v>1215</v>
      </c>
      <c r="AQ762" s="103" t="s">
        <v>1196</v>
      </c>
      <c r="AR762" s="103" t="s">
        <v>941</v>
      </c>
      <c r="AS762" s="271"/>
      <c r="AT762" s="271"/>
      <c r="AU762" s="271"/>
      <c r="AV762" s="271"/>
      <c r="AW762" s="271"/>
      <c r="AX762" s="271"/>
      <c r="AY762" s="271"/>
      <c r="AZ762" s="271"/>
      <c r="BA762" s="271"/>
      <c r="BB762" s="271"/>
      <c r="BC762" s="271"/>
      <c r="BD762" s="271"/>
      <c r="BE762" s="271"/>
      <c r="BF762" s="271"/>
      <c r="BG762" s="271"/>
      <c r="BH762" s="235">
        <f t="shared" si="333"/>
        <v>0</v>
      </c>
      <c r="BI762" s="271"/>
      <c r="BJ762" s="271"/>
      <c r="BK762" s="271"/>
      <c r="BL762" s="271"/>
      <c r="BM762" s="271"/>
      <c r="BN762" s="271"/>
      <c r="BO762" s="271">
        <v>160000000</v>
      </c>
      <c r="BP762" s="271"/>
      <c r="BQ762" s="271"/>
      <c r="BR762" s="271"/>
      <c r="BS762" s="271"/>
      <c r="BT762" s="271"/>
      <c r="BU762" s="271"/>
      <c r="BV762" s="271"/>
      <c r="BW762" s="271"/>
      <c r="BX762" s="235">
        <f t="shared" si="334"/>
        <v>160000000</v>
      </c>
      <c r="BY762" s="271"/>
      <c r="BZ762" s="271"/>
      <c r="CA762" s="271"/>
      <c r="CB762" s="271"/>
      <c r="CC762" s="271"/>
      <c r="CD762" s="271"/>
      <c r="CE762" s="271">
        <v>320000000</v>
      </c>
      <c r="CF762" s="271"/>
      <c r="CG762" s="271"/>
      <c r="CH762" s="271"/>
      <c r="CI762" s="271"/>
      <c r="CJ762" s="271"/>
      <c r="CK762" s="271"/>
      <c r="CL762" s="271"/>
      <c r="CM762" s="271"/>
      <c r="CN762" s="235">
        <f t="shared" si="335"/>
        <v>320000000</v>
      </c>
      <c r="CO762" s="271"/>
      <c r="CP762" s="271"/>
      <c r="CQ762" s="271"/>
      <c r="CR762" s="271"/>
      <c r="CS762" s="271"/>
      <c r="CT762" s="271"/>
      <c r="CU762" s="271">
        <v>320000000</v>
      </c>
      <c r="CV762" s="271"/>
      <c r="CW762" s="271"/>
      <c r="CX762" s="271"/>
      <c r="CY762" s="271"/>
      <c r="CZ762" s="271"/>
      <c r="DA762" s="271"/>
      <c r="DB762" s="271"/>
      <c r="DC762" s="271"/>
      <c r="DD762" s="234">
        <f t="shared" si="336"/>
        <v>320000000</v>
      </c>
      <c r="DE762" s="244">
        <f t="shared" si="338"/>
        <v>800000000</v>
      </c>
    </row>
    <row r="763" spans="1:110" s="98" customFormat="1" ht="119.1" customHeight="1">
      <c r="A763" s="103" t="s">
        <v>1246</v>
      </c>
      <c r="B763" s="279" t="s">
        <v>3614</v>
      </c>
      <c r="C763" s="279" t="s">
        <v>1738</v>
      </c>
      <c r="D763" s="279">
        <v>65</v>
      </c>
      <c r="E763" s="279" t="s">
        <v>1768</v>
      </c>
      <c r="F763" s="280" t="s">
        <v>145</v>
      </c>
      <c r="G763" s="279" t="s">
        <v>3230</v>
      </c>
      <c r="H763" s="279">
        <v>78</v>
      </c>
      <c r="I763" s="279" t="s">
        <v>160</v>
      </c>
      <c r="J763" s="279" t="s">
        <v>677</v>
      </c>
      <c r="K763" s="279">
        <v>99.26</v>
      </c>
      <c r="L763" s="279" t="s">
        <v>1775</v>
      </c>
      <c r="M763" s="279" t="s">
        <v>1776</v>
      </c>
      <c r="N763" s="279" t="s">
        <v>1777</v>
      </c>
      <c r="O763" s="279" t="s">
        <v>1778</v>
      </c>
      <c r="P763" s="283">
        <v>679</v>
      </c>
      <c r="Q763" s="279" t="s">
        <v>2769</v>
      </c>
      <c r="R763" s="279" t="s">
        <v>164</v>
      </c>
      <c r="S763" s="279" t="s">
        <v>683</v>
      </c>
      <c r="T763" s="279">
        <v>6</v>
      </c>
      <c r="U763" s="267"/>
      <c r="V763" s="267"/>
      <c r="W763" s="224">
        <v>0</v>
      </c>
      <c r="X763" s="267"/>
      <c r="Y763" s="267"/>
      <c r="Z763" s="267"/>
      <c r="AA763" s="267">
        <v>2</v>
      </c>
      <c r="AB763" s="224">
        <v>2</v>
      </c>
      <c r="AC763" s="267"/>
      <c r="AD763" s="267"/>
      <c r="AE763" s="267"/>
      <c r="AF763" s="267">
        <v>2</v>
      </c>
      <c r="AG763" s="224">
        <v>2</v>
      </c>
      <c r="AH763" s="267"/>
      <c r="AI763" s="267"/>
      <c r="AJ763" s="267"/>
      <c r="AK763" s="267">
        <v>2</v>
      </c>
      <c r="AL763" s="224">
        <v>2</v>
      </c>
      <c r="AM763" s="104">
        <v>6</v>
      </c>
      <c r="AN763" s="103" t="s">
        <v>685</v>
      </c>
      <c r="AO763" s="103" t="s">
        <v>623</v>
      </c>
      <c r="AP763" s="103" t="s">
        <v>1215</v>
      </c>
      <c r="AQ763" s="103" t="s">
        <v>1196</v>
      </c>
      <c r="AR763" s="103" t="s">
        <v>941</v>
      </c>
      <c r="AS763" s="271"/>
      <c r="AT763" s="271"/>
      <c r="AU763" s="271"/>
      <c r="AV763" s="271"/>
      <c r="AW763" s="271"/>
      <c r="AX763" s="271"/>
      <c r="AY763" s="271"/>
      <c r="AZ763" s="271"/>
      <c r="BA763" s="271"/>
      <c r="BB763" s="271"/>
      <c r="BC763" s="271"/>
      <c r="BD763" s="271"/>
      <c r="BE763" s="271"/>
      <c r="BF763" s="271"/>
      <c r="BG763" s="271"/>
      <c r="BH763" s="235">
        <f t="shared" si="333"/>
        <v>0</v>
      </c>
      <c r="BI763" s="271"/>
      <c r="BJ763" s="271"/>
      <c r="BK763" s="271"/>
      <c r="BL763" s="271"/>
      <c r="BM763" s="271"/>
      <c r="BN763" s="271"/>
      <c r="BO763" s="271">
        <v>1939059256</v>
      </c>
      <c r="BP763" s="271"/>
      <c r="BQ763" s="271"/>
      <c r="BR763" s="271"/>
      <c r="BS763" s="271"/>
      <c r="BT763" s="271"/>
      <c r="BU763" s="271"/>
      <c r="BV763" s="271"/>
      <c r="BW763" s="271"/>
      <c r="BX763" s="235">
        <f t="shared" si="334"/>
        <v>1939059256</v>
      </c>
      <c r="BY763" s="271"/>
      <c r="BZ763" s="271"/>
      <c r="CA763" s="271"/>
      <c r="CB763" s="271"/>
      <c r="CC763" s="271"/>
      <c r="CD763" s="271"/>
      <c r="CE763" s="271">
        <v>2233931074</v>
      </c>
      <c r="CF763" s="271"/>
      <c r="CG763" s="271"/>
      <c r="CH763" s="271"/>
      <c r="CI763" s="271"/>
      <c r="CJ763" s="271"/>
      <c r="CK763" s="271"/>
      <c r="CL763" s="271"/>
      <c r="CM763" s="271"/>
      <c r="CN763" s="235">
        <f t="shared" si="335"/>
        <v>2233931074</v>
      </c>
      <c r="CO763" s="271"/>
      <c r="CP763" s="271"/>
      <c r="CQ763" s="271"/>
      <c r="CR763" s="271"/>
      <c r="CS763" s="271"/>
      <c r="CT763" s="271"/>
      <c r="CU763" s="271">
        <v>3191298013</v>
      </c>
      <c r="CV763" s="271"/>
      <c r="CW763" s="271"/>
      <c r="CX763" s="271"/>
      <c r="CY763" s="271"/>
      <c r="CZ763" s="271"/>
      <c r="DA763" s="271"/>
      <c r="DB763" s="271"/>
      <c r="DC763" s="271"/>
      <c r="DD763" s="234">
        <f t="shared" si="336"/>
        <v>3191298013</v>
      </c>
      <c r="DE763" s="244">
        <f t="shared" si="338"/>
        <v>7364288343</v>
      </c>
    </row>
    <row r="764" spans="1:110" s="98" customFormat="1" ht="119.1" customHeight="1">
      <c r="A764" s="103" t="s">
        <v>1246</v>
      </c>
      <c r="B764" s="279" t="s">
        <v>3614</v>
      </c>
      <c r="C764" s="279" t="s">
        <v>1738</v>
      </c>
      <c r="D764" s="279">
        <v>65</v>
      </c>
      <c r="E764" s="279" t="s">
        <v>1768</v>
      </c>
      <c r="F764" s="280" t="s">
        <v>145</v>
      </c>
      <c r="G764" s="279" t="s">
        <v>3230</v>
      </c>
      <c r="H764" s="279">
        <v>78</v>
      </c>
      <c r="I764" s="279" t="s">
        <v>160</v>
      </c>
      <c r="J764" s="279" t="s">
        <v>677</v>
      </c>
      <c r="K764" s="279">
        <v>99.26</v>
      </c>
      <c r="L764" s="279" t="s">
        <v>1775</v>
      </c>
      <c r="M764" s="279" t="s">
        <v>1776</v>
      </c>
      <c r="N764" s="279" t="s">
        <v>1777</v>
      </c>
      <c r="O764" s="279" t="s">
        <v>1778</v>
      </c>
      <c r="P764" s="283">
        <v>680</v>
      </c>
      <c r="Q764" s="279" t="s">
        <v>3751</v>
      </c>
      <c r="R764" s="279" t="s">
        <v>165</v>
      </c>
      <c r="S764" s="279" t="s">
        <v>683</v>
      </c>
      <c r="T764" s="279">
        <v>1</v>
      </c>
      <c r="U764" s="267"/>
      <c r="V764" s="267"/>
      <c r="W764" s="224">
        <v>0</v>
      </c>
      <c r="X764" s="267"/>
      <c r="Y764" s="267"/>
      <c r="Z764" s="267"/>
      <c r="AA764" s="267">
        <v>1</v>
      </c>
      <c r="AB764" s="224">
        <v>1</v>
      </c>
      <c r="AC764" s="267"/>
      <c r="AD764" s="267"/>
      <c r="AE764" s="267"/>
      <c r="AF764" s="267"/>
      <c r="AG764" s="224">
        <v>0</v>
      </c>
      <c r="AH764" s="267"/>
      <c r="AI764" s="267"/>
      <c r="AJ764" s="267"/>
      <c r="AK764" s="267"/>
      <c r="AL764" s="224">
        <v>0</v>
      </c>
      <c r="AM764" s="104">
        <v>1</v>
      </c>
      <c r="AN764" s="103" t="s">
        <v>685</v>
      </c>
      <c r="AO764" s="103" t="s">
        <v>623</v>
      </c>
      <c r="AP764" s="103" t="s">
        <v>1215</v>
      </c>
      <c r="AQ764" s="103" t="s">
        <v>1196</v>
      </c>
      <c r="AR764" s="103" t="s">
        <v>941</v>
      </c>
      <c r="AS764" s="271"/>
      <c r="AT764" s="271"/>
      <c r="AU764" s="271"/>
      <c r="AV764" s="271"/>
      <c r="AW764" s="271"/>
      <c r="AX764" s="271"/>
      <c r="AY764" s="271"/>
      <c r="AZ764" s="271"/>
      <c r="BA764" s="271"/>
      <c r="BB764" s="271"/>
      <c r="BC764" s="271"/>
      <c r="BD764" s="271"/>
      <c r="BE764" s="271"/>
      <c r="BF764" s="271"/>
      <c r="BG764" s="271"/>
      <c r="BH764" s="235">
        <f t="shared" si="333"/>
        <v>0</v>
      </c>
      <c r="BI764" s="271"/>
      <c r="BJ764" s="271"/>
      <c r="BK764" s="271"/>
      <c r="BL764" s="271"/>
      <c r="BM764" s="271"/>
      <c r="BN764" s="271"/>
      <c r="BO764" s="271">
        <v>100000000</v>
      </c>
      <c r="BP764" s="271"/>
      <c r="BQ764" s="271"/>
      <c r="BR764" s="271"/>
      <c r="BS764" s="271"/>
      <c r="BT764" s="271"/>
      <c r="BU764" s="271"/>
      <c r="BV764" s="271"/>
      <c r="BW764" s="271"/>
      <c r="BX764" s="235">
        <f t="shared" si="334"/>
        <v>100000000</v>
      </c>
      <c r="BY764" s="271"/>
      <c r="BZ764" s="271"/>
      <c r="CA764" s="271"/>
      <c r="CB764" s="271"/>
      <c r="CC764" s="271"/>
      <c r="CD764" s="271"/>
      <c r="CE764" s="271"/>
      <c r="CF764" s="271"/>
      <c r="CG764" s="271"/>
      <c r="CH764" s="271"/>
      <c r="CI764" s="271"/>
      <c r="CJ764" s="271"/>
      <c r="CK764" s="271"/>
      <c r="CL764" s="271"/>
      <c r="CM764" s="271"/>
      <c r="CN764" s="235">
        <f t="shared" si="335"/>
        <v>0</v>
      </c>
      <c r="CO764" s="271"/>
      <c r="CP764" s="271"/>
      <c r="CQ764" s="271"/>
      <c r="CR764" s="271"/>
      <c r="CS764" s="271"/>
      <c r="CT764" s="271"/>
      <c r="CU764" s="271"/>
      <c r="CV764" s="271"/>
      <c r="CW764" s="271"/>
      <c r="CX764" s="271"/>
      <c r="CY764" s="271"/>
      <c r="CZ764" s="271"/>
      <c r="DA764" s="271"/>
      <c r="DB764" s="271"/>
      <c r="DC764" s="271"/>
      <c r="DD764" s="234">
        <f t="shared" si="336"/>
        <v>0</v>
      </c>
      <c r="DE764" s="244">
        <f t="shared" ref="DE764:DE765" si="339">SUM(DD764+CN764+BX764+BH764)</f>
        <v>100000000</v>
      </c>
    </row>
    <row r="765" spans="1:110" s="98" customFormat="1" ht="119.1" customHeight="1">
      <c r="A765" s="120" t="s">
        <v>1246</v>
      </c>
      <c r="B765" s="281" t="s">
        <v>3614</v>
      </c>
      <c r="C765" s="281" t="s">
        <v>1738</v>
      </c>
      <c r="D765" s="281">
        <v>65</v>
      </c>
      <c r="E765" s="281" t="s">
        <v>1768</v>
      </c>
      <c r="F765" s="282" t="s">
        <v>145</v>
      </c>
      <c r="G765" s="281" t="s">
        <v>3230</v>
      </c>
      <c r="H765" s="281">
        <v>78</v>
      </c>
      <c r="I765" s="281" t="s">
        <v>160</v>
      </c>
      <c r="J765" s="281" t="s">
        <v>677</v>
      </c>
      <c r="K765" s="281">
        <v>99.26</v>
      </c>
      <c r="L765" s="281" t="s">
        <v>1775</v>
      </c>
      <c r="M765" s="281" t="s">
        <v>1776</v>
      </c>
      <c r="N765" s="281" t="s">
        <v>1777</v>
      </c>
      <c r="O765" s="281" t="s">
        <v>1778</v>
      </c>
      <c r="P765" s="283">
        <v>681</v>
      </c>
      <c r="Q765" s="281" t="s">
        <v>3674</v>
      </c>
      <c r="R765" s="281" t="s">
        <v>170</v>
      </c>
      <c r="S765" s="281" t="s">
        <v>683</v>
      </c>
      <c r="T765" s="281">
        <v>0</v>
      </c>
      <c r="U765" s="275"/>
      <c r="V765" s="275"/>
      <c r="W765" s="225">
        <v>0</v>
      </c>
      <c r="X765" s="275"/>
      <c r="Y765" s="275"/>
      <c r="Z765" s="275"/>
      <c r="AA765" s="275"/>
      <c r="AB765" s="225">
        <v>0</v>
      </c>
      <c r="AC765" s="275"/>
      <c r="AD765" s="275"/>
      <c r="AE765" s="275"/>
      <c r="AF765" s="275"/>
      <c r="AG765" s="225">
        <v>0</v>
      </c>
      <c r="AH765" s="275"/>
      <c r="AI765" s="275"/>
      <c r="AJ765" s="275"/>
      <c r="AK765" s="275">
        <v>1</v>
      </c>
      <c r="AL765" s="225">
        <v>1</v>
      </c>
      <c r="AM765" s="119">
        <v>1</v>
      </c>
      <c r="AN765" s="120" t="s">
        <v>685</v>
      </c>
      <c r="AO765" s="120" t="s">
        <v>623</v>
      </c>
      <c r="AP765" s="120" t="s">
        <v>1215</v>
      </c>
      <c r="AQ765" s="120" t="s">
        <v>1196</v>
      </c>
      <c r="AR765" s="120" t="s">
        <v>941</v>
      </c>
      <c r="AS765" s="276"/>
      <c r="AT765" s="276"/>
      <c r="AU765" s="276"/>
      <c r="AV765" s="276"/>
      <c r="AW765" s="276"/>
      <c r="AX765" s="276"/>
      <c r="AY765" s="276"/>
      <c r="AZ765" s="276"/>
      <c r="BA765" s="276"/>
      <c r="BB765" s="276"/>
      <c r="BC765" s="276"/>
      <c r="BD765" s="276"/>
      <c r="BE765" s="276"/>
      <c r="BF765" s="276"/>
      <c r="BG765" s="276"/>
      <c r="BH765" s="236">
        <f t="shared" si="333"/>
        <v>0</v>
      </c>
      <c r="BI765" s="276"/>
      <c r="BJ765" s="276"/>
      <c r="BK765" s="276"/>
      <c r="BL765" s="276"/>
      <c r="BM765" s="276"/>
      <c r="BN765" s="276"/>
      <c r="BO765" s="276"/>
      <c r="BP765" s="276"/>
      <c r="BQ765" s="276"/>
      <c r="BR765" s="276"/>
      <c r="BS765" s="276"/>
      <c r="BT765" s="276"/>
      <c r="BU765" s="276"/>
      <c r="BV765" s="276"/>
      <c r="BW765" s="276"/>
      <c r="BX765" s="236">
        <f t="shared" si="334"/>
        <v>0</v>
      </c>
      <c r="BY765" s="276"/>
      <c r="BZ765" s="276"/>
      <c r="CA765" s="276"/>
      <c r="CB765" s="276"/>
      <c r="CC765" s="276"/>
      <c r="CD765" s="276"/>
      <c r="CE765" s="276"/>
      <c r="CF765" s="276"/>
      <c r="CG765" s="276"/>
      <c r="CH765" s="276"/>
      <c r="CI765" s="276"/>
      <c r="CJ765" s="276"/>
      <c r="CK765" s="276"/>
      <c r="CL765" s="276"/>
      <c r="CM765" s="276"/>
      <c r="CN765" s="236">
        <f t="shared" si="335"/>
        <v>0</v>
      </c>
      <c r="CO765" s="276"/>
      <c r="CP765" s="276"/>
      <c r="CQ765" s="276"/>
      <c r="CR765" s="276"/>
      <c r="CS765" s="276"/>
      <c r="CT765" s="276"/>
      <c r="CU765" s="276">
        <v>3000000000</v>
      </c>
      <c r="CV765" s="276"/>
      <c r="CW765" s="276"/>
      <c r="CX765" s="276"/>
      <c r="CY765" s="276"/>
      <c r="CZ765" s="276"/>
      <c r="DA765" s="276"/>
      <c r="DB765" s="276"/>
      <c r="DC765" s="276"/>
      <c r="DD765" s="240">
        <f t="shared" si="336"/>
        <v>3000000000</v>
      </c>
      <c r="DE765" s="245">
        <f t="shared" si="339"/>
        <v>3000000000</v>
      </c>
    </row>
    <row r="766" spans="1:110" ht="65.099999999999994" customHeight="1">
      <c r="A766" s="134"/>
      <c r="B766" s="134" t="s">
        <v>3614</v>
      </c>
      <c r="C766" s="134" t="s">
        <v>1738</v>
      </c>
      <c r="D766" s="134">
        <v>65</v>
      </c>
      <c r="E766" s="134" t="s">
        <v>1768</v>
      </c>
      <c r="F766" s="135"/>
      <c r="G766" s="136"/>
      <c r="H766" s="137"/>
      <c r="I766" s="137"/>
      <c r="J766" s="137"/>
      <c r="K766" s="138"/>
      <c r="L766" s="137"/>
      <c r="M766" s="137"/>
      <c r="N766" s="137"/>
      <c r="O766" s="137"/>
      <c r="P766" s="137"/>
      <c r="Q766" s="136"/>
      <c r="R766" s="139"/>
      <c r="S766" s="137"/>
      <c r="T766" s="137"/>
      <c r="U766" s="140"/>
      <c r="V766" s="140"/>
      <c r="W766" s="138"/>
      <c r="X766" s="140"/>
      <c r="Y766" s="140"/>
      <c r="Z766" s="140"/>
      <c r="AA766" s="140"/>
      <c r="AB766" s="138"/>
      <c r="AC766" s="140"/>
      <c r="AD766" s="140"/>
      <c r="AE766" s="140"/>
      <c r="AF766" s="140"/>
      <c r="AG766" s="138"/>
      <c r="AH766" s="140"/>
      <c r="AI766" s="140"/>
      <c r="AJ766" s="140"/>
      <c r="AK766" s="140"/>
      <c r="AL766" s="138"/>
      <c r="AM766" s="141"/>
      <c r="AN766" s="142"/>
      <c r="AO766" s="142"/>
      <c r="AP766" s="143"/>
      <c r="AQ766" s="143"/>
      <c r="AR766" s="144"/>
      <c r="AS766" s="132">
        <f>SUM(AS758:AS765)</f>
        <v>0</v>
      </c>
      <c r="AT766" s="132">
        <f t="shared" ref="AT766:DE766" si="340">SUM(AT758:AT765)</f>
        <v>0</v>
      </c>
      <c r="AU766" s="132">
        <f t="shared" si="340"/>
        <v>0</v>
      </c>
      <c r="AV766" s="132">
        <f t="shared" si="340"/>
        <v>0</v>
      </c>
      <c r="AW766" s="132">
        <f t="shared" si="340"/>
        <v>400000000</v>
      </c>
      <c r="AX766" s="132">
        <f t="shared" si="340"/>
        <v>0</v>
      </c>
      <c r="AY766" s="132">
        <f t="shared" si="340"/>
        <v>420000000</v>
      </c>
      <c r="AZ766" s="132">
        <f t="shared" si="340"/>
        <v>0</v>
      </c>
      <c r="BA766" s="132">
        <f t="shared" si="340"/>
        <v>0</v>
      </c>
      <c r="BB766" s="132">
        <f t="shared" si="340"/>
        <v>0</v>
      </c>
      <c r="BC766" s="132">
        <f t="shared" si="340"/>
        <v>0</v>
      </c>
      <c r="BD766" s="132">
        <f t="shared" si="340"/>
        <v>0</v>
      </c>
      <c r="BE766" s="132">
        <f t="shared" si="340"/>
        <v>0</v>
      </c>
      <c r="BF766" s="132">
        <f t="shared" si="340"/>
        <v>0</v>
      </c>
      <c r="BG766" s="132">
        <f t="shared" si="340"/>
        <v>0</v>
      </c>
      <c r="BH766" s="132">
        <f t="shared" si="340"/>
        <v>820000000</v>
      </c>
      <c r="BI766" s="132">
        <f t="shared" si="340"/>
        <v>0</v>
      </c>
      <c r="BJ766" s="132">
        <f t="shared" si="340"/>
        <v>0</v>
      </c>
      <c r="BK766" s="132">
        <f t="shared" si="340"/>
        <v>0</v>
      </c>
      <c r="BL766" s="132">
        <f t="shared" si="340"/>
        <v>0</v>
      </c>
      <c r="BM766" s="132">
        <f t="shared" si="340"/>
        <v>746084520</v>
      </c>
      <c r="BN766" s="132">
        <f t="shared" si="340"/>
        <v>0</v>
      </c>
      <c r="BO766" s="132">
        <f t="shared" si="340"/>
        <v>2299059256</v>
      </c>
      <c r="BP766" s="132">
        <f t="shared" si="340"/>
        <v>0</v>
      </c>
      <c r="BQ766" s="132">
        <f t="shared" si="340"/>
        <v>0</v>
      </c>
      <c r="BR766" s="132">
        <f t="shared" si="340"/>
        <v>0</v>
      </c>
      <c r="BS766" s="132">
        <f t="shared" si="340"/>
        <v>0</v>
      </c>
      <c r="BT766" s="132">
        <f t="shared" si="340"/>
        <v>0</v>
      </c>
      <c r="BU766" s="132">
        <f t="shared" si="340"/>
        <v>0</v>
      </c>
      <c r="BV766" s="132">
        <f t="shared" si="340"/>
        <v>0</v>
      </c>
      <c r="BW766" s="132">
        <f t="shared" si="340"/>
        <v>3446460208</v>
      </c>
      <c r="BX766" s="132">
        <f t="shared" si="340"/>
        <v>6491603984</v>
      </c>
      <c r="BY766" s="132">
        <f t="shared" si="340"/>
        <v>0</v>
      </c>
      <c r="BZ766" s="132">
        <f t="shared" si="340"/>
        <v>0</v>
      </c>
      <c r="CA766" s="132">
        <f t="shared" si="340"/>
        <v>0</v>
      </c>
      <c r="CB766" s="132">
        <f t="shared" si="340"/>
        <v>0</v>
      </c>
      <c r="CC766" s="132">
        <f t="shared" si="340"/>
        <v>0</v>
      </c>
      <c r="CD766" s="132">
        <f t="shared" si="340"/>
        <v>0</v>
      </c>
      <c r="CE766" s="132">
        <f t="shared" si="340"/>
        <v>2653931074</v>
      </c>
      <c r="CF766" s="132">
        <f t="shared" si="340"/>
        <v>0</v>
      </c>
      <c r="CG766" s="132">
        <f t="shared" si="340"/>
        <v>0</v>
      </c>
      <c r="CH766" s="132">
        <f t="shared" si="340"/>
        <v>0</v>
      </c>
      <c r="CI766" s="132">
        <f t="shared" si="340"/>
        <v>0</v>
      </c>
      <c r="CJ766" s="132">
        <f t="shared" si="340"/>
        <v>0</v>
      </c>
      <c r="CK766" s="132">
        <f t="shared" si="340"/>
        <v>0</v>
      </c>
      <c r="CL766" s="132">
        <f t="shared" si="340"/>
        <v>0</v>
      </c>
      <c r="CM766" s="132">
        <f t="shared" si="340"/>
        <v>1689642573</v>
      </c>
      <c r="CN766" s="132">
        <f t="shared" si="340"/>
        <v>4343573647</v>
      </c>
      <c r="CO766" s="132">
        <f t="shared" si="340"/>
        <v>0</v>
      </c>
      <c r="CP766" s="132">
        <f t="shared" si="340"/>
        <v>0</v>
      </c>
      <c r="CQ766" s="132">
        <f t="shared" si="340"/>
        <v>0</v>
      </c>
      <c r="CR766" s="132">
        <f t="shared" si="340"/>
        <v>0</v>
      </c>
      <c r="CS766" s="132">
        <f t="shared" si="340"/>
        <v>0</v>
      </c>
      <c r="CT766" s="132">
        <f t="shared" si="340"/>
        <v>0</v>
      </c>
      <c r="CU766" s="132">
        <f t="shared" si="340"/>
        <v>6611298013</v>
      </c>
      <c r="CV766" s="132">
        <f t="shared" si="340"/>
        <v>0</v>
      </c>
      <c r="CW766" s="132">
        <f t="shared" si="340"/>
        <v>0</v>
      </c>
      <c r="CX766" s="132">
        <f t="shared" si="340"/>
        <v>0</v>
      </c>
      <c r="CY766" s="132">
        <f t="shared" si="340"/>
        <v>0</v>
      </c>
      <c r="CZ766" s="132">
        <f t="shared" si="340"/>
        <v>0</v>
      </c>
      <c r="DA766" s="132">
        <f t="shared" si="340"/>
        <v>0</v>
      </c>
      <c r="DB766" s="132">
        <f t="shared" si="340"/>
        <v>0</v>
      </c>
      <c r="DC766" s="132">
        <f t="shared" si="340"/>
        <v>0</v>
      </c>
      <c r="DD766" s="132">
        <f t="shared" si="340"/>
        <v>6611298013</v>
      </c>
      <c r="DE766" s="132">
        <f t="shared" si="340"/>
        <v>18266475644</v>
      </c>
      <c r="DF766" s="101"/>
    </row>
    <row r="767" spans="1:110" s="98" customFormat="1" ht="119.1" customHeight="1">
      <c r="A767" s="103" t="s">
        <v>1245</v>
      </c>
      <c r="B767" s="103" t="s">
        <v>3614</v>
      </c>
      <c r="C767" s="103" t="s">
        <v>1738</v>
      </c>
      <c r="D767" s="103">
        <v>66</v>
      </c>
      <c r="E767" s="103" t="s">
        <v>1779</v>
      </c>
      <c r="F767" s="278" t="s">
        <v>173</v>
      </c>
      <c r="G767" s="103" t="s">
        <v>3231</v>
      </c>
      <c r="H767" s="103">
        <v>79</v>
      </c>
      <c r="I767" s="103" t="s">
        <v>174</v>
      </c>
      <c r="J767" s="103" t="s">
        <v>677</v>
      </c>
      <c r="K767" s="103">
        <v>9.81</v>
      </c>
      <c r="L767" s="103" t="s">
        <v>1780</v>
      </c>
      <c r="M767" s="103" t="s">
        <v>1781</v>
      </c>
      <c r="N767" s="120" t="s">
        <v>1782</v>
      </c>
      <c r="O767" s="103" t="s">
        <v>176</v>
      </c>
      <c r="P767" s="283">
        <v>682</v>
      </c>
      <c r="Q767" s="103" t="s">
        <v>2763</v>
      </c>
      <c r="R767" s="103" t="s">
        <v>177</v>
      </c>
      <c r="S767" s="103" t="s">
        <v>683</v>
      </c>
      <c r="T767" s="103">
        <v>397</v>
      </c>
      <c r="U767" s="267"/>
      <c r="V767" s="267"/>
      <c r="W767" s="224">
        <v>0</v>
      </c>
      <c r="X767" s="267"/>
      <c r="Y767" s="267"/>
      <c r="Z767" s="267"/>
      <c r="AA767" s="267"/>
      <c r="AB767" s="224">
        <v>0</v>
      </c>
      <c r="AC767" s="267"/>
      <c r="AD767" s="267"/>
      <c r="AE767" s="267"/>
      <c r="AF767" s="267">
        <v>80</v>
      </c>
      <c r="AG767" s="224">
        <v>80</v>
      </c>
      <c r="AH767" s="267"/>
      <c r="AI767" s="267"/>
      <c r="AJ767" s="267"/>
      <c r="AK767" s="267"/>
      <c r="AL767" s="224">
        <v>0</v>
      </c>
      <c r="AM767" s="102">
        <v>80</v>
      </c>
      <c r="AN767" s="103" t="s">
        <v>685</v>
      </c>
      <c r="AO767" s="103" t="s">
        <v>623</v>
      </c>
      <c r="AP767" s="103" t="s">
        <v>1215</v>
      </c>
      <c r="AQ767" s="103" t="s">
        <v>1196</v>
      </c>
      <c r="AR767" s="103" t="s">
        <v>941</v>
      </c>
      <c r="AS767" s="268"/>
      <c r="AT767" s="268"/>
      <c r="AU767" s="268"/>
      <c r="AV767" s="268"/>
      <c r="AW767" s="268"/>
      <c r="AX767" s="268"/>
      <c r="AY767" s="268"/>
      <c r="AZ767" s="268"/>
      <c r="BA767" s="268"/>
      <c r="BB767" s="268"/>
      <c r="BC767" s="268"/>
      <c r="BD767" s="268"/>
      <c r="BE767" s="268"/>
      <c r="BF767" s="268"/>
      <c r="BG767" s="268"/>
      <c r="BH767" s="234">
        <f t="shared" ref="BH767:BH772" si="341">IF(W767=0,0,BG767+BF767+BE767+BD767+BC767+BB767+BA767+AZ767+AY767+AX767+AW767+AV767+AU767+AT767+AS767)</f>
        <v>0</v>
      </c>
      <c r="BI767" s="268"/>
      <c r="BJ767" s="268"/>
      <c r="BK767" s="268"/>
      <c r="BL767" s="268"/>
      <c r="BM767" s="268"/>
      <c r="BN767" s="268"/>
      <c r="BO767" s="268"/>
      <c r="BP767" s="268"/>
      <c r="BQ767" s="268"/>
      <c r="BR767" s="268"/>
      <c r="BS767" s="268"/>
      <c r="BT767" s="268"/>
      <c r="BU767" s="268"/>
      <c r="BV767" s="268"/>
      <c r="BW767" s="268"/>
      <c r="BX767" s="234">
        <f t="shared" ref="BX767:BX772" si="342">IF(AB767=0,0,BI767+BJ767+BK767+BL767+BM767+BN767+BO767+BP767+BQ767+BR767+BS767+BT767+BU767+BV767+BW767)</f>
        <v>0</v>
      </c>
      <c r="BY767" s="268"/>
      <c r="BZ767" s="268"/>
      <c r="CA767" s="268"/>
      <c r="CB767" s="268"/>
      <c r="CC767" s="268"/>
      <c r="CD767" s="268"/>
      <c r="CE767" s="268"/>
      <c r="CF767" s="268"/>
      <c r="CG767" s="268"/>
      <c r="CH767" s="268"/>
      <c r="CI767" s="268"/>
      <c r="CJ767" s="268"/>
      <c r="CK767" s="268"/>
      <c r="CL767" s="268"/>
      <c r="CM767" s="268">
        <v>1200000000</v>
      </c>
      <c r="CN767" s="234">
        <f t="shared" ref="CN767:CN772" si="343">IF(AG767=0,0,(BY767+BZ767+CA767+CB767+CC767+CD767+CE767+CF767+CG767+CH767+CI767+CJ767+CK767+CL767+CM767))</f>
        <v>1200000000</v>
      </c>
      <c r="CO767" s="268"/>
      <c r="CP767" s="268"/>
      <c r="CQ767" s="268"/>
      <c r="CR767" s="268"/>
      <c r="CS767" s="268"/>
      <c r="CT767" s="268"/>
      <c r="CU767" s="268"/>
      <c r="CV767" s="268"/>
      <c r="CW767" s="268"/>
      <c r="CX767" s="268"/>
      <c r="CY767" s="268"/>
      <c r="CZ767" s="268"/>
      <c r="DA767" s="268"/>
      <c r="DB767" s="268"/>
      <c r="DC767" s="268"/>
      <c r="DD767" s="234">
        <f t="shared" ref="DD767:DD772" si="344">IF(AL767=0,0,(CO767+CP767+CQ767+CR767+CS767+CT767+CU767+CV767+CW767+CX767+CY767+CZ767+DA767+DB767+DC767))</f>
        <v>0</v>
      </c>
      <c r="DE767" s="243">
        <f t="shared" ref="DE767" si="345">SUM(DD767+CN767+BX767+BH767)</f>
        <v>1200000000</v>
      </c>
    </row>
    <row r="768" spans="1:110" s="98" customFormat="1" ht="119.1" customHeight="1">
      <c r="A768" s="103" t="s">
        <v>1246</v>
      </c>
      <c r="B768" s="279" t="s">
        <v>3614</v>
      </c>
      <c r="C768" s="279" t="s">
        <v>1738</v>
      </c>
      <c r="D768" s="279">
        <v>66</v>
      </c>
      <c r="E768" s="279" t="s">
        <v>1779</v>
      </c>
      <c r="F768" s="280" t="s">
        <v>173</v>
      </c>
      <c r="G768" s="279" t="s">
        <v>3232</v>
      </c>
      <c r="H768" s="279">
        <v>80</v>
      </c>
      <c r="I768" s="279" t="s">
        <v>180</v>
      </c>
      <c r="J768" s="279" t="s">
        <v>677</v>
      </c>
      <c r="K768" s="279">
        <v>97.92</v>
      </c>
      <c r="L768" s="279" t="s">
        <v>1783</v>
      </c>
      <c r="M768" s="279" t="s">
        <v>1784</v>
      </c>
      <c r="N768" s="279" t="s">
        <v>1785</v>
      </c>
      <c r="O768" s="279" t="s">
        <v>181</v>
      </c>
      <c r="P768" s="283">
        <v>683</v>
      </c>
      <c r="Q768" s="279" t="s">
        <v>3752</v>
      </c>
      <c r="R768" s="279" t="s">
        <v>182</v>
      </c>
      <c r="S768" s="279" t="s">
        <v>683</v>
      </c>
      <c r="T768" s="279">
        <v>2</v>
      </c>
      <c r="U768" s="267"/>
      <c r="V768" s="267">
        <v>1</v>
      </c>
      <c r="W768" s="224">
        <v>1</v>
      </c>
      <c r="X768" s="267"/>
      <c r="Y768" s="267"/>
      <c r="Z768" s="267"/>
      <c r="AA768" s="267"/>
      <c r="AB768" s="224">
        <v>0</v>
      </c>
      <c r="AC768" s="267"/>
      <c r="AD768" s="267"/>
      <c r="AE768" s="267"/>
      <c r="AF768" s="267"/>
      <c r="AG768" s="224">
        <v>0</v>
      </c>
      <c r="AH768" s="267"/>
      <c r="AI768" s="267"/>
      <c r="AJ768" s="267"/>
      <c r="AK768" s="267">
        <v>1</v>
      </c>
      <c r="AL768" s="224">
        <v>1</v>
      </c>
      <c r="AM768" s="104">
        <v>2</v>
      </c>
      <c r="AN768" s="103" t="s">
        <v>685</v>
      </c>
      <c r="AO768" s="103" t="s">
        <v>623</v>
      </c>
      <c r="AP768" s="103" t="s">
        <v>1215</v>
      </c>
      <c r="AQ768" s="103" t="s">
        <v>1196</v>
      </c>
      <c r="AR768" s="103" t="s">
        <v>941</v>
      </c>
      <c r="AS768" s="271"/>
      <c r="AT768" s="271"/>
      <c r="AU768" s="271"/>
      <c r="AV768" s="271"/>
      <c r="AW768" s="271"/>
      <c r="AX768" s="271"/>
      <c r="AY768" s="271">
        <v>4496814166</v>
      </c>
      <c r="AZ768" s="271"/>
      <c r="BA768" s="271"/>
      <c r="BB768" s="271"/>
      <c r="BC768" s="271"/>
      <c r="BD768" s="271"/>
      <c r="BE768" s="271"/>
      <c r="BF768" s="271"/>
      <c r="BG768" s="271"/>
      <c r="BH768" s="235">
        <f t="shared" si="341"/>
        <v>4496814166</v>
      </c>
      <c r="BI768" s="271"/>
      <c r="BJ768" s="271"/>
      <c r="BK768" s="271"/>
      <c r="BL768" s="271"/>
      <c r="BM768" s="271"/>
      <c r="BN768" s="271"/>
      <c r="BO768" s="271"/>
      <c r="BP768" s="271"/>
      <c r="BQ768" s="271"/>
      <c r="BR768" s="271"/>
      <c r="BS768" s="271"/>
      <c r="BT768" s="271"/>
      <c r="BU768" s="271"/>
      <c r="BV768" s="271"/>
      <c r="BW768" s="271"/>
      <c r="BX768" s="235">
        <f t="shared" si="342"/>
        <v>0</v>
      </c>
      <c r="BY768" s="271"/>
      <c r="BZ768" s="271"/>
      <c r="CA768" s="271"/>
      <c r="CB768" s="271"/>
      <c r="CC768" s="271"/>
      <c r="CD768" s="271"/>
      <c r="CE768" s="271"/>
      <c r="CF768" s="271"/>
      <c r="CG768" s="271"/>
      <c r="CH768" s="271"/>
      <c r="CI768" s="271"/>
      <c r="CJ768" s="271"/>
      <c r="CK768" s="271"/>
      <c r="CL768" s="271"/>
      <c r="CM768" s="271"/>
      <c r="CN768" s="235">
        <f t="shared" si="343"/>
        <v>0</v>
      </c>
      <c r="CO768" s="271"/>
      <c r="CP768" s="271"/>
      <c r="CQ768" s="271"/>
      <c r="CR768" s="271"/>
      <c r="CS768" s="271"/>
      <c r="CT768" s="271"/>
      <c r="CU768" s="271">
        <v>300000000</v>
      </c>
      <c r="CV768" s="271"/>
      <c r="CW768" s="271"/>
      <c r="CX768" s="271"/>
      <c r="CY768" s="271"/>
      <c r="CZ768" s="271"/>
      <c r="DA768" s="271"/>
      <c r="DB768" s="271"/>
      <c r="DC768" s="271"/>
      <c r="DD768" s="234">
        <f t="shared" si="344"/>
        <v>300000000</v>
      </c>
      <c r="DE768" s="244">
        <f t="shared" ref="DE768:DE772" si="346">SUM(DD768+CN768+BX768+BH768)</f>
        <v>4796814166</v>
      </c>
    </row>
    <row r="769" spans="1:110" s="98" customFormat="1" ht="119.1" customHeight="1">
      <c r="A769" s="103" t="s">
        <v>1246</v>
      </c>
      <c r="B769" s="279" t="s">
        <v>3614</v>
      </c>
      <c r="C769" s="279" t="s">
        <v>1738</v>
      </c>
      <c r="D769" s="279">
        <v>66</v>
      </c>
      <c r="E769" s="279" t="s">
        <v>1779</v>
      </c>
      <c r="F769" s="280" t="s">
        <v>173</v>
      </c>
      <c r="G769" s="279" t="s">
        <v>3232</v>
      </c>
      <c r="H769" s="279">
        <v>80</v>
      </c>
      <c r="I769" s="279" t="s">
        <v>180</v>
      </c>
      <c r="J769" s="279" t="s">
        <v>677</v>
      </c>
      <c r="K769" s="279">
        <v>97.92</v>
      </c>
      <c r="L769" s="279" t="s">
        <v>1783</v>
      </c>
      <c r="M769" s="279" t="s">
        <v>1784</v>
      </c>
      <c r="N769" s="279" t="s">
        <v>1785</v>
      </c>
      <c r="O769" s="279" t="s">
        <v>181</v>
      </c>
      <c r="P769" s="283">
        <v>684</v>
      </c>
      <c r="Q769" s="279" t="s">
        <v>2770</v>
      </c>
      <c r="R769" s="279" t="s">
        <v>184</v>
      </c>
      <c r="S769" s="279" t="s">
        <v>683</v>
      </c>
      <c r="T769" s="279">
        <v>1</v>
      </c>
      <c r="U769" s="267"/>
      <c r="V769" s="267"/>
      <c r="W769" s="224">
        <v>0</v>
      </c>
      <c r="X769" s="267"/>
      <c r="Y769" s="267"/>
      <c r="Z769" s="267"/>
      <c r="AA769" s="267">
        <v>1</v>
      </c>
      <c r="AB769" s="224">
        <v>1</v>
      </c>
      <c r="AC769" s="267"/>
      <c r="AD769" s="267"/>
      <c r="AE769" s="267"/>
      <c r="AF769" s="267">
        <v>2</v>
      </c>
      <c r="AG769" s="224">
        <v>2</v>
      </c>
      <c r="AH769" s="267"/>
      <c r="AI769" s="267"/>
      <c r="AJ769" s="267"/>
      <c r="AK769" s="267"/>
      <c r="AL769" s="224">
        <v>0</v>
      </c>
      <c r="AM769" s="104">
        <v>3</v>
      </c>
      <c r="AN769" s="103" t="s">
        <v>685</v>
      </c>
      <c r="AO769" s="103" t="s">
        <v>623</v>
      </c>
      <c r="AP769" s="103" t="s">
        <v>1215</v>
      </c>
      <c r="AQ769" s="103" t="s">
        <v>1196</v>
      </c>
      <c r="AR769" s="103" t="s">
        <v>941</v>
      </c>
      <c r="AS769" s="271"/>
      <c r="AT769" s="271"/>
      <c r="AU769" s="271"/>
      <c r="AV769" s="271"/>
      <c r="AW769" s="271"/>
      <c r="AX769" s="271"/>
      <c r="AY769" s="271"/>
      <c r="AZ769" s="271"/>
      <c r="BA769" s="271"/>
      <c r="BB769" s="271"/>
      <c r="BC769" s="271"/>
      <c r="BD769" s="271"/>
      <c r="BE769" s="271"/>
      <c r="BF769" s="271"/>
      <c r="BG769" s="271"/>
      <c r="BH769" s="235">
        <f t="shared" si="341"/>
        <v>0</v>
      </c>
      <c r="BI769" s="271"/>
      <c r="BJ769" s="271"/>
      <c r="BK769" s="271"/>
      <c r="BL769" s="271"/>
      <c r="BM769" s="271"/>
      <c r="BN769" s="271"/>
      <c r="BO769" s="271">
        <v>2000000000</v>
      </c>
      <c r="BP769" s="271"/>
      <c r="BQ769" s="271"/>
      <c r="BR769" s="271"/>
      <c r="BS769" s="271"/>
      <c r="BT769" s="271"/>
      <c r="BU769" s="271"/>
      <c r="BV769" s="271"/>
      <c r="BW769" s="271"/>
      <c r="BX769" s="235">
        <f t="shared" si="342"/>
        <v>2000000000</v>
      </c>
      <c r="BY769" s="271"/>
      <c r="BZ769" s="271"/>
      <c r="CA769" s="271"/>
      <c r="CB769" s="271"/>
      <c r="CC769" s="271"/>
      <c r="CD769" s="271"/>
      <c r="CE769" s="271">
        <v>2000000000</v>
      </c>
      <c r="CF769" s="271"/>
      <c r="CG769" s="271"/>
      <c r="CH769" s="271"/>
      <c r="CI769" s="271"/>
      <c r="CJ769" s="271"/>
      <c r="CK769" s="271"/>
      <c r="CL769" s="271"/>
      <c r="CM769" s="271"/>
      <c r="CN769" s="235">
        <f t="shared" si="343"/>
        <v>2000000000</v>
      </c>
      <c r="CO769" s="271"/>
      <c r="CP769" s="271"/>
      <c r="CQ769" s="271"/>
      <c r="CR769" s="271"/>
      <c r="CS769" s="271"/>
      <c r="CT769" s="271"/>
      <c r="CU769" s="271"/>
      <c r="CV769" s="271"/>
      <c r="CW769" s="271"/>
      <c r="CX769" s="271"/>
      <c r="CY769" s="271"/>
      <c r="CZ769" s="271"/>
      <c r="DA769" s="271"/>
      <c r="DB769" s="271"/>
      <c r="DC769" s="271"/>
      <c r="DD769" s="234">
        <f t="shared" si="344"/>
        <v>0</v>
      </c>
      <c r="DE769" s="244">
        <f t="shared" si="346"/>
        <v>4000000000</v>
      </c>
    </row>
    <row r="770" spans="1:110" s="98" customFormat="1" ht="119.1" customHeight="1">
      <c r="A770" s="103" t="s">
        <v>1246</v>
      </c>
      <c r="B770" s="279" t="s">
        <v>3614</v>
      </c>
      <c r="C770" s="279" t="s">
        <v>1738</v>
      </c>
      <c r="D770" s="279">
        <v>66</v>
      </c>
      <c r="E770" s="279" t="s">
        <v>1779</v>
      </c>
      <c r="F770" s="280" t="s">
        <v>173</v>
      </c>
      <c r="G770" s="279" t="s">
        <v>3232</v>
      </c>
      <c r="H770" s="279">
        <v>80</v>
      </c>
      <c r="I770" s="279" t="s">
        <v>180</v>
      </c>
      <c r="J770" s="279" t="s">
        <v>677</v>
      </c>
      <c r="K770" s="279">
        <v>97.92</v>
      </c>
      <c r="L770" s="279" t="s">
        <v>1783</v>
      </c>
      <c r="M770" s="279" t="s">
        <v>1784</v>
      </c>
      <c r="N770" s="279" t="s">
        <v>1785</v>
      </c>
      <c r="O770" s="279" t="s">
        <v>181</v>
      </c>
      <c r="P770" s="283">
        <v>685</v>
      </c>
      <c r="Q770" s="279" t="s">
        <v>3675</v>
      </c>
      <c r="R770" s="279" t="s">
        <v>187</v>
      </c>
      <c r="S770" s="279" t="s">
        <v>683</v>
      </c>
      <c r="T770" s="279">
        <v>8</v>
      </c>
      <c r="U770" s="267"/>
      <c r="V770" s="267"/>
      <c r="W770" s="224">
        <v>0</v>
      </c>
      <c r="X770" s="267"/>
      <c r="Y770" s="267"/>
      <c r="Z770" s="267"/>
      <c r="AA770" s="267">
        <v>2</v>
      </c>
      <c r="AB770" s="224">
        <v>2</v>
      </c>
      <c r="AC770" s="267"/>
      <c r="AD770" s="267"/>
      <c r="AE770" s="267"/>
      <c r="AF770" s="267">
        <v>3</v>
      </c>
      <c r="AG770" s="224">
        <v>3</v>
      </c>
      <c r="AH770" s="267"/>
      <c r="AI770" s="267"/>
      <c r="AJ770" s="267"/>
      <c r="AK770" s="267">
        <v>3</v>
      </c>
      <c r="AL770" s="224">
        <v>3</v>
      </c>
      <c r="AM770" s="104">
        <v>8</v>
      </c>
      <c r="AN770" s="103" t="s">
        <v>685</v>
      </c>
      <c r="AO770" s="103" t="s">
        <v>623</v>
      </c>
      <c r="AP770" s="103" t="s">
        <v>1215</v>
      </c>
      <c r="AQ770" s="103" t="s">
        <v>1196</v>
      </c>
      <c r="AR770" s="103" t="s">
        <v>941</v>
      </c>
      <c r="AS770" s="271"/>
      <c r="AT770" s="271"/>
      <c r="AU770" s="271"/>
      <c r="AV770" s="271"/>
      <c r="AW770" s="271"/>
      <c r="AX770" s="271"/>
      <c r="AY770" s="271"/>
      <c r="AZ770" s="271"/>
      <c r="BA770" s="271"/>
      <c r="BB770" s="271"/>
      <c r="BC770" s="271"/>
      <c r="BD770" s="271"/>
      <c r="BE770" s="271"/>
      <c r="BF770" s="271"/>
      <c r="BG770" s="271"/>
      <c r="BH770" s="235">
        <f t="shared" si="341"/>
        <v>0</v>
      </c>
      <c r="BI770" s="271"/>
      <c r="BJ770" s="271"/>
      <c r="BK770" s="271"/>
      <c r="BL770" s="271"/>
      <c r="BM770" s="271"/>
      <c r="BN770" s="271"/>
      <c r="BO770" s="271">
        <v>200000000</v>
      </c>
      <c r="BP770" s="271"/>
      <c r="BQ770" s="271"/>
      <c r="BR770" s="271"/>
      <c r="BS770" s="271"/>
      <c r="BT770" s="271"/>
      <c r="BU770" s="271"/>
      <c r="BV770" s="271"/>
      <c r="BW770" s="271"/>
      <c r="BX770" s="235">
        <f t="shared" si="342"/>
        <v>200000000</v>
      </c>
      <c r="BY770" s="271"/>
      <c r="BZ770" s="271"/>
      <c r="CA770" s="271"/>
      <c r="CB770" s="271"/>
      <c r="CC770" s="271"/>
      <c r="CD770" s="271"/>
      <c r="CE770" s="271">
        <v>600000000</v>
      </c>
      <c r="CF770" s="271"/>
      <c r="CG770" s="271"/>
      <c r="CH770" s="271"/>
      <c r="CI770" s="271"/>
      <c r="CJ770" s="271"/>
      <c r="CK770" s="271"/>
      <c r="CL770" s="271"/>
      <c r="CM770" s="271"/>
      <c r="CN770" s="235">
        <f t="shared" si="343"/>
        <v>600000000</v>
      </c>
      <c r="CO770" s="271"/>
      <c r="CP770" s="271"/>
      <c r="CQ770" s="271"/>
      <c r="CR770" s="271"/>
      <c r="CS770" s="271"/>
      <c r="CT770" s="271"/>
      <c r="CU770" s="271">
        <v>545000000</v>
      </c>
      <c r="CV770" s="271"/>
      <c r="CW770" s="271"/>
      <c r="CX770" s="271"/>
      <c r="CY770" s="271"/>
      <c r="CZ770" s="271"/>
      <c r="DA770" s="271"/>
      <c r="DB770" s="271"/>
      <c r="DC770" s="271"/>
      <c r="DD770" s="234">
        <f t="shared" si="344"/>
        <v>545000000</v>
      </c>
      <c r="DE770" s="244">
        <f t="shared" si="346"/>
        <v>1345000000</v>
      </c>
    </row>
    <row r="771" spans="1:110" s="98" customFormat="1" ht="119.1" customHeight="1">
      <c r="A771" s="103" t="s">
        <v>1246</v>
      </c>
      <c r="B771" s="279" t="s">
        <v>3614</v>
      </c>
      <c r="C771" s="279" t="s">
        <v>1738</v>
      </c>
      <c r="D771" s="279">
        <v>66</v>
      </c>
      <c r="E771" s="279" t="s">
        <v>1779</v>
      </c>
      <c r="F771" s="280" t="s">
        <v>173</v>
      </c>
      <c r="G771" s="279" t="s">
        <v>3232</v>
      </c>
      <c r="H771" s="279">
        <v>80</v>
      </c>
      <c r="I771" s="279" t="s">
        <v>180</v>
      </c>
      <c r="J771" s="279" t="s">
        <v>677</v>
      </c>
      <c r="K771" s="279">
        <v>97.92</v>
      </c>
      <c r="L771" s="279" t="s">
        <v>1783</v>
      </c>
      <c r="M771" s="279" t="s">
        <v>1784</v>
      </c>
      <c r="N771" s="279" t="s">
        <v>1785</v>
      </c>
      <c r="O771" s="279" t="s">
        <v>181</v>
      </c>
      <c r="P771" s="283">
        <v>686</v>
      </c>
      <c r="Q771" s="279" t="s">
        <v>3676</v>
      </c>
      <c r="R771" s="279" t="s">
        <v>189</v>
      </c>
      <c r="S771" s="279" t="s">
        <v>683</v>
      </c>
      <c r="T771" s="279">
        <v>5</v>
      </c>
      <c r="U771" s="267"/>
      <c r="V771" s="267"/>
      <c r="W771" s="224">
        <v>0</v>
      </c>
      <c r="X771" s="267"/>
      <c r="Y771" s="267"/>
      <c r="Z771" s="267"/>
      <c r="AA771" s="267">
        <v>4</v>
      </c>
      <c r="AB771" s="224">
        <v>4</v>
      </c>
      <c r="AC771" s="267"/>
      <c r="AD771" s="267"/>
      <c r="AE771" s="267"/>
      <c r="AF771" s="267">
        <v>4</v>
      </c>
      <c r="AG771" s="224">
        <v>4</v>
      </c>
      <c r="AH771" s="267"/>
      <c r="AI771" s="267"/>
      <c r="AJ771" s="267"/>
      <c r="AK771" s="267"/>
      <c r="AL771" s="224">
        <v>0</v>
      </c>
      <c r="AM771" s="104">
        <v>8</v>
      </c>
      <c r="AN771" s="103" t="s">
        <v>685</v>
      </c>
      <c r="AO771" s="103" t="s">
        <v>623</v>
      </c>
      <c r="AP771" s="103" t="s">
        <v>1215</v>
      </c>
      <c r="AQ771" s="103" t="s">
        <v>1196</v>
      </c>
      <c r="AR771" s="103" t="s">
        <v>941</v>
      </c>
      <c r="AS771" s="271"/>
      <c r="AT771" s="271"/>
      <c r="AU771" s="271"/>
      <c r="AV771" s="271"/>
      <c r="AW771" s="271"/>
      <c r="AX771" s="271"/>
      <c r="AY771" s="271"/>
      <c r="AZ771" s="271"/>
      <c r="BA771" s="271"/>
      <c r="BB771" s="271"/>
      <c r="BC771" s="271"/>
      <c r="BD771" s="271"/>
      <c r="BE771" s="271"/>
      <c r="BF771" s="271"/>
      <c r="BG771" s="271"/>
      <c r="BH771" s="235">
        <f t="shared" si="341"/>
        <v>0</v>
      </c>
      <c r="BI771" s="271"/>
      <c r="BJ771" s="271"/>
      <c r="BK771" s="271"/>
      <c r="BL771" s="271"/>
      <c r="BM771" s="271"/>
      <c r="BN771" s="271"/>
      <c r="BO771" s="271">
        <v>1999059455</v>
      </c>
      <c r="BP771" s="271"/>
      <c r="BQ771" s="271"/>
      <c r="BR771" s="271"/>
      <c r="BS771" s="271"/>
      <c r="BT771" s="271"/>
      <c r="BU771" s="271"/>
      <c r="BV771" s="271"/>
      <c r="BW771" s="271"/>
      <c r="BX771" s="235">
        <f t="shared" si="342"/>
        <v>1999059455</v>
      </c>
      <c r="BY771" s="271"/>
      <c r="BZ771" s="271"/>
      <c r="CA771" s="271"/>
      <c r="CB771" s="271"/>
      <c r="CC771" s="271"/>
      <c r="CD771" s="271"/>
      <c r="CE771" s="271">
        <v>1153931075</v>
      </c>
      <c r="CF771" s="271"/>
      <c r="CG771" s="271"/>
      <c r="CH771" s="271"/>
      <c r="CI771" s="271"/>
      <c r="CJ771" s="271"/>
      <c r="CK771" s="271"/>
      <c r="CL771" s="271"/>
      <c r="CM771" s="271"/>
      <c r="CN771" s="235">
        <f t="shared" si="343"/>
        <v>1153931075</v>
      </c>
      <c r="CO771" s="271"/>
      <c r="CP771" s="271"/>
      <c r="CQ771" s="271"/>
      <c r="CR771" s="271"/>
      <c r="CS771" s="271"/>
      <c r="CT771" s="271"/>
      <c r="CU771" s="271"/>
      <c r="CV771" s="271"/>
      <c r="CW771" s="271"/>
      <c r="CX771" s="271"/>
      <c r="CY771" s="271"/>
      <c r="CZ771" s="271"/>
      <c r="DA771" s="271"/>
      <c r="DB771" s="271"/>
      <c r="DC771" s="271"/>
      <c r="DD771" s="234">
        <f t="shared" si="344"/>
        <v>0</v>
      </c>
      <c r="DE771" s="244">
        <f t="shared" si="346"/>
        <v>3152990530</v>
      </c>
    </row>
    <row r="772" spans="1:110" s="98" customFormat="1" ht="119.1" customHeight="1">
      <c r="A772" s="120" t="s">
        <v>1246</v>
      </c>
      <c r="B772" s="281" t="s">
        <v>3614</v>
      </c>
      <c r="C772" s="281" t="s">
        <v>1738</v>
      </c>
      <c r="D772" s="281">
        <v>66</v>
      </c>
      <c r="E772" s="281" t="s">
        <v>1779</v>
      </c>
      <c r="F772" s="282" t="s">
        <v>173</v>
      </c>
      <c r="G772" s="281" t="s">
        <v>3232</v>
      </c>
      <c r="H772" s="281">
        <v>80</v>
      </c>
      <c r="I772" s="281" t="s">
        <v>180</v>
      </c>
      <c r="J772" s="281" t="s">
        <v>677</v>
      </c>
      <c r="K772" s="281">
        <v>97.92</v>
      </c>
      <c r="L772" s="281" t="s">
        <v>1783</v>
      </c>
      <c r="M772" s="281" t="s">
        <v>1784</v>
      </c>
      <c r="N772" s="281" t="s">
        <v>1785</v>
      </c>
      <c r="O772" s="281" t="s">
        <v>181</v>
      </c>
      <c r="P772" s="283">
        <v>687</v>
      </c>
      <c r="Q772" s="281" t="s">
        <v>3753</v>
      </c>
      <c r="R772" s="281" t="s">
        <v>192</v>
      </c>
      <c r="S772" s="281" t="s">
        <v>683</v>
      </c>
      <c r="T772" s="281">
        <v>10</v>
      </c>
      <c r="U772" s="275"/>
      <c r="V772" s="275"/>
      <c r="W772" s="225">
        <v>0</v>
      </c>
      <c r="X772" s="275"/>
      <c r="Y772" s="275"/>
      <c r="Z772" s="275"/>
      <c r="AA772" s="275"/>
      <c r="AB772" s="225">
        <v>0</v>
      </c>
      <c r="AC772" s="275"/>
      <c r="AD772" s="275"/>
      <c r="AE772" s="275"/>
      <c r="AF772" s="275"/>
      <c r="AG772" s="225">
        <v>0</v>
      </c>
      <c r="AH772" s="275"/>
      <c r="AI772" s="275"/>
      <c r="AJ772" s="275"/>
      <c r="AK772" s="275">
        <v>10</v>
      </c>
      <c r="AL772" s="225">
        <v>10</v>
      </c>
      <c r="AM772" s="119">
        <v>10</v>
      </c>
      <c r="AN772" s="120" t="s">
        <v>685</v>
      </c>
      <c r="AO772" s="120" t="s">
        <v>623</v>
      </c>
      <c r="AP772" s="120" t="s">
        <v>1215</v>
      </c>
      <c r="AQ772" s="120" t="s">
        <v>1196</v>
      </c>
      <c r="AR772" s="120" t="s">
        <v>941</v>
      </c>
      <c r="AS772" s="276"/>
      <c r="AT772" s="276"/>
      <c r="AU772" s="276"/>
      <c r="AV772" s="276"/>
      <c r="AW772" s="276"/>
      <c r="AX772" s="276"/>
      <c r="AY772" s="276"/>
      <c r="AZ772" s="276"/>
      <c r="BA772" s="276"/>
      <c r="BB772" s="276"/>
      <c r="BC772" s="276"/>
      <c r="BD772" s="276"/>
      <c r="BE772" s="276"/>
      <c r="BF772" s="276"/>
      <c r="BG772" s="276"/>
      <c r="BH772" s="236">
        <f t="shared" si="341"/>
        <v>0</v>
      </c>
      <c r="BI772" s="276"/>
      <c r="BJ772" s="276"/>
      <c r="BK772" s="276"/>
      <c r="BL772" s="276"/>
      <c r="BM772" s="276"/>
      <c r="BN772" s="276"/>
      <c r="BO772" s="276"/>
      <c r="BP772" s="276"/>
      <c r="BQ772" s="276"/>
      <c r="BR772" s="276"/>
      <c r="BS772" s="276"/>
      <c r="BT772" s="276"/>
      <c r="BU772" s="276"/>
      <c r="BV772" s="276"/>
      <c r="BW772" s="276"/>
      <c r="BX772" s="236">
        <f t="shared" si="342"/>
        <v>0</v>
      </c>
      <c r="BY772" s="276"/>
      <c r="BZ772" s="276"/>
      <c r="CA772" s="276"/>
      <c r="CB772" s="276"/>
      <c r="CC772" s="276"/>
      <c r="CD772" s="276"/>
      <c r="CE772" s="276"/>
      <c r="CF772" s="276"/>
      <c r="CG772" s="276"/>
      <c r="CH772" s="276"/>
      <c r="CI772" s="276"/>
      <c r="CJ772" s="276"/>
      <c r="CK772" s="276"/>
      <c r="CL772" s="276"/>
      <c r="CM772" s="276"/>
      <c r="CN772" s="236">
        <f t="shared" si="343"/>
        <v>0</v>
      </c>
      <c r="CO772" s="276"/>
      <c r="CP772" s="276"/>
      <c r="CQ772" s="276"/>
      <c r="CR772" s="276"/>
      <c r="CS772" s="276"/>
      <c r="CT772" s="276"/>
      <c r="CU772" s="276">
        <v>900000000</v>
      </c>
      <c r="CV772" s="276"/>
      <c r="CW772" s="276"/>
      <c r="CX772" s="276"/>
      <c r="CY772" s="276"/>
      <c r="CZ772" s="276"/>
      <c r="DA772" s="276"/>
      <c r="DB772" s="276"/>
      <c r="DC772" s="276"/>
      <c r="DD772" s="240">
        <f t="shared" si="344"/>
        <v>900000000</v>
      </c>
      <c r="DE772" s="245">
        <f t="shared" si="346"/>
        <v>900000000</v>
      </c>
    </row>
    <row r="773" spans="1:110" ht="65.099999999999994" customHeight="1">
      <c r="A773" s="134"/>
      <c r="B773" s="134" t="s">
        <v>3614</v>
      </c>
      <c r="C773" s="134" t="s">
        <v>1738</v>
      </c>
      <c r="D773" s="134">
        <v>66</v>
      </c>
      <c r="E773" s="134" t="s">
        <v>1779</v>
      </c>
      <c r="F773" s="135"/>
      <c r="G773" s="136"/>
      <c r="H773" s="137"/>
      <c r="I773" s="137"/>
      <c r="J773" s="137"/>
      <c r="K773" s="138"/>
      <c r="L773" s="137"/>
      <c r="M773" s="137"/>
      <c r="N773" s="137"/>
      <c r="O773" s="137"/>
      <c r="P773" s="137"/>
      <c r="Q773" s="136"/>
      <c r="R773" s="139"/>
      <c r="S773" s="137"/>
      <c r="T773" s="137"/>
      <c r="U773" s="140"/>
      <c r="V773" s="140"/>
      <c r="W773" s="138"/>
      <c r="X773" s="140"/>
      <c r="Y773" s="140"/>
      <c r="Z773" s="140"/>
      <c r="AA773" s="140"/>
      <c r="AB773" s="138"/>
      <c r="AC773" s="140"/>
      <c r="AD773" s="140"/>
      <c r="AE773" s="140"/>
      <c r="AF773" s="140"/>
      <c r="AG773" s="138"/>
      <c r="AH773" s="140"/>
      <c r="AI773" s="140"/>
      <c r="AJ773" s="140"/>
      <c r="AK773" s="140"/>
      <c r="AL773" s="138"/>
      <c r="AM773" s="141"/>
      <c r="AN773" s="142"/>
      <c r="AO773" s="142"/>
      <c r="AP773" s="143"/>
      <c r="AQ773" s="143"/>
      <c r="AR773" s="144"/>
      <c r="AS773" s="132">
        <f>SUM(AS767:AS772)</f>
        <v>0</v>
      </c>
      <c r="AT773" s="132">
        <f t="shared" ref="AT773:DE773" si="347">SUM(AT767:AT772)</f>
        <v>0</v>
      </c>
      <c r="AU773" s="132">
        <f t="shared" si="347"/>
        <v>0</v>
      </c>
      <c r="AV773" s="132">
        <f t="shared" si="347"/>
        <v>0</v>
      </c>
      <c r="AW773" s="132">
        <f t="shared" si="347"/>
        <v>0</v>
      </c>
      <c r="AX773" s="132">
        <f t="shared" si="347"/>
        <v>0</v>
      </c>
      <c r="AY773" s="132">
        <f t="shared" si="347"/>
        <v>4496814166</v>
      </c>
      <c r="AZ773" s="132">
        <f t="shared" si="347"/>
        <v>0</v>
      </c>
      <c r="BA773" s="132">
        <f t="shared" si="347"/>
        <v>0</v>
      </c>
      <c r="BB773" s="132">
        <f t="shared" si="347"/>
        <v>0</v>
      </c>
      <c r="BC773" s="132">
        <f t="shared" si="347"/>
        <v>0</v>
      </c>
      <c r="BD773" s="132">
        <f t="shared" si="347"/>
        <v>0</v>
      </c>
      <c r="BE773" s="132">
        <f t="shared" si="347"/>
        <v>0</v>
      </c>
      <c r="BF773" s="132">
        <f t="shared" si="347"/>
        <v>0</v>
      </c>
      <c r="BG773" s="132">
        <f t="shared" si="347"/>
        <v>0</v>
      </c>
      <c r="BH773" s="132">
        <f t="shared" si="347"/>
        <v>4496814166</v>
      </c>
      <c r="BI773" s="132">
        <f t="shared" si="347"/>
        <v>0</v>
      </c>
      <c r="BJ773" s="132">
        <f t="shared" si="347"/>
        <v>0</v>
      </c>
      <c r="BK773" s="132">
        <f t="shared" si="347"/>
        <v>0</v>
      </c>
      <c r="BL773" s="132">
        <f t="shared" si="347"/>
        <v>0</v>
      </c>
      <c r="BM773" s="132">
        <f t="shared" si="347"/>
        <v>0</v>
      </c>
      <c r="BN773" s="132">
        <f t="shared" si="347"/>
        <v>0</v>
      </c>
      <c r="BO773" s="132">
        <f t="shared" si="347"/>
        <v>4199059455</v>
      </c>
      <c r="BP773" s="132">
        <f t="shared" si="347"/>
        <v>0</v>
      </c>
      <c r="BQ773" s="132">
        <f t="shared" si="347"/>
        <v>0</v>
      </c>
      <c r="BR773" s="132">
        <f t="shared" si="347"/>
        <v>0</v>
      </c>
      <c r="BS773" s="132">
        <f t="shared" si="347"/>
        <v>0</v>
      </c>
      <c r="BT773" s="132">
        <f t="shared" si="347"/>
        <v>0</v>
      </c>
      <c r="BU773" s="132">
        <f t="shared" si="347"/>
        <v>0</v>
      </c>
      <c r="BV773" s="132">
        <f t="shared" si="347"/>
        <v>0</v>
      </c>
      <c r="BW773" s="132">
        <f t="shared" si="347"/>
        <v>0</v>
      </c>
      <c r="BX773" s="132">
        <f t="shared" si="347"/>
        <v>4199059455</v>
      </c>
      <c r="BY773" s="132">
        <f t="shared" si="347"/>
        <v>0</v>
      </c>
      <c r="BZ773" s="132">
        <f t="shared" si="347"/>
        <v>0</v>
      </c>
      <c r="CA773" s="132">
        <f t="shared" si="347"/>
        <v>0</v>
      </c>
      <c r="CB773" s="132">
        <f t="shared" si="347"/>
        <v>0</v>
      </c>
      <c r="CC773" s="132">
        <f t="shared" si="347"/>
        <v>0</v>
      </c>
      <c r="CD773" s="132">
        <f t="shared" si="347"/>
        <v>0</v>
      </c>
      <c r="CE773" s="132">
        <f t="shared" si="347"/>
        <v>3753931075</v>
      </c>
      <c r="CF773" s="132">
        <f t="shared" si="347"/>
        <v>0</v>
      </c>
      <c r="CG773" s="132">
        <f t="shared" si="347"/>
        <v>0</v>
      </c>
      <c r="CH773" s="132">
        <f t="shared" si="347"/>
        <v>0</v>
      </c>
      <c r="CI773" s="132">
        <f t="shared" si="347"/>
        <v>0</v>
      </c>
      <c r="CJ773" s="132">
        <f t="shared" si="347"/>
        <v>0</v>
      </c>
      <c r="CK773" s="132">
        <f t="shared" si="347"/>
        <v>0</v>
      </c>
      <c r="CL773" s="132">
        <f t="shared" si="347"/>
        <v>0</v>
      </c>
      <c r="CM773" s="132">
        <f t="shared" si="347"/>
        <v>1200000000</v>
      </c>
      <c r="CN773" s="132">
        <f t="shared" si="347"/>
        <v>4953931075</v>
      </c>
      <c r="CO773" s="132">
        <f t="shared" si="347"/>
        <v>0</v>
      </c>
      <c r="CP773" s="132">
        <f t="shared" si="347"/>
        <v>0</v>
      </c>
      <c r="CQ773" s="132">
        <f t="shared" si="347"/>
        <v>0</v>
      </c>
      <c r="CR773" s="132">
        <f t="shared" si="347"/>
        <v>0</v>
      </c>
      <c r="CS773" s="132">
        <f t="shared" si="347"/>
        <v>0</v>
      </c>
      <c r="CT773" s="132">
        <f t="shared" si="347"/>
        <v>0</v>
      </c>
      <c r="CU773" s="132">
        <f t="shared" si="347"/>
        <v>1745000000</v>
      </c>
      <c r="CV773" s="132">
        <f t="shared" si="347"/>
        <v>0</v>
      </c>
      <c r="CW773" s="132">
        <f t="shared" si="347"/>
        <v>0</v>
      </c>
      <c r="CX773" s="132">
        <f t="shared" si="347"/>
        <v>0</v>
      </c>
      <c r="CY773" s="132">
        <f t="shared" si="347"/>
        <v>0</v>
      </c>
      <c r="CZ773" s="132">
        <f t="shared" si="347"/>
        <v>0</v>
      </c>
      <c r="DA773" s="132">
        <f t="shared" si="347"/>
        <v>0</v>
      </c>
      <c r="DB773" s="132">
        <f t="shared" si="347"/>
        <v>0</v>
      </c>
      <c r="DC773" s="132">
        <f t="shared" si="347"/>
        <v>0</v>
      </c>
      <c r="DD773" s="132">
        <f t="shared" si="347"/>
        <v>1745000000</v>
      </c>
      <c r="DE773" s="132">
        <f t="shared" si="347"/>
        <v>15394804696</v>
      </c>
      <c r="DF773" s="101"/>
    </row>
    <row r="774" spans="1:110" s="98" customFormat="1" ht="119.1" customHeight="1">
      <c r="A774" s="103" t="s">
        <v>1245</v>
      </c>
      <c r="B774" s="103" t="s">
        <v>3614</v>
      </c>
      <c r="C774" s="103" t="s">
        <v>1738</v>
      </c>
      <c r="D774" s="103">
        <v>67</v>
      </c>
      <c r="E774" s="103" t="s">
        <v>1786</v>
      </c>
      <c r="F774" s="278" t="s">
        <v>1787</v>
      </c>
      <c r="G774" s="293" t="s">
        <v>3644</v>
      </c>
      <c r="H774" s="103">
        <v>81</v>
      </c>
      <c r="I774" s="103" t="s">
        <v>1788</v>
      </c>
      <c r="J774" s="103" t="s">
        <v>683</v>
      </c>
      <c r="K774" s="103">
        <v>0</v>
      </c>
      <c r="L774" s="103">
        <v>1</v>
      </c>
      <c r="M774" s="103" t="s">
        <v>1789</v>
      </c>
      <c r="N774" s="103" t="s">
        <v>1790</v>
      </c>
      <c r="O774" s="103" t="s">
        <v>1791</v>
      </c>
      <c r="P774" s="283">
        <v>688</v>
      </c>
      <c r="Q774" s="103" t="s">
        <v>3677</v>
      </c>
      <c r="R774" s="103" t="s">
        <v>1792</v>
      </c>
      <c r="S774" s="103" t="s">
        <v>683</v>
      </c>
      <c r="T774" s="103">
        <v>0</v>
      </c>
      <c r="U774" s="267"/>
      <c r="V774" s="267">
        <v>0.25</v>
      </c>
      <c r="W774" s="224">
        <v>0.25</v>
      </c>
      <c r="X774" s="267"/>
      <c r="Y774" s="267">
        <v>0.25</v>
      </c>
      <c r="Z774" s="267">
        <v>0.5</v>
      </c>
      <c r="AA774" s="267"/>
      <c r="AB774" s="224">
        <v>0.75</v>
      </c>
      <c r="AC774" s="267"/>
      <c r="AD774" s="267"/>
      <c r="AE774" s="267"/>
      <c r="AF774" s="267"/>
      <c r="AG774" s="224">
        <v>0</v>
      </c>
      <c r="AH774" s="267"/>
      <c r="AI774" s="267"/>
      <c r="AJ774" s="267"/>
      <c r="AK774" s="267"/>
      <c r="AL774" s="224">
        <v>0</v>
      </c>
      <c r="AM774" s="102">
        <v>1</v>
      </c>
      <c r="AN774" s="103" t="s">
        <v>685</v>
      </c>
      <c r="AO774" s="103" t="s">
        <v>622</v>
      </c>
      <c r="AP774" s="103" t="s">
        <v>1222</v>
      </c>
      <c r="AQ774" s="103" t="s">
        <v>2753</v>
      </c>
      <c r="AR774" s="103" t="s">
        <v>950</v>
      </c>
      <c r="AS774" s="268"/>
      <c r="AT774" s="268"/>
      <c r="AU774" s="268"/>
      <c r="AV774" s="268"/>
      <c r="AW774" s="268">
        <v>5000000</v>
      </c>
      <c r="AX774" s="268"/>
      <c r="AY774" s="268"/>
      <c r="AZ774" s="268"/>
      <c r="BA774" s="268"/>
      <c r="BB774" s="268"/>
      <c r="BC774" s="268"/>
      <c r="BD774" s="268"/>
      <c r="BE774" s="268"/>
      <c r="BF774" s="268"/>
      <c r="BG774" s="268"/>
      <c r="BH774" s="234">
        <f>IF(W774=0,0,BG774+BF774+BE774+BD774+BC774+BB774+BA774+AZ774+AY774+AX774+AW774+AV774+AU774+AT774+AS774)</f>
        <v>5000000</v>
      </c>
      <c r="BI774" s="268"/>
      <c r="BJ774" s="268"/>
      <c r="BK774" s="268"/>
      <c r="BL774" s="268"/>
      <c r="BM774" s="268">
        <v>5000000</v>
      </c>
      <c r="BN774" s="268"/>
      <c r="BO774" s="268"/>
      <c r="BP774" s="268"/>
      <c r="BQ774" s="268"/>
      <c r="BR774" s="268"/>
      <c r="BS774" s="268"/>
      <c r="BT774" s="268"/>
      <c r="BU774" s="268"/>
      <c r="BV774" s="268"/>
      <c r="BW774" s="268"/>
      <c r="BX774" s="234">
        <f>IF(AB774=0,0,BI774+BJ774+BK774+BL774+BM774+BN774+BO774+BP774+BQ774+BR774+BS774+BT774+BU774+BV774+BW774)</f>
        <v>5000000</v>
      </c>
      <c r="BY774" s="268"/>
      <c r="BZ774" s="268"/>
      <c r="CA774" s="268"/>
      <c r="CB774" s="268"/>
      <c r="CC774" s="268"/>
      <c r="CD774" s="268"/>
      <c r="CE774" s="268"/>
      <c r="CF774" s="268"/>
      <c r="CG774" s="268"/>
      <c r="CH774" s="268"/>
      <c r="CI774" s="268"/>
      <c r="CJ774" s="268"/>
      <c r="CK774" s="268"/>
      <c r="CL774" s="268"/>
      <c r="CM774" s="268"/>
      <c r="CN774" s="234">
        <f>IF(AG774=0,0,(BY774+BZ774+CA774+CB774+CC774+CD774+CE774+CF774+CG774+CH774+CI774+CJ774+CK774+CL774+CM774))</f>
        <v>0</v>
      </c>
      <c r="CO774" s="268"/>
      <c r="CP774" s="268"/>
      <c r="CQ774" s="268"/>
      <c r="CR774" s="268"/>
      <c r="CS774" s="268"/>
      <c r="CT774" s="268"/>
      <c r="CU774" s="268"/>
      <c r="CV774" s="268"/>
      <c r="CW774" s="268"/>
      <c r="CX774" s="268"/>
      <c r="CY774" s="268"/>
      <c r="CZ774" s="268"/>
      <c r="DA774" s="268"/>
      <c r="DB774" s="268"/>
      <c r="DC774" s="268"/>
      <c r="DD774" s="234">
        <f>IF(AL774=0,0,(CO774+CP774+CQ774+CR774+CS774+CT774+CU774+CV774+CW774+CX774+CY774+CZ774+DA774+DB774+DC774))</f>
        <v>0</v>
      </c>
      <c r="DE774" s="243">
        <f t="shared" ref="DE774:DE775" si="348">SUM(DD774+CN774+BX774+BH774)</f>
        <v>10000000</v>
      </c>
    </row>
    <row r="775" spans="1:110" s="98" customFormat="1" ht="119.1" customHeight="1">
      <c r="A775" s="120" t="s">
        <v>1245</v>
      </c>
      <c r="B775" s="281" t="s">
        <v>3614</v>
      </c>
      <c r="C775" s="281" t="s">
        <v>1738</v>
      </c>
      <c r="D775" s="281">
        <v>67</v>
      </c>
      <c r="E775" s="281" t="s">
        <v>1786</v>
      </c>
      <c r="F775" s="282" t="s">
        <v>1787</v>
      </c>
      <c r="G775" s="295" t="s">
        <v>3233</v>
      </c>
      <c r="H775" s="281">
        <v>81</v>
      </c>
      <c r="I775" s="281" t="s">
        <v>1788</v>
      </c>
      <c r="J775" s="281" t="s">
        <v>683</v>
      </c>
      <c r="K775" s="281">
        <v>0</v>
      </c>
      <c r="L775" s="281">
        <v>1</v>
      </c>
      <c r="M775" s="281" t="s">
        <v>1789</v>
      </c>
      <c r="N775" s="281" t="s">
        <v>1790</v>
      </c>
      <c r="O775" s="281" t="s">
        <v>1791</v>
      </c>
      <c r="P775" s="284">
        <v>689</v>
      </c>
      <c r="Q775" s="281" t="s">
        <v>3678</v>
      </c>
      <c r="R775" s="281" t="s">
        <v>1793</v>
      </c>
      <c r="S775" s="281" t="s">
        <v>683</v>
      </c>
      <c r="T775" s="281">
        <v>0</v>
      </c>
      <c r="U775" s="275"/>
      <c r="V775" s="275">
        <v>1</v>
      </c>
      <c r="W775" s="225">
        <v>1</v>
      </c>
      <c r="X775" s="275"/>
      <c r="Y775" s="275">
        <v>1</v>
      </c>
      <c r="Z775" s="275">
        <v>1</v>
      </c>
      <c r="AA775" s="275">
        <v>1</v>
      </c>
      <c r="AB775" s="225">
        <v>3</v>
      </c>
      <c r="AC775" s="275"/>
      <c r="AD775" s="275"/>
      <c r="AE775" s="275"/>
      <c r="AF775" s="275"/>
      <c r="AG775" s="225">
        <v>0</v>
      </c>
      <c r="AH775" s="275"/>
      <c r="AI775" s="275"/>
      <c r="AJ775" s="275"/>
      <c r="AK775" s="275"/>
      <c r="AL775" s="225">
        <v>0</v>
      </c>
      <c r="AM775" s="119">
        <v>4</v>
      </c>
      <c r="AN775" s="120" t="s">
        <v>685</v>
      </c>
      <c r="AO775" s="120" t="s">
        <v>622</v>
      </c>
      <c r="AP775" s="120" t="s">
        <v>1222</v>
      </c>
      <c r="AQ775" s="120" t="s">
        <v>2753</v>
      </c>
      <c r="AR775" s="120" t="s">
        <v>950</v>
      </c>
      <c r="AS775" s="276"/>
      <c r="AT775" s="276"/>
      <c r="AU775" s="276"/>
      <c r="AV775" s="276"/>
      <c r="AW775" s="276">
        <v>15000000</v>
      </c>
      <c r="AX775" s="276"/>
      <c r="AY775" s="276"/>
      <c r="AZ775" s="276"/>
      <c r="BA775" s="276"/>
      <c r="BB775" s="276"/>
      <c r="BC775" s="276"/>
      <c r="BD775" s="276"/>
      <c r="BE775" s="276"/>
      <c r="BF775" s="276"/>
      <c r="BG775" s="276"/>
      <c r="BH775" s="236">
        <f>IF(W775=0,0,BG775+BF775+BE775+BD775+BC775+BB775+BA775+AZ775+AY775+AX775+AW775+AV775+AU775+AT775+AS775)</f>
        <v>15000000</v>
      </c>
      <c r="BI775" s="276"/>
      <c r="BJ775" s="276"/>
      <c r="BK775" s="276"/>
      <c r="BL775" s="276"/>
      <c r="BM775" s="276">
        <v>15000000</v>
      </c>
      <c r="BN775" s="276"/>
      <c r="BO775" s="276"/>
      <c r="BP775" s="276"/>
      <c r="BQ775" s="276"/>
      <c r="BR775" s="276"/>
      <c r="BS775" s="276"/>
      <c r="BT775" s="276"/>
      <c r="BU775" s="276"/>
      <c r="BV775" s="276"/>
      <c r="BW775" s="276"/>
      <c r="BX775" s="236">
        <f>IF(AB775=0,0,BI775+BJ775+BK775+BL775+BM775+BN775+BO775+BP775+BQ775+BR775+BS775+BT775+BU775+BV775+BW775)</f>
        <v>15000000</v>
      </c>
      <c r="BY775" s="276"/>
      <c r="BZ775" s="276"/>
      <c r="CA775" s="276"/>
      <c r="CB775" s="276"/>
      <c r="CC775" s="276"/>
      <c r="CD775" s="276"/>
      <c r="CE775" s="276"/>
      <c r="CF775" s="276"/>
      <c r="CG775" s="276"/>
      <c r="CH775" s="276"/>
      <c r="CI775" s="276"/>
      <c r="CJ775" s="276"/>
      <c r="CK775" s="276"/>
      <c r="CL775" s="276"/>
      <c r="CM775" s="276"/>
      <c r="CN775" s="236">
        <f>IF(AG775=0,0,(BY775+BZ775+CA775+CB775+CC775+CD775+CE775+CF775+CG775+CH775+CI775+CJ775+CK775+CL775+CM775))</f>
        <v>0</v>
      </c>
      <c r="CO775" s="276"/>
      <c r="CP775" s="276"/>
      <c r="CQ775" s="276"/>
      <c r="CR775" s="276"/>
      <c r="CS775" s="276"/>
      <c r="CT775" s="276"/>
      <c r="CU775" s="276"/>
      <c r="CV775" s="276"/>
      <c r="CW775" s="276"/>
      <c r="CX775" s="276"/>
      <c r="CY775" s="276"/>
      <c r="CZ775" s="276"/>
      <c r="DA775" s="276"/>
      <c r="DB775" s="276"/>
      <c r="DC775" s="276"/>
      <c r="DD775" s="240">
        <f>IF(AL775=0,0,(CO775+CP775+CQ775+CR775+CS775+CT775+CU775+CV775+CW775+CX775+CY775+CZ775+DA775+DB775+DC775))</f>
        <v>0</v>
      </c>
      <c r="DE775" s="245">
        <f t="shared" si="348"/>
        <v>30000000</v>
      </c>
    </row>
    <row r="776" spans="1:110" ht="65.099999999999994" customHeight="1">
      <c r="A776" s="134" t="s">
        <v>1245</v>
      </c>
      <c r="B776" s="134" t="s">
        <v>3614</v>
      </c>
      <c r="C776" s="134" t="s">
        <v>1738</v>
      </c>
      <c r="D776" s="148">
        <v>67</v>
      </c>
      <c r="E776" s="148" t="s">
        <v>1786</v>
      </c>
      <c r="F776" s="149"/>
      <c r="G776" s="150"/>
      <c r="H776" s="151"/>
      <c r="I776" s="151"/>
      <c r="J776" s="151"/>
      <c r="K776" s="152"/>
      <c r="L776" s="151"/>
      <c r="M776" s="151"/>
      <c r="N776" s="151"/>
      <c r="O776" s="151"/>
      <c r="P776" s="151"/>
      <c r="Q776" s="150"/>
      <c r="R776" s="153"/>
      <c r="S776" s="151"/>
      <c r="T776" s="151"/>
      <c r="U776" s="154"/>
      <c r="V776" s="154"/>
      <c r="W776" s="152"/>
      <c r="X776" s="154"/>
      <c r="Y776" s="154"/>
      <c r="Z776" s="154"/>
      <c r="AA776" s="154"/>
      <c r="AB776" s="152"/>
      <c r="AC776" s="154"/>
      <c r="AD776" s="154"/>
      <c r="AE776" s="154"/>
      <c r="AF776" s="154"/>
      <c r="AG776" s="152"/>
      <c r="AH776" s="154"/>
      <c r="AI776" s="154"/>
      <c r="AJ776" s="154"/>
      <c r="AK776" s="154"/>
      <c r="AL776" s="152"/>
      <c r="AM776" s="155"/>
      <c r="AN776" s="156"/>
      <c r="AO776" s="156"/>
      <c r="AP776" s="157"/>
      <c r="AQ776" s="157"/>
      <c r="AR776" s="158"/>
      <c r="AS776" s="132">
        <f t="shared" ref="AS776:DE776" si="349">SUM(AS774:AS775)</f>
        <v>0</v>
      </c>
      <c r="AT776" s="132">
        <f t="shared" si="349"/>
        <v>0</v>
      </c>
      <c r="AU776" s="132">
        <f t="shared" si="349"/>
        <v>0</v>
      </c>
      <c r="AV776" s="132">
        <f t="shared" si="349"/>
        <v>0</v>
      </c>
      <c r="AW776" s="132">
        <f t="shared" si="349"/>
        <v>20000000</v>
      </c>
      <c r="AX776" s="132">
        <f t="shared" si="349"/>
        <v>0</v>
      </c>
      <c r="AY776" s="132">
        <f t="shared" si="349"/>
        <v>0</v>
      </c>
      <c r="AZ776" s="132">
        <f t="shared" si="349"/>
        <v>0</v>
      </c>
      <c r="BA776" s="132">
        <f t="shared" si="349"/>
        <v>0</v>
      </c>
      <c r="BB776" s="132">
        <f t="shared" si="349"/>
        <v>0</v>
      </c>
      <c r="BC776" s="132">
        <f t="shared" si="349"/>
        <v>0</v>
      </c>
      <c r="BD776" s="132">
        <f t="shared" si="349"/>
        <v>0</v>
      </c>
      <c r="BE776" s="132">
        <f t="shared" si="349"/>
        <v>0</v>
      </c>
      <c r="BF776" s="132">
        <f t="shared" si="349"/>
        <v>0</v>
      </c>
      <c r="BG776" s="132">
        <f t="shared" si="349"/>
        <v>0</v>
      </c>
      <c r="BH776" s="133">
        <f>IF(OR(AND(BH774=0,W774&lt;&gt;0),AND(BH775=0,W775&lt;&gt;0)),"NO DEBEN QUEDAR CELDAS EN ROJO",SUM(BH774:BH775))</f>
        <v>20000000</v>
      </c>
      <c r="BI776" s="132">
        <f t="shared" si="349"/>
        <v>0</v>
      </c>
      <c r="BJ776" s="132">
        <f t="shared" si="349"/>
        <v>0</v>
      </c>
      <c r="BK776" s="132">
        <f t="shared" si="349"/>
        <v>0</v>
      </c>
      <c r="BL776" s="132">
        <f t="shared" si="349"/>
        <v>0</v>
      </c>
      <c r="BM776" s="132">
        <f t="shared" si="349"/>
        <v>20000000</v>
      </c>
      <c r="BN776" s="132">
        <f t="shared" si="349"/>
        <v>0</v>
      </c>
      <c r="BO776" s="132">
        <f t="shared" si="349"/>
        <v>0</v>
      </c>
      <c r="BP776" s="132">
        <f t="shared" si="349"/>
        <v>0</v>
      </c>
      <c r="BQ776" s="132">
        <f t="shared" si="349"/>
        <v>0</v>
      </c>
      <c r="BR776" s="132">
        <f t="shared" si="349"/>
        <v>0</v>
      </c>
      <c r="BS776" s="132">
        <f t="shared" si="349"/>
        <v>0</v>
      </c>
      <c r="BT776" s="132">
        <f t="shared" si="349"/>
        <v>0</v>
      </c>
      <c r="BU776" s="132">
        <f t="shared" si="349"/>
        <v>0</v>
      </c>
      <c r="BV776" s="132">
        <f t="shared" si="349"/>
        <v>0</v>
      </c>
      <c r="BW776" s="132">
        <f t="shared" si="349"/>
        <v>0</v>
      </c>
      <c r="BX776" s="133">
        <f>IF(OR(AND(BX774=0,AB774&lt;&gt;0),AND(BX775=0,AB775&lt;&gt;0)),"NO DEBEN QUEDAR CELDAS EN ROJO",SUM(BX774:BX775))</f>
        <v>20000000</v>
      </c>
      <c r="BY776" s="132">
        <f t="shared" si="349"/>
        <v>0</v>
      </c>
      <c r="BZ776" s="132">
        <f t="shared" si="349"/>
        <v>0</v>
      </c>
      <c r="CA776" s="132">
        <f t="shared" si="349"/>
        <v>0</v>
      </c>
      <c r="CB776" s="132">
        <f t="shared" si="349"/>
        <v>0</v>
      </c>
      <c r="CC776" s="132">
        <f t="shared" si="349"/>
        <v>0</v>
      </c>
      <c r="CD776" s="132">
        <f t="shared" si="349"/>
        <v>0</v>
      </c>
      <c r="CE776" s="132">
        <f t="shared" si="349"/>
        <v>0</v>
      </c>
      <c r="CF776" s="132">
        <f t="shared" si="349"/>
        <v>0</v>
      </c>
      <c r="CG776" s="132">
        <f t="shared" si="349"/>
        <v>0</v>
      </c>
      <c r="CH776" s="132">
        <f t="shared" si="349"/>
        <v>0</v>
      </c>
      <c r="CI776" s="132">
        <f t="shared" si="349"/>
        <v>0</v>
      </c>
      <c r="CJ776" s="132">
        <f t="shared" si="349"/>
        <v>0</v>
      </c>
      <c r="CK776" s="132">
        <f t="shared" si="349"/>
        <v>0</v>
      </c>
      <c r="CL776" s="132">
        <f t="shared" si="349"/>
        <v>0</v>
      </c>
      <c r="CM776" s="132">
        <f t="shared" si="349"/>
        <v>0</v>
      </c>
      <c r="CN776" s="133">
        <f>IF(OR(AND(CN774=0,AG774&lt;&gt;0),AND(CN775=0,AG775&lt;&gt;0)),"NO DEBEN QUEDAR CELDAS EN ROJO",SUM(CN774:CN775))</f>
        <v>0</v>
      </c>
      <c r="CO776" s="132">
        <f t="shared" si="349"/>
        <v>0</v>
      </c>
      <c r="CP776" s="132">
        <f t="shared" si="349"/>
        <v>0</v>
      </c>
      <c r="CQ776" s="132">
        <f t="shared" si="349"/>
        <v>0</v>
      </c>
      <c r="CR776" s="132">
        <f t="shared" si="349"/>
        <v>0</v>
      </c>
      <c r="CS776" s="132">
        <f t="shared" si="349"/>
        <v>0</v>
      </c>
      <c r="CT776" s="132">
        <f t="shared" si="349"/>
        <v>0</v>
      </c>
      <c r="CU776" s="132">
        <f t="shared" si="349"/>
        <v>0</v>
      </c>
      <c r="CV776" s="132">
        <f t="shared" si="349"/>
        <v>0</v>
      </c>
      <c r="CW776" s="132">
        <f t="shared" si="349"/>
        <v>0</v>
      </c>
      <c r="CX776" s="132">
        <f t="shared" si="349"/>
        <v>0</v>
      </c>
      <c r="CY776" s="132">
        <f t="shared" si="349"/>
        <v>0</v>
      </c>
      <c r="CZ776" s="132">
        <f t="shared" si="349"/>
        <v>0</v>
      </c>
      <c r="DA776" s="132">
        <f t="shared" si="349"/>
        <v>0</v>
      </c>
      <c r="DB776" s="132">
        <f t="shared" si="349"/>
        <v>0</v>
      </c>
      <c r="DC776" s="132">
        <f t="shared" si="349"/>
        <v>0</v>
      </c>
      <c r="DD776" s="133">
        <f>IF(OR(AND(DD774=0,AL774&lt;&gt;0),AND(DD775=0,AL775&lt;&gt;0)),"NO DEBEN QUEDAR CELDAS EN ROJO",SUM(DD774:DD775))</f>
        <v>0</v>
      </c>
      <c r="DE776" s="133">
        <f t="shared" si="349"/>
        <v>40000000</v>
      </c>
      <c r="DF776" s="101"/>
    </row>
    <row r="777" spans="1:110" s="117" customFormat="1" ht="55.05" customHeight="1">
      <c r="A777" s="124"/>
      <c r="B777" s="125" t="s">
        <v>3614</v>
      </c>
      <c r="C777" s="145" t="s">
        <v>1738</v>
      </c>
      <c r="D777" s="160"/>
      <c r="E777" s="161"/>
      <c r="F777" s="162"/>
      <c r="G777" s="163"/>
      <c r="H777" s="161"/>
      <c r="I777" s="161"/>
      <c r="J777" s="161"/>
      <c r="K777" s="161"/>
      <c r="L777" s="161"/>
      <c r="M777" s="161"/>
      <c r="N777" s="161"/>
      <c r="O777" s="161"/>
      <c r="P777" s="161"/>
      <c r="Q777" s="163"/>
      <c r="R777" s="164"/>
      <c r="S777" s="161"/>
      <c r="T777" s="161"/>
      <c r="U777" s="165"/>
      <c r="V777" s="165"/>
      <c r="W777" s="166"/>
      <c r="X777" s="165"/>
      <c r="Y777" s="165"/>
      <c r="Z777" s="165"/>
      <c r="AA777" s="165"/>
      <c r="AB777" s="166"/>
      <c r="AC777" s="165"/>
      <c r="AD777" s="165"/>
      <c r="AE777" s="165"/>
      <c r="AF777" s="165"/>
      <c r="AG777" s="166"/>
      <c r="AH777" s="165"/>
      <c r="AI777" s="165"/>
      <c r="AJ777" s="165"/>
      <c r="AK777" s="165"/>
      <c r="AL777" s="166"/>
      <c r="AM777" s="167"/>
      <c r="AN777" s="168"/>
      <c r="AO777" s="168"/>
      <c r="AP777" s="163"/>
      <c r="AQ777" s="163"/>
      <c r="AR777" s="169"/>
      <c r="AS777" s="147">
        <f>SUM(AS776+AS773+AS766+AS757+AS746+AS742)</f>
        <v>0</v>
      </c>
      <c r="AT777" s="130">
        <f t="shared" ref="AT777:DE777" si="350">SUM(AT776+AT773+AT766+AT757+AT746+AT742)</f>
        <v>0</v>
      </c>
      <c r="AU777" s="130">
        <f t="shared" si="350"/>
        <v>0</v>
      </c>
      <c r="AV777" s="130">
        <f t="shared" si="350"/>
        <v>0</v>
      </c>
      <c r="AW777" s="130">
        <f t="shared" si="350"/>
        <v>427345103</v>
      </c>
      <c r="AX777" s="130">
        <f t="shared" si="350"/>
        <v>0</v>
      </c>
      <c r="AY777" s="130">
        <f t="shared" si="350"/>
        <v>9376814166</v>
      </c>
      <c r="AZ777" s="130">
        <f t="shared" si="350"/>
        <v>0</v>
      </c>
      <c r="BA777" s="130">
        <f t="shared" si="350"/>
        <v>0</v>
      </c>
      <c r="BB777" s="130">
        <f t="shared" si="350"/>
        <v>0</v>
      </c>
      <c r="BC777" s="130">
        <f t="shared" si="350"/>
        <v>0</v>
      </c>
      <c r="BD777" s="130">
        <f t="shared" si="350"/>
        <v>0</v>
      </c>
      <c r="BE777" s="130">
        <f t="shared" si="350"/>
        <v>0</v>
      </c>
      <c r="BF777" s="130">
        <f t="shared" si="350"/>
        <v>0</v>
      </c>
      <c r="BG777" s="130">
        <f t="shared" si="350"/>
        <v>0</v>
      </c>
      <c r="BH777" s="130">
        <f t="shared" si="350"/>
        <v>9804159269</v>
      </c>
      <c r="BI777" s="130">
        <f t="shared" si="350"/>
        <v>0</v>
      </c>
      <c r="BJ777" s="130">
        <f t="shared" si="350"/>
        <v>0</v>
      </c>
      <c r="BK777" s="130">
        <f t="shared" si="350"/>
        <v>0</v>
      </c>
      <c r="BL777" s="130">
        <f t="shared" si="350"/>
        <v>0</v>
      </c>
      <c r="BM777" s="130">
        <f t="shared" si="350"/>
        <v>776084520</v>
      </c>
      <c r="BN777" s="130">
        <f t="shared" si="350"/>
        <v>0</v>
      </c>
      <c r="BO777" s="130">
        <f t="shared" si="350"/>
        <v>9658118590.9799995</v>
      </c>
      <c r="BP777" s="130">
        <f t="shared" si="350"/>
        <v>0</v>
      </c>
      <c r="BQ777" s="130">
        <f t="shared" si="350"/>
        <v>0</v>
      </c>
      <c r="BR777" s="130">
        <f t="shared" si="350"/>
        <v>0</v>
      </c>
      <c r="BS777" s="130">
        <f t="shared" si="350"/>
        <v>0</v>
      </c>
      <c r="BT777" s="130">
        <f t="shared" si="350"/>
        <v>0</v>
      </c>
      <c r="BU777" s="130">
        <f t="shared" si="350"/>
        <v>0</v>
      </c>
      <c r="BV777" s="130">
        <f t="shared" si="350"/>
        <v>0</v>
      </c>
      <c r="BW777" s="130">
        <f t="shared" si="350"/>
        <v>8318395432.5</v>
      </c>
      <c r="BX777" s="130">
        <f t="shared" si="350"/>
        <v>18752598543.48</v>
      </c>
      <c r="BY777" s="130">
        <f t="shared" si="350"/>
        <v>0</v>
      </c>
      <c r="BZ777" s="130">
        <f t="shared" si="350"/>
        <v>0</v>
      </c>
      <c r="CA777" s="130">
        <f t="shared" si="350"/>
        <v>0</v>
      </c>
      <c r="CB777" s="130">
        <f t="shared" si="350"/>
        <v>0</v>
      </c>
      <c r="CC777" s="130">
        <f t="shared" si="350"/>
        <v>706170905</v>
      </c>
      <c r="CD777" s="130">
        <f t="shared" si="350"/>
        <v>0</v>
      </c>
      <c r="CE777" s="130">
        <f t="shared" si="350"/>
        <v>9947862149</v>
      </c>
      <c r="CF777" s="130">
        <f t="shared" si="350"/>
        <v>0</v>
      </c>
      <c r="CG777" s="130">
        <f t="shared" si="350"/>
        <v>0</v>
      </c>
      <c r="CH777" s="130">
        <f t="shared" si="350"/>
        <v>0</v>
      </c>
      <c r="CI777" s="130">
        <f t="shared" si="350"/>
        <v>0</v>
      </c>
      <c r="CJ777" s="130">
        <f t="shared" si="350"/>
        <v>0</v>
      </c>
      <c r="CK777" s="130">
        <f t="shared" si="350"/>
        <v>0</v>
      </c>
      <c r="CL777" s="130">
        <f t="shared" si="350"/>
        <v>0</v>
      </c>
      <c r="CM777" s="130">
        <f t="shared" si="350"/>
        <v>2889642573</v>
      </c>
      <c r="CN777" s="130">
        <f t="shared" si="350"/>
        <v>13543675627</v>
      </c>
      <c r="CO777" s="130">
        <f t="shared" si="350"/>
        <v>0</v>
      </c>
      <c r="CP777" s="130">
        <f t="shared" si="350"/>
        <v>0</v>
      </c>
      <c r="CQ777" s="130">
        <f t="shared" si="350"/>
        <v>0</v>
      </c>
      <c r="CR777" s="130">
        <f t="shared" si="350"/>
        <v>0</v>
      </c>
      <c r="CS777" s="130">
        <f t="shared" si="350"/>
        <v>466927516</v>
      </c>
      <c r="CT777" s="130">
        <f t="shared" si="350"/>
        <v>0</v>
      </c>
      <c r="CU777" s="130">
        <f t="shared" si="350"/>
        <v>10246298013</v>
      </c>
      <c r="CV777" s="130">
        <f t="shared" si="350"/>
        <v>0</v>
      </c>
      <c r="CW777" s="130">
        <f t="shared" si="350"/>
        <v>0</v>
      </c>
      <c r="CX777" s="130">
        <f t="shared" si="350"/>
        <v>0</v>
      </c>
      <c r="CY777" s="130">
        <f t="shared" si="350"/>
        <v>0</v>
      </c>
      <c r="CZ777" s="130">
        <f t="shared" si="350"/>
        <v>0</v>
      </c>
      <c r="DA777" s="130">
        <f t="shared" si="350"/>
        <v>0</v>
      </c>
      <c r="DB777" s="130">
        <f t="shared" si="350"/>
        <v>0</v>
      </c>
      <c r="DC777" s="130">
        <f t="shared" si="350"/>
        <v>0</v>
      </c>
      <c r="DD777" s="130">
        <f t="shared" si="350"/>
        <v>10713225529</v>
      </c>
      <c r="DE777" s="130">
        <f t="shared" si="350"/>
        <v>52813658968.479996</v>
      </c>
    </row>
    <row r="778" spans="1:110" s="98" customFormat="1" ht="119.1" customHeight="1">
      <c r="A778" s="103" t="s">
        <v>1245</v>
      </c>
      <c r="B778" s="103" t="s">
        <v>3614</v>
      </c>
      <c r="C778" s="103" t="s">
        <v>1794</v>
      </c>
      <c r="D778" s="103">
        <v>68</v>
      </c>
      <c r="E778" s="103" t="s">
        <v>1795</v>
      </c>
      <c r="F778" s="278" t="s">
        <v>195</v>
      </c>
      <c r="G778" s="103" t="s">
        <v>3645</v>
      </c>
      <c r="H778" s="103">
        <v>82</v>
      </c>
      <c r="I778" s="103" t="s">
        <v>196</v>
      </c>
      <c r="J778" s="103" t="s">
        <v>1796</v>
      </c>
      <c r="K778" s="103">
        <v>27</v>
      </c>
      <c r="L778" s="103" t="s">
        <v>729</v>
      </c>
      <c r="M778" s="103" t="s">
        <v>1797</v>
      </c>
      <c r="N778" s="103" t="s">
        <v>1798</v>
      </c>
      <c r="O778" s="103" t="s">
        <v>198</v>
      </c>
      <c r="P778" s="283">
        <v>690</v>
      </c>
      <c r="Q778" s="103" t="s">
        <v>3679</v>
      </c>
      <c r="R778" s="103" t="s">
        <v>199</v>
      </c>
      <c r="S778" s="103" t="s">
        <v>683</v>
      </c>
      <c r="T778" s="103">
        <v>2</v>
      </c>
      <c r="U778" s="267"/>
      <c r="V778" s="267"/>
      <c r="W778" s="224">
        <v>0</v>
      </c>
      <c r="X778" s="267"/>
      <c r="Y778" s="267"/>
      <c r="Z778" s="267"/>
      <c r="AA778" s="267"/>
      <c r="AB778" s="224">
        <v>0</v>
      </c>
      <c r="AC778" s="267">
        <v>7</v>
      </c>
      <c r="AD778" s="267">
        <v>8</v>
      </c>
      <c r="AE778" s="267">
        <v>8</v>
      </c>
      <c r="AF778" s="267">
        <v>7</v>
      </c>
      <c r="AG778" s="224">
        <v>30</v>
      </c>
      <c r="AH778" s="267"/>
      <c r="AI778" s="267"/>
      <c r="AJ778" s="267"/>
      <c r="AK778" s="267"/>
      <c r="AL778" s="224">
        <v>0</v>
      </c>
      <c r="AM778" s="102">
        <v>30</v>
      </c>
      <c r="AN778" s="103" t="s">
        <v>685</v>
      </c>
      <c r="AO778" s="103" t="s">
        <v>622</v>
      </c>
      <c r="AP778" s="103" t="s">
        <v>1222</v>
      </c>
      <c r="AQ778" s="103" t="s">
        <v>1204</v>
      </c>
      <c r="AR778" s="103" t="s">
        <v>946</v>
      </c>
      <c r="AS778" s="268"/>
      <c r="AT778" s="268"/>
      <c r="AU778" s="268"/>
      <c r="AV778" s="268"/>
      <c r="AW778" s="268"/>
      <c r="AX778" s="268"/>
      <c r="AY778" s="268"/>
      <c r="AZ778" s="268"/>
      <c r="BA778" s="268"/>
      <c r="BB778" s="268"/>
      <c r="BC778" s="268"/>
      <c r="BD778" s="268"/>
      <c r="BE778" s="268"/>
      <c r="BF778" s="268"/>
      <c r="BG778" s="268"/>
      <c r="BH778" s="234">
        <f t="shared" ref="BH778:BH787" si="351">IF(W778=0,0,BG778+BF778+BE778+BD778+BC778+BB778+BA778+AZ778+AY778+AX778+AW778+AV778+AU778+AT778+AS778)</f>
        <v>0</v>
      </c>
      <c r="BI778" s="268"/>
      <c r="BJ778" s="268"/>
      <c r="BK778" s="268"/>
      <c r="BL778" s="268"/>
      <c r="BM778" s="268"/>
      <c r="BN778" s="268"/>
      <c r="BO778" s="268"/>
      <c r="BP778" s="268"/>
      <c r="BQ778" s="268"/>
      <c r="BR778" s="268"/>
      <c r="BS778" s="268"/>
      <c r="BT778" s="268"/>
      <c r="BU778" s="268"/>
      <c r="BV778" s="268"/>
      <c r="BW778" s="268"/>
      <c r="BX778" s="234">
        <f t="shared" ref="BX778:BX787" si="352">IF(AB778=0,0,BI778+BJ778+BK778+BL778+BM778+BN778+BO778+BP778+BQ778+BR778+BS778+BT778+BU778+BV778+BW778)</f>
        <v>0</v>
      </c>
      <c r="BY778" s="268"/>
      <c r="BZ778" s="268"/>
      <c r="CA778" s="268"/>
      <c r="CB778" s="268"/>
      <c r="CC778" s="268">
        <v>10000000</v>
      </c>
      <c r="CD778" s="268"/>
      <c r="CE778" s="268"/>
      <c r="CF778" s="268"/>
      <c r="CG778" s="268"/>
      <c r="CH778" s="268"/>
      <c r="CI778" s="268"/>
      <c r="CJ778" s="268"/>
      <c r="CK778" s="268"/>
      <c r="CL778" s="268"/>
      <c r="CM778" s="268"/>
      <c r="CN778" s="234">
        <f t="shared" ref="CN778:CN787" si="353">IF(AG778=0,0,(BY778+BZ778+CA778+CB778+CC778+CD778+CE778+CF778+CG778+CH778+CI778+CJ778+CK778+CL778+CM778))</f>
        <v>10000000</v>
      </c>
      <c r="CO778" s="268"/>
      <c r="CP778" s="268"/>
      <c r="CQ778" s="268"/>
      <c r="CR778" s="268"/>
      <c r="CS778" s="268"/>
      <c r="CT778" s="268"/>
      <c r="CU778" s="268"/>
      <c r="CV778" s="268"/>
      <c r="CW778" s="268"/>
      <c r="CX778" s="268"/>
      <c r="CY778" s="268"/>
      <c r="CZ778" s="268"/>
      <c r="DA778" s="268"/>
      <c r="DB778" s="268"/>
      <c r="DC778" s="268"/>
      <c r="DD778" s="234">
        <f t="shared" ref="DD778:DD787" si="354">IF(AL778=0,0,(CO778+CP778+CQ778+CR778+CS778+CT778+CU778+CV778+CW778+CX778+CY778+CZ778+DA778+DB778+DC778))</f>
        <v>0</v>
      </c>
      <c r="DE778" s="243">
        <f t="shared" ref="DE778:DE781" si="355">SUM(DD778+CN778+BX778+BH778)</f>
        <v>10000000</v>
      </c>
    </row>
    <row r="779" spans="1:110" s="98" customFormat="1" ht="119.1" customHeight="1">
      <c r="A779" s="103" t="s">
        <v>1245</v>
      </c>
      <c r="B779" s="279" t="s">
        <v>3614</v>
      </c>
      <c r="C779" s="279" t="s">
        <v>1794</v>
      </c>
      <c r="D779" s="279">
        <v>68</v>
      </c>
      <c r="E779" s="279" t="s">
        <v>1795</v>
      </c>
      <c r="F779" s="280" t="s">
        <v>195</v>
      </c>
      <c r="G779" s="279" t="s">
        <v>3234</v>
      </c>
      <c r="H779" s="279">
        <v>82</v>
      </c>
      <c r="I779" s="279" t="s">
        <v>196</v>
      </c>
      <c r="J779" s="279" t="s">
        <v>1796</v>
      </c>
      <c r="K779" s="279">
        <v>27</v>
      </c>
      <c r="L779" s="279" t="s">
        <v>729</v>
      </c>
      <c r="M779" s="279" t="s">
        <v>1797</v>
      </c>
      <c r="N779" s="279" t="s">
        <v>1798</v>
      </c>
      <c r="O779" s="279" t="s">
        <v>198</v>
      </c>
      <c r="P779" s="283">
        <v>691</v>
      </c>
      <c r="Q779" s="279" t="s">
        <v>3680</v>
      </c>
      <c r="R779" s="279" t="s">
        <v>202</v>
      </c>
      <c r="S779" s="279" t="s">
        <v>683</v>
      </c>
      <c r="T779" s="279">
        <v>2</v>
      </c>
      <c r="U779" s="267"/>
      <c r="V779" s="267"/>
      <c r="W779" s="224">
        <v>0</v>
      </c>
      <c r="X779" s="267"/>
      <c r="Y779" s="267"/>
      <c r="Z779" s="267">
        <v>1</v>
      </c>
      <c r="AA779" s="267"/>
      <c r="AB779" s="224">
        <v>1</v>
      </c>
      <c r="AC779" s="267"/>
      <c r="AD779" s="267">
        <v>1</v>
      </c>
      <c r="AE779" s="267">
        <v>1</v>
      </c>
      <c r="AF779" s="267"/>
      <c r="AG779" s="224">
        <v>2</v>
      </c>
      <c r="AH779" s="267"/>
      <c r="AI779" s="267"/>
      <c r="AJ779" s="267"/>
      <c r="AK779" s="267"/>
      <c r="AL779" s="224">
        <v>0</v>
      </c>
      <c r="AM779" s="104">
        <v>3</v>
      </c>
      <c r="AN779" s="103" t="s">
        <v>685</v>
      </c>
      <c r="AO779" s="103" t="s">
        <v>622</v>
      </c>
      <c r="AP779" s="103" t="s">
        <v>1222</v>
      </c>
      <c r="AQ779" s="103" t="s">
        <v>1204</v>
      </c>
      <c r="AR779" s="103" t="s">
        <v>946</v>
      </c>
      <c r="AS779" s="271"/>
      <c r="AT779" s="271"/>
      <c r="AU779" s="271"/>
      <c r="AV779" s="271"/>
      <c r="AW779" s="271"/>
      <c r="AX779" s="271"/>
      <c r="AY779" s="271"/>
      <c r="AZ779" s="271"/>
      <c r="BA779" s="271"/>
      <c r="BB779" s="271"/>
      <c r="BC779" s="271"/>
      <c r="BD779" s="271"/>
      <c r="BE779" s="271"/>
      <c r="BF779" s="271"/>
      <c r="BG779" s="271"/>
      <c r="BH779" s="235">
        <f t="shared" si="351"/>
        <v>0</v>
      </c>
      <c r="BI779" s="271"/>
      <c r="BJ779" s="271"/>
      <c r="BK779" s="271"/>
      <c r="BL779" s="271"/>
      <c r="BM779" s="271"/>
      <c r="BN779" s="271"/>
      <c r="BO779" s="271"/>
      <c r="BP779" s="271"/>
      <c r="BQ779" s="271"/>
      <c r="BR779" s="271"/>
      <c r="BS779" s="271"/>
      <c r="BT779" s="271"/>
      <c r="BU779" s="271"/>
      <c r="BV779" s="271"/>
      <c r="BW779" s="271">
        <v>10000000</v>
      </c>
      <c r="BX779" s="235">
        <f t="shared" si="352"/>
        <v>10000000</v>
      </c>
      <c r="BY779" s="271"/>
      <c r="BZ779" s="271"/>
      <c r="CA779" s="271"/>
      <c r="CB779" s="271"/>
      <c r="CC779" s="271">
        <v>5000000</v>
      </c>
      <c r="CD779" s="271"/>
      <c r="CE779" s="271"/>
      <c r="CF779" s="271"/>
      <c r="CG779" s="271"/>
      <c r="CH779" s="271"/>
      <c r="CI779" s="271"/>
      <c r="CJ779" s="271"/>
      <c r="CK779" s="271"/>
      <c r="CL779" s="271"/>
      <c r="CM779" s="271"/>
      <c r="CN779" s="235">
        <f t="shared" si="353"/>
        <v>5000000</v>
      </c>
      <c r="CO779" s="271"/>
      <c r="CP779" s="271"/>
      <c r="CQ779" s="271"/>
      <c r="CR779" s="271"/>
      <c r="CS779" s="271"/>
      <c r="CT779" s="271"/>
      <c r="CU779" s="271"/>
      <c r="CV779" s="271"/>
      <c r="CW779" s="271"/>
      <c r="CX779" s="271"/>
      <c r="CY779" s="271"/>
      <c r="CZ779" s="271"/>
      <c r="DA779" s="271"/>
      <c r="DB779" s="271"/>
      <c r="DC779" s="271"/>
      <c r="DD779" s="234">
        <f t="shared" si="354"/>
        <v>0</v>
      </c>
      <c r="DE779" s="244">
        <f t="shared" si="355"/>
        <v>15000000</v>
      </c>
    </row>
    <row r="780" spans="1:110" s="98" customFormat="1" ht="119.1" customHeight="1">
      <c r="A780" s="103" t="s">
        <v>1245</v>
      </c>
      <c r="B780" s="279" t="s">
        <v>3614</v>
      </c>
      <c r="C780" s="279" t="s">
        <v>1794</v>
      </c>
      <c r="D780" s="279">
        <v>68</v>
      </c>
      <c r="E780" s="279" t="s">
        <v>1795</v>
      </c>
      <c r="F780" s="280" t="s">
        <v>195</v>
      </c>
      <c r="G780" s="279" t="s">
        <v>3234</v>
      </c>
      <c r="H780" s="279">
        <v>82</v>
      </c>
      <c r="I780" s="279" t="s">
        <v>196</v>
      </c>
      <c r="J780" s="279" t="s">
        <v>1796</v>
      </c>
      <c r="K780" s="279">
        <v>27</v>
      </c>
      <c r="L780" s="279" t="s">
        <v>729</v>
      </c>
      <c r="M780" s="279" t="s">
        <v>1797</v>
      </c>
      <c r="N780" s="279" t="s">
        <v>1798</v>
      </c>
      <c r="O780" s="279" t="s">
        <v>198</v>
      </c>
      <c r="P780" s="283">
        <v>692</v>
      </c>
      <c r="Q780" s="279" t="s">
        <v>3681</v>
      </c>
      <c r="R780" s="279" t="s">
        <v>207</v>
      </c>
      <c r="S780" s="279" t="s">
        <v>683</v>
      </c>
      <c r="T780" s="279">
        <v>0</v>
      </c>
      <c r="U780" s="267"/>
      <c r="V780" s="267"/>
      <c r="W780" s="224">
        <v>0</v>
      </c>
      <c r="X780" s="267"/>
      <c r="Y780" s="267"/>
      <c r="Z780" s="267">
        <v>2</v>
      </c>
      <c r="AA780" s="267"/>
      <c r="AB780" s="224">
        <v>2</v>
      </c>
      <c r="AC780" s="267"/>
      <c r="AD780" s="267">
        <v>2</v>
      </c>
      <c r="AE780" s="267">
        <v>2</v>
      </c>
      <c r="AF780" s="267"/>
      <c r="AG780" s="224">
        <v>4</v>
      </c>
      <c r="AH780" s="267"/>
      <c r="AI780" s="267"/>
      <c r="AJ780" s="267"/>
      <c r="AK780" s="267"/>
      <c r="AL780" s="224">
        <v>0</v>
      </c>
      <c r="AM780" s="104">
        <v>6</v>
      </c>
      <c r="AN780" s="103" t="s">
        <v>685</v>
      </c>
      <c r="AO780" s="103" t="s">
        <v>622</v>
      </c>
      <c r="AP780" s="103" t="s">
        <v>1222</v>
      </c>
      <c r="AQ780" s="103" t="s">
        <v>1204</v>
      </c>
      <c r="AR780" s="103" t="s">
        <v>946</v>
      </c>
      <c r="AS780" s="271"/>
      <c r="AT780" s="271"/>
      <c r="AU780" s="271"/>
      <c r="AV780" s="271"/>
      <c r="AW780" s="271"/>
      <c r="AX780" s="271"/>
      <c r="AY780" s="271"/>
      <c r="AZ780" s="271"/>
      <c r="BA780" s="271"/>
      <c r="BB780" s="271"/>
      <c r="BC780" s="271"/>
      <c r="BD780" s="271"/>
      <c r="BE780" s="271"/>
      <c r="BF780" s="271"/>
      <c r="BG780" s="271"/>
      <c r="BH780" s="235">
        <f t="shared" si="351"/>
        <v>0</v>
      </c>
      <c r="BI780" s="271"/>
      <c r="BJ780" s="271"/>
      <c r="BK780" s="271"/>
      <c r="BL780" s="271"/>
      <c r="BM780" s="271"/>
      <c r="BN780" s="271"/>
      <c r="BO780" s="271"/>
      <c r="BP780" s="271"/>
      <c r="BQ780" s="271"/>
      <c r="BR780" s="271"/>
      <c r="BS780" s="271"/>
      <c r="BT780" s="271"/>
      <c r="BU780" s="271"/>
      <c r="BV780" s="271"/>
      <c r="BW780" s="271">
        <v>10000000</v>
      </c>
      <c r="BX780" s="235">
        <f t="shared" si="352"/>
        <v>10000000</v>
      </c>
      <c r="BY780" s="271"/>
      <c r="BZ780" s="271"/>
      <c r="CA780" s="271"/>
      <c r="CB780" s="271"/>
      <c r="CC780" s="271">
        <v>5000000</v>
      </c>
      <c r="CD780" s="271"/>
      <c r="CE780" s="271"/>
      <c r="CF780" s="271"/>
      <c r="CG780" s="271"/>
      <c r="CH780" s="271"/>
      <c r="CI780" s="271"/>
      <c r="CJ780" s="271"/>
      <c r="CK780" s="271"/>
      <c r="CL780" s="271"/>
      <c r="CM780" s="271"/>
      <c r="CN780" s="235">
        <f t="shared" si="353"/>
        <v>5000000</v>
      </c>
      <c r="CO780" s="271"/>
      <c r="CP780" s="271"/>
      <c r="CQ780" s="271"/>
      <c r="CR780" s="271"/>
      <c r="CS780" s="271"/>
      <c r="CT780" s="271"/>
      <c r="CU780" s="271"/>
      <c r="CV780" s="271"/>
      <c r="CW780" s="271"/>
      <c r="CX780" s="271"/>
      <c r="CY780" s="271"/>
      <c r="CZ780" s="271"/>
      <c r="DA780" s="271"/>
      <c r="DB780" s="271"/>
      <c r="DC780" s="271"/>
      <c r="DD780" s="234">
        <f t="shared" si="354"/>
        <v>0</v>
      </c>
      <c r="DE780" s="244">
        <f t="shared" si="355"/>
        <v>15000000</v>
      </c>
    </row>
    <row r="781" spans="1:110" s="98" customFormat="1" ht="119.1" customHeight="1">
      <c r="A781" s="103" t="s">
        <v>1245</v>
      </c>
      <c r="B781" s="279" t="s">
        <v>3614</v>
      </c>
      <c r="C781" s="279" t="s">
        <v>1794</v>
      </c>
      <c r="D781" s="279">
        <v>68</v>
      </c>
      <c r="E781" s="279" t="s">
        <v>1795</v>
      </c>
      <c r="F781" s="280" t="s">
        <v>195</v>
      </c>
      <c r="G781" s="279" t="s">
        <v>3234</v>
      </c>
      <c r="H781" s="279">
        <v>82</v>
      </c>
      <c r="I781" s="279" t="s">
        <v>196</v>
      </c>
      <c r="J781" s="279" t="s">
        <v>1796</v>
      </c>
      <c r="K781" s="279">
        <v>27</v>
      </c>
      <c r="L781" s="279" t="s">
        <v>729</v>
      </c>
      <c r="M781" s="279" t="s">
        <v>1797</v>
      </c>
      <c r="N781" s="279" t="s">
        <v>1798</v>
      </c>
      <c r="O781" s="279" t="s">
        <v>198</v>
      </c>
      <c r="P781" s="283">
        <v>693</v>
      </c>
      <c r="Q781" s="279" t="s">
        <v>3682</v>
      </c>
      <c r="R781" s="279" t="s">
        <v>212</v>
      </c>
      <c r="S781" s="279" t="s">
        <v>683</v>
      </c>
      <c r="T781" s="279">
        <v>0</v>
      </c>
      <c r="U781" s="267"/>
      <c r="V781" s="267"/>
      <c r="W781" s="224">
        <v>0</v>
      </c>
      <c r="X781" s="267"/>
      <c r="Y781" s="267"/>
      <c r="Z781" s="267"/>
      <c r="AA781" s="267"/>
      <c r="AB781" s="224">
        <v>0</v>
      </c>
      <c r="AC781" s="267">
        <v>0.75</v>
      </c>
      <c r="AD781" s="267">
        <v>0.75</v>
      </c>
      <c r="AE781" s="267">
        <v>0.75</v>
      </c>
      <c r="AF781" s="267">
        <v>0.75</v>
      </c>
      <c r="AG781" s="224">
        <v>3</v>
      </c>
      <c r="AH781" s="267"/>
      <c r="AI781" s="267"/>
      <c r="AJ781" s="267"/>
      <c r="AK781" s="267"/>
      <c r="AL781" s="224">
        <v>0</v>
      </c>
      <c r="AM781" s="104">
        <v>3</v>
      </c>
      <c r="AN781" s="103" t="s">
        <v>685</v>
      </c>
      <c r="AO781" s="103" t="s">
        <v>622</v>
      </c>
      <c r="AP781" s="103" t="s">
        <v>1222</v>
      </c>
      <c r="AQ781" s="103" t="s">
        <v>1204</v>
      </c>
      <c r="AR781" s="103" t="s">
        <v>946</v>
      </c>
      <c r="AS781" s="271"/>
      <c r="AT781" s="271"/>
      <c r="AU781" s="271"/>
      <c r="AV781" s="271"/>
      <c r="AW781" s="271"/>
      <c r="AX781" s="271"/>
      <c r="AY781" s="271"/>
      <c r="AZ781" s="271"/>
      <c r="BA781" s="271"/>
      <c r="BB781" s="271"/>
      <c r="BC781" s="271"/>
      <c r="BD781" s="271"/>
      <c r="BE781" s="271"/>
      <c r="BF781" s="271"/>
      <c r="BG781" s="271"/>
      <c r="BH781" s="235">
        <f t="shared" si="351"/>
        <v>0</v>
      </c>
      <c r="BI781" s="271"/>
      <c r="BJ781" s="271"/>
      <c r="BK781" s="271"/>
      <c r="BL781" s="271"/>
      <c r="BM781" s="271"/>
      <c r="BN781" s="271"/>
      <c r="BO781" s="271"/>
      <c r="BP781" s="271"/>
      <c r="BQ781" s="271"/>
      <c r="BR781" s="271"/>
      <c r="BS781" s="271"/>
      <c r="BT781" s="271"/>
      <c r="BU781" s="271"/>
      <c r="BV781" s="271"/>
      <c r="BW781" s="271"/>
      <c r="BX781" s="235">
        <f t="shared" si="352"/>
        <v>0</v>
      </c>
      <c r="BY781" s="271"/>
      <c r="BZ781" s="271"/>
      <c r="CA781" s="271"/>
      <c r="CB781" s="271"/>
      <c r="CC781" s="271">
        <v>60000000</v>
      </c>
      <c r="CD781" s="271"/>
      <c r="CE781" s="271"/>
      <c r="CF781" s="271"/>
      <c r="CG781" s="271"/>
      <c r="CH781" s="271"/>
      <c r="CI781" s="271"/>
      <c r="CJ781" s="271"/>
      <c r="CK781" s="271"/>
      <c r="CL781" s="271"/>
      <c r="CM781" s="271"/>
      <c r="CN781" s="235">
        <f t="shared" si="353"/>
        <v>60000000</v>
      </c>
      <c r="CO781" s="271"/>
      <c r="CP781" s="271"/>
      <c r="CQ781" s="271"/>
      <c r="CR781" s="271"/>
      <c r="CS781" s="271"/>
      <c r="CT781" s="271"/>
      <c r="CU781" s="271"/>
      <c r="CV781" s="271"/>
      <c r="CW781" s="271"/>
      <c r="CX781" s="271"/>
      <c r="CY781" s="271"/>
      <c r="CZ781" s="271"/>
      <c r="DA781" s="271"/>
      <c r="DB781" s="271"/>
      <c r="DC781" s="271"/>
      <c r="DD781" s="234">
        <f t="shared" si="354"/>
        <v>0</v>
      </c>
      <c r="DE781" s="244">
        <f t="shared" si="355"/>
        <v>60000000</v>
      </c>
    </row>
    <row r="782" spans="1:110" s="98" customFormat="1" ht="119.1" customHeight="1">
      <c r="A782" s="103" t="s">
        <v>1246</v>
      </c>
      <c r="B782" s="279" t="s">
        <v>3614</v>
      </c>
      <c r="C782" s="279" t="s">
        <v>1794</v>
      </c>
      <c r="D782" s="279">
        <v>68</v>
      </c>
      <c r="E782" s="279" t="s">
        <v>1795</v>
      </c>
      <c r="F782" s="280" t="s">
        <v>195</v>
      </c>
      <c r="G782" s="279" t="s">
        <v>3235</v>
      </c>
      <c r="H782" s="279">
        <v>83</v>
      </c>
      <c r="I782" s="279" t="s">
        <v>215</v>
      </c>
      <c r="J782" s="279" t="s">
        <v>677</v>
      </c>
      <c r="K782" s="279">
        <v>97.99</v>
      </c>
      <c r="L782" s="279" t="s">
        <v>1799</v>
      </c>
      <c r="M782" s="279" t="s">
        <v>1800</v>
      </c>
      <c r="N782" s="279" t="s">
        <v>1801</v>
      </c>
      <c r="O782" s="279" t="s">
        <v>216</v>
      </c>
      <c r="P782" s="283">
        <v>694</v>
      </c>
      <c r="Q782" s="279" t="s">
        <v>3683</v>
      </c>
      <c r="R782" s="279" t="s">
        <v>1802</v>
      </c>
      <c r="S782" s="279" t="s">
        <v>683</v>
      </c>
      <c r="T782" s="279">
        <v>0</v>
      </c>
      <c r="U782" s="267"/>
      <c r="V782" s="267"/>
      <c r="W782" s="224">
        <v>0</v>
      </c>
      <c r="X782" s="267"/>
      <c r="Y782" s="267"/>
      <c r="Z782" s="267"/>
      <c r="AA782" s="267"/>
      <c r="AB782" s="224">
        <v>0</v>
      </c>
      <c r="AC782" s="267"/>
      <c r="AD782" s="267"/>
      <c r="AE782" s="267"/>
      <c r="AF782" s="267">
        <v>1</v>
      </c>
      <c r="AG782" s="224">
        <v>1</v>
      </c>
      <c r="AH782" s="267"/>
      <c r="AI782" s="267"/>
      <c r="AJ782" s="267"/>
      <c r="AK782" s="267"/>
      <c r="AL782" s="224">
        <v>0</v>
      </c>
      <c r="AM782" s="104">
        <v>1</v>
      </c>
      <c r="AN782" s="103" t="s">
        <v>685</v>
      </c>
      <c r="AO782" s="103" t="s">
        <v>623</v>
      </c>
      <c r="AP782" s="103" t="s">
        <v>1215</v>
      </c>
      <c r="AQ782" s="103" t="s">
        <v>1196</v>
      </c>
      <c r="AR782" s="103" t="s">
        <v>941</v>
      </c>
      <c r="AS782" s="271"/>
      <c r="AT782" s="271"/>
      <c r="AU782" s="271"/>
      <c r="AV782" s="271"/>
      <c r="AW782" s="271"/>
      <c r="AX782" s="271"/>
      <c r="AY782" s="271"/>
      <c r="AZ782" s="271"/>
      <c r="BA782" s="271"/>
      <c r="BB782" s="271"/>
      <c r="BC782" s="271"/>
      <c r="BD782" s="271"/>
      <c r="BE782" s="271"/>
      <c r="BF782" s="271"/>
      <c r="BG782" s="271"/>
      <c r="BH782" s="235">
        <f t="shared" si="351"/>
        <v>0</v>
      </c>
      <c r="BI782" s="271"/>
      <c r="BJ782" s="271"/>
      <c r="BK782" s="271"/>
      <c r="BL782" s="271"/>
      <c r="BM782" s="271"/>
      <c r="BN782" s="271"/>
      <c r="BO782" s="271"/>
      <c r="BP782" s="271"/>
      <c r="BQ782" s="271"/>
      <c r="BR782" s="271"/>
      <c r="BS782" s="271"/>
      <c r="BT782" s="271"/>
      <c r="BU782" s="271"/>
      <c r="BV782" s="271"/>
      <c r="BW782" s="271"/>
      <c r="BX782" s="235">
        <f t="shared" si="352"/>
        <v>0</v>
      </c>
      <c r="BY782" s="271"/>
      <c r="BZ782" s="271"/>
      <c r="CA782" s="271"/>
      <c r="CB782" s="271"/>
      <c r="CC782" s="271">
        <v>5000000</v>
      </c>
      <c r="CD782" s="271"/>
      <c r="CE782" s="271"/>
      <c r="CF782" s="271"/>
      <c r="CG782" s="271"/>
      <c r="CH782" s="271"/>
      <c r="CI782" s="271"/>
      <c r="CJ782" s="271"/>
      <c r="CK782" s="271"/>
      <c r="CL782" s="271"/>
      <c r="CM782" s="271"/>
      <c r="CN782" s="235">
        <f t="shared" si="353"/>
        <v>5000000</v>
      </c>
      <c r="CO782" s="271"/>
      <c r="CP782" s="271"/>
      <c r="CQ782" s="271"/>
      <c r="CR782" s="271"/>
      <c r="CS782" s="271"/>
      <c r="CT782" s="271"/>
      <c r="CU782" s="271"/>
      <c r="CV782" s="271"/>
      <c r="CW782" s="271"/>
      <c r="CX782" s="271"/>
      <c r="CY782" s="271"/>
      <c r="CZ782" s="271"/>
      <c r="DA782" s="271"/>
      <c r="DB782" s="271"/>
      <c r="DC782" s="271"/>
      <c r="DD782" s="234">
        <f t="shared" si="354"/>
        <v>0</v>
      </c>
      <c r="DE782" s="244">
        <f t="shared" ref="DE782:DE787" si="356">SUM(DD782+CN782+BX782+BH782)</f>
        <v>5000000</v>
      </c>
    </row>
    <row r="783" spans="1:110" s="98" customFormat="1" ht="119.1" customHeight="1">
      <c r="A783" s="103" t="s">
        <v>1246</v>
      </c>
      <c r="B783" s="279" t="s">
        <v>3614</v>
      </c>
      <c r="C783" s="279" t="s">
        <v>1794</v>
      </c>
      <c r="D783" s="279">
        <v>68</v>
      </c>
      <c r="E783" s="279" t="s">
        <v>1795</v>
      </c>
      <c r="F783" s="280" t="s">
        <v>195</v>
      </c>
      <c r="G783" s="279" t="s">
        <v>3235</v>
      </c>
      <c r="H783" s="279">
        <v>83</v>
      </c>
      <c r="I783" s="279" t="s">
        <v>215</v>
      </c>
      <c r="J783" s="279" t="s">
        <v>677</v>
      </c>
      <c r="K783" s="279">
        <v>97.99</v>
      </c>
      <c r="L783" s="279" t="s">
        <v>1799</v>
      </c>
      <c r="M783" s="279" t="s">
        <v>1800</v>
      </c>
      <c r="N783" s="279" t="s">
        <v>1801</v>
      </c>
      <c r="O783" s="279" t="s">
        <v>216</v>
      </c>
      <c r="P783" s="283">
        <v>695</v>
      </c>
      <c r="Q783" s="279" t="s">
        <v>3754</v>
      </c>
      <c r="R783" s="279" t="s">
        <v>217</v>
      </c>
      <c r="S783" s="279" t="s">
        <v>683</v>
      </c>
      <c r="T783" s="279">
        <v>1</v>
      </c>
      <c r="U783" s="267"/>
      <c r="V783" s="267"/>
      <c r="W783" s="224">
        <v>0</v>
      </c>
      <c r="X783" s="267"/>
      <c r="Y783" s="267"/>
      <c r="Z783" s="267"/>
      <c r="AA783" s="267">
        <v>1</v>
      </c>
      <c r="AB783" s="224">
        <v>1</v>
      </c>
      <c r="AC783" s="267"/>
      <c r="AD783" s="267"/>
      <c r="AE783" s="267"/>
      <c r="AF783" s="267">
        <v>2</v>
      </c>
      <c r="AG783" s="224">
        <v>2</v>
      </c>
      <c r="AH783" s="267"/>
      <c r="AI783" s="267"/>
      <c r="AJ783" s="267"/>
      <c r="AK783" s="267"/>
      <c r="AL783" s="224">
        <v>0</v>
      </c>
      <c r="AM783" s="104">
        <v>3</v>
      </c>
      <c r="AN783" s="103" t="s">
        <v>685</v>
      </c>
      <c r="AO783" s="103" t="s">
        <v>623</v>
      </c>
      <c r="AP783" s="103" t="s">
        <v>1215</v>
      </c>
      <c r="AQ783" s="103" t="s">
        <v>1196</v>
      </c>
      <c r="AR783" s="103" t="s">
        <v>941</v>
      </c>
      <c r="AS783" s="271"/>
      <c r="AT783" s="271"/>
      <c r="AU783" s="271"/>
      <c r="AV783" s="271"/>
      <c r="AW783" s="271"/>
      <c r="AX783" s="271"/>
      <c r="AY783" s="271"/>
      <c r="AZ783" s="271"/>
      <c r="BA783" s="271"/>
      <c r="BB783" s="271"/>
      <c r="BC783" s="271"/>
      <c r="BD783" s="271"/>
      <c r="BE783" s="271"/>
      <c r="BF783" s="271"/>
      <c r="BG783" s="271"/>
      <c r="BH783" s="235">
        <f t="shared" si="351"/>
        <v>0</v>
      </c>
      <c r="BI783" s="271"/>
      <c r="BJ783" s="271"/>
      <c r="BK783" s="271"/>
      <c r="BL783" s="271"/>
      <c r="BM783" s="271"/>
      <c r="BN783" s="271"/>
      <c r="BO783" s="271"/>
      <c r="BP783" s="271"/>
      <c r="BQ783" s="271"/>
      <c r="BR783" s="271"/>
      <c r="BS783" s="271"/>
      <c r="BT783" s="271"/>
      <c r="BU783" s="271"/>
      <c r="BV783" s="271"/>
      <c r="BW783" s="271">
        <v>4598395433</v>
      </c>
      <c r="BX783" s="235">
        <f t="shared" si="352"/>
        <v>4598395433</v>
      </c>
      <c r="BY783" s="271"/>
      <c r="BZ783" s="271"/>
      <c r="CA783" s="271"/>
      <c r="CB783" s="271"/>
      <c r="CC783" s="271">
        <v>4000000</v>
      </c>
      <c r="CD783" s="271"/>
      <c r="CE783" s="271"/>
      <c r="CF783" s="271"/>
      <c r="CG783" s="271"/>
      <c r="CH783" s="271"/>
      <c r="CI783" s="271"/>
      <c r="CJ783" s="271"/>
      <c r="CK783" s="271"/>
      <c r="CL783" s="271"/>
      <c r="CM783" s="271"/>
      <c r="CN783" s="235">
        <f t="shared" si="353"/>
        <v>4000000</v>
      </c>
      <c r="CO783" s="271"/>
      <c r="CP783" s="271"/>
      <c r="CQ783" s="271"/>
      <c r="CR783" s="271"/>
      <c r="CS783" s="271"/>
      <c r="CT783" s="271"/>
      <c r="CU783" s="271"/>
      <c r="CV783" s="271"/>
      <c r="CW783" s="271"/>
      <c r="CX783" s="271"/>
      <c r="CY783" s="271"/>
      <c r="CZ783" s="271"/>
      <c r="DA783" s="271"/>
      <c r="DB783" s="271"/>
      <c r="DC783" s="271"/>
      <c r="DD783" s="234">
        <f t="shared" si="354"/>
        <v>0</v>
      </c>
      <c r="DE783" s="244">
        <f t="shared" si="356"/>
        <v>4602395433</v>
      </c>
    </row>
    <row r="784" spans="1:110" s="98" customFormat="1" ht="119.1" customHeight="1">
      <c r="A784" s="103" t="s">
        <v>1246</v>
      </c>
      <c r="B784" s="279" t="s">
        <v>3614</v>
      </c>
      <c r="C784" s="279" t="s">
        <v>1794</v>
      </c>
      <c r="D784" s="279">
        <v>68</v>
      </c>
      <c r="E784" s="279" t="s">
        <v>1795</v>
      </c>
      <c r="F784" s="280" t="s">
        <v>195</v>
      </c>
      <c r="G784" s="279" t="s">
        <v>3235</v>
      </c>
      <c r="H784" s="279">
        <v>83</v>
      </c>
      <c r="I784" s="279" t="s">
        <v>215</v>
      </c>
      <c r="J784" s="279" t="s">
        <v>677</v>
      </c>
      <c r="K784" s="279">
        <v>97.99</v>
      </c>
      <c r="L784" s="279" t="s">
        <v>1799</v>
      </c>
      <c r="M784" s="279" t="s">
        <v>1800</v>
      </c>
      <c r="N784" s="279" t="s">
        <v>1801</v>
      </c>
      <c r="O784" s="279" t="s">
        <v>216</v>
      </c>
      <c r="P784" s="283">
        <v>696</v>
      </c>
      <c r="Q784" s="279" t="s">
        <v>3755</v>
      </c>
      <c r="R784" s="279" t="s">
        <v>1803</v>
      </c>
      <c r="S784" s="279" t="s">
        <v>683</v>
      </c>
      <c r="T784" s="279">
        <v>0</v>
      </c>
      <c r="U784" s="267"/>
      <c r="V784" s="267"/>
      <c r="W784" s="224">
        <v>0</v>
      </c>
      <c r="X784" s="267"/>
      <c r="Y784" s="267"/>
      <c r="Z784" s="267"/>
      <c r="AA784" s="267"/>
      <c r="AB784" s="224">
        <v>0</v>
      </c>
      <c r="AC784" s="267"/>
      <c r="AD784" s="267"/>
      <c r="AE784" s="267"/>
      <c r="AF784" s="267">
        <v>2</v>
      </c>
      <c r="AG784" s="224">
        <v>2</v>
      </c>
      <c r="AH784" s="267"/>
      <c r="AI784" s="267"/>
      <c r="AJ784" s="267"/>
      <c r="AK784" s="267"/>
      <c r="AL784" s="224">
        <v>0</v>
      </c>
      <c r="AM784" s="104">
        <v>2</v>
      </c>
      <c r="AN784" s="103" t="s">
        <v>685</v>
      </c>
      <c r="AO784" s="103" t="s">
        <v>623</v>
      </c>
      <c r="AP784" s="103" t="s">
        <v>1215</v>
      </c>
      <c r="AQ784" s="103" t="s">
        <v>1196</v>
      </c>
      <c r="AR784" s="103" t="s">
        <v>941</v>
      </c>
      <c r="AS784" s="271"/>
      <c r="AT784" s="271"/>
      <c r="AU784" s="271"/>
      <c r="AV784" s="271"/>
      <c r="AW784" s="271"/>
      <c r="AX784" s="271"/>
      <c r="AY784" s="271"/>
      <c r="AZ784" s="271"/>
      <c r="BA784" s="271"/>
      <c r="BB784" s="271"/>
      <c r="BC784" s="271"/>
      <c r="BD784" s="271"/>
      <c r="BE784" s="271"/>
      <c r="BF784" s="271"/>
      <c r="BG784" s="271"/>
      <c r="BH784" s="235">
        <f t="shared" si="351"/>
        <v>0</v>
      </c>
      <c r="BI784" s="271"/>
      <c r="BJ784" s="271"/>
      <c r="BK784" s="271"/>
      <c r="BL784" s="271"/>
      <c r="BM784" s="271"/>
      <c r="BN784" s="271"/>
      <c r="BO784" s="271"/>
      <c r="BP784" s="271"/>
      <c r="BQ784" s="271"/>
      <c r="BR784" s="271"/>
      <c r="BS784" s="271"/>
      <c r="BT784" s="271"/>
      <c r="BU784" s="271"/>
      <c r="BV784" s="271"/>
      <c r="BW784" s="271"/>
      <c r="BX784" s="235">
        <f t="shared" si="352"/>
        <v>0</v>
      </c>
      <c r="BY784" s="271"/>
      <c r="BZ784" s="271"/>
      <c r="CA784" s="271"/>
      <c r="CB784" s="271"/>
      <c r="CC784" s="271">
        <v>3000000</v>
      </c>
      <c r="CD784" s="271"/>
      <c r="CE784" s="271"/>
      <c r="CF784" s="271"/>
      <c r="CG784" s="271"/>
      <c r="CH784" s="271"/>
      <c r="CI784" s="271"/>
      <c r="CJ784" s="271"/>
      <c r="CK784" s="271"/>
      <c r="CL784" s="271"/>
      <c r="CM784" s="271"/>
      <c r="CN784" s="235">
        <f t="shared" si="353"/>
        <v>3000000</v>
      </c>
      <c r="CO784" s="271"/>
      <c r="CP784" s="271"/>
      <c r="CQ784" s="271"/>
      <c r="CR784" s="271"/>
      <c r="CS784" s="271"/>
      <c r="CT784" s="271"/>
      <c r="CU784" s="271"/>
      <c r="CV784" s="271"/>
      <c r="CW784" s="271"/>
      <c r="CX784" s="271"/>
      <c r="CY784" s="271"/>
      <c r="CZ784" s="271"/>
      <c r="DA784" s="271"/>
      <c r="DB784" s="271"/>
      <c r="DC784" s="271"/>
      <c r="DD784" s="234">
        <f t="shared" si="354"/>
        <v>0</v>
      </c>
      <c r="DE784" s="244">
        <f t="shared" si="356"/>
        <v>3000000</v>
      </c>
    </row>
    <row r="785" spans="1:110" s="98" customFormat="1" ht="119.1" customHeight="1">
      <c r="A785" s="103" t="s">
        <v>1246</v>
      </c>
      <c r="B785" s="279" t="s">
        <v>3614</v>
      </c>
      <c r="C785" s="279" t="s">
        <v>1794</v>
      </c>
      <c r="D785" s="279">
        <v>68</v>
      </c>
      <c r="E785" s="279" t="s">
        <v>1795</v>
      </c>
      <c r="F785" s="280" t="s">
        <v>195</v>
      </c>
      <c r="G785" s="279" t="s">
        <v>3235</v>
      </c>
      <c r="H785" s="279">
        <v>83</v>
      </c>
      <c r="I785" s="279" t="s">
        <v>215</v>
      </c>
      <c r="J785" s="279" t="s">
        <v>677</v>
      </c>
      <c r="K785" s="279">
        <v>97.99</v>
      </c>
      <c r="L785" s="279" t="s">
        <v>1799</v>
      </c>
      <c r="M785" s="279" t="s">
        <v>1800</v>
      </c>
      <c r="N785" s="279" t="s">
        <v>1801</v>
      </c>
      <c r="O785" s="279" t="s">
        <v>216</v>
      </c>
      <c r="P785" s="283">
        <v>697</v>
      </c>
      <c r="Q785" s="279" t="s">
        <v>3684</v>
      </c>
      <c r="R785" s="279" t="s">
        <v>1804</v>
      </c>
      <c r="S785" s="279" t="s">
        <v>677</v>
      </c>
      <c r="T785" s="279">
        <v>0</v>
      </c>
      <c r="U785" s="267"/>
      <c r="V785" s="267"/>
      <c r="W785" s="224">
        <v>0</v>
      </c>
      <c r="X785" s="267">
        <v>100</v>
      </c>
      <c r="Y785" s="267"/>
      <c r="Z785" s="267"/>
      <c r="AA785" s="267"/>
      <c r="AB785" s="224">
        <v>100</v>
      </c>
      <c r="AC785" s="267"/>
      <c r="AD785" s="267"/>
      <c r="AE785" s="267"/>
      <c r="AF785" s="267"/>
      <c r="AG785" s="224">
        <v>0</v>
      </c>
      <c r="AH785" s="267"/>
      <c r="AI785" s="267"/>
      <c r="AJ785" s="267"/>
      <c r="AK785" s="267"/>
      <c r="AL785" s="224">
        <v>0</v>
      </c>
      <c r="AM785" s="104">
        <v>100</v>
      </c>
      <c r="AN785" s="103" t="s">
        <v>685</v>
      </c>
      <c r="AO785" s="103" t="s">
        <v>623</v>
      </c>
      <c r="AP785" s="103" t="s">
        <v>1215</v>
      </c>
      <c r="AQ785" s="103" t="s">
        <v>1196</v>
      </c>
      <c r="AR785" s="103" t="s">
        <v>941</v>
      </c>
      <c r="AS785" s="271"/>
      <c r="AT785" s="271"/>
      <c r="AU785" s="271"/>
      <c r="AV785" s="271"/>
      <c r="AW785" s="271"/>
      <c r="AX785" s="271"/>
      <c r="AY785" s="271"/>
      <c r="AZ785" s="271"/>
      <c r="BA785" s="271"/>
      <c r="BB785" s="271"/>
      <c r="BC785" s="271"/>
      <c r="BD785" s="271"/>
      <c r="BE785" s="271"/>
      <c r="BF785" s="271"/>
      <c r="BG785" s="271"/>
      <c r="BH785" s="235">
        <f t="shared" si="351"/>
        <v>0</v>
      </c>
      <c r="BI785" s="271"/>
      <c r="BJ785" s="271"/>
      <c r="BK785" s="271"/>
      <c r="BL785" s="271"/>
      <c r="BM785" s="271"/>
      <c r="BN785" s="271"/>
      <c r="BO785" s="271"/>
      <c r="BP785" s="271"/>
      <c r="BQ785" s="271"/>
      <c r="BR785" s="271"/>
      <c r="BS785" s="271"/>
      <c r="BT785" s="271"/>
      <c r="BU785" s="271"/>
      <c r="BV785" s="271"/>
      <c r="BW785" s="271">
        <v>100000000</v>
      </c>
      <c r="BX785" s="235">
        <f t="shared" si="352"/>
        <v>100000000</v>
      </c>
      <c r="BY785" s="271"/>
      <c r="BZ785" s="271"/>
      <c r="CA785" s="271"/>
      <c r="CB785" s="271"/>
      <c r="CC785" s="271"/>
      <c r="CD785" s="271"/>
      <c r="CE785" s="271"/>
      <c r="CF785" s="271"/>
      <c r="CG785" s="271"/>
      <c r="CH785" s="271"/>
      <c r="CI785" s="271"/>
      <c r="CJ785" s="271"/>
      <c r="CK785" s="271"/>
      <c r="CL785" s="271"/>
      <c r="CM785" s="271"/>
      <c r="CN785" s="235">
        <f t="shared" si="353"/>
        <v>0</v>
      </c>
      <c r="CO785" s="271"/>
      <c r="CP785" s="271"/>
      <c r="CQ785" s="271"/>
      <c r="CR785" s="271"/>
      <c r="CS785" s="271"/>
      <c r="CT785" s="271"/>
      <c r="CU785" s="271"/>
      <c r="CV785" s="271"/>
      <c r="CW785" s="271"/>
      <c r="CX785" s="271"/>
      <c r="CY785" s="271"/>
      <c r="CZ785" s="271"/>
      <c r="DA785" s="271"/>
      <c r="DB785" s="271"/>
      <c r="DC785" s="271"/>
      <c r="DD785" s="234">
        <f t="shared" si="354"/>
        <v>0</v>
      </c>
      <c r="DE785" s="244">
        <f t="shared" si="356"/>
        <v>100000000</v>
      </c>
    </row>
    <row r="786" spans="1:110" s="98" customFormat="1" ht="119.1" customHeight="1">
      <c r="A786" s="103" t="s">
        <v>1246</v>
      </c>
      <c r="B786" s="279" t="s">
        <v>3614</v>
      </c>
      <c r="C786" s="279" t="s">
        <v>1794</v>
      </c>
      <c r="D786" s="279">
        <v>68</v>
      </c>
      <c r="E786" s="279" t="s">
        <v>1795</v>
      </c>
      <c r="F786" s="280" t="s">
        <v>195</v>
      </c>
      <c r="G786" s="279" t="s">
        <v>3235</v>
      </c>
      <c r="H786" s="279">
        <v>83</v>
      </c>
      <c r="I786" s="279" t="s">
        <v>215</v>
      </c>
      <c r="J786" s="279" t="s">
        <v>677</v>
      </c>
      <c r="K786" s="279">
        <v>97.99</v>
      </c>
      <c r="L786" s="279" t="s">
        <v>1799</v>
      </c>
      <c r="M786" s="279" t="s">
        <v>1800</v>
      </c>
      <c r="N786" s="279" t="s">
        <v>1801</v>
      </c>
      <c r="O786" s="279" t="s">
        <v>216</v>
      </c>
      <c r="P786" s="283">
        <v>698</v>
      </c>
      <c r="Q786" s="279" t="s">
        <v>3624</v>
      </c>
      <c r="R786" s="279" t="s">
        <v>1805</v>
      </c>
      <c r="S786" s="279" t="s">
        <v>683</v>
      </c>
      <c r="T786" s="279">
        <v>5</v>
      </c>
      <c r="U786" s="267"/>
      <c r="V786" s="267"/>
      <c r="W786" s="224">
        <v>0</v>
      </c>
      <c r="X786" s="267"/>
      <c r="Y786" s="267"/>
      <c r="Z786" s="267"/>
      <c r="AA786" s="267"/>
      <c r="AB786" s="224">
        <v>0</v>
      </c>
      <c r="AC786" s="267"/>
      <c r="AD786" s="267"/>
      <c r="AE786" s="267"/>
      <c r="AF786" s="267">
        <v>6</v>
      </c>
      <c r="AG786" s="224">
        <v>6</v>
      </c>
      <c r="AH786" s="267"/>
      <c r="AI786" s="267"/>
      <c r="AJ786" s="267"/>
      <c r="AK786" s="267"/>
      <c r="AL786" s="224">
        <v>0</v>
      </c>
      <c r="AM786" s="104">
        <v>6</v>
      </c>
      <c r="AN786" s="103" t="s">
        <v>685</v>
      </c>
      <c r="AO786" s="103" t="s">
        <v>623</v>
      </c>
      <c r="AP786" s="103" t="s">
        <v>1215</v>
      </c>
      <c r="AQ786" s="103" t="s">
        <v>1196</v>
      </c>
      <c r="AR786" s="103" t="s">
        <v>941</v>
      </c>
      <c r="AS786" s="271"/>
      <c r="AT786" s="271"/>
      <c r="AU786" s="271"/>
      <c r="AV786" s="271"/>
      <c r="AW786" s="271"/>
      <c r="AX786" s="271"/>
      <c r="AY786" s="271"/>
      <c r="AZ786" s="271"/>
      <c r="BA786" s="271"/>
      <c r="BB786" s="271"/>
      <c r="BC786" s="271"/>
      <c r="BD786" s="271"/>
      <c r="BE786" s="271"/>
      <c r="BF786" s="271"/>
      <c r="BG786" s="271"/>
      <c r="BH786" s="235">
        <f t="shared" si="351"/>
        <v>0</v>
      </c>
      <c r="BI786" s="271"/>
      <c r="BJ786" s="271"/>
      <c r="BK786" s="271"/>
      <c r="BL786" s="271"/>
      <c r="BM786" s="271"/>
      <c r="BN786" s="271"/>
      <c r="BO786" s="271"/>
      <c r="BP786" s="271"/>
      <c r="BQ786" s="271"/>
      <c r="BR786" s="271"/>
      <c r="BS786" s="271"/>
      <c r="BT786" s="271"/>
      <c r="BU786" s="271"/>
      <c r="BV786" s="271"/>
      <c r="BW786" s="271"/>
      <c r="BX786" s="235">
        <f t="shared" si="352"/>
        <v>0</v>
      </c>
      <c r="BY786" s="271"/>
      <c r="BZ786" s="271"/>
      <c r="CA786" s="271"/>
      <c r="CB786" s="271"/>
      <c r="CC786" s="271">
        <v>4000000</v>
      </c>
      <c r="CD786" s="271"/>
      <c r="CE786" s="271"/>
      <c r="CF786" s="271"/>
      <c r="CG786" s="271"/>
      <c r="CH786" s="271"/>
      <c r="CI786" s="271"/>
      <c r="CJ786" s="271"/>
      <c r="CK786" s="271"/>
      <c r="CL786" s="271"/>
      <c r="CM786" s="271"/>
      <c r="CN786" s="235">
        <f t="shared" si="353"/>
        <v>4000000</v>
      </c>
      <c r="CO786" s="271"/>
      <c r="CP786" s="271"/>
      <c r="CQ786" s="271"/>
      <c r="CR786" s="271"/>
      <c r="CS786" s="271"/>
      <c r="CT786" s="271"/>
      <c r="CU786" s="271"/>
      <c r="CV786" s="271"/>
      <c r="CW786" s="271"/>
      <c r="CX786" s="271"/>
      <c r="CY786" s="271"/>
      <c r="CZ786" s="271"/>
      <c r="DA786" s="271"/>
      <c r="DB786" s="271"/>
      <c r="DC786" s="271"/>
      <c r="DD786" s="234">
        <f t="shared" si="354"/>
        <v>0</v>
      </c>
      <c r="DE786" s="244">
        <f t="shared" si="356"/>
        <v>4000000</v>
      </c>
    </row>
    <row r="787" spans="1:110" s="98" customFormat="1" ht="119.1" customHeight="1">
      <c r="A787" s="120" t="s">
        <v>1246</v>
      </c>
      <c r="B787" s="281" t="s">
        <v>3614</v>
      </c>
      <c r="C787" s="281" t="s">
        <v>1794</v>
      </c>
      <c r="D787" s="281">
        <v>68</v>
      </c>
      <c r="E787" s="281" t="s">
        <v>1795</v>
      </c>
      <c r="F787" s="282" t="s">
        <v>195</v>
      </c>
      <c r="G787" s="281" t="s">
        <v>3235</v>
      </c>
      <c r="H787" s="281">
        <v>83</v>
      </c>
      <c r="I787" s="281" t="s">
        <v>215</v>
      </c>
      <c r="J787" s="281" t="s">
        <v>677</v>
      </c>
      <c r="K787" s="281">
        <v>97.99</v>
      </c>
      <c r="L787" s="281" t="s">
        <v>1799</v>
      </c>
      <c r="M787" s="281" t="s">
        <v>1800</v>
      </c>
      <c r="N787" s="281" t="s">
        <v>1801</v>
      </c>
      <c r="O787" s="281" t="s">
        <v>216</v>
      </c>
      <c r="P787" s="283">
        <v>699</v>
      </c>
      <c r="Q787" s="281" t="s">
        <v>2771</v>
      </c>
      <c r="R787" s="281" t="s">
        <v>1806</v>
      </c>
      <c r="S787" s="281" t="s">
        <v>683</v>
      </c>
      <c r="T787" s="281">
        <v>0</v>
      </c>
      <c r="U787" s="275"/>
      <c r="V787" s="275"/>
      <c r="W787" s="225">
        <v>0</v>
      </c>
      <c r="X787" s="275">
        <v>10</v>
      </c>
      <c r="Y787" s="275"/>
      <c r="Z787" s="275"/>
      <c r="AA787" s="275">
        <v>15</v>
      </c>
      <c r="AB787" s="225">
        <v>25</v>
      </c>
      <c r="AC787" s="275"/>
      <c r="AD787" s="275"/>
      <c r="AE787" s="275"/>
      <c r="AF787" s="275">
        <v>15</v>
      </c>
      <c r="AG787" s="225">
        <v>15</v>
      </c>
      <c r="AH787" s="275"/>
      <c r="AI787" s="275"/>
      <c r="AJ787" s="275"/>
      <c r="AK787" s="275"/>
      <c r="AL787" s="225">
        <v>0</v>
      </c>
      <c r="AM787" s="119">
        <v>40</v>
      </c>
      <c r="AN787" s="120" t="s">
        <v>685</v>
      </c>
      <c r="AO787" s="120" t="s">
        <v>623</v>
      </c>
      <c r="AP787" s="120" t="s">
        <v>1215</v>
      </c>
      <c r="AQ787" s="120" t="s">
        <v>1196</v>
      </c>
      <c r="AR787" s="120" t="s">
        <v>941</v>
      </c>
      <c r="AS787" s="276"/>
      <c r="AT787" s="276"/>
      <c r="AU787" s="276"/>
      <c r="AV787" s="276"/>
      <c r="AW787" s="276"/>
      <c r="AX787" s="276"/>
      <c r="AY787" s="276"/>
      <c r="AZ787" s="276"/>
      <c r="BA787" s="276"/>
      <c r="BB787" s="276"/>
      <c r="BC787" s="276"/>
      <c r="BD787" s="276"/>
      <c r="BE787" s="276"/>
      <c r="BF787" s="276"/>
      <c r="BG787" s="276"/>
      <c r="BH787" s="236">
        <f t="shared" si="351"/>
        <v>0</v>
      </c>
      <c r="BI787" s="276"/>
      <c r="BJ787" s="276"/>
      <c r="BK787" s="276"/>
      <c r="BL787" s="276"/>
      <c r="BM787" s="276"/>
      <c r="BN787" s="276"/>
      <c r="BO787" s="276"/>
      <c r="BP787" s="276"/>
      <c r="BQ787" s="276"/>
      <c r="BR787" s="276"/>
      <c r="BS787" s="276"/>
      <c r="BT787" s="276"/>
      <c r="BU787" s="276"/>
      <c r="BV787" s="276"/>
      <c r="BW787" s="276">
        <v>100000000</v>
      </c>
      <c r="BX787" s="236">
        <f t="shared" si="352"/>
        <v>100000000</v>
      </c>
      <c r="BY787" s="276"/>
      <c r="BZ787" s="276"/>
      <c r="CA787" s="276"/>
      <c r="CB787" s="276"/>
      <c r="CC787" s="276">
        <v>4000000</v>
      </c>
      <c r="CD787" s="276"/>
      <c r="CE787" s="276"/>
      <c r="CF787" s="276"/>
      <c r="CG787" s="276"/>
      <c r="CH787" s="276"/>
      <c r="CI787" s="276"/>
      <c r="CJ787" s="276"/>
      <c r="CK787" s="276"/>
      <c r="CL787" s="276"/>
      <c r="CM787" s="276"/>
      <c r="CN787" s="236">
        <f t="shared" si="353"/>
        <v>4000000</v>
      </c>
      <c r="CO787" s="276"/>
      <c r="CP787" s="276"/>
      <c r="CQ787" s="276"/>
      <c r="CR787" s="276"/>
      <c r="CS787" s="276"/>
      <c r="CT787" s="276"/>
      <c r="CU787" s="276"/>
      <c r="CV787" s="276"/>
      <c r="CW787" s="276"/>
      <c r="CX787" s="276"/>
      <c r="CY787" s="276"/>
      <c r="CZ787" s="276"/>
      <c r="DA787" s="276"/>
      <c r="DB787" s="276"/>
      <c r="DC787" s="276"/>
      <c r="DD787" s="240">
        <f t="shared" si="354"/>
        <v>0</v>
      </c>
      <c r="DE787" s="245">
        <f t="shared" si="356"/>
        <v>104000000</v>
      </c>
    </row>
    <row r="788" spans="1:110" ht="65.099999999999994" customHeight="1">
      <c r="A788" s="134" t="s">
        <v>1246</v>
      </c>
      <c r="B788" s="134" t="s">
        <v>3614</v>
      </c>
      <c r="C788" s="134" t="s">
        <v>1794</v>
      </c>
      <c r="D788" s="148">
        <v>68</v>
      </c>
      <c r="E788" s="148" t="s">
        <v>1795</v>
      </c>
      <c r="F788" s="149"/>
      <c r="G788" s="150"/>
      <c r="H788" s="151"/>
      <c r="I788" s="151"/>
      <c r="J788" s="151"/>
      <c r="K788" s="152"/>
      <c r="L788" s="151"/>
      <c r="M788" s="151"/>
      <c r="N788" s="151"/>
      <c r="O788" s="151"/>
      <c r="P788" s="151"/>
      <c r="Q788" s="150"/>
      <c r="R788" s="153"/>
      <c r="S788" s="151"/>
      <c r="T788" s="151"/>
      <c r="U788" s="154"/>
      <c r="V788" s="154"/>
      <c r="W788" s="152"/>
      <c r="X788" s="154"/>
      <c r="Y788" s="154"/>
      <c r="Z788" s="154"/>
      <c r="AA788" s="154"/>
      <c r="AB788" s="152"/>
      <c r="AC788" s="154"/>
      <c r="AD788" s="154"/>
      <c r="AE788" s="154"/>
      <c r="AF788" s="154"/>
      <c r="AG788" s="152"/>
      <c r="AH788" s="154"/>
      <c r="AI788" s="154"/>
      <c r="AJ788" s="154"/>
      <c r="AK788" s="154"/>
      <c r="AL788" s="152"/>
      <c r="AM788" s="155"/>
      <c r="AN788" s="156"/>
      <c r="AO788" s="156"/>
      <c r="AP788" s="157"/>
      <c r="AQ788" s="157"/>
      <c r="AR788" s="158"/>
      <c r="AS788" s="132">
        <f>SUM(AS778:AS787)</f>
        <v>0</v>
      </c>
      <c r="AT788" s="132">
        <f t="shared" ref="AT788:DE788" si="357">SUM(AT778:AT787)</f>
        <v>0</v>
      </c>
      <c r="AU788" s="132">
        <f t="shared" si="357"/>
        <v>0</v>
      </c>
      <c r="AV788" s="132">
        <f t="shared" si="357"/>
        <v>0</v>
      </c>
      <c r="AW788" s="132">
        <f t="shared" si="357"/>
        <v>0</v>
      </c>
      <c r="AX788" s="132">
        <f t="shared" si="357"/>
        <v>0</v>
      </c>
      <c r="AY788" s="132">
        <f t="shared" si="357"/>
        <v>0</v>
      </c>
      <c r="AZ788" s="132">
        <f t="shared" si="357"/>
        <v>0</v>
      </c>
      <c r="BA788" s="132">
        <f t="shared" si="357"/>
        <v>0</v>
      </c>
      <c r="BB788" s="132">
        <f t="shared" si="357"/>
        <v>0</v>
      </c>
      <c r="BC788" s="132">
        <f t="shared" si="357"/>
        <v>0</v>
      </c>
      <c r="BD788" s="132">
        <f t="shared" si="357"/>
        <v>0</v>
      </c>
      <c r="BE788" s="132">
        <f t="shared" si="357"/>
        <v>0</v>
      </c>
      <c r="BF788" s="132">
        <f t="shared" si="357"/>
        <v>0</v>
      </c>
      <c r="BG788" s="132">
        <f t="shared" si="357"/>
        <v>0</v>
      </c>
      <c r="BH788" s="132">
        <f t="shared" si="357"/>
        <v>0</v>
      </c>
      <c r="BI788" s="132">
        <f t="shared" si="357"/>
        <v>0</v>
      </c>
      <c r="BJ788" s="132">
        <f t="shared" si="357"/>
        <v>0</v>
      </c>
      <c r="BK788" s="132">
        <f t="shared" si="357"/>
        <v>0</v>
      </c>
      <c r="BL788" s="132">
        <f t="shared" si="357"/>
        <v>0</v>
      </c>
      <c r="BM788" s="132">
        <f t="shared" si="357"/>
        <v>0</v>
      </c>
      <c r="BN788" s="132">
        <f t="shared" si="357"/>
        <v>0</v>
      </c>
      <c r="BO788" s="132">
        <f t="shared" si="357"/>
        <v>0</v>
      </c>
      <c r="BP788" s="132">
        <f t="shared" si="357"/>
        <v>0</v>
      </c>
      <c r="BQ788" s="132">
        <f t="shared" si="357"/>
        <v>0</v>
      </c>
      <c r="BR788" s="132">
        <f t="shared" si="357"/>
        <v>0</v>
      </c>
      <c r="BS788" s="132">
        <f t="shared" si="357"/>
        <v>0</v>
      </c>
      <c r="BT788" s="132">
        <f t="shared" si="357"/>
        <v>0</v>
      </c>
      <c r="BU788" s="132">
        <f t="shared" si="357"/>
        <v>0</v>
      </c>
      <c r="BV788" s="132">
        <f t="shared" si="357"/>
        <v>0</v>
      </c>
      <c r="BW788" s="132">
        <f t="shared" si="357"/>
        <v>4818395433</v>
      </c>
      <c r="BX788" s="132">
        <f t="shared" si="357"/>
        <v>4818395433</v>
      </c>
      <c r="BY788" s="132">
        <f t="shared" si="357"/>
        <v>0</v>
      </c>
      <c r="BZ788" s="132">
        <f t="shared" si="357"/>
        <v>0</v>
      </c>
      <c r="CA788" s="132">
        <f t="shared" si="357"/>
        <v>0</v>
      </c>
      <c r="CB788" s="132">
        <f t="shared" si="357"/>
        <v>0</v>
      </c>
      <c r="CC788" s="132">
        <f t="shared" si="357"/>
        <v>100000000</v>
      </c>
      <c r="CD788" s="132">
        <f t="shared" si="357"/>
        <v>0</v>
      </c>
      <c r="CE788" s="132">
        <f t="shared" si="357"/>
        <v>0</v>
      </c>
      <c r="CF788" s="132">
        <f t="shared" si="357"/>
        <v>0</v>
      </c>
      <c r="CG788" s="132">
        <f t="shared" si="357"/>
        <v>0</v>
      </c>
      <c r="CH788" s="132">
        <f t="shared" si="357"/>
        <v>0</v>
      </c>
      <c r="CI788" s="132">
        <f t="shared" si="357"/>
        <v>0</v>
      </c>
      <c r="CJ788" s="132">
        <f t="shared" si="357"/>
        <v>0</v>
      </c>
      <c r="CK788" s="132">
        <f t="shared" si="357"/>
        <v>0</v>
      </c>
      <c r="CL788" s="132">
        <f t="shared" si="357"/>
        <v>0</v>
      </c>
      <c r="CM788" s="132">
        <f t="shared" si="357"/>
        <v>0</v>
      </c>
      <c r="CN788" s="132">
        <f t="shared" si="357"/>
        <v>100000000</v>
      </c>
      <c r="CO788" s="132">
        <f t="shared" si="357"/>
        <v>0</v>
      </c>
      <c r="CP788" s="132">
        <f t="shared" si="357"/>
        <v>0</v>
      </c>
      <c r="CQ788" s="132">
        <f t="shared" si="357"/>
        <v>0</v>
      </c>
      <c r="CR788" s="132">
        <f t="shared" si="357"/>
        <v>0</v>
      </c>
      <c r="CS788" s="132">
        <f t="shared" si="357"/>
        <v>0</v>
      </c>
      <c r="CT788" s="132">
        <f t="shared" si="357"/>
        <v>0</v>
      </c>
      <c r="CU788" s="132">
        <f t="shared" si="357"/>
        <v>0</v>
      </c>
      <c r="CV788" s="132">
        <f t="shared" si="357"/>
        <v>0</v>
      </c>
      <c r="CW788" s="132">
        <f t="shared" si="357"/>
        <v>0</v>
      </c>
      <c r="CX788" s="132">
        <f t="shared" si="357"/>
        <v>0</v>
      </c>
      <c r="CY788" s="132">
        <f t="shared" si="357"/>
        <v>0</v>
      </c>
      <c r="CZ788" s="132">
        <f t="shared" si="357"/>
        <v>0</v>
      </c>
      <c r="DA788" s="132">
        <f t="shared" si="357"/>
        <v>0</v>
      </c>
      <c r="DB788" s="132">
        <f t="shared" si="357"/>
        <v>0</v>
      </c>
      <c r="DC788" s="132">
        <f t="shared" si="357"/>
        <v>0</v>
      </c>
      <c r="DD788" s="132">
        <f t="shared" si="357"/>
        <v>0</v>
      </c>
      <c r="DE788" s="132">
        <f t="shared" si="357"/>
        <v>4918395433</v>
      </c>
      <c r="DF788" s="101"/>
    </row>
    <row r="789" spans="1:110" s="117" customFormat="1" ht="55.05" customHeight="1">
      <c r="A789" s="124"/>
      <c r="B789" s="125" t="s">
        <v>3614</v>
      </c>
      <c r="C789" s="145" t="s">
        <v>1794</v>
      </c>
      <c r="D789" s="160"/>
      <c r="E789" s="161"/>
      <c r="F789" s="162"/>
      <c r="G789" s="163"/>
      <c r="H789" s="161"/>
      <c r="I789" s="161"/>
      <c r="J789" s="161"/>
      <c r="K789" s="161"/>
      <c r="L789" s="161"/>
      <c r="M789" s="161"/>
      <c r="N789" s="161"/>
      <c r="O789" s="161"/>
      <c r="P789" s="161"/>
      <c r="Q789" s="163"/>
      <c r="R789" s="164"/>
      <c r="S789" s="161"/>
      <c r="T789" s="161"/>
      <c r="U789" s="165"/>
      <c r="V789" s="165"/>
      <c r="W789" s="166"/>
      <c r="X789" s="165"/>
      <c r="Y789" s="165"/>
      <c r="Z789" s="165"/>
      <c r="AA789" s="165"/>
      <c r="AB789" s="166"/>
      <c r="AC789" s="165"/>
      <c r="AD789" s="165"/>
      <c r="AE789" s="165"/>
      <c r="AF789" s="165"/>
      <c r="AG789" s="166"/>
      <c r="AH789" s="165"/>
      <c r="AI789" s="165"/>
      <c r="AJ789" s="165"/>
      <c r="AK789" s="165"/>
      <c r="AL789" s="166"/>
      <c r="AM789" s="167"/>
      <c r="AN789" s="168"/>
      <c r="AO789" s="168"/>
      <c r="AP789" s="163"/>
      <c r="AQ789" s="163"/>
      <c r="AR789" s="169"/>
      <c r="AS789" s="147">
        <f>AS788</f>
        <v>0</v>
      </c>
      <c r="AT789" s="130">
        <f t="shared" ref="AT789:DE789" si="358">AT788</f>
        <v>0</v>
      </c>
      <c r="AU789" s="130">
        <f t="shared" si="358"/>
        <v>0</v>
      </c>
      <c r="AV789" s="130">
        <f t="shared" si="358"/>
        <v>0</v>
      </c>
      <c r="AW789" s="130">
        <f t="shared" si="358"/>
        <v>0</v>
      </c>
      <c r="AX789" s="130">
        <f t="shared" si="358"/>
        <v>0</v>
      </c>
      <c r="AY789" s="130">
        <f t="shared" si="358"/>
        <v>0</v>
      </c>
      <c r="AZ789" s="130">
        <f t="shared" si="358"/>
        <v>0</v>
      </c>
      <c r="BA789" s="130">
        <f t="shared" si="358"/>
        <v>0</v>
      </c>
      <c r="BB789" s="130">
        <f t="shared" si="358"/>
        <v>0</v>
      </c>
      <c r="BC789" s="130">
        <f t="shared" si="358"/>
        <v>0</v>
      </c>
      <c r="BD789" s="130">
        <f t="shared" si="358"/>
        <v>0</v>
      </c>
      <c r="BE789" s="130">
        <f t="shared" si="358"/>
        <v>0</v>
      </c>
      <c r="BF789" s="130">
        <f t="shared" si="358"/>
        <v>0</v>
      </c>
      <c r="BG789" s="130">
        <f t="shared" si="358"/>
        <v>0</v>
      </c>
      <c r="BH789" s="130">
        <f t="shared" si="358"/>
        <v>0</v>
      </c>
      <c r="BI789" s="130">
        <f t="shared" si="358"/>
        <v>0</v>
      </c>
      <c r="BJ789" s="130">
        <f t="shared" si="358"/>
        <v>0</v>
      </c>
      <c r="BK789" s="130">
        <f t="shared" si="358"/>
        <v>0</v>
      </c>
      <c r="BL789" s="130">
        <f t="shared" si="358"/>
        <v>0</v>
      </c>
      <c r="BM789" s="130">
        <f t="shared" si="358"/>
        <v>0</v>
      </c>
      <c r="BN789" s="130">
        <f t="shared" si="358"/>
        <v>0</v>
      </c>
      <c r="BO789" s="130">
        <f t="shared" si="358"/>
        <v>0</v>
      </c>
      <c r="BP789" s="130">
        <f t="shared" si="358"/>
        <v>0</v>
      </c>
      <c r="BQ789" s="130">
        <f t="shared" si="358"/>
        <v>0</v>
      </c>
      <c r="BR789" s="130">
        <f t="shared" si="358"/>
        <v>0</v>
      </c>
      <c r="BS789" s="130">
        <f t="shared" si="358"/>
        <v>0</v>
      </c>
      <c r="BT789" s="130">
        <f t="shared" si="358"/>
        <v>0</v>
      </c>
      <c r="BU789" s="130">
        <f t="shared" si="358"/>
        <v>0</v>
      </c>
      <c r="BV789" s="130">
        <f t="shared" si="358"/>
        <v>0</v>
      </c>
      <c r="BW789" s="130">
        <f t="shared" si="358"/>
        <v>4818395433</v>
      </c>
      <c r="BX789" s="130">
        <f t="shared" si="358"/>
        <v>4818395433</v>
      </c>
      <c r="BY789" s="130">
        <f t="shared" si="358"/>
        <v>0</v>
      </c>
      <c r="BZ789" s="130">
        <f t="shared" si="358"/>
        <v>0</v>
      </c>
      <c r="CA789" s="130">
        <f t="shared" si="358"/>
        <v>0</v>
      </c>
      <c r="CB789" s="130">
        <f t="shared" si="358"/>
        <v>0</v>
      </c>
      <c r="CC789" s="130">
        <f t="shared" si="358"/>
        <v>100000000</v>
      </c>
      <c r="CD789" s="130">
        <f t="shared" si="358"/>
        <v>0</v>
      </c>
      <c r="CE789" s="130">
        <f t="shared" si="358"/>
        <v>0</v>
      </c>
      <c r="CF789" s="130">
        <f t="shared" si="358"/>
        <v>0</v>
      </c>
      <c r="CG789" s="130">
        <f t="shared" si="358"/>
        <v>0</v>
      </c>
      <c r="CH789" s="130">
        <f t="shared" si="358"/>
        <v>0</v>
      </c>
      <c r="CI789" s="130">
        <f t="shared" si="358"/>
        <v>0</v>
      </c>
      <c r="CJ789" s="130">
        <f t="shared" si="358"/>
        <v>0</v>
      </c>
      <c r="CK789" s="130">
        <f t="shared" si="358"/>
        <v>0</v>
      </c>
      <c r="CL789" s="130">
        <f t="shared" si="358"/>
        <v>0</v>
      </c>
      <c r="CM789" s="130">
        <f t="shared" si="358"/>
        <v>0</v>
      </c>
      <c r="CN789" s="130">
        <f t="shared" si="358"/>
        <v>100000000</v>
      </c>
      <c r="CO789" s="130">
        <f t="shared" si="358"/>
        <v>0</v>
      </c>
      <c r="CP789" s="130">
        <f t="shared" si="358"/>
        <v>0</v>
      </c>
      <c r="CQ789" s="130">
        <f t="shared" si="358"/>
        <v>0</v>
      </c>
      <c r="CR789" s="130">
        <f t="shared" si="358"/>
        <v>0</v>
      </c>
      <c r="CS789" s="130">
        <f t="shared" si="358"/>
        <v>0</v>
      </c>
      <c r="CT789" s="130">
        <f t="shared" si="358"/>
        <v>0</v>
      </c>
      <c r="CU789" s="130">
        <f t="shared" si="358"/>
        <v>0</v>
      </c>
      <c r="CV789" s="130">
        <f t="shared" si="358"/>
        <v>0</v>
      </c>
      <c r="CW789" s="130">
        <f t="shared" si="358"/>
        <v>0</v>
      </c>
      <c r="CX789" s="130">
        <f t="shared" si="358"/>
        <v>0</v>
      </c>
      <c r="CY789" s="130">
        <f t="shared" si="358"/>
        <v>0</v>
      </c>
      <c r="CZ789" s="130">
        <f t="shared" si="358"/>
        <v>0</v>
      </c>
      <c r="DA789" s="130">
        <f t="shared" si="358"/>
        <v>0</v>
      </c>
      <c r="DB789" s="130">
        <f t="shared" si="358"/>
        <v>0</v>
      </c>
      <c r="DC789" s="130">
        <f t="shared" si="358"/>
        <v>0</v>
      </c>
      <c r="DD789" s="130">
        <f t="shared" si="358"/>
        <v>0</v>
      </c>
      <c r="DE789" s="130">
        <f t="shared" si="358"/>
        <v>4918395433</v>
      </c>
    </row>
    <row r="790" spans="1:110" s="98" customFormat="1" ht="119.1" customHeight="1">
      <c r="A790" s="103" t="s">
        <v>1240</v>
      </c>
      <c r="B790" s="103" t="s">
        <v>3614</v>
      </c>
      <c r="C790" s="103" t="s">
        <v>1807</v>
      </c>
      <c r="D790" s="298">
        <v>69</v>
      </c>
      <c r="E790" s="299" t="s">
        <v>1808</v>
      </c>
      <c r="F790" s="285" t="s">
        <v>220</v>
      </c>
      <c r="G790" s="103" t="s">
        <v>3826</v>
      </c>
      <c r="H790" s="103">
        <v>84</v>
      </c>
      <c r="I790" s="103" t="s">
        <v>1809</v>
      </c>
      <c r="J790" s="103" t="s">
        <v>677</v>
      </c>
      <c r="K790" s="103">
        <v>13</v>
      </c>
      <c r="L790" s="103" t="s">
        <v>1810</v>
      </c>
      <c r="M790" s="103" t="s">
        <v>1811</v>
      </c>
      <c r="N790" s="103" t="s">
        <v>1812</v>
      </c>
      <c r="O790" s="103" t="s">
        <v>221</v>
      </c>
      <c r="P790" s="283">
        <v>700</v>
      </c>
      <c r="Q790" s="103" t="s">
        <v>3827</v>
      </c>
      <c r="R790" s="103" t="s">
        <v>222</v>
      </c>
      <c r="S790" s="103" t="s">
        <v>683</v>
      </c>
      <c r="T790" s="103">
        <v>16</v>
      </c>
      <c r="U790" s="267"/>
      <c r="V790" s="267">
        <v>10</v>
      </c>
      <c r="W790" s="224">
        <v>10</v>
      </c>
      <c r="X790" s="267">
        <v>10</v>
      </c>
      <c r="Y790" s="267">
        <v>10</v>
      </c>
      <c r="Z790" s="267">
        <v>10</v>
      </c>
      <c r="AA790" s="267">
        <v>10</v>
      </c>
      <c r="AB790" s="224">
        <v>40</v>
      </c>
      <c r="AC790" s="267"/>
      <c r="AD790" s="267"/>
      <c r="AE790" s="267"/>
      <c r="AF790" s="267"/>
      <c r="AG790" s="224">
        <v>0</v>
      </c>
      <c r="AH790" s="267"/>
      <c r="AI790" s="267"/>
      <c r="AJ790" s="267"/>
      <c r="AK790" s="267"/>
      <c r="AL790" s="224">
        <v>0</v>
      </c>
      <c r="AM790" s="102">
        <v>50</v>
      </c>
      <c r="AN790" s="103" t="s">
        <v>685</v>
      </c>
      <c r="AO790" s="103" t="s">
        <v>622</v>
      </c>
      <c r="AP790" s="103" t="s">
        <v>1222</v>
      </c>
      <c r="AQ790" s="103" t="s">
        <v>1207</v>
      </c>
      <c r="AR790" s="103" t="s">
        <v>948</v>
      </c>
      <c r="AS790" s="268"/>
      <c r="AT790" s="268"/>
      <c r="AU790" s="268"/>
      <c r="AV790" s="268"/>
      <c r="AW790" s="268">
        <v>99000000</v>
      </c>
      <c r="AX790" s="268"/>
      <c r="AY790" s="268"/>
      <c r="AZ790" s="268"/>
      <c r="BA790" s="268"/>
      <c r="BB790" s="268"/>
      <c r="BC790" s="268"/>
      <c r="BD790" s="268"/>
      <c r="BE790" s="268"/>
      <c r="BF790" s="268"/>
      <c r="BG790" s="268"/>
      <c r="BH790" s="234">
        <v>99000000</v>
      </c>
      <c r="BI790" s="268"/>
      <c r="BJ790" s="268"/>
      <c r="BK790" s="268"/>
      <c r="BL790" s="268"/>
      <c r="BM790" s="268">
        <v>40000000</v>
      </c>
      <c r="BN790" s="268"/>
      <c r="BO790" s="268"/>
      <c r="BP790" s="268"/>
      <c r="BQ790" s="268"/>
      <c r="BR790" s="268"/>
      <c r="BS790" s="268"/>
      <c r="BT790" s="268"/>
      <c r="BU790" s="268"/>
      <c r="BV790" s="268"/>
      <c r="BW790" s="268"/>
      <c r="BX790" s="234">
        <v>40000000</v>
      </c>
      <c r="BY790" s="268"/>
      <c r="BZ790" s="268"/>
      <c r="CA790" s="268"/>
      <c r="CB790" s="268"/>
      <c r="CC790" s="268"/>
      <c r="CD790" s="268"/>
      <c r="CE790" s="268"/>
      <c r="CF790" s="268"/>
      <c r="CG790" s="268"/>
      <c r="CH790" s="268"/>
      <c r="CI790" s="268"/>
      <c r="CJ790" s="268"/>
      <c r="CK790" s="268"/>
      <c r="CL790" s="268"/>
      <c r="CM790" s="268"/>
      <c r="CN790" s="234">
        <v>0</v>
      </c>
      <c r="CO790" s="268"/>
      <c r="CP790" s="268"/>
      <c r="CQ790" s="268"/>
      <c r="CR790" s="268"/>
      <c r="CS790" s="268"/>
      <c r="CT790" s="268"/>
      <c r="CU790" s="268"/>
      <c r="CV790" s="268"/>
      <c r="CW790" s="268"/>
      <c r="CX790" s="268"/>
      <c r="CY790" s="268"/>
      <c r="CZ790" s="268"/>
      <c r="DA790" s="268"/>
      <c r="DB790" s="268"/>
      <c r="DC790" s="268"/>
      <c r="DD790" s="234">
        <v>0</v>
      </c>
      <c r="DE790" s="243">
        <v>139000000</v>
      </c>
    </row>
    <row r="791" spans="1:110" s="98" customFormat="1" ht="119.1" customHeight="1">
      <c r="A791" s="103" t="s">
        <v>1240</v>
      </c>
      <c r="B791" s="279" t="s">
        <v>3614</v>
      </c>
      <c r="C791" s="279" t="s">
        <v>1807</v>
      </c>
      <c r="D791" s="300">
        <v>69</v>
      </c>
      <c r="E791" s="198" t="s">
        <v>1808</v>
      </c>
      <c r="F791" s="280" t="s">
        <v>220</v>
      </c>
      <c r="G791" s="279" t="s">
        <v>3826</v>
      </c>
      <c r="H791" s="279">
        <v>84</v>
      </c>
      <c r="I791" s="279" t="s">
        <v>1809</v>
      </c>
      <c r="J791" s="279" t="s">
        <v>677</v>
      </c>
      <c r="K791" s="279">
        <v>13</v>
      </c>
      <c r="L791" s="279" t="s">
        <v>1810</v>
      </c>
      <c r="M791" s="279" t="s">
        <v>1811</v>
      </c>
      <c r="N791" s="279" t="s">
        <v>1812</v>
      </c>
      <c r="O791" s="279" t="s">
        <v>221</v>
      </c>
      <c r="P791" s="283">
        <v>701</v>
      </c>
      <c r="Q791" s="279" t="s">
        <v>3828</v>
      </c>
      <c r="R791" s="279" t="s">
        <v>224</v>
      </c>
      <c r="S791" s="279" t="s">
        <v>683</v>
      </c>
      <c r="T791" s="279">
        <v>0</v>
      </c>
      <c r="U791" s="267"/>
      <c r="V791" s="267">
        <v>0.2</v>
      </c>
      <c r="W791" s="224">
        <v>0.2</v>
      </c>
      <c r="X791" s="267">
        <v>0.2</v>
      </c>
      <c r="Y791" s="267">
        <v>0.2</v>
      </c>
      <c r="Z791" s="267">
        <v>0.2</v>
      </c>
      <c r="AA791" s="267">
        <v>0.2</v>
      </c>
      <c r="AB791" s="224">
        <v>0.8</v>
      </c>
      <c r="AC791" s="267"/>
      <c r="AD791" s="267"/>
      <c r="AE791" s="267"/>
      <c r="AF791" s="267"/>
      <c r="AG791" s="224">
        <v>0</v>
      </c>
      <c r="AH791" s="267"/>
      <c r="AI791" s="267"/>
      <c r="AJ791" s="267"/>
      <c r="AK791" s="267"/>
      <c r="AL791" s="224">
        <v>0</v>
      </c>
      <c r="AM791" s="104">
        <v>1</v>
      </c>
      <c r="AN791" s="103" t="s">
        <v>685</v>
      </c>
      <c r="AO791" s="103" t="s">
        <v>622</v>
      </c>
      <c r="AP791" s="103" t="s">
        <v>1222</v>
      </c>
      <c r="AQ791" s="103" t="s">
        <v>1207</v>
      </c>
      <c r="AR791" s="103" t="s">
        <v>948</v>
      </c>
      <c r="AS791" s="271"/>
      <c r="AT791" s="271"/>
      <c r="AU791" s="271"/>
      <c r="AV791" s="271">
        <v>200000000</v>
      </c>
      <c r="AW791" s="271"/>
      <c r="AX791" s="271"/>
      <c r="AY791" s="271"/>
      <c r="AZ791" s="271"/>
      <c r="BA791" s="271"/>
      <c r="BB791" s="271"/>
      <c r="BC791" s="271"/>
      <c r="BD791" s="271"/>
      <c r="BE791" s="271"/>
      <c r="BF791" s="271"/>
      <c r="BG791" s="271">
        <v>1648186248</v>
      </c>
      <c r="BH791" s="235">
        <v>1848186248</v>
      </c>
      <c r="BI791" s="271"/>
      <c r="BJ791" s="271"/>
      <c r="BK791" s="271"/>
      <c r="BL791" s="271"/>
      <c r="BM791" s="271">
        <v>2000000</v>
      </c>
      <c r="BN791" s="271"/>
      <c r="BO791" s="271"/>
      <c r="BP791" s="271"/>
      <c r="BQ791" s="271"/>
      <c r="BR791" s="271"/>
      <c r="BS791" s="271"/>
      <c r="BT791" s="271"/>
      <c r="BU791" s="271"/>
      <c r="BV791" s="271"/>
      <c r="BW791" s="271"/>
      <c r="BX791" s="235">
        <v>2000000</v>
      </c>
      <c r="BY791" s="271"/>
      <c r="BZ791" s="271"/>
      <c r="CA791" s="271"/>
      <c r="CB791" s="271"/>
      <c r="CC791" s="271"/>
      <c r="CD791" s="271"/>
      <c r="CE791" s="271"/>
      <c r="CF791" s="271"/>
      <c r="CG791" s="271"/>
      <c r="CH791" s="271"/>
      <c r="CI791" s="271"/>
      <c r="CJ791" s="271"/>
      <c r="CK791" s="271"/>
      <c r="CL791" s="271"/>
      <c r="CM791" s="271"/>
      <c r="CN791" s="235">
        <v>0</v>
      </c>
      <c r="CO791" s="271"/>
      <c r="CP791" s="271"/>
      <c r="CQ791" s="271"/>
      <c r="CR791" s="271"/>
      <c r="CS791" s="271"/>
      <c r="CT791" s="271"/>
      <c r="CU791" s="271"/>
      <c r="CV791" s="271"/>
      <c r="CW791" s="271"/>
      <c r="CX791" s="271"/>
      <c r="CY791" s="271"/>
      <c r="CZ791" s="271"/>
      <c r="DA791" s="271"/>
      <c r="DB791" s="271"/>
      <c r="DC791" s="271"/>
      <c r="DD791" s="234">
        <v>0</v>
      </c>
      <c r="DE791" s="244">
        <v>1850186248</v>
      </c>
    </row>
    <row r="792" spans="1:110" s="98" customFormat="1" ht="119.1" customHeight="1">
      <c r="A792" s="103" t="s">
        <v>1240</v>
      </c>
      <c r="B792" s="279" t="s">
        <v>3614</v>
      </c>
      <c r="C792" s="279" t="s">
        <v>1807</v>
      </c>
      <c r="D792" s="300">
        <v>69</v>
      </c>
      <c r="E792" s="198" t="s">
        <v>1808</v>
      </c>
      <c r="F792" s="280" t="s">
        <v>220</v>
      </c>
      <c r="G792" s="279" t="s">
        <v>3826</v>
      </c>
      <c r="H792" s="279">
        <v>84</v>
      </c>
      <c r="I792" s="279" t="s">
        <v>1809</v>
      </c>
      <c r="J792" s="279" t="s">
        <v>677</v>
      </c>
      <c r="K792" s="279">
        <v>13</v>
      </c>
      <c r="L792" s="279" t="s">
        <v>1810</v>
      </c>
      <c r="M792" s="279" t="s">
        <v>1813</v>
      </c>
      <c r="N792" s="279" t="s">
        <v>1814</v>
      </c>
      <c r="O792" s="279" t="s">
        <v>225</v>
      </c>
      <c r="P792" s="283">
        <v>702</v>
      </c>
      <c r="Q792" s="279" t="s">
        <v>3829</v>
      </c>
      <c r="R792" s="279" t="s">
        <v>226</v>
      </c>
      <c r="S792" s="279" t="s">
        <v>683</v>
      </c>
      <c r="T792" s="279">
        <v>4</v>
      </c>
      <c r="U792" s="267"/>
      <c r="V792" s="267">
        <v>1</v>
      </c>
      <c r="W792" s="224">
        <v>1</v>
      </c>
      <c r="X792" s="267"/>
      <c r="Y792" s="267"/>
      <c r="Z792" s="267"/>
      <c r="AA792" s="267"/>
      <c r="AB792" s="224">
        <v>0</v>
      </c>
      <c r="AC792" s="267"/>
      <c r="AD792" s="267"/>
      <c r="AE792" s="267"/>
      <c r="AF792" s="267">
        <v>0.5</v>
      </c>
      <c r="AG792" s="224">
        <v>0.5</v>
      </c>
      <c r="AH792" s="267">
        <v>0.5</v>
      </c>
      <c r="AI792" s="267"/>
      <c r="AJ792" s="267"/>
      <c r="AK792" s="267"/>
      <c r="AL792" s="224">
        <v>0.5</v>
      </c>
      <c r="AM792" s="104">
        <v>2</v>
      </c>
      <c r="AN792" s="103" t="s">
        <v>685</v>
      </c>
      <c r="AO792" s="103" t="s">
        <v>622</v>
      </c>
      <c r="AP792" s="103" t="s">
        <v>1222</v>
      </c>
      <c r="AQ792" s="103" t="s">
        <v>1207</v>
      </c>
      <c r="AR792" s="103" t="s">
        <v>948</v>
      </c>
      <c r="AS792" s="271"/>
      <c r="AT792" s="271"/>
      <c r="AU792" s="271"/>
      <c r="AV792" s="271">
        <v>200000000</v>
      </c>
      <c r="AW792" s="271"/>
      <c r="AX792" s="271"/>
      <c r="AY792" s="271"/>
      <c r="AZ792" s="271"/>
      <c r="BA792" s="271"/>
      <c r="BB792" s="271"/>
      <c r="BC792" s="271"/>
      <c r="BD792" s="271"/>
      <c r="BE792" s="271"/>
      <c r="BF792" s="271"/>
      <c r="BG792" s="271"/>
      <c r="BH792" s="235">
        <v>200000000</v>
      </c>
      <c r="BI792" s="271"/>
      <c r="BJ792" s="271"/>
      <c r="BK792" s="271"/>
      <c r="BL792" s="271"/>
      <c r="BM792" s="271"/>
      <c r="BN792" s="271"/>
      <c r="BO792" s="271"/>
      <c r="BP792" s="271"/>
      <c r="BQ792" s="271"/>
      <c r="BR792" s="271"/>
      <c r="BS792" s="271"/>
      <c r="BT792" s="271"/>
      <c r="BU792" s="271"/>
      <c r="BV792" s="271"/>
      <c r="BW792" s="271"/>
      <c r="BX792" s="235">
        <v>0</v>
      </c>
      <c r="BY792" s="271"/>
      <c r="BZ792" s="271"/>
      <c r="CA792" s="271"/>
      <c r="CB792" s="271"/>
      <c r="CC792" s="271">
        <v>20000000</v>
      </c>
      <c r="CD792" s="271"/>
      <c r="CE792" s="271"/>
      <c r="CF792" s="271"/>
      <c r="CG792" s="271"/>
      <c r="CH792" s="271"/>
      <c r="CI792" s="271"/>
      <c r="CJ792" s="271"/>
      <c r="CK792" s="271"/>
      <c r="CL792" s="271"/>
      <c r="CM792" s="271"/>
      <c r="CN792" s="235">
        <v>20000000</v>
      </c>
      <c r="CO792" s="271"/>
      <c r="CP792" s="271"/>
      <c r="CQ792" s="271"/>
      <c r="CR792" s="271"/>
      <c r="CS792" s="271">
        <v>39000000</v>
      </c>
      <c r="CT792" s="271"/>
      <c r="CU792" s="271"/>
      <c r="CV792" s="271"/>
      <c r="CW792" s="271"/>
      <c r="CX792" s="271"/>
      <c r="CY792" s="271"/>
      <c r="CZ792" s="271"/>
      <c r="DA792" s="271"/>
      <c r="DB792" s="271"/>
      <c r="DC792" s="271"/>
      <c r="DD792" s="234">
        <v>39000000</v>
      </c>
      <c r="DE792" s="244">
        <v>259000000</v>
      </c>
    </row>
    <row r="793" spans="1:110" s="98" customFormat="1" ht="119.1" customHeight="1">
      <c r="A793" s="103" t="s">
        <v>1240</v>
      </c>
      <c r="B793" s="279" t="s">
        <v>3614</v>
      </c>
      <c r="C793" s="279" t="s">
        <v>1807</v>
      </c>
      <c r="D793" s="300">
        <v>69</v>
      </c>
      <c r="E793" s="198" t="s">
        <v>1808</v>
      </c>
      <c r="F793" s="280" t="s">
        <v>220</v>
      </c>
      <c r="G793" s="279" t="s">
        <v>3826</v>
      </c>
      <c r="H793" s="279">
        <v>84</v>
      </c>
      <c r="I793" s="279" t="s">
        <v>1809</v>
      </c>
      <c r="J793" s="279" t="s">
        <v>677</v>
      </c>
      <c r="K793" s="279">
        <v>13</v>
      </c>
      <c r="L793" s="279" t="s">
        <v>1810</v>
      </c>
      <c r="M793" s="279" t="s">
        <v>1813</v>
      </c>
      <c r="N793" s="279" t="s">
        <v>1814</v>
      </c>
      <c r="O793" s="279" t="s">
        <v>225</v>
      </c>
      <c r="P793" s="283">
        <v>703</v>
      </c>
      <c r="Q793" s="279" t="s">
        <v>3830</v>
      </c>
      <c r="R793" s="279" t="s">
        <v>228</v>
      </c>
      <c r="S793" s="279" t="s">
        <v>683</v>
      </c>
      <c r="T793" s="279">
        <v>0</v>
      </c>
      <c r="U793" s="267"/>
      <c r="V793" s="267"/>
      <c r="W793" s="224">
        <v>0</v>
      </c>
      <c r="X793" s="267"/>
      <c r="Y793" s="267"/>
      <c r="Z793" s="267"/>
      <c r="AA793" s="267"/>
      <c r="AB793" s="224">
        <v>0</v>
      </c>
      <c r="AC793" s="267"/>
      <c r="AD793" s="267">
        <v>10</v>
      </c>
      <c r="AE793" s="267"/>
      <c r="AF793" s="267">
        <v>10</v>
      </c>
      <c r="AG793" s="224">
        <v>20</v>
      </c>
      <c r="AH793" s="267"/>
      <c r="AI793" s="267">
        <v>10</v>
      </c>
      <c r="AJ793" s="267"/>
      <c r="AK793" s="267"/>
      <c r="AL793" s="224">
        <v>10</v>
      </c>
      <c r="AM793" s="104">
        <v>30</v>
      </c>
      <c r="AN793" s="103" t="s">
        <v>685</v>
      </c>
      <c r="AO793" s="103" t="s">
        <v>622</v>
      </c>
      <c r="AP793" s="103" t="s">
        <v>1222</v>
      </c>
      <c r="AQ793" s="103" t="s">
        <v>1207</v>
      </c>
      <c r="AR793" s="103" t="s">
        <v>948</v>
      </c>
      <c r="AS793" s="271"/>
      <c r="AT793" s="271"/>
      <c r="AU793" s="271"/>
      <c r="AV793" s="271"/>
      <c r="AW793" s="271"/>
      <c r="AX793" s="271"/>
      <c r="AY793" s="271"/>
      <c r="AZ793" s="271"/>
      <c r="BA793" s="271"/>
      <c r="BB793" s="271"/>
      <c r="BC793" s="271"/>
      <c r="BD793" s="271"/>
      <c r="BE793" s="271"/>
      <c r="BF793" s="271"/>
      <c r="BG793" s="271"/>
      <c r="BH793" s="235">
        <v>0</v>
      </c>
      <c r="BI793" s="271"/>
      <c r="BJ793" s="271"/>
      <c r="BK793" s="271"/>
      <c r="BL793" s="271"/>
      <c r="BM793" s="271"/>
      <c r="BN793" s="271"/>
      <c r="BO793" s="271"/>
      <c r="BP793" s="271"/>
      <c r="BQ793" s="271"/>
      <c r="BR793" s="271"/>
      <c r="BS793" s="271"/>
      <c r="BT793" s="271"/>
      <c r="BU793" s="271"/>
      <c r="BV793" s="271"/>
      <c r="BW793" s="271"/>
      <c r="BX793" s="235">
        <v>0</v>
      </c>
      <c r="BY793" s="271"/>
      <c r="BZ793" s="271"/>
      <c r="CA793" s="271"/>
      <c r="CB793" s="271"/>
      <c r="CC793" s="271">
        <v>75000000</v>
      </c>
      <c r="CD793" s="271"/>
      <c r="CE793" s="271"/>
      <c r="CF793" s="271"/>
      <c r="CG793" s="271"/>
      <c r="CH793" s="271"/>
      <c r="CI793" s="271"/>
      <c r="CJ793" s="271"/>
      <c r="CK793" s="271"/>
      <c r="CL793" s="271"/>
      <c r="CM793" s="271"/>
      <c r="CN793" s="235">
        <v>75000000</v>
      </c>
      <c r="CO793" s="271"/>
      <c r="CP793" s="271"/>
      <c r="CQ793" s="271"/>
      <c r="CR793" s="271"/>
      <c r="CS793" s="271">
        <v>60000000</v>
      </c>
      <c r="CT793" s="271"/>
      <c r="CU793" s="271"/>
      <c r="CV793" s="271"/>
      <c r="CW793" s="271"/>
      <c r="CX793" s="271"/>
      <c r="CY793" s="271"/>
      <c r="CZ793" s="271"/>
      <c r="DA793" s="271"/>
      <c r="DB793" s="271"/>
      <c r="DC793" s="271"/>
      <c r="DD793" s="234">
        <v>60000000</v>
      </c>
      <c r="DE793" s="244">
        <v>135000000</v>
      </c>
    </row>
    <row r="794" spans="1:110" s="98" customFormat="1" ht="119.1" customHeight="1">
      <c r="A794" s="103" t="s">
        <v>1240</v>
      </c>
      <c r="B794" s="279" t="s">
        <v>3614</v>
      </c>
      <c r="C794" s="279" t="s">
        <v>1807</v>
      </c>
      <c r="D794" s="300">
        <v>69</v>
      </c>
      <c r="E794" s="198" t="s">
        <v>1808</v>
      </c>
      <c r="F794" s="280" t="s">
        <v>220</v>
      </c>
      <c r="G794" s="279" t="s">
        <v>3826</v>
      </c>
      <c r="H794" s="279">
        <v>84</v>
      </c>
      <c r="I794" s="279" t="s">
        <v>1809</v>
      </c>
      <c r="J794" s="279" t="s">
        <v>677</v>
      </c>
      <c r="K794" s="279">
        <v>13</v>
      </c>
      <c r="L794" s="279" t="s">
        <v>1810</v>
      </c>
      <c r="M794" s="279" t="s">
        <v>1813</v>
      </c>
      <c r="N794" s="279" t="s">
        <v>1814</v>
      </c>
      <c r="O794" s="279" t="s">
        <v>225</v>
      </c>
      <c r="P794" s="283">
        <v>704</v>
      </c>
      <c r="Q794" s="279" t="s">
        <v>3831</v>
      </c>
      <c r="R794" s="279" t="s">
        <v>229</v>
      </c>
      <c r="S794" s="279" t="s">
        <v>683</v>
      </c>
      <c r="T794" s="279">
        <v>1</v>
      </c>
      <c r="U794" s="267"/>
      <c r="V794" s="267">
        <v>0.1</v>
      </c>
      <c r="W794" s="224">
        <v>0.1</v>
      </c>
      <c r="X794" s="267"/>
      <c r="Y794" s="267"/>
      <c r="Z794" s="267">
        <v>0.9</v>
      </c>
      <c r="AA794" s="267"/>
      <c r="AB794" s="224">
        <v>0.9</v>
      </c>
      <c r="AC794" s="267"/>
      <c r="AD794" s="267"/>
      <c r="AE794" s="267"/>
      <c r="AF794" s="267"/>
      <c r="AG794" s="224">
        <v>0</v>
      </c>
      <c r="AH794" s="267"/>
      <c r="AI794" s="267"/>
      <c r="AJ794" s="267"/>
      <c r="AK794" s="267"/>
      <c r="AL794" s="224">
        <v>0</v>
      </c>
      <c r="AM794" s="104">
        <v>1</v>
      </c>
      <c r="AN794" s="103" t="s">
        <v>685</v>
      </c>
      <c r="AO794" s="103" t="s">
        <v>622</v>
      </c>
      <c r="AP794" s="103" t="s">
        <v>1222</v>
      </c>
      <c r="AQ794" s="103" t="s">
        <v>1207</v>
      </c>
      <c r="AR794" s="103" t="s">
        <v>948</v>
      </c>
      <c r="AS794" s="271"/>
      <c r="AT794" s="271"/>
      <c r="AU794" s="271"/>
      <c r="AV794" s="271">
        <v>400000000</v>
      </c>
      <c r="AW794" s="271"/>
      <c r="AX794" s="271"/>
      <c r="AY794" s="271"/>
      <c r="AZ794" s="271"/>
      <c r="BA794" s="271"/>
      <c r="BB794" s="271"/>
      <c r="BC794" s="271"/>
      <c r="BD794" s="271"/>
      <c r="BE794" s="271"/>
      <c r="BF794" s="271"/>
      <c r="BG794" s="271"/>
      <c r="BH794" s="235">
        <v>400000000</v>
      </c>
      <c r="BI794" s="271"/>
      <c r="BJ794" s="271"/>
      <c r="BK794" s="271"/>
      <c r="BL794" s="271"/>
      <c r="BM794" s="271">
        <v>20000000</v>
      </c>
      <c r="BN794" s="271"/>
      <c r="BO794" s="271"/>
      <c r="BP794" s="271"/>
      <c r="BQ794" s="271"/>
      <c r="BR794" s="271"/>
      <c r="BS794" s="271"/>
      <c r="BT794" s="271"/>
      <c r="BU794" s="271"/>
      <c r="BV794" s="271"/>
      <c r="BW794" s="271"/>
      <c r="BX794" s="235">
        <v>20000000</v>
      </c>
      <c r="BY794" s="271"/>
      <c r="BZ794" s="271"/>
      <c r="CA794" s="271"/>
      <c r="CB794" s="271"/>
      <c r="CC794" s="271"/>
      <c r="CD794" s="271"/>
      <c r="CE794" s="271"/>
      <c r="CF794" s="271"/>
      <c r="CG794" s="271"/>
      <c r="CH794" s="271"/>
      <c r="CI794" s="271"/>
      <c r="CJ794" s="271"/>
      <c r="CK794" s="271"/>
      <c r="CL794" s="271"/>
      <c r="CM794" s="271"/>
      <c r="CN794" s="235">
        <v>0</v>
      </c>
      <c r="CO794" s="271"/>
      <c r="CP794" s="271"/>
      <c r="CQ794" s="271"/>
      <c r="CR794" s="271"/>
      <c r="CS794" s="271"/>
      <c r="CT794" s="271"/>
      <c r="CU794" s="271"/>
      <c r="CV794" s="271"/>
      <c r="CW794" s="271"/>
      <c r="CX794" s="271"/>
      <c r="CY794" s="271"/>
      <c r="CZ794" s="271"/>
      <c r="DA794" s="271"/>
      <c r="DB794" s="271"/>
      <c r="DC794" s="271"/>
      <c r="DD794" s="234">
        <v>0</v>
      </c>
      <c r="DE794" s="244">
        <v>420000000</v>
      </c>
    </row>
    <row r="795" spans="1:110" s="98" customFormat="1" ht="119.1" customHeight="1">
      <c r="A795" s="103" t="s">
        <v>1240</v>
      </c>
      <c r="B795" s="279" t="s">
        <v>3614</v>
      </c>
      <c r="C795" s="279" t="s">
        <v>1807</v>
      </c>
      <c r="D795" s="300">
        <v>69</v>
      </c>
      <c r="E795" s="198" t="s">
        <v>1808</v>
      </c>
      <c r="F795" s="280" t="s">
        <v>220</v>
      </c>
      <c r="G795" s="279" t="s">
        <v>3826</v>
      </c>
      <c r="H795" s="279">
        <v>84</v>
      </c>
      <c r="I795" s="279" t="s">
        <v>1809</v>
      </c>
      <c r="J795" s="279" t="s">
        <v>677</v>
      </c>
      <c r="K795" s="279">
        <v>13</v>
      </c>
      <c r="L795" s="279" t="s">
        <v>1810</v>
      </c>
      <c r="M795" s="279" t="s">
        <v>1813</v>
      </c>
      <c r="N795" s="279" t="s">
        <v>1814</v>
      </c>
      <c r="O795" s="279" t="s">
        <v>225</v>
      </c>
      <c r="P795" s="283">
        <v>705</v>
      </c>
      <c r="Q795" s="279" t="s">
        <v>3832</v>
      </c>
      <c r="R795" s="279" t="s">
        <v>231</v>
      </c>
      <c r="S795" s="279" t="s">
        <v>683</v>
      </c>
      <c r="T795" s="279">
        <v>0</v>
      </c>
      <c r="U795" s="267"/>
      <c r="V795" s="267"/>
      <c r="W795" s="224">
        <v>0</v>
      </c>
      <c r="X795" s="267"/>
      <c r="Y795" s="267"/>
      <c r="Z795" s="267"/>
      <c r="AA795" s="267"/>
      <c r="AB795" s="224">
        <v>0</v>
      </c>
      <c r="AC795" s="267"/>
      <c r="AD795" s="267"/>
      <c r="AE795" s="267">
        <v>1</v>
      </c>
      <c r="AF795" s="267"/>
      <c r="AG795" s="224">
        <v>1</v>
      </c>
      <c r="AH795" s="267"/>
      <c r="AI795" s="267"/>
      <c r="AJ795" s="267">
        <v>1</v>
      </c>
      <c r="AK795" s="267"/>
      <c r="AL795" s="224">
        <v>1</v>
      </c>
      <c r="AM795" s="104">
        <v>2</v>
      </c>
      <c r="AN795" s="103" t="s">
        <v>685</v>
      </c>
      <c r="AO795" s="103" t="s">
        <v>622</v>
      </c>
      <c r="AP795" s="103" t="s">
        <v>1222</v>
      </c>
      <c r="AQ795" s="103" t="s">
        <v>1207</v>
      </c>
      <c r="AR795" s="103" t="s">
        <v>948</v>
      </c>
      <c r="AS795" s="271"/>
      <c r="AT795" s="271"/>
      <c r="AU795" s="271"/>
      <c r="AV795" s="271"/>
      <c r="AW795" s="271"/>
      <c r="AX795" s="271"/>
      <c r="AY795" s="271"/>
      <c r="AZ795" s="271"/>
      <c r="BA795" s="271"/>
      <c r="BB795" s="271"/>
      <c r="BC795" s="271"/>
      <c r="BD795" s="271"/>
      <c r="BE795" s="271"/>
      <c r="BF795" s="271"/>
      <c r="BG795" s="271"/>
      <c r="BH795" s="235">
        <v>0</v>
      </c>
      <c r="BI795" s="271"/>
      <c r="BJ795" s="271"/>
      <c r="BK795" s="271"/>
      <c r="BL795" s="271"/>
      <c r="BM795" s="271"/>
      <c r="BN795" s="271"/>
      <c r="BO795" s="271"/>
      <c r="BP795" s="271"/>
      <c r="BQ795" s="271"/>
      <c r="BR795" s="271"/>
      <c r="BS795" s="271"/>
      <c r="BT795" s="271"/>
      <c r="BU795" s="271"/>
      <c r="BV795" s="271"/>
      <c r="BW795" s="271"/>
      <c r="BX795" s="235">
        <v>0</v>
      </c>
      <c r="BY795" s="271"/>
      <c r="BZ795" s="271"/>
      <c r="CA795" s="271"/>
      <c r="CB795" s="271"/>
      <c r="CC795" s="271">
        <v>5000000</v>
      </c>
      <c r="CD795" s="271"/>
      <c r="CE795" s="271"/>
      <c r="CF795" s="271"/>
      <c r="CG795" s="271"/>
      <c r="CH795" s="271"/>
      <c r="CI795" s="271"/>
      <c r="CJ795" s="271"/>
      <c r="CK795" s="271"/>
      <c r="CL795" s="271"/>
      <c r="CM795" s="271"/>
      <c r="CN795" s="235">
        <v>5000000</v>
      </c>
      <c r="CO795" s="271"/>
      <c r="CP795" s="271"/>
      <c r="CQ795" s="271"/>
      <c r="CR795" s="271"/>
      <c r="CS795" s="271">
        <v>10000000</v>
      </c>
      <c r="CT795" s="271"/>
      <c r="CU795" s="271"/>
      <c r="CV795" s="271"/>
      <c r="CW795" s="271"/>
      <c r="CX795" s="271"/>
      <c r="CY795" s="271"/>
      <c r="CZ795" s="271"/>
      <c r="DA795" s="271"/>
      <c r="DB795" s="271"/>
      <c r="DC795" s="271"/>
      <c r="DD795" s="234">
        <v>10000000</v>
      </c>
      <c r="DE795" s="244">
        <v>15000000</v>
      </c>
    </row>
    <row r="796" spans="1:110" s="98" customFormat="1" ht="119.1" customHeight="1">
      <c r="A796" s="120" t="s">
        <v>1240</v>
      </c>
      <c r="B796" s="281" t="s">
        <v>3614</v>
      </c>
      <c r="C796" s="281" t="s">
        <v>1807</v>
      </c>
      <c r="D796" s="301">
        <v>69</v>
      </c>
      <c r="E796" s="302" t="s">
        <v>1808</v>
      </c>
      <c r="F796" s="282" t="s">
        <v>220</v>
      </c>
      <c r="G796" s="281" t="s">
        <v>3826</v>
      </c>
      <c r="H796" s="281">
        <v>84</v>
      </c>
      <c r="I796" s="281" t="s">
        <v>1809</v>
      </c>
      <c r="J796" s="281" t="s">
        <v>677</v>
      </c>
      <c r="K796" s="281">
        <v>13</v>
      </c>
      <c r="L796" s="281" t="s">
        <v>1810</v>
      </c>
      <c r="M796" s="281" t="s">
        <v>1813</v>
      </c>
      <c r="N796" s="281" t="s">
        <v>1814</v>
      </c>
      <c r="O796" s="281" t="s">
        <v>225</v>
      </c>
      <c r="P796" s="283">
        <v>706</v>
      </c>
      <c r="Q796" s="281" t="s">
        <v>3833</v>
      </c>
      <c r="R796" s="281" t="s">
        <v>232</v>
      </c>
      <c r="S796" s="281" t="s">
        <v>683</v>
      </c>
      <c r="T796" s="281">
        <v>0</v>
      </c>
      <c r="U796" s="275"/>
      <c r="V796" s="275">
        <v>0.2</v>
      </c>
      <c r="W796" s="225">
        <v>0.2</v>
      </c>
      <c r="X796" s="275"/>
      <c r="Y796" s="275"/>
      <c r="Z796" s="275">
        <v>0.8</v>
      </c>
      <c r="AA796" s="275">
        <v>1</v>
      </c>
      <c r="AB796" s="225">
        <v>1.8</v>
      </c>
      <c r="AC796" s="275">
        <v>1</v>
      </c>
      <c r="AD796" s="275"/>
      <c r="AE796" s="275"/>
      <c r="AF796" s="275"/>
      <c r="AG796" s="225">
        <v>1</v>
      </c>
      <c r="AH796" s="275"/>
      <c r="AI796" s="275"/>
      <c r="AJ796" s="275"/>
      <c r="AK796" s="275"/>
      <c r="AL796" s="225">
        <v>0</v>
      </c>
      <c r="AM796" s="119">
        <v>3</v>
      </c>
      <c r="AN796" s="120" t="s">
        <v>685</v>
      </c>
      <c r="AO796" s="120" t="s">
        <v>622</v>
      </c>
      <c r="AP796" s="120" t="s">
        <v>1222</v>
      </c>
      <c r="AQ796" s="120" t="s">
        <v>1207</v>
      </c>
      <c r="AR796" s="120" t="s">
        <v>948</v>
      </c>
      <c r="AS796" s="276"/>
      <c r="AT796" s="276"/>
      <c r="AU796" s="276"/>
      <c r="AV796" s="276">
        <v>200000000</v>
      </c>
      <c r="AW796" s="276"/>
      <c r="AX796" s="276"/>
      <c r="AY796" s="276"/>
      <c r="AZ796" s="276"/>
      <c r="BA796" s="276"/>
      <c r="BB796" s="276"/>
      <c r="BC796" s="276"/>
      <c r="BD796" s="276"/>
      <c r="BE796" s="276"/>
      <c r="BF796" s="276"/>
      <c r="BG796" s="276"/>
      <c r="BH796" s="236">
        <v>200000000</v>
      </c>
      <c r="BI796" s="276"/>
      <c r="BJ796" s="276"/>
      <c r="BK796" s="276"/>
      <c r="BL796" s="276"/>
      <c r="BM796" s="276">
        <v>40000000</v>
      </c>
      <c r="BN796" s="276"/>
      <c r="BO796" s="276"/>
      <c r="BP796" s="276"/>
      <c r="BQ796" s="276"/>
      <c r="BR796" s="276"/>
      <c r="BS796" s="276"/>
      <c r="BT796" s="276"/>
      <c r="BU796" s="276"/>
      <c r="BV796" s="276"/>
      <c r="BW796" s="276"/>
      <c r="BX796" s="236">
        <v>40000000</v>
      </c>
      <c r="BY796" s="276"/>
      <c r="BZ796" s="276"/>
      <c r="CA796" s="276"/>
      <c r="CB796" s="276"/>
      <c r="CC796" s="276">
        <v>5000000</v>
      </c>
      <c r="CD796" s="276"/>
      <c r="CE796" s="276"/>
      <c r="CF796" s="276"/>
      <c r="CG796" s="276"/>
      <c r="CH796" s="276"/>
      <c r="CI796" s="276"/>
      <c r="CJ796" s="276"/>
      <c r="CK796" s="276"/>
      <c r="CL796" s="276"/>
      <c r="CM796" s="276"/>
      <c r="CN796" s="236">
        <v>5000000</v>
      </c>
      <c r="CO796" s="276"/>
      <c r="CP796" s="276"/>
      <c r="CQ796" s="276"/>
      <c r="CR796" s="276"/>
      <c r="CS796" s="276"/>
      <c r="CT796" s="276"/>
      <c r="CU796" s="276"/>
      <c r="CV796" s="276"/>
      <c r="CW796" s="276"/>
      <c r="CX796" s="276"/>
      <c r="CY796" s="276"/>
      <c r="CZ796" s="276"/>
      <c r="DA796" s="276"/>
      <c r="DB796" s="276"/>
      <c r="DC796" s="276"/>
      <c r="DD796" s="240">
        <v>0</v>
      </c>
      <c r="DE796" s="245">
        <v>245000000</v>
      </c>
    </row>
    <row r="797" spans="1:110" ht="65.099999999999994" customHeight="1">
      <c r="A797" s="118" t="s">
        <v>1240</v>
      </c>
      <c r="B797" s="118" t="s">
        <v>3614</v>
      </c>
      <c r="C797" s="118" t="s">
        <v>1807</v>
      </c>
      <c r="D797" s="118">
        <v>69</v>
      </c>
      <c r="E797" s="118" t="s">
        <v>1808</v>
      </c>
      <c r="F797" s="135"/>
      <c r="G797" s="136"/>
      <c r="H797" s="137"/>
      <c r="I797" s="137"/>
      <c r="J797" s="137"/>
      <c r="K797" s="138"/>
      <c r="L797" s="137"/>
      <c r="M797" s="137"/>
      <c r="N797" s="137"/>
      <c r="O797" s="137"/>
      <c r="P797" s="137"/>
      <c r="Q797" s="136"/>
      <c r="R797" s="139"/>
      <c r="S797" s="137"/>
      <c r="T797" s="137"/>
      <c r="U797" s="140"/>
      <c r="V797" s="140"/>
      <c r="W797" s="138"/>
      <c r="X797" s="140"/>
      <c r="Y797" s="140"/>
      <c r="Z797" s="140"/>
      <c r="AA797" s="140"/>
      <c r="AB797" s="138"/>
      <c r="AC797" s="140"/>
      <c r="AD797" s="140"/>
      <c r="AE797" s="140"/>
      <c r="AF797" s="140"/>
      <c r="AG797" s="138"/>
      <c r="AH797" s="140"/>
      <c r="AI797" s="140"/>
      <c r="AJ797" s="140"/>
      <c r="AK797" s="140"/>
      <c r="AL797" s="138"/>
      <c r="AM797" s="141"/>
      <c r="AN797" s="142"/>
      <c r="AO797" s="142"/>
      <c r="AP797" s="143"/>
      <c r="AQ797" s="143"/>
      <c r="AR797" s="144"/>
      <c r="AS797" s="132">
        <f>SUM(AS790:AS796)</f>
        <v>0</v>
      </c>
      <c r="AT797" s="132">
        <f t="shared" ref="AT797:DE797" si="359">SUM(AT790:AT796)</f>
        <v>0</v>
      </c>
      <c r="AU797" s="132">
        <f t="shared" si="359"/>
        <v>0</v>
      </c>
      <c r="AV797" s="132">
        <f t="shared" si="359"/>
        <v>1000000000</v>
      </c>
      <c r="AW797" s="132">
        <f t="shared" si="359"/>
        <v>99000000</v>
      </c>
      <c r="AX797" s="132">
        <f t="shared" si="359"/>
        <v>0</v>
      </c>
      <c r="AY797" s="132">
        <f t="shared" si="359"/>
        <v>0</v>
      </c>
      <c r="AZ797" s="132">
        <f t="shared" si="359"/>
        <v>0</v>
      </c>
      <c r="BA797" s="132">
        <f t="shared" si="359"/>
        <v>0</v>
      </c>
      <c r="BB797" s="132">
        <f>SUM(BB790:BB796)</f>
        <v>0</v>
      </c>
      <c r="BC797" s="132">
        <f t="shared" si="359"/>
        <v>0</v>
      </c>
      <c r="BD797" s="132">
        <f t="shared" si="359"/>
        <v>0</v>
      </c>
      <c r="BE797" s="132">
        <f t="shared" si="359"/>
        <v>0</v>
      </c>
      <c r="BF797" s="132">
        <f t="shared" si="359"/>
        <v>0</v>
      </c>
      <c r="BG797" s="132">
        <f t="shared" si="359"/>
        <v>1648186248</v>
      </c>
      <c r="BH797" s="132">
        <f>IF(OR(AND(BH790=0,W790&lt;&gt;0),AND(BH791=0,W791&lt;&gt;0),AND(BH792=0,W792&lt;&gt;0),AND(BH793=0,W793&lt;&gt;0),AND(BH794=0,W794&lt;&gt;0),AND(BH795=0,W795&lt;&gt;0),AND(BH796=0,W796&lt;&gt;0)),"NO DEBEN QUEDAR CELDAS EN ROJO",SUM(BH790:BH796))</f>
        <v>2747186248</v>
      </c>
      <c r="BI797" s="132">
        <f t="shared" si="359"/>
        <v>0</v>
      </c>
      <c r="BJ797" s="132">
        <f t="shared" si="359"/>
        <v>0</v>
      </c>
      <c r="BK797" s="132">
        <f t="shared" si="359"/>
        <v>0</v>
      </c>
      <c r="BL797" s="132">
        <f t="shared" si="359"/>
        <v>0</v>
      </c>
      <c r="BM797" s="132">
        <f t="shared" si="359"/>
        <v>102000000</v>
      </c>
      <c r="BN797" s="132">
        <f t="shared" si="359"/>
        <v>0</v>
      </c>
      <c r="BO797" s="132">
        <f t="shared" si="359"/>
        <v>0</v>
      </c>
      <c r="BP797" s="132">
        <f t="shared" si="359"/>
        <v>0</v>
      </c>
      <c r="BQ797" s="132">
        <f t="shared" si="359"/>
        <v>0</v>
      </c>
      <c r="BR797" s="132">
        <f t="shared" si="359"/>
        <v>0</v>
      </c>
      <c r="BS797" s="132">
        <f t="shared" si="359"/>
        <v>0</v>
      </c>
      <c r="BT797" s="132">
        <f t="shared" si="359"/>
        <v>0</v>
      </c>
      <c r="BU797" s="132">
        <f t="shared" si="359"/>
        <v>0</v>
      </c>
      <c r="BV797" s="132">
        <f t="shared" si="359"/>
        <v>0</v>
      </c>
      <c r="BW797" s="132">
        <f t="shared" si="359"/>
        <v>0</v>
      </c>
      <c r="BX797" s="132">
        <f>IF(OR(AND(BX790=0,AB790&lt;&gt;0),AND(BX791=0,AB791&lt;&gt;0),AND(BX792=0,AB792&lt;&gt;0),AND(BX793=0,AB793&lt;&gt;0),AND(BX794=0,AB794&lt;&gt;0),AND(BX795=0,AB795&lt;&gt;0),AND(BX796=0,AB796&lt;&gt;0)),"NO DEBEN QUEDAR CELDAS EN ROJO",SUM(BX790:BX796))</f>
        <v>102000000</v>
      </c>
      <c r="BY797" s="132">
        <f t="shared" si="359"/>
        <v>0</v>
      </c>
      <c r="BZ797" s="132">
        <f t="shared" si="359"/>
        <v>0</v>
      </c>
      <c r="CA797" s="132">
        <f t="shared" si="359"/>
        <v>0</v>
      </c>
      <c r="CB797" s="132">
        <f t="shared" si="359"/>
        <v>0</v>
      </c>
      <c r="CC797" s="132">
        <f t="shared" si="359"/>
        <v>105000000</v>
      </c>
      <c r="CD797" s="132">
        <f t="shared" si="359"/>
        <v>0</v>
      </c>
      <c r="CE797" s="132">
        <f t="shared" si="359"/>
        <v>0</v>
      </c>
      <c r="CF797" s="132">
        <f t="shared" si="359"/>
        <v>0</v>
      </c>
      <c r="CG797" s="132">
        <f t="shared" si="359"/>
        <v>0</v>
      </c>
      <c r="CH797" s="132">
        <f t="shared" si="359"/>
        <v>0</v>
      </c>
      <c r="CI797" s="132">
        <f t="shared" si="359"/>
        <v>0</v>
      </c>
      <c r="CJ797" s="132">
        <f t="shared" si="359"/>
        <v>0</v>
      </c>
      <c r="CK797" s="132">
        <f t="shared" si="359"/>
        <v>0</v>
      </c>
      <c r="CL797" s="132">
        <f t="shared" si="359"/>
        <v>0</v>
      </c>
      <c r="CM797" s="132">
        <f t="shared" si="359"/>
        <v>0</v>
      </c>
      <c r="CN797" s="132">
        <f>IF(OR(AND(CN790=0,AG790&lt;&gt;0),AND(CN791=0,AG791&lt;&gt;0),AND(CN792=0,AG792&lt;&gt;0),AND(CN793=0,AG793&lt;&gt;0),AND(CN794=0,AG794&lt;&gt;0),AND(CN795=0,AG795&lt;&gt;0),AND(CN796=0,AG796&lt;&gt;0)),"NO DEBEN QUEDAR CELDAS EN ROJO",SUM(CN790:CN796))</f>
        <v>105000000</v>
      </c>
      <c r="CO797" s="132">
        <f t="shared" si="359"/>
        <v>0</v>
      </c>
      <c r="CP797" s="132">
        <f t="shared" si="359"/>
        <v>0</v>
      </c>
      <c r="CQ797" s="132">
        <f t="shared" si="359"/>
        <v>0</v>
      </c>
      <c r="CR797" s="132">
        <f t="shared" si="359"/>
        <v>0</v>
      </c>
      <c r="CS797" s="132">
        <f t="shared" si="359"/>
        <v>109000000</v>
      </c>
      <c r="CT797" s="132">
        <f t="shared" si="359"/>
        <v>0</v>
      </c>
      <c r="CU797" s="132">
        <f t="shared" si="359"/>
        <v>0</v>
      </c>
      <c r="CV797" s="132">
        <f t="shared" si="359"/>
        <v>0</v>
      </c>
      <c r="CW797" s="132">
        <f t="shared" si="359"/>
        <v>0</v>
      </c>
      <c r="CX797" s="132">
        <f t="shared" si="359"/>
        <v>0</v>
      </c>
      <c r="CY797" s="132">
        <f t="shared" si="359"/>
        <v>0</v>
      </c>
      <c r="CZ797" s="132">
        <f t="shared" si="359"/>
        <v>0</v>
      </c>
      <c r="DA797" s="132">
        <f t="shared" si="359"/>
        <v>0</v>
      </c>
      <c r="DB797" s="132">
        <f t="shared" si="359"/>
        <v>0</v>
      </c>
      <c r="DC797" s="132">
        <f t="shared" si="359"/>
        <v>0</v>
      </c>
      <c r="DD797" s="132">
        <f>IF(OR(AND(DD790=0,AL790&lt;&gt;0),AND(DD791=0,AL791&lt;&gt;0),AND(DD792=0,AL792&lt;&gt;0),AND(DD793=0,AL793&lt;&gt;0),AND(DD794=0,AL794&lt;&gt;0),AND(DD795=0,AL795&lt;&gt;0),AND(DD796=0,AL796&lt;&gt;0)),"NO DEBEN QUEDAR CELDAS EN ROJO",SUM(DD790:DD796))</f>
        <v>109000000</v>
      </c>
      <c r="DE797" s="132">
        <f t="shared" si="359"/>
        <v>3063186248</v>
      </c>
      <c r="DF797" s="101"/>
    </row>
    <row r="798" spans="1:110" s="98" customFormat="1" ht="119.1" customHeight="1">
      <c r="A798" s="103" t="s">
        <v>1246</v>
      </c>
      <c r="B798" s="103" t="s">
        <v>3614</v>
      </c>
      <c r="C798" s="103" t="s">
        <v>1807</v>
      </c>
      <c r="D798" s="103">
        <v>70</v>
      </c>
      <c r="E798" s="103" t="s">
        <v>1815</v>
      </c>
      <c r="F798" s="278" t="s">
        <v>1816</v>
      </c>
      <c r="G798" s="103" t="s">
        <v>3236</v>
      </c>
      <c r="H798" s="103">
        <v>85</v>
      </c>
      <c r="I798" s="103" t="s">
        <v>233</v>
      </c>
      <c r="J798" s="103" t="s">
        <v>683</v>
      </c>
      <c r="K798" s="103">
        <v>80</v>
      </c>
      <c r="L798" s="103" t="s">
        <v>1817</v>
      </c>
      <c r="M798" s="103" t="s">
        <v>1818</v>
      </c>
      <c r="N798" s="103" t="s">
        <v>1819</v>
      </c>
      <c r="O798" s="103" t="s">
        <v>1820</v>
      </c>
      <c r="P798" s="283">
        <v>707</v>
      </c>
      <c r="Q798" s="103" t="s">
        <v>2772</v>
      </c>
      <c r="R798" s="103" t="s">
        <v>234</v>
      </c>
      <c r="S798" s="103" t="s">
        <v>683</v>
      </c>
      <c r="T798" s="103">
        <v>80</v>
      </c>
      <c r="U798" s="267"/>
      <c r="V798" s="267">
        <v>1</v>
      </c>
      <c r="W798" s="224">
        <v>1</v>
      </c>
      <c r="X798" s="267"/>
      <c r="Y798" s="267"/>
      <c r="Z798" s="267"/>
      <c r="AA798" s="267">
        <v>5</v>
      </c>
      <c r="AB798" s="224">
        <v>5</v>
      </c>
      <c r="AC798" s="267"/>
      <c r="AD798" s="267"/>
      <c r="AE798" s="267"/>
      <c r="AF798" s="267">
        <v>5</v>
      </c>
      <c r="AG798" s="224">
        <v>5</v>
      </c>
      <c r="AH798" s="267"/>
      <c r="AI798" s="267"/>
      <c r="AJ798" s="267"/>
      <c r="AK798" s="267">
        <v>5</v>
      </c>
      <c r="AL798" s="224">
        <v>5</v>
      </c>
      <c r="AM798" s="102">
        <v>16</v>
      </c>
      <c r="AN798" s="103" t="s">
        <v>685</v>
      </c>
      <c r="AO798" s="103" t="s">
        <v>623</v>
      </c>
      <c r="AP798" s="103" t="s">
        <v>1215</v>
      </c>
      <c r="AQ798" s="103" t="s">
        <v>1196</v>
      </c>
      <c r="AR798" s="103" t="s">
        <v>941</v>
      </c>
      <c r="AS798" s="268"/>
      <c r="AT798" s="268"/>
      <c r="AU798" s="268"/>
      <c r="AV798" s="268"/>
      <c r="AW798" s="268">
        <v>467416925</v>
      </c>
      <c r="AX798" s="268"/>
      <c r="AY798" s="268"/>
      <c r="AZ798" s="268"/>
      <c r="BA798" s="268"/>
      <c r="BB798" s="268"/>
      <c r="BC798" s="268"/>
      <c r="BD798" s="268"/>
      <c r="BE798" s="268"/>
      <c r="BF798" s="268"/>
      <c r="BG798" s="268"/>
      <c r="BH798" s="234">
        <f>IF(W798=0,0,BG798+BF798+BE798+BD798+BC798+BB798+BA798+AZ798+AY798+AX798+AW798+AV798+AU798+AT798+AS798)</f>
        <v>467416925</v>
      </c>
      <c r="BI798" s="268"/>
      <c r="BJ798" s="268"/>
      <c r="BK798" s="268"/>
      <c r="BL798" s="268"/>
      <c r="BM798" s="268">
        <v>125261781</v>
      </c>
      <c r="BN798" s="268"/>
      <c r="BO798" s="268"/>
      <c r="BP798" s="268"/>
      <c r="BQ798" s="268"/>
      <c r="BR798" s="268"/>
      <c r="BS798" s="268"/>
      <c r="BT798" s="268"/>
      <c r="BU798" s="268"/>
      <c r="BV798" s="268"/>
      <c r="BW798" s="268"/>
      <c r="BX798" s="234">
        <f>IF(AB798=0,0,BI798+BJ798+BK798+BL798+BM798+BN798+BO798+BP798+BQ798+BR798+BS798+BT798+BU798+BV798+BW798)</f>
        <v>125261781</v>
      </c>
      <c r="BY798" s="268"/>
      <c r="BZ798" s="268"/>
      <c r="CA798" s="268"/>
      <c r="CB798" s="268"/>
      <c r="CC798" s="268">
        <v>208270704</v>
      </c>
      <c r="CD798" s="268"/>
      <c r="CE798" s="268"/>
      <c r="CF798" s="268"/>
      <c r="CG798" s="268"/>
      <c r="CH798" s="268"/>
      <c r="CI798" s="268"/>
      <c r="CJ798" s="268"/>
      <c r="CK798" s="268"/>
      <c r="CL798" s="268"/>
      <c r="CM798" s="268"/>
      <c r="CN798" s="234">
        <f>IF(AG798=0,0,(BY798+BZ798+CA798+CB798+CC798+CD798+CE798+CF798+CG798+CH798+CI798+CJ798+CK798+CL798+CM798))</f>
        <v>208270704</v>
      </c>
      <c r="CO798" s="268"/>
      <c r="CP798" s="268"/>
      <c r="CQ798" s="268"/>
      <c r="CR798" s="268"/>
      <c r="CS798" s="268">
        <v>228601532</v>
      </c>
      <c r="CT798" s="268"/>
      <c r="CU798" s="268"/>
      <c r="CV798" s="268"/>
      <c r="CW798" s="268"/>
      <c r="CX798" s="268"/>
      <c r="CY798" s="268"/>
      <c r="CZ798" s="268"/>
      <c r="DA798" s="268"/>
      <c r="DB798" s="268"/>
      <c r="DC798" s="268"/>
      <c r="DD798" s="234">
        <f>IF(AL798=0,0,(CO798+CP798+CQ798+CR798+CS798+CT798+CU798+CV798+CW798+CX798+CY798+CZ798+DA798+DB798+DC798))</f>
        <v>228601532</v>
      </c>
      <c r="DE798" s="243">
        <f t="shared" ref="DE798:DE800" si="360">SUM(DD798+CN798+BX798+BH798)</f>
        <v>1029550942</v>
      </c>
    </row>
    <row r="799" spans="1:110" s="98" customFormat="1" ht="119.1" customHeight="1">
      <c r="A799" s="103" t="s">
        <v>1246</v>
      </c>
      <c r="B799" s="279" t="s">
        <v>3614</v>
      </c>
      <c r="C799" s="279" t="s">
        <v>1807</v>
      </c>
      <c r="D799" s="279">
        <v>70</v>
      </c>
      <c r="E799" s="279" t="s">
        <v>1815</v>
      </c>
      <c r="F799" s="280" t="s">
        <v>1816</v>
      </c>
      <c r="G799" s="279" t="s">
        <v>3236</v>
      </c>
      <c r="H799" s="279">
        <v>85</v>
      </c>
      <c r="I799" s="279" t="s">
        <v>233</v>
      </c>
      <c r="J799" s="279" t="s">
        <v>683</v>
      </c>
      <c r="K799" s="279">
        <v>80</v>
      </c>
      <c r="L799" s="279" t="s">
        <v>1817</v>
      </c>
      <c r="M799" s="279" t="s">
        <v>1818</v>
      </c>
      <c r="N799" s="279" t="s">
        <v>1819</v>
      </c>
      <c r="O799" s="279" t="s">
        <v>1820</v>
      </c>
      <c r="P799" s="283">
        <v>708</v>
      </c>
      <c r="Q799" s="279" t="s">
        <v>3625</v>
      </c>
      <c r="R799" s="279" t="s">
        <v>235</v>
      </c>
      <c r="S799" s="279" t="s">
        <v>683</v>
      </c>
      <c r="T799" s="279">
        <v>0</v>
      </c>
      <c r="U799" s="267"/>
      <c r="V799" s="267"/>
      <c r="W799" s="224">
        <v>0</v>
      </c>
      <c r="X799" s="267"/>
      <c r="Y799" s="267"/>
      <c r="Z799" s="267"/>
      <c r="AA799" s="267">
        <v>1</v>
      </c>
      <c r="AB799" s="224">
        <v>1</v>
      </c>
      <c r="AC799" s="267"/>
      <c r="AD799" s="267"/>
      <c r="AE799" s="267"/>
      <c r="AF799" s="267">
        <v>1</v>
      </c>
      <c r="AG799" s="224">
        <v>1</v>
      </c>
      <c r="AH799" s="267"/>
      <c r="AI799" s="267"/>
      <c r="AJ799" s="267"/>
      <c r="AK799" s="267">
        <v>1</v>
      </c>
      <c r="AL799" s="224">
        <v>1</v>
      </c>
      <c r="AM799" s="104">
        <v>3</v>
      </c>
      <c r="AN799" s="103" t="s">
        <v>685</v>
      </c>
      <c r="AO799" s="103" t="s">
        <v>623</v>
      </c>
      <c r="AP799" s="103" t="s">
        <v>1215</v>
      </c>
      <c r="AQ799" s="103" t="s">
        <v>1196</v>
      </c>
      <c r="AR799" s="103" t="s">
        <v>941</v>
      </c>
      <c r="AS799" s="271"/>
      <c r="AT799" s="271"/>
      <c r="AU799" s="271"/>
      <c r="AV799" s="271"/>
      <c r="AW799" s="271"/>
      <c r="AX799" s="271"/>
      <c r="AY799" s="271"/>
      <c r="AZ799" s="271"/>
      <c r="BA799" s="271"/>
      <c r="BB799" s="271"/>
      <c r="BC799" s="271"/>
      <c r="BD799" s="271"/>
      <c r="BE799" s="271"/>
      <c r="BF799" s="271"/>
      <c r="BG799" s="271"/>
      <c r="BH799" s="235">
        <f>IF(W799=0,0,BG799+BF799+BE799+BD799+BC799+BB799+BA799+AZ799+AY799+AX799+AW799+AV799+AU799+AT799+AS799)</f>
        <v>0</v>
      </c>
      <c r="BI799" s="271"/>
      <c r="BJ799" s="271"/>
      <c r="BK799" s="271"/>
      <c r="BL799" s="271"/>
      <c r="BM799" s="271">
        <v>300000000</v>
      </c>
      <c r="BN799" s="271"/>
      <c r="BO799" s="271"/>
      <c r="BP799" s="271"/>
      <c r="BQ799" s="271"/>
      <c r="BR799" s="271"/>
      <c r="BS799" s="271"/>
      <c r="BT799" s="271"/>
      <c r="BU799" s="271"/>
      <c r="BV799" s="271"/>
      <c r="BW799" s="271"/>
      <c r="BX799" s="235">
        <f>IF(AB799=0,0,BI799+BJ799+BK799+BL799+BM799+BN799+BO799+BP799+BQ799+BR799+BS799+BT799+BU799+BV799+BW799)</f>
        <v>300000000</v>
      </c>
      <c r="BY799" s="271"/>
      <c r="BZ799" s="271"/>
      <c r="CA799" s="271"/>
      <c r="CB799" s="271"/>
      <c r="CC799" s="271">
        <v>300000000</v>
      </c>
      <c r="CD799" s="271"/>
      <c r="CE799" s="271"/>
      <c r="CF799" s="271"/>
      <c r="CG799" s="271"/>
      <c r="CH799" s="271"/>
      <c r="CI799" s="271"/>
      <c r="CJ799" s="271"/>
      <c r="CK799" s="271"/>
      <c r="CL799" s="271"/>
      <c r="CM799" s="271"/>
      <c r="CN799" s="235">
        <f>IF(AG799=0,0,(BY799+BZ799+CA799+CB799+CC799+CD799+CE799+CF799+CG799+CH799+CI799+CJ799+CK799+CL799+CM799))</f>
        <v>300000000</v>
      </c>
      <c r="CO799" s="271"/>
      <c r="CP799" s="271"/>
      <c r="CQ799" s="271"/>
      <c r="CR799" s="271"/>
      <c r="CS799" s="271">
        <v>300000000</v>
      </c>
      <c r="CT799" s="271"/>
      <c r="CU799" s="271"/>
      <c r="CV799" s="271"/>
      <c r="CW799" s="271"/>
      <c r="CX799" s="271"/>
      <c r="CY799" s="271"/>
      <c r="CZ799" s="271"/>
      <c r="DA799" s="271"/>
      <c r="DB799" s="271"/>
      <c r="DC799" s="271"/>
      <c r="DD799" s="234">
        <f>IF(AL799=0,0,(CO799+CP799+CQ799+CR799+CS799+CT799+CU799+CV799+CW799+CX799+CY799+CZ799+DA799+DB799+DC799))</f>
        <v>300000000</v>
      </c>
      <c r="DE799" s="244">
        <f t="shared" si="360"/>
        <v>900000000</v>
      </c>
    </row>
    <row r="800" spans="1:110" s="98" customFormat="1" ht="119.1" customHeight="1">
      <c r="A800" s="120" t="s">
        <v>1246</v>
      </c>
      <c r="B800" s="281" t="s">
        <v>3614</v>
      </c>
      <c r="C800" s="281" t="s">
        <v>1807</v>
      </c>
      <c r="D800" s="281">
        <v>70</v>
      </c>
      <c r="E800" s="281" t="s">
        <v>1815</v>
      </c>
      <c r="F800" s="282" t="s">
        <v>1816</v>
      </c>
      <c r="G800" s="281" t="s">
        <v>3236</v>
      </c>
      <c r="H800" s="281">
        <v>85</v>
      </c>
      <c r="I800" s="281" t="s">
        <v>233</v>
      </c>
      <c r="J800" s="281" t="s">
        <v>683</v>
      </c>
      <c r="K800" s="281">
        <v>80</v>
      </c>
      <c r="L800" s="281" t="s">
        <v>1817</v>
      </c>
      <c r="M800" s="281" t="s">
        <v>1818</v>
      </c>
      <c r="N800" s="281" t="s">
        <v>1819</v>
      </c>
      <c r="O800" s="281" t="s">
        <v>1820</v>
      </c>
      <c r="P800" s="283">
        <v>709</v>
      </c>
      <c r="Q800" s="281" t="s">
        <v>2773</v>
      </c>
      <c r="R800" s="281" t="s">
        <v>236</v>
      </c>
      <c r="S800" s="281" t="s">
        <v>683</v>
      </c>
      <c r="T800" s="281">
        <v>0</v>
      </c>
      <c r="U800" s="275"/>
      <c r="V800" s="275"/>
      <c r="W800" s="225">
        <v>0</v>
      </c>
      <c r="X800" s="275"/>
      <c r="Y800" s="275"/>
      <c r="Z800" s="275"/>
      <c r="AA800" s="275">
        <v>5</v>
      </c>
      <c r="AB800" s="225">
        <v>5</v>
      </c>
      <c r="AC800" s="275"/>
      <c r="AD800" s="275"/>
      <c r="AE800" s="275"/>
      <c r="AF800" s="275"/>
      <c r="AG800" s="225">
        <v>0</v>
      </c>
      <c r="AH800" s="275"/>
      <c r="AI800" s="275"/>
      <c r="AJ800" s="275"/>
      <c r="AK800" s="275"/>
      <c r="AL800" s="225">
        <v>0</v>
      </c>
      <c r="AM800" s="119">
        <v>5</v>
      </c>
      <c r="AN800" s="120" t="s">
        <v>685</v>
      </c>
      <c r="AO800" s="120" t="s">
        <v>623</v>
      </c>
      <c r="AP800" s="120" t="s">
        <v>1215</v>
      </c>
      <c r="AQ800" s="120" t="s">
        <v>1196</v>
      </c>
      <c r="AR800" s="120" t="s">
        <v>941</v>
      </c>
      <c r="AS800" s="276"/>
      <c r="AT800" s="276"/>
      <c r="AU800" s="276"/>
      <c r="AV800" s="276"/>
      <c r="AW800" s="276"/>
      <c r="AX800" s="276"/>
      <c r="AY800" s="276"/>
      <c r="AZ800" s="276"/>
      <c r="BA800" s="276"/>
      <c r="BB800" s="276"/>
      <c r="BC800" s="276"/>
      <c r="BD800" s="276"/>
      <c r="BE800" s="276"/>
      <c r="BF800" s="276"/>
      <c r="BG800" s="276"/>
      <c r="BH800" s="236">
        <f>IF(W800=0,0,BG800+BF800+BE800+BD800+BC800+BB800+BA800+AZ800+AY800+AX800+AW800+AV800+AU800+AT800+AS800)</f>
        <v>0</v>
      </c>
      <c r="BI800" s="276"/>
      <c r="BJ800" s="276"/>
      <c r="BK800" s="276"/>
      <c r="BL800" s="276"/>
      <c r="BM800" s="276">
        <v>100000000</v>
      </c>
      <c r="BN800" s="276"/>
      <c r="BO800" s="276"/>
      <c r="BP800" s="276"/>
      <c r="BQ800" s="276"/>
      <c r="BR800" s="276"/>
      <c r="BS800" s="276"/>
      <c r="BT800" s="276"/>
      <c r="BU800" s="276"/>
      <c r="BV800" s="276"/>
      <c r="BW800" s="276"/>
      <c r="BX800" s="236">
        <f>IF(AB800=0,0,BI800+BJ800+BK800+BL800+BM800+BN800+BO800+BP800+BQ800+BR800+BS800+BT800+BU800+BV800+BW800)</f>
        <v>100000000</v>
      </c>
      <c r="BY800" s="276"/>
      <c r="BZ800" s="276"/>
      <c r="CA800" s="276"/>
      <c r="CB800" s="276"/>
      <c r="CC800" s="276"/>
      <c r="CD800" s="276"/>
      <c r="CE800" s="276"/>
      <c r="CF800" s="276"/>
      <c r="CG800" s="276"/>
      <c r="CH800" s="276"/>
      <c r="CI800" s="276"/>
      <c r="CJ800" s="276"/>
      <c r="CK800" s="276"/>
      <c r="CL800" s="276"/>
      <c r="CM800" s="276"/>
      <c r="CN800" s="236">
        <f>IF(AG800=0,0,(BY800+BZ800+CA800+CB800+CC800+CD800+CE800+CF800+CG800+CH800+CI800+CJ800+CK800+CL800+CM800))</f>
        <v>0</v>
      </c>
      <c r="CO800" s="276"/>
      <c r="CP800" s="276"/>
      <c r="CQ800" s="276"/>
      <c r="CR800" s="276"/>
      <c r="CS800" s="276"/>
      <c r="CT800" s="276"/>
      <c r="CU800" s="276"/>
      <c r="CV800" s="276"/>
      <c r="CW800" s="276"/>
      <c r="CX800" s="276"/>
      <c r="CY800" s="276"/>
      <c r="CZ800" s="276"/>
      <c r="DA800" s="276"/>
      <c r="DB800" s="276"/>
      <c r="DC800" s="276"/>
      <c r="DD800" s="240">
        <f>IF(AL800=0,0,(CO800+CP800+CQ800+CR800+CS800+CT800+CU800+CV800+CW800+CX800+CY800+CZ800+DA800+DB800+DC800))</f>
        <v>0</v>
      </c>
      <c r="DE800" s="245">
        <f t="shared" si="360"/>
        <v>100000000</v>
      </c>
    </row>
    <row r="801" spans="1:110" ht="65.099999999999994" customHeight="1">
      <c r="A801" s="134" t="s">
        <v>1246</v>
      </c>
      <c r="B801" s="134" t="s">
        <v>3614</v>
      </c>
      <c r="C801" s="134" t="s">
        <v>1807</v>
      </c>
      <c r="D801" s="134">
        <v>70</v>
      </c>
      <c r="E801" s="134" t="s">
        <v>1815</v>
      </c>
      <c r="F801" s="135"/>
      <c r="G801" s="136"/>
      <c r="H801" s="137"/>
      <c r="I801" s="137"/>
      <c r="J801" s="137"/>
      <c r="K801" s="138"/>
      <c r="L801" s="137"/>
      <c r="M801" s="137"/>
      <c r="N801" s="137"/>
      <c r="O801" s="137"/>
      <c r="P801" s="137"/>
      <c r="Q801" s="136"/>
      <c r="R801" s="139"/>
      <c r="S801" s="137"/>
      <c r="T801" s="137"/>
      <c r="U801" s="140"/>
      <c r="V801" s="140"/>
      <c r="W801" s="138"/>
      <c r="X801" s="140"/>
      <c r="Y801" s="140"/>
      <c r="Z801" s="140"/>
      <c r="AA801" s="140"/>
      <c r="AB801" s="138"/>
      <c r="AC801" s="140"/>
      <c r="AD801" s="140"/>
      <c r="AE801" s="140"/>
      <c r="AF801" s="140"/>
      <c r="AG801" s="138"/>
      <c r="AH801" s="140"/>
      <c r="AI801" s="140"/>
      <c r="AJ801" s="140"/>
      <c r="AK801" s="140"/>
      <c r="AL801" s="138"/>
      <c r="AM801" s="141"/>
      <c r="AN801" s="142"/>
      <c r="AO801" s="142"/>
      <c r="AP801" s="143"/>
      <c r="AQ801" s="143"/>
      <c r="AR801" s="144"/>
      <c r="AS801" s="132">
        <f t="shared" ref="AS801:BG801" si="361">SUM(AS798:AS800)</f>
        <v>0</v>
      </c>
      <c r="AT801" s="132">
        <f t="shared" si="361"/>
        <v>0</v>
      </c>
      <c r="AU801" s="132">
        <f t="shared" si="361"/>
        <v>0</v>
      </c>
      <c r="AV801" s="132">
        <f t="shared" si="361"/>
        <v>0</v>
      </c>
      <c r="AW801" s="132">
        <f t="shared" si="361"/>
        <v>467416925</v>
      </c>
      <c r="AX801" s="132">
        <f t="shared" si="361"/>
        <v>0</v>
      </c>
      <c r="AY801" s="132">
        <f t="shared" si="361"/>
        <v>0</v>
      </c>
      <c r="AZ801" s="132">
        <f t="shared" si="361"/>
        <v>0</v>
      </c>
      <c r="BA801" s="132">
        <f t="shared" si="361"/>
        <v>0</v>
      </c>
      <c r="BB801" s="132">
        <f t="shared" si="361"/>
        <v>0</v>
      </c>
      <c r="BC801" s="132">
        <f t="shared" si="361"/>
        <v>0</v>
      </c>
      <c r="BD801" s="132">
        <f t="shared" si="361"/>
        <v>0</v>
      </c>
      <c r="BE801" s="132">
        <f t="shared" si="361"/>
        <v>0</v>
      </c>
      <c r="BF801" s="132">
        <f t="shared" si="361"/>
        <v>0</v>
      </c>
      <c r="BG801" s="132">
        <f t="shared" si="361"/>
        <v>0</v>
      </c>
      <c r="BH801" s="133">
        <f>IF(OR(AND(BH798=0,W798&lt;&gt;0),AND(BH799=0,W799&lt;&gt;0),AND(BH800=0,W800&lt;&gt;0)),"NO DEBEN QUEDAR CELDAS EN ROJO",SUM(BH798:BH800))</f>
        <v>467416925</v>
      </c>
      <c r="BI801" s="132">
        <f t="shared" ref="BI801:BW801" si="362">SUM(BI798:BI800)</f>
        <v>0</v>
      </c>
      <c r="BJ801" s="132">
        <f t="shared" si="362"/>
        <v>0</v>
      </c>
      <c r="BK801" s="132">
        <f t="shared" si="362"/>
        <v>0</v>
      </c>
      <c r="BL801" s="132">
        <f t="shared" si="362"/>
        <v>0</v>
      </c>
      <c r="BM801" s="132">
        <f t="shared" si="362"/>
        <v>525261781</v>
      </c>
      <c r="BN801" s="132">
        <f t="shared" si="362"/>
        <v>0</v>
      </c>
      <c r="BO801" s="132">
        <f t="shared" si="362"/>
        <v>0</v>
      </c>
      <c r="BP801" s="132">
        <f t="shared" si="362"/>
        <v>0</v>
      </c>
      <c r="BQ801" s="132">
        <f t="shared" si="362"/>
        <v>0</v>
      </c>
      <c r="BR801" s="132">
        <f t="shared" si="362"/>
        <v>0</v>
      </c>
      <c r="BS801" s="132">
        <f t="shared" si="362"/>
        <v>0</v>
      </c>
      <c r="BT801" s="132">
        <f t="shared" si="362"/>
        <v>0</v>
      </c>
      <c r="BU801" s="132">
        <f t="shared" si="362"/>
        <v>0</v>
      </c>
      <c r="BV801" s="132">
        <f t="shared" si="362"/>
        <v>0</v>
      </c>
      <c r="BW801" s="132">
        <f t="shared" si="362"/>
        <v>0</v>
      </c>
      <c r="BX801" s="133">
        <f>IF(OR(AND(BX798=0,AB798&lt;&gt;0),AND(BX799=0,AB799&lt;&gt;0),AND(BX800=0,AB800&lt;&gt;0)),"NO DEBEN QUEDAR CELDAS EN ROJO",SUM(BX798:BX800))</f>
        <v>525261781</v>
      </c>
      <c r="BY801" s="132">
        <f t="shared" ref="BY801:CM801" si="363">SUM(BY798:BY800)</f>
        <v>0</v>
      </c>
      <c r="BZ801" s="132">
        <f t="shared" si="363"/>
        <v>0</v>
      </c>
      <c r="CA801" s="132">
        <f t="shared" si="363"/>
        <v>0</v>
      </c>
      <c r="CB801" s="132">
        <f t="shared" si="363"/>
        <v>0</v>
      </c>
      <c r="CC801" s="132">
        <f t="shared" si="363"/>
        <v>508270704</v>
      </c>
      <c r="CD801" s="132">
        <f t="shared" si="363"/>
        <v>0</v>
      </c>
      <c r="CE801" s="132">
        <f t="shared" si="363"/>
        <v>0</v>
      </c>
      <c r="CF801" s="132">
        <f t="shared" si="363"/>
        <v>0</v>
      </c>
      <c r="CG801" s="132">
        <f t="shared" si="363"/>
        <v>0</v>
      </c>
      <c r="CH801" s="132">
        <f t="shared" si="363"/>
        <v>0</v>
      </c>
      <c r="CI801" s="132">
        <f t="shared" si="363"/>
        <v>0</v>
      </c>
      <c r="CJ801" s="132">
        <f t="shared" si="363"/>
        <v>0</v>
      </c>
      <c r="CK801" s="132">
        <f t="shared" si="363"/>
        <v>0</v>
      </c>
      <c r="CL801" s="132">
        <f t="shared" si="363"/>
        <v>0</v>
      </c>
      <c r="CM801" s="132">
        <f t="shared" si="363"/>
        <v>0</v>
      </c>
      <c r="CN801" s="133">
        <f>IF(OR(AND(CN798=0,AG798&lt;&gt;0),AND(CN799=0,AG799&lt;&gt;0),AND(CN800=0,AG800&lt;&gt;0)),"NO DEBEN QUEDAR CELDAS EN ROJO",SUM(CN798:CN800))</f>
        <v>508270704</v>
      </c>
      <c r="CO801" s="132">
        <f t="shared" ref="CO801:DC801" si="364">SUM(CO798:CO800)</f>
        <v>0</v>
      </c>
      <c r="CP801" s="132">
        <f t="shared" si="364"/>
        <v>0</v>
      </c>
      <c r="CQ801" s="132">
        <f t="shared" si="364"/>
        <v>0</v>
      </c>
      <c r="CR801" s="132">
        <f t="shared" si="364"/>
        <v>0</v>
      </c>
      <c r="CS801" s="132">
        <f t="shared" si="364"/>
        <v>528601532</v>
      </c>
      <c r="CT801" s="132">
        <f t="shared" si="364"/>
        <v>0</v>
      </c>
      <c r="CU801" s="132">
        <f t="shared" si="364"/>
        <v>0</v>
      </c>
      <c r="CV801" s="132">
        <f t="shared" si="364"/>
        <v>0</v>
      </c>
      <c r="CW801" s="132">
        <f t="shared" si="364"/>
        <v>0</v>
      </c>
      <c r="CX801" s="132">
        <f t="shared" si="364"/>
        <v>0</v>
      </c>
      <c r="CY801" s="132">
        <f t="shared" si="364"/>
        <v>0</v>
      </c>
      <c r="CZ801" s="132">
        <f t="shared" si="364"/>
        <v>0</v>
      </c>
      <c r="DA801" s="132">
        <f t="shared" si="364"/>
        <v>0</v>
      </c>
      <c r="DB801" s="132">
        <f t="shared" si="364"/>
        <v>0</v>
      </c>
      <c r="DC801" s="132">
        <f t="shared" si="364"/>
        <v>0</v>
      </c>
      <c r="DD801" s="133">
        <f>IF(OR(AND(DD798=0,AL798&lt;&gt;0),AND(DD799=0,AL799&lt;&gt;0),AND(DD800=0,AL800&lt;&gt;0)),"NO DEBEN QUEDAR CELDAS EN ROJO",SUM(DD798:DD800))</f>
        <v>528601532</v>
      </c>
      <c r="DE801" s="133">
        <f>SUM(DE798:DE800)</f>
        <v>2029550942</v>
      </c>
      <c r="DF801" s="101"/>
    </row>
    <row r="802" spans="1:110" s="99" customFormat="1" ht="119.1" customHeight="1">
      <c r="A802" s="103" t="s">
        <v>1247</v>
      </c>
      <c r="B802" s="103" t="s">
        <v>3614</v>
      </c>
      <c r="C802" s="103" t="s">
        <v>1807</v>
      </c>
      <c r="D802" s="103">
        <v>71</v>
      </c>
      <c r="E802" s="103" t="s">
        <v>1821</v>
      </c>
      <c r="F802" s="278" t="s">
        <v>237</v>
      </c>
      <c r="G802" s="103" t="s">
        <v>3626</v>
      </c>
      <c r="H802" s="103">
        <v>86</v>
      </c>
      <c r="I802" s="103" t="s">
        <v>1822</v>
      </c>
      <c r="J802" s="103" t="s">
        <v>683</v>
      </c>
      <c r="K802" s="103">
        <v>123</v>
      </c>
      <c r="L802" s="103">
        <v>123</v>
      </c>
      <c r="M802" s="103" t="s">
        <v>1823</v>
      </c>
      <c r="N802" s="103" t="s">
        <v>1824</v>
      </c>
      <c r="O802" s="103" t="s">
        <v>238</v>
      </c>
      <c r="P802" s="283">
        <v>710</v>
      </c>
      <c r="Q802" s="103" t="s">
        <v>3627</v>
      </c>
      <c r="R802" s="103" t="s">
        <v>239</v>
      </c>
      <c r="S802" s="103" t="s">
        <v>683</v>
      </c>
      <c r="T802" s="103">
        <v>475</v>
      </c>
      <c r="U802" s="267">
        <v>65</v>
      </c>
      <c r="V802" s="267">
        <v>35</v>
      </c>
      <c r="W802" s="224">
        <v>100</v>
      </c>
      <c r="X802" s="267">
        <v>25</v>
      </c>
      <c r="Y802" s="267">
        <v>27</v>
      </c>
      <c r="Z802" s="267">
        <v>30</v>
      </c>
      <c r="AA802" s="267">
        <v>27</v>
      </c>
      <c r="AB802" s="224">
        <v>109</v>
      </c>
      <c r="AC802" s="267">
        <v>20</v>
      </c>
      <c r="AD802" s="267">
        <v>24</v>
      </c>
      <c r="AE802" s="267">
        <v>34</v>
      </c>
      <c r="AF802" s="267">
        <v>30</v>
      </c>
      <c r="AG802" s="224">
        <v>108</v>
      </c>
      <c r="AH802" s="267">
        <v>20</v>
      </c>
      <c r="AI802" s="267">
        <v>24</v>
      </c>
      <c r="AJ802" s="267">
        <v>34</v>
      </c>
      <c r="AK802" s="267">
        <v>30</v>
      </c>
      <c r="AL802" s="224">
        <v>108</v>
      </c>
      <c r="AM802" s="102">
        <v>425</v>
      </c>
      <c r="AN802" s="103" t="s">
        <v>685</v>
      </c>
      <c r="AO802" s="103" t="s">
        <v>624</v>
      </c>
      <c r="AP802" s="103" t="s">
        <v>1224</v>
      </c>
      <c r="AQ802" s="103" t="s">
        <v>1192</v>
      </c>
      <c r="AR802" s="103" t="s">
        <v>946</v>
      </c>
      <c r="AS802" s="268"/>
      <c r="AT802" s="268"/>
      <c r="AU802" s="268"/>
      <c r="AV802" s="268"/>
      <c r="AW802" s="268">
        <v>287351900</v>
      </c>
      <c r="AX802" s="268"/>
      <c r="AY802" s="268"/>
      <c r="AZ802" s="268"/>
      <c r="BA802" s="268"/>
      <c r="BB802" s="268"/>
      <c r="BC802" s="268"/>
      <c r="BD802" s="268"/>
      <c r="BE802" s="268"/>
      <c r="BF802" s="268"/>
      <c r="BG802" s="268"/>
      <c r="BH802" s="234">
        <f t="shared" ref="BH802:BH822" si="365">IF(W802=0,0,BG802+BF802+BE802+BD802+BC802+BB802+BA802+AZ802+AY802+AX802+AW802+AV802+AU802+AT802+AS802)</f>
        <v>287351900</v>
      </c>
      <c r="BI802" s="268"/>
      <c r="BJ802" s="268"/>
      <c r="BK802" s="268"/>
      <c r="BL802" s="268"/>
      <c r="BM802" s="268">
        <v>344404314</v>
      </c>
      <c r="BN802" s="268"/>
      <c r="BO802" s="268"/>
      <c r="BP802" s="268"/>
      <c r="BQ802" s="268"/>
      <c r="BR802" s="268"/>
      <c r="BS802" s="268"/>
      <c r="BT802" s="268"/>
      <c r="BU802" s="268"/>
      <c r="BV802" s="268"/>
      <c r="BW802" s="268"/>
      <c r="BX802" s="234">
        <f t="shared" ref="BX802:BX822" si="366">IF(AB802=0,0,BI802+BJ802+BK802+BL802+BM802+BN802+BO802+BP802+BQ802+BR802+BS802+BT802+BU802+BV802+BW802)</f>
        <v>344404314</v>
      </c>
      <c r="BY802" s="268"/>
      <c r="BZ802" s="268"/>
      <c r="CA802" s="268"/>
      <c r="CB802" s="268"/>
      <c r="CC802" s="268">
        <v>332565415</v>
      </c>
      <c r="CD802" s="268"/>
      <c r="CE802" s="268"/>
      <c r="CF802" s="268"/>
      <c r="CG802" s="268"/>
      <c r="CH802" s="268"/>
      <c r="CI802" s="268"/>
      <c r="CJ802" s="268"/>
      <c r="CK802" s="268"/>
      <c r="CL802" s="268"/>
      <c r="CM802" s="268"/>
      <c r="CN802" s="234">
        <f t="shared" ref="CN802:CN822" si="367">IF(AG802=0,0,(BY802+BZ802+CA802+CB802+CC802+CD802+CE802+CF802+CG802+CH802+CI802+CJ802+CK802+CL802+CM802))</f>
        <v>332565415</v>
      </c>
      <c r="CO802" s="268"/>
      <c r="CP802" s="268"/>
      <c r="CQ802" s="268"/>
      <c r="CR802" s="268"/>
      <c r="CS802" s="268">
        <v>393923734</v>
      </c>
      <c r="CT802" s="268"/>
      <c r="CU802" s="268"/>
      <c r="CV802" s="268"/>
      <c r="CW802" s="268"/>
      <c r="CX802" s="268"/>
      <c r="CY802" s="268"/>
      <c r="CZ802" s="268"/>
      <c r="DA802" s="268"/>
      <c r="DB802" s="268"/>
      <c r="DC802" s="268"/>
      <c r="DD802" s="234">
        <f t="shared" ref="DD802:DD822" si="368">IF(AL802=0,0,(CO802+CP802+CQ802+CR802+CS802+CT802+CU802+CV802+CW802+CX802+CY802+CZ802+DA802+DB802+DC802))</f>
        <v>393923734</v>
      </c>
      <c r="DE802" s="243">
        <f t="shared" ref="DE802:DE820" si="369">SUM(DD802+CN802+BX802+BH802)</f>
        <v>1358245363</v>
      </c>
    </row>
    <row r="803" spans="1:110" s="99" customFormat="1" ht="119.1" customHeight="1">
      <c r="A803" s="103" t="s">
        <v>1247</v>
      </c>
      <c r="B803" s="279" t="s">
        <v>3614</v>
      </c>
      <c r="C803" s="279" t="s">
        <v>1807</v>
      </c>
      <c r="D803" s="279">
        <v>71</v>
      </c>
      <c r="E803" s="279" t="s">
        <v>1821</v>
      </c>
      <c r="F803" s="280" t="s">
        <v>237</v>
      </c>
      <c r="G803" s="279" t="s">
        <v>3626</v>
      </c>
      <c r="H803" s="279">
        <v>86</v>
      </c>
      <c r="I803" s="279" t="s">
        <v>1822</v>
      </c>
      <c r="J803" s="279" t="s">
        <v>683</v>
      </c>
      <c r="K803" s="279">
        <v>123</v>
      </c>
      <c r="L803" s="279">
        <v>123</v>
      </c>
      <c r="M803" s="279" t="s">
        <v>1823</v>
      </c>
      <c r="N803" s="279" t="s">
        <v>1824</v>
      </c>
      <c r="O803" s="279" t="s">
        <v>238</v>
      </c>
      <c r="P803" s="283">
        <v>711</v>
      </c>
      <c r="Q803" s="279" t="s">
        <v>3190</v>
      </c>
      <c r="R803" s="279" t="s">
        <v>1825</v>
      </c>
      <c r="S803" s="279" t="s">
        <v>683</v>
      </c>
      <c r="T803" s="279">
        <v>2</v>
      </c>
      <c r="U803" s="267"/>
      <c r="V803" s="267">
        <v>1</v>
      </c>
      <c r="W803" s="224">
        <v>1</v>
      </c>
      <c r="X803" s="267"/>
      <c r="Y803" s="267">
        <v>1</v>
      </c>
      <c r="Z803" s="267"/>
      <c r="AA803" s="267"/>
      <c r="AB803" s="224">
        <v>1</v>
      </c>
      <c r="AC803" s="267"/>
      <c r="AD803" s="267"/>
      <c r="AE803" s="267">
        <v>1</v>
      </c>
      <c r="AF803" s="267"/>
      <c r="AG803" s="224">
        <v>1</v>
      </c>
      <c r="AH803" s="267"/>
      <c r="AI803" s="267">
        <v>1</v>
      </c>
      <c r="AJ803" s="267"/>
      <c r="AK803" s="267"/>
      <c r="AL803" s="224">
        <v>1</v>
      </c>
      <c r="AM803" s="104">
        <v>4</v>
      </c>
      <c r="AN803" s="103" t="s">
        <v>685</v>
      </c>
      <c r="AO803" s="103" t="s">
        <v>624</v>
      </c>
      <c r="AP803" s="103" t="s">
        <v>1224</v>
      </c>
      <c r="AQ803" s="103" t="s">
        <v>1192</v>
      </c>
      <c r="AR803" s="103" t="s">
        <v>946</v>
      </c>
      <c r="AS803" s="271"/>
      <c r="AT803" s="271"/>
      <c r="AU803" s="271"/>
      <c r="AV803" s="271"/>
      <c r="AW803" s="271">
        <v>31347480</v>
      </c>
      <c r="AX803" s="271"/>
      <c r="AY803" s="271"/>
      <c r="AZ803" s="271"/>
      <c r="BA803" s="271"/>
      <c r="BB803" s="271"/>
      <c r="BC803" s="271"/>
      <c r="BD803" s="271"/>
      <c r="BE803" s="271"/>
      <c r="BF803" s="271"/>
      <c r="BG803" s="271"/>
      <c r="BH803" s="235">
        <f t="shared" si="365"/>
        <v>31347480</v>
      </c>
      <c r="BI803" s="271"/>
      <c r="BJ803" s="271"/>
      <c r="BK803" s="271"/>
      <c r="BL803" s="271"/>
      <c r="BM803" s="271">
        <v>32287904</v>
      </c>
      <c r="BN803" s="271"/>
      <c r="BO803" s="271"/>
      <c r="BP803" s="271"/>
      <c r="BQ803" s="271"/>
      <c r="BR803" s="271"/>
      <c r="BS803" s="271"/>
      <c r="BT803" s="271"/>
      <c r="BU803" s="271"/>
      <c r="BV803" s="271"/>
      <c r="BW803" s="271"/>
      <c r="BX803" s="235">
        <f t="shared" si="366"/>
        <v>32287904</v>
      </c>
      <c r="BY803" s="271"/>
      <c r="BZ803" s="271"/>
      <c r="CA803" s="271"/>
      <c r="CB803" s="271"/>
      <c r="CC803" s="271">
        <v>33256542</v>
      </c>
      <c r="CD803" s="271"/>
      <c r="CE803" s="271"/>
      <c r="CF803" s="271"/>
      <c r="CG803" s="271"/>
      <c r="CH803" s="271"/>
      <c r="CI803" s="271"/>
      <c r="CJ803" s="271"/>
      <c r="CK803" s="271"/>
      <c r="CL803" s="271"/>
      <c r="CM803" s="271"/>
      <c r="CN803" s="235">
        <f t="shared" si="367"/>
        <v>33256542</v>
      </c>
      <c r="CO803" s="271"/>
      <c r="CP803" s="271"/>
      <c r="CQ803" s="271"/>
      <c r="CR803" s="271"/>
      <c r="CS803" s="271">
        <v>34254238</v>
      </c>
      <c r="CT803" s="271"/>
      <c r="CU803" s="271"/>
      <c r="CV803" s="271"/>
      <c r="CW803" s="271"/>
      <c r="CX803" s="271"/>
      <c r="CY803" s="271"/>
      <c r="CZ803" s="271"/>
      <c r="DA803" s="271"/>
      <c r="DB803" s="271"/>
      <c r="DC803" s="271"/>
      <c r="DD803" s="234">
        <f t="shared" si="368"/>
        <v>34254238</v>
      </c>
      <c r="DE803" s="244">
        <f t="shared" si="369"/>
        <v>131146164</v>
      </c>
    </row>
    <row r="804" spans="1:110" s="99" customFormat="1" ht="119.1" customHeight="1">
      <c r="A804" s="103" t="s">
        <v>1247</v>
      </c>
      <c r="B804" s="279" t="s">
        <v>3614</v>
      </c>
      <c r="C804" s="279" t="s">
        <v>1807</v>
      </c>
      <c r="D804" s="279">
        <v>71</v>
      </c>
      <c r="E804" s="279" t="s">
        <v>1821</v>
      </c>
      <c r="F804" s="280" t="s">
        <v>237</v>
      </c>
      <c r="G804" s="279" t="s">
        <v>3626</v>
      </c>
      <c r="H804" s="279">
        <v>86</v>
      </c>
      <c r="I804" s="279" t="s">
        <v>1822</v>
      </c>
      <c r="J804" s="279" t="s">
        <v>683</v>
      </c>
      <c r="K804" s="279">
        <v>123</v>
      </c>
      <c r="L804" s="279">
        <v>123</v>
      </c>
      <c r="M804" s="279" t="s">
        <v>1823</v>
      </c>
      <c r="N804" s="279" t="s">
        <v>1824</v>
      </c>
      <c r="O804" s="279" t="s">
        <v>238</v>
      </c>
      <c r="P804" s="283">
        <v>712</v>
      </c>
      <c r="Q804" s="279" t="s">
        <v>3628</v>
      </c>
      <c r="R804" s="279" t="s">
        <v>240</v>
      </c>
      <c r="S804" s="279" t="s">
        <v>683</v>
      </c>
      <c r="T804" s="279">
        <v>0</v>
      </c>
      <c r="U804" s="267"/>
      <c r="V804" s="267"/>
      <c r="W804" s="224">
        <v>0</v>
      </c>
      <c r="X804" s="267"/>
      <c r="Y804" s="267"/>
      <c r="Z804" s="267">
        <v>5</v>
      </c>
      <c r="AA804" s="267"/>
      <c r="AB804" s="224">
        <v>5</v>
      </c>
      <c r="AC804" s="267"/>
      <c r="AD804" s="267"/>
      <c r="AE804" s="267"/>
      <c r="AF804" s="267"/>
      <c r="AG804" s="224">
        <v>0</v>
      </c>
      <c r="AH804" s="267"/>
      <c r="AI804" s="267"/>
      <c r="AJ804" s="267"/>
      <c r="AK804" s="267"/>
      <c r="AL804" s="224">
        <v>0</v>
      </c>
      <c r="AM804" s="104">
        <v>5</v>
      </c>
      <c r="AN804" s="103" t="s">
        <v>685</v>
      </c>
      <c r="AO804" s="103" t="s">
        <v>624</v>
      </c>
      <c r="AP804" s="103" t="s">
        <v>1224</v>
      </c>
      <c r="AQ804" s="103" t="s">
        <v>1192</v>
      </c>
      <c r="AR804" s="103" t="s">
        <v>946</v>
      </c>
      <c r="AS804" s="271"/>
      <c r="AT804" s="271"/>
      <c r="AU804" s="271"/>
      <c r="AV804" s="271"/>
      <c r="AW804" s="271"/>
      <c r="AX804" s="271"/>
      <c r="AY804" s="271"/>
      <c r="AZ804" s="271"/>
      <c r="BA804" s="271"/>
      <c r="BB804" s="271"/>
      <c r="BC804" s="271"/>
      <c r="BD804" s="271"/>
      <c r="BE804" s="271"/>
      <c r="BF804" s="271"/>
      <c r="BG804" s="271"/>
      <c r="BH804" s="235">
        <f t="shared" si="365"/>
        <v>0</v>
      </c>
      <c r="BI804" s="271"/>
      <c r="BJ804" s="271"/>
      <c r="BK804" s="271"/>
      <c r="BL804" s="271"/>
      <c r="BM804" s="271">
        <v>120000000</v>
      </c>
      <c r="BN804" s="271"/>
      <c r="BO804" s="271"/>
      <c r="BP804" s="271"/>
      <c r="BQ804" s="271"/>
      <c r="BR804" s="271"/>
      <c r="BS804" s="271"/>
      <c r="BT804" s="271"/>
      <c r="BU804" s="271"/>
      <c r="BV804" s="271"/>
      <c r="BW804" s="271"/>
      <c r="BX804" s="235">
        <f t="shared" si="366"/>
        <v>120000000</v>
      </c>
      <c r="BY804" s="271"/>
      <c r="BZ804" s="271"/>
      <c r="CA804" s="271"/>
      <c r="CB804" s="271"/>
      <c r="CC804" s="271"/>
      <c r="CD804" s="271"/>
      <c r="CE804" s="271"/>
      <c r="CF804" s="271"/>
      <c r="CG804" s="271"/>
      <c r="CH804" s="271"/>
      <c r="CI804" s="271"/>
      <c r="CJ804" s="271"/>
      <c r="CK804" s="271"/>
      <c r="CL804" s="271"/>
      <c r="CM804" s="271"/>
      <c r="CN804" s="235">
        <f t="shared" si="367"/>
        <v>0</v>
      </c>
      <c r="CO804" s="271"/>
      <c r="CP804" s="271"/>
      <c r="CQ804" s="271"/>
      <c r="CR804" s="271"/>
      <c r="CS804" s="271"/>
      <c r="CT804" s="271"/>
      <c r="CU804" s="271"/>
      <c r="CV804" s="271"/>
      <c r="CW804" s="271"/>
      <c r="CX804" s="271"/>
      <c r="CY804" s="271"/>
      <c r="CZ804" s="271"/>
      <c r="DA804" s="271"/>
      <c r="DB804" s="271"/>
      <c r="DC804" s="271"/>
      <c r="DD804" s="234">
        <f t="shared" si="368"/>
        <v>0</v>
      </c>
      <c r="DE804" s="244">
        <f t="shared" si="369"/>
        <v>120000000</v>
      </c>
    </row>
    <row r="805" spans="1:110" s="99" customFormat="1" ht="119.1" customHeight="1">
      <c r="A805" s="103" t="s">
        <v>1247</v>
      </c>
      <c r="B805" s="279" t="s">
        <v>3614</v>
      </c>
      <c r="C805" s="279" t="s">
        <v>1807</v>
      </c>
      <c r="D805" s="279">
        <v>71</v>
      </c>
      <c r="E805" s="279" t="s">
        <v>1821</v>
      </c>
      <c r="F805" s="280" t="s">
        <v>237</v>
      </c>
      <c r="G805" s="279" t="s">
        <v>3626</v>
      </c>
      <c r="H805" s="279">
        <v>86</v>
      </c>
      <c r="I805" s="279" t="s">
        <v>1822</v>
      </c>
      <c r="J805" s="279" t="s">
        <v>683</v>
      </c>
      <c r="K805" s="279">
        <v>123</v>
      </c>
      <c r="L805" s="279">
        <v>123</v>
      </c>
      <c r="M805" s="279" t="s">
        <v>1823</v>
      </c>
      <c r="N805" s="279" t="s">
        <v>1824</v>
      </c>
      <c r="O805" s="279" t="s">
        <v>238</v>
      </c>
      <c r="P805" s="283">
        <v>713</v>
      </c>
      <c r="Q805" s="279" t="s">
        <v>3685</v>
      </c>
      <c r="R805" s="279" t="s">
        <v>242</v>
      </c>
      <c r="S805" s="279" t="s">
        <v>683</v>
      </c>
      <c r="T805" s="279">
        <v>7</v>
      </c>
      <c r="U805" s="267"/>
      <c r="V805" s="267">
        <v>8</v>
      </c>
      <c r="W805" s="224">
        <v>8</v>
      </c>
      <c r="X805" s="267"/>
      <c r="Y805" s="267"/>
      <c r="Z805" s="267"/>
      <c r="AA805" s="267"/>
      <c r="AB805" s="224">
        <v>0</v>
      </c>
      <c r="AC805" s="267"/>
      <c r="AD805" s="267"/>
      <c r="AE805" s="267">
        <v>7</v>
      </c>
      <c r="AF805" s="267"/>
      <c r="AG805" s="224">
        <v>7</v>
      </c>
      <c r="AH805" s="267"/>
      <c r="AI805" s="267"/>
      <c r="AJ805" s="267"/>
      <c r="AK805" s="267"/>
      <c r="AL805" s="224">
        <v>0</v>
      </c>
      <c r="AM805" s="104">
        <v>15</v>
      </c>
      <c r="AN805" s="103" t="s">
        <v>685</v>
      </c>
      <c r="AO805" s="103" t="s">
        <v>624</v>
      </c>
      <c r="AP805" s="103" t="s">
        <v>1224</v>
      </c>
      <c r="AQ805" s="103" t="s">
        <v>1192</v>
      </c>
      <c r="AR805" s="103" t="s">
        <v>946</v>
      </c>
      <c r="AS805" s="271"/>
      <c r="AT805" s="271"/>
      <c r="AU805" s="271"/>
      <c r="AV805" s="271"/>
      <c r="AW805" s="271">
        <v>70000000</v>
      </c>
      <c r="AX805" s="271"/>
      <c r="AY805" s="271"/>
      <c r="AZ805" s="271"/>
      <c r="BA805" s="271"/>
      <c r="BB805" s="271"/>
      <c r="BC805" s="271"/>
      <c r="BD805" s="271"/>
      <c r="BE805" s="271"/>
      <c r="BF805" s="271"/>
      <c r="BG805" s="271"/>
      <c r="BH805" s="235">
        <f t="shared" si="365"/>
        <v>70000000</v>
      </c>
      <c r="BI805" s="271"/>
      <c r="BJ805" s="271"/>
      <c r="BK805" s="271"/>
      <c r="BL805" s="271"/>
      <c r="BM805" s="271"/>
      <c r="BN805" s="271"/>
      <c r="BO805" s="271"/>
      <c r="BP805" s="271"/>
      <c r="BQ805" s="271"/>
      <c r="BR805" s="271"/>
      <c r="BS805" s="271"/>
      <c r="BT805" s="271"/>
      <c r="BU805" s="271"/>
      <c r="BV805" s="271"/>
      <c r="BW805" s="271"/>
      <c r="BX805" s="235">
        <f t="shared" si="366"/>
        <v>0</v>
      </c>
      <c r="BY805" s="271"/>
      <c r="BZ805" s="271"/>
      <c r="CA805" s="271"/>
      <c r="CB805" s="271"/>
      <c r="CC805" s="271">
        <v>60000000</v>
      </c>
      <c r="CD805" s="271"/>
      <c r="CE805" s="271"/>
      <c r="CF805" s="271"/>
      <c r="CG805" s="271"/>
      <c r="CH805" s="271"/>
      <c r="CI805" s="271"/>
      <c r="CJ805" s="271"/>
      <c r="CK805" s="271"/>
      <c r="CL805" s="271"/>
      <c r="CM805" s="271"/>
      <c r="CN805" s="235">
        <f t="shared" si="367"/>
        <v>60000000</v>
      </c>
      <c r="CO805" s="271"/>
      <c r="CP805" s="271"/>
      <c r="CQ805" s="271"/>
      <c r="CR805" s="271"/>
      <c r="CS805" s="271"/>
      <c r="CT805" s="271"/>
      <c r="CU805" s="271"/>
      <c r="CV805" s="271"/>
      <c r="CW805" s="271"/>
      <c r="CX805" s="271"/>
      <c r="CY805" s="271"/>
      <c r="CZ805" s="271"/>
      <c r="DA805" s="271"/>
      <c r="DB805" s="271"/>
      <c r="DC805" s="271"/>
      <c r="DD805" s="234">
        <f t="shared" si="368"/>
        <v>0</v>
      </c>
      <c r="DE805" s="244">
        <f t="shared" si="369"/>
        <v>130000000</v>
      </c>
    </row>
    <row r="806" spans="1:110" s="99" customFormat="1" ht="119.1" customHeight="1">
      <c r="A806" s="103" t="s">
        <v>1247</v>
      </c>
      <c r="B806" s="279" t="s">
        <v>3614</v>
      </c>
      <c r="C806" s="279" t="s">
        <v>1807</v>
      </c>
      <c r="D806" s="279">
        <v>71</v>
      </c>
      <c r="E806" s="279" t="s">
        <v>1821</v>
      </c>
      <c r="F806" s="280" t="s">
        <v>237</v>
      </c>
      <c r="G806" s="279" t="s">
        <v>3626</v>
      </c>
      <c r="H806" s="279">
        <v>86</v>
      </c>
      <c r="I806" s="279" t="s">
        <v>1822</v>
      </c>
      <c r="J806" s="279" t="s">
        <v>683</v>
      </c>
      <c r="K806" s="279">
        <v>123</v>
      </c>
      <c r="L806" s="279">
        <v>123</v>
      </c>
      <c r="M806" s="279" t="s">
        <v>1823</v>
      </c>
      <c r="N806" s="279" t="s">
        <v>1824</v>
      </c>
      <c r="O806" s="279" t="s">
        <v>238</v>
      </c>
      <c r="P806" s="283">
        <v>714</v>
      </c>
      <c r="Q806" s="279" t="s">
        <v>3191</v>
      </c>
      <c r="R806" s="279" t="s">
        <v>243</v>
      </c>
      <c r="S806" s="279" t="s">
        <v>683</v>
      </c>
      <c r="T806" s="279">
        <v>1</v>
      </c>
      <c r="U806" s="267"/>
      <c r="V806" s="267">
        <v>1</v>
      </c>
      <c r="W806" s="224">
        <v>1</v>
      </c>
      <c r="X806" s="267"/>
      <c r="Y806" s="267">
        <v>1</v>
      </c>
      <c r="Z806" s="267"/>
      <c r="AA806" s="267"/>
      <c r="AB806" s="224">
        <v>1</v>
      </c>
      <c r="AC806" s="267"/>
      <c r="AD806" s="267">
        <v>1</v>
      </c>
      <c r="AE806" s="267"/>
      <c r="AF806" s="267"/>
      <c r="AG806" s="224">
        <v>1</v>
      </c>
      <c r="AH806" s="267"/>
      <c r="AI806" s="267">
        <v>1</v>
      </c>
      <c r="AJ806" s="267"/>
      <c r="AK806" s="267"/>
      <c r="AL806" s="224">
        <v>1</v>
      </c>
      <c r="AM806" s="104">
        <v>4</v>
      </c>
      <c r="AN806" s="103" t="s">
        <v>685</v>
      </c>
      <c r="AO806" s="103" t="s">
        <v>624</v>
      </c>
      <c r="AP806" s="103" t="s">
        <v>1224</v>
      </c>
      <c r="AQ806" s="103" t="s">
        <v>1192</v>
      </c>
      <c r="AR806" s="103" t="s">
        <v>946</v>
      </c>
      <c r="AS806" s="271"/>
      <c r="AT806" s="271"/>
      <c r="AU806" s="271"/>
      <c r="AV806" s="271"/>
      <c r="AW806" s="271">
        <v>355000000</v>
      </c>
      <c r="AX806" s="271"/>
      <c r="AY806" s="271"/>
      <c r="AZ806" s="271"/>
      <c r="BA806" s="271"/>
      <c r="BB806" s="271"/>
      <c r="BC806" s="271"/>
      <c r="BD806" s="271"/>
      <c r="BE806" s="271"/>
      <c r="BF806" s="271"/>
      <c r="BG806" s="271"/>
      <c r="BH806" s="235">
        <f t="shared" si="365"/>
        <v>355000000</v>
      </c>
      <c r="BI806" s="271"/>
      <c r="BJ806" s="271"/>
      <c r="BK806" s="271"/>
      <c r="BL806" s="271"/>
      <c r="BM806" s="271">
        <v>311643455</v>
      </c>
      <c r="BN806" s="271"/>
      <c r="BO806" s="271"/>
      <c r="BP806" s="271"/>
      <c r="BQ806" s="271"/>
      <c r="BR806" s="271"/>
      <c r="BS806" s="271"/>
      <c r="BT806" s="271"/>
      <c r="BU806" s="271"/>
      <c r="BV806" s="271"/>
      <c r="BW806" s="271"/>
      <c r="BX806" s="235">
        <f t="shared" si="366"/>
        <v>311643455</v>
      </c>
      <c r="BY806" s="271"/>
      <c r="BZ806" s="271"/>
      <c r="CA806" s="271"/>
      <c r="CB806" s="271"/>
      <c r="CC806" s="271">
        <v>581104756</v>
      </c>
      <c r="CD806" s="271"/>
      <c r="CE806" s="271"/>
      <c r="CF806" s="271"/>
      <c r="CG806" s="271"/>
      <c r="CH806" s="271"/>
      <c r="CI806" s="271"/>
      <c r="CJ806" s="271"/>
      <c r="CK806" s="271"/>
      <c r="CL806" s="271"/>
      <c r="CM806" s="271"/>
      <c r="CN806" s="235">
        <f t="shared" si="367"/>
        <v>581104756</v>
      </c>
      <c r="CO806" s="271"/>
      <c r="CP806" s="271"/>
      <c r="CQ806" s="271"/>
      <c r="CR806" s="271"/>
      <c r="CS806" s="271">
        <v>703899899</v>
      </c>
      <c r="CT806" s="271"/>
      <c r="CU806" s="271"/>
      <c r="CV806" s="271"/>
      <c r="CW806" s="271"/>
      <c r="CX806" s="271"/>
      <c r="CY806" s="271"/>
      <c r="CZ806" s="271"/>
      <c r="DA806" s="271"/>
      <c r="DB806" s="271"/>
      <c r="DC806" s="271"/>
      <c r="DD806" s="234">
        <f t="shared" si="368"/>
        <v>703899899</v>
      </c>
      <c r="DE806" s="244">
        <f t="shared" si="369"/>
        <v>1951648110</v>
      </c>
    </row>
    <row r="807" spans="1:110" s="99" customFormat="1" ht="119.1" customHeight="1">
      <c r="A807" s="103" t="s">
        <v>1247</v>
      </c>
      <c r="B807" s="279" t="s">
        <v>3614</v>
      </c>
      <c r="C807" s="279" t="s">
        <v>1807</v>
      </c>
      <c r="D807" s="279">
        <v>71</v>
      </c>
      <c r="E807" s="279" t="s">
        <v>1821</v>
      </c>
      <c r="F807" s="280" t="s">
        <v>237</v>
      </c>
      <c r="G807" s="279" t="s">
        <v>3626</v>
      </c>
      <c r="H807" s="279">
        <v>86</v>
      </c>
      <c r="I807" s="279" t="s">
        <v>1822</v>
      </c>
      <c r="J807" s="279" t="s">
        <v>683</v>
      </c>
      <c r="K807" s="279">
        <v>123</v>
      </c>
      <c r="L807" s="279">
        <v>123</v>
      </c>
      <c r="M807" s="279" t="s">
        <v>1823</v>
      </c>
      <c r="N807" s="279" t="s">
        <v>1824</v>
      </c>
      <c r="O807" s="279" t="s">
        <v>238</v>
      </c>
      <c r="P807" s="283">
        <v>715</v>
      </c>
      <c r="Q807" s="279" t="s">
        <v>3629</v>
      </c>
      <c r="R807" s="279" t="s">
        <v>245</v>
      </c>
      <c r="S807" s="279" t="s">
        <v>683</v>
      </c>
      <c r="T807" s="279">
        <v>3</v>
      </c>
      <c r="U807" s="267"/>
      <c r="V807" s="267">
        <v>1</v>
      </c>
      <c r="W807" s="224">
        <v>1</v>
      </c>
      <c r="X807" s="267"/>
      <c r="Y807" s="267">
        <v>1</v>
      </c>
      <c r="Z807" s="267">
        <v>1</v>
      </c>
      <c r="AA807" s="267"/>
      <c r="AB807" s="224">
        <v>2</v>
      </c>
      <c r="AC807" s="267"/>
      <c r="AD807" s="267">
        <v>1</v>
      </c>
      <c r="AE807" s="267"/>
      <c r="AF807" s="267"/>
      <c r="AG807" s="224">
        <v>1</v>
      </c>
      <c r="AH807" s="267"/>
      <c r="AI807" s="267"/>
      <c r="AJ807" s="267"/>
      <c r="AK807" s="267"/>
      <c r="AL807" s="224">
        <v>0</v>
      </c>
      <c r="AM807" s="104">
        <v>4</v>
      </c>
      <c r="AN807" s="103" t="s">
        <v>685</v>
      </c>
      <c r="AO807" s="103" t="s">
        <v>624</v>
      </c>
      <c r="AP807" s="103" t="s">
        <v>1224</v>
      </c>
      <c r="AQ807" s="103" t="s">
        <v>1192</v>
      </c>
      <c r="AR807" s="103" t="s">
        <v>946</v>
      </c>
      <c r="AS807" s="271"/>
      <c r="AT807" s="271"/>
      <c r="AU807" s="271"/>
      <c r="AV807" s="271"/>
      <c r="AW807" s="271">
        <v>47021220</v>
      </c>
      <c r="AX807" s="271"/>
      <c r="AY807" s="271"/>
      <c r="AZ807" s="271"/>
      <c r="BA807" s="271"/>
      <c r="BB807" s="271"/>
      <c r="BC807" s="271"/>
      <c r="BD807" s="271"/>
      <c r="BE807" s="271"/>
      <c r="BF807" s="271"/>
      <c r="BG807" s="271"/>
      <c r="BH807" s="235">
        <f t="shared" si="365"/>
        <v>47021220</v>
      </c>
      <c r="BI807" s="271"/>
      <c r="BJ807" s="271"/>
      <c r="BK807" s="271"/>
      <c r="BL807" s="271"/>
      <c r="BM807" s="271">
        <v>107626348</v>
      </c>
      <c r="BN807" s="271"/>
      <c r="BO807" s="271"/>
      <c r="BP807" s="271"/>
      <c r="BQ807" s="271"/>
      <c r="BR807" s="271"/>
      <c r="BS807" s="271"/>
      <c r="BT807" s="271"/>
      <c r="BU807" s="271"/>
      <c r="BV807" s="271"/>
      <c r="BW807" s="271"/>
      <c r="BX807" s="235">
        <f t="shared" si="366"/>
        <v>107626348</v>
      </c>
      <c r="BY807" s="271"/>
      <c r="BZ807" s="271"/>
      <c r="CA807" s="271"/>
      <c r="CB807" s="271"/>
      <c r="CC807" s="271">
        <v>49884812</v>
      </c>
      <c r="CD807" s="271"/>
      <c r="CE807" s="271"/>
      <c r="CF807" s="271"/>
      <c r="CG807" s="271"/>
      <c r="CH807" s="271"/>
      <c r="CI807" s="271"/>
      <c r="CJ807" s="271"/>
      <c r="CK807" s="271"/>
      <c r="CL807" s="271"/>
      <c r="CM807" s="271"/>
      <c r="CN807" s="235">
        <f t="shared" si="367"/>
        <v>49884812</v>
      </c>
      <c r="CO807" s="271"/>
      <c r="CP807" s="271"/>
      <c r="CQ807" s="271"/>
      <c r="CR807" s="271"/>
      <c r="CS807" s="271"/>
      <c r="CT807" s="271"/>
      <c r="CU807" s="271"/>
      <c r="CV807" s="271"/>
      <c r="CW807" s="271"/>
      <c r="CX807" s="271"/>
      <c r="CY807" s="271"/>
      <c r="CZ807" s="271"/>
      <c r="DA807" s="271"/>
      <c r="DB807" s="271"/>
      <c r="DC807" s="271"/>
      <c r="DD807" s="234">
        <f t="shared" si="368"/>
        <v>0</v>
      </c>
      <c r="DE807" s="244">
        <f t="shared" si="369"/>
        <v>204532380</v>
      </c>
    </row>
    <row r="808" spans="1:110" s="99" customFormat="1" ht="119.1" customHeight="1">
      <c r="A808" s="103" t="s">
        <v>1247</v>
      </c>
      <c r="B808" s="279" t="s">
        <v>3614</v>
      </c>
      <c r="C808" s="279" t="s">
        <v>1807</v>
      </c>
      <c r="D808" s="279">
        <v>71</v>
      </c>
      <c r="E808" s="279" t="s">
        <v>1821</v>
      </c>
      <c r="F808" s="280" t="s">
        <v>237</v>
      </c>
      <c r="G808" s="279" t="s">
        <v>3626</v>
      </c>
      <c r="H808" s="279">
        <v>86</v>
      </c>
      <c r="I808" s="279" t="s">
        <v>1822</v>
      </c>
      <c r="J808" s="279" t="s">
        <v>683</v>
      </c>
      <c r="K808" s="279">
        <v>123</v>
      </c>
      <c r="L808" s="279">
        <v>123</v>
      </c>
      <c r="M808" s="279" t="s">
        <v>1823</v>
      </c>
      <c r="N808" s="279" t="s">
        <v>1824</v>
      </c>
      <c r="O808" s="279" t="s">
        <v>238</v>
      </c>
      <c r="P808" s="283">
        <v>716</v>
      </c>
      <c r="Q808" s="279" t="s">
        <v>3630</v>
      </c>
      <c r="R808" s="279" t="s">
        <v>246</v>
      </c>
      <c r="S808" s="279" t="s">
        <v>683</v>
      </c>
      <c r="T808" s="279">
        <v>0</v>
      </c>
      <c r="U808" s="267"/>
      <c r="V808" s="267">
        <v>0.5</v>
      </c>
      <c r="W808" s="224">
        <v>0.5</v>
      </c>
      <c r="X808" s="267"/>
      <c r="Y808" s="267">
        <v>0.5</v>
      </c>
      <c r="Z808" s="267"/>
      <c r="AA808" s="267"/>
      <c r="AB808" s="224">
        <v>0.5</v>
      </c>
      <c r="AC808" s="267"/>
      <c r="AD808" s="267"/>
      <c r="AE808" s="267"/>
      <c r="AF808" s="267"/>
      <c r="AG808" s="224">
        <v>0</v>
      </c>
      <c r="AH808" s="267"/>
      <c r="AI808" s="267"/>
      <c r="AJ808" s="267"/>
      <c r="AK808" s="267"/>
      <c r="AL808" s="224">
        <v>0</v>
      </c>
      <c r="AM808" s="104">
        <v>1</v>
      </c>
      <c r="AN808" s="103" t="s">
        <v>685</v>
      </c>
      <c r="AO808" s="103" t="s">
        <v>624</v>
      </c>
      <c r="AP808" s="103" t="s">
        <v>1224</v>
      </c>
      <c r="AQ808" s="103" t="s">
        <v>1192</v>
      </c>
      <c r="AR808" s="103" t="s">
        <v>946</v>
      </c>
      <c r="AS808" s="271"/>
      <c r="AT808" s="271"/>
      <c r="AU808" s="271"/>
      <c r="AV808" s="271"/>
      <c r="AW808" s="271">
        <v>26122900</v>
      </c>
      <c r="AX808" s="271"/>
      <c r="AY808" s="271"/>
      <c r="AZ808" s="271"/>
      <c r="BA808" s="271"/>
      <c r="BB808" s="271"/>
      <c r="BC808" s="271"/>
      <c r="BD808" s="271"/>
      <c r="BE808" s="271"/>
      <c r="BF808" s="271"/>
      <c r="BG808" s="271"/>
      <c r="BH808" s="235">
        <f t="shared" si="365"/>
        <v>26122900</v>
      </c>
      <c r="BI808" s="271"/>
      <c r="BJ808" s="271"/>
      <c r="BK808" s="271"/>
      <c r="BL808" s="271"/>
      <c r="BM808" s="271">
        <v>26906587</v>
      </c>
      <c r="BN808" s="271"/>
      <c r="BO808" s="271"/>
      <c r="BP808" s="271"/>
      <c r="BQ808" s="271"/>
      <c r="BR808" s="271"/>
      <c r="BS808" s="271"/>
      <c r="BT808" s="271"/>
      <c r="BU808" s="271"/>
      <c r="BV808" s="271"/>
      <c r="BW808" s="271"/>
      <c r="BX808" s="235">
        <f t="shared" si="366"/>
        <v>26906587</v>
      </c>
      <c r="BY808" s="271"/>
      <c r="BZ808" s="271"/>
      <c r="CA808" s="271"/>
      <c r="CB808" s="271"/>
      <c r="CC808" s="271"/>
      <c r="CD808" s="271"/>
      <c r="CE808" s="271"/>
      <c r="CF808" s="271"/>
      <c r="CG808" s="271"/>
      <c r="CH808" s="271"/>
      <c r="CI808" s="271"/>
      <c r="CJ808" s="271"/>
      <c r="CK808" s="271"/>
      <c r="CL808" s="271"/>
      <c r="CM808" s="271"/>
      <c r="CN808" s="235">
        <f t="shared" si="367"/>
        <v>0</v>
      </c>
      <c r="CO808" s="271"/>
      <c r="CP808" s="271"/>
      <c r="CQ808" s="271"/>
      <c r="CR808" s="271"/>
      <c r="CS808" s="271"/>
      <c r="CT808" s="271"/>
      <c r="CU808" s="271"/>
      <c r="CV808" s="271"/>
      <c r="CW808" s="271"/>
      <c r="CX808" s="271"/>
      <c r="CY808" s="271"/>
      <c r="CZ808" s="271"/>
      <c r="DA808" s="271"/>
      <c r="DB808" s="271"/>
      <c r="DC808" s="271"/>
      <c r="DD808" s="234">
        <f t="shared" si="368"/>
        <v>0</v>
      </c>
      <c r="DE808" s="244">
        <f t="shared" si="369"/>
        <v>53029487</v>
      </c>
    </row>
    <row r="809" spans="1:110" s="99" customFormat="1" ht="119.1" customHeight="1">
      <c r="A809" s="103" t="s">
        <v>1247</v>
      </c>
      <c r="B809" s="279" t="s">
        <v>3614</v>
      </c>
      <c r="C809" s="279" t="s">
        <v>1807</v>
      </c>
      <c r="D809" s="279">
        <v>71</v>
      </c>
      <c r="E809" s="279" t="s">
        <v>1821</v>
      </c>
      <c r="F809" s="280" t="s">
        <v>237</v>
      </c>
      <c r="G809" s="279" t="s">
        <v>3626</v>
      </c>
      <c r="H809" s="279">
        <v>86</v>
      </c>
      <c r="I809" s="279" t="s">
        <v>1822</v>
      </c>
      <c r="J809" s="279" t="s">
        <v>683</v>
      </c>
      <c r="K809" s="279">
        <v>123</v>
      </c>
      <c r="L809" s="279">
        <v>123</v>
      </c>
      <c r="M809" s="279" t="s">
        <v>1823</v>
      </c>
      <c r="N809" s="279" t="s">
        <v>1824</v>
      </c>
      <c r="O809" s="279" t="s">
        <v>238</v>
      </c>
      <c r="P809" s="283">
        <v>717</v>
      </c>
      <c r="Q809" s="279" t="s">
        <v>3756</v>
      </c>
      <c r="R809" s="279" t="s">
        <v>247</v>
      </c>
      <c r="S809" s="279" t="s">
        <v>683</v>
      </c>
      <c r="T809" s="279">
        <v>1</v>
      </c>
      <c r="U809" s="267"/>
      <c r="V809" s="267"/>
      <c r="W809" s="224">
        <v>0</v>
      </c>
      <c r="X809" s="267"/>
      <c r="Y809" s="267"/>
      <c r="Z809" s="267"/>
      <c r="AA809" s="267"/>
      <c r="AB809" s="224">
        <v>0</v>
      </c>
      <c r="AC809" s="267"/>
      <c r="AD809" s="267"/>
      <c r="AE809" s="267"/>
      <c r="AF809" s="267">
        <v>1</v>
      </c>
      <c r="AG809" s="224">
        <v>1</v>
      </c>
      <c r="AH809" s="267"/>
      <c r="AI809" s="267"/>
      <c r="AJ809" s="267"/>
      <c r="AK809" s="267">
        <v>1</v>
      </c>
      <c r="AL809" s="224">
        <v>1</v>
      </c>
      <c r="AM809" s="104">
        <v>1</v>
      </c>
      <c r="AN809" s="103" t="s">
        <v>686</v>
      </c>
      <c r="AO809" s="103" t="s">
        <v>624</v>
      </c>
      <c r="AP809" s="103" t="s">
        <v>1224</v>
      </c>
      <c r="AQ809" s="103" t="s">
        <v>1192</v>
      </c>
      <c r="AR809" s="103" t="s">
        <v>946</v>
      </c>
      <c r="AS809" s="271"/>
      <c r="AT809" s="271"/>
      <c r="AU809" s="271"/>
      <c r="AV809" s="271"/>
      <c r="AW809" s="271"/>
      <c r="AX809" s="271"/>
      <c r="AY809" s="271"/>
      <c r="AZ809" s="271"/>
      <c r="BA809" s="271"/>
      <c r="BB809" s="271"/>
      <c r="BC809" s="271"/>
      <c r="BD809" s="271"/>
      <c r="BE809" s="271"/>
      <c r="BF809" s="271"/>
      <c r="BG809" s="271"/>
      <c r="BH809" s="235">
        <f t="shared" si="365"/>
        <v>0</v>
      </c>
      <c r="BI809" s="271"/>
      <c r="BJ809" s="271"/>
      <c r="BK809" s="271"/>
      <c r="BL809" s="271"/>
      <c r="BM809" s="271"/>
      <c r="BN809" s="271"/>
      <c r="BO809" s="271"/>
      <c r="BP809" s="271"/>
      <c r="BQ809" s="271"/>
      <c r="BR809" s="271"/>
      <c r="BS809" s="271"/>
      <c r="BT809" s="271"/>
      <c r="BU809" s="271"/>
      <c r="BV809" s="271"/>
      <c r="BW809" s="271"/>
      <c r="BX809" s="235">
        <f t="shared" si="366"/>
        <v>0</v>
      </c>
      <c r="BY809" s="271"/>
      <c r="BZ809" s="271"/>
      <c r="CA809" s="271"/>
      <c r="CB809" s="271"/>
      <c r="CC809" s="271">
        <v>27713785</v>
      </c>
      <c r="CD809" s="271"/>
      <c r="CE809" s="271"/>
      <c r="CF809" s="271"/>
      <c r="CG809" s="271"/>
      <c r="CH809" s="271"/>
      <c r="CI809" s="271"/>
      <c r="CJ809" s="271"/>
      <c r="CK809" s="271"/>
      <c r="CL809" s="271"/>
      <c r="CM809" s="271"/>
      <c r="CN809" s="235">
        <f t="shared" si="367"/>
        <v>27713785</v>
      </c>
      <c r="CO809" s="271"/>
      <c r="CP809" s="271"/>
      <c r="CQ809" s="271"/>
      <c r="CR809" s="271"/>
      <c r="CS809" s="271">
        <v>28545198</v>
      </c>
      <c r="CT809" s="271"/>
      <c r="CU809" s="271"/>
      <c r="CV809" s="271"/>
      <c r="CW809" s="271"/>
      <c r="CX809" s="271"/>
      <c r="CY809" s="271"/>
      <c r="CZ809" s="271"/>
      <c r="DA809" s="271"/>
      <c r="DB809" s="271"/>
      <c r="DC809" s="271"/>
      <c r="DD809" s="234">
        <f t="shared" si="368"/>
        <v>28545198</v>
      </c>
      <c r="DE809" s="244">
        <f t="shared" si="369"/>
        <v>56258983</v>
      </c>
    </row>
    <row r="810" spans="1:110" s="99" customFormat="1" ht="119.1" customHeight="1">
      <c r="A810" s="103" t="s">
        <v>1247</v>
      </c>
      <c r="B810" s="279" t="s">
        <v>3614</v>
      </c>
      <c r="C810" s="279" t="s">
        <v>1807</v>
      </c>
      <c r="D810" s="279">
        <v>71</v>
      </c>
      <c r="E810" s="279" t="s">
        <v>1821</v>
      </c>
      <c r="F810" s="280" t="s">
        <v>237</v>
      </c>
      <c r="G810" s="279" t="s">
        <v>3626</v>
      </c>
      <c r="H810" s="279">
        <v>86</v>
      </c>
      <c r="I810" s="279" t="s">
        <v>1822</v>
      </c>
      <c r="J810" s="279" t="s">
        <v>683</v>
      </c>
      <c r="K810" s="279">
        <v>123</v>
      </c>
      <c r="L810" s="279">
        <v>123</v>
      </c>
      <c r="M810" s="279" t="s">
        <v>1823</v>
      </c>
      <c r="N810" s="279" t="s">
        <v>1824</v>
      </c>
      <c r="O810" s="279" t="s">
        <v>238</v>
      </c>
      <c r="P810" s="283">
        <v>718</v>
      </c>
      <c r="Q810" s="279" t="s">
        <v>3757</v>
      </c>
      <c r="R810" s="279" t="s">
        <v>248</v>
      </c>
      <c r="S810" s="279" t="s">
        <v>683</v>
      </c>
      <c r="T810" s="279">
        <v>2</v>
      </c>
      <c r="U810" s="267"/>
      <c r="V810" s="267">
        <v>2</v>
      </c>
      <c r="W810" s="224">
        <v>2</v>
      </c>
      <c r="X810" s="267"/>
      <c r="Y810" s="267"/>
      <c r="Z810" s="267"/>
      <c r="AA810" s="267"/>
      <c r="AB810" s="224">
        <v>0</v>
      </c>
      <c r="AC810" s="267"/>
      <c r="AD810" s="267"/>
      <c r="AE810" s="267"/>
      <c r="AF810" s="267"/>
      <c r="AG810" s="224">
        <v>0</v>
      </c>
      <c r="AH810" s="267"/>
      <c r="AI810" s="267"/>
      <c r="AJ810" s="267"/>
      <c r="AK810" s="267">
        <v>2</v>
      </c>
      <c r="AL810" s="224">
        <v>2</v>
      </c>
      <c r="AM810" s="104">
        <v>2</v>
      </c>
      <c r="AN810" s="103" t="s">
        <v>686</v>
      </c>
      <c r="AO810" s="103" t="s">
        <v>624</v>
      </c>
      <c r="AP810" s="103" t="s">
        <v>1224</v>
      </c>
      <c r="AQ810" s="103" t="s">
        <v>1192</v>
      </c>
      <c r="AR810" s="103" t="s">
        <v>946</v>
      </c>
      <c r="AS810" s="271"/>
      <c r="AT810" s="271"/>
      <c r="AU810" s="271"/>
      <c r="AV810" s="271"/>
      <c r="AW810" s="271">
        <v>83593280</v>
      </c>
      <c r="AX810" s="271"/>
      <c r="AY810" s="271"/>
      <c r="AZ810" s="271"/>
      <c r="BA810" s="271"/>
      <c r="BB810" s="271"/>
      <c r="BC810" s="271"/>
      <c r="BD810" s="271"/>
      <c r="BE810" s="271"/>
      <c r="BF810" s="271"/>
      <c r="BG810" s="271"/>
      <c r="BH810" s="235">
        <f t="shared" si="365"/>
        <v>83593280</v>
      </c>
      <c r="BI810" s="271"/>
      <c r="BJ810" s="271"/>
      <c r="BK810" s="271"/>
      <c r="BL810" s="271"/>
      <c r="BM810" s="271"/>
      <c r="BN810" s="271"/>
      <c r="BO810" s="271"/>
      <c r="BP810" s="271"/>
      <c r="BQ810" s="271"/>
      <c r="BR810" s="271"/>
      <c r="BS810" s="271"/>
      <c r="BT810" s="271"/>
      <c r="BU810" s="271"/>
      <c r="BV810" s="271"/>
      <c r="BW810" s="271"/>
      <c r="BX810" s="235">
        <f t="shared" si="366"/>
        <v>0</v>
      </c>
      <c r="BY810" s="271"/>
      <c r="BZ810" s="271"/>
      <c r="CA810" s="271"/>
      <c r="CB810" s="271"/>
      <c r="CC810" s="271"/>
      <c r="CD810" s="271"/>
      <c r="CE810" s="271"/>
      <c r="CF810" s="271"/>
      <c r="CG810" s="271"/>
      <c r="CH810" s="271"/>
      <c r="CI810" s="271"/>
      <c r="CJ810" s="271"/>
      <c r="CK810" s="271"/>
      <c r="CL810" s="271"/>
      <c r="CM810" s="271"/>
      <c r="CN810" s="235">
        <f t="shared" si="367"/>
        <v>0</v>
      </c>
      <c r="CO810" s="271"/>
      <c r="CP810" s="271"/>
      <c r="CQ810" s="271"/>
      <c r="CR810" s="271"/>
      <c r="CS810" s="271">
        <v>100000</v>
      </c>
      <c r="CT810" s="271"/>
      <c r="CU810" s="271"/>
      <c r="CV810" s="271"/>
      <c r="CW810" s="271"/>
      <c r="CX810" s="271"/>
      <c r="CY810" s="271"/>
      <c r="CZ810" s="271"/>
      <c r="DA810" s="271"/>
      <c r="DB810" s="271"/>
      <c r="DC810" s="271"/>
      <c r="DD810" s="234">
        <f t="shared" si="368"/>
        <v>100000</v>
      </c>
      <c r="DE810" s="244">
        <f t="shared" si="369"/>
        <v>83693280</v>
      </c>
    </row>
    <row r="811" spans="1:110" s="99" customFormat="1" ht="119.1" customHeight="1">
      <c r="A811" s="103" t="s">
        <v>1247</v>
      </c>
      <c r="B811" s="279" t="s">
        <v>3614</v>
      </c>
      <c r="C811" s="279" t="s">
        <v>1807</v>
      </c>
      <c r="D811" s="279">
        <v>71</v>
      </c>
      <c r="E811" s="279" t="s">
        <v>1821</v>
      </c>
      <c r="F811" s="280" t="s">
        <v>237</v>
      </c>
      <c r="G811" s="279" t="s">
        <v>3626</v>
      </c>
      <c r="H811" s="279">
        <v>86</v>
      </c>
      <c r="I811" s="279" t="s">
        <v>1822</v>
      </c>
      <c r="J811" s="279" t="s">
        <v>683</v>
      </c>
      <c r="K811" s="279">
        <v>123</v>
      </c>
      <c r="L811" s="279">
        <v>123</v>
      </c>
      <c r="M811" s="279" t="s">
        <v>1823</v>
      </c>
      <c r="N811" s="279" t="s">
        <v>1824</v>
      </c>
      <c r="O811" s="279" t="s">
        <v>238</v>
      </c>
      <c r="P811" s="283">
        <v>719</v>
      </c>
      <c r="Q811" s="279" t="s">
        <v>3686</v>
      </c>
      <c r="R811" s="279" t="s">
        <v>250</v>
      </c>
      <c r="S811" s="279" t="s">
        <v>683</v>
      </c>
      <c r="T811" s="279">
        <v>0</v>
      </c>
      <c r="U811" s="267"/>
      <c r="V811" s="267"/>
      <c r="W811" s="224">
        <v>0</v>
      </c>
      <c r="X811" s="267"/>
      <c r="Y811" s="267"/>
      <c r="Z811" s="267"/>
      <c r="AA811" s="267"/>
      <c r="AB811" s="224">
        <v>0</v>
      </c>
      <c r="AC811" s="267"/>
      <c r="AD811" s="267">
        <v>5</v>
      </c>
      <c r="AE811" s="267"/>
      <c r="AF811" s="267"/>
      <c r="AG811" s="224">
        <v>5</v>
      </c>
      <c r="AH811" s="267"/>
      <c r="AI811" s="267">
        <v>5</v>
      </c>
      <c r="AJ811" s="267"/>
      <c r="AK811" s="267"/>
      <c r="AL811" s="224">
        <v>5</v>
      </c>
      <c r="AM811" s="104">
        <v>10</v>
      </c>
      <c r="AN811" s="103" t="s">
        <v>685</v>
      </c>
      <c r="AO811" s="103" t="s">
        <v>624</v>
      </c>
      <c r="AP811" s="103" t="s">
        <v>1224</v>
      </c>
      <c r="AQ811" s="103" t="s">
        <v>1192</v>
      </c>
      <c r="AR811" s="103" t="s">
        <v>946</v>
      </c>
      <c r="AS811" s="271"/>
      <c r="AT811" s="271"/>
      <c r="AU811" s="271"/>
      <c r="AV811" s="271"/>
      <c r="AW811" s="271"/>
      <c r="AX811" s="271"/>
      <c r="AY811" s="271"/>
      <c r="AZ811" s="271"/>
      <c r="BA811" s="271"/>
      <c r="BB811" s="271"/>
      <c r="BC811" s="271"/>
      <c r="BD811" s="271"/>
      <c r="BE811" s="271"/>
      <c r="BF811" s="271"/>
      <c r="BG811" s="271"/>
      <c r="BH811" s="235">
        <f t="shared" si="365"/>
        <v>0</v>
      </c>
      <c r="BI811" s="271"/>
      <c r="BJ811" s="271"/>
      <c r="BK811" s="271"/>
      <c r="BL811" s="271"/>
      <c r="BM811" s="271"/>
      <c r="BN811" s="271"/>
      <c r="BO811" s="271"/>
      <c r="BP811" s="271"/>
      <c r="BQ811" s="271"/>
      <c r="BR811" s="271"/>
      <c r="BS811" s="271"/>
      <c r="BT811" s="271"/>
      <c r="BU811" s="271"/>
      <c r="BV811" s="271"/>
      <c r="BW811" s="271"/>
      <c r="BX811" s="235">
        <f t="shared" si="366"/>
        <v>0</v>
      </c>
      <c r="BY811" s="271"/>
      <c r="BZ811" s="271"/>
      <c r="CA811" s="271"/>
      <c r="CB811" s="271"/>
      <c r="CC811" s="271">
        <v>83141354</v>
      </c>
      <c r="CD811" s="271"/>
      <c r="CE811" s="271"/>
      <c r="CF811" s="271"/>
      <c r="CG811" s="271"/>
      <c r="CH811" s="271"/>
      <c r="CI811" s="271"/>
      <c r="CJ811" s="271"/>
      <c r="CK811" s="271"/>
      <c r="CL811" s="271"/>
      <c r="CM811" s="271"/>
      <c r="CN811" s="235">
        <f t="shared" si="367"/>
        <v>83141354</v>
      </c>
      <c r="CO811" s="271"/>
      <c r="CP811" s="271"/>
      <c r="CQ811" s="271"/>
      <c r="CR811" s="271"/>
      <c r="CS811" s="271">
        <v>85635594</v>
      </c>
      <c r="CT811" s="271"/>
      <c r="CU811" s="271"/>
      <c r="CV811" s="271"/>
      <c r="CW811" s="271"/>
      <c r="CX811" s="271"/>
      <c r="CY811" s="271"/>
      <c r="CZ811" s="271"/>
      <c r="DA811" s="271"/>
      <c r="DB811" s="271"/>
      <c r="DC811" s="271"/>
      <c r="DD811" s="234">
        <f t="shared" si="368"/>
        <v>85635594</v>
      </c>
      <c r="DE811" s="244">
        <f t="shared" si="369"/>
        <v>168776948</v>
      </c>
    </row>
    <row r="812" spans="1:110" s="99" customFormat="1" ht="119.1" customHeight="1">
      <c r="A812" s="103" t="s">
        <v>1247</v>
      </c>
      <c r="B812" s="279" t="s">
        <v>3614</v>
      </c>
      <c r="C812" s="279" t="s">
        <v>1807</v>
      </c>
      <c r="D812" s="279">
        <v>71</v>
      </c>
      <c r="E812" s="279" t="s">
        <v>1821</v>
      </c>
      <c r="F812" s="280" t="s">
        <v>237</v>
      </c>
      <c r="G812" s="279" t="s">
        <v>3626</v>
      </c>
      <c r="H812" s="279">
        <v>86</v>
      </c>
      <c r="I812" s="279" t="s">
        <v>1822</v>
      </c>
      <c r="J812" s="279" t="s">
        <v>683</v>
      </c>
      <c r="K812" s="279">
        <v>123</v>
      </c>
      <c r="L812" s="279">
        <v>123</v>
      </c>
      <c r="M812" s="279" t="s">
        <v>1826</v>
      </c>
      <c r="N812" s="279" t="s">
        <v>1827</v>
      </c>
      <c r="O812" s="279" t="s">
        <v>252</v>
      </c>
      <c r="P812" s="283">
        <v>720</v>
      </c>
      <c r="Q812" s="279" t="s">
        <v>3631</v>
      </c>
      <c r="R812" s="279" t="s">
        <v>253</v>
      </c>
      <c r="S812" s="279" t="s">
        <v>683</v>
      </c>
      <c r="T812" s="279">
        <v>163</v>
      </c>
      <c r="U812" s="267">
        <v>20</v>
      </c>
      <c r="V812" s="267">
        <v>10</v>
      </c>
      <c r="W812" s="224">
        <v>30</v>
      </c>
      <c r="X812" s="267">
        <v>12</v>
      </c>
      <c r="Y812" s="267">
        <v>13</v>
      </c>
      <c r="Z812" s="267">
        <v>13</v>
      </c>
      <c r="AA812" s="267">
        <v>12</v>
      </c>
      <c r="AB812" s="224">
        <v>50</v>
      </c>
      <c r="AC812" s="267">
        <v>12</v>
      </c>
      <c r="AD812" s="267">
        <v>13</v>
      </c>
      <c r="AE812" s="267">
        <v>13</v>
      </c>
      <c r="AF812" s="267">
        <v>12</v>
      </c>
      <c r="AG812" s="224">
        <v>50</v>
      </c>
      <c r="AH812" s="267">
        <v>10</v>
      </c>
      <c r="AI812" s="267">
        <v>10</v>
      </c>
      <c r="AJ812" s="267">
        <v>10</v>
      </c>
      <c r="AK812" s="267">
        <v>10</v>
      </c>
      <c r="AL812" s="224">
        <v>40</v>
      </c>
      <c r="AM812" s="104">
        <v>170</v>
      </c>
      <c r="AN812" s="103" t="s">
        <v>685</v>
      </c>
      <c r="AO812" s="103" t="s">
        <v>624</v>
      </c>
      <c r="AP812" s="103" t="s">
        <v>1224</v>
      </c>
      <c r="AQ812" s="103" t="s">
        <v>1192</v>
      </c>
      <c r="AR812" s="103" t="s">
        <v>946</v>
      </c>
      <c r="AS812" s="271"/>
      <c r="AT812" s="271"/>
      <c r="AU812" s="271"/>
      <c r="AV812" s="271"/>
      <c r="AW812" s="271">
        <v>5224580</v>
      </c>
      <c r="AX812" s="271"/>
      <c r="AY812" s="271"/>
      <c r="AZ812" s="271"/>
      <c r="BA812" s="271"/>
      <c r="BB812" s="271"/>
      <c r="BC812" s="271"/>
      <c r="BD812" s="271"/>
      <c r="BE812" s="271"/>
      <c r="BF812" s="271"/>
      <c r="BG812" s="271"/>
      <c r="BH812" s="235">
        <f t="shared" si="365"/>
        <v>5224580</v>
      </c>
      <c r="BI812" s="271"/>
      <c r="BJ812" s="271"/>
      <c r="BK812" s="271"/>
      <c r="BL812" s="271"/>
      <c r="BM812" s="271">
        <v>37556790</v>
      </c>
      <c r="BN812" s="271"/>
      <c r="BO812" s="271"/>
      <c r="BP812" s="271"/>
      <c r="BQ812" s="271"/>
      <c r="BR812" s="271"/>
      <c r="BS812" s="271"/>
      <c r="BT812" s="271"/>
      <c r="BU812" s="271"/>
      <c r="BV812" s="271"/>
      <c r="BW812" s="271"/>
      <c r="BX812" s="235">
        <f t="shared" si="366"/>
        <v>37556790</v>
      </c>
      <c r="BY812" s="271"/>
      <c r="BZ812" s="271"/>
      <c r="CA812" s="271"/>
      <c r="CB812" s="271"/>
      <c r="CC812" s="271">
        <v>38683494</v>
      </c>
      <c r="CD812" s="271"/>
      <c r="CE812" s="271"/>
      <c r="CF812" s="271"/>
      <c r="CG812" s="271"/>
      <c r="CH812" s="271"/>
      <c r="CI812" s="271"/>
      <c r="CJ812" s="271"/>
      <c r="CK812" s="271"/>
      <c r="CL812" s="271"/>
      <c r="CM812" s="271"/>
      <c r="CN812" s="235">
        <f t="shared" si="367"/>
        <v>38683494</v>
      </c>
      <c r="CO812" s="271"/>
      <c r="CP812" s="271"/>
      <c r="CQ812" s="271"/>
      <c r="CR812" s="271"/>
      <c r="CS812" s="271">
        <v>39843999</v>
      </c>
      <c r="CT812" s="271"/>
      <c r="CU812" s="271"/>
      <c r="CV812" s="271"/>
      <c r="CW812" s="271"/>
      <c r="CX812" s="271"/>
      <c r="CY812" s="271"/>
      <c r="CZ812" s="271"/>
      <c r="DA812" s="271"/>
      <c r="DB812" s="271"/>
      <c r="DC812" s="271"/>
      <c r="DD812" s="234">
        <f t="shared" si="368"/>
        <v>39843999</v>
      </c>
      <c r="DE812" s="244">
        <f t="shared" si="369"/>
        <v>121308863</v>
      </c>
    </row>
    <row r="813" spans="1:110" s="99" customFormat="1" ht="119.1" customHeight="1">
      <c r="A813" s="103" t="s">
        <v>1247</v>
      </c>
      <c r="B813" s="279" t="s">
        <v>3614</v>
      </c>
      <c r="C813" s="279" t="s">
        <v>1807</v>
      </c>
      <c r="D813" s="279">
        <v>71</v>
      </c>
      <c r="E813" s="279" t="s">
        <v>1821</v>
      </c>
      <c r="F813" s="280" t="s">
        <v>237</v>
      </c>
      <c r="G813" s="279" t="s">
        <v>3626</v>
      </c>
      <c r="H813" s="279">
        <v>86</v>
      </c>
      <c r="I813" s="279" t="s">
        <v>1822</v>
      </c>
      <c r="J813" s="279" t="s">
        <v>683</v>
      </c>
      <c r="K813" s="279">
        <v>123</v>
      </c>
      <c r="L813" s="279">
        <v>123</v>
      </c>
      <c r="M813" s="279" t="s">
        <v>1826</v>
      </c>
      <c r="N813" s="279" t="s">
        <v>1827</v>
      </c>
      <c r="O813" s="279" t="s">
        <v>252</v>
      </c>
      <c r="P813" s="283">
        <v>721</v>
      </c>
      <c r="Q813" s="279" t="s">
        <v>3632</v>
      </c>
      <c r="R813" s="279" t="s">
        <v>255</v>
      </c>
      <c r="S813" s="279" t="s">
        <v>683</v>
      </c>
      <c r="T813" s="279">
        <v>93</v>
      </c>
      <c r="U813" s="267"/>
      <c r="V813" s="267">
        <v>123</v>
      </c>
      <c r="W813" s="224">
        <v>123</v>
      </c>
      <c r="X813" s="267"/>
      <c r="Y813" s="267"/>
      <c r="Z813" s="267"/>
      <c r="AA813" s="267"/>
      <c r="AB813" s="224">
        <v>0</v>
      </c>
      <c r="AC813" s="267"/>
      <c r="AD813" s="267"/>
      <c r="AE813" s="267"/>
      <c r="AF813" s="267"/>
      <c r="AG813" s="224">
        <v>0</v>
      </c>
      <c r="AH813" s="267"/>
      <c r="AI813" s="267"/>
      <c r="AJ813" s="267"/>
      <c r="AK813" s="267"/>
      <c r="AL813" s="224">
        <v>0</v>
      </c>
      <c r="AM813" s="104">
        <v>123</v>
      </c>
      <c r="AN813" s="103" t="s">
        <v>685</v>
      </c>
      <c r="AO813" s="103" t="s">
        <v>624</v>
      </c>
      <c r="AP813" s="103" t="s">
        <v>1224</v>
      </c>
      <c r="AQ813" s="103" t="s">
        <v>1192</v>
      </c>
      <c r="AR813" s="103" t="s">
        <v>946</v>
      </c>
      <c r="AS813" s="271"/>
      <c r="AT813" s="271"/>
      <c r="AU813" s="271"/>
      <c r="AV813" s="271"/>
      <c r="AW813" s="271">
        <v>20898320</v>
      </c>
      <c r="AX813" s="271"/>
      <c r="AY813" s="271"/>
      <c r="AZ813" s="271"/>
      <c r="BA813" s="271"/>
      <c r="BB813" s="271"/>
      <c r="BC813" s="271"/>
      <c r="BD813" s="271"/>
      <c r="BE813" s="271"/>
      <c r="BF813" s="271"/>
      <c r="BG813" s="271"/>
      <c r="BH813" s="235">
        <f t="shared" si="365"/>
        <v>20898320</v>
      </c>
      <c r="BI813" s="271"/>
      <c r="BJ813" s="271"/>
      <c r="BK813" s="271"/>
      <c r="BL813" s="271"/>
      <c r="BM813" s="271"/>
      <c r="BN813" s="271"/>
      <c r="BO813" s="271"/>
      <c r="BP813" s="271"/>
      <c r="BQ813" s="271"/>
      <c r="BR813" s="271"/>
      <c r="BS813" s="271"/>
      <c r="BT813" s="271"/>
      <c r="BU813" s="271"/>
      <c r="BV813" s="271"/>
      <c r="BW813" s="271"/>
      <c r="BX813" s="235">
        <f t="shared" si="366"/>
        <v>0</v>
      </c>
      <c r="BY813" s="271"/>
      <c r="BZ813" s="271"/>
      <c r="CA813" s="271"/>
      <c r="CB813" s="271"/>
      <c r="CC813" s="271"/>
      <c r="CD813" s="271"/>
      <c r="CE813" s="271"/>
      <c r="CF813" s="271"/>
      <c r="CG813" s="271"/>
      <c r="CH813" s="271"/>
      <c r="CI813" s="271"/>
      <c r="CJ813" s="271"/>
      <c r="CK813" s="271"/>
      <c r="CL813" s="271"/>
      <c r="CM813" s="271"/>
      <c r="CN813" s="235">
        <f t="shared" si="367"/>
        <v>0</v>
      </c>
      <c r="CO813" s="271"/>
      <c r="CP813" s="271"/>
      <c r="CQ813" s="271"/>
      <c r="CR813" s="271"/>
      <c r="CS813" s="271"/>
      <c r="CT813" s="271"/>
      <c r="CU813" s="271"/>
      <c r="CV813" s="271"/>
      <c r="CW813" s="271"/>
      <c r="CX813" s="271"/>
      <c r="CY813" s="271"/>
      <c r="CZ813" s="271"/>
      <c r="DA813" s="271"/>
      <c r="DB813" s="271"/>
      <c r="DC813" s="271"/>
      <c r="DD813" s="234">
        <f t="shared" si="368"/>
        <v>0</v>
      </c>
      <c r="DE813" s="244">
        <f t="shared" si="369"/>
        <v>20898320</v>
      </c>
    </row>
    <row r="814" spans="1:110" s="99" customFormat="1" ht="119.1" customHeight="1">
      <c r="A814" s="103" t="s">
        <v>1247</v>
      </c>
      <c r="B814" s="279" t="s">
        <v>3614</v>
      </c>
      <c r="C814" s="279" t="s">
        <v>1807</v>
      </c>
      <c r="D814" s="279">
        <v>71</v>
      </c>
      <c r="E814" s="279" t="s">
        <v>1821</v>
      </c>
      <c r="F814" s="280" t="s">
        <v>237</v>
      </c>
      <c r="G814" s="279" t="s">
        <v>3626</v>
      </c>
      <c r="H814" s="279">
        <v>86</v>
      </c>
      <c r="I814" s="279" t="s">
        <v>1822</v>
      </c>
      <c r="J814" s="279" t="s">
        <v>683</v>
      </c>
      <c r="K814" s="279">
        <v>123</v>
      </c>
      <c r="L814" s="279">
        <v>123</v>
      </c>
      <c r="M814" s="279" t="s">
        <v>1826</v>
      </c>
      <c r="N814" s="279" t="s">
        <v>1827</v>
      </c>
      <c r="O814" s="279" t="s">
        <v>252</v>
      </c>
      <c r="P814" s="283">
        <v>722</v>
      </c>
      <c r="Q814" s="279" t="s">
        <v>3633</v>
      </c>
      <c r="R814" s="279" t="s">
        <v>256</v>
      </c>
      <c r="S814" s="279" t="s">
        <v>683</v>
      </c>
      <c r="T814" s="279">
        <v>34</v>
      </c>
      <c r="U814" s="267"/>
      <c r="V814" s="267">
        <v>34</v>
      </c>
      <c r="W814" s="224">
        <v>34</v>
      </c>
      <c r="X814" s="267"/>
      <c r="Y814" s="267"/>
      <c r="Z814" s="267"/>
      <c r="AA814" s="267">
        <v>34</v>
      </c>
      <c r="AB814" s="224">
        <v>34</v>
      </c>
      <c r="AC814" s="267"/>
      <c r="AD814" s="267"/>
      <c r="AE814" s="267"/>
      <c r="AF814" s="267">
        <v>34</v>
      </c>
      <c r="AG814" s="224">
        <v>34</v>
      </c>
      <c r="AH814" s="267"/>
      <c r="AI814" s="267"/>
      <c r="AJ814" s="267"/>
      <c r="AK814" s="267">
        <v>34</v>
      </c>
      <c r="AL814" s="224">
        <v>34</v>
      </c>
      <c r="AM814" s="104">
        <v>34</v>
      </c>
      <c r="AN814" s="103" t="s">
        <v>686</v>
      </c>
      <c r="AO814" s="103" t="s">
        <v>624</v>
      </c>
      <c r="AP814" s="103" t="s">
        <v>1224</v>
      </c>
      <c r="AQ814" s="103" t="s">
        <v>1192</v>
      </c>
      <c r="AR814" s="103" t="s">
        <v>946</v>
      </c>
      <c r="AS814" s="271"/>
      <c r="AT814" s="271"/>
      <c r="AU814" s="271"/>
      <c r="AV814" s="271"/>
      <c r="AW814" s="271">
        <v>100000</v>
      </c>
      <c r="AX814" s="271"/>
      <c r="AY814" s="271"/>
      <c r="AZ814" s="271"/>
      <c r="BA814" s="271"/>
      <c r="BB814" s="271"/>
      <c r="BC814" s="271"/>
      <c r="BD814" s="271"/>
      <c r="BE814" s="271"/>
      <c r="BF814" s="271"/>
      <c r="BG814" s="271"/>
      <c r="BH814" s="235">
        <f t="shared" si="365"/>
        <v>100000</v>
      </c>
      <c r="BI814" s="271"/>
      <c r="BJ814" s="271"/>
      <c r="BK814" s="271"/>
      <c r="BL814" s="271"/>
      <c r="BM814" s="271">
        <v>100000</v>
      </c>
      <c r="BN814" s="271"/>
      <c r="BO814" s="271"/>
      <c r="BP814" s="271"/>
      <c r="BQ814" s="271"/>
      <c r="BR814" s="271"/>
      <c r="BS814" s="271"/>
      <c r="BT814" s="271"/>
      <c r="BU814" s="271"/>
      <c r="BV814" s="271"/>
      <c r="BW814" s="271"/>
      <c r="BX814" s="235">
        <f t="shared" si="366"/>
        <v>100000</v>
      </c>
      <c r="BY814" s="271"/>
      <c r="BZ814" s="271"/>
      <c r="CA814" s="271"/>
      <c r="CB814" s="271"/>
      <c r="CC814" s="271">
        <v>100000</v>
      </c>
      <c r="CD814" s="271"/>
      <c r="CE814" s="271"/>
      <c r="CF814" s="271"/>
      <c r="CG814" s="271"/>
      <c r="CH814" s="271"/>
      <c r="CI814" s="271"/>
      <c r="CJ814" s="271"/>
      <c r="CK814" s="271"/>
      <c r="CL814" s="271"/>
      <c r="CM814" s="271"/>
      <c r="CN814" s="235">
        <f t="shared" si="367"/>
        <v>100000</v>
      </c>
      <c r="CO814" s="271"/>
      <c r="CP814" s="271"/>
      <c r="CQ814" s="271"/>
      <c r="CR814" s="271"/>
      <c r="CS814" s="271">
        <v>100000</v>
      </c>
      <c r="CT814" s="271"/>
      <c r="CU814" s="271"/>
      <c r="CV814" s="271"/>
      <c r="CW814" s="271"/>
      <c r="CX814" s="271"/>
      <c r="CY814" s="271"/>
      <c r="CZ814" s="271"/>
      <c r="DA814" s="271"/>
      <c r="DB814" s="271"/>
      <c r="DC814" s="271"/>
      <c r="DD814" s="234">
        <f t="shared" si="368"/>
        <v>100000</v>
      </c>
      <c r="DE814" s="244">
        <f t="shared" si="369"/>
        <v>400000</v>
      </c>
    </row>
    <row r="815" spans="1:110" s="99" customFormat="1" ht="119.1" customHeight="1">
      <c r="A815" s="103" t="s">
        <v>1247</v>
      </c>
      <c r="B815" s="279" t="s">
        <v>3614</v>
      </c>
      <c r="C815" s="279" t="s">
        <v>1807</v>
      </c>
      <c r="D815" s="279">
        <v>71</v>
      </c>
      <c r="E815" s="279" t="s">
        <v>1821</v>
      </c>
      <c r="F815" s="280" t="s">
        <v>237</v>
      </c>
      <c r="G815" s="279" t="s">
        <v>3626</v>
      </c>
      <c r="H815" s="279">
        <v>86</v>
      </c>
      <c r="I815" s="279" t="s">
        <v>1822</v>
      </c>
      <c r="J815" s="279" t="s">
        <v>683</v>
      </c>
      <c r="K815" s="279">
        <v>123</v>
      </c>
      <c r="L815" s="279">
        <v>123</v>
      </c>
      <c r="M815" s="279" t="s">
        <v>1826</v>
      </c>
      <c r="N815" s="279" t="s">
        <v>1827</v>
      </c>
      <c r="O815" s="279" t="s">
        <v>252</v>
      </c>
      <c r="P815" s="283">
        <v>723</v>
      </c>
      <c r="Q815" s="279" t="s">
        <v>3634</v>
      </c>
      <c r="R815" s="279" t="s">
        <v>260</v>
      </c>
      <c r="S815" s="279" t="s">
        <v>683</v>
      </c>
      <c r="T815" s="279">
        <v>4</v>
      </c>
      <c r="U815" s="267"/>
      <c r="V815" s="267">
        <v>1</v>
      </c>
      <c r="W815" s="224">
        <v>1</v>
      </c>
      <c r="X815" s="267"/>
      <c r="Y815" s="267">
        <v>1</v>
      </c>
      <c r="Z815" s="267">
        <v>1</v>
      </c>
      <c r="AA815" s="267"/>
      <c r="AB815" s="224">
        <v>2</v>
      </c>
      <c r="AC815" s="267"/>
      <c r="AD815" s="267">
        <v>1</v>
      </c>
      <c r="AE815" s="267">
        <v>1</v>
      </c>
      <c r="AF815" s="267"/>
      <c r="AG815" s="224">
        <v>2</v>
      </c>
      <c r="AH815" s="267">
        <v>1</v>
      </c>
      <c r="AI815" s="267">
        <v>1</v>
      </c>
      <c r="AJ815" s="267">
        <v>1</v>
      </c>
      <c r="AK815" s="267"/>
      <c r="AL815" s="224">
        <v>3</v>
      </c>
      <c r="AM815" s="104">
        <v>8</v>
      </c>
      <c r="AN815" s="103" t="s">
        <v>685</v>
      </c>
      <c r="AO815" s="103" t="s">
        <v>624</v>
      </c>
      <c r="AP815" s="103" t="s">
        <v>1224</v>
      </c>
      <c r="AQ815" s="103" t="s">
        <v>1192</v>
      </c>
      <c r="AR815" s="103" t="s">
        <v>946</v>
      </c>
      <c r="AS815" s="271"/>
      <c r="AT815" s="271"/>
      <c r="AU815" s="271"/>
      <c r="AV815" s="271"/>
      <c r="AW815" s="271">
        <v>100000</v>
      </c>
      <c r="AX815" s="271"/>
      <c r="AY815" s="271"/>
      <c r="AZ815" s="271"/>
      <c r="BA815" s="271"/>
      <c r="BB815" s="271"/>
      <c r="BC815" s="271"/>
      <c r="BD815" s="271"/>
      <c r="BE815" s="271"/>
      <c r="BF815" s="271"/>
      <c r="BG815" s="271"/>
      <c r="BH815" s="235">
        <f t="shared" si="365"/>
        <v>100000</v>
      </c>
      <c r="BI815" s="271"/>
      <c r="BJ815" s="271"/>
      <c r="BK815" s="271"/>
      <c r="BL815" s="271"/>
      <c r="BM815" s="271">
        <v>100000</v>
      </c>
      <c r="BN815" s="271"/>
      <c r="BO815" s="271"/>
      <c r="BP815" s="271"/>
      <c r="BQ815" s="271"/>
      <c r="BR815" s="271"/>
      <c r="BS815" s="271"/>
      <c r="BT815" s="271"/>
      <c r="BU815" s="271"/>
      <c r="BV815" s="271"/>
      <c r="BW815" s="271"/>
      <c r="BX815" s="235">
        <f t="shared" si="366"/>
        <v>100000</v>
      </c>
      <c r="BY815" s="271"/>
      <c r="BZ815" s="271"/>
      <c r="CA815" s="271"/>
      <c r="CB815" s="271"/>
      <c r="CC815" s="271">
        <v>100000</v>
      </c>
      <c r="CD815" s="271"/>
      <c r="CE815" s="271"/>
      <c r="CF815" s="271"/>
      <c r="CG815" s="271"/>
      <c r="CH815" s="271"/>
      <c r="CI815" s="271"/>
      <c r="CJ815" s="271"/>
      <c r="CK815" s="271"/>
      <c r="CL815" s="271"/>
      <c r="CM815" s="271"/>
      <c r="CN815" s="235">
        <f t="shared" si="367"/>
        <v>100000</v>
      </c>
      <c r="CO815" s="271"/>
      <c r="CP815" s="271"/>
      <c r="CQ815" s="271"/>
      <c r="CR815" s="271"/>
      <c r="CS815" s="271">
        <v>100000</v>
      </c>
      <c r="CT815" s="271"/>
      <c r="CU815" s="271"/>
      <c r="CV815" s="271"/>
      <c r="CW815" s="271"/>
      <c r="CX815" s="271"/>
      <c r="CY815" s="271"/>
      <c r="CZ815" s="271"/>
      <c r="DA815" s="271"/>
      <c r="DB815" s="271"/>
      <c r="DC815" s="271"/>
      <c r="DD815" s="234">
        <f t="shared" si="368"/>
        <v>100000</v>
      </c>
      <c r="DE815" s="244">
        <f t="shared" si="369"/>
        <v>400000</v>
      </c>
    </row>
    <row r="816" spans="1:110" s="99" customFormat="1" ht="119.1" customHeight="1">
      <c r="A816" s="103" t="s">
        <v>1247</v>
      </c>
      <c r="B816" s="279" t="s">
        <v>3614</v>
      </c>
      <c r="C816" s="279" t="s">
        <v>1807</v>
      </c>
      <c r="D816" s="279">
        <v>71</v>
      </c>
      <c r="E816" s="279" t="s">
        <v>1821</v>
      </c>
      <c r="F816" s="280" t="s">
        <v>237</v>
      </c>
      <c r="G816" s="279" t="s">
        <v>3626</v>
      </c>
      <c r="H816" s="279">
        <v>86</v>
      </c>
      <c r="I816" s="279" t="s">
        <v>1822</v>
      </c>
      <c r="J816" s="279" t="s">
        <v>683</v>
      </c>
      <c r="K816" s="279">
        <v>123</v>
      </c>
      <c r="L816" s="279">
        <v>123</v>
      </c>
      <c r="M816" s="279" t="s">
        <v>1826</v>
      </c>
      <c r="N816" s="279" t="s">
        <v>1827</v>
      </c>
      <c r="O816" s="279" t="s">
        <v>252</v>
      </c>
      <c r="P816" s="283">
        <v>724</v>
      </c>
      <c r="Q816" s="279" t="s">
        <v>3635</v>
      </c>
      <c r="R816" s="279" t="s">
        <v>262</v>
      </c>
      <c r="S816" s="279" t="s">
        <v>683</v>
      </c>
      <c r="T816" s="279">
        <v>5</v>
      </c>
      <c r="U816" s="267">
        <v>1</v>
      </c>
      <c r="V816" s="267">
        <v>1</v>
      </c>
      <c r="W816" s="224">
        <v>2</v>
      </c>
      <c r="X816" s="267"/>
      <c r="Y816" s="267">
        <v>1</v>
      </c>
      <c r="Z816" s="267">
        <v>1</v>
      </c>
      <c r="AA816" s="267">
        <v>1</v>
      </c>
      <c r="AB816" s="224">
        <v>3</v>
      </c>
      <c r="AC816" s="267"/>
      <c r="AD816" s="267">
        <v>1</v>
      </c>
      <c r="AE816" s="267">
        <v>1</v>
      </c>
      <c r="AF816" s="267">
        <v>1</v>
      </c>
      <c r="AG816" s="224">
        <v>3</v>
      </c>
      <c r="AH816" s="267"/>
      <c r="AI816" s="267">
        <v>1</v>
      </c>
      <c r="AJ816" s="267">
        <v>1</v>
      </c>
      <c r="AK816" s="267"/>
      <c r="AL816" s="224">
        <v>2</v>
      </c>
      <c r="AM816" s="104">
        <v>10</v>
      </c>
      <c r="AN816" s="103" t="s">
        <v>685</v>
      </c>
      <c r="AO816" s="103" t="s">
        <v>624</v>
      </c>
      <c r="AP816" s="103" t="s">
        <v>1224</v>
      </c>
      <c r="AQ816" s="103" t="s">
        <v>1192</v>
      </c>
      <c r="AR816" s="103" t="s">
        <v>946</v>
      </c>
      <c r="AS816" s="271"/>
      <c r="AT816" s="271"/>
      <c r="AU816" s="271"/>
      <c r="AV816" s="271"/>
      <c r="AW816" s="271">
        <v>200000</v>
      </c>
      <c r="AX816" s="271"/>
      <c r="AY816" s="271"/>
      <c r="AZ816" s="271"/>
      <c r="BA816" s="271"/>
      <c r="BB816" s="271"/>
      <c r="BC816" s="271"/>
      <c r="BD816" s="271"/>
      <c r="BE816" s="271"/>
      <c r="BF816" s="271"/>
      <c r="BG816" s="271"/>
      <c r="BH816" s="235">
        <f t="shared" si="365"/>
        <v>200000</v>
      </c>
      <c r="BI816" s="271"/>
      <c r="BJ816" s="271"/>
      <c r="BK816" s="271"/>
      <c r="BL816" s="271"/>
      <c r="BM816" s="271">
        <v>100000</v>
      </c>
      <c r="BN816" s="271"/>
      <c r="BO816" s="271"/>
      <c r="BP816" s="271"/>
      <c r="BQ816" s="271"/>
      <c r="BR816" s="271"/>
      <c r="BS816" s="271"/>
      <c r="BT816" s="271"/>
      <c r="BU816" s="271"/>
      <c r="BV816" s="271"/>
      <c r="BW816" s="271"/>
      <c r="BX816" s="235">
        <f t="shared" si="366"/>
        <v>100000</v>
      </c>
      <c r="BY816" s="271"/>
      <c r="BZ816" s="271"/>
      <c r="CA816" s="271"/>
      <c r="CB816" s="271"/>
      <c r="CC816" s="271">
        <v>200000</v>
      </c>
      <c r="CD816" s="271"/>
      <c r="CE816" s="271"/>
      <c r="CF816" s="271"/>
      <c r="CG816" s="271"/>
      <c r="CH816" s="271"/>
      <c r="CI816" s="271"/>
      <c r="CJ816" s="271"/>
      <c r="CK816" s="271"/>
      <c r="CL816" s="271"/>
      <c r="CM816" s="271"/>
      <c r="CN816" s="235">
        <f t="shared" si="367"/>
        <v>200000</v>
      </c>
      <c r="CO816" s="271"/>
      <c r="CP816" s="271"/>
      <c r="CQ816" s="271"/>
      <c r="CR816" s="271"/>
      <c r="CS816" s="271">
        <v>200000</v>
      </c>
      <c r="CT816" s="271"/>
      <c r="CU816" s="271"/>
      <c r="CV816" s="271"/>
      <c r="CW816" s="271"/>
      <c r="CX816" s="271"/>
      <c r="CY816" s="271"/>
      <c r="CZ816" s="271"/>
      <c r="DA816" s="271"/>
      <c r="DB816" s="271"/>
      <c r="DC816" s="271"/>
      <c r="DD816" s="234">
        <f t="shared" si="368"/>
        <v>200000</v>
      </c>
      <c r="DE816" s="244">
        <f t="shared" si="369"/>
        <v>700000</v>
      </c>
    </row>
    <row r="817" spans="1:109" s="99" customFormat="1" ht="119.1" customHeight="1">
      <c r="A817" s="103" t="s">
        <v>1247</v>
      </c>
      <c r="B817" s="279" t="s">
        <v>3614</v>
      </c>
      <c r="C817" s="279" t="s">
        <v>1807</v>
      </c>
      <c r="D817" s="279">
        <v>71</v>
      </c>
      <c r="E817" s="279" t="s">
        <v>1821</v>
      </c>
      <c r="F817" s="280" t="s">
        <v>237</v>
      </c>
      <c r="G817" s="279" t="s">
        <v>3626</v>
      </c>
      <c r="H817" s="279">
        <v>86</v>
      </c>
      <c r="I817" s="279" t="s">
        <v>1822</v>
      </c>
      <c r="J817" s="279" t="s">
        <v>683</v>
      </c>
      <c r="K817" s="279">
        <v>123</v>
      </c>
      <c r="L817" s="279">
        <v>123</v>
      </c>
      <c r="M817" s="279" t="s">
        <v>1828</v>
      </c>
      <c r="N817" s="279" t="s">
        <v>1829</v>
      </c>
      <c r="O817" s="279" t="s">
        <v>263</v>
      </c>
      <c r="P817" s="283">
        <v>725</v>
      </c>
      <c r="Q817" s="279" t="s">
        <v>3758</v>
      </c>
      <c r="R817" s="279" t="s">
        <v>264</v>
      </c>
      <c r="S817" s="279" t="s">
        <v>683</v>
      </c>
      <c r="T817" s="279">
        <v>26</v>
      </c>
      <c r="U817" s="267"/>
      <c r="V817" s="267"/>
      <c r="W817" s="224">
        <v>0</v>
      </c>
      <c r="X817" s="267"/>
      <c r="Y817" s="267"/>
      <c r="Z817" s="267"/>
      <c r="AA817" s="267">
        <v>15</v>
      </c>
      <c r="AB817" s="224">
        <v>15</v>
      </c>
      <c r="AC817" s="267"/>
      <c r="AD817" s="267"/>
      <c r="AE817" s="267"/>
      <c r="AF817" s="267"/>
      <c r="AG817" s="224">
        <v>0</v>
      </c>
      <c r="AH817" s="267"/>
      <c r="AI817" s="267"/>
      <c r="AJ817" s="267"/>
      <c r="AK817" s="267"/>
      <c r="AL817" s="224">
        <v>0</v>
      </c>
      <c r="AM817" s="104">
        <v>15</v>
      </c>
      <c r="AN817" s="103" t="s">
        <v>685</v>
      </c>
      <c r="AO817" s="103" t="s">
        <v>624</v>
      </c>
      <c r="AP817" s="103" t="s">
        <v>1224</v>
      </c>
      <c r="AQ817" s="103" t="s">
        <v>1192</v>
      </c>
      <c r="AR817" s="103" t="s">
        <v>946</v>
      </c>
      <c r="AS817" s="271"/>
      <c r="AT817" s="271"/>
      <c r="AU817" s="271"/>
      <c r="AV817" s="271"/>
      <c r="AW817" s="271"/>
      <c r="AX817" s="271"/>
      <c r="AY817" s="271"/>
      <c r="AZ817" s="271"/>
      <c r="BA817" s="271"/>
      <c r="BB817" s="271"/>
      <c r="BC817" s="271"/>
      <c r="BD817" s="271"/>
      <c r="BE817" s="271"/>
      <c r="BF817" s="271"/>
      <c r="BG817" s="271"/>
      <c r="BH817" s="235">
        <f t="shared" si="365"/>
        <v>0</v>
      </c>
      <c r="BI817" s="271"/>
      <c r="BJ817" s="271"/>
      <c r="BK817" s="271"/>
      <c r="BL817" s="271"/>
      <c r="BM817" s="271">
        <v>200100000</v>
      </c>
      <c r="BN817" s="271"/>
      <c r="BO817" s="271"/>
      <c r="BP817" s="271"/>
      <c r="BQ817" s="271"/>
      <c r="BR817" s="271"/>
      <c r="BS817" s="271"/>
      <c r="BT817" s="271"/>
      <c r="BU817" s="271"/>
      <c r="BV817" s="271"/>
      <c r="BW817" s="271"/>
      <c r="BX817" s="235">
        <f t="shared" si="366"/>
        <v>200100000</v>
      </c>
      <c r="BY817" s="271"/>
      <c r="BZ817" s="271"/>
      <c r="CA817" s="271"/>
      <c r="CB817" s="271"/>
      <c r="CC817" s="271"/>
      <c r="CD817" s="271"/>
      <c r="CE817" s="271"/>
      <c r="CF817" s="271"/>
      <c r="CG817" s="271"/>
      <c r="CH817" s="271"/>
      <c r="CI817" s="271"/>
      <c r="CJ817" s="271"/>
      <c r="CK817" s="271"/>
      <c r="CL817" s="271"/>
      <c r="CM817" s="271"/>
      <c r="CN817" s="235">
        <f t="shared" si="367"/>
        <v>0</v>
      </c>
      <c r="CO817" s="271"/>
      <c r="CP817" s="271"/>
      <c r="CQ817" s="271"/>
      <c r="CR817" s="271"/>
      <c r="CS817" s="271"/>
      <c r="CT817" s="271"/>
      <c r="CU817" s="271"/>
      <c r="CV817" s="271"/>
      <c r="CW817" s="271"/>
      <c r="CX817" s="271"/>
      <c r="CY817" s="271"/>
      <c r="CZ817" s="271"/>
      <c r="DA817" s="271"/>
      <c r="DB817" s="271"/>
      <c r="DC817" s="271"/>
      <c r="DD817" s="234">
        <f t="shared" si="368"/>
        <v>0</v>
      </c>
      <c r="DE817" s="244">
        <f t="shared" si="369"/>
        <v>200100000</v>
      </c>
    </row>
    <row r="818" spans="1:109" s="99" customFormat="1" ht="119.1" customHeight="1">
      <c r="A818" s="103" t="s">
        <v>1247</v>
      </c>
      <c r="B818" s="279" t="s">
        <v>3614</v>
      </c>
      <c r="C818" s="279" t="s">
        <v>1807</v>
      </c>
      <c r="D818" s="279">
        <v>71</v>
      </c>
      <c r="E818" s="279" t="s">
        <v>1821</v>
      </c>
      <c r="F818" s="280" t="s">
        <v>237</v>
      </c>
      <c r="G818" s="279" t="s">
        <v>3626</v>
      </c>
      <c r="H818" s="279">
        <v>86</v>
      </c>
      <c r="I818" s="279" t="s">
        <v>1822</v>
      </c>
      <c r="J818" s="279" t="s">
        <v>683</v>
      </c>
      <c r="K818" s="279">
        <v>123</v>
      </c>
      <c r="L818" s="279">
        <v>123</v>
      </c>
      <c r="M818" s="279" t="s">
        <v>1828</v>
      </c>
      <c r="N818" s="279" t="s">
        <v>1829</v>
      </c>
      <c r="O818" s="279" t="s">
        <v>263</v>
      </c>
      <c r="P818" s="283">
        <v>726</v>
      </c>
      <c r="Q818" s="279" t="s">
        <v>3192</v>
      </c>
      <c r="R818" s="279" t="s">
        <v>267</v>
      </c>
      <c r="S818" s="279" t="s">
        <v>677</v>
      </c>
      <c r="T818" s="279">
        <v>100</v>
      </c>
      <c r="U818" s="267">
        <v>100</v>
      </c>
      <c r="V818" s="267">
        <v>100</v>
      </c>
      <c r="W818" s="224">
        <v>100</v>
      </c>
      <c r="X818" s="267">
        <v>100</v>
      </c>
      <c r="Y818" s="267">
        <v>100</v>
      </c>
      <c r="Z818" s="267">
        <v>100</v>
      </c>
      <c r="AA818" s="267">
        <v>100</v>
      </c>
      <c r="AB818" s="224">
        <v>100</v>
      </c>
      <c r="AC818" s="267">
        <v>100</v>
      </c>
      <c r="AD818" s="267">
        <v>100</v>
      </c>
      <c r="AE818" s="267">
        <v>100</v>
      </c>
      <c r="AF818" s="267">
        <v>100</v>
      </c>
      <c r="AG818" s="224">
        <v>100</v>
      </c>
      <c r="AH818" s="267">
        <v>100</v>
      </c>
      <c r="AI818" s="267">
        <v>100</v>
      </c>
      <c r="AJ818" s="267">
        <v>100</v>
      </c>
      <c r="AK818" s="267">
        <v>100</v>
      </c>
      <c r="AL818" s="224">
        <v>100</v>
      </c>
      <c r="AM818" s="104">
        <v>100</v>
      </c>
      <c r="AN818" s="103" t="s">
        <v>686</v>
      </c>
      <c r="AO818" s="103" t="s">
        <v>624</v>
      </c>
      <c r="AP818" s="103" t="s">
        <v>1224</v>
      </c>
      <c r="AQ818" s="103" t="s">
        <v>1192</v>
      </c>
      <c r="AR818" s="103" t="s">
        <v>946</v>
      </c>
      <c r="AS818" s="271"/>
      <c r="AT818" s="271"/>
      <c r="AU818" s="271"/>
      <c r="AV818" s="271"/>
      <c r="AW818" s="271">
        <v>5224580</v>
      </c>
      <c r="AX818" s="271"/>
      <c r="AY818" s="271"/>
      <c r="AZ818" s="271"/>
      <c r="BA818" s="271"/>
      <c r="BB818" s="271"/>
      <c r="BC818" s="271"/>
      <c r="BD818" s="271"/>
      <c r="BE818" s="271"/>
      <c r="BF818" s="271"/>
      <c r="BG818" s="271"/>
      <c r="BH818" s="235">
        <f t="shared" si="365"/>
        <v>5224580</v>
      </c>
      <c r="BI818" s="271"/>
      <c r="BJ818" s="271"/>
      <c r="BK818" s="271"/>
      <c r="BL818" s="271"/>
      <c r="BM818" s="271">
        <v>177749922</v>
      </c>
      <c r="BN818" s="271"/>
      <c r="BO818" s="271"/>
      <c r="BP818" s="271"/>
      <c r="BQ818" s="271"/>
      <c r="BR818" s="271"/>
      <c r="BS818" s="271"/>
      <c r="BT818" s="271"/>
      <c r="BU818" s="271"/>
      <c r="BV818" s="271"/>
      <c r="BW818" s="271"/>
      <c r="BX818" s="235">
        <f t="shared" si="366"/>
        <v>177749922</v>
      </c>
      <c r="BY818" s="271"/>
      <c r="BZ818" s="271"/>
      <c r="CA818" s="271"/>
      <c r="CB818" s="271"/>
      <c r="CC818" s="271">
        <v>183082420</v>
      </c>
      <c r="CD818" s="271"/>
      <c r="CE818" s="271"/>
      <c r="CF818" s="271"/>
      <c r="CG818" s="271"/>
      <c r="CH818" s="271"/>
      <c r="CI818" s="271"/>
      <c r="CJ818" s="271"/>
      <c r="CK818" s="271"/>
      <c r="CL818" s="271"/>
      <c r="CM818" s="271"/>
      <c r="CN818" s="235">
        <f t="shared" si="367"/>
        <v>183082420</v>
      </c>
      <c r="CO818" s="271"/>
      <c r="CP818" s="271"/>
      <c r="CQ818" s="271"/>
      <c r="CR818" s="271"/>
      <c r="CS818" s="271">
        <v>188574893</v>
      </c>
      <c r="CT818" s="271"/>
      <c r="CU818" s="271"/>
      <c r="CV818" s="271"/>
      <c r="CW818" s="271"/>
      <c r="CX818" s="271"/>
      <c r="CY818" s="271"/>
      <c r="CZ818" s="271"/>
      <c r="DA818" s="271"/>
      <c r="DB818" s="271"/>
      <c r="DC818" s="271"/>
      <c r="DD818" s="234">
        <f t="shared" si="368"/>
        <v>188574893</v>
      </c>
      <c r="DE818" s="244">
        <f t="shared" si="369"/>
        <v>554631815</v>
      </c>
    </row>
    <row r="819" spans="1:109" s="99" customFormat="1" ht="119.1" customHeight="1">
      <c r="A819" s="103" t="s">
        <v>1247</v>
      </c>
      <c r="B819" s="279" t="s">
        <v>3614</v>
      </c>
      <c r="C819" s="279" t="s">
        <v>1807</v>
      </c>
      <c r="D819" s="279">
        <v>71</v>
      </c>
      <c r="E819" s="279" t="s">
        <v>1821</v>
      </c>
      <c r="F819" s="280" t="s">
        <v>237</v>
      </c>
      <c r="G819" s="279" t="s">
        <v>3626</v>
      </c>
      <c r="H819" s="279">
        <v>86</v>
      </c>
      <c r="I819" s="279" t="s">
        <v>1822</v>
      </c>
      <c r="J819" s="279" t="s">
        <v>683</v>
      </c>
      <c r="K819" s="279">
        <v>123</v>
      </c>
      <c r="L819" s="279">
        <v>123</v>
      </c>
      <c r="M819" s="279" t="s">
        <v>1828</v>
      </c>
      <c r="N819" s="279" t="s">
        <v>1829</v>
      </c>
      <c r="O819" s="279" t="s">
        <v>263</v>
      </c>
      <c r="P819" s="283">
        <v>727</v>
      </c>
      <c r="Q819" s="279" t="s">
        <v>3193</v>
      </c>
      <c r="R819" s="279" t="s">
        <v>269</v>
      </c>
      <c r="S819" s="279" t="s">
        <v>677</v>
      </c>
      <c r="T819" s="279">
        <v>100</v>
      </c>
      <c r="U819" s="267">
        <v>100</v>
      </c>
      <c r="V819" s="267">
        <v>100</v>
      </c>
      <c r="W819" s="224">
        <v>100</v>
      </c>
      <c r="X819" s="267">
        <v>100</v>
      </c>
      <c r="Y819" s="267">
        <v>100</v>
      </c>
      <c r="Z819" s="267">
        <v>100</v>
      </c>
      <c r="AA819" s="267">
        <v>100</v>
      </c>
      <c r="AB819" s="224">
        <v>100</v>
      </c>
      <c r="AC819" s="267">
        <v>100</v>
      </c>
      <c r="AD819" s="267">
        <v>100</v>
      </c>
      <c r="AE819" s="267">
        <v>100</v>
      </c>
      <c r="AF819" s="267">
        <v>100</v>
      </c>
      <c r="AG819" s="224">
        <v>100</v>
      </c>
      <c r="AH819" s="267">
        <v>100</v>
      </c>
      <c r="AI819" s="267">
        <v>100</v>
      </c>
      <c r="AJ819" s="267">
        <v>100</v>
      </c>
      <c r="AK819" s="267">
        <v>100</v>
      </c>
      <c r="AL819" s="224">
        <v>100</v>
      </c>
      <c r="AM819" s="104">
        <v>100</v>
      </c>
      <c r="AN819" s="103" t="s">
        <v>686</v>
      </c>
      <c r="AO819" s="103" t="s">
        <v>624</v>
      </c>
      <c r="AP819" s="103" t="s">
        <v>1224</v>
      </c>
      <c r="AQ819" s="103" t="s">
        <v>1192</v>
      </c>
      <c r="AR819" s="103" t="s">
        <v>946</v>
      </c>
      <c r="AS819" s="271"/>
      <c r="AT819" s="271"/>
      <c r="AU819" s="271"/>
      <c r="AV819" s="271"/>
      <c r="AW819" s="271">
        <v>5224580</v>
      </c>
      <c r="AX819" s="271"/>
      <c r="AY819" s="271"/>
      <c r="AZ819" s="271"/>
      <c r="BA819" s="271"/>
      <c r="BB819" s="271"/>
      <c r="BC819" s="271"/>
      <c r="BD819" s="271"/>
      <c r="BE819" s="271"/>
      <c r="BF819" s="271"/>
      <c r="BG819" s="271"/>
      <c r="BH819" s="235">
        <f t="shared" si="365"/>
        <v>5224580</v>
      </c>
      <c r="BI819" s="271"/>
      <c r="BJ819" s="271"/>
      <c r="BK819" s="271"/>
      <c r="BL819" s="271"/>
      <c r="BM819" s="271">
        <v>30662046</v>
      </c>
      <c r="BN819" s="271"/>
      <c r="BO819" s="271"/>
      <c r="BP819" s="271"/>
      <c r="BQ819" s="271"/>
      <c r="BR819" s="271"/>
      <c r="BS819" s="271"/>
      <c r="BT819" s="271"/>
      <c r="BU819" s="271"/>
      <c r="BV819" s="271"/>
      <c r="BW819" s="271"/>
      <c r="BX819" s="235">
        <f t="shared" si="366"/>
        <v>30662046</v>
      </c>
      <c r="BY819" s="271"/>
      <c r="BZ819" s="271"/>
      <c r="CA819" s="271"/>
      <c r="CB819" s="271"/>
      <c r="CC819" s="271">
        <v>31581908</v>
      </c>
      <c r="CD819" s="271"/>
      <c r="CE819" s="271"/>
      <c r="CF819" s="271"/>
      <c r="CG819" s="271"/>
      <c r="CH819" s="271"/>
      <c r="CI819" s="271"/>
      <c r="CJ819" s="271"/>
      <c r="CK819" s="271"/>
      <c r="CL819" s="271"/>
      <c r="CM819" s="271"/>
      <c r="CN819" s="235">
        <f t="shared" si="367"/>
        <v>31581908</v>
      </c>
      <c r="CO819" s="271"/>
      <c r="CP819" s="271"/>
      <c r="CQ819" s="271"/>
      <c r="CR819" s="271"/>
      <c r="CS819" s="271">
        <v>32529365</v>
      </c>
      <c r="CT819" s="271"/>
      <c r="CU819" s="271"/>
      <c r="CV819" s="271"/>
      <c r="CW819" s="271"/>
      <c r="CX819" s="271"/>
      <c r="CY819" s="271"/>
      <c r="CZ819" s="271"/>
      <c r="DA819" s="271"/>
      <c r="DB819" s="271"/>
      <c r="DC819" s="271"/>
      <c r="DD819" s="234">
        <f t="shared" si="368"/>
        <v>32529365</v>
      </c>
      <c r="DE819" s="244">
        <f t="shared" si="369"/>
        <v>99997899</v>
      </c>
    </row>
    <row r="820" spans="1:109" s="99" customFormat="1" ht="119.1" customHeight="1">
      <c r="A820" s="103" t="s">
        <v>1247</v>
      </c>
      <c r="B820" s="279" t="s">
        <v>3614</v>
      </c>
      <c r="C820" s="279" t="s">
        <v>1807</v>
      </c>
      <c r="D820" s="279">
        <v>71</v>
      </c>
      <c r="E820" s="279" t="s">
        <v>1821</v>
      </c>
      <c r="F820" s="280" t="s">
        <v>237</v>
      </c>
      <c r="G820" s="279" t="s">
        <v>3626</v>
      </c>
      <c r="H820" s="279">
        <v>86</v>
      </c>
      <c r="I820" s="279" t="s">
        <v>1822</v>
      </c>
      <c r="J820" s="279" t="s">
        <v>683</v>
      </c>
      <c r="K820" s="279">
        <v>123</v>
      </c>
      <c r="L820" s="279">
        <v>123</v>
      </c>
      <c r="M820" s="279" t="s">
        <v>1828</v>
      </c>
      <c r="N820" s="279" t="s">
        <v>1829</v>
      </c>
      <c r="O820" s="279" t="s">
        <v>263</v>
      </c>
      <c r="P820" s="283">
        <v>728</v>
      </c>
      <c r="Q820" s="279" t="s">
        <v>3194</v>
      </c>
      <c r="R820" s="279" t="s">
        <v>271</v>
      </c>
      <c r="S820" s="279" t="s">
        <v>683</v>
      </c>
      <c r="T820" s="279">
        <v>1</v>
      </c>
      <c r="U820" s="267">
        <v>1</v>
      </c>
      <c r="V820" s="267"/>
      <c r="W820" s="224">
        <v>1</v>
      </c>
      <c r="X820" s="267"/>
      <c r="Y820" s="267"/>
      <c r="Z820" s="267">
        <v>1</v>
      </c>
      <c r="AA820" s="267"/>
      <c r="AB820" s="224">
        <v>1</v>
      </c>
      <c r="AC820" s="267"/>
      <c r="AD820" s="267"/>
      <c r="AE820" s="267">
        <v>1</v>
      </c>
      <c r="AF820" s="267"/>
      <c r="AG820" s="224">
        <v>1</v>
      </c>
      <c r="AH820" s="267"/>
      <c r="AI820" s="267"/>
      <c r="AJ820" s="267">
        <v>1</v>
      </c>
      <c r="AK820" s="267"/>
      <c r="AL820" s="224">
        <v>1</v>
      </c>
      <c r="AM820" s="104">
        <v>4</v>
      </c>
      <c r="AN820" s="103" t="s">
        <v>685</v>
      </c>
      <c r="AO820" s="103" t="s">
        <v>624</v>
      </c>
      <c r="AP820" s="103" t="s">
        <v>1224</v>
      </c>
      <c r="AQ820" s="103" t="s">
        <v>1192</v>
      </c>
      <c r="AR820" s="103" t="s">
        <v>946</v>
      </c>
      <c r="AS820" s="271"/>
      <c r="AT820" s="271"/>
      <c r="AU820" s="271"/>
      <c r="AV820" s="271"/>
      <c r="AW820" s="271">
        <v>1002142000</v>
      </c>
      <c r="AX820" s="271"/>
      <c r="AY820" s="271"/>
      <c r="AZ820" s="271"/>
      <c r="BA820" s="271"/>
      <c r="BB820" s="271"/>
      <c r="BC820" s="271"/>
      <c r="BD820" s="271"/>
      <c r="BE820" s="271"/>
      <c r="BF820" s="271"/>
      <c r="BG820" s="271"/>
      <c r="BH820" s="235">
        <f t="shared" si="365"/>
        <v>1002142000</v>
      </c>
      <c r="BI820" s="271"/>
      <c r="BJ820" s="271"/>
      <c r="BK820" s="271"/>
      <c r="BL820" s="271"/>
      <c r="BM820" s="271">
        <v>662000000</v>
      </c>
      <c r="BN820" s="271"/>
      <c r="BO820" s="271"/>
      <c r="BP820" s="271"/>
      <c r="BQ820" s="271"/>
      <c r="BR820" s="271"/>
      <c r="BS820" s="271"/>
      <c r="BT820" s="271"/>
      <c r="BU820" s="271"/>
      <c r="BV820" s="271"/>
      <c r="BW820" s="271"/>
      <c r="BX820" s="235">
        <f t="shared" si="366"/>
        <v>662000000</v>
      </c>
      <c r="BY820" s="271"/>
      <c r="BZ820" s="271"/>
      <c r="CA820" s="271"/>
      <c r="CB820" s="271"/>
      <c r="CC820" s="271">
        <v>724360000</v>
      </c>
      <c r="CD820" s="271"/>
      <c r="CE820" s="271"/>
      <c r="CF820" s="271"/>
      <c r="CG820" s="271"/>
      <c r="CH820" s="271"/>
      <c r="CI820" s="271"/>
      <c r="CJ820" s="271"/>
      <c r="CK820" s="271"/>
      <c r="CL820" s="271"/>
      <c r="CM820" s="271"/>
      <c r="CN820" s="235">
        <f t="shared" si="367"/>
        <v>724360000</v>
      </c>
      <c r="CO820" s="271"/>
      <c r="CP820" s="271"/>
      <c r="CQ820" s="271"/>
      <c r="CR820" s="271"/>
      <c r="CS820" s="271">
        <v>741334400</v>
      </c>
      <c r="CT820" s="271"/>
      <c r="CU820" s="271"/>
      <c r="CV820" s="271"/>
      <c r="CW820" s="271"/>
      <c r="CX820" s="271"/>
      <c r="CY820" s="271"/>
      <c r="CZ820" s="271"/>
      <c r="DA820" s="271"/>
      <c r="DB820" s="271"/>
      <c r="DC820" s="271"/>
      <c r="DD820" s="234">
        <f t="shared" si="368"/>
        <v>741334400</v>
      </c>
      <c r="DE820" s="244">
        <f t="shared" si="369"/>
        <v>3129836400</v>
      </c>
    </row>
    <row r="821" spans="1:109" s="99" customFormat="1" ht="119.1" customHeight="1">
      <c r="A821" s="103" t="s">
        <v>1247</v>
      </c>
      <c r="B821" s="279" t="s">
        <v>3614</v>
      </c>
      <c r="C821" s="279" t="s">
        <v>1807</v>
      </c>
      <c r="D821" s="279">
        <v>71</v>
      </c>
      <c r="E821" s="279" t="s">
        <v>1821</v>
      </c>
      <c r="F821" s="280" t="s">
        <v>237</v>
      </c>
      <c r="G821" s="279" t="s">
        <v>3626</v>
      </c>
      <c r="H821" s="279">
        <v>86</v>
      </c>
      <c r="I821" s="279" t="s">
        <v>1822</v>
      </c>
      <c r="J821" s="279" t="s">
        <v>683</v>
      </c>
      <c r="K821" s="279">
        <v>123</v>
      </c>
      <c r="L821" s="279">
        <v>123</v>
      </c>
      <c r="M821" s="279" t="s">
        <v>1828</v>
      </c>
      <c r="N821" s="279" t="s">
        <v>1829</v>
      </c>
      <c r="O821" s="279" t="s">
        <v>263</v>
      </c>
      <c r="P821" s="283">
        <v>729</v>
      </c>
      <c r="Q821" s="279" t="s">
        <v>3636</v>
      </c>
      <c r="R821" s="279" t="s">
        <v>275</v>
      </c>
      <c r="S821" s="279" t="s">
        <v>683</v>
      </c>
      <c r="T821" s="279">
        <v>0</v>
      </c>
      <c r="U821" s="267">
        <v>1</v>
      </c>
      <c r="V821" s="267"/>
      <c r="W821" s="224">
        <v>1</v>
      </c>
      <c r="X821" s="267"/>
      <c r="Y821" s="267">
        <v>1</v>
      </c>
      <c r="Z821" s="267"/>
      <c r="AA821" s="267"/>
      <c r="AB821" s="224">
        <v>1</v>
      </c>
      <c r="AC821" s="267"/>
      <c r="AD821" s="267">
        <v>1</v>
      </c>
      <c r="AE821" s="267"/>
      <c r="AF821" s="267"/>
      <c r="AG821" s="224">
        <v>1</v>
      </c>
      <c r="AH821" s="267"/>
      <c r="AI821" s="267">
        <v>1</v>
      </c>
      <c r="AJ821" s="267"/>
      <c r="AK821" s="267"/>
      <c r="AL821" s="224">
        <v>1</v>
      </c>
      <c r="AM821" s="104">
        <v>4</v>
      </c>
      <c r="AN821" s="103" t="s">
        <v>685</v>
      </c>
      <c r="AO821" s="103" t="s">
        <v>624</v>
      </c>
      <c r="AP821" s="103" t="s">
        <v>1224</v>
      </c>
      <c r="AQ821" s="103" t="s">
        <v>1192</v>
      </c>
      <c r="AR821" s="103" t="s">
        <v>946</v>
      </c>
      <c r="AS821" s="271"/>
      <c r="AT821" s="271"/>
      <c r="AU821" s="271"/>
      <c r="AV821" s="271"/>
      <c r="AW821" s="271">
        <v>5224580</v>
      </c>
      <c r="AX821" s="271"/>
      <c r="AY821" s="271"/>
      <c r="AZ821" s="271"/>
      <c r="BA821" s="271"/>
      <c r="BB821" s="271"/>
      <c r="BC821" s="271"/>
      <c r="BD821" s="271"/>
      <c r="BE821" s="271"/>
      <c r="BF821" s="271"/>
      <c r="BG821" s="271"/>
      <c r="BH821" s="235">
        <f t="shared" si="365"/>
        <v>5224580</v>
      </c>
      <c r="BI821" s="271"/>
      <c r="BJ821" s="271"/>
      <c r="BK821" s="271"/>
      <c r="BL821" s="271"/>
      <c r="BM821" s="271">
        <v>5381317</v>
      </c>
      <c r="BN821" s="271"/>
      <c r="BO821" s="271"/>
      <c r="BP821" s="271"/>
      <c r="BQ821" s="271"/>
      <c r="BR821" s="271"/>
      <c r="BS821" s="271"/>
      <c r="BT821" s="271"/>
      <c r="BU821" s="271"/>
      <c r="BV821" s="271"/>
      <c r="BW821" s="271"/>
      <c r="BX821" s="235">
        <f t="shared" si="366"/>
        <v>5381317</v>
      </c>
      <c r="BY821" s="271"/>
      <c r="BZ821" s="271"/>
      <c r="CA821" s="271"/>
      <c r="CB821" s="271"/>
      <c r="CC821" s="271">
        <v>5542757</v>
      </c>
      <c r="CD821" s="271"/>
      <c r="CE821" s="271"/>
      <c r="CF821" s="271"/>
      <c r="CG821" s="271"/>
      <c r="CH821" s="271"/>
      <c r="CI821" s="271"/>
      <c r="CJ821" s="271"/>
      <c r="CK821" s="271"/>
      <c r="CL821" s="271"/>
      <c r="CM821" s="271"/>
      <c r="CN821" s="235">
        <f t="shared" si="367"/>
        <v>5542757</v>
      </c>
      <c r="CO821" s="271"/>
      <c r="CP821" s="271"/>
      <c r="CQ821" s="271"/>
      <c r="CR821" s="271"/>
      <c r="CS821" s="271">
        <v>5709040</v>
      </c>
      <c r="CT821" s="271"/>
      <c r="CU821" s="271"/>
      <c r="CV821" s="271"/>
      <c r="CW821" s="271"/>
      <c r="CX821" s="271"/>
      <c r="CY821" s="271"/>
      <c r="CZ821" s="271"/>
      <c r="DA821" s="271"/>
      <c r="DB821" s="271"/>
      <c r="DC821" s="271"/>
      <c r="DD821" s="234">
        <f t="shared" si="368"/>
        <v>5709040</v>
      </c>
      <c r="DE821" s="244">
        <f t="shared" ref="DE821:DE822" si="370">SUM(DD821+CN821+BX821+BH821)</f>
        <v>21857694</v>
      </c>
    </row>
    <row r="822" spans="1:109" s="99" customFormat="1" ht="119.1" customHeight="1">
      <c r="A822" s="120" t="s">
        <v>1247</v>
      </c>
      <c r="B822" s="281" t="s">
        <v>3614</v>
      </c>
      <c r="C822" s="281" t="s">
        <v>1807</v>
      </c>
      <c r="D822" s="281">
        <v>71</v>
      </c>
      <c r="E822" s="281" t="s">
        <v>1821</v>
      </c>
      <c r="F822" s="282" t="s">
        <v>237</v>
      </c>
      <c r="G822" s="281" t="s">
        <v>3626</v>
      </c>
      <c r="H822" s="281">
        <v>86</v>
      </c>
      <c r="I822" s="281" t="s">
        <v>1822</v>
      </c>
      <c r="J822" s="281" t="s">
        <v>683</v>
      </c>
      <c r="K822" s="281">
        <v>123</v>
      </c>
      <c r="L822" s="281">
        <v>123</v>
      </c>
      <c r="M822" s="281" t="s">
        <v>1828</v>
      </c>
      <c r="N822" s="281" t="s">
        <v>1829</v>
      </c>
      <c r="O822" s="281" t="s">
        <v>263</v>
      </c>
      <c r="P822" s="283">
        <v>730</v>
      </c>
      <c r="Q822" s="281" t="s">
        <v>3637</v>
      </c>
      <c r="R822" s="281" t="s">
        <v>278</v>
      </c>
      <c r="S822" s="281" t="s">
        <v>683</v>
      </c>
      <c r="T822" s="281">
        <v>18</v>
      </c>
      <c r="U822" s="275">
        <v>6</v>
      </c>
      <c r="V822" s="275">
        <v>6</v>
      </c>
      <c r="W822" s="225">
        <v>12</v>
      </c>
      <c r="X822" s="275">
        <v>3</v>
      </c>
      <c r="Y822" s="275">
        <v>6</v>
      </c>
      <c r="Z822" s="275">
        <v>6</v>
      </c>
      <c r="AA822" s="275">
        <v>5</v>
      </c>
      <c r="AB822" s="225">
        <v>20</v>
      </c>
      <c r="AC822" s="275">
        <v>3</v>
      </c>
      <c r="AD822" s="275">
        <v>6</v>
      </c>
      <c r="AE822" s="275">
        <v>6</v>
      </c>
      <c r="AF822" s="275">
        <v>5</v>
      </c>
      <c r="AG822" s="225">
        <v>20</v>
      </c>
      <c r="AH822" s="275">
        <v>3</v>
      </c>
      <c r="AI822" s="275">
        <v>6</v>
      </c>
      <c r="AJ822" s="275">
        <v>6</v>
      </c>
      <c r="AK822" s="275">
        <v>5</v>
      </c>
      <c r="AL822" s="225">
        <v>20</v>
      </c>
      <c r="AM822" s="119">
        <v>72</v>
      </c>
      <c r="AN822" s="120" t="s">
        <v>685</v>
      </c>
      <c r="AO822" s="120" t="s">
        <v>624</v>
      </c>
      <c r="AP822" s="120" t="s">
        <v>1224</v>
      </c>
      <c r="AQ822" s="120" t="s">
        <v>1192</v>
      </c>
      <c r="AR822" s="120" t="s">
        <v>946</v>
      </c>
      <c r="AS822" s="276"/>
      <c r="AT822" s="276"/>
      <c r="AU822" s="276"/>
      <c r="AV822" s="276"/>
      <c r="AW822" s="276">
        <v>5224580</v>
      </c>
      <c r="AX822" s="276"/>
      <c r="AY822" s="276"/>
      <c r="AZ822" s="276"/>
      <c r="BA822" s="276"/>
      <c r="BB822" s="276"/>
      <c r="BC822" s="276"/>
      <c r="BD822" s="276"/>
      <c r="BE822" s="276"/>
      <c r="BF822" s="276"/>
      <c r="BG822" s="276"/>
      <c r="BH822" s="236">
        <f t="shared" si="365"/>
        <v>5224580</v>
      </c>
      <c r="BI822" s="276"/>
      <c r="BJ822" s="276"/>
      <c r="BK822" s="276"/>
      <c r="BL822" s="276"/>
      <c r="BM822" s="276">
        <v>5381317</v>
      </c>
      <c r="BN822" s="276"/>
      <c r="BO822" s="276"/>
      <c r="BP822" s="276"/>
      <c r="BQ822" s="276"/>
      <c r="BR822" s="276"/>
      <c r="BS822" s="276"/>
      <c r="BT822" s="276"/>
      <c r="BU822" s="276"/>
      <c r="BV822" s="276"/>
      <c r="BW822" s="276"/>
      <c r="BX822" s="236">
        <f t="shared" si="366"/>
        <v>5381317</v>
      </c>
      <c r="BY822" s="276"/>
      <c r="BZ822" s="276"/>
      <c r="CA822" s="276"/>
      <c r="CB822" s="276"/>
      <c r="CC822" s="276">
        <v>5542757</v>
      </c>
      <c r="CD822" s="276"/>
      <c r="CE822" s="276"/>
      <c r="CF822" s="276"/>
      <c r="CG822" s="276"/>
      <c r="CH822" s="276"/>
      <c r="CI822" s="276"/>
      <c r="CJ822" s="276"/>
      <c r="CK822" s="276"/>
      <c r="CL822" s="276"/>
      <c r="CM822" s="276"/>
      <c r="CN822" s="236">
        <f t="shared" si="367"/>
        <v>5542757</v>
      </c>
      <c r="CO822" s="276"/>
      <c r="CP822" s="276"/>
      <c r="CQ822" s="276"/>
      <c r="CR822" s="276"/>
      <c r="CS822" s="276">
        <v>5709040</v>
      </c>
      <c r="CT822" s="276"/>
      <c r="CU822" s="276"/>
      <c r="CV822" s="276"/>
      <c r="CW822" s="276"/>
      <c r="CX822" s="276"/>
      <c r="CY822" s="276"/>
      <c r="CZ822" s="276"/>
      <c r="DA822" s="276"/>
      <c r="DB822" s="276"/>
      <c r="DC822" s="276"/>
      <c r="DD822" s="240">
        <f t="shared" si="368"/>
        <v>5709040</v>
      </c>
      <c r="DE822" s="245">
        <f t="shared" si="370"/>
        <v>21857694</v>
      </c>
    </row>
    <row r="823" spans="1:109" s="46" customFormat="1" ht="65.099999999999994" customHeight="1">
      <c r="A823" s="134" t="s">
        <v>1247</v>
      </c>
      <c r="B823" s="134" t="s">
        <v>3614</v>
      </c>
      <c r="C823" s="134" t="s">
        <v>1807</v>
      </c>
      <c r="D823" s="148">
        <v>71</v>
      </c>
      <c r="E823" s="148" t="s">
        <v>1821</v>
      </c>
      <c r="F823" s="149"/>
      <c r="G823" s="150"/>
      <c r="H823" s="151"/>
      <c r="I823" s="151"/>
      <c r="J823" s="151"/>
      <c r="K823" s="152"/>
      <c r="L823" s="151"/>
      <c r="M823" s="151"/>
      <c r="N823" s="151"/>
      <c r="O823" s="151"/>
      <c r="P823" s="151"/>
      <c r="Q823" s="150"/>
      <c r="R823" s="153"/>
      <c r="S823" s="151"/>
      <c r="T823" s="151"/>
      <c r="U823" s="154"/>
      <c r="V823" s="154"/>
      <c r="W823" s="152"/>
      <c r="X823" s="154"/>
      <c r="Y823" s="154"/>
      <c r="Z823" s="154"/>
      <c r="AA823" s="154"/>
      <c r="AB823" s="152"/>
      <c r="AC823" s="154"/>
      <c r="AD823" s="154"/>
      <c r="AE823" s="154"/>
      <c r="AF823" s="154"/>
      <c r="AG823" s="152"/>
      <c r="AH823" s="154"/>
      <c r="AI823" s="154"/>
      <c r="AJ823" s="154"/>
      <c r="AK823" s="154"/>
      <c r="AL823" s="152"/>
      <c r="AM823" s="155"/>
      <c r="AN823" s="156"/>
      <c r="AO823" s="156"/>
      <c r="AP823" s="157"/>
      <c r="AQ823" s="157"/>
      <c r="AR823" s="158"/>
      <c r="AS823" s="132">
        <f t="shared" ref="AS823:BG823" si="371">SUM(AS802:AS822)</f>
        <v>0</v>
      </c>
      <c r="AT823" s="132">
        <f t="shared" si="371"/>
        <v>0</v>
      </c>
      <c r="AU823" s="132">
        <f t="shared" si="371"/>
        <v>0</v>
      </c>
      <c r="AV823" s="132">
        <f t="shared" si="371"/>
        <v>0</v>
      </c>
      <c r="AW823" s="132">
        <f t="shared" si="371"/>
        <v>1950000000</v>
      </c>
      <c r="AX823" s="132">
        <f t="shared" si="371"/>
        <v>0</v>
      </c>
      <c r="AY823" s="132">
        <f t="shared" si="371"/>
        <v>0</v>
      </c>
      <c r="AZ823" s="132">
        <f t="shared" si="371"/>
        <v>0</v>
      </c>
      <c r="BA823" s="132">
        <f t="shared" si="371"/>
        <v>0</v>
      </c>
      <c r="BB823" s="132">
        <f t="shared" si="371"/>
        <v>0</v>
      </c>
      <c r="BC823" s="132">
        <f t="shared" si="371"/>
        <v>0</v>
      </c>
      <c r="BD823" s="132">
        <f t="shared" si="371"/>
        <v>0</v>
      </c>
      <c r="BE823" s="132">
        <f t="shared" si="371"/>
        <v>0</v>
      </c>
      <c r="BF823" s="132">
        <f t="shared" si="371"/>
        <v>0</v>
      </c>
      <c r="BG823" s="132">
        <f t="shared" si="371"/>
        <v>0</v>
      </c>
      <c r="BH823" s="133">
        <f>IF(OR(AND(BH802=0,W802&lt;&gt;0),AND(BH803=0,W803&lt;&gt;0),AND(BH804=0,W804&lt;&gt;0),AND(BH805=0,W805&lt;&gt;0),AND(BH806=0,W806&lt;&gt;0),AND(BH807=0,W807&lt;&gt;0),AND(BH808=0,W808&lt;&gt;0),AND(BH809=0,W809&lt;&gt;0),AND(BH810=0,W810&lt;&gt;0),AND(BH811=0,W811&lt;&gt;0),AND(BH812=0,W812&lt;&gt;0),AND(BH813=0,W813&lt;&gt;0),AND(BH814=0,W814&lt;&gt;0),AND(BH815=0,W815&lt;&gt;0),AND(BH816=0,W816&lt;&gt;0),AND(BH817=0,W817&lt;&gt;0),AND(BH818=0,W818&lt;&gt;0),AND(BH819=0,W819&lt;&gt;0),AND(BH820=0,W820&lt;&gt;0),AND(BH821=0,W821&lt;&gt;0),AND(BH822=0,W822&lt;&gt;0)),"NO DEBEN QUEDAR CELDAS EN ROJO",SUM(BH802:BH822))</f>
        <v>1950000000</v>
      </c>
      <c r="BI823" s="132">
        <f t="shared" ref="BI823:BW823" si="372">SUM(BI802:BI822)</f>
        <v>0</v>
      </c>
      <c r="BJ823" s="132">
        <f t="shared" si="372"/>
        <v>0</v>
      </c>
      <c r="BK823" s="132">
        <f t="shared" si="372"/>
        <v>0</v>
      </c>
      <c r="BL823" s="132">
        <f t="shared" si="372"/>
        <v>0</v>
      </c>
      <c r="BM823" s="132">
        <f t="shared" si="372"/>
        <v>2062000000</v>
      </c>
      <c r="BN823" s="132">
        <f t="shared" si="372"/>
        <v>0</v>
      </c>
      <c r="BO823" s="132">
        <f t="shared" si="372"/>
        <v>0</v>
      </c>
      <c r="BP823" s="132">
        <f t="shared" si="372"/>
        <v>0</v>
      </c>
      <c r="BQ823" s="132">
        <f t="shared" si="372"/>
        <v>0</v>
      </c>
      <c r="BR823" s="132">
        <f t="shared" si="372"/>
        <v>0</v>
      </c>
      <c r="BS823" s="132">
        <f t="shared" si="372"/>
        <v>0</v>
      </c>
      <c r="BT823" s="132">
        <f t="shared" si="372"/>
        <v>0</v>
      </c>
      <c r="BU823" s="132">
        <f t="shared" si="372"/>
        <v>0</v>
      </c>
      <c r="BV823" s="132">
        <f t="shared" si="372"/>
        <v>0</v>
      </c>
      <c r="BW823" s="132">
        <f t="shared" si="372"/>
        <v>0</v>
      </c>
      <c r="BX823" s="133">
        <f>IF(OR(AND(BX802=0,AB802&lt;&gt;0),AND(BX803=0,AB803&lt;&gt;0),AND(BX804=0,AB804&lt;&gt;0),AND(BX805=0,AB805&lt;&gt;0),AND(BX806=0,AB806&lt;&gt;0),AND(BX807=0,AB807&lt;&gt;0),AND(BX808=0,AB808&lt;&gt;0),AND(BX809=0,AB809&lt;&gt;0),AND(BX810=0,AB810&lt;&gt;0),AND(BX811=0,AB811&lt;&gt;0),AND(BX812=0,AB812&lt;&gt;0),AND(BX813=0,AB813&lt;&gt;0),AND(BX814=0,AB814&lt;&gt;0),AND(BX815=0,AB815&lt;&gt;0),AND(BX816=0,AB816&lt;&gt;0),AND(BX817=0,AB817&lt;&gt;0),AND(BX818=0,AB818&lt;&gt;0),AND(BX819=0,AB819&lt;&gt;0),AND(BX820=0,AB820&lt;&gt;0),AND(BX821=0,AB821&lt;&gt;0),AND(BX822=0,AB822&lt;&gt;0)),"NO DEBEN QUEDAR CELDAS EN ROJO",SUM(BX802:BX822))</f>
        <v>2062000000</v>
      </c>
      <c r="BY823" s="132">
        <f t="shared" ref="BY823:CM823" si="373">SUM(BY802:BY822)</f>
        <v>0</v>
      </c>
      <c r="BZ823" s="132">
        <f t="shared" si="373"/>
        <v>0</v>
      </c>
      <c r="CA823" s="132">
        <f t="shared" si="373"/>
        <v>0</v>
      </c>
      <c r="CB823" s="132">
        <f t="shared" si="373"/>
        <v>0</v>
      </c>
      <c r="CC823" s="132">
        <f t="shared" si="373"/>
        <v>2156860000</v>
      </c>
      <c r="CD823" s="132">
        <f t="shared" si="373"/>
        <v>0</v>
      </c>
      <c r="CE823" s="132">
        <f t="shared" si="373"/>
        <v>0</v>
      </c>
      <c r="CF823" s="132">
        <f t="shared" si="373"/>
        <v>0</v>
      </c>
      <c r="CG823" s="132">
        <f t="shared" si="373"/>
        <v>0</v>
      </c>
      <c r="CH823" s="132">
        <f t="shared" si="373"/>
        <v>0</v>
      </c>
      <c r="CI823" s="132">
        <f t="shared" si="373"/>
        <v>0</v>
      </c>
      <c r="CJ823" s="132">
        <f t="shared" si="373"/>
        <v>0</v>
      </c>
      <c r="CK823" s="132">
        <f t="shared" si="373"/>
        <v>0</v>
      </c>
      <c r="CL823" s="132">
        <f t="shared" si="373"/>
        <v>0</v>
      </c>
      <c r="CM823" s="132">
        <f t="shared" si="373"/>
        <v>0</v>
      </c>
      <c r="CN823" s="133">
        <f>IF(OR(AND(CN802=0,AG802&lt;&gt;0),AND(CN803=0,AG803&lt;&gt;0),AND(CN804=0,AG804&lt;&gt;0),AND(CN805=0,AG805&lt;&gt;0),AND(CN806=0,AG806&lt;&gt;0),AND(CN807=0,AG807&lt;&gt;0),AND(CN808=0,AG808&lt;&gt;0),AND(CN809=0,AG809&lt;&gt;0),AND(CN810=0,AG810&lt;&gt;0),AND(CN811=0,AG811&lt;&gt;0),AND(CN812=0,AG812&lt;&gt;0),AND(CN813=0,AG813&lt;&gt;0),AND(CN814=0,AG814&lt;&gt;0),AND(CN815=0,AG815&lt;&gt;0),AND(CN816=0,AG816&lt;&gt;0),AND(CN817=0,AG817&lt;&gt;0),AND(CN818=0,AG818&lt;&gt;0),AND(CN819=0,AG819&lt;&gt;0),AND(CN820=0,AG820&lt;&gt;0),AND(CN821=0,AG821&lt;&gt;0),AND(CN822=0,AG822&lt;&gt;0)),"NO DEBEN QUEDAR CELDAS EN ROJO",SUM(CN802:CN822))</f>
        <v>2156860000</v>
      </c>
      <c r="CO823" s="132">
        <f t="shared" ref="CO823:DC823" si="374">SUM(CO802:CO822)</f>
        <v>0</v>
      </c>
      <c r="CP823" s="132">
        <f t="shared" si="374"/>
        <v>0</v>
      </c>
      <c r="CQ823" s="132">
        <f t="shared" si="374"/>
        <v>0</v>
      </c>
      <c r="CR823" s="132">
        <f t="shared" si="374"/>
        <v>0</v>
      </c>
      <c r="CS823" s="132">
        <f t="shared" si="374"/>
        <v>2260459400</v>
      </c>
      <c r="CT823" s="132">
        <f t="shared" si="374"/>
        <v>0</v>
      </c>
      <c r="CU823" s="132">
        <f t="shared" si="374"/>
        <v>0</v>
      </c>
      <c r="CV823" s="132">
        <f t="shared" si="374"/>
        <v>0</v>
      </c>
      <c r="CW823" s="132">
        <f t="shared" si="374"/>
        <v>0</v>
      </c>
      <c r="CX823" s="132">
        <f t="shared" si="374"/>
        <v>0</v>
      </c>
      <c r="CY823" s="132">
        <f t="shared" si="374"/>
        <v>0</v>
      </c>
      <c r="CZ823" s="132">
        <f t="shared" si="374"/>
        <v>0</v>
      </c>
      <c r="DA823" s="132">
        <f t="shared" si="374"/>
        <v>0</v>
      </c>
      <c r="DB823" s="132">
        <f t="shared" si="374"/>
        <v>0</v>
      </c>
      <c r="DC823" s="132">
        <f t="shared" si="374"/>
        <v>0</v>
      </c>
      <c r="DD823" s="133">
        <f>IF(OR(AND(DD802=0,AL802&lt;&gt;0),AND(DD803=0,AL803&lt;&gt;0),AND(DD804=0,AL804&lt;&gt;0),AND(DD805=0,AL805&lt;&gt;0),AND(DD806=0,AL806&lt;&gt;0),AND(DD807=0,AL807&lt;&gt;0),AND(DD808=0,AL808&lt;&gt;0),AND(DD809=0,AL809&lt;&gt;0),AND(DD810=0,AL810&lt;&gt;0),AND(DD811=0,AL811&lt;&gt;0),AND(DD812=0,AL812&lt;&gt;0),AND(DD813=0,AL813&lt;&gt;0),AND(DD814=0,AL814&lt;&gt;0),AND(DD815=0,AL815&lt;&gt;0),AND(DD816=0,AL816&lt;&gt;0),AND(DD817=0,AL817&lt;&gt;0),AND(DD818=0,AL818&lt;&gt;0),AND(DD819=0,AL819&lt;&gt;0),AND(DD820=0,AL820&lt;&gt;0),AND(DD821=0,AL821&lt;&gt;0),AND(DD822=0,AL822&lt;&gt;0)),"NO DEBEN QUEDAR CELDAS EN ROJO",SUM(DD802:DD822))</f>
        <v>2260459400</v>
      </c>
      <c r="DE823" s="133">
        <f>SUM(DE802:DE822)</f>
        <v>8429319400</v>
      </c>
    </row>
    <row r="824" spans="1:109" s="116" customFormat="1" ht="55.05" customHeight="1">
      <c r="A824" s="124"/>
      <c r="B824" s="125" t="s">
        <v>3614</v>
      </c>
      <c r="C824" s="145" t="s">
        <v>1807</v>
      </c>
      <c r="D824" s="160"/>
      <c r="E824" s="161"/>
      <c r="F824" s="162"/>
      <c r="G824" s="163"/>
      <c r="H824" s="161"/>
      <c r="I824" s="161"/>
      <c r="J824" s="161"/>
      <c r="K824" s="161"/>
      <c r="L824" s="161"/>
      <c r="M824" s="161"/>
      <c r="N824" s="161"/>
      <c r="O824" s="161"/>
      <c r="P824" s="161"/>
      <c r="Q824" s="163"/>
      <c r="R824" s="164"/>
      <c r="S824" s="161"/>
      <c r="T824" s="161"/>
      <c r="U824" s="165"/>
      <c r="V824" s="165"/>
      <c r="W824" s="166"/>
      <c r="X824" s="165"/>
      <c r="Y824" s="165"/>
      <c r="Z824" s="165"/>
      <c r="AA824" s="165"/>
      <c r="AB824" s="166"/>
      <c r="AC824" s="165"/>
      <c r="AD824" s="165"/>
      <c r="AE824" s="165"/>
      <c r="AF824" s="165"/>
      <c r="AG824" s="166"/>
      <c r="AH824" s="165"/>
      <c r="AI824" s="165"/>
      <c r="AJ824" s="165"/>
      <c r="AK824" s="165"/>
      <c r="AL824" s="166"/>
      <c r="AM824" s="167"/>
      <c r="AN824" s="168"/>
      <c r="AO824" s="168"/>
      <c r="AP824" s="163"/>
      <c r="AQ824" s="163"/>
      <c r="AR824" s="169"/>
      <c r="AS824" s="147">
        <f t="shared" ref="AS824:BX824" si="375">SUM(AS823+AS801+AS797)</f>
        <v>0</v>
      </c>
      <c r="AT824" s="130">
        <f t="shared" si="375"/>
        <v>0</v>
      </c>
      <c r="AU824" s="130">
        <f t="shared" si="375"/>
        <v>0</v>
      </c>
      <c r="AV824" s="130">
        <f t="shared" si="375"/>
        <v>1000000000</v>
      </c>
      <c r="AW824" s="130">
        <f t="shared" si="375"/>
        <v>2516416925</v>
      </c>
      <c r="AX824" s="130">
        <f t="shared" si="375"/>
        <v>0</v>
      </c>
      <c r="AY824" s="130">
        <f t="shared" si="375"/>
        <v>0</v>
      </c>
      <c r="AZ824" s="130">
        <f t="shared" si="375"/>
        <v>0</v>
      </c>
      <c r="BA824" s="130">
        <f t="shared" si="375"/>
        <v>0</v>
      </c>
      <c r="BB824" s="130">
        <f t="shared" si="375"/>
        <v>0</v>
      </c>
      <c r="BC824" s="130">
        <f t="shared" si="375"/>
        <v>0</v>
      </c>
      <c r="BD824" s="130">
        <f t="shared" si="375"/>
        <v>0</v>
      </c>
      <c r="BE824" s="130">
        <f t="shared" si="375"/>
        <v>0</v>
      </c>
      <c r="BF824" s="130">
        <f t="shared" si="375"/>
        <v>0</v>
      </c>
      <c r="BG824" s="130">
        <f t="shared" si="375"/>
        <v>1648186248</v>
      </c>
      <c r="BH824" s="130">
        <f t="shared" si="375"/>
        <v>5164603173</v>
      </c>
      <c r="BI824" s="130">
        <f t="shared" si="375"/>
        <v>0</v>
      </c>
      <c r="BJ824" s="130">
        <f t="shared" si="375"/>
        <v>0</v>
      </c>
      <c r="BK824" s="130">
        <f t="shared" si="375"/>
        <v>0</v>
      </c>
      <c r="BL824" s="130">
        <f t="shared" si="375"/>
        <v>0</v>
      </c>
      <c r="BM824" s="130">
        <f t="shared" si="375"/>
        <v>2689261781</v>
      </c>
      <c r="BN824" s="130">
        <f t="shared" si="375"/>
        <v>0</v>
      </c>
      <c r="BO824" s="130">
        <f t="shared" si="375"/>
        <v>0</v>
      </c>
      <c r="BP824" s="130">
        <f t="shared" si="375"/>
        <v>0</v>
      </c>
      <c r="BQ824" s="130">
        <f t="shared" si="375"/>
        <v>0</v>
      </c>
      <c r="BR824" s="130">
        <f t="shared" si="375"/>
        <v>0</v>
      </c>
      <c r="BS824" s="130">
        <f t="shared" si="375"/>
        <v>0</v>
      </c>
      <c r="BT824" s="130">
        <f t="shared" si="375"/>
        <v>0</v>
      </c>
      <c r="BU824" s="130">
        <f t="shared" si="375"/>
        <v>0</v>
      </c>
      <c r="BV824" s="130">
        <f t="shared" si="375"/>
        <v>0</v>
      </c>
      <c r="BW824" s="130">
        <f t="shared" si="375"/>
        <v>0</v>
      </c>
      <c r="BX824" s="130">
        <f t="shared" si="375"/>
        <v>2689261781</v>
      </c>
      <c r="BY824" s="130">
        <f t="shared" ref="BY824:DD824" si="376">SUM(BY823+BY801+BY797)</f>
        <v>0</v>
      </c>
      <c r="BZ824" s="130">
        <f t="shared" si="376"/>
        <v>0</v>
      </c>
      <c r="CA824" s="130">
        <f t="shared" si="376"/>
        <v>0</v>
      </c>
      <c r="CB824" s="130">
        <f t="shared" si="376"/>
        <v>0</v>
      </c>
      <c r="CC824" s="130">
        <f t="shared" si="376"/>
        <v>2770130704</v>
      </c>
      <c r="CD824" s="130">
        <f t="shared" si="376"/>
        <v>0</v>
      </c>
      <c r="CE824" s="130">
        <f t="shared" si="376"/>
        <v>0</v>
      </c>
      <c r="CF824" s="130">
        <f t="shared" si="376"/>
        <v>0</v>
      </c>
      <c r="CG824" s="130">
        <f t="shared" si="376"/>
        <v>0</v>
      </c>
      <c r="CH824" s="130">
        <f t="shared" si="376"/>
        <v>0</v>
      </c>
      <c r="CI824" s="130">
        <f t="shared" si="376"/>
        <v>0</v>
      </c>
      <c r="CJ824" s="130">
        <f t="shared" si="376"/>
        <v>0</v>
      </c>
      <c r="CK824" s="130">
        <f t="shared" si="376"/>
        <v>0</v>
      </c>
      <c r="CL824" s="130">
        <f t="shared" si="376"/>
        <v>0</v>
      </c>
      <c r="CM824" s="130">
        <f t="shared" si="376"/>
        <v>0</v>
      </c>
      <c r="CN824" s="130">
        <f t="shared" si="376"/>
        <v>2770130704</v>
      </c>
      <c r="CO824" s="130">
        <f t="shared" si="376"/>
        <v>0</v>
      </c>
      <c r="CP824" s="130">
        <f t="shared" si="376"/>
        <v>0</v>
      </c>
      <c r="CQ824" s="130">
        <f t="shared" si="376"/>
        <v>0</v>
      </c>
      <c r="CR824" s="130">
        <f t="shared" si="376"/>
        <v>0</v>
      </c>
      <c r="CS824" s="130">
        <f t="shared" si="376"/>
        <v>2898060932</v>
      </c>
      <c r="CT824" s="130">
        <f t="shared" si="376"/>
        <v>0</v>
      </c>
      <c r="CU824" s="130">
        <f t="shared" si="376"/>
        <v>0</v>
      </c>
      <c r="CV824" s="130">
        <f t="shared" si="376"/>
        <v>0</v>
      </c>
      <c r="CW824" s="130">
        <f t="shared" si="376"/>
        <v>0</v>
      </c>
      <c r="CX824" s="130">
        <f t="shared" si="376"/>
        <v>0</v>
      </c>
      <c r="CY824" s="130">
        <f t="shared" si="376"/>
        <v>0</v>
      </c>
      <c r="CZ824" s="130">
        <f t="shared" si="376"/>
        <v>0</v>
      </c>
      <c r="DA824" s="130">
        <f t="shared" si="376"/>
        <v>0</v>
      </c>
      <c r="DB824" s="130">
        <f t="shared" si="376"/>
        <v>0</v>
      </c>
      <c r="DC824" s="130">
        <f t="shared" si="376"/>
        <v>0</v>
      </c>
      <c r="DD824" s="130">
        <f t="shared" si="376"/>
        <v>2898060932</v>
      </c>
      <c r="DE824" s="130">
        <f t="shared" ref="DE824" si="377">SUM(DE823+DE801+DE797)</f>
        <v>13522056590</v>
      </c>
    </row>
    <row r="825" spans="1:109" s="98" customFormat="1" ht="119.1" customHeight="1">
      <c r="A825" s="103" t="s">
        <v>1240</v>
      </c>
      <c r="B825" s="103" t="s">
        <v>3614</v>
      </c>
      <c r="C825" s="103" t="s">
        <v>1830</v>
      </c>
      <c r="D825" s="103">
        <v>72</v>
      </c>
      <c r="E825" s="103" t="s">
        <v>1831</v>
      </c>
      <c r="F825" s="278" t="s">
        <v>280</v>
      </c>
      <c r="G825" s="103" t="s">
        <v>3834</v>
      </c>
      <c r="H825" s="103">
        <v>87</v>
      </c>
      <c r="I825" s="103" t="s">
        <v>1832</v>
      </c>
      <c r="J825" s="103" t="s">
        <v>677</v>
      </c>
      <c r="K825" s="103">
        <v>40</v>
      </c>
      <c r="L825" s="103" t="s">
        <v>1833</v>
      </c>
      <c r="M825" s="103" t="s">
        <v>1834</v>
      </c>
      <c r="N825" s="103" t="s">
        <v>1835</v>
      </c>
      <c r="O825" s="103" t="s">
        <v>281</v>
      </c>
      <c r="P825" s="283">
        <v>731</v>
      </c>
      <c r="Q825" s="103" t="s">
        <v>3835</v>
      </c>
      <c r="R825" s="103" t="s">
        <v>282</v>
      </c>
      <c r="S825" s="103" t="s">
        <v>683</v>
      </c>
      <c r="T825" s="103">
        <v>20</v>
      </c>
      <c r="U825" s="267">
        <v>10</v>
      </c>
      <c r="V825" s="267">
        <v>10</v>
      </c>
      <c r="W825" s="224">
        <v>20</v>
      </c>
      <c r="X825" s="267"/>
      <c r="Y825" s="267">
        <v>5</v>
      </c>
      <c r="Z825" s="267">
        <v>10</v>
      </c>
      <c r="AA825" s="267">
        <v>5</v>
      </c>
      <c r="AB825" s="224">
        <v>20</v>
      </c>
      <c r="AC825" s="267"/>
      <c r="AD825" s="267">
        <v>5</v>
      </c>
      <c r="AE825" s="267">
        <v>5</v>
      </c>
      <c r="AF825" s="267">
        <v>10</v>
      </c>
      <c r="AG825" s="224">
        <v>20</v>
      </c>
      <c r="AH825" s="267"/>
      <c r="AI825" s="267">
        <v>10</v>
      </c>
      <c r="AJ825" s="267">
        <v>10</v>
      </c>
      <c r="AK825" s="267"/>
      <c r="AL825" s="224">
        <v>20</v>
      </c>
      <c r="AM825" s="102">
        <v>20</v>
      </c>
      <c r="AN825" s="103" t="s">
        <v>686</v>
      </c>
      <c r="AO825" s="103" t="s">
        <v>1212</v>
      </c>
      <c r="AP825" s="103" t="s">
        <v>1229</v>
      </c>
      <c r="AQ825" s="103" t="s">
        <v>1192</v>
      </c>
      <c r="AR825" s="103" t="s">
        <v>946</v>
      </c>
      <c r="AS825" s="268"/>
      <c r="AT825" s="268"/>
      <c r="AU825" s="268"/>
      <c r="AV825" s="268"/>
      <c r="AW825" s="268">
        <v>32400000</v>
      </c>
      <c r="AX825" s="268"/>
      <c r="AY825" s="268"/>
      <c r="AZ825" s="268"/>
      <c r="BA825" s="268"/>
      <c r="BB825" s="268"/>
      <c r="BC825" s="268"/>
      <c r="BD825" s="268"/>
      <c r="BE825" s="268"/>
      <c r="BF825" s="268"/>
      <c r="BG825" s="268"/>
      <c r="BH825" s="234">
        <v>32400000</v>
      </c>
      <c r="BI825" s="268"/>
      <c r="BJ825" s="268"/>
      <c r="BK825" s="268"/>
      <c r="BL825" s="268"/>
      <c r="BM825" s="268">
        <v>32562000</v>
      </c>
      <c r="BN825" s="268"/>
      <c r="BO825" s="268"/>
      <c r="BP825" s="268"/>
      <c r="BQ825" s="268"/>
      <c r="BR825" s="268"/>
      <c r="BS825" s="268"/>
      <c r="BT825" s="268"/>
      <c r="BU825" s="268"/>
      <c r="BV825" s="268"/>
      <c r="BW825" s="268"/>
      <c r="BX825" s="234">
        <v>32562000</v>
      </c>
      <c r="BY825" s="268"/>
      <c r="BZ825" s="268"/>
      <c r="CA825" s="268"/>
      <c r="CB825" s="268"/>
      <c r="CC825" s="268">
        <v>32724000</v>
      </c>
      <c r="CD825" s="268"/>
      <c r="CE825" s="268"/>
      <c r="CF825" s="268"/>
      <c r="CG825" s="268"/>
      <c r="CH825" s="268"/>
      <c r="CI825" s="268"/>
      <c r="CJ825" s="268"/>
      <c r="CK825" s="268"/>
      <c r="CL825" s="268"/>
      <c r="CM825" s="268"/>
      <c r="CN825" s="234">
        <v>32724000</v>
      </c>
      <c r="CO825" s="268"/>
      <c r="CP825" s="268"/>
      <c r="CQ825" s="268"/>
      <c r="CR825" s="268"/>
      <c r="CS825" s="268">
        <v>32880000</v>
      </c>
      <c r="CT825" s="268"/>
      <c r="CU825" s="268"/>
      <c r="CV825" s="268"/>
      <c r="CW825" s="268"/>
      <c r="CX825" s="268"/>
      <c r="CY825" s="268"/>
      <c r="CZ825" s="268"/>
      <c r="DA825" s="268"/>
      <c r="DB825" s="268"/>
      <c r="DC825" s="268"/>
      <c r="DD825" s="234">
        <v>32880000</v>
      </c>
      <c r="DE825" s="243">
        <v>130566000</v>
      </c>
    </row>
    <row r="826" spans="1:109" s="98" customFormat="1" ht="119.1" customHeight="1">
      <c r="A826" s="103" t="s">
        <v>1240</v>
      </c>
      <c r="B826" s="279" t="s">
        <v>3614</v>
      </c>
      <c r="C826" s="279" t="s">
        <v>1830</v>
      </c>
      <c r="D826" s="279">
        <v>72</v>
      </c>
      <c r="E826" s="279" t="s">
        <v>1831</v>
      </c>
      <c r="F826" s="280" t="s">
        <v>280</v>
      </c>
      <c r="G826" s="279" t="s">
        <v>3834</v>
      </c>
      <c r="H826" s="279">
        <v>87</v>
      </c>
      <c r="I826" s="279" t="s">
        <v>1832</v>
      </c>
      <c r="J826" s="279" t="s">
        <v>677</v>
      </c>
      <c r="K826" s="279">
        <v>40</v>
      </c>
      <c r="L826" s="279" t="s">
        <v>1833</v>
      </c>
      <c r="M826" s="279" t="s">
        <v>1834</v>
      </c>
      <c r="N826" s="279" t="s">
        <v>1835</v>
      </c>
      <c r="O826" s="279" t="s">
        <v>281</v>
      </c>
      <c r="P826" s="283">
        <v>732</v>
      </c>
      <c r="Q826" s="279" t="s">
        <v>3836</v>
      </c>
      <c r="R826" s="279" t="s">
        <v>282</v>
      </c>
      <c r="S826" s="279" t="s">
        <v>683</v>
      </c>
      <c r="T826" s="279">
        <v>20</v>
      </c>
      <c r="U826" s="267">
        <v>5</v>
      </c>
      <c r="V826" s="267">
        <v>5</v>
      </c>
      <c r="W826" s="224">
        <v>10</v>
      </c>
      <c r="X826" s="267">
        <v>10</v>
      </c>
      <c r="Y826" s="267">
        <v>10</v>
      </c>
      <c r="Z826" s="267">
        <v>10</v>
      </c>
      <c r="AA826" s="267">
        <v>10</v>
      </c>
      <c r="AB826" s="224">
        <v>40</v>
      </c>
      <c r="AC826" s="267">
        <v>10</v>
      </c>
      <c r="AD826" s="267">
        <v>10</v>
      </c>
      <c r="AE826" s="267">
        <v>10</v>
      </c>
      <c r="AF826" s="267">
        <v>2</v>
      </c>
      <c r="AG826" s="224">
        <v>32</v>
      </c>
      <c r="AH826" s="267">
        <v>5</v>
      </c>
      <c r="AI826" s="267">
        <v>5</v>
      </c>
      <c r="AJ826" s="267"/>
      <c r="AK826" s="267"/>
      <c r="AL826" s="224">
        <v>10</v>
      </c>
      <c r="AM826" s="104">
        <v>92</v>
      </c>
      <c r="AN826" s="103" t="s">
        <v>685</v>
      </c>
      <c r="AO826" s="103" t="s">
        <v>1212</v>
      </c>
      <c r="AP826" s="103" t="s">
        <v>1229</v>
      </c>
      <c r="AQ826" s="103" t="s">
        <v>1192</v>
      </c>
      <c r="AR826" s="103" t="s">
        <v>946</v>
      </c>
      <c r="AS826" s="271"/>
      <c r="AT826" s="271"/>
      <c r="AU826" s="271"/>
      <c r="AV826" s="271"/>
      <c r="AW826" s="271">
        <v>60776000</v>
      </c>
      <c r="AX826" s="271"/>
      <c r="AY826" s="271"/>
      <c r="AZ826" s="271"/>
      <c r="BA826" s="271"/>
      <c r="BB826" s="271"/>
      <c r="BC826" s="271"/>
      <c r="BD826" s="271"/>
      <c r="BE826" s="271"/>
      <c r="BF826" s="271"/>
      <c r="BG826" s="271"/>
      <c r="BH826" s="235">
        <v>60776000</v>
      </c>
      <c r="BI826" s="271"/>
      <c r="BJ826" s="271"/>
      <c r="BK826" s="271"/>
      <c r="BL826" s="271"/>
      <c r="BM826" s="271">
        <v>78038000</v>
      </c>
      <c r="BN826" s="271"/>
      <c r="BO826" s="271"/>
      <c r="BP826" s="271"/>
      <c r="BQ826" s="271"/>
      <c r="BR826" s="271"/>
      <c r="BS826" s="271"/>
      <c r="BT826" s="271"/>
      <c r="BU826" s="271"/>
      <c r="BV826" s="271"/>
      <c r="BW826" s="271"/>
      <c r="BX826" s="235">
        <v>78038000</v>
      </c>
      <c r="BY826" s="271"/>
      <c r="BZ826" s="271"/>
      <c r="CA826" s="271"/>
      <c r="CB826" s="271"/>
      <c r="CC826" s="271">
        <v>132234000</v>
      </c>
      <c r="CD826" s="271"/>
      <c r="CE826" s="271"/>
      <c r="CF826" s="271"/>
      <c r="CG826" s="271"/>
      <c r="CH826" s="271"/>
      <c r="CI826" s="271"/>
      <c r="CJ826" s="271"/>
      <c r="CK826" s="271"/>
      <c r="CL826" s="271"/>
      <c r="CM826" s="271"/>
      <c r="CN826" s="235">
        <v>132234000</v>
      </c>
      <c r="CO826" s="271"/>
      <c r="CP826" s="271"/>
      <c r="CQ826" s="271"/>
      <c r="CR826" s="271"/>
      <c r="CS826" s="271">
        <v>103020000</v>
      </c>
      <c r="CT826" s="271"/>
      <c r="CU826" s="271"/>
      <c r="CV826" s="271"/>
      <c r="CW826" s="271"/>
      <c r="CX826" s="271"/>
      <c r="CY826" s="271"/>
      <c r="CZ826" s="271"/>
      <c r="DA826" s="271"/>
      <c r="DB826" s="271"/>
      <c r="DC826" s="271"/>
      <c r="DD826" s="234">
        <v>103020000</v>
      </c>
      <c r="DE826" s="244">
        <v>374068000</v>
      </c>
    </row>
    <row r="827" spans="1:109" s="98" customFormat="1" ht="119.1" customHeight="1">
      <c r="A827" s="103" t="s">
        <v>1240</v>
      </c>
      <c r="B827" s="279" t="s">
        <v>3614</v>
      </c>
      <c r="C827" s="279" t="s">
        <v>1830</v>
      </c>
      <c r="D827" s="279">
        <v>72</v>
      </c>
      <c r="E827" s="279" t="s">
        <v>1831</v>
      </c>
      <c r="F827" s="280" t="s">
        <v>280</v>
      </c>
      <c r="G827" s="279" t="s">
        <v>3834</v>
      </c>
      <c r="H827" s="279">
        <v>87</v>
      </c>
      <c r="I827" s="279" t="s">
        <v>1832</v>
      </c>
      <c r="J827" s="279" t="s">
        <v>677</v>
      </c>
      <c r="K827" s="279">
        <v>40</v>
      </c>
      <c r="L827" s="279" t="s">
        <v>1833</v>
      </c>
      <c r="M827" s="279" t="s">
        <v>1834</v>
      </c>
      <c r="N827" s="279" t="s">
        <v>1835</v>
      </c>
      <c r="O827" s="279" t="s">
        <v>281</v>
      </c>
      <c r="P827" s="283">
        <v>733</v>
      </c>
      <c r="Q827" s="279" t="s">
        <v>3918</v>
      </c>
      <c r="R827" s="279" t="s">
        <v>1836</v>
      </c>
      <c r="S827" s="279" t="s">
        <v>683</v>
      </c>
      <c r="T827" s="279">
        <v>6</v>
      </c>
      <c r="U827" s="267">
        <v>3</v>
      </c>
      <c r="V827" s="267">
        <v>3</v>
      </c>
      <c r="W827" s="224">
        <v>6</v>
      </c>
      <c r="X827" s="267">
        <v>3</v>
      </c>
      <c r="Y827" s="267"/>
      <c r="Z827" s="267">
        <v>3</v>
      </c>
      <c r="AA827" s="267"/>
      <c r="AB827" s="224">
        <v>6</v>
      </c>
      <c r="AC827" s="267"/>
      <c r="AD827" s="267">
        <v>3</v>
      </c>
      <c r="AE827" s="267">
        <v>3</v>
      </c>
      <c r="AF827" s="267"/>
      <c r="AG827" s="224">
        <v>6</v>
      </c>
      <c r="AH827" s="267">
        <v>3</v>
      </c>
      <c r="AI827" s="267">
        <v>3</v>
      </c>
      <c r="AJ827" s="267"/>
      <c r="AK827" s="267"/>
      <c r="AL827" s="224">
        <v>6</v>
      </c>
      <c r="AM827" s="104">
        <v>6</v>
      </c>
      <c r="AN827" s="103" t="s">
        <v>686</v>
      </c>
      <c r="AO827" s="103" t="s">
        <v>624</v>
      </c>
      <c r="AP827" s="103" t="s">
        <v>1224</v>
      </c>
      <c r="AQ827" s="103" t="s">
        <v>1192</v>
      </c>
      <c r="AR827" s="103" t="s">
        <v>946</v>
      </c>
      <c r="AS827" s="271"/>
      <c r="AT827" s="271"/>
      <c r="AU827" s="271"/>
      <c r="AV827" s="271"/>
      <c r="AW827" s="271">
        <v>51324000</v>
      </c>
      <c r="AX827" s="271"/>
      <c r="AY827" s="271"/>
      <c r="AZ827" s="271"/>
      <c r="BA827" s="271"/>
      <c r="BB827" s="271"/>
      <c r="BC827" s="271"/>
      <c r="BD827" s="271"/>
      <c r="BE827" s="271"/>
      <c r="BF827" s="271"/>
      <c r="BG827" s="271"/>
      <c r="BH827" s="235">
        <v>51324000</v>
      </c>
      <c r="BI827" s="271"/>
      <c r="BJ827" s="271"/>
      <c r="BK827" s="271"/>
      <c r="BL827" s="271"/>
      <c r="BM827" s="271">
        <v>61580000</v>
      </c>
      <c r="BN827" s="271"/>
      <c r="BO827" s="271"/>
      <c r="BP827" s="271"/>
      <c r="BQ827" s="271"/>
      <c r="BR827" s="271"/>
      <c r="BS827" s="271"/>
      <c r="BT827" s="271"/>
      <c r="BU827" s="271"/>
      <c r="BV827" s="271"/>
      <c r="BW827" s="271"/>
      <c r="BX827" s="235">
        <v>61580000</v>
      </c>
      <c r="BY827" s="271"/>
      <c r="BZ827" s="271"/>
      <c r="CA827" s="271"/>
      <c r="CB827" s="271"/>
      <c r="CC827" s="271">
        <v>42250000</v>
      </c>
      <c r="CD827" s="271"/>
      <c r="CE827" s="271"/>
      <c r="CF827" s="271"/>
      <c r="CG827" s="271"/>
      <c r="CH827" s="271"/>
      <c r="CI827" s="271"/>
      <c r="CJ827" s="271"/>
      <c r="CK827" s="271"/>
      <c r="CL827" s="271"/>
      <c r="CM827" s="271"/>
      <c r="CN827" s="235">
        <v>42250000</v>
      </c>
      <c r="CO827" s="271"/>
      <c r="CP827" s="271"/>
      <c r="CQ827" s="271"/>
      <c r="CR827" s="271"/>
      <c r="CS827" s="271">
        <v>30000000</v>
      </c>
      <c r="CT827" s="271"/>
      <c r="CU827" s="271"/>
      <c r="CV827" s="271"/>
      <c r="CW827" s="271"/>
      <c r="CX827" s="271"/>
      <c r="CY827" s="271"/>
      <c r="CZ827" s="271"/>
      <c r="DA827" s="271"/>
      <c r="DB827" s="271"/>
      <c r="DC827" s="271"/>
      <c r="DD827" s="234">
        <v>30000000</v>
      </c>
      <c r="DE827" s="244">
        <v>185154000</v>
      </c>
    </row>
    <row r="828" spans="1:109" s="98" customFormat="1" ht="119.1" customHeight="1">
      <c r="A828" s="103" t="s">
        <v>1240</v>
      </c>
      <c r="B828" s="279" t="s">
        <v>3614</v>
      </c>
      <c r="C828" s="279" t="s">
        <v>1830</v>
      </c>
      <c r="D828" s="279">
        <v>72</v>
      </c>
      <c r="E828" s="279" t="s">
        <v>1831</v>
      </c>
      <c r="F828" s="280" t="s">
        <v>280</v>
      </c>
      <c r="G828" s="279" t="s">
        <v>3834</v>
      </c>
      <c r="H828" s="279">
        <v>87</v>
      </c>
      <c r="I828" s="279" t="s">
        <v>1832</v>
      </c>
      <c r="J828" s="279" t="s">
        <v>677</v>
      </c>
      <c r="K828" s="279">
        <v>40</v>
      </c>
      <c r="L828" s="279" t="s">
        <v>1833</v>
      </c>
      <c r="M828" s="279" t="s">
        <v>1834</v>
      </c>
      <c r="N828" s="279" t="s">
        <v>1835</v>
      </c>
      <c r="O828" s="279" t="s">
        <v>281</v>
      </c>
      <c r="P828" s="283">
        <v>734</v>
      </c>
      <c r="Q828" s="279" t="s">
        <v>3919</v>
      </c>
      <c r="R828" s="279" t="s">
        <v>1836</v>
      </c>
      <c r="S828" s="279" t="s">
        <v>683</v>
      </c>
      <c r="T828" s="279">
        <v>6</v>
      </c>
      <c r="U828" s="267"/>
      <c r="V828" s="267"/>
      <c r="W828" s="224">
        <v>0</v>
      </c>
      <c r="X828" s="267"/>
      <c r="Y828" s="267"/>
      <c r="Z828" s="267"/>
      <c r="AA828" s="267"/>
      <c r="AB828" s="224">
        <v>0</v>
      </c>
      <c r="AC828" s="267"/>
      <c r="AD828" s="267">
        <v>0.7</v>
      </c>
      <c r="AE828" s="267"/>
      <c r="AF828" s="267"/>
      <c r="AG828" s="224">
        <v>0.7</v>
      </c>
      <c r="AH828" s="267">
        <v>8.3000000000000007</v>
      </c>
      <c r="AI828" s="267"/>
      <c r="AJ828" s="267"/>
      <c r="AK828" s="267"/>
      <c r="AL828" s="224">
        <v>8.3000000000000007</v>
      </c>
      <c r="AM828" s="104">
        <v>9</v>
      </c>
      <c r="AN828" s="103" t="s">
        <v>685</v>
      </c>
      <c r="AO828" s="103" t="s">
        <v>624</v>
      </c>
      <c r="AP828" s="103" t="s">
        <v>1224</v>
      </c>
      <c r="AQ828" s="103" t="s">
        <v>1192</v>
      </c>
      <c r="AR828" s="103" t="s">
        <v>946</v>
      </c>
      <c r="AS828" s="271"/>
      <c r="AT828" s="271"/>
      <c r="AU828" s="271"/>
      <c r="AV828" s="271"/>
      <c r="AW828" s="271"/>
      <c r="AX828" s="271"/>
      <c r="AY828" s="271"/>
      <c r="AZ828" s="271"/>
      <c r="BA828" s="271"/>
      <c r="BB828" s="271"/>
      <c r="BC828" s="271"/>
      <c r="BD828" s="271"/>
      <c r="BE828" s="271"/>
      <c r="BF828" s="271"/>
      <c r="BG828" s="271"/>
      <c r="BH828" s="235">
        <v>0</v>
      </c>
      <c r="BI828" s="271"/>
      <c r="BJ828" s="271"/>
      <c r="BK828" s="271"/>
      <c r="BL828" s="271"/>
      <c r="BM828" s="271"/>
      <c r="BN828" s="271"/>
      <c r="BO828" s="271"/>
      <c r="BP828" s="271"/>
      <c r="BQ828" s="271"/>
      <c r="BR828" s="271"/>
      <c r="BS828" s="271"/>
      <c r="BT828" s="271"/>
      <c r="BU828" s="271"/>
      <c r="BV828" s="271"/>
      <c r="BW828" s="271"/>
      <c r="BX828" s="235">
        <v>0</v>
      </c>
      <c r="BY828" s="271"/>
      <c r="BZ828" s="271"/>
      <c r="CA828" s="271"/>
      <c r="CB828" s="271"/>
      <c r="CC828" s="271">
        <v>42250000</v>
      </c>
      <c r="CD828" s="271"/>
      <c r="CE828" s="271"/>
      <c r="CF828" s="271"/>
      <c r="CG828" s="271"/>
      <c r="CH828" s="271"/>
      <c r="CI828" s="271"/>
      <c r="CJ828" s="271"/>
      <c r="CK828" s="271"/>
      <c r="CL828" s="271"/>
      <c r="CM828" s="271"/>
      <c r="CN828" s="235">
        <v>42250000</v>
      </c>
      <c r="CO828" s="271"/>
      <c r="CP828" s="271"/>
      <c r="CQ828" s="271"/>
      <c r="CR828" s="271"/>
      <c r="CS828" s="271"/>
      <c r="CT828" s="271"/>
      <c r="CU828" s="271"/>
      <c r="CV828" s="271"/>
      <c r="CW828" s="271"/>
      <c r="CX828" s="271"/>
      <c r="CY828" s="271"/>
      <c r="CZ828" s="271"/>
      <c r="DA828" s="271"/>
      <c r="DB828" s="271"/>
      <c r="DC828" s="271">
        <v>7861100314</v>
      </c>
      <c r="DD828" s="234">
        <v>7861100314</v>
      </c>
      <c r="DE828" s="244">
        <v>7903350314</v>
      </c>
    </row>
    <row r="829" spans="1:109" s="98" customFormat="1" ht="119.1" customHeight="1">
      <c r="A829" s="103" t="s">
        <v>1240</v>
      </c>
      <c r="B829" s="279" t="s">
        <v>3614</v>
      </c>
      <c r="C829" s="279" t="s">
        <v>1830</v>
      </c>
      <c r="D829" s="279">
        <v>72</v>
      </c>
      <c r="E829" s="279" t="s">
        <v>1831</v>
      </c>
      <c r="F829" s="280" t="s">
        <v>280</v>
      </c>
      <c r="G829" s="279" t="s">
        <v>3834</v>
      </c>
      <c r="H829" s="279">
        <v>87</v>
      </c>
      <c r="I829" s="279" t="s">
        <v>1832</v>
      </c>
      <c r="J829" s="279" t="s">
        <v>677</v>
      </c>
      <c r="K829" s="279">
        <v>40</v>
      </c>
      <c r="L829" s="279" t="s">
        <v>1833</v>
      </c>
      <c r="M829" s="279" t="s">
        <v>1834</v>
      </c>
      <c r="N829" s="279" t="s">
        <v>1835</v>
      </c>
      <c r="O829" s="279" t="s">
        <v>281</v>
      </c>
      <c r="P829" s="283">
        <v>735</v>
      </c>
      <c r="Q829" s="279" t="s">
        <v>3837</v>
      </c>
      <c r="R829" s="279" t="s">
        <v>284</v>
      </c>
      <c r="S829" s="279" t="s">
        <v>683</v>
      </c>
      <c r="T829" s="279">
        <v>2</v>
      </c>
      <c r="U829" s="267">
        <v>1</v>
      </c>
      <c r="V829" s="267">
        <v>1</v>
      </c>
      <c r="W829" s="224">
        <v>2</v>
      </c>
      <c r="X829" s="267"/>
      <c r="Y829" s="267">
        <v>1</v>
      </c>
      <c r="Z829" s="267">
        <v>1</v>
      </c>
      <c r="AA829" s="267"/>
      <c r="AB829" s="224">
        <v>2</v>
      </c>
      <c r="AC829" s="267"/>
      <c r="AD829" s="267"/>
      <c r="AE829" s="267">
        <v>1</v>
      </c>
      <c r="AF829" s="267">
        <v>1</v>
      </c>
      <c r="AG829" s="224">
        <v>2</v>
      </c>
      <c r="AH829" s="267"/>
      <c r="AI829" s="267">
        <v>1</v>
      </c>
      <c r="AJ829" s="267">
        <v>1</v>
      </c>
      <c r="AK829" s="267"/>
      <c r="AL829" s="224">
        <v>2</v>
      </c>
      <c r="AM829" s="104">
        <v>2</v>
      </c>
      <c r="AN829" s="103" t="s">
        <v>686</v>
      </c>
      <c r="AO829" s="103" t="s">
        <v>624</v>
      </c>
      <c r="AP829" s="103" t="s">
        <v>1224</v>
      </c>
      <c r="AQ829" s="103" t="s">
        <v>1192</v>
      </c>
      <c r="AR829" s="103" t="s">
        <v>946</v>
      </c>
      <c r="AS829" s="271"/>
      <c r="AT829" s="271"/>
      <c r="AU829" s="271"/>
      <c r="AV829" s="271"/>
      <c r="AW829" s="271">
        <v>20450000</v>
      </c>
      <c r="AX829" s="271"/>
      <c r="AY829" s="271"/>
      <c r="AZ829" s="271"/>
      <c r="BA829" s="271"/>
      <c r="BB829" s="271"/>
      <c r="BC829" s="271"/>
      <c r="BD829" s="271"/>
      <c r="BE829" s="271"/>
      <c r="BF829" s="271"/>
      <c r="BG829" s="271"/>
      <c r="BH829" s="235">
        <v>20450000</v>
      </c>
      <c r="BI829" s="271"/>
      <c r="BJ829" s="271"/>
      <c r="BK829" s="271"/>
      <c r="BL829" s="271"/>
      <c r="BM829" s="271">
        <v>15700000</v>
      </c>
      <c r="BN829" s="271"/>
      <c r="BO829" s="271"/>
      <c r="BP829" s="271"/>
      <c r="BQ829" s="271"/>
      <c r="BR829" s="271"/>
      <c r="BS829" s="271"/>
      <c r="BT829" s="271"/>
      <c r="BU829" s="271"/>
      <c r="BV829" s="271"/>
      <c r="BW829" s="271"/>
      <c r="BX829" s="235">
        <v>15700000</v>
      </c>
      <c r="BY829" s="271"/>
      <c r="BZ829" s="271"/>
      <c r="CA829" s="271"/>
      <c r="CB829" s="271"/>
      <c r="CC829" s="271">
        <v>16200588</v>
      </c>
      <c r="CD829" s="271"/>
      <c r="CE829" s="271"/>
      <c r="CF829" s="271"/>
      <c r="CG829" s="271"/>
      <c r="CH829" s="271"/>
      <c r="CI829" s="271"/>
      <c r="CJ829" s="271"/>
      <c r="CK829" s="271"/>
      <c r="CL829" s="271"/>
      <c r="CM829" s="271"/>
      <c r="CN829" s="235">
        <v>16200588</v>
      </c>
      <c r="CO829" s="271"/>
      <c r="CP829" s="271"/>
      <c r="CQ829" s="271"/>
      <c r="CR829" s="271"/>
      <c r="CS829" s="271">
        <v>30000000</v>
      </c>
      <c r="CT829" s="271"/>
      <c r="CU829" s="271"/>
      <c r="CV829" s="271"/>
      <c r="CW829" s="271"/>
      <c r="CX829" s="271"/>
      <c r="CY829" s="271"/>
      <c r="CZ829" s="271"/>
      <c r="DA829" s="271"/>
      <c r="DB829" s="271"/>
      <c r="DC829" s="271"/>
      <c r="DD829" s="234">
        <v>30000000</v>
      </c>
      <c r="DE829" s="244">
        <v>82350588</v>
      </c>
    </row>
    <row r="830" spans="1:109" s="98" customFormat="1" ht="119.1" customHeight="1">
      <c r="A830" s="103" t="s">
        <v>1240</v>
      </c>
      <c r="B830" s="279" t="s">
        <v>3614</v>
      </c>
      <c r="C830" s="279" t="s">
        <v>1830</v>
      </c>
      <c r="D830" s="279">
        <v>72</v>
      </c>
      <c r="E830" s="279" t="s">
        <v>1831</v>
      </c>
      <c r="F830" s="280" t="s">
        <v>280</v>
      </c>
      <c r="G830" s="279" t="s">
        <v>3834</v>
      </c>
      <c r="H830" s="279">
        <v>87</v>
      </c>
      <c r="I830" s="279" t="s">
        <v>1832</v>
      </c>
      <c r="J830" s="279" t="s">
        <v>677</v>
      </c>
      <c r="K830" s="279">
        <v>40</v>
      </c>
      <c r="L830" s="279" t="s">
        <v>1833</v>
      </c>
      <c r="M830" s="279" t="s">
        <v>1834</v>
      </c>
      <c r="N830" s="279" t="s">
        <v>1835</v>
      </c>
      <c r="O830" s="279" t="s">
        <v>281</v>
      </c>
      <c r="P830" s="283">
        <v>736</v>
      </c>
      <c r="Q830" s="279" t="s">
        <v>3838</v>
      </c>
      <c r="R830" s="279" t="s">
        <v>284</v>
      </c>
      <c r="S830" s="279" t="s">
        <v>683</v>
      </c>
      <c r="T830" s="279">
        <v>2</v>
      </c>
      <c r="U830" s="267"/>
      <c r="V830" s="267">
        <v>0.5</v>
      </c>
      <c r="W830" s="224">
        <v>0.5</v>
      </c>
      <c r="X830" s="267"/>
      <c r="Y830" s="267"/>
      <c r="Z830" s="267">
        <v>1</v>
      </c>
      <c r="AA830" s="267"/>
      <c r="AB830" s="224">
        <v>1</v>
      </c>
      <c r="AC830" s="267"/>
      <c r="AD830" s="267"/>
      <c r="AE830" s="267">
        <v>1</v>
      </c>
      <c r="AF830" s="267"/>
      <c r="AG830" s="224">
        <v>1</v>
      </c>
      <c r="AH830" s="267"/>
      <c r="AI830" s="267">
        <v>0.5</v>
      </c>
      <c r="AJ830" s="267"/>
      <c r="AK830" s="267"/>
      <c r="AL830" s="224">
        <v>0.5</v>
      </c>
      <c r="AM830" s="104">
        <v>3</v>
      </c>
      <c r="AN830" s="103" t="s">
        <v>685</v>
      </c>
      <c r="AO830" s="103" t="s">
        <v>1212</v>
      </c>
      <c r="AP830" s="103" t="s">
        <v>1229</v>
      </c>
      <c r="AQ830" s="103" t="s">
        <v>1192</v>
      </c>
      <c r="AR830" s="103" t="s">
        <v>946</v>
      </c>
      <c r="AS830" s="271"/>
      <c r="AT830" s="271"/>
      <c r="AU830" s="271"/>
      <c r="AV830" s="271"/>
      <c r="AW830" s="271">
        <v>20450000</v>
      </c>
      <c r="AX830" s="271"/>
      <c r="AY830" s="271"/>
      <c r="AZ830" s="271"/>
      <c r="BA830" s="271"/>
      <c r="BB830" s="271"/>
      <c r="BC830" s="271"/>
      <c r="BD830" s="271"/>
      <c r="BE830" s="271"/>
      <c r="BF830" s="271"/>
      <c r="BG830" s="271"/>
      <c r="BH830" s="235">
        <v>20450000</v>
      </c>
      <c r="BI830" s="271"/>
      <c r="BJ830" s="271"/>
      <c r="BK830" s="271"/>
      <c r="BL830" s="271"/>
      <c r="BM830" s="271">
        <v>15500000</v>
      </c>
      <c r="BN830" s="271"/>
      <c r="BO830" s="271"/>
      <c r="BP830" s="271"/>
      <c r="BQ830" s="271"/>
      <c r="BR830" s="271"/>
      <c r="BS830" s="271"/>
      <c r="BT830" s="271"/>
      <c r="BU830" s="271"/>
      <c r="BV830" s="271"/>
      <c r="BW830" s="271"/>
      <c r="BX830" s="235">
        <v>15500000</v>
      </c>
      <c r="BY830" s="271"/>
      <c r="BZ830" s="271"/>
      <c r="CA830" s="271"/>
      <c r="CB830" s="271"/>
      <c r="CC830" s="271">
        <v>15000000</v>
      </c>
      <c r="CD830" s="271"/>
      <c r="CE830" s="271"/>
      <c r="CF830" s="271"/>
      <c r="CG830" s="271"/>
      <c r="CH830" s="271"/>
      <c r="CI830" s="271"/>
      <c r="CJ830" s="271"/>
      <c r="CK830" s="271"/>
      <c r="CL830" s="271"/>
      <c r="CM830" s="271"/>
      <c r="CN830" s="235">
        <v>15000000</v>
      </c>
      <c r="CO830" s="271"/>
      <c r="CP830" s="271"/>
      <c r="CQ830" s="271"/>
      <c r="CR830" s="271"/>
      <c r="CS830" s="271">
        <v>24246000</v>
      </c>
      <c r="CT830" s="271"/>
      <c r="CU830" s="271"/>
      <c r="CV830" s="271"/>
      <c r="CW830" s="271"/>
      <c r="CX830" s="271"/>
      <c r="CY830" s="271"/>
      <c r="CZ830" s="271"/>
      <c r="DA830" s="271"/>
      <c r="DB830" s="271"/>
      <c r="DC830" s="271"/>
      <c r="DD830" s="234">
        <v>24246000</v>
      </c>
      <c r="DE830" s="244">
        <v>75196000</v>
      </c>
    </row>
    <row r="831" spans="1:109" s="98" customFormat="1" ht="119.1" customHeight="1">
      <c r="A831" s="103" t="s">
        <v>1240</v>
      </c>
      <c r="B831" s="279" t="s">
        <v>3614</v>
      </c>
      <c r="C831" s="279" t="s">
        <v>1830</v>
      </c>
      <c r="D831" s="279">
        <v>72</v>
      </c>
      <c r="E831" s="279" t="s">
        <v>1831</v>
      </c>
      <c r="F831" s="280" t="s">
        <v>280</v>
      </c>
      <c r="G831" s="279" t="s">
        <v>3839</v>
      </c>
      <c r="H831" s="279">
        <v>88</v>
      </c>
      <c r="I831" s="279" t="s">
        <v>1837</v>
      </c>
      <c r="J831" s="279" t="s">
        <v>683</v>
      </c>
      <c r="K831" s="279">
        <v>47</v>
      </c>
      <c r="L831" s="279" t="s">
        <v>1838</v>
      </c>
      <c r="M831" s="279" t="s">
        <v>1839</v>
      </c>
      <c r="N831" s="279" t="s">
        <v>1840</v>
      </c>
      <c r="O831" s="279" t="s">
        <v>1841</v>
      </c>
      <c r="P831" s="283">
        <v>737</v>
      </c>
      <c r="Q831" s="279" t="s">
        <v>3920</v>
      </c>
      <c r="R831" s="279" t="s">
        <v>1842</v>
      </c>
      <c r="S831" s="279" t="s">
        <v>683</v>
      </c>
      <c r="T831" s="279">
        <v>0</v>
      </c>
      <c r="U831" s="267">
        <v>10</v>
      </c>
      <c r="V831" s="267">
        <v>10</v>
      </c>
      <c r="W831" s="224">
        <v>20</v>
      </c>
      <c r="X831" s="267"/>
      <c r="Y831" s="267">
        <v>10</v>
      </c>
      <c r="Z831" s="267">
        <v>10</v>
      </c>
      <c r="AA831" s="267">
        <v>10</v>
      </c>
      <c r="AB831" s="224">
        <v>30</v>
      </c>
      <c r="AC831" s="267"/>
      <c r="AD831" s="267">
        <v>20</v>
      </c>
      <c r="AE831" s="267">
        <v>10</v>
      </c>
      <c r="AF831" s="267">
        <v>10</v>
      </c>
      <c r="AG831" s="224">
        <v>40</v>
      </c>
      <c r="AH831" s="267"/>
      <c r="AI831" s="267">
        <v>10</v>
      </c>
      <c r="AJ831" s="267">
        <v>10</v>
      </c>
      <c r="AK831" s="267">
        <v>10</v>
      </c>
      <c r="AL831" s="224">
        <v>30</v>
      </c>
      <c r="AM831" s="104">
        <v>120</v>
      </c>
      <c r="AN831" s="103" t="s">
        <v>685</v>
      </c>
      <c r="AO831" s="103" t="s">
        <v>1212</v>
      </c>
      <c r="AP831" s="103" t="s">
        <v>1229</v>
      </c>
      <c r="AQ831" s="103" t="s">
        <v>1192</v>
      </c>
      <c r="AR831" s="103" t="s">
        <v>946</v>
      </c>
      <c r="AS831" s="271"/>
      <c r="AT831" s="271"/>
      <c r="AU831" s="271"/>
      <c r="AV831" s="271"/>
      <c r="AW831" s="271">
        <v>51300000</v>
      </c>
      <c r="AX831" s="271"/>
      <c r="AY831" s="271"/>
      <c r="AZ831" s="271"/>
      <c r="BA831" s="271"/>
      <c r="BB831" s="271"/>
      <c r="BC831" s="271"/>
      <c r="BD831" s="271"/>
      <c r="BE831" s="271"/>
      <c r="BF831" s="271"/>
      <c r="BG831" s="271"/>
      <c r="BH831" s="235">
        <v>51300000</v>
      </c>
      <c r="BI831" s="271"/>
      <c r="BJ831" s="271"/>
      <c r="BK831" s="271"/>
      <c r="BL831" s="271"/>
      <c r="BM831" s="271">
        <v>44620000</v>
      </c>
      <c r="BN831" s="271"/>
      <c r="BO831" s="271"/>
      <c r="BP831" s="271"/>
      <c r="BQ831" s="271"/>
      <c r="BR831" s="271"/>
      <c r="BS831" s="271"/>
      <c r="BT831" s="271"/>
      <c r="BU831" s="271"/>
      <c r="BV831" s="271"/>
      <c r="BW831" s="271"/>
      <c r="BX831" s="235">
        <v>44620000</v>
      </c>
      <c r="BY831" s="271"/>
      <c r="BZ831" s="271"/>
      <c r="CA831" s="271"/>
      <c r="CB831" s="271"/>
      <c r="CC831" s="271">
        <v>51830000</v>
      </c>
      <c r="CD831" s="271"/>
      <c r="CE831" s="271"/>
      <c r="CF831" s="271"/>
      <c r="CG831" s="271"/>
      <c r="CH831" s="271"/>
      <c r="CI831" s="271"/>
      <c r="CJ831" s="271"/>
      <c r="CK831" s="271"/>
      <c r="CL831" s="271"/>
      <c r="CM831" s="271"/>
      <c r="CN831" s="235">
        <v>51830000</v>
      </c>
      <c r="CO831" s="271"/>
      <c r="CP831" s="271"/>
      <c r="CQ831" s="271"/>
      <c r="CR831" s="271"/>
      <c r="CS831" s="271">
        <v>52097000</v>
      </c>
      <c r="CT831" s="271"/>
      <c r="CU831" s="271"/>
      <c r="CV831" s="271"/>
      <c r="CW831" s="271"/>
      <c r="CX831" s="271"/>
      <c r="CY831" s="271"/>
      <c r="CZ831" s="271"/>
      <c r="DA831" s="271"/>
      <c r="DB831" s="271"/>
      <c r="DC831" s="271"/>
      <c r="DD831" s="234">
        <v>52097000</v>
      </c>
      <c r="DE831" s="244">
        <v>199847000</v>
      </c>
    </row>
    <row r="832" spans="1:109" s="98" customFormat="1" ht="119.1" customHeight="1">
      <c r="A832" s="103" t="s">
        <v>1240</v>
      </c>
      <c r="B832" s="279" t="s">
        <v>3614</v>
      </c>
      <c r="C832" s="279" t="s">
        <v>1830</v>
      </c>
      <c r="D832" s="279">
        <v>72</v>
      </c>
      <c r="E832" s="279" t="s">
        <v>1831</v>
      </c>
      <c r="F832" s="280" t="s">
        <v>280</v>
      </c>
      <c r="G832" s="279" t="s">
        <v>3839</v>
      </c>
      <c r="H832" s="279">
        <v>88</v>
      </c>
      <c r="I832" s="279" t="s">
        <v>1837</v>
      </c>
      <c r="J832" s="279" t="s">
        <v>683</v>
      </c>
      <c r="K832" s="279">
        <v>47</v>
      </c>
      <c r="L832" s="279" t="s">
        <v>1838</v>
      </c>
      <c r="M832" s="279" t="s">
        <v>1839</v>
      </c>
      <c r="N832" s="279" t="s">
        <v>1840</v>
      </c>
      <c r="O832" s="279" t="s">
        <v>1841</v>
      </c>
      <c r="P832" s="283">
        <v>738</v>
      </c>
      <c r="Q832" s="279" t="s">
        <v>3840</v>
      </c>
      <c r="R832" s="279" t="s">
        <v>289</v>
      </c>
      <c r="S832" s="279" t="s">
        <v>683</v>
      </c>
      <c r="T832" s="279">
        <v>3</v>
      </c>
      <c r="U832" s="267"/>
      <c r="V832" s="267">
        <v>0.3</v>
      </c>
      <c r="W832" s="224">
        <v>0.3</v>
      </c>
      <c r="X832" s="267"/>
      <c r="Y832" s="267">
        <v>0.7</v>
      </c>
      <c r="Z832" s="267"/>
      <c r="AA832" s="267"/>
      <c r="AB832" s="224">
        <v>0.7</v>
      </c>
      <c r="AC832" s="267"/>
      <c r="AD832" s="267"/>
      <c r="AE832" s="267">
        <v>1</v>
      </c>
      <c r="AF832" s="267"/>
      <c r="AG832" s="224">
        <v>1</v>
      </c>
      <c r="AH832" s="267"/>
      <c r="AI832" s="267"/>
      <c r="AJ832" s="267">
        <v>1</v>
      </c>
      <c r="AK832" s="267"/>
      <c r="AL832" s="224">
        <v>1</v>
      </c>
      <c r="AM832" s="104">
        <v>3</v>
      </c>
      <c r="AN832" s="103" t="s">
        <v>685</v>
      </c>
      <c r="AO832" s="103" t="s">
        <v>1212</v>
      </c>
      <c r="AP832" s="103" t="s">
        <v>1229</v>
      </c>
      <c r="AQ832" s="103" t="s">
        <v>1192</v>
      </c>
      <c r="AR832" s="103" t="s">
        <v>946</v>
      </c>
      <c r="AS832" s="271"/>
      <c r="AT832" s="271"/>
      <c r="AU832" s="271"/>
      <c r="AV832" s="271"/>
      <c r="AW832" s="271">
        <v>32400000</v>
      </c>
      <c r="AX832" s="271"/>
      <c r="AY832" s="271"/>
      <c r="AZ832" s="271"/>
      <c r="BA832" s="271"/>
      <c r="BB832" s="271"/>
      <c r="BC832" s="271"/>
      <c r="BD832" s="271"/>
      <c r="BE832" s="271"/>
      <c r="BF832" s="271"/>
      <c r="BG832" s="271"/>
      <c r="BH832" s="235">
        <v>32400000</v>
      </c>
      <c r="BI832" s="271"/>
      <c r="BJ832" s="271"/>
      <c r="BK832" s="271"/>
      <c r="BL832" s="271"/>
      <c r="BM832" s="271">
        <v>32500000</v>
      </c>
      <c r="BN832" s="271"/>
      <c r="BO832" s="271"/>
      <c r="BP832" s="271"/>
      <c r="BQ832" s="271"/>
      <c r="BR832" s="271"/>
      <c r="BS832" s="271"/>
      <c r="BT832" s="271"/>
      <c r="BU832" s="271"/>
      <c r="BV832" s="271"/>
      <c r="BW832" s="271"/>
      <c r="BX832" s="235">
        <v>32500000</v>
      </c>
      <c r="BY832" s="271"/>
      <c r="BZ832" s="271"/>
      <c r="CA832" s="271"/>
      <c r="CB832" s="271"/>
      <c r="CC832" s="271">
        <v>77560000</v>
      </c>
      <c r="CD832" s="271"/>
      <c r="CE832" s="271"/>
      <c r="CF832" s="271"/>
      <c r="CG832" s="271"/>
      <c r="CH832" s="271"/>
      <c r="CI832" s="271"/>
      <c r="CJ832" s="271"/>
      <c r="CK832" s="271"/>
      <c r="CL832" s="271"/>
      <c r="CM832" s="271"/>
      <c r="CN832" s="235">
        <v>77560000</v>
      </c>
      <c r="CO832" s="271"/>
      <c r="CP832" s="271"/>
      <c r="CQ832" s="271"/>
      <c r="CR832" s="271"/>
      <c r="CS832" s="271">
        <v>77957000</v>
      </c>
      <c r="CT832" s="271"/>
      <c r="CU832" s="271"/>
      <c r="CV832" s="271"/>
      <c r="CW832" s="271"/>
      <c r="CX832" s="271"/>
      <c r="CY832" s="271"/>
      <c r="CZ832" s="271"/>
      <c r="DA832" s="271"/>
      <c r="DB832" s="271"/>
      <c r="DC832" s="271"/>
      <c r="DD832" s="234">
        <v>77957000</v>
      </c>
      <c r="DE832" s="244">
        <v>220417000</v>
      </c>
    </row>
    <row r="833" spans="1:110" s="98" customFormat="1" ht="119.1" customHeight="1">
      <c r="A833" s="120" t="s">
        <v>1240</v>
      </c>
      <c r="B833" s="281" t="s">
        <v>3614</v>
      </c>
      <c r="C833" s="281" t="s">
        <v>1830</v>
      </c>
      <c r="D833" s="281">
        <v>72</v>
      </c>
      <c r="E833" s="281" t="s">
        <v>1831</v>
      </c>
      <c r="F833" s="282" t="s">
        <v>280</v>
      </c>
      <c r="G833" s="281" t="s">
        <v>3839</v>
      </c>
      <c r="H833" s="281">
        <v>88</v>
      </c>
      <c r="I833" s="281" t="s">
        <v>1837</v>
      </c>
      <c r="J833" s="281" t="s">
        <v>683</v>
      </c>
      <c r="K833" s="281">
        <v>47</v>
      </c>
      <c r="L833" s="281" t="s">
        <v>1838</v>
      </c>
      <c r="M833" s="281" t="s">
        <v>1839</v>
      </c>
      <c r="N833" s="281" t="s">
        <v>1840</v>
      </c>
      <c r="O833" s="281" t="s">
        <v>1841</v>
      </c>
      <c r="P833" s="283">
        <v>739</v>
      </c>
      <c r="Q833" s="281" t="s">
        <v>3841</v>
      </c>
      <c r="R833" s="281" t="s">
        <v>292</v>
      </c>
      <c r="S833" s="281" t="s">
        <v>683</v>
      </c>
      <c r="T833" s="281">
        <v>3</v>
      </c>
      <c r="U833" s="275"/>
      <c r="V833" s="275">
        <v>0.2</v>
      </c>
      <c r="W833" s="225">
        <v>0.2</v>
      </c>
      <c r="X833" s="275"/>
      <c r="Y833" s="275"/>
      <c r="Z833" s="275">
        <v>0.3</v>
      </c>
      <c r="AA833" s="275"/>
      <c r="AB833" s="225">
        <v>0.3</v>
      </c>
      <c r="AC833" s="275"/>
      <c r="AD833" s="275">
        <v>0.5</v>
      </c>
      <c r="AE833" s="275"/>
      <c r="AF833" s="275"/>
      <c r="AG833" s="225">
        <v>0.5</v>
      </c>
      <c r="AH833" s="275"/>
      <c r="AI833" s="275">
        <v>1</v>
      </c>
      <c r="AJ833" s="275"/>
      <c r="AK833" s="275"/>
      <c r="AL833" s="225">
        <v>1</v>
      </c>
      <c r="AM833" s="119">
        <v>2</v>
      </c>
      <c r="AN833" s="120" t="s">
        <v>685</v>
      </c>
      <c r="AO833" s="120" t="s">
        <v>1212</v>
      </c>
      <c r="AP833" s="120" t="s">
        <v>1229</v>
      </c>
      <c r="AQ833" s="120" t="s">
        <v>1192</v>
      </c>
      <c r="AR833" s="120" t="s">
        <v>946</v>
      </c>
      <c r="AS833" s="276"/>
      <c r="AT833" s="276"/>
      <c r="AU833" s="276"/>
      <c r="AV833" s="276"/>
      <c r="AW833" s="276">
        <v>32400000</v>
      </c>
      <c r="AX833" s="276"/>
      <c r="AY833" s="276"/>
      <c r="AZ833" s="276"/>
      <c r="BA833" s="276"/>
      <c r="BB833" s="276"/>
      <c r="BC833" s="276"/>
      <c r="BD833" s="276"/>
      <c r="BE833" s="276"/>
      <c r="BF833" s="276"/>
      <c r="BG833" s="276"/>
      <c r="BH833" s="236">
        <v>32400000</v>
      </c>
      <c r="BI833" s="276"/>
      <c r="BJ833" s="276"/>
      <c r="BK833" s="276"/>
      <c r="BL833" s="276"/>
      <c r="BM833" s="276">
        <v>32500000</v>
      </c>
      <c r="BN833" s="276"/>
      <c r="BO833" s="276"/>
      <c r="BP833" s="276"/>
      <c r="BQ833" s="276"/>
      <c r="BR833" s="276"/>
      <c r="BS833" s="276"/>
      <c r="BT833" s="276"/>
      <c r="BU833" s="276"/>
      <c r="BV833" s="276"/>
      <c r="BW833" s="276"/>
      <c r="BX833" s="236">
        <v>32500000</v>
      </c>
      <c r="BY833" s="276"/>
      <c r="BZ833" s="276"/>
      <c r="CA833" s="276"/>
      <c r="CB833" s="276"/>
      <c r="CC833" s="276">
        <v>65400000</v>
      </c>
      <c r="CD833" s="276"/>
      <c r="CE833" s="276"/>
      <c r="CF833" s="276"/>
      <c r="CG833" s="276"/>
      <c r="CH833" s="276"/>
      <c r="CI833" s="276"/>
      <c r="CJ833" s="276"/>
      <c r="CK833" s="276"/>
      <c r="CL833" s="276"/>
      <c r="CM833" s="276"/>
      <c r="CN833" s="236">
        <v>65400000</v>
      </c>
      <c r="CO833" s="276"/>
      <c r="CP833" s="276"/>
      <c r="CQ833" s="276"/>
      <c r="CR833" s="276"/>
      <c r="CS833" s="276">
        <v>32800000</v>
      </c>
      <c r="CT833" s="276"/>
      <c r="CU833" s="276"/>
      <c r="CV833" s="276"/>
      <c r="CW833" s="276"/>
      <c r="CX833" s="276"/>
      <c r="CY833" s="276"/>
      <c r="CZ833" s="276"/>
      <c r="DA833" s="276"/>
      <c r="DB833" s="276"/>
      <c r="DC833" s="276"/>
      <c r="DD833" s="240">
        <v>32800000</v>
      </c>
      <c r="DE833" s="245">
        <v>163100000</v>
      </c>
    </row>
    <row r="834" spans="1:110" ht="65.099999999999994" customHeight="1">
      <c r="A834" s="118" t="s">
        <v>1240</v>
      </c>
      <c r="B834" s="118" t="s">
        <v>3614</v>
      </c>
      <c r="C834" s="118" t="s">
        <v>1830</v>
      </c>
      <c r="D834" s="118">
        <v>72</v>
      </c>
      <c r="E834" s="118" t="s">
        <v>1831</v>
      </c>
      <c r="F834" s="135"/>
      <c r="G834" s="136"/>
      <c r="H834" s="137"/>
      <c r="I834" s="137"/>
      <c r="J834" s="137"/>
      <c r="K834" s="138"/>
      <c r="L834" s="137"/>
      <c r="M834" s="137"/>
      <c r="N834" s="137"/>
      <c r="O834" s="137"/>
      <c r="P834" s="137"/>
      <c r="Q834" s="136"/>
      <c r="R834" s="139"/>
      <c r="S834" s="137"/>
      <c r="T834" s="137"/>
      <c r="U834" s="140"/>
      <c r="V834" s="140"/>
      <c r="W834" s="138"/>
      <c r="X834" s="140"/>
      <c r="Y834" s="140"/>
      <c r="Z834" s="140"/>
      <c r="AA834" s="140"/>
      <c r="AB834" s="138"/>
      <c r="AC834" s="140"/>
      <c r="AD834" s="140"/>
      <c r="AE834" s="140"/>
      <c r="AF834" s="140"/>
      <c r="AG834" s="138"/>
      <c r="AH834" s="140"/>
      <c r="AI834" s="140"/>
      <c r="AJ834" s="140"/>
      <c r="AK834" s="140"/>
      <c r="AL834" s="138"/>
      <c r="AM834" s="141"/>
      <c r="AN834" s="142"/>
      <c r="AO834" s="142"/>
      <c r="AP834" s="143"/>
      <c r="AQ834" s="143"/>
      <c r="AR834" s="144"/>
      <c r="AS834" s="132">
        <f>SUM(AS825:AS833)</f>
        <v>0</v>
      </c>
      <c r="AT834" s="132">
        <f t="shared" ref="AT834:DE834" si="378">SUM(AT825:AT833)</f>
        <v>0</v>
      </c>
      <c r="AU834" s="132">
        <f t="shared" si="378"/>
        <v>0</v>
      </c>
      <c r="AV834" s="132">
        <f t="shared" si="378"/>
        <v>0</v>
      </c>
      <c r="AW834" s="132">
        <f t="shared" si="378"/>
        <v>301500000</v>
      </c>
      <c r="AX834" s="132">
        <f t="shared" si="378"/>
        <v>0</v>
      </c>
      <c r="AY834" s="132">
        <f t="shared" si="378"/>
        <v>0</v>
      </c>
      <c r="AZ834" s="132">
        <f t="shared" si="378"/>
        <v>0</v>
      </c>
      <c r="BA834" s="132">
        <f t="shared" si="378"/>
        <v>0</v>
      </c>
      <c r="BB834" s="132">
        <f t="shared" si="378"/>
        <v>0</v>
      </c>
      <c r="BC834" s="132">
        <f t="shared" si="378"/>
        <v>0</v>
      </c>
      <c r="BD834" s="132">
        <f t="shared" si="378"/>
        <v>0</v>
      </c>
      <c r="BE834" s="132">
        <f t="shared" si="378"/>
        <v>0</v>
      </c>
      <c r="BF834" s="132">
        <f t="shared" si="378"/>
        <v>0</v>
      </c>
      <c r="BG834" s="132">
        <f t="shared" si="378"/>
        <v>0</v>
      </c>
      <c r="BH834" s="132">
        <f>IF(OR(AND(BH825=0,W825&lt;&gt;0),AND(BH826=0,W826&lt;&gt;0),AND(BH827=0,W827&lt;&gt;0),AND(BH828=0,W828&lt;&gt;0),AND(BH829=0,W829&lt;&gt;0),AND(BH830=0,W830&lt;&gt;0),AND(BH831=0,W831&lt;&gt;0),AND(BH832=0,W832&lt;&gt;0),AND(BH833=0,W833&lt;&gt;0)),"NO DEBEN QUEDAR CELDAS EN ROJO",SUM(BH825:BH833))</f>
        <v>301500000</v>
      </c>
      <c r="BI834" s="132">
        <f t="shared" si="378"/>
        <v>0</v>
      </c>
      <c r="BJ834" s="132">
        <f t="shared" si="378"/>
        <v>0</v>
      </c>
      <c r="BK834" s="132">
        <f t="shared" si="378"/>
        <v>0</v>
      </c>
      <c r="BL834" s="132">
        <f t="shared" si="378"/>
        <v>0</v>
      </c>
      <c r="BM834" s="132">
        <f t="shared" si="378"/>
        <v>313000000</v>
      </c>
      <c r="BN834" s="132">
        <f t="shared" si="378"/>
        <v>0</v>
      </c>
      <c r="BO834" s="132">
        <f t="shared" si="378"/>
        <v>0</v>
      </c>
      <c r="BP834" s="132">
        <f t="shared" si="378"/>
        <v>0</v>
      </c>
      <c r="BQ834" s="132">
        <f t="shared" si="378"/>
        <v>0</v>
      </c>
      <c r="BR834" s="132">
        <f t="shared" si="378"/>
        <v>0</v>
      </c>
      <c r="BS834" s="132">
        <f t="shared" si="378"/>
        <v>0</v>
      </c>
      <c r="BT834" s="132">
        <f t="shared" si="378"/>
        <v>0</v>
      </c>
      <c r="BU834" s="132">
        <f t="shared" si="378"/>
        <v>0</v>
      </c>
      <c r="BV834" s="132">
        <f t="shared" si="378"/>
        <v>0</v>
      </c>
      <c r="BW834" s="132">
        <f t="shared" si="378"/>
        <v>0</v>
      </c>
      <c r="BX834" s="132">
        <f>IF(OR(AND(BX825=0,AB825&lt;&gt;0),AND(BX826=0,AB826&lt;&gt;0),AND(BX827=0,AB827&lt;&gt;0),AND(BX828=0,AB828&lt;&gt;0),AND(BX829=0,AB829&lt;&gt;0),AND(BX830=0,AB830&lt;&gt;0),AND(BX831=0,AB831&lt;&gt;0),AND(BX832=0,AB832&lt;&gt;0),AND(BX833=0,AB833&lt;&gt;0)),"NO DEBEN QUEDAR CELDAS EN ROJO",SUM(BX825:BX833))</f>
        <v>313000000</v>
      </c>
      <c r="BY834" s="132">
        <f t="shared" si="378"/>
        <v>0</v>
      </c>
      <c r="BZ834" s="132">
        <f t="shared" si="378"/>
        <v>0</v>
      </c>
      <c r="CA834" s="132">
        <f t="shared" si="378"/>
        <v>0</v>
      </c>
      <c r="CB834" s="132">
        <f t="shared" si="378"/>
        <v>0</v>
      </c>
      <c r="CC834" s="132">
        <f t="shared" si="378"/>
        <v>475448588</v>
      </c>
      <c r="CD834" s="132">
        <f t="shared" si="378"/>
        <v>0</v>
      </c>
      <c r="CE834" s="132">
        <f t="shared" si="378"/>
        <v>0</v>
      </c>
      <c r="CF834" s="132">
        <f t="shared" si="378"/>
        <v>0</v>
      </c>
      <c r="CG834" s="132">
        <f t="shared" si="378"/>
        <v>0</v>
      </c>
      <c r="CH834" s="132">
        <f t="shared" si="378"/>
        <v>0</v>
      </c>
      <c r="CI834" s="132">
        <f t="shared" si="378"/>
        <v>0</v>
      </c>
      <c r="CJ834" s="132">
        <f t="shared" si="378"/>
        <v>0</v>
      </c>
      <c r="CK834" s="132">
        <f t="shared" si="378"/>
        <v>0</v>
      </c>
      <c r="CL834" s="132">
        <f t="shared" si="378"/>
        <v>0</v>
      </c>
      <c r="CM834" s="132">
        <f t="shared" si="378"/>
        <v>0</v>
      </c>
      <c r="CN834" s="132">
        <f>IF(OR(AND(CN825=0,AG825&lt;&gt;0),AND(CN826=0,AG826&lt;&gt;0),AND(CN827=0,AG827&lt;&gt;0),AND(CN828=0,AG828&lt;&gt;0),AND(CN829=0,AG829&lt;&gt;0),AND(CN830=0,AG830&lt;&gt;0),AND(CN831=0,AG831&lt;&gt;0),AND(CN832=0,AG832&lt;&gt;0),AND(CN833=0,AG833&lt;&gt;0)),"NO DEBEN QUEDAR CELDAS EN ROJO",SUM(CN825:CN833))</f>
        <v>475448588</v>
      </c>
      <c r="CO834" s="132">
        <f t="shared" si="378"/>
        <v>0</v>
      </c>
      <c r="CP834" s="132">
        <f t="shared" si="378"/>
        <v>0</v>
      </c>
      <c r="CQ834" s="132">
        <f t="shared" si="378"/>
        <v>0</v>
      </c>
      <c r="CR834" s="132">
        <f t="shared" si="378"/>
        <v>0</v>
      </c>
      <c r="CS834" s="132">
        <f t="shared" si="378"/>
        <v>383000000</v>
      </c>
      <c r="CT834" s="132">
        <f t="shared" si="378"/>
        <v>0</v>
      </c>
      <c r="CU834" s="132">
        <f t="shared" si="378"/>
        <v>0</v>
      </c>
      <c r="CV834" s="132">
        <f t="shared" si="378"/>
        <v>0</v>
      </c>
      <c r="CW834" s="132">
        <f t="shared" si="378"/>
        <v>0</v>
      </c>
      <c r="CX834" s="132">
        <f t="shared" si="378"/>
        <v>0</v>
      </c>
      <c r="CY834" s="132">
        <f t="shared" si="378"/>
        <v>0</v>
      </c>
      <c r="CZ834" s="132">
        <f t="shared" si="378"/>
        <v>0</v>
      </c>
      <c r="DA834" s="132">
        <f t="shared" si="378"/>
        <v>0</v>
      </c>
      <c r="DB834" s="132">
        <f t="shared" si="378"/>
        <v>0</v>
      </c>
      <c r="DC834" s="132">
        <f t="shared" si="378"/>
        <v>7861100314</v>
      </c>
      <c r="DD834" s="132">
        <f>IF(OR(AND(DD825=0,AL825&lt;&gt;0),AND(DD826=0,AL826&lt;&gt;0),AND(DD827=0,AL827&lt;&gt;0),AND(DD828=0,AL828&lt;&gt;0),AND(DD829=0,AL829&lt;&gt;0),AND(DD830=0,AL830&lt;&gt;0),AND(DD831=0,AL831&lt;&gt;0),AND(DD832=0,AL832&lt;&gt;0),AND(DD833=0,AL833&lt;&gt;0)),"NO DEBEN QUEDAR CELDAS EN ROJO",SUM(DD825:DD833))</f>
        <v>8244100314</v>
      </c>
      <c r="DE834" s="132">
        <f t="shared" si="378"/>
        <v>9334048902</v>
      </c>
      <c r="DF834" s="101"/>
    </row>
    <row r="835" spans="1:110" s="98" customFormat="1" ht="119.1" customHeight="1">
      <c r="A835" s="103" t="s">
        <v>1240</v>
      </c>
      <c r="B835" s="103" t="s">
        <v>3614</v>
      </c>
      <c r="C835" s="103" t="s">
        <v>1830</v>
      </c>
      <c r="D835" s="103">
        <v>73</v>
      </c>
      <c r="E835" s="103" t="s">
        <v>1843</v>
      </c>
      <c r="F835" s="278" t="s">
        <v>294</v>
      </c>
      <c r="G835" s="103" t="s">
        <v>3842</v>
      </c>
      <c r="H835" s="103">
        <v>89</v>
      </c>
      <c r="I835" s="103" t="s">
        <v>295</v>
      </c>
      <c r="J835" s="103" t="s">
        <v>683</v>
      </c>
      <c r="K835" s="103">
        <v>1</v>
      </c>
      <c r="L835" s="103" t="s">
        <v>1844</v>
      </c>
      <c r="M835" s="103" t="s">
        <v>1845</v>
      </c>
      <c r="N835" s="103" t="s">
        <v>1846</v>
      </c>
      <c r="O835" s="103" t="s">
        <v>296</v>
      </c>
      <c r="P835" s="283">
        <v>740</v>
      </c>
      <c r="Q835" s="103" t="s">
        <v>3843</v>
      </c>
      <c r="R835" s="103" t="s">
        <v>1847</v>
      </c>
      <c r="S835" s="103" t="s">
        <v>683</v>
      </c>
      <c r="T835" s="103">
        <v>1</v>
      </c>
      <c r="U835" s="267"/>
      <c r="V835" s="267">
        <v>1</v>
      </c>
      <c r="W835" s="224">
        <v>1</v>
      </c>
      <c r="X835" s="267">
        <v>0.25</v>
      </c>
      <c r="Y835" s="267">
        <v>0.25</v>
      </c>
      <c r="Z835" s="267">
        <v>0.25</v>
      </c>
      <c r="AA835" s="267">
        <v>0.25</v>
      </c>
      <c r="AB835" s="224">
        <v>1</v>
      </c>
      <c r="AC835" s="267">
        <v>0.25</v>
      </c>
      <c r="AD835" s="267">
        <v>0.25</v>
      </c>
      <c r="AE835" s="267">
        <v>0.25</v>
      </c>
      <c r="AF835" s="267">
        <v>0.25</v>
      </c>
      <c r="AG835" s="224">
        <v>1</v>
      </c>
      <c r="AH835" s="267">
        <v>0.25</v>
      </c>
      <c r="AI835" s="267">
        <v>0.25</v>
      </c>
      <c r="AJ835" s="267">
        <v>0.25</v>
      </c>
      <c r="AK835" s="267">
        <v>0.25</v>
      </c>
      <c r="AL835" s="224">
        <v>1</v>
      </c>
      <c r="AM835" s="102">
        <v>1</v>
      </c>
      <c r="AN835" s="103" t="s">
        <v>686</v>
      </c>
      <c r="AO835" s="103">
        <v>0</v>
      </c>
      <c r="AP835" s="103" t="s">
        <v>1221</v>
      </c>
      <c r="AQ835" s="103" t="s">
        <v>1207</v>
      </c>
      <c r="AR835" s="103" t="s">
        <v>944</v>
      </c>
      <c r="AS835" s="268"/>
      <c r="AT835" s="268"/>
      <c r="AU835" s="268"/>
      <c r="AV835" s="268"/>
      <c r="AW835" s="268">
        <v>50000000</v>
      </c>
      <c r="AX835" s="268"/>
      <c r="AY835" s="268"/>
      <c r="AZ835" s="268"/>
      <c r="BA835" s="268"/>
      <c r="BB835" s="268"/>
      <c r="BC835" s="268"/>
      <c r="BD835" s="268"/>
      <c r="BE835" s="268"/>
      <c r="BF835" s="268"/>
      <c r="BG835" s="268"/>
      <c r="BH835" s="234">
        <v>50000000</v>
      </c>
      <c r="BI835" s="268"/>
      <c r="BJ835" s="268"/>
      <c r="BK835" s="268"/>
      <c r="BL835" s="268"/>
      <c r="BM835" s="268">
        <v>50000000</v>
      </c>
      <c r="BN835" s="268"/>
      <c r="BO835" s="268"/>
      <c r="BP835" s="268"/>
      <c r="BQ835" s="268"/>
      <c r="BR835" s="268"/>
      <c r="BS835" s="268"/>
      <c r="BT835" s="268"/>
      <c r="BU835" s="268"/>
      <c r="BV835" s="268"/>
      <c r="BW835" s="268"/>
      <c r="BX835" s="234">
        <v>50000000</v>
      </c>
      <c r="BY835" s="268"/>
      <c r="BZ835" s="268"/>
      <c r="CA835" s="268"/>
      <c r="CB835" s="268"/>
      <c r="CC835" s="268">
        <v>50000000</v>
      </c>
      <c r="CD835" s="268"/>
      <c r="CE835" s="268"/>
      <c r="CF835" s="268"/>
      <c r="CG835" s="268"/>
      <c r="CH835" s="268"/>
      <c r="CI835" s="268"/>
      <c r="CJ835" s="268"/>
      <c r="CK835" s="268"/>
      <c r="CL835" s="268"/>
      <c r="CM835" s="268"/>
      <c r="CN835" s="234">
        <v>50000000</v>
      </c>
      <c r="CO835" s="268"/>
      <c r="CP835" s="268"/>
      <c r="CQ835" s="268"/>
      <c r="CR835" s="268"/>
      <c r="CS835" s="268">
        <v>50000000</v>
      </c>
      <c r="CT835" s="268"/>
      <c r="CU835" s="268"/>
      <c r="CV835" s="268"/>
      <c r="CW835" s="268"/>
      <c r="CX835" s="268"/>
      <c r="CY835" s="268"/>
      <c r="CZ835" s="268"/>
      <c r="DA835" s="268"/>
      <c r="DB835" s="268"/>
      <c r="DC835" s="268"/>
      <c r="DD835" s="234">
        <v>50000000</v>
      </c>
      <c r="DE835" s="243">
        <v>200000000</v>
      </c>
    </row>
    <row r="836" spans="1:110" s="98" customFormat="1" ht="119.1" customHeight="1">
      <c r="A836" s="103" t="s">
        <v>1240</v>
      </c>
      <c r="B836" s="279" t="s">
        <v>3614</v>
      </c>
      <c r="C836" s="279" t="s">
        <v>1830</v>
      </c>
      <c r="D836" s="279">
        <v>73</v>
      </c>
      <c r="E836" s="279" t="s">
        <v>1843</v>
      </c>
      <c r="F836" s="280" t="s">
        <v>294</v>
      </c>
      <c r="G836" s="279" t="s">
        <v>3844</v>
      </c>
      <c r="H836" s="279">
        <v>89</v>
      </c>
      <c r="I836" s="279" t="s">
        <v>295</v>
      </c>
      <c r="J836" s="279" t="s">
        <v>683</v>
      </c>
      <c r="K836" s="279">
        <v>1</v>
      </c>
      <c r="L836" s="279" t="s">
        <v>1844</v>
      </c>
      <c r="M836" s="279" t="s">
        <v>1845</v>
      </c>
      <c r="N836" s="279" t="s">
        <v>1846</v>
      </c>
      <c r="O836" s="279" t="s">
        <v>296</v>
      </c>
      <c r="P836" s="283">
        <v>741</v>
      </c>
      <c r="Q836" s="279" t="s">
        <v>3845</v>
      </c>
      <c r="R836" s="279" t="s">
        <v>1847</v>
      </c>
      <c r="S836" s="279" t="s">
        <v>683</v>
      </c>
      <c r="T836" s="279">
        <v>1</v>
      </c>
      <c r="U836" s="267"/>
      <c r="V836" s="267">
        <v>0.5</v>
      </c>
      <c r="W836" s="224">
        <v>0.5</v>
      </c>
      <c r="X836" s="267">
        <v>0.1</v>
      </c>
      <c r="Y836" s="267">
        <v>0.1</v>
      </c>
      <c r="Z836" s="267">
        <v>0.05</v>
      </c>
      <c r="AA836" s="267"/>
      <c r="AB836" s="224">
        <v>0.25</v>
      </c>
      <c r="AC836" s="267">
        <v>0.1</v>
      </c>
      <c r="AD836" s="267">
        <v>0.05</v>
      </c>
      <c r="AE836" s="267"/>
      <c r="AF836" s="267"/>
      <c r="AG836" s="224">
        <v>0.15000000000000002</v>
      </c>
      <c r="AH836" s="267">
        <v>0.1</v>
      </c>
      <c r="AI836" s="267"/>
      <c r="AJ836" s="267"/>
      <c r="AK836" s="267"/>
      <c r="AL836" s="224">
        <v>0.1</v>
      </c>
      <c r="AM836" s="104">
        <v>1</v>
      </c>
      <c r="AN836" s="103" t="s">
        <v>685</v>
      </c>
      <c r="AO836" s="103">
        <v>0</v>
      </c>
      <c r="AP836" s="103" t="s">
        <v>1221</v>
      </c>
      <c r="AQ836" s="103" t="s">
        <v>1207</v>
      </c>
      <c r="AR836" s="103" t="s">
        <v>944</v>
      </c>
      <c r="AS836" s="271"/>
      <c r="AT836" s="271"/>
      <c r="AU836" s="271"/>
      <c r="AV836" s="271"/>
      <c r="AW836" s="271">
        <v>50000000</v>
      </c>
      <c r="AX836" s="271"/>
      <c r="AY836" s="271"/>
      <c r="AZ836" s="271"/>
      <c r="BA836" s="271"/>
      <c r="BB836" s="271"/>
      <c r="BC836" s="271"/>
      <c r="BD836" s="271"/>
      <c r="BE836" s="271"/>
      <c r="BF836" s="271"/>
      <c r="BG836" s="271"/>
      <c r="BH836" s="235">
        <v>50000000</v>
      </c>
      <c r="BI836" s="271"/>
      <c r="BJ836" s="271"/>
      <c r="BK836" s="271"/>
      <c r="BL836" s="271"/>
      <c r="BM836" s="271">
        <v>50000000</v>
      </c>
      <c r="BN836" s="271"/>
      <c r="BO836" s="271"/>
      <c r="BP836" s="271"/>
      <c r="BQ836" s="271"/>
      <c r="BR836" s="271"/>
      <c r="BS836" s="271"/>
      <c r="BT836" s="271"/>
      <c r="BU836" s="271"/>
      <c r="BV836" s="271"/>
      <c r="BW836" s="271"/>
      <c r="BX836" s="235">
        <v>50000000</v>
      </c>
      <c r="BY836" s="271"/>
      <c r="BZ836" s="271"/>
      <c r="CA836" s="271"/>
      <c r="CB836" s="271"/>
      <c r="CC836" s="271">
        <v>50000000</v>
      </c>
      <c r="CD836" s="271"/>
      <c r="CE836" s="271"/>
      <c r="CF836" s="271"/>
      <c r="CG836" s="271"/>
      <c r="CH836" s="271"/>
      <c r="CI836" s="271"/>
      <c r="CJ836" s="271"/>
      <c r="CK836" s="271"/>
      <c r="CL836" s="271"/>
      <c r="CM836" s="271"/>
      <c r="CN836" s="235">
        <v>50000000</v>
      </c>
      <c r="CO836" s="271"/>
      <c r="CP836" s="271"/>
      <c r="CQ836" s="271"/>
      <c r="CR836" s="271"/>
      <c r="CS836" s="271">
        <v>50000000</v>
      </c>
      <c r="CT836" s="271"/>
      <c r="CU836" s="271"/>
      <c r="CV836" s="271"/>
      <c r="CW836" s="271"/>
      <c r="CX836" s="271"/>
      <c r="CY836" s="271"/>
      <c r="CZ836" s="271"/>
      <c r="DA836" s="271"/>
      <c r="DB836" s="271"/>
      <c r="DC836" s="271"/>
      <c r="DD836" s="234">
        <v>50000000</v>
      </c>
      <c r="DE836" s="244">
        <v>200000000</v>
      </c>
    </row>
    <row r="837" spans="1:110" s="98" customFormat="1" ht="119.1" customHeight="1">
      <c r="A837" s="120" t="s">
        <v>1240</v>
      </c>
      <c r="B837" s="281" t="s">
        <v>3614</v>
      </c>
      <c r="C837" s="281" t="s">
        <v>1830</v>
      </c>
      <c r="D837" s="281">
        <v>73</v>
      </c>
      <c r="E837" s="281" t="s">
        <v>1843</v>
      </c>
      <c r="F837" s="282" t="s">
        <v>294</v>
      </c>
      <c r="G837" s="281" t="s">
        <v>3844</v>
      </c>
      <c r="H837" s="281">
        <v>89</v>
      </c>
      <c r="I837" s="281" t="s">
        <v>295</v>
      </c>
      <c r="J837" s="281" t="s">
        <v>683</v>
      </c>
      <c r="K837" s="281">
        <v>1</v>
      </c>
      <c r="L837" s="281" t="s">
        <v>1844</v>
      </c>
      <c r="M837" s="281" t="s">
        <v>1845</v>
      </c>
      <c r="N837" s="281" t="s">
        <v>1846</v>
      </c>
      <c r="O837" s="281" t="s">
        <v>296</v>
      </c>
      <c r="P837" s="284">
        <v>742</v>
      </c>
      <c r="Q837" s="281" t="s">
        <v>3846</v>
      </c>
      <c r="R837" s="281" t="s">
        <v>1848</v>
      </c>
      <c r="S837" s="281" t="s">
        <v>683</v>
      </c>
      <c r="T837" s="281">
        <v>0</v>
      </c>
      <c r="U837" s="275"/>
      <c r="V837" s="275">
        <v>0.25</v>
      </c>
      <c r="W837" s="225">
        <v>0.25</v>
      </c>
      <c r="X837" s="275">
        <v>0.1</v>
      </c>
      <c r="Y837" s="275">
        <v>0.1</v>
      </c>
      <c r="Z837" s="275">
        <v>0.05</v>
      </c>
      <c r="AA837" s="275"/>
      <c r="AB837" s="225">
        <v>0.25</v>
      </c>
      <c r="AC837" s="275">
        <v>0.1</v>
      </c>
      <c r="AD837" s="275">
        <v>0.1</v>
      </c>
      <c r="AE837" s="275">
        <v>0.05</v>
      </c>
      <c r="AF837" s="275"/>
      <c r="AG837" s="225">
        <v>0.25</v>
      </c>
      <c r="AH837" s="275">
        <v>0.1</v>
      </c>
      <c r="AI837" s="275">
        <v>0.1</v>
      </c>
      <c r="AJ837" s="275">
        <v>0.05</v>
      </c>
      <c r="AK837" s="275"/>
      <c r="AL837" s="225">
        <v>0.25</v>
      </c>
      <c r="AM837" s="119">
        <v>1</v>
      </c>
      <c r="AN837" s="120" t="s">
        <v>685</v>
      </c>
      <c r="AO837" s="120">
        <v>0</v>
      </c>
      <c r="AP837" s="103" t="s">
        <v>1221</v>
      </c>
      <c r="AQ837" s="103" t="s">
        <v>1207</v>
      </c>
      <c r="AR837" s="103" t="s">
        <v>944</v>
      </c>
      <c r="AS837" s="276"/>
      <c r="AT837" s="276"/>
      <c r="AU837" s="276"/>
      <c r="AV837" s="276"/>
      <c r="AW837" s="276">
        <v>201500000</v>
      </c>
      <c r="AX837" s="276"/>
      <c r="AY837" s="276"/>
      <c r="AZ837" s="276"/>
      <c r="BA837" s="276"/>
      <c r="BB837" s="276"/>
      <c r="BC837" s="276"/>
      <c r="BD837" s="276"/>
      <c r="BE837" s="276"/>
      <c r="BF837" s="276"/>
      <c r="BG837" s="276">
        <v>473902632</v>
      </c>
      <c r="BH837" s="236">
        <v>675402632</v>
      </c>
      <c r="BI837" s="276"/>
      <c r="BJ837" s="276"/>
      <c r="BK837" s="276"/>
      <c r="BL837" s="276"/>
      <c r="BM837" s="276">
        <v>213000000</v>
      </c>
      <c r="BN837" s="276"/>
      <c r="BO837" s="276"/>
      <c r="BP837" s="276"/>
      <c r="BQ837" s="276"/>
      <c r="BR837" s="276"/>
      <c r="BS837" s="276"/>
      <c r="BT837" s="276"/>
      <c r="BU837" s="276"/>
      <c r="BV837" s="276"/>
      <c r="BW837" s="276"/>
      <c r="BX837" s="236">
        <v>213000000</v>
      </c>
      <c r="BY837" s="276"/>
      <c r="BZ837" s="276"/>
      <c r="CA837" s="276"/>
      <c r="CB837" s="276"/>
      <c r="CC837" s="276">
        <v>375448589</v>
      </c>
      <c r="CD837" s="276"/>
      <c r="CE837" s="276"/>
      <c r="CF837" s="276"/>
      <c r="CG837" s="276"/>
      <c r="CH837" s="276"/>
      <c r="CI837" s="276"/>
      <c r="CJ837" s="276"/>
      <c r="CK837" s="276"/>
      <c r="CL837" s="276"/>
      <c r="CM837" s="276"/>
      <c r="CN837" s="236">
        <v>375448589</v>
      </c>
      <c r="CO837" s="276"/>
      <c r="CP837" s="276"/>
      <c r="CQ837" s="276"/>
      <c r="CR837" s="276"/>
      <c r="CS837" s="276">
        <v>283000000</v>
      </c>
      <c r="CT837" s="276"/>
      <c r="CU837" s="276"/>
      <c r="CV837" s="276"/>
      <c r="CW837" s="276"/>
      <c r="CX837" s="276"/>
      <c r="CY837" s="276"/>
      <c r="CZ837" s="276"/>
      <c r="DA837" s="276"/>
      <c r="DB837" s="276"/>
      <c r="DC837" s="276"/>
      <c r="DD837" s="240">
        <v>283000000</v>
      </c>
      <c r="DE837" s="245">
        <v>1546851221</v>
      </c>
    </row>
    <row r="838" spans="1:110" ht="65.099999999999994" customHeight="1">
      <c r="A838" s="118" t="s">
        <v>1240</v>
      </c>
      <c r="B838" s="118" t="s">
        <v>3614</v>
      </c>
      <c r="C838" s="118" t="s">
        <v>1830</v>
      </c>
      <c r="D838" s="159">
        <v>73</v>
      </c>
      <c r="E838" s="159" t="s">
        <v>1843</v>
      </c>
      <c r="F838" s="149"/>
      <c r="G838" s="150"/>
      <c r="H838" s="151"/>
      <c r="I838" s="151"/>
      <c r="J838" s="151"/>
      <c r="K838" s="152"/>
      <c r="L838" s="151"/>
      <c r="M838" s="151"/>
      <c r="N838" s="151"/>
      <c r="O838" s="151"/>
      <c r="P838" s="151"/>
      <c r="Q838" s="150"/>
      <c r="R838" s="153"/>
      <c r="S838" s="151"/>
      <c r="T838" s="151"/>
      <c r="U838" s="154"/>
      <c r="V838" s="154"/>
      <c r="W838" s="152"/>
      <c r="X838" s="154"/>
      <c r="Y838" s="154"/>
      <c r="Z838" s="154"/>
      <c r="AA838" s="154"/>
      <c r="AB838" s="152"/>
      <c r="AC838" s="154"/>
      <c r="AD838" s="154"/>
      <c r="AE838" s="154"/>
      <c r="AF838" s="154"/>
      <c r="AG838" s="152"/>
      <c r="AH838" s="154"/>
      <c r="AI838" s="154"/>
      <c r="AJ838" s="154"/>
      <c r="AK838" s="154"/>
      <c r="AL838" s="152"/>
      <c r="AM838" s="155"/>
      <c r="AN838" s="156"/>
      <c r="AO838" s="156"/>
      <c r="AP838" s="157"/>
      <c r="AQ838" s="157"/>
      <c r="AR838" s="158"/>
      <c r="AS838" s="132">
        <f>SUM(AS835:AS837)</f>
        <v>0</v>
      </c>
      <c r="AT838" s="132">
        <f t="shared" ref="AT838:DE838" si="379">SUM(AT835:AT837)</f>
        <v>0</v>
      </c>
      <c r="AU838" s="132">
        <f t="shared" si="379"/>
        <v>0</v>
      </c>
      <c r="AV838" s="132">
        <f t="shared" si="379"/>
        <v>0</v>
      </c>
      <c r="AW838" s="132">
        <f t="shared" si="379"/>
        <v>301500000</v>
      </c>
      <c r="AX838" s="132">
        <f t="shared" si="379"/>
        <v>0</v>
      </c>
      <c r="AY838" s="132">
        <f t="shared" si="379"/>
        <v>0</v>
      </c>
      <c r="AZ838" s="132">
        <f t="shared" si="379"/>
        <v>0</v>
      </c>
      <c r="BA838" s="132">
        <f t="shared" si="379"/>
        <v>0</v>
      </c>
      <c r="BB838" s="132">
        <f t="shared" si="379"/>
        <v>0</v>
      </c>
      <c r="BC838" s="132">
        <f t="shared" si="379"/>
        <v>0</v>
      </c>
      <c r="BD838" s="132">
        <f t="shared" si="379"/>
        <v>0</v>
      </c>
      <c r="BE838" s="132">
        <f t="shared" si="379"/>
        <v>0</v>
      </c>
      <c r="BF838" s="132">
        <f t="shared" si="379"/>
        <v>0</v>
      </c>
      <c r="BG838" s="132">
        <f t="shared" si="379"/>
        <v>473902632</v>
      </c>
      <c r="BH838" s="132">
        <f>IF(OR(AND(BH835=0,W835&lt;&gt;0),AND(BH836=0,W836&lt;&gt;0),AND(BH837=0,W837&lt;&gt;0)),"NO DEBEN QUEDAR CELDAS EN ROJO",SUM(BH835:BH837))</f>
        <v>775402632</v>
      </c>
      <c r="BI838" s="132">
        <f t="shared" si="379"/>
        <v>0</v>
      </c>
      <c r="BJ838" s="132">
        <f t="shared" si="379"/>
        <v>0</v>
      </c>
      <c r="BK838" s="132">
        <f t="shared" si="379"/>
        <v>0</v>
      </c>
      <c r="BL838" s="132">
        <f t="shared" si="379"/>
        <v>0</v>
      </c>
      <c r="BM838" s="132">
        <f t="shared" si="379"/>
        <v>313000000</v>
      </c>
      <c r="BN838" s="132">
        <f t="shared" si="379"/>
        <v>0</v>
      </c>
      <c r="BO838" s="132">
        <f t="shared" si="379"/>
        <v>0</v>
      </c>
      <c r="BP838" s="132">
        <f t="shared" si="379"/>
        <v>0</v>
      </c>
      <c r="BQ838" s="132">
        <f t="shared" si="379"/>
        <v>0</v>
      </c>
      <c r="BR838" s="132">
        <f t="shared" si="379"/>
        <v>0</v>
      </c>
      <c r="BS838" s="132">
        <f t="shared" si="379"/>
        <v>0</v>
      </c>
      <c r="BT838" s="132">
        <f t="shared" si="379"/>
        <v>0</v>
      </c>
      <c r="BU838" s="132">
        <f t="shared" si="379"/>
        <v>0</v>
      </c>
      <c r="BV838" s="132">
        <f t="shared" si="379"/>
        <v>0</v>
      </c>
      <c r="BW838" s="132">
        <f t="shared" si="379"/>
        <v>0</v>
      </c>
      <c r="BX838" s="132">
        <f>IF(OR(AND(BX835=0,AB835&lt;&gt;0),AND(BX836=0,AB836&lt;&gt;0),AND(BX837=0,AB837&lt;&gt;0)),"NO DEBEN QUEDAR CELDAS EN ROJO",SUM(BX835:BX837))</f>
        <v>313000000</v>
      </c>
      <c r="BY838" s="132">
        <f t="shared" si="379"/>
        <v>0</v>
      </c>
      <c r="BZ838" s="132">
        <f t="shared" si="379"/>
        <v>0</v>
      </c>
      <c r="CA838" s="132">
        <f t="shared" si="379"/>
        <v>0</v>
      </c>
      <c r="CB838" s="132">
        <f t="shared" si="379"/>
        <v>0</v>
      </c>
      <c r="CC838" s="132">
        <f t="shared" si="379"/>
        <v>475448589</v>
      </c>
      <c r="CD838" s="132">
        <f t="shared" si="379"/>
        <v>0</v>
      </c>
      <c r="CE838" s="132">
        <f t="shared" si="379"/>
        <v>0</v>
      </c>
      <c r="CF838" s="132">
        <f t="shared" si="379"/>
        <v>0</v>
      </c>
      <c r="CG838" s="132">
        <f t="shared" si="379"/>
        <v>0</v>
      </c>
      <c r="CH838" s="132">
        <f t="shared" si="379"/>
        <v>0</v>
      </c>
      <c r="CI838" s="132">
        <f t="shared" si="379"/>
        <v>0</v>
      </c>
      <c r="CJ838" s="132">
        <f t="shared" si="379"/>
        <v>0</v>
      </c>
      <c r="CK838" s="132">
        <f t="shared" si="379"/>
        <v>0</v>
      </c>
      <c r="CL838" s="132">
        <f t="shared" si="379"/>
        <v>0</v>
      </c>
      <c r="CM838" s="132">
        <f t="shared" si="379"/>
        <v>0</v>
      </c>
      <c r="CN838" s="132">
        <f>IF(OR(AND(CN835=0,AG835&lt;&gt;0),AND(CN836=0,AG836&lt;&gt;0),AND(CN837=0,AG837&lt;&gt;0)),"NO DEBEN QUEDAR CELDAS EN ROJO",SUM(CN835:CN837))</f>
        <v>475448589</v>
      </c>
      <c r="CO838" s="132">
        <f t="shared" si="379"/>
        <v>0</v>
      </c>
      <c r="CP838" s="132">
        <f t="shared" si="379"/>
        <v>0</v>
      </c>
      <c r="CQ838" s="132">
        <f t="shared" si="379"/>
        <v>0</v>
      </c>
      <c r="CR838" s="132">
        <f t="shared" si="379"/>
        <v>0</v>
      </c>
      <c r="CS838" s="132">
        <f t="shared" si="379"/>
        <v>383000000</v>
      </c>
      <c r="CT838" s="132">
        <f t="shared" si="379"/>
        <v>0</v>
      </c>
      <c r="CU838" s="132">
        <f t="shared" si="379"/>
        <v>0</v>
      </c>
      <c r="CV838" s="132">
        <f t="shared" si="379"/>
        <v>0</v>
      </c>
      <c r="CW838" s="132">
        <f t="shared" si="379"/>
        <v>0</v>
      </c>
      <c r="CX838" s="132">
        <f t="shared" si="379"/>
        <v>0</v>
      </c>
      <c r="CY838" s="132">
        <f t="shared" si="379"/>
        <v>0</v>
      </c>
      <c r="CZ838" s="132">
        <f t="shared" si="379"/>
        <v>0</v>
      </c>
      <c r="DA838" s="132">
        <f t="shared" si="379"/>
        <v>0</v>
      </c>
      <c r="DB838" s="132">
        <f t="shared" si="379"/>
        <v>0</v>
      </c>
      <c r="DC838" s="132">
        <f t="shared" si="379"/>
        <v>0</v>
      </c>
      <c r="DD838" s="132">
        <f>IF(OR(AND(DD835=0,AL835&lt;&gt;0),AND(DD836=0,AL836&lt;&gt;0),AND(DD837=0,AL837&lt;&gt;0)),"NO DEBEN QUEDAR CELDAS EN ROJO",SUM(DD835:DD837))</f>
        <v>383000000</v>
      </c>
      <c r="DE838" s="132">
        <f t="shared" si="379"/>
        <v>1946851221</v>
      </c>
      <c r="DF838" s="101"/>
    </row>
    <row r="839" spans="1:110" s="117" customFormat="1" ht="55.05" customHeight="1">
      <c r="A839" s="127"/>
      <c r="B839" s="126" t="s">
        <v>3614</v>
      </c>
      <c r="C839" s="146" t="s">
        <v>1830</v>
      </c>
      <c r="D839" s="160"/>
      <c r="E839" s="161"/>
      <c r="F839" s="162"/>
      <c r="G839" s="163"/>
      <c r="H839" s="161"/>
      <c r="I839" s="161"/>
      <c r="J839" s="161"/>
      <c r="K839" s="161"/>
      <c r="L839" s="161"/>
      <c r="M839" s="161"/>
      <c r="N839" s="161"/>
      <c r="O839" s="161"/>
      <c r="P839" s="161"/>
      <c r="Q839" s="163"/>
      <c r="R839" s="164"/>
      <c r="S839" s="161"/>
      <c r="T839" s="161"/>
      <c r="U839" s="165"/>
      <c r="V839" s="165"/>
      <c r="W839" s="166"/>
      <c r="X839" s="165"/>
      <c r="Y839" s="165"/>
      <c r="Z839" s="165"/>
      <c r="AA839" s="165"/>
      <c r="AB839" s="166"/>
      <c r="AC839" s="165"/>
      <c r="AD839" s="165"/>
      <c r="AE839" s="165"/>
      <c r="AF839" s="165"/>
      <c r="AG839" s="166"/>
      <c r="AH839" s="165"/>
      <c r="AI839" s="165"/>
      <c r="AJ839" s="165"/>
      <c r="AK839" s="165"/>
      <c r="AL839" s="166"/>
      <c r="AM839" s="167"/>
      <c r="AN839" s="168"/>
      <c r="AO839" s="168"/>
      <c r="AP839" s="163"/>
      <c r="AQ839" s="163"/>
      <c r="AR839" s="169"/>
      <c r="AS839" s="147">
        <f>SUM(AS838+AS834)</f>
        <v>0</v>
      </c>
      <c r="AT839" s="130">
        <f t="shared" ref="AT839:AW839" si="380">SUM(AT838+AT834)</f>
        <v>0</v>
      </c>
      <c r="AU839" s="130">
        <f t="shared" si="380"/>
        <v>0</v>
      </c>
      <c r="AV839" s="130">
        <f t="shared" si="380"/>
        <v>0</v>
      </c>
      <c r="AW839" s="130">
        <f t="shared" si="380"/>
        <v>603000000</v>
      </c>
      <c r="AX839" s="130">
        <f t="shared" ref="AX839" si="381">SUM(AX838+AX834)</f>
        <v>0</v>
      </c>
      <c r="AY839" s="130">
        <f t="shared" ref="AY839" si="382">SUM(AY838+AY834)</f>
        <v>0</v>
      </c>
      <c r="AZ839" s="130">
        <f t="shared" ref="AZ839:BA839" si="383">SUM(AZ838+AZ834)</f>
        <v>0</v>
      </c>
      <c r="BA839" s="130">
        <f t="shared" si="383"/>
        <v>0</v>
      </c>
      <c r="BB839" s="130">
        <f t="shared" ref="BB839" si="384">SUM(BB838+BB834)</f>
        <v>0</v>
      </c>
      <c r="BC839" s="130">
        <f t="shared" ref="BC839" si="385">SUM(BC838+BC834)</f>
        <v>0</v>
      </c>
      <c r="BD839" s="130">
        <f t="shared" ref="BD839:BE839" si="386">SUM(BD838+BD834)</f>
        <v>0</v>
      </c>
      <c r="BE839" s="130">
        <f t="shared" si="386"/>
        <v>0</v>
      </c>
      <c r="BF839" s="130">
        <f t="shared" ref="BF839" si="387">SUM(BF838+BF834)</f>
        <v>0</v>
      </c>
      <c r="BG839" s="130">
        <f t="shared" ref="BG839" si="388">SUM(BG838+BG834)</f>
        <v>473902632</v>
      </c>
      <c r="BH839" s="130">
        <f t="shared" ref="BH839:BI839" si="389">SUM(BH838+BH834)</f>
        <v>1076902632</v>
      </c>
      <c r="BI839" s="130">
        <f t="shared" si="389"/>
        <v>0</v>
      </c>
      <c r="BJ839" s="130">
        <f t="shared" ref="BJ839" si="390">SUM(BJ838+BJ834)</f>
        <v>0</v>
      </c>
      <c r="BK839" s="130">
        <f t="shared" ref="BK839" si="391">SUM(BK838+BK834)</f>
        <v>0</v>
      </c>
      <c r="BL839" s="130">
        <f t="shared" ref="BL839:BM839" si="392">SUM(BL838+BL834)</f>
        <v>0</v>
      </c>
      <c r="BM839" s="130">
        <f t="shared" si="392"/>
        <v>626000000</v>
      </c>
      <c r="BN839" s="130">
        <f t="shared" ref="BN839" si="393">SUM(BN838+BN834)</f>
        <v>0</v>
      </c>
      <c r="BO839" s="130">
        <f t="shared" ref="BO839" si="394">SUM(BO838+BO834)</f>
        <v>0</v>
      </c>
      <c r="BP839" s="130">
        <f t="shared" ref="BP839:BQ839" si="395">SUM(BP838+BP834)</f>
        <v>0</v>
      </c>
      <c r="BQ839" s="130">
        <f t="shared" si="395"/>
        <v>0</v>
      </c>
      <c r="BR839" s="130">
        <f t="shared" ref="BR839" si="396">SUM(BR838+BR834)</f>
        <v>0</v>
      </c>
      <c r="BS839" s="130">
        <f t="shared" ref="BS839" si="397">SUM(BS838+BS834)</f>
        <v>0</v>
      </c>
      <c r="BT839" s="130">
        <f t="shared" ref="BT839:BU839" si="398">SUM(BT838+BT834)</f>
        <v>0</v>
      </c>
      <c r="BU839" s="130">
        <f t="shared" si="398"/>
        <v>0</v>
      </c>
      <c r="BV839" s="130">
        <f t="shared" ref="BV839" si="399">SUM(BV838+BV834)</f>
        <v>0</v>
      </c>
      <c r="BW839" s="130">
        <f t="shared" ref="BW839" si="400">SUM(BW838+BW834)</f>
        <v>0</v>
      </c>
      <c r="BX839" s="130">
        <f t="shared" ref="BX839:BY839" si="401">SUM(BX838+BX834)</f>
        <v>626000000</v>
      </c>
      <c r="BY839" s="130">
        <f t="shared" si="401"/>
        <v>0</v>
      </c>
      <c r="BZ839" s="130">
        <f t="shared" ref="BZ839" si="402">SUM(BZ838+BZ834)</f>
        <v>0</v>
      </c>
      <c r="CA839" s="130">
        <f t="shared" ref="CA839" si="403">SUM(CA838+CA834)</f>
        <v>0</v>
      </c>
      <c r="CB839" s="130">
        <f t="shared" ref="CB839:CC839" si="404">SUM(CB838+CB834)</f>
        <v>0</v>
      </c>
      <c r="CC839" s="130">
        <f t="shared" si="404"/>
        <v>950897177</v>
      </c>
      <c r="CD839" s="130">
        <f t="shared" ref="CD839" si="405">SUM(CD838+CD834)</f>
        <v>0</v>
      </c>
      <c r="CE839" s="130">
        <f t="shared" ref="CE839" si="406">SUM(CE838+CE834)</f>
        <v>0</v>
      </c>
      <c r="CF839" s="130">
        <f t="shared" ref="CF839:CG839" si="407">SUM(CF838+CF834)</f>
        <v>0</v>
      </c>
      <c r="CG839" s="130">
        <f t="shared" si="407"/>
        <v>0</v>
      </c>
      <c r="CH839" s="130">
        <f t="shared" ref="CH839" si="408">SUM(CH838+CH834)</f>
        <v>0</v>
      </c>
      <c r="CI839" s="130">
        <f t="shared" ref="CI839" si="409">SUM(CI838+CI834)</f>
        <v>0</v>
      </c>
      <c r="CJ839" s="130">
        <f t="shared" ref="CJ839:CK839" si="410">SUM(CJ838+CJ834)</f>
        <v>0</v>
      </c>
      <c r="CK839" s="130">
        <f t="shared" si="410"/>
        <v>0</v>
      </c>
      <c r="CL839" s="130">
        <f t="shared" ref="CL839" si="411">SUM(CL838+CL834)</f>
        <v>0</v>
      </c>
      <c r="CM839" s="130">
        <f t="shared" ref="CM839" si="412">SUM(CM838+CM834)</f>
        <v>0</v>
      </c>
      <c r="CN839" s="130">
        <f t="shared" ref="CN839:CO839" si="413">SUM(CN838+CN834)</f>
        <v>950897177</v>
      </c>
      <c r="CO839" s="130">
        <f t="shared" si="413"/>
        <v>0</v>
      </c>
      <c r="CP839" s="130">
        <f t="shared" ref="CP839" si="414">SUM(CP838+CP834)</f>
        <v>0</v>
      </c>
      <c r="CQ839" s="130">
        <f t="shared" ref="CQ839" si="415">SUM(CQ838+CQ834)</f>
        <v>0</v>
      </c>
      <c r="CR839" s="130">
        <f t="shared" ref="CR839:CS839" si="416">SUM(CR838+CR834)</f>
        <v>0</v>
      </c>
      <c r="CS839" s="130">
        <f t="shared" si="416"/>
        <v>766000000</v>
      </c>
      <c r="CT839" s="130">
        <f t="shared" ref="CT839" si="417">SUM(CT838+CT834)</f>
        <v>0</v>
      </c>
      <c r="CU839" s="130">
        <f t="shared" ref="CU839" si="418">SUM(CU838+CU834)</f>
        <v>0</v>
      </c>
      <c r="CV839" s="130">
        <f t="shared" ref="CV839:CW839" si="419">SUM(CV838+CV834)</f>
        <v>0</v>
      </c>
      <c r="CW839" s="130">
        <f t="shared" si="419"/>
        <v>0</v>
      </c>
      <c r="CX839" s="130">
        <f t="shared" ref="CX839" si="420">SUM(CX838+CX834)</f>
        <v>0</v>
      </c>
      <c r="CY839" s="130">
        <f t="shared" ref="CY839" si="421">SUM(CY838+CY834)</f>
        <v>0</v>
      </c>
      <c r="CZ839" s="130">
        <f t="shared" ref="CZ839:DA839" si="422">SUM(CZ838+CZ834)</f>
        <v>0</v>
      </c>
      <c r="DA839" s="130">
        <f t="shared" si="422"/>
        <v>0</v>
      </c>
      <c r="DB839" s="130">
        <f t="shared" ref="DB839" si="423">SUM(DB838+DB834)</f>
        <v>0</v>
      </c>
      <c r="DC839" s="130">
        <f t="shared" ref="DC839" si="424">SUM(DC838+DC834)</f>
        <v>7861100314</v>
      </c>
      <c r="DD839" s="130">
        <f t="shared" ref="DD839:DE839" si="425">SUM(DD838+DD834)</f>
        <v>8627100314</v>
      </c>
      <c r="DE839" s="130">
        <f t="shared" si="425"/>
        <v>11280900123</v>
      </c>
    </row>
    <row r="840" spans="1:110" s="98" customFormat="1" ht="110.1" customHeight="1">
      <c r="A840" s="103" t="s">
        <v>1240</v>
      </c>
      <c r="B840" s="103" t="s">
        <v>3614</v>
      </c>
      <c r="C840" s="103" t="s">
        <v>1849</v>
      </c>
      <c r="D840" s="103">
        <v>74</v>
      </c>
      <c r="E840" s="103" t="s">
        <v>1850</v>
      </c>
      <c r="F840" s="278" t="s">
        <v>1851</v>
      </c>
      <c r="G840" s="103" t="s">
        <v>3921</v>
      </c>
      <c r="H840" s="103">
        <v>90</v>
      </c>
      <c r="I840" s="103" t="s">
        <v>1852</v>
      </c>
      <c r="J840" s="103" t="s">
        <v>689</v>
      </c>
      <c r="K840" s="103">
        <v>4.8499999999999996</v>
      </c>
      <c r="L840" s="103" t="s">
        <v>1853</v>
      </c>
      <c r="M840" s="298" t="s">
        <v>1854</v>
      </c>
      <c r="N840" s="299" t="s">
        <v>1856</v>
      </c>
      <c r="O840" s="108" t="s">
        <v>1855</v>
      </c>
      <c r="P840" s="283">
        <v>743</v>
      </c>
      <c r="Q840" s="103" t="s">
        <v>3847</v>
      </c>
      <c r="R840" s="103" t="s">
        <v>300</v>
      </c>
      <c r="S840" s="103" t="s">
        <v>683</v>
      </c>
      <c r="T840" s="103">
        <v>0</v>
      </c>
      <c r="U840" s="267"/>
      <c r="V840" s="267">
        <v>0.2</v>
      </c>
      <c r="W840" s="224">
        <v>0.2</v>
      </c>
      <c r="X840" s="267">
        <v>0.2</v>
      </c>
      <c r="Y840" s="267">
        <v>0.6</v>
      </c>
      <c r="Z840" s="267"/>
      <c r="AA840" s="267"/>
      <c r="AB840" s="224">
        <v>0.8</v>
      </c>
      <c r="AC840" s="267"/>
      <c r="AD840" s="267"/>
      <c r="AE840" s="267"/>
      <c r="AF840" s="267"/>
      <c r="AG840" s="224">
        <v>0</v>
      </c>
      <c r="AH840" s="267"/>
      <c r="AI840" s="267"/>
      <c r="AJ840" s="267"/>
      <c r="AK840" s="267"/>
      <c r="AL840" s="224">
        <v>0</v>
      </c>
      <c r="AM840" s="102">
        <v>1</v>
      </c>
      <c r="AN840" s="103" t="s">
        <v>685</v>
      </c>
      <c r="AO840" s="103" t="s">
        <v>1212</v>
      </c>
      <c r="AP840" s="103" t="s">
        <v>1229</v>
      </c>
      <c r="AQ840" s="103" t="s">
        <v>1197</v>
      </c>
      <c r="AR840" s="103" t="s">
        <v>944</v>
      </c>
      <c r="AS840" s="268"/>
      <c r="AT840" s="268"/>
      <c r="AU840" s="268"/>
      <c r="AV840" s="268"/>
      <c r="AW840" s="268">
        <v>12600000</v>
      </c>
      <c r="AX840" s="268"/>
      <c r="AY840" s="268"/>
      <c r="AZ840" s="268"/>
      <c r="BA840" s="268"/>
      <c r="BB840" s="268"/>
      <c r="BC840" s="268"/>
      <c r="BD840" s="268"/>
      <c r="BE840" s="268"/>
      <c r="BF840" s="268"/>
      <c r="BG840" s="268"/>
      <c r="BH840" s="234">
        <v>12600000</v>
      </c>
      <c r="BI840" s="268"/>
      <c r="BJ840" s="268"/>
      <c r="BK840" s="268"/>
      <c r="BL840" s="268"/>
      <c r="BM840" s="268">
        <v>18000000</v>
      </c>
      <c r="BN840" s="268"/>
      <c r="BO840" s="268"/>
      <c r="BP840" s="268"/>
      <c r="BQ840" s="268"/>
      <c r="BR840" s="268"/>
      <c r="BS840" s="268"/>
      <c r="BT840" s="268"/>
      <c r="BU840" s="268"/>
      <c r="BV840" s="268"/>
      <c r="BW840" s="268"/>
      <c r="BX840" s="234">
        <v>18000000</v>
      </c>
      <c r="BY840" s="268"/>
      <c r="BZ840" s="268"/>
      <c r="CA840" s="268"/>
      <c r="CB840" s="268"/>
      <c r="CC840" s="268"/>
      <c r="CD840" s="268"/>
      <c r="CE840" s="268"/>
      <c r="CF840" s="268"/>
      <c r="CG840" s="268"/>
      <c r="CH840" s="268"/>
      <c r="CI840" s="268"/>
      <c r="CJ840" s="268"/>
      <c r="CK840" s="268"/>
      <c r="CL840" s="268"/>
      <c r="CM840" s="268"/>
      <c r="CN840" s="234">
        <v>0</v>
      </c>
      <c r="CO840" s="268"/>
      <c r="CP840" s="268"/>
      <c r="CQ840" s="268"/>
      <c r="CR840" s="268"/>
      <c r="CS840" s="268"/>
      <c r="CT840" s="268"/>
      <c r="CU840" s="268"/>
      <c r="CV840" s="268"/>
      <c r="CW840" s="268"/>
      <c r="CX840" s="268"/>
      <c r="CY840" s="268"/>
      <c r="CZ840" s="268"/>
      <c r="DA840" s="268"/>
      <c r="DB840" s="268"/>
      <c r="DC840" s="268"/>
      <c r="DD840" s="234">
        <v>0</v>
      </c>
      <c r="DE840" s="243">
        <v>30600000</v>
      </c>
    </row>
    <row r="841" spans="1:110" s="98" customFormat="1" ht="110.1" customHeight="1">
      <c r="A841" s="103" t="s">
        <v>1240</v>
      </c>
      <c r="B841" s="279" t="s">
        <v>3614</v>
      </c>
      <c r="C841" s="279" t="s">
        <v>1849</v>
      </c>
      <c r="D841" s="279">
        <v>74</v>
      </c>
      <c r="E841" s="279" t="s">
        <v>1850</v>
      </c>
      <c r="F841" s="280" t="s">
        <v>1851</v>
      </c>
      <c r="G841" s="279" t="s">
        <v>3921</v>
      </c>
      <c r="H841" s="279">
        <v>90</v>
      </c>
      <c r="I841" s="279" t="s">
        <v>1852</v>
      </c>
      <c r="J841" s="279" t="s">
        <v>689</v>
      </c>
      <c r="K841" s="279">
        <v>4.8499999999999996</v>
      </c>
      <c r="L841" s="279" t="s">
        <v>1853</v>
      </c>
      <c r="M841" s="279" t="s">
        <v>1854</v>
      </c>
      <c r="N841" s="120" t="s">
        <v>1856</v>
      </c>
      <c r="O841" s="279" t="s">
        <v>1855</v>
      </c>
      <c r="P841" s="283">
        <v>744</v>
      </c>
      <c r="Q841" s="279" t="s">
        <v>3848</v>
      </c>
      <c r="R841" s="279" t="s">
        <v>1857</v>
      </c>
      <c r="S841" s="279" t="s">
        <v>683</v>
      </c>
      <c r="T841" s="279">
        <v>0</v>
      </c>
      <c r="U841" s="267"/>
      <c r="V841" s="267">
        <v>0.1</v>
      </c>
      <c r="W841" s="224">
        <v>0.1</v>
      </c>
      <c r="X841" s="267">
        <v>0.2</v>
      </c>
      <c r="Y841" s="267">
        <v>0.2</v>
      </c>
      <c r="Z841" s="267">
        <v>0.5</v>
      </c>
      <c r="AA841" s="267"/>
      <c r="AB841" s="224">
        <v>0.9</v>
      </c>
      <c r="AC841" s="267"/>
      <c r="AD841" s="267"/>
      <c r="AE841" s="267"/>
      <c r="AF841" s="267"/>
      <c r="AG841" s="224">
        <v>0</v>
      </c>
      <c r="AH841" s="267"/>
      <c r="AI841" s="267"/>
      <c r="AJ841" s="267"/>
      <c r="AK841" s="267"/>
      <c r="AL841" s="224">
        <v>0</v>
      </c>
      <c r="AM841" s="104">
        <v>1</v>
      </c>
      <c r="AN841" s="103" t="s">
        <v>685</v>
      </c>
      <c r="AO841" s="103" t="s">
        <v>1212</v>
      </c>
      <c r="AP841" s="103" t="s">
        <v>1229</v>
      </c>
      <c r="AQ841" s="103" t="s">
        <v>1197</v>
      </c>
      <c r="AR841" s="103" t="s">
        <v>944</v>
      </c>
      <c r="AS841" s="271"/>
      <c r="AT841" s="271"/>
      <c r="AU841" s="271"/>
      <c r="AV841" s="271"/>
      <c r="AW841" s="271">
        <v>12600000</v>
      </c>
      <c r="AX841" s="271"/>
      <c r="AY841" s="271"/>
      <c r="AZ841" s="271"/>
      <c r="BA841" s="271"/>
      <c r="BB841" s="271"/>
      <c r="BC841" s="271"/>
      <c r="BD841" s="271"/>
      <c r="BE841" s="271"/>
      <c r="BF841" s="271"/>
      <c r="BG841" s="271"/>
      <c r="BH841" s="235">
        <v>12600000</v>
      </c>
      <c r="BI841" s="271"/>
      <c r="BJ841" s="271"/>
      <c r="BK841" s="271"/>
      <c r="BL841" s="271"/>
      <c r="BM841" s="271">
        <v>18000000</v>
      </c>
      <c r="BN841" s="271"/>
      <c r="BO841" s="271"/>
      <c r="BP841" s="271"/>
      <c r="BQ841" s="271"/>
      <c r="BR841" s="271"/>
      <c r="BS841" s="271"/>
      <c r="BT841" s="271"/>
      <c r="BU841" s="271"/>
      <c r="BV841" s="271"/>
      <c r="BW841" s="271"/>
      <c r="BX841" s="235">
        <v>18000000</v>
      </c>
      <c r="BY841" s="271"/>
      <c r="BZ841" s="271"/>
      <c r="CA841" s="271"/>
      <c r="CB841" s="271"/>
      <c r="CC841" s="271"/>
      <c r="CD841" s="271"/>
      <c r="CE841" s="271"/>
      <c r="CF841" s="271"/>
      <c r="CG841" s="271"/>
      <c r="CH841" s="271"/>
      <c r="CI841" s="271"/>
      <c r="CJ841" s="271"/>
      <c r="CK841" s="271"/>
      <c r="CL841" s="271"/>
      <c r="CM841" s="271"/>
      <c r="CN841" s="235">
        <v>0</v>
      </c>
      <c r="CO841" s="271"/>
      <c r="CP841" s="271"/>
      <c r="CQ841" s="271"/>
      <c r="CR841" s="271"/>
      <c r="CS841" s="271"/>
      <c r="CT841" s="271"/>
      <c r="CU841" s="271"/>
      <c r="CV841" s="271"/>
      <c r="CW841" s="271"/>
      <c r="CX841" s="271"/>
      <c r="CY841" s="271"/>
      <c r="CZ841" s="271"/>
      <c r="DA841" s="271"/>
      <c r="DB841" s="271"/>
      <c r="DC841" s="271"/>
      <c r="DD841" s="234">
        <v>0</v>
      </c>
      <c r="DE841" s="244">
        <v>30600000</v>
      </c>
    </row>
    <row r="842" spans="1:110" s="98" customFormat="1" ht="110.1" customHeight="1">
      <c r="A842" s="103" t="s">
        <v>1240</v>
      </c>
      <c r="B842" s="279" t="s">
        <v>3614</v>
      </c>
      <c r="C842" s="279" t="s">
        <v>1849</v>
      </c>
      <c r="D842" s="279">
        <v>74</v>
      </c>
      <c r="E842" s="279" t="s">
        <v>1850</v>
      </c>
      <c r="F842" s="280" t="s">
        <v>1851</v>
      </c>
      <c r="G842" s="279" t="s">
        <v>3921</v>
      </c>
      <c r="H842" s="279">
        <v>90</v>
      </c>
      <c r="I842" s="279" t="s">
        <v>1852</v>
      </c>
      <c r="J842" s="279" t="s">
        <v>689</v>
      </c>
      <c r="K842" s="279">
        <v>4.8499999999999996</v>
      </c>
      <c r="L842" s="279" t="s">
        <v>1853</v>
      </c>
      <c r="M842" s="279" t="s">
        <v>1858</v>
      </c>
      <c r="N842" s="279" t="s">
        <v>1859</v>
      </c>
      <c r="O842" s="279" t="s">
        <v>1860</v>
      </c>
      <c r="P842" s="283">
        <v>745</v>
      </c>
      <c r="Q842" s="279" t="s">
        <v>3849</v>
      </c>
      <c r="R842" s="279" t="s">
        <v>305</v>
      </c>
      <c r="S842" s="279" t="s">
        <v>683</v>
      </c>
      <c r="T842" s="279">
        <v>1</v>
      </c>
      <c r="U842" s="267"/>
      <c r="V842" s="267">
        <v>1</v>
      </c>
      <c r="W842" s="224">
        <v>1</v>
      </c>
      <c r="X842" s="267"/>
      <c r="Y842" s="267">
        <v>1</v>
      </c>
      <c r="Z842" s="267"/>
      <c r="AA842" s="267"/>
      <c r="AB842" s="224">
        <v>1</v>
      </c>
      <c r="AC842" s="267"/>
      <c r="AD842" s="267">
        <v>1</v>
      </c>
      <c r="AE842" s="267"/>
      <c r="AF842" s="267"/>
      <c r="AG842" s="224">
        <v>1</v>
      </c>
      <c r="AH842" s="267"/>
      <c r="AI842" s="267">
        <v>1</v>
      </c>
      <c r="AJ842" s="267"/>
      <c r="AK842" s="267"/>
      <c r="AL842" s="224">
        <v>1</v>
      </c>
      <c r="AM842" s="104">
        <v>1</v>
      </c>
      <c r="AN842" s="103" t="s">
        <v>686</v>
      </c>
      <c r="AO842" s="103" t="s">
        <v>1212</v>
      </c>
      <c r="AP842" s="103" t="s">
        <v>1229</v>
      </c>
      <c r="AQ842" s="103" t="s">
        <v>1197</v>
      </c>
      <c r="AR842" s="103" t="s">
        <v>946</v>
      </c>
      <c r="AS842" s="271"/>
      <c r="AT842" s="271"/>
      <c r="AU842" s="271"/>
      <c r="AV842" s="271"/>
      <c r="AW842" s="271">
        <v>12600000</v>
      </c>
      <c r="AX842" s="271"/>
      <c r="AY842" s="271"/>
      <c r="AZ842" s="271"/>
      <c r="BA842" s="271"/>
      <c r="BB842" s="271"/>
      <c r="BC842" s="271"/>
      <c r="BD842" s="271"/>
      <c r="BE842" s="271"/>
      <c r="BF842" s="271"/>
      <c r="BG842" s="271"/>
      <c r="BH842" s="235">
        <v>12600000</v>
      </c>
      <c r="BI842" s="271"/>
      <c r="BJ842" s="271"/>
      <c r="BK842" s="271"/>
      <c r="BL842" s="271"/>
      <c r="BM842" s="271">
        <v>18000000</v>
      </c>
      <c r="BN842" s="271"/>
      <c r="BO842" s="271"/>
      <c r="BP842" s="271"/>
      <c r="BQ842" s="271"/>
      <c r="BR842" s="271"/>
      <c r="BS842" s="271"/>
      <c r="BT842" s="271"/>
      <c r="BU842" s="271"/>
      <c r="BV842" s="271"/>
      <c r="BW842" s="271"/>
      <c r="BX842" s="235">
        <v>18000000</v>
      </c>
      <c r="BY842" s="271"/>
      <c r="BZ842" s="271"/>
      <c r="CA842" s="271"/>
      <c r="CB842" s="271"/>
      <c r="CC842" s="271">
        <v>36666666.666666664</v>
      </c>
      <c r="CD842" s="271"/>
      <c r="CE842" s="271"/>
      <c r="CF842" s="271"/>
      <c r="CG842" s="271"/>
      <c r="CH842" s="271"/>
      <c r="CI842" s="271"/>
      <c r="CJ842" s="271"/>
      <c r="CK842" s="271"/>
      <c r="CL842" s="271"/>
      <c r="CM842" s="271"/>
      <c r="CN842" s="235">
        <v>36666666.666666664</v>
      </c>
      <c r="CO842" s="271"/>
      <c r="CP842" s="271"/>
      <c r="CQ842" s="271"/>
      <c r="CR842" s="271"/>
      <c r="CS842" s="271">
        <v>50666666.666666664</v>
      </c>
      <c r="CT842" s="271"/>
      <c r="CU842" s="271"/>
      <c r="CV842" s="271"/>
      <c r="CW842" s="271"/>
      <c r="CX842" s="271"/>
      <c r="CY842" s="271"/>
      <c r="CZ842" s="271"/>
      <c r="DA842" s="271"/>
      <c r="DB842" s="271"/>
      <c r="DC842" s="271"/>
      <c r="DD842" s="234">
        <v>50666666.666666664</v>
      </c>
      <c r="DE842" s="244">
        <v>117933333.33333333</v>
      </c>
    </row>
    <row r="843" spans="1:110" s="98" customFormat="1" ht="110.1" customHeight="1">
      <c r="A843" s="103" t="s">
        <v>1240</v>
      </c>
      <c r="B843" s="279" t="s">
        <v>3614</v>
      </c>
      <c r="C843" s="279" t="s">
        <v>1849</v>
      </c>
      <c r="D843" s="279">
        <v>74</v>
      </c>
      <c r="E843" s="279" t="s">
        <v>1850</v>
      </c>
      <c r="F843" s="280" t="s">
        <v>1851</v>
      </c>
      <c r="G843" s="279" t="s">
        <v>3921</v>
      </c>
      <c r="H843" s="279">
        <v>90</v>
      </c>
      <c r="I843" s="279" t="s">
        <v>1852</v>
      </c>
      <c r="J843" s="279" t="s">
        <v>689</v>
      </c>
      <c r="K843" s="279">
        <v>4.8499999999999996</v>
      </c>
      <c r="L843" s="279" t="s">
        <v>1853</v>
      </c>
      <c r="M843" s="279" t="s">
        <v>1858</v>
      </c>
      <c r="N843" s="279" t="s">
        <v>1859</v>
      </c>
      <c r="O843" s="279" t="s">
        <v>1860</v>
      </c>
      <c r="P843" s="283">
        <v>746</v>
      </c>
      <c r="Q843" s="279" t="s">
        <v>3850</v>
      </c>
      <c r="R843" s="279" t="s">
        <v>305</v>
      </c>
      <c r="S843" s="279" t="s">
        <v>683</v>
      </c>
      <c r="T843" s="279">
        <v>1</v>
      </c>
      <c r="U843" s="267"/>
      <c r="V843" s="267">
        <v>0.2</v>
      </c>
      <c r="W843" s="224">
        <v>0.2</v>
      </c>
      <c r="X843" s="267"/>
      <c r="Y843" s="267"/>
      <c r="Z843" s="267">
        <v>0.8</v>
      </c>
      <c r="AA843" s="267"/>
      <c r="AB843" s="224">
        <v>0.8</v>
      </c>
      <c r="AC843" s="267"/>
      <c r="AD843" s="267"/>
      <c r="AE843" s="267">
        <v>1</v>
      </c>
      <c r="AF843" s="267"/>
      <c r="AG843" s="224">
        <v>1</v>
      </c>
      <c r="AH843" s="267"/>
      <c r="AI843" s="267"/>
      <c r="AJ843" s="267">
        <v>2</v>
      </c>
      <c r="AK843" s="267"/>
      <c r="AL843" s="224">
        <v>2</v>
      </c>
      <c r="AM843" s="104">
        <v>4</v>
      </c>
      <c r="AN843" s="103" t="s">
        <v>685</v>
      </c>
      <c r="AO843" s="103" t="s">
        <v>1212</v>
      </c>
      <c r="AP843" s="103" t="s">
        <v>1229</v>
      </c>
      <c r="AQ843" s="103" t="s">
        <v>1197</v>
      </c>
      <c r="AR843" s="103" t="s">
        <v>946</v>
      </c>
      <c r="AS843" s="271"/>
      <c r="AT843" s="271"/>
      <c r="AU843" s="271"/>
      <c r="AV843" s="271"/>
      <c r="AW843" s="271">
        <v>12600000</v>
      </c>
      <c r="AX843" s="271"/>
      <c r="AY843" s="271"/>
      <c r="AZ843" s="271"/>
      <c r="BA843" s="271"/>
      <c r="BB843" s="271"/>
      <c r="BC843" s="271"/>
      <c r="BD843" s="271"/>
      <c r="BE843" s="271"/>
      <c r="BF843" s="271"/>
      <c r="BG843" s="271"/>
      <c r="BH843" s="235">
        <v>12600000</v>
      </c>
      <c r="BI843" s="271"/>
      <c r="BJ843" s="271"/>
      <c r="BK843" s="271"/>
      <c r="BL843" s="271"/>
      <c r="BM843" s="271">
        <v>18000000</v>
      </c>
      <c r="BN843" s="271"/>
      <c r="BO843" s="271"/>
      <c r="BP843" s="271"/>
      <c r="BQ843" s="271"/>
      <c r="BR843" s="271"/>
      <c r="BS843" s="271"/>
      <c r="BT843" s="271"/>
      <c r="BU843" s="271"/>
      <c r="BV843" s="271"/>
      <c r="BW843" s="271"/>
      <c r="BX843" s="235">
        <v>18000000</v>
      </c>
      <c r="BY843" s="271"/>
      <c r="BZ843" s="271"/>
      <c r="CA843" s="271"/>
      <c r="CB843" s="271"/>
      <c r="CC843" s="271">
        <v>36666666.666666664</v>
      </c>
      <c r="CD843" s="271"/>
      <c r="CE843" s="271"/>
      <c r="CF843" s="271"/>
      <c r="CG843" s="271"/>
      <c r="CH843" s="271"/>
      <c r="CI843" s="271"/>
      <c r="CJ843" s="271"/>
      <c r="CK843" s="271"/>
      <c r="CL843" s="271"/>
      <c r="CM843" s="271"/>
      <c r="CN843" s="235">
        <v>36666666.666666664</v>
      </c>
      <c r="CO843" s="271"/>
      <c r="CP843" s="271"/>
      <c r="CQ843" s="271"/>
      <c r="CR843" s="271"/>
      <c r="CS843" s="271">
        <v>50666666.666666664</v>
      </c>
      <c r="CT843" s="271"/>
      <c r="CU843" s="271"/>
      <c r="CV843" s="271"/>
      <c r="CW843" s="271"/>
      <c r="CX843" s="271"/>
      <c r="CY843" s="271"/>
      <c r="CZ843" s="271"/>
      <c r="DA843" s="271"/>
      <c r="DB843" s="271"/>
      <c r="DC843" s="271"/>
      <c r="DD843" s="234">
        <v>50666666.666666664</v>
      </c>
      <c r="DE843" s="244">
        <v>117933333.33333333</v>
      </c>
    </row>
    <row r="844" spans="1:110" s="98" customFormat="1" ht="110.1" customHeight="1">
      <c r="A844" s="120" t="s">
        <v>1240</v>
      </c>
      <c r="B844" s="281" t="s">
        <v>3614</v>
      </c>
      <c r="C844" s="281" t="s">
        <v>1849</v>
      </c>
      <c r="D844" s="281">
        <v>74</v>
      </c>
      <c r="E844" s="281" t="s">
        <v>1850</v>
      </c>
      <c r="F844" s="282" t="s">
        <v>1851</v>
      </c>
      <c r="G844" s="281" t="s">
        <v>3921</v>
      </c>
      <c r="H844" s="281">
        <v>90</v>
      </c>
      <c r="I844" s="281" t="s">
        <v>1852</v>
      </c>
      <c r="J844" s="281" t="s">
        <v>689</v>
      </c>
      <c r="K844" s="281">
        <v>4.8499999999999996</v>
      </c>
      <c r="L844" s="281" t="s">
        <v>1853</v>
      </c>
      <c r="M844" s="281" t="s">
        <v>1858</v>
      </c>
      <c r="N844" s="281" t="s">
        <v>1859</v>
      </c>
      <c r="O844" s="281" t="s">
        <v>1860</v>
      </c>
      <c r="P844" s="283">
        <v>747</v>
      </c>
      <c r="Q844" s="281" t="s">
        <v>3922</v>
      </c>
      <c r="R844" s="281" t="s">
        <v>1861</v>
      </c>
      <c r="S844" s="281" t="s">
        <v>683</v>
      </c>
      <c r="T844" s="281">
        <v>0</v>
      </c>
      <c r="U844" s="275"/>
      <c r="V844" s="275">
        <v>0.5</v>
      </c>
      <c r="W844" s="225">
        <v>0.5</v>
      </c>
      <c r="X844" s="275"/>
      <c r="Y844" s="275">
        <v>0.5</v>
      </c>
      <c r="Z844" s="275"/>
      <c r="AA844" s="275">
        <v>1</v>
      </c>
      <c r="AB844" s="225">
        <v>1.5</v>
      </c>
      <c r="AC844" s="275"/>
      <c r="AD844" s="275">
        <v>1</v>
      </c>
      <c r="AE844" s="275"/>
      <c r="AF844" s="275"/>
      <c r="AG844" s="225">
        <v>1</v>
      </c>
      <c r="AH844" s="275"/>
      <c r="AI844" s="275">
        <v>1</v>
      </c>
      <c r="AJ844" s="275"/>
      <c r="AK844" s="275"/>
      <c r="AL844" s="225">
        <v>1</v>
      </c>
      <c r="AM844" s="119">
        <v>4</v>
      </c>
      <c r="AN844" s="120" t="s">
        <v>685</v>
      </c>
      <c r="AO844" s="120" t="s">
        <v>1212</v>
      </c>
      <c r="AP844" s="120" t="s">
        <v>1229</v>
      </c>
      <c r="AQ844" s="120" t="s">
        <v>1197</v>
      </c>
      <c r="AR844" s="120" t="s">
        <v>946</v>
      </c>
      <c r="AS844" s="276"/>
      <c r="AT844" s="276"/>
      <c r="AU844" s="276"/>
      <c r="AV844" s="276"/>
      <c r="AW844" s="276">
        <v>12600000</v>
      </c>
      <c r="AX844" s="276"/>
      <c r="AY844" s="276"/>
      <c r="AZ844" s="276"/>
      <c r="BA844" s="276"/>
      <c r="BB844" s="276"/>
      <c r="BC844" s="276"/>
      <c r="BD844" s="276"/>
      <c r="BE844" s="276"/>
      <c r="BF844" s="276"/>
      <c r="BG844" s="276"/>
      <c r="BH844" s="236">
        <v>12600000</v>
      </c>
      <c r="BI844" s="276"/>
      <c r="BJ844" s="276"/>
      <c r="BK844" s="276"/>
      <c r="BL844" s="276"/>
      <c r="BM844" s="276">
        <v>18000000</v>
      </c>
      <c r="BN844" s="276"/>
      <c r="BO844" s="276"/>
      <c r="BP844" s="276"/>
      <c r="BQ844" s="276"/>
      <c r="BR844" s="276"/>
      <c r="BS844" s="276"/>
      <c r="BT844" s="276"/>
      <c r="BU844" s="276"/>
      <c r="BV844" s="276"/>
      <c r="BW844" s="276"/>
      <c r="BX844" s="236">
        <v>18000000</v>
      </c>
      <c r="BY844" s="276"/>
      <c r="BZ844" s="276"/>
      <c r="CA844" s="276"/>
      <c r="CB844" s="276"/>
      <c r="CC844" s="276">
        <v>36666666.666666664</v>
      </c>
      <c r="CD844" s="276"/>
      <c r="CE844" s="276"/>
      <c r="CF844" s="276"/>
      <c r="CG844" s="276"/>
      <c r="CH844" s="276"/>
      <c r="CI844" s="276"/>
      <c r="CJ844" s="276"/>
      <c r="CK844" s="276"/>
      <c r="CL844" s="276"/>
      <c r="CM844" s="276"/>
      <c r="CN844" s="236">
        <v>36666666.666666664</v>
      </c>
      <c r="CO844" s="276"/>
      <c r="CP844" s="276"/>
      <c r="CQ844" s="276"/>
      <c r="CR844" s="276"/>
      <c r="CS844" s="276">
        <v>50666666.666666664</v>
      </c>
      <c r="CT844" s="276"/>
      <c r="CU844" s="276"/>
      <c r="CV844" s="276"/>
      <c r="CW844" s="276"/>
      <c r="CX844" s="276"/>
      <c r="CY844" s="276"/>
      <c r="CZ844" s="276"/>
      <c r="DA844" s="276"/>
      <c r="DB844" s="276"/>
      <c r="DC844" s="276"/>
      <c r="DD844" s="240">
        <v>50666666.666666664</v>
      </c>
      <c r="DE844" s="245">
        <v>117933333.33333333</v>
      </c>
    </row>
    <row r="845" spans="1:110" ht="65.099999999999994" customHeight="1">
      <c r="A845" s="118" t="s">
        <v>1240</v>
      </c>
      <c r="B845" s="118" t="s">
        <v>3614</v>
      </c>
      <c r="C845" s="118" t="s">
        <v>1849</v>
      </c>
      <c r="D845" s="118">
        <v>74</v>
      </c>
      <c r="E845" s="118" t="s">
        <v>1850</v>
      </c>
      <c r="F845" s="135"/>
      <c r="G845" s="136"/>
      <c r="H845" s="137"/>
      <c r="I845" s="137"/>
      <c r="J845" s="137"/>
      <c r="K845" s="138"/>
      <c r="L845" s="137"/>
      <c r="M845" s="137"/>
      <c r="N845" s="137"/>
      <c r="O845" s="137"/>
      <c r="P845" s="137"/>
      <c r="Q845" s="136"/>
      <c r="R845" s="139"/>
      <c r="S845" s="137"/>
      <c r="T845" s="137"/>
      <c r="U845" s="140"/>
      <c r="V845" s="140"/>
      <c r="W845" s="138"/>
      <c r="X845" s="140"/>
      <c r="Y845" s="140"/>
      <c r="Z845" s="140"/>
      <c r="AA845" s="140"/>
      <c r="AB845" s="138"/>
      <c r="AC845" s="140"/>
      <c r="AD845" s="140"/>
      <c r="AE845" s="140"/>
      <c r="AF845" s="140"/>
      <c r="AG845" s="138"/>
      <c r="AH845" s="140"/>
      <c r="AI845" s="140"/>
      <c r="AJ845" s="140"/>
      <c r="AK845" s="140"/>
      <c r="AL845" s="138"/>
      <c r="AM845" s="141"/>
      <c r="AN845" s="142"/>
      <c r="AO845" s="142"/>
      <c r="AP845" s="143"/>
      <c r="AQ845" s="143"/>
      <c r="AR845" s="144"/>
      <c r="AS845" s="132">
        <f>SUM(AS840:AS844)</f>
        <v>0</v>
      </c>
      <c r="AT845" s="132">
        <f t="shared" ref="AT845:DE845" si="426">SUM(AT840:AT844)</f>
        <v>0</v>
      </c>
      <c r="AU845" s="132">
        <f t="shared" si="426"/>
        <v>0</v>
      </c>
      <c r="AV845" s="132">
        <f t="shared" si="426"/>
        <v>0</v>
      </c>
      <c r="AW845" s="132">
        <f t="shared" si="426"/>
        <v>63000000</v>
      </c>
      <c r="AX845" s="132">
        <f t="shared" si="426"/>
        <v>0</v>
      </c>
      <c r="AY845" s="132">
        <f t="shared" si="426"/>
        <v>0</v>
      </c>
      <c r="AZ845" s="132">
        <f t="shared" si="426"/>
        <v>0</v>
      </c>
      <c r="BA845" s="132">
        <f t="shared" si="426"/>
        <v>0</v>
      </c>
      <c r="BB845" s="132">
        <f t="shared" si="426"/>
        <v>0</v>
      </c>
      <c r="BC845" s="132">
        <f t="shared" si="426"/>
        <v>0</v>
      </c>
      <c r="BD845" s="132">
        <f t="shared" si="426"/>
        <v>0</v>
      </c>
      <c r="BE845" s="132">
        <f t="shared" si="426"/>
        <v>0</v>
      </c>
      <c r="BF845" s="132">
        <f t="shared" si="426"/>
        <v>0</v>
      </c>
      <c r="BG845" s="132">
        <f t="shared" si="426"/>
        <v>0</v>
      </c>
      <c r="BH845" s="132">
        <f>IF(OR(AND(BH840=0,W840&lt;&gt;0),AND(BH841=0,W841&lt;&gt;0),AND(BH842=0,W842&lt;&gt;0),AND(BH843=0,W843&lt;&gt;0),AND(BH844=0,W844&lt;&gt;0)),"NO DEBEN QUEDAR CELDAS EN ROJO",SUM(BH840:BH844))</f>
        <v>63000000</v>
      </c>
      <c r="BI845" s="132">
        <f t="shared" si="426"/>
        <v>0</v>
      </c>
      <c r="BJ845" s="132">
        <f t="shared" si="426"/>
        <v>0</v>
      </c>
      <c r="BK845" s="132">
        <f t="shared" si="426"/>
        <v>0</v>
      </c>
      <c r="BL845" s="132">
        <f t="shared" si="426"/>
        <v>0</v>
      </c>
      <c r="BM845" s="132">
        <f t="shared" si="426"/>
        <v>90000000</v>
      </c>
      <c r="BN845" s="132">
        <f t="shared" si="426"/>
        <v>0</v>
      </c>
      <c r="BO845" s="132">
        <f t="shared" si="426"/>
        <v>0</v>
      </c>
      <c r="BP845" s="132">
        <f t="shared" si="426"/>
        <v>0</v>
      </c>
      <c r="BQ845" s="132">
        <f t="shared" si="426"/>
        <v>0</v>
      </c>
      <c r="BR845" s="132">
        <f t="shared" si="426"/>
        <v>0</v>
      </c>
      <c r="BS845" s="132">
        <f t="shared" si="426"/>
        <v>0</v>
      </c>
      <c r="BT845" s="132">
        <f t="shared" si="426"/>
        <v>0</v>
      </c>
      <c r="BU845" s="132">
        <f t="shared" si="426"/>
        <v>0</v>
      </c>
      <c r="BV845" s="132">
        <f t="shared" si="426"/>
        <v>0</v>
      </c>
      <c r="BW845" s="132">
        <f t="shared" si="426"/>
        <v>0</v>
      </c>
      <c r="BX845" s="132">
        <f>IF(OR(AND(BX840=0,AB840&lt;&gt;0),AND(BX841=0,AB841&lt;&gt;0),AND(BX842=0,AB842&lt;&gt;0),AND(BX843=0,AB843&lt;&gt;0),AND(BX844=0,AB844&lt;&gt;0)),"NO DEBEN QUEDAR CELDAS EN ROJO",SUM(BX840:BX844))</f>
        <v>90000000</v>
      </c>
      <c r="BY845" s="132">
        <f t="shared" si="426"/>
        <v>0</v>
      </c>
      <c r="BZ845" s="132">
        <f t="shared" si="426"/>
        <v>0</v>
      </c>
      <c r="CA845" s="132">
        <f t="shared" si="426"/>
        <v>0</v>
      </c>
      <c r="CB845" s="132">
        <f t="shared" si="426"/>
        <v>0</v>
      </c>
      <c r="CC845" s="132">
        <f t="shared" si="426"/>
        <v>110000000</v>
      </c>
      <c r="CD845" s="132">
        <f t="shared" si="426"/>
        <v>0</v>
      </c>
      <c r="CE845" s="132">
        <f t="shared" si="426"/>
        <v>0</v>
      </c>
      <c r="CF845" s="132">
        <f t="shared" si="426"/>
        <v>0</v>
      </c>
      <c r="CG845" s="132">
        <f t="shared" si="426"/>
        <v>0</v>
      </c>
      <c r="CH845" s="132">
        <f t="shared" si="426"/>
        <v>0</v>
      </c>
      <c r="CI845" s="132">
        <f t="shared" si="426"/>
        <v>0</v>
      </c>
      <c r="CJ845" s="132">
        <f t="shared" si="426"/>
        <v>0</v>
      </c>
      <c r="CK845" s="132">
        <f t="shared" si="426"/>
        <v>0</v>
      </c>
      <c r="CL845" s="132">
        <f t="shared" si="426"/>
        <v>0</v>
      </c>
      <c r="CM845" s="132">
        <f t="shared" si="426"/>
        <v>0</v>
      </c>
      <c r="CN845" s="132">
        <f>IF(OR(AND(CN840=0,AG840&lt;&gt;0),AND(CN841=0,AG841&lt;&gt;0),AND(CN842=0,AG842&lt;&gt;0),AND(CN843=0,AG843&lt;&gt;0),AND(CN844=0,AG844&lt;&gt;0)),"NO DEBEN QUEDAR CELDAS EN ROJO",SUM(CN840:CN844))</f>
        <v>110000000</v>
      </c>
      <c r="CO845" s="132">
        <f t="shared" si="426"/>
        <v>0</v>
      </c>
      <c r="CP845" s="132">
        <f t="shared" si="426"/>
        <v>0</v>
      </c>
      <c r="CQ845" s="132">
        <f t="shared" si="426"/>
        <v>0</v>
      </c>
      <c r="CR845" s="132">
        <f t="shared" si="426"/>
        <v>0</v>
      </c>
      <c r="CS845" s="132">
        <f t="shared" si="426"/>
        <v>152000000</v>
      </c>
      <c r="CT845" s="132">
        <f t="shared" si="426"/>
        <v>0</v>
      </c>
      <c r="CU845" s="132">
        <f t="shared" si="426"/>
        <v>0</v>
      </c>
      <c r="CV845" s="132">
        <f t="shared" si="426"/>
        <v>0</v>
      </c>
      <c r="CW845" s="132">
        <f t="shared" si="426"/>
        <v>0</v>
      </c>
      <c r="CX845" s="132">
        <f t="shared" si="426"/>
        <v>0</v>
      </c>
      <c r="CY845" s="132">
        <f t="shared" si="426"/>
        <v>0</v>
      </c>
      <c r="CZ845" s="132">
        <f t="shared" si="426"/>
        <v>0</v>
      </c>
      <c r="DA845" s="132">
        <f t="shared" si="426"/>
        <v>0</v>
      </c>
      <c r="DB845" s="132">
        <f t="shared" si="426"/>
        <v>0</v>
      </c>
      <c r="DC845" s="132">
        <f t="shared" si="426"/>
        <v>0</v>
      </c>
      <c r="DD845" s="132">
        <f>IF(OR(AND(DD840=0,AL840&lt;&gt;0),AND(DD841=0,AL841&lt;&gt;0),AND(DD842=0,AL842&lt;&gt;0),AND(DD843=0,AL843&lt;&gt;0),AND(DD844=0,AL844&lt;&gt;0)),"NO DEBEN QUEDAR CELDAS EN ROJO",SUM(DD840:DD844))</f>
        <v>152000000</v>
      </c>
      <c r="DE845" s="132">
        <f t="shared" si="426"/>
        <v>414999999.99999994</v>
      </c>
      <c r="DF845" s="101"/>
    </row>
    <row r="846" spans="1:110" s="99" customFormat="1" ht="127.05" customHeight="1">
      <c r="A846" s="103" t="s">
        <v>1248</v>
      </c>
      <c r="B846" s="103" t="s">
        <v>3614</v>
      </c>
      <c r="C846" s="103" t="s">
        <v>1849</v>
      </c>
      <c r="D846" s="103">
        <v>75</v>
      </c>
      <c r="E846" s="103" t="s">
        <v>1862</v>
      </c>
      <c r="F846" s="278" t="s">
        <v>314</v>
      </c>
      <c r="G846" s="303" t="s">
        <v>3941</v>
      </c>
      <c r="H846" s="103">
        <v>91</v>
      </c>
      <c r="I846" s="103" t="s">
        <v>1863</v>
      </c>
      <c r="J846" s="103" t="s">
        <v>683</v>
      </c>
      <c r="K846" s="103">
        <v>1</v>
      </c>
      <c r="L846" s="103" t="s">
        <v>860</v>
      </c>
      <c r="M846" s="103" t="s">
        <v>1864</v>
      </c>
      <c r="N846" s="103" t="s">
        <v>1865</v>
      </c>
      <c r="O846" s="103" t="s">
        <v>1866</v>
      </c>
      <c r="P846" s="283">
        <v>748</v>
      </c>
      <c r="Q846" s="303" t="s">
        <v>3942</v>
      </c>
      <c r="R846" s="103" t="s">
        <v>317</v>
      </c>
      <c r="S846" s="103" t="s">
        <v>683</v>
      </c>
      <c r="T846" s="103">
        <v>0</v>
      </c>
      <c r="U846" s="267">
        <v>7.0000000000000007E-2</v>
      </c>
      <c r="V846" s="267">
        <v>7.0000000000000007E-2</v>
      </c>
      <c r="W846" s="224">
        <v>0.14000000000000001</v>
      </c>
      <c r="X846" s="267">
        <v>7.0000000000000007E-2</v>
      </c>
      <c r="Y846" s="267">
        <v>7.0000000000000007E-2</v>
      </c>
      <c r="Z846" s="267">
        <v>7.0000000000000007E-2</v>
      </c>
      <c r="AA846" s="267">
        <v>7.0000000000000007E-2</v>
      </c>
      <c r="AB846" s="224">
        <v>0.28000000000000003</v>
      </c>
      <c r="AC846" s="267">
        <v>7.0000000000000007E-2</v>
      </c>
      <c r="AD846" s="267">
        <v>7.0000000000000007E-2</v>
      </c>
      <c r="AE846" s="267">
        <v>7.0000000000000007E-2</v>
      </c>
      <c r="AF846" s="267">
        <v>7.0000000000000007E-2</v>
      </c>
      <c r="AG846" s="224">
        <v>0.28000000000000003</v>
      </c>
      <c r="AH846" s="267">
        <v>7.0000000000000007E-2</v>
      </c>
      <c r="AI846" s="267">
        <v>7.0000000000000007E-2</v>
      </c>
      <c r="AJ846" s="267">
        <v>7.0000000000000007E-2</v>
      </c>
      <c r="AK846" s="267">
        <v>0.09</v>
      </c>
      <c r="AL846" s="224">
        <v>0.30000000000000004</v>
      </c>
      <c r="AM846" s="102">
        <v>1</v>
      </c>
      <c r="AN846" s="103" t="s">
        <v>685</v>
      </c>
      <c r="AO846" s="103" t="s">
        <v>621</v>
      </c>
      <c r="AP846" s="103" t="s">
        <v>1225</v>
      </c>
      <c r="AQ846" s="103" t="s">
        <v>1207</v>
      </c>
      <c r="AR846" s="103" t="s">
        <v>952</v>
      </c>
      <c r="AS846" s="268"/>
      <c r="AT846" s="268"/>
      <c r="AU846" s="268"/>
      <c r="AV846" s="268"/>
      <c r="AW846" s="268">
        <v>100000</v>
      </c>
      <c r="AX846" s="268"/>
      <c r="AY846" s="268"/>
      <c r="AZ846" s="268"/>
      <c r="BA846" s="268"/>
      <c r="BB846" s="268"/>
      <c r="BC846" s="268"/>
      <c r="BD846" s="268"/>
      <c r="BE846" s="268"/>
      <c r="BF846" s="268"/>
      <c r="BG846" s="268"/>
      <c r="BH846" s="234">
        <f t="shared" ref="BH846:BH852" si="427">IF(W846=0,0,BG846+BF846+BE846+BD846+BC846+BB846+BA846+AZ846+AY846+AX846+AW846+AV846+AU846+AT846+AS846)</f>
        <v>100000</v>
      </c>
      <c r="BI846" s="268"/>
      <c r="BJ846" s="268"/>
      <c r="BK846" s="268"/>
      <c r="BL846" s="268"/>
      <c r="BM846" s="268">
        <v>100000</v>
      </c>
      <c r="BN846" s="268"/>
      <c r="BO846" s="268"/>
      <c r="BP846" s="268"/>
      <c r="BQ846" s="268"/>
      <c r="BR846" s="268"/>
      <c r="BS846" s="268"/>
      <c r="BT846" s="268"/>
      <c r="BU846" s="268"/>
      <c r="BV846" s="268"/>
      <c r="BW846" s="268"/>
      <c r="BX846" s="234">
        <f t="shared" ref="BX846:BX852" si="428">IF(AB846=0,0,BI846+BJ846+BK846+BL846+BM846+BN846+BO846+BP846+BQ846+BR846+BS846+BT846+BU846+BV846+BW846)</f>
        <v>100000</v>
      </c>
      <c r="BY846" s="268"/>
      <c r="BZ846" s="268"/>
      <c r="CA846" s="268"/>
      <c r="CB846" s="268"/>
      <c r="CC846" s="268">
        <v>100000</v>
      </c>
      <c r="CD846" s="268"/>
      <c r="CE846" s="268"/>
      <c r="CF846" s="268"/>
      <c r="CG846" s="268"/>
      <c r="CH846" s="268"/>
      <c r="CI846" s="268"/>
      <c r="CJ846" s="268"/>
      <c r="CK846" s="268"/>
      <c r="CL846" s="268"/>
      <c r="CM846" s="268"/>
      <c r="CN846" s="234">
        <f t="shared" ref="CN846:CN852" si="429">IF(AG846=0,0,(BY846+BZ846+CA846+CB846+CC846+CD846+CE846+CF846+CG846+CH846+CI846+CJ846+CK846+CL846+CM846))</f>
        <v>100000</v>
      </c>
      <c r="CO846" s="268"/>
      <c r="CP846" s="268"/>
      <c r="CQ846" s="268"/>
      <c r="CR846" s="268"/>
      <c r="CS846" s="268">
        <v>100000</v>
      </c>
      <c r="CT846" s="268"/>
      <c r="CU846" s="268"/>
      <c r="CV846" s="268"/>
      <c r="CW846" s="268"/>
      <c r="CX846" s="268"/>
      <c r="CY846" s="268"/>
      <c r="CZ846" s="268"/>
      <c r="DA846" s="268"/>
      <c r="DB846" s="268"/>
      <c r="DC846" s="268"/>
      <c r="DD846" s="234">
        <f t="shared" ref="DD846:DD852" si="430">IF(AL846=0,0,(CO846+CP846+CQ846+CR846+CS846+CT846+CU846+CV846+CW846+CX846+CY846+CZ846+DA846+DB846+DC846))</f>
        <v>100000</v>
      </c>
      <c r="DE846" s="243">
        <f t="shared" ref="DE846:DE862" si="431">SUM(DD846+CN846+BX846+BH846)</f>
        <v>400000</v>
      </c>
    </row>
    <row r="847" spans="1:110" s="99" customFormat="1" ht="127.05" customHeight="1">
      <c r="A847" s="103" t="s">
        <v>1248</v>
      </c>
      <c r="B847" s="279" t="s">
        <v>3614</v>
      </c>
      <c r="C847" s="279" t="s">
        <v>1849</v>
      </c>
      <c r="D847" s="279">
        <v>75</v>
      </c>
      <c r="E847" s="279" t="s">
        <v>1862</v>
      </c>
      <c r="F847" s="280" t="s">
        <v>314</v>
      </c>
      <c r="G847" s="303" t="s">
        <v>3941</v>
      </c>
      <c r="H847" s="279">
        <v>91</v>
      </c>
      <c r="I847" s="279" t="s">
        <v>1863</v>
      </c>
      <c r="J847" s="279" t="s">
        <v>683</v>
      </c>
      <c r="K847" s="279">
        <v>1</v>
      </c>
      <c r="L847" s="279" t="s">
        <v>860</v>
      </c>
      <c r="M847" s="279" t="s">
        <v>1864</v>
      </c>
      <c r="N847" s="279" t="s">
        <v>1865</v>
      </c>
      <c r="O847" s="279" t="s">
        <v>1866</v>
      </c>
      <c r="P847" s="283">
        <v>749</v>
      </c>
      <c r="Q847" s="279" t="s">
        <v>3130</v>
      </c>
      <c r="R847" s="279" t="s">
        <v>1867</v>
      </c>
      <c r="S847" s="279" t="s">
        <v>683</v>
      </c>
      <c r="T847" s="279">
        <v>0</v>
      </c>
      <c r="U847" s="267">
        <v>0.5</v>
      </c>
      <c r="V847" s="267">
        <v>0.5</v>
      </c>
      <c r="W847" s="224">
        <v>1</v>
      </c>
      <c r="X847" s="267">
        <v>0.25</v>
      </c>
      <c r="Y847" s="267">
        <v>0.25</v>
      </c>
      <c r="Z847" s="267">
        <v>0.25</v>
      </c>
      <c r="AA847" s="267">
        <v>0.25</v>
      </c>
      <c r="AB847" s="224">
        <v>1</v>
      </c>
      <c r="AC847" s="267">
        <v>0.25</v>
      </c>
      <c r="AD847" s="267">
        <v>0.25</v>
      </c>
      <c r="AE847" s="267">
        <v>0.25</v>
      </c>
      <c r="AF847" s="267">
        <v>0.25</v>
      </c>
      <c r="AG847" s="224">
        <v>1</v>
      </c>
      <c r="AH847" s="267">
        <v>0.25</v>
      </c>
      <c r="AI847" s="267">
        <v>0.25</v>
      </c>
      <c r="AJ847" s="267">
        <v>0.25</v>
      </c>
      <c r="AK847" s="267">
        <v>0.25</v>
      </c>
      <c r="AL847" s="224">
        <v>1</v>
      </c>
      <c r="AM847" s="104">
        <v>4</v>
      </c>
      <c r="AN847" s="103" t="s">
        <v>685</v>
      </c>
      <c r="AO847" s="103" t="s">
        <v>621</v>
      </c>
      <c r="AP847" s="103" t="s">
        <v>1225</v>
      </c>
      <c r="AQ847" s="103" t="s">
        <v>1194</v>
      </c>
      <c r="AR847" s="103" t="s">
        <v>952</v>
      </c>
      <c r="AS847" s="271"/>
      <c r="AT847" s="271"/>
      <c r="AU847" s="271"/>
      <c r="AV847" s="271"/>
      <c r="AW847" s="271">
        <v>53900000</v>
      </c>
      <c r="AX847" s="271"/>
      <c r="AY847" s="271"/>
      <c r="AZ847" s="271"/>
      <c r="BA847" s="271"/>
      <c r="BB847" s="271"/>
      <c r="BC847" s="271"/>
      <c r="BD847" s="271"/>
      <c r="BE847" s="271"/>
      <c r="BF847" s="271"/>
      <c r="BG847" s="271"/>
      <c r="BH847" s="235">
        <f t="shared" si="427"/>
        <v>53900000</v>
      </c>
      <c r="BI847" s="271"/>
      <c r="BJ847" s="271"/>
      <c r="BK847" s="271"/>
      <c r="BL847" s="271"/>
      <c r="BM847" s="271">
        <v>100900000</v>
      </c>
      <c r="BN847" s="271"/>
      <c r="BO847" s="271"/>
      <c r="BP847" s="271"/>
      <c r="BQ847" s="271"/>
      <c r="BR847" s="271"/>
      <c r="BS847" s="271"/>
      <c r="BT847" s="271"/>
      <c r="BU847" s="271"/>
      <c r="BV847" s="271"/>
      <c r="BW847" s="271"/>
      <c r="BX847" s="235">
        <f t="shared" si="428"/>
        <v>100900000</v>
      </c>
      <c r="BY847" s="271"/>
      <c r="BZ847" s="271"/>
      <c r="CA847" s="271"/>
      <c r="CB847" s="271"/>
      <c r="CC847" s="271">
        <v>133800000</v>
      </c>
      <c r="CD847" s="271"/>
      <c r="CE847" s="271"/>
      <c r="CF847" s="271"/>
      <c r="CG847" s="271"/>
      <c r="CH847" s="271"/>
      <c r="CI847" s="271"/>
      <c r="CJ847" s="271"/>
      <c r="CK847" s="271"/>
      <c r="CL847" s="271"/>
      <c r="CM847" s="271"/>
      <c r="CN847" s="235">
        <f t="shared" si="429"/>
        <v>133800000</v>
      </c>
      <c r="CO847" s="271"/>
      <c r="CP847" s="271"/>
      <c r="CQ847" s="271"/>
      <c r="CR847" s="271"/>
      <c r="CS847" s="271">
        <v>139550000</v>
      </c>
      <c r="CT847" s="271"/>
      <c r="CU847" s="271"/>
      <c r="CV847" s="271"/>
      <c r="CW847" s="271"/>
      <c r="CX847" s="271"/>
      <c r="CY847" s="271"/>
      <c r="CZ847" s="271"/>
      <c r="DA847" s="271"/>
      <c r="DB847" s="271"/>
      <c r="DC847" s="271"/>
      <c r="DD847" s="234">
        <f t="shared" si="430"/>
        <v>139550000</v>
      </c>
      <c r="DE847" s="244">
        <f t="shared" si="431"/>
        <v>428150000</v>
      </c>
    </row>
    <row r="848" spans="1:110" s="99" customFormat="1" ht="127.05" customHeight="1">
      <c r="A848" s="103" t="s">
        <v>1248</v>
      </c>
      <c r="B848" s="279" t="s">
        <v>3614</v>
      </c>
      <c r="C848" s="279" t="s">
        <v>1849</v>
      </c>
      <c r="D848" s="279">
        <v>75</v>
      </c>
      <c r="E848" s="279" t="s">
        <v>1862</v>
      </c>
      <c r="F848" s="280" t="s">
        <v>314</v>
      </c>
      <c r="G848" s="303" t="s">
        <v>3941</v>
      </c>
      <c r="H848" s="279">
        <v>91</v>
      </c>
      <c r="I848" s="279" t="s">
        <v>1863</v>
      </c>
      <c r="J848" s="279" t="s">
        <v>683</v>
      </c>
      <c r="K848" s="279">
        <v>1</v>
      </c>
      <c r="L848" s="279" t="s">
        <v>860</v>
      </c>
      <c r="M848" s="279" t="s">
        <v>1868</v>
      </c>
      <c r="N848" s="279" t="s">
        <v>1869</v>
      </c>
      <c r="O848" s="279" t="s">
        <v>1870</v>
      </c>
      <c r="P848" s="283">
        <v>750</v>
      </c>
      <c r="Q848" s="279" t="s">
        <v>3759</v>
      </c>
      <c r="R848" s="279" t="s">
        <v>1871</v>
      </c>
      <c r="S848" s="279" t="s">
        <v>683</v>
      </c>
      <c r="T848" s="279">
        <v>2</v>
      </c>
      <c r="U848" s="267">
        <v>7.0000000000000007E-2</v>
      </c>
      <c r="V848" s="267">
        <v>7.0000000000000007E-2</v>
      </c>
      <c r="W848" s="224">
        <v>0.14000000000000001</v>
      </c>
      <c r="X848" s="267">
        <v>7.0000000000000007E-2</v>
      </c>
      <c r="Y848" s="267">
        <v>7.0000000000000007E-2</v>
      </c>
      <c r="Z848" s="267">
        <v>7.0000000000000007E-2</v>
      </c>
      <c r="AA848" s="267">
        <v>7.0000000000000007E-2</v>
      </c>
      <c r="AB848" s="224">
        <v>0.28000000000000003</v>
      </c>
      <c r="AC848" s="267">
        <v>7.0000000000000007E-2</v>
      </c>
      <c r="AD848" s="267">
        <v>7.0000000000000007E-2</v>
      </c>
      <c r="AE848" s="267">
        <v>7.0000000000000007E-2</v>
      </c>
      <c r="AF848" s="267">
        <v>7.0000000000000007E-2</v>
      </c>
      <c r="AG848" s="224">
        <v>0.28000000000000003</v>
      </c>
      <c r="AH848" s="267">
        <v>7.0000000000000007E-2</v>
      </c>
      <c r="AI848" s="267">
        <v>7.0000000000000007E-2</v>
      </c>
      <c r="AJ848" s="267">
        <v>7.0000000000000007E-2</v>
      </c>
      <c r="AK848" s="267">
        <v>0.09</v>
      </c>
      <c r="AL848" s="224">
        <v>0.30000000000000004</v>
      </c>
      <c r="AM848" s="104">
        <v>1</v>
      </c>
      <c r="AN848" s="103" t="s">
        <v>685</v>
      </c>
      <c r="AO848" s="103" t="s">
        <v>621</v>
      </c>
      <c r="AP848" s="103" t="s">
        <v>1225</v>
      </c>
      <c r="AQ848" s="103" t="s">
        <v>1200</v>
      </c>
      <c r="AR848" s="103" t="s">
        <v>952</v>
      </c>
      <c r="AS848" s="271"/>
      <c r="AT848" s="271"/>
      <c r="AU848" s="271"/>
      <c r="AV848" s="271"/>
      <c r="AW848" s="271">
        <v>5000000</v>
      </c>
      <c r="AX848" s="271"/>
      <c r="AY848" s="271"/>
      <c r="AZ848" s="271"/>
      <c r="BA848" s="271"/>
      <c r="BB848" s="271"/>
      <c r="BC848" s="271"/>
      <c r="BD848" s="271"/>
      <c r="BE848" s="271"/>
      <c r="BF848" s="271"/>
      <c r="BG848" s="271"/>
      <c r="BH848" s="235">
        <f t="shared" si="427"/>
        <v>5000000</v>
      </c>
      <c r="BI848" s="271"/>
      <c r="BJ848" s="271"/>
      <c r="BK848" s="271"/>
      <c r="BL848" s="271"/>
      <c r="BM848" s="271">
        <v>7000000</v>
      </c>
      <c r="BN848" s="271"/>
      <c r="BO848" s="271"/>
      <c r="BP848" s="271"/>
      <c r="BQ848" s="271"/>
      <c r="BR848" s="271"/>
      <c r="BS848" s="271"/>
      <c r="BT848" s="271"/>
      <c r="BU848" s="271"/>
      <c r="BV848" s="271"/>
      <c r="BW848" s="271"/>
      <c r="BX848" s="235">
        <f t="shared" si="428"/>
        <v>7000000</v>
      </c>
      <c r="BY848" s="271"/>
      <c r="BZ848" s="271"/>
      <c r="CA848" s="271"/>
      <c r="CB848" s="271"/>
      <c r="CC848" s="271">
        <v>10000000</v>
      </c>
      <c r="CD848" s="271"/>
      <c r="CE848" s="271"/>
      <c r="CF848" s="271"/>
      <c r="CG848" s="271"/>
      <c r="CH848" s="271"/>
      <c r="CI848" s="271"/>
      <c r="CJ848" s="271"/>
      <c r="CK848" s="271"/>
      <c r="CL848" s="271"/>
      <c r="CM848" s="271"/>
      <c r="CN848" s="235">
        <f t="shared" si="429"/>
        <v>10000000</v>
      </c>
      <c r="CO848" s="271"/>
      <c r="CP848" s="271"/>
      <c r="CQ848" s="271"/>
      <c r="CR848" s="271"/>
      <c r="CS848" s="271">
        <v>10000000</v>
      </c>
      <c r="CT848" s="271"/>
      <c r="CU848" s="271"/>
      <c r="CV848" s="271"/>
      <c r="CW848" s="271"/>
      <c r="CX848" s="271"/>
      <c r="CY848" s="271"/>
      <c r="CZ848" s="271"/>
      <c r="DA848" s="271"/>
      <c r="DB848" s="271"/>
      <c r="DC848" s="271"/>
      <c r="DD848" s="234">
        <f t="shared" si="430"/>
        <v>10000000</v>
      </c>
      <c r="DE848" s="244">
        <f t="shared" si="431"/>
        <v>32000000</v>
      </c>
    </row>
    <row r="849" spans="1:109" s="99" customFormat="1" ht="127.05" customHeight="1">
      <c r="A849" s="103" t="s">
        <v>1248</v>
      </c>
      <c r="B849" s="279" t="s">
        <v>3614</v>
      </c>
      <c r="C849" s="279" t="s">
        <v>1849</v>
      </c>
      <c r="D849" s="279">
        <v>75</v>
      </c>
      <c r="E849" s="279" t="s">
        <v>1862</v>
      </c>
      <c r="F849" s="280" t="s">
        <v>314</v>
      </c>
      <c r="G849" s="303" t="s">
        <v>3941</v>
      </c>
      <c r="H849" s="279">
        <v>91</v>
      </c>
      <c r="I849" s="279" t="s">
        <v>1863</v>
      </c>
      <c r="J849" s="279" t="s">
        <v>683</v>
      </c>
      <c r="K849" s="279">
        <v>1</v>
      </c>
      <c r="L849" s="279" t="s">
        <v>860</v>
      </c>
      <c r="M849" s="279" t="s">
        <v>1868</v>
      </c>
      <c r="N849" s="279" t="s">
        <v>1869</v>
      </c>
      <c r="O849" s="279" t="s">
        <v>1870</v>
      </c>
      <c r="P849" s="283">
        <v>751</v>
      </c>
      <c r="Q849" s="279" t="s">
        <v>3687</v>
      </c>
      <c r="R849" s="279" t="s">
        <v>1872</v>
      </c>
      <c r="S849" s="279" t="s">
        <v>683</v>
      </c>
      <c r="T849" s="279">
        <v>19</v>
      </c>
      <c r="U849" s="267"/>
      <c r="V849" s="267">
        <v>1</v>
      </c>
      <c r="W849" s="224">
        <v>1</v>
      </c>
      <c r="X849" s="267"/>
      <c r="Y849" s="267"/>
      <c r="Z849" s="267"/>
      <c r="AA849" s="267">
        <v>1</v>
      </c>
      <c r="AB849" s="224">
        <v>1</v>
      </c>
      <c r="AC849" s="267"/>
      <c r="AD849" s="267"/>
      <c r="AE849" s="267"/>
      <c r="AF849" s="267">
        <v>1</v>
      </c>
      <c r="AG849" s="224">
        <v>1</v>
      </c>
      <c r="AH849" s="267"/>
      <c r="AI849" s="267"/>
      <c r="AJ849" s="267"/>
      <c r="AK849" s="267">
        <v>1</v>
      </c>
      <c r="AL849" s="224">
        <v>1</v>
      </c>
      <c r="AM849" s="104">
        <v>4</v>
      </c>
      <c r="AN849" s="103" t="s">
        <v>685</v>
      </c>
      <c r="AO849" s="103" t="s">
        <v>621</v>
      </c>
      <c r="AP849" s="103" t="s">
        <v>1225</v>
      </c>
      <c r="AQ849" s="103" t="s">
        <v>1200</v>
      </c>
      <c r="AR849" s="103" t="s">
        <v>952</v>
      </c>
      <c r="AS849" s="271"/>
      <c r="AT849" s="271"/>
      <c r="AU849" s="271"/>
      <c r="AV849" s="271"/>
      <c r="AW849" s="271">
        <v>15000000</v>
      </c>
      <c r="AX849" s="271"/>
      <c r="AY849" s="271"/>
      <c r="AZ849" s="271"/>
      <c r="BA849" s="271"/>
      <c r="BB849" s="271"/>
      <c r="BC849" s="271"/>
      <c r="BD849" s="271"/>
      <c r="BE849" s="271"/>
      <c r="BF849" s="271"/>
      <c r="BG849" s="271"/>
      <c r="BH849" s="235">
        <f t="shared" si="427"/>
        <v>15000000</v>
      </c>
      <c r="BI849" s="271"/>
      <c r="BJ849" s="271"/>
      <c r="BK849" s="271"/>
      <c r="BL849" s="271"/>
      <c r="BM849" s="271">
        <v>27000000</v>
      </c>
      <c r="BN849" s="271"/>
      <c r="BO849" s="271"/>
      <c r="BP849" s="271"/>
      <c r="BQ849" s="271"/>
      <c r="BR849" s="271"/>
      <c r="BS849" s="271"/>
      <c r="BT849" s="271"/>
      <c r="BU849" s="271"/>
      <c r="BV849" s="271"/>
      <c r="BW849" s="271"/>
      <c r="BX849" s="235">
        <f t="shared" si="428"/>
        <v>27000000</v>
      </c>
      <c r="BY849" s="271"/>
      <c r="BZ849" s="271"/>
      <c r="CA849" s="271"/>
      <c r="CB849" s="271"/>
      <c r="CC849" s="271">
        <v>40000000</v>
      </c>
      <c r="CD849" s="271"/>
      <c r="CE849" s="271"/>
      <c r="CF849" s="271"/>
      <c r="CG849" s="271"/>
      <c r="CH849" s="271"/>
      <c r="CI849" s="271"/>
      <c r="CJ849" s="271"/>
      <c r="CK849" s="271"/>
      <c r="CL849" s="271"/>
      <c r="CM849" s="271"/>
      <c r="CN849" s="235">
        <f t="shared" si="429"/>
        <v>40000000</v>
      </c>
      <c r="CO849" s="271"/>
      <c r="CP849" s="271"/>
      <c r="CQ849" s="271"/>
      <c r="CR849" s="271"/>
      <c r="CS849" s="271">
        <v>40000000</v>
      </c>
      <c r="CT849" s="271"/>
      <c r="CU849" s="271"/>
      <c r="CV849" s="271"/>
      <c r="CW849" s="271"/>
      <c r="CX849" s="271"/>
      <c r="CY849" s="271"/>
      <c r="CZ849" s="271"/>
      <c r="DA849" s="271"/>
      <c r="DB849" s="271"/>
      <c r="DC849" s="271"/>
      <c r="DD849" s="234">
        <f t="shared" si="430"/>
        <v>40000000</v>
      </c>
      <c r="DE849" s="244">
        <f t="shared" si="431"/>
        <v>122000000</v>
      </c>
    </row>
    <row r="850" spans="1:109" s="99" customFormat="1" ht="127.05" customHeight="1">
      <c r="A850" s="103" t="s">
        <v>1248</v>
      </c>
      <c r="B850" s="279" t="s">
        <v>3614</v>
      </c>
      <c r="C850" s="279" t="s">
        <v>1849</v>
      </c>
      <c r="D850" s="279">
        <v>75</v>
      </c>
      <c r="E850" s="279" t="s">
        <v>1862</v>
      </c>
      <c r="F850" s="280" t="s">
        <v>314</v>
      </c>
      <c r="G850" s="303" t="s">
        <v>3941</v>
      </c>
      <c r="H850" s="279">
        <v>91</v>
      </c>
      <c r="I850" s="279" t="s">
        <v>1863</v>
      </c>
      <c r="J850" s="279" t="s">
        <v>683</v>
      </c>
      <c r="K850" s="279">
        <v>1</v>
      </c>
      <c r="L850" s="279" t="s">
        <v>860</v>
      </c>
      <c r="M850" s="279" t="s">
        <v>1868</v>
      </c>
      <c r="N850" s="279" t="s">
        <v>1869</v>
      </c>
      <c r="O850" s="279" t="s">
        <v>1870</v>
      </c>
      <c r="P850" s="283">
        <v>752</v>
      </c>
      <c r="Q850" s="279" t="s">
        <v>3760</v>
      </c>
      <c r="R850" s="279" t="s">
        <v>1873</v>
      </c>
      <c r="S850" s="279" t="s">
        <v>1874</v>
      </c>
      <c r="T850" s="279">
        <v>16</v>
      </c>
      <c r="U850" s="267">
        <v>0.125</v>
      </c>
      <c r="V850" s="267">
        <v>0.125</v>
      </c>
      <c r="W850" s="224">
        <v>0.25</v>
      </c>
      <c r="X850" s="267">
        <v>0.25</v>
      </c>
      <c r="Y850" s="267">
        <v>0.25</v>
      </c>
      <c r="Z850" s="267">
        <v>0.25</v>
      </c>
      <c r="AA850" s="267">
        <v>0.5</v>
      </c>
      <c r="AB850" s="224">
        <v>1.25</v>
      </c>
      <c r="AC850" s="267">
        <v>0.25</v>
      </c>
      <c r="AD850" s="267">
        <v>0.25</v>
      </c>
      <c r="AE850" s="267">
        <v>0.5</v>
      </c>
      <c r="AF850" s="267">
        <v>0.5</v>
      </c>
      <c r="AG850" s="224">
        <v>1.5</v>
      </c>
      <c r="AH850" s="267">
        <v>0.25</v>
      </c>
      <c r="AI850" s="267">
        <v>0.25</v>
      </c>
      <c r="AJ850" s="267">
        <v>0.25</v>
      </c>
      <c r="AK850" s="267">
        <v>0.25</v>
      </c>
      <c r="AL850" s="224">
        <v>1</v>
      </c>
      <c r="AM850" s="104">
        <v>4</v>
      </c>
      <c r="AN850" s="103" t="s">
        <v>685</v>
      </c>
      <c r="AO850" s="103" t="s">
        <v>621</v>
      </c>
      <c r="AP850" s="103" t="s">
        <v>1225</v>
      </c>
      <c r="AQ850" s="103" t="s">
        <v>1200</v>
      </c>
      <c r="AR850" s="103" t="s">
        <v>952</v>
      </c>
      <c r="AS850" s="271"/>
      <c r="AT850" s="271"/>
      <c r="AU850" s="271"/>
      <c r="AV850" s="271"/>
      <c r="AW850" s="271">
        <v>500000</v>
      </c>
      <c r="AX850" s="271"/>
      <c r="AY850" s="271"/>
      <c r="AZ850" s="271"/>
      <c r="BA850" s="271"/>
      <c r="BB850" s="271"/>
      <c r="BC850" s="271"/>
      <c r="BD850" s="271"/>
      <c r="BE850" s="271"/>
      <c r="BF850" s="271"/>
      <c r="BG850" s="271"/>
      <c r="BH850" s="235">
        <f t="shared" si="427"/>
        <v>500000</v>
      </c>
      <c r="BI850" s="271"/>
      <c r="BJ850" s="271"/>
      <c r="BK850" s="271"/>
      <c r="BL850" s="271"/>
      <c r="BM850" s="271">
        <v>7000000</v>
      </c>
      <c r="BN850" s="271"/>
      <c r="BO850" s="271"/>
      <c r="BP850" s="271"/>
      <c r="BQ850" s="271"/>
      <c r="BR850" s="271"/>
      <c r="BS850" s="271"/>
      <c r="BT850" s="271"/>
      <c r="BU850" s="271"/>
      <c r="BV850" s="271"/>
      <c r="BW850" s="271"/>
      <c r="BX850" s="235">
        <f t="shared" si="428"/>
        <v>7000000</v>
      </c>
      <c r="BY850" s="271"/>
      <c r="BZ850" s="271"/>
      <c r="CA850" s="271"/>
      <c r="CB850" s="271"/>
      <c r="CC850" s="271">
        <v>10000000</v>
      </c>
      <c r="CD850" s="271"/>
      <c r="CE850" s="271"/>
      <c r="CF850" s="271"/>
      <c r="CG850" s="271"/>
      <c r="CH850" s="271"/>
      <c r="CI850" s="271"/>
      <c r="CJ850" s="271"/>
      <c r="CK850" s="271"/>
      <c r="CL850" s="271"/>
      <c r="CM850" s="271"/>
      <c r="CN850" s="235">
        <f t="shared" si="429"/>
        <v>10000000</v>
      </c>
      <c r="CO850" s="271"/>
      <c r="CP850" s="271"/>
      <c r="CQ850" s="271"/>
      <c r="CR850" s="271"/>
      <c r="CS850" s="271">
        <v>10000000</v>
      </c>
      <c r="CT850" s="271"/>
      <c r="CU850" s="271"/>
      <c r="CV850" s="271"/>
      <c r="CW850" s="271"/>
      <c r="CX850" s="271"/>
      <c r="CY850" s="271"/>
      <c r="CZ850" s="271"/>
      <c r="DA850" s="271"/>
      <c r="DB850" s="271"/>
      <c r="DC850" s="271"/>
      <c r="DD850" s="234">
        <f t="shared" si="430"/>
        <v>10000000</v>
      </c>
      <c r="DE850" s="244">
        <f t="shared" si="431"/>
        <v>27500000</v>
      </c>
    </row>
    <row r="851" spans="1:109" s="99" customFormat="1" ht="127.05" customHeight="1">
      <c r="A851" s="103" t="s">
        <v>1248</v>
      </c>
      <c r="B851" s="279" t="s">
        <v>3614</v>
      </c>
      <c r="C851" s="279" t="s">
        <v>1849</v>
      </c>
      <c r="D851" s="279">
        <v>75</v>
      </c>
      <c r="E851" s="279" t="s">
        <v>1862</v>
      </c>
      <c r="F851" s="280" t="s">
        <v>314</v>
      </c>
      <c r="G851" s="303" t="s">
        <v>3941</v>
      </c>
      <c r="H851" s="279">
        <v>91</v>
      </c>
      <c r="I851" s="279" t="s">
        <v>1863</v>
      </c>
      <c r="J851" s="279" t="s">
        <v>683</v>
      </c>
      <c r="K851" s="279">
        <v>1</v>
      </c>
      <c r="L851" s="279" t="s">
        <v>860</v>
      </c>
      <c r="M851" s="279" t="s">
        <v>1868</v>
      </c>
      <c r="N851" s="279" t="s">
        <v>1869</v>
      </c>
      <c r="O851" s="279" t="s">
        <v>1870</v>
      </c>
      <c r="P851" s="283">
        <v>753</v>
      </c>
      <c r="Q851" s="279" t="s">
        <v>3131</v>
      </c>
      <c r="R851" s="279" t="s">
        <v>328</v>
      </c>
      <c r="S851" s="279" t="s">
        <v>683</v>
      </c>
      <c r="T851" s="279">
        <v>0</v>
      </c>
      <c r="U851" s="267">
        <v>0.08</v>
      </c>
      <c r="V851" s="267">
        <v>0.08</v>
      </c>
      <c r="W851" s="224">
        <v>0.16</v>
      </c>
      <c r="X851" s="267">
        <v>0.08</v>
      </c>
      <c r="Y851" s="267">
        <v>0.08</v>
      </c>
      <c r="Z851" s="267">
        <v>0.08</v>
      </c>
      <c r="AA851" s="267">
        <v>0.08</v>
      </c>
      <c r="AB851" s="224">
        <v>0.32</v>
      </c>
      <c r="AC851" s="267">
        <v>0.08</v>
      </c>
      <c r="AD851" s="267">
        <v>0.08</v>
      </c>
      <c r="AE851" s="267">
        <v>0.08</v>
      </c>
      <c r="AF851" s="267">
        <v>0.08</v>
      </c>
      <c r="AG851" s="224">
        <v>0.32</v>
      </c>
      <c r="AH851" s="267">
        <v>0.2</v>
      </c>
      <c r="AI851" s="267">
        <v>67</v>
      </c>
      <c r="AJ851" s="267">
        <v>66</v>
      </c>
      <c r="AK851" s="267">
        <v>66</v>
      </c>
      <c r="AL851" s="224">
        <v>199.2</v>
      </c>
      <c r="AM851" s="104">
        <v>200</v>
      </c>
      <c r="AN851" s="103" t="s">
        <v>685</v>
      </c>
      <c r="AO851" s="103" t="s">
        <v>621</v>
      </c>
      <c r="AP851" s="103" t="s">
        <v>1225</v>
      </c>
      <c r="AQ851" s="103" t="s">
        <v>1200</v>
      </c>
      <c r="AR851" s="103" t="s">
        <v>943</v>
      </c>
      <c r="AS851" s="271"/>
      <c r="AT851" s="271"/>
      <c r="AU851" s="271"/>
      <c r="AV851" s="271"/>
      <c r="AW851" s="271">
        <v>30000000</v>
      </c>
      <c r="AX851" s="271"/>
      <c r="AY851" s="271"/>
      <c r="AZ851" s="271"/>
      <c r="BA851" s="271"/>
      <c r="BB851" s="271"/>
      <c r="BC851" s="271"/>
      <c r="BD851" s="271"/>
      <c r="BE851" s="271"/>
      <c r="BF851" s="271"/>
      <c r="BG851" s="271"/>
      <c r="BH851" s="235">
        <f t="shared" si="427"/>
        <v>30000000</v>
      </c>
      <c r="BI851" s="271"/>
      <c r="BJ851" s="271"/>
      <c r="BK851" s="271"/>
      <c r="BL851" s="271"/>
      <c r="BM851" s="271">
        <v>5000000</v>
      </c>
      <c r="BN851" s="271"/>
      <c r="BO851" s="271"/>
      <c r="BP851" s="271"/>
      <c r="BQ851" s="271"/>
      <c r="BR851" s="271"/>
      <c r="BS851" s="271"/>
      <c r="BT851" s="271"/>
      <c r="BU851" s="271"/>
      <c r="BV851" s="271"/>
      <c r="BW851" s="271"/>
      <c r="BX851" s="235">
        <f t="shared" si="428"/>
        <v>5000000</v>
      </c>
      <c r="BY851" s="271"/>
      <c r="BZ851" s="271"/>
      <c r="CA851" s="271"/>
      <c r="CB851" s="271"/>
      <c r="CC851" s="271">
        <v>5000000</v>
      </c>
      <c r="CD851" s="271"/>
      <c r="CE851" s="271"/>
      <c r="CF851" s="271"/>
      <c r="CG851" s="271"/>
      <c r="CH851" s="271"/>
      <c r="CI851" s="271"/>
      <c r="CJ851" s="271"/>
      <c r="CK851" s="271"/>
      <c r="CL851" s="271"/>
      <c r="CM851" s="271"/>
      <c r="CN851" s="235">
        <f t="shared" si="429"/>
        <v>5000000</v>
      </c>
      <c r="CO851" s="271"/>
      <c r="CP851" s="271"/>
      <c r="CQ851" s="271"/>
      <c r="CR851" s="271"/>
      <c r="CS851" s="271">
        <v>5000000</v>
      </c>
      <c r="CT851" s="271"/>
      <c r="CU851" s="271"/>
      <c r="CV851" s="271"/>
      <c r="CW851" s="271"/>
      <c r="CX851" s="271"/>
      <c r="CY851" s="271"/>
      <c r="CZ851" s="271"/>
      <c r="DA851" s="271"/>
      <c r="DB851" s="271"/>
      <c r="DC851" s="271"/>
      <c r="DD851" s="234">
        <f t="shared" si="430"/>
        <v>5000000</v>
      </c>
      <c r="DE851" s="244">
        <f t="shared" si="431"/>
        <v>45000000</v>
      </c>
    </row>
    <row r="852" spans="1:109" s="99" customFormat="1" ht="127.05" customHeight="1">
      <c r="A852" s="120" t="s">
        <v>1248</v>
      </c>
      <c r="B852" s="281" t="s">
        <v>3614</v>
      </c>
      <c r="C852" s="281" t="s">
        <v>1849</v>
      </c>
      <c r="D852" s="281">
        <v>75</v>
      </c>
      <c r="E852" s="281" t="s">
        <v>1862</v>
      </c>
      <c r="F852" s="282" t="s">
        <v>314</v>
      </c>
      <c r="G852" s="303" t="s">
        <v>3941</v>
      </c>
      <c r="H852" s="281">
        <v>91</v>
      </c>
      <c r="I852" s="281" t="s">
        <v>1863</v>
      </c>
      <c r="J852" s="281" t="s">
        <v>683</v>
      </c>
      <c r="K852" s="281">
        <v>1</v>
      </c>
      <c r="L852" s="281" t="s">
        <v>860</v>
      </c>
      <c r="M852" s="281" t="s">
        <v>1868</v>
      </c>
      <c r="N852" s="281" t="s">
        <v>1869</v>
      </c>
      <c r="O852" s="281" t="s">
        <v>1870</v>
      </c>
      <c r="P852" s="283">
        <v>754</v>
      </c>
      <c r="Q852" s="281" t="s">
        <v>3132</v>
      </c>
      <c r="R852" s="281" t="s">
        <v>330</v>
      </c>
      <c r="S852" s="281" t="s">
        <v>683</v>
      </c>
      <c r="T852" s="281">
        <v>0</v>
      </c>
      <c r="U852" s="275">
        <v>0.08</v>
      </c>
      <c r="V852" s="275">
        <v>0.08</v>
      </c>
      <c r="W852" s="225">
        <v>0.16</v>
      </c>
      <c r="X852" s="275">
        <v>0.08</v>
      </c>
      <c r="Y852" s="275">
        <v>0.08</v>
      </c>
      <c r="Z852" s="275">
        <v>0.08</v>
      </c>
      <c r="AA852" s="275">
        <v>0.08</v>
      </c>
      <c r="AB852" s="225">
        <v>0.32</v>
      </c>
      <c r="AC852" s="275">
        <v>0.08</v>
      </c>
      <c r="AD852" s="275">
        <v>0.08</v>
      </c>
      <c r="AE852" s="275">
        <v>0.08</v>
      </c>
      <c r="AF852" s="275">
        <v>0.08</v>
      </c>
      <c r="AG852" s="225">
        <v>0.32</v>
      </c>
      <c r="AH852" s="275">
        <v>0.2</v>
      </c>
      <c r="AI852" s="275">
        <v>99</v>
      </c>
      <c r="AJ852" s="275">
        <v>100</v>
      </c>
      <c r="AK852" s="275">
        <v>100</v>
      </c>
      <c r="AL852" s="225">
        <v>299.2</v>
      </c>
      <c r="AM852" s="119">
        <v>300</v>
      </c>
      <c r="AN852" s="120" t="s">
        <v>685</v>
      </c>
      <c r="AO852" s="120" t="s">
        <v>621</v>
      </c>
      <c r="AP852" s="120" t="s">
        <v>1225</v>
      </c>
      <c r="AQ852" s="120" t="s">
        <v>1200</v>
      </c>
      <c r="AR852" s="120" t="s">
        <v>943</v>
      </c>
      <c r="AS852" s="276"/>
      <c r="AT852" s="276"/>
      <c r="AU852" s="276"/>
      <c r="AV852" s="276"/>
      <c r="AW852" s="276">
        <v>45000000</v>
      </c>
      <c r="AX852" s="276"/>
      <c r="AY852" s="276"/>
      <c r="AZ852" s="276"/>
      <c r="BA852" s="276"/>
      <c r="BB852" s="276"/>
      <c r="BC852" s="276"/>
      <c r="BD852" s="276"/>
      <c r="BE852" s="276"/>
      <c r="BF852" s="276"/>
      <c r="BG852" s="276"/>
      <c r="BH852" s="236">
        <f t="shared" si="427"/>
        <v>45000000</v>
      </c>
      <c r="BI852" s="276"/>
      <c r="BJ852" s="276"/>
      <c r="BK852" s="276"/>
      <c r="BL852" s="276"/>
      <c r="BM852" s="276">
        <v>5000000</v>
      </c>
      <c r="BN852" s="276"/>
      <c r="BO852" s="276"/>
      <c r="BP852" s="276"/>
      <c r="BQ852" s="276"/>
      <c r="BR852" s="276"/>
      <c r="BS852" s="276"/>
      <c r="BT852" s="276"/>
      <c r="BU852" s="276"/>
      <c r="BV852" s="276"/>
      <c r="BW852" s="276"/>
      <c r="BX852" s="236">
        <f t="shared" si="428"/>
        <v>5000000</v>
      </c>
      <c r="BY852" s="276"/>
      <c r="BZ852" s="276"/>
      <c r="CA852" s="276"/>
      <c r="CB852" s="276"/>
      <c r="CC852" s="276">
        <v>5000000</v>
      </c>
      <c r="CD852" s="276"/>
      <c r="CE852" s="276"/>
      <c r="CF852" s="276"/>
      <c r="CG852" s="276"/>
      <c r="CH852" s="276"/>
      <c r="CI852" s="276"/>
      <c r="CJ852" s="276"/>
      <c r="CK852" s="276"/>
      <c r="CL852" s="276"/>
      <c r="CM852" s="276"/>
      <c r="CN852" s="236">
        <f t="shared" si="429"/>
        <v>5000000</v>
      </c>
      <c r="CO852" s="276"/>
      <c r="CP852" s="276"/>
      <c r="CQ852" s="276"/>
      <c r="CR852" s="276"/>
      <c r="CS852" s="276">
        <v>5000000</v>
      </c>
      <c r="CT852" s="276"/>
      <c r="CU852" s="276"/>
      <c r="CV852" s="276"/>
      <c r="CW852" s="276"/>
      <c r="CX852" s="276"/>
      <c r="CY852" s="276"/>
      <c r="CZ852" s="276"/>
      <c r="DA852" s="276"/>
      <c r="DB852" s="276"/>
      <c r="DC852" s="276"/>
      <c r="DD852" s="240">
        <f t="shared" si="430"/>
        <v>5000000</v>
      </c>
      <c r="DE852" s="245">
        <f t="shared" si="431"/>
        <v>60000000</v>
      </c>
    </row>
    <row r="853" spans="1:109" s="46" customFormat="1" ht="76.05" customHeight="1">
      <c r="A853" s="134" t="s">
        <v>1248</v>
      </c>
      <c r="B853" s="134" t="s">
        <v>3614</v>
      </c>
      <c r="C853" s="134" t="s">
        <v>1849</v>
      </c>
      <c r="D853" s="134">
        <v>75</v>
      </c>
      <c r="E853" s="134" t="s">
        <v>2682</v>
      </c>
      <c r="F853" s="135"/>
      <c r="G853" s="136"/>
      <c r="H853" s="137"/>
      <c r="I853" s="137"/>
      <c r="J853" s="137"/>
      <c r="K853" s="138"/>
      <c r="L853" s="137"/>
      <c r="M853" s="137"/>
      <c r="N853" s="137"/>
      <c r="O853" s="137"/>
      <c r="P853" s="137"/>
      <c r="Q853" s="136"/>
      <c r="R853" s="139"/>
      <c r="S853" s="137"/>
      <c r="T853" s="137"/>
      <c r="U853" s="140"/>
      <c r="V853" s="140"/>
      <c r="W853" s="138"/>
      <c r="X853" s="140"/>
      <c r="Y853" s="140"/>
      <c r="Z853" s="140"/>
      <c r="AA853" s="140"/>
      <c r="AB853" s="138"/>
      <c r="AC853" s="140"/>
      <c r="AD853" s="140"/>
      <c r="AE853" s="140"/>
      <c r="AF853" s="140"/>
      <c r="AG853" s="138"/>
      <c r="AH853" s="140"/>
      <c r="AI853" s="140"/>
      <c r="AJ853" s="140"/>
      <c r="AK853" s="140"/>
      <c r="AL853" s="138"/>
      <c r="AM853" s="141"/>
      <c r="AN853" s="142"/>
      <c r="AO853" s="142"/>
      <c r="AP853" s="143"/>
      <c r="AQ853" s="143"/>
      <c r="AR853" s="144"/>
      <c r="AS853" s="132">
        <f>SUM(AS846:AS852)</f>
        <v>0</v>
      </c>
      <c r="AT853" s="132">
        <f t="shared" ref="AT853:DE853" si="432">SUM(AT846:AT852)</f>
        <v>0</v>
      </c>
      <c r="AU853" s="132">
        <f t="shared" si="432"/>
        <v>0</v>
      </c>
      <c r="AV853" s="132">
        <f t="shared" si="432"/>
        <v>0</v>
      </c>
      <c r="AW853" s="132">
        <f t="shared" si="432"/>
        <v>149500000</v>
      </c>
      <c r="AX853" s="132">
        <f t="shared" si="432"/>
        <v>0</v>
      </c>
      <c r="AY853" s="132">
        <f t="shared" si="432"/>
        <v>0</v>
      </c>
      <c r="AZ853" s="132">
        <f t="shared" si="432"/>
        <v>0</v>
      </c>
      <c r="BA853" s="132">
        <f t="shared" si="432"/>
        <v>0</v>
      </c>
      <c r="BB853" s="132">
        <f t="shared" si="432"/>
        <v>0</v>
      </c>
      <c r="BC853" s="132">
        <f t="shared" si="432"/>
        <v>0</v>
      </c>
      <c r="BD853" s="132">
        <f t="shared" si="432"/>
        <v>0</v>
      </c>
      <c r="BE853" s="132">
        <f t="shared" si="432"/>
        <v>0</v>
      </c>
      <c r="BF853" s="132">
        <f t="shared" si="432"/>
        <v>0</v>
      </c>
      <c r="BG853" s="132">
        <f t="shared" si="432"/>
        <v>0</v>
      </c>
      <c r="BH853" s="133">
        <f>IF(OR(AND(BH846=0,W846&lt;&gt;0),AND(BH847=0,W847&lt;&gt;0),AND(BH848=0,W848&lt;&gt;0),AND(BH849=0,W849&lt;&gt;0),AND(BH850=0,W850&lt;&gt;0),AND(BH851=0,W851&lt;&gt;0),AND(BH852=0,W852&lt;&gt;0)),"NO DEBEN QUEDAR CELDAS EN ROJO",SUM(BH846:BH852))</f>
        <v>149500000</v>
      </c>
      <c r="BI853" s="132">
        <f t="shared" si="432"/>
        <v>0</v>
      </c>
      <c r="BJ853" s="132">
        <f t="shared" si="432"/>
        <v>0</v>
      </c>
      <c r="BK853" s="132">
        <f t="shared" si="432"/>
        <v>0</v>
      </c>
      <c r="BL853" s="132">
        <f t="shared" si="432"/>
        <v>0</v>
      </c>
      <c r="BM853" s="132">
        <f t="shared" si="432"/>
        <v>152000000</v>
      </c>
      <c r="BN853" s="132">
        <f t="shared" si="432"/>
        <v>0</v>
      </c>
      <c r="BO853" s="132">
        <f t="shared" si="432"/>
        <v>0</v>
      </c>
      <c r="BP853" s="132">
        <f t="shared" si="432"/>
        <v>0</v>
      </c>
      <c r="BQ853" s="132">
        <f t="shared" si="432"/>
        <v>0</v>
      </c>
      <c r="BR853" s="132">
        <f t="shared" si="432"/>
        <v>0</v>
      </c>
      <c r="BS853" s="132">
        <f t="shared" si="432"/>
        <v>0</v>
      </c>
      <c r="BT853" s="132">
        <f t="shared" si="432"/>
        <v>0</v>
      </c>
      <c r="BU853" s="132">
        <f t="shared" si="432"/>
        <v>0</v>
      </c>
      <c r="BV853" s="132">
        <f t="shared" si="432"/>
        <v>0</v>
      </c>
      <c r="BW853" s="132">
        <f t="shared" si="432"/>
        <v>0</v>
      </c>
      <c r="BX853" s="133">
        <f>IF(OR(AND(BX846=0,AB846&lt;&gt;0),AND(BX847=0,AB847&lt;&gt;0),AND(BX848=0,AB848&lt;&gt;0),AND(BX849=0,AB849&lt;&gt;0),AND(BX850=0,AB850&lt;&gt;0),AND(BX851=0,AB851&lt;&gt;0),AND(BX852=0,AB852&lt;&gt;0)),"NO DEBEN QUEDAR CELDAS EN ROJO",SUM(BX846:BX852))</f>
        <v>152000000</v>
      </c>
      <c r="BY853" s="132">
        <f t="shared" si="432"/>
        <v>0</v>
      </c>
      <c r="BZ853" s="132">
        <f t="shared" si="432"/>
        <v>0</v>
      </c>
      <c r="CA853" s="132">
        <f t="shared" si="432"/>
        <v>0</v>
      </c>
      <c r="CB853" s="132">
        <f t="shared" si="432"/>
        <v>0</v>
      </c>
      <c r="CC853" s="132">
        <f t="shared" si="432"/>
        <v>203900000</v>
      </c>
      <c r="CD853" s="132">
        <f t="shared" si="432"/>
        <v>0</v>
      </c>
      <c r="CE853" s="132">
        <f t="shared" si="432"/>
        <v>0</v>
      </c>
      <c r="CF853" s="132">
        <f t="shared" si="432"/>
        <v>0</v>
      </c>
      <c r="CG853" s="132">
        <f t="shared" si="432"/>
        <v>0</v>
      </c>
      <c r="CH853" s="132">
        <f t="shared" si="432"/>
        <v>0</v>
      </c>
      <c r="CI853" s="132">
        <f t="shared" si="432"/>
        <v>0</v>
      </c>
      <c r="CJ853" s="132">
        <f t="shared" si="432"/>
        <v>0</v>
      </c>
      <c r="CK853" s="132">
        <f t="shared" si="432"/>
        <v>0</v>
      </c>
      <c r="CL853" s="132">
        <f t="shared" si="432"/>
        <v>0</v>
      </c>
      <c r="CM853" s="132">
        <f t="shared" si="432"/>
        <v>0</v>
      </c>
      <c r="CN853" s="133">
        <f>IF(OR(AND(CN846=0,AG846&lt;&gt;0),AND(CN847=0,AG847&lt;&gt;0),AND(CN848=0,AG848&lt;&gt;0),AND(CN849=0,AG849&lt;&gt;0),AND(CN850=0,AG850&lt;&gt;0),AND(CN851=0,AG851&lt;&gt;0),AND(CN852=0,AG852&lt;&gt;0)),"NO DEBEN QUEDAR CELDAS EN ROJO",SUM(CN846:CN852))</f>
        <v>203900000</v>
      </c>
      <c r="CO853" s="132">
        <f t="shared" si="432"/>
        <v>0</v>
      </c>
      <c r="CP853" s="132">
        <f t="shared" si="432"/>
        <v>0</v>
      </c>
      <c r="CQ853" s="132">
        <f t="shared" si="432"/>
        <v>0</v>
      </c>
      <c r="CR853" s="132">
        <f t="shared" si="432"/>
        <v>0</v>
      </c>
      <c r="CS853" s="132">
        <f t="shared" si="432"/>
        <v>209650000</v>
      </c>
      <c r="CT853" s="132">
        <f t="shared" si="432"/>
        <v>0</v>
      </c>
      <c r="CU853" s="132">
        <f t="shared" si="432"/>
        <v>0</v>
      </c>
      <c r="CV853" s="132">
        <f t="shared" si="432"/>
        <v>0</v>
      </c>
      <c r="CW853" s="132">
        <f t="shared" si="432"/>
        <v>0</v>
      </c>
      <c r="CX853" s="132">
        <f t="shared" si="432"/>
        <v>0</v>
      </c>
      <c r="CY853" s="132">
        <f t="shared" si="432"/>
        <v>0</v>
      </c>
      <c r="CZ853" s="132">
        <f t="shared" si="432"/>
        <v>0</v>
      </c>
      <c r="DA853" s="132">
        <f t="shared" si="432"/>
        <v>0</v>
      </c>
      <c r="DB853" s="132">
        <f t="shared" si="432"/>
        <v>0</v>
      </c>
      <c r="DC853" s="132">
        <f t="shared" si="432"/>
        <v>0</v>
      </c>
      <c r="DD853" s="133">
        <f>IF(OR(AND(DD846=0,AL846&lt;&gt;0),AND(DD847=0,AL847&lt;&gt;0),AND(DD848=0,AL848&lt;&gt;0),AND(DD849=0,AL849&lt;&gt;0),AND(DD850=0,AL850&lt;&gt;0),AND(DD851=0,AL851&lt;&gt;0),AND(DD852=0,AL852&lt;&gt;0)),"NO DEBEN QUEDAR CELDAS EN ROJO",SUM(DD846:DD852))</f>
        <v>209650000</v>
      </c>
      <c r="DE853" s="133">
        <f t="shared" si="432"/>
        <v>715050000</v>
      </c>
    </row>
    <row r="854" spans="1:109" s="99" customFormat="1" ht="175.05" customHeight="1">
      <c r="A854" s="103" t="s">
        <v>1248</v>
      </c>
      <c r="B854" s="103" t="s">
        <v>3614</v>
      </c>
      <c r="C854" s="103" t="s">
        <v>1849</v>
      </c>
      <c r="D854" s="103">
        <v>76</v>
      </c>
      <c r="E854" s="103" t="s">
        <v>1875</v>
      </c>
      <c r="F854" s="278" t="s">
        <v>1876</v>
      </c>
      <c r="G854" s="103" t="s">
        <v>3237</v>
      </c>
      <c r="H854" s="103">
        <v>92</v>
      </c>
      <c r="I854" s="103" t="s">
        <v>1877</v>
      </c>
      <c r="J854" s="103" t="s">
        <v>683</v>
      </c>
      <c r="K854" s="103">
        <v>10</v>
      </c>
      <c r="L854" s="103">
        <v>10</v>
      </c>
      <c r="M854" s="103" t="s">
        <v>1878</v>
      </c>
      <c r="N854" s="103" t="s">
        <v>1879</v>
      </c>
      <c r="O854" s="103" t="s">
        <v>1880</v>
      </c>
      <c r="P854" s="283">
        <v>755</v>
      </c>
      <c r="Q854" s="103" t="s">
        <v>3940</v>
      </c>
      <c r="R854" s="103" t="s">
        <v>1881</v>
      </c>
      <c r="S854" s="103" t="s">
        <v>683</v>
      </c>
      <c r="T854" s="103">
        <v>0</v>
      </c>
      <c r="U854" s="267">
        <v>7.0000000000000007E-2</v>
      </c>
      <c r="V854" s="267">
        <v>7.0000000000000007E-2</v>
      </c>
      <c r="W854" s="224">
        <v>0.14000000000000001</v>
      </c>
      <c r="X854" s="267">
        <v>7.0000000000000007E-2</v>
      </c>
      <c r="Y854" s="267">
        <v>7.0000000000000007E-2</v>
      </c>
      <c r="Z854" s="267">
        <v>7.0000000000000007E-2</v>
      </c>
      <c r="AA854" s="267">
        <v>7.0000000000000007E-2</v>
      </c>
      <c r="AB854" s="224">
        <v>0.28000000000000003</v>
      </c>
      <c r="AC854" s="267">
        <v>7.0000000000000007E-2</v>
      </c>
      <c r="AD854" s="267">
        <v>7.0000000000000007E-2</v>
      </c>
      <c r="AE854" s="267">
        <v>7.0000000000000007E-2</v>
      </c>
      <c r="AF854" s="267">
        <v>7.0000000000000007E-2</v>
      </c>
      <c r="AG854" s="224">
        <v>0.28000000000000003</v>
      </c>
      <c r="AH854" s="267">
        <v>7.0000000000000007E-2</v>
      </c>
      <c r="AI854" s="267">
        <v>7.0000000000000007E-2</v>
      </c>
      <c r="AJ854" s="267">
        <v>7.0000000000000007E-2</v>
      </c>
      <c r="AK854" s="267">
        <v>0.09</v>
      </c>
      <c r="AL854" s="224">
        <v>0.30000000000000004</v>
      </c>
      <c r="AM854" s="102">
        <v>1</v>
      </c>
      <c r="AN854" s="103" t="s">
        <v>685</v>
      </c>
      <c r="AO854" s="103" t="s">
        <v>621</v>
      </c>
      <c r="AP854" s="103" t="s">
        <v>1225</v>
      </c>
      <c r="AQ854" s="103" t="s">
        <v>1200</v>
      </c>
      <c r="AR854" s="103" t="s">
        <v>952</v>
      </c>
      <c r="AS854" s="268"/>
      <c r="AT854" s="268"/>
      <c r="AU854" s="268"/>
      <c r="AV854" s="268"/>
      <c r="AW854" s="268">
        <v>100000</v>
      </c>
      <c r="AX854" s="268"/>
      <c r="AY854" s="268"/>
      <c r="AZ854" s="268"/>
      <c r="BA854" s="268"/>
      <c r="BB854" s="268"/>
      <c r="BC854" s="268"/>
      <c r="BD854" s="268"/>
      <c r="BE854" s="268"/>
      <c r="BF854" s="268"/>
      <c r="BG854" s="268"/>
      <c r="BH854" s="234">
        <f t="shared" ref="BH854:BH862" si="433">IF(W854=0,0,BG854+BF854+BE854+BD854+BC854+BB854+BA854+AZ854+AY854+AX854+AW854+AV854+AU854+AT854+AS854)</f>
        <v>100000</v>
      </c>
      <c r="BI854" s="268"/>
      <c r="BJ854" s="268"/>
      <c r="BK854" s="268"/>
      <c r="BL854" s="268"/>
      <c r="BM854" s="268">
        <v>900000</v>
      </c>
      <c r="BN854" s="268"/>
      <c r="BO854" s="268"/>
      <c r="BP854" s="268"/>
      <c r="BQ854" s="268"/>
      <c r="BR854" s="268"/>
      <c r="BS854" s="268"/>
      <c r="BT854" s="268"/>
      <c r="BU854" s="268"/>
      <c r="BV854" s="268"/>
      <c r="BW854" s="268"/>
      <c r="BX854" s="234">
        <f t="shared" ref="BX854:BX862" si="434">IF(AB854=0,0,BI854+BJ854+BK854+BL854+BM854+BN854+BO854+BP854+BQ854+BR854+BS854+BT854+BU854+BV854+BW854)</f>
        <v>900000</v>
      </c>
      <c r="BY854" s="268"/>
      <c r="BZ854" s="268"/>
      <c r="CA854" s="268"/>
      <c r="CB854" s="268"/>
      <c r="CC854" s="268">
        <v>900000</v>
      </c>
      <c r="CD854" s="268"/>
      <c r="CE854" s="268"/>
      <c r="CF854" s="268"/>
      <c r="CG854" s="268"/>
      <c r="CH854" s="268"/>
      <c r="CI854" s="268"/>
      <c r="CJ854" s="268"/>
      <c r="CK854" s="268"/>
      <c r="CL854" s="268"/>
      <c r="CM854" s="268"/>
      <c r="CN854" s="234">
        <f t="shared" ref="CN854:CN862" si="435">IF(AG854=0,0,(BY854+BZ854+CA854+CB854+CC854+CD854+CE854+CF854+CG854+CH854+CI854+CJ854+CK854+CL854+CM854))</f>
        <v>900000</v>
      </c>
      <c r="CO854" s="268"/>
      <c r="CP854" s="268"/>
      <c r="CQ854" s="268"/>
      <c r="CR854" s="268"/>
      <c r="CS854" s="268">
        <v>900000</v>
      </c>
      <c r="CT854" s="268"/>
      <c r="CU854" s="268"/>
      <c r="CV854" s="268"/>
      <c r="CW854" s="268"/>
      <c r="CX854" s="268"/>
      <c r="CY854" s="268"/>
      <c r="CZ854" s="268"/>
      <c r="DA854" s="268"/>
      <c r="DB854" s="268"/>
      <c r="DC854" s="268"/>
      <c r="DD854" s="234">
        <f t="shared" ref="DD854:DD862" si="436">IF(AL854=0,0,(CO854+CP854+CQ854+CR854+CS854+CT854+CU854+CV854+CW854+CX854+CY854+CZ854+DA854+DB854+DC854))</f>
        <v>900000</v>
      </c>
      <c r="DE854" s="243">
        <f t="shared" si="431"/>
        <v>2800000</v>
      </c>
    </row>
    <row r="855" spans="1:109" s="99" customFormat="1" ht="175.05" customHeight="1">
      <c r="A855" s="103" t="s">
        <v>1248</v>
      </c>
      <c r="B855" s="279" t="s">
        <v>3614</v>
      </c>
      <c r="C855" s="279" t="s">
        <v>1849</v>
      </c>
      <c r="D855" s="279">
        <v>76</v>
      </c>
      <c r="E855" s="279" t="s">
        <v>1875</v>
      </c>
      <c r="F855" s="280" t="s">
        <v>1876</v>
      </c>
      <c r="G855" s="279" t="s">
        <v>3237</v>
      </c>
      <c r="H855" s="279">
        <v>92</v>
      </c>
      <c r="I855" s="279" t="s">
        <v>1877</v>
      </c>
      <c r="J855" s="279" t="s">
        <v>683</v>
      </c>
      <c r="K855" s="279">
        <v>10</v>
      </c>
      <c r="L855" s="279">
        <v>10</v>
      </c>
      <c r="M855" s="279" t="s">
        <v>1878</v>
      </c>
      <c r="N855" s="279" t="s">
        <v>1879</v>
      </c>
      <c r="O855" s="279" t="s">
        <v>1880</v>
      </c>
      <c r="P855" s="283">
        <v>756</v>
      </c>
      <c r="Q855" s="279" t="s">
        <v>3761</v>
      </c>
      <c r="R855" s="279" t="s">
        <v>1882</v>
      </c>
      <c r="S855" s="279" t="s">
        <v>683</v>
      </c>
      <c r="T855" s="279">
        <v>0</v>
      </c>
      <c r="U855" s="267">
        <v>7.0000000000000007E-2</v>
      </c>
      <c r="V855" s="267">
        <v>7.0000000000000007E-2</v>
      </c>
      <c r="W855" s="224">
        <v>0.14000000000000001</v>
      </c>
      <c r="X855" s="267">
        <v>7.0000000000000007E-2</v>
      </c>
      <c r="Y855" s="267">
        <v>7.0000000000000007E-2</v>
      </c>
      <c r="Z855" s="267">
        <v>7.0000000000000007E-2</v>
      </c>
      <c r="AA855" s="267">
        <v>7.0000000000000007E-2</v>
      </c>
      <c r="AB855" s="224">
        <v>0.28000000000000003</v>
      </c>
      <c r="AC855" s="267">
        <v>7.0000000000000007E-2</v>
      </c>
      <c r="AD855" s="267">
        <v>7.0000000000000007E-2</v>
      </c>
      <c r="AE855" s="267">
        <v>7.0000000000000007E-2</v>
      </c>
      <c r="AF855" s="267">
        <v>7.0000000000000007E-2</v>
      </c>
      <c r="AG855" s="224">
        <v>0.28000000000000003</v>
      </c>
      <c r="AH855" s="267">
        <v>7.0000000000000007E-2</v>
      </c>
      <c r="AI855" s="267">
        <v>7.0000000000000007E-2</v>
      </c>
      <c r="AJ855" s="267">
        <v>7.0000000000000007E-2</v>
      </c>
      <c r="AK855" s="267">
        <v>0.09</v>
      </c>
      <c r="AL855" s="224">
        <v>0.30000000000000004</v>
      </c>
      <c r="AM855" s="104">
        <v>1</v>
      </c>
      <c r="AN855" s="103" t="s">
        <v>685</v>
      </c>
      <c r="AO855" s="103" t="s">
        <v>621</v>
      </c>
      <c r="AP855" s="103" t="s">
        <v>1225</v>
      </c>
      <c r="AQ855" s="103"/>
      <c r="AR855" s="103" t="s">
        <v>952</v>
      </c>
      <c r="AS855" s="271"/>
      <c r="AT855" s="271"/>
      <c r="AU855" s="271"/>
      <c r="AV855" s="271"/>
      <c r="AW855" s="271">
        <v>43800000</v>
      </c>
      <c r="AX855" s="271"/>
      <c r="AY855" s="271"/>
      <c r="AZ855" s="271"/>
      <c r="BA855" s="271"/>
      <c r="BB855" s="271"/>
      <c r="BC855" s="271"/>
      <c r="BD855" s="271"/>
      <c r="BE855" s="271"/>
      <c r="BF855" s="271"/>
      <c r="BG855" s="271"/>
      <c r="BH855" s="235">
        <f t="shared" si="433"/>
        <v>43800000</v>
      </c>
      <c r="BI855" s="271"/>
      <c r="BJ855" s="271"/>
      <c r="BK855" s="271"/>
      <c r="BL855" s="271"/>
      <c r="BM855" s="271">
        <v>20000000</v>
      </c>
      <c r="BN855" s="271"/>
      <c r="BO855" s="271"/>
      <c r="BP855" s="271"/>
      <c r="BQ855" s="271"/>
      <c r="BR855" s="271"/>
      <c r="BS855" s="271"/>
      <c r="BT855" s="271"/>
      <c r="BU855" s="271"/>
      <c r="BV855" s="271"/>
      <c r="BW855" s="271"/>
      <c r="BX855" s="235">
        <f t="shared" si="434"/>
        <v>20000000</v>
      </c>
      <c r="BY855" s="271"/>
      <c r="BZ855" s="271"/>
      <c r="CA855" s="271"/>
      <c r="CB855" s="271"/>
      <c r="CC855" s="271">
        <v>30000000</v>
      </c>
      <c r="CD855" s="271"/>
      <c r="CE855" s="271"/>
      <c r="CF855" s="271"/>
      <c r="CG855" s="271"/>
      <c r="CH855" s="271"/>
      <c r="CI855" s="271"/>
      <c r="CJ855" s="271"/>
      <c r="CK855" s="271"/>
      <c r="CL855" s="271"/>
      <c r="CM855" s="271"/>
      <c r="CN855" s="235">
        <f t="shared" si="435"/>
        <v>30000000</v>
      </c>
      <c r="CO855" s="271"/>
      <c r="CP855" s="271"/>
      <c r="CQ855" s="271"/>
      <c r="CR855" s="271"/>
      <c r="CS855" s="271">
        <v>30000000</v>
      </c>
      <c r="CT855" s="271"/>
      <c r="CU855" s="271"/>
      <c r="CV855" s="271"/>
      <c r="CW855" s="271"/>
      <c r="CX855" s="271"/>
      <c r="CY855" s="271"/>
      <c r="CZ855" s="271"/>
      <c r="DA855" s="271"/>
      <c r="DB855" s="271"/>
      <c r="DC855" s="271"/>
      <c r="DD855" s="234">
        <f t="shared" si="436"/>
        <v>30000000</v>
      </c>
      <c r="DE855" s="244">
        <f t="shared" si="431"/>
        <v>123800000</v>
      </c>
    </row>
    <row r="856" spans="1:109" s="99" customFormat="1" ht="175.05" customHeight="1">
      <c r="A856" s="103" t="s">
        <v>1248</v>
      </c>
      <c r="B856" s="279" t="s">
        <v>3614</v>
      </c>
      <c r="C856" s="279" t="s">
        <v>1849</v>
      </c>
      <c r="D856" s="279">
        <v>76</v>
      </c>
      <c r="E856" s="279" t="s">
        <v>1875</v>
      </c>
      <c r="F856" s="280" t="s">
        <v>1876</v>
      </c>
      <c r="G856" s="279" t="s">
        <v>3237</v>
      </c>
      <c r="H856" s="279">
        <v>92</v>
      </c>
      <c r="I856" s="279" t="s">
        <v>1877</v>
      </c>
      <c r="J856" s="279" t="s">
        <v>683</v>
      </c>
      <c r="K856" s="279">
        <v>10</v>
      </c>
      <c r="L856" s="279">
        <v>10</v>
      </c>
      <c r="M856" s="279" t="s">
        <v>1878</v>
      </c>
      <c r="N856" s="279" t="s">
        <v>1879</v>
      </c>
      <c r="O856" s="279" t="s">
        <v>1880</v>
      </c>
      <c r="P856" s="283">
        <v>757</v>
      </c>
      <c r="Q856" s="279" t="s">
        <v>3762</v>
      </c>
      <c r="R856" s="279" t="s">
        <v>1883</v>
      </c>
      <c r="S856" s="279" t="s">
        <v>683</v>
      </c>
      <c r="T856" s="279">
        <v>5</v>
      </c>
      <c r="U856" s="267">
        <v>7.0000000000000007E-2</v>
      </c>
      <c r="V856" s="267">
        <v>7.0000000000000007E-2</v>
      </c>
      <c r="W856" s="224">
        <v>0.14000000000000001</v>
      </c>
      <c r="X856" s="267">
        <v>7.0000000000000007E-2</v>
      </c>
      <c r="Y856" s="267">
        <v>7.0000000000000007E-2</v>
      </c>
      <c r="Z856" s="267">
        <v>7.0000000000000007E-2</v>
      </c>
      <c r="AA856" s="267">
        <v>7.0000000000000007E-2</v>
      </c>
      <c r="AB856" s="224">
        <v>0.28000000000000003</v>
      </c>
      <c r="AC856" s="267">
        <v>7.0000000000000007E-2</v>
      </c>
      <c r="AD856" s="267">
        <v>7.0000000000000007E-2</v>
      </c>
      <c r="AE856" s="267">
        <v>7.0000000000000007E-2</v>
      </c>
      <c r="AF856" s="267">
        <v>7.0000000000000007E-2</v>
      </c>
      <c r="AG856" s="224">
        <v>0.28000000000000003</v>
      </c>
      <c r="AH856" s="267">
        <v>7.0000000000000007E-2</v>
      </c>
      <c r="AI856" s="267">
        <v>7.0000000000000007E-2</v>
      </c>
      <c r="AJ856" s="267">
        <v>7.0000000000000007E-2</v>
      </c>
      <c r="AK856" s="267">
        <v>0.09</v>
      </c>
      <c r="AL856" s="224">
        <v>0.30000000000000004</v>
      </c>
      <c r="AM856" s="104">
        <v>1</v>
      </c>
      <c r="AN856" s="103" t="s">
        <v>685</v>
      </c>
      <c r="AO856" s="103" t="s">
        <v>621</v>
      </c>
      <c r="AP856" s="103" t="s">
        <v>1225</v>
      </c>
      <c r="AQ856" s="103" t="s">
        <v>1200</v>
      </c>
      <c r="AR856" s="103" t="s">
        <v>952</v>
      </c>
      <c r="AS856" s="271"/>
      <c r="AT856" s="271"/>
      <c r="AU856" s="271"/>
      <c r="AV856" s="271"/>
      <c r="AW856" s="271">
        <v>3000000</v>
      </c>
      <c r="AX856" s="271"/>
      <c r="AY856" s="271"/>
      <c r="AZ856" s="271"/>
      <c r="BA856" s="271"/>
      <c r="BB856" s="271"/>
      <c r="BC856" s="271"/>
      <c r="BD856" s="271"/>
      <c r="BE856" s="271"/>
      <c r="BF856" s="271"/>
      <c r="BG856" s="271"/>
      <c r="BH856" s="235">
        <f t="shared" si="433"/>
        <v>3000000</v>
      </c>
      <c r="BI856" s="271"/>
      <c r="BJ856" s="271"/>
      <c r="BK856" s="271"/>
      <c r="BL856" s="271"/>
      <c r="BM856" s="271">
        <v>7000000</v>
      </c>
      <c r="BN856" s="271"/>
      <c r="BO856" s="271"/>
      <c r="BP856" s="271"/>
      <c r="BQ856" s="271"/>
      <c r="BR856" s="271"/>
      <c r="BS856" s="271"/>
      <c r="BT856" s="271"/>
      <c r="BU856" s="271"/>
      <c r="BV856" s="271"/>
      <c r="BW856" s="271"/>
      <c r="BX856" s="235">
        <f t="shared" si="434"/>
        <v>7000000</v>
      </c>
      <c r="BY856" s="271"/>
      <c r="BZ856" s="271"/>
      <c r="CA856" s="271"/>
      <c r="CB856" s="271"/>
      <c r="CC856" s="271">
        <v>10000000</v>
      </c>
      <c r="CD856" s="271"/>
      <c r="CE856" s="271"/>
      <c r="CF856" s="271"/>
      <c r="CG856" s="271"/>
      <c r="CH856" s="271"/>
      <c r="CI856" s="271"/>
      <c r="CJ856" s="271"/>
      <c r="CK856" s="271"/>
      <c r="CL856" s="271"/>
      <c r="CM856" s="271"/>
      <c r="CN856" s="235">
        <f t="shared" si="435"/>
        <v>10000000</v>
      </c>
      <c r="CO856" s="271"/>
      <c r="CP856" s="271"/>
      <c r="CQ856" s="271"/>
      <c r="CR856" s="271"/>
      <c r="CS856" s="271">
        <v>10000000</v>
      </c>
      <c r="CT856" s="271"/>
      <c r="CU856" s="271"/>
      <c r="CV856" s="271"/>
      <c r="CW856" s="271"/>
      <c r="CX856" s="271"/>
      <c r="CY856" s="271"/>
      <c r="CZ856" s="271"/>
      <c r="DA856" s="271"/>
      <c r="DB856" s="271"/>
      <c r="DC856" s="271"/>
      <c r="DD856" s="234">
        <f t="shared" si="436"/>
        <v>10000000</v>
      </c>
      <c r="DE856" s="244">
        <f t="shared" si="431"/>
        <v>30000000</v>
      </c>
    </row>
    <row r="857" spans="1:109" s="99" customFormat="1" ht="175.05" customHeight="1">
      <c r="A857" s="103" t="s">
        <v>1248</v>
      </c>
      <c r="B857" s="279" t="s">
        <v>3614</v>
      </c>
      <c r="C857" s="279" t="s">
        <v>1849</v>
      </c>
      <c r="D857" s="279">
        <v>76</v>
      </c>
      <c r="E857" s="279" t="s">
        <v>1875</v>
      </c>
      <c r="F857" s="280" t="s">
        <v>1876</v>
      </c>
      <c r="G857" s="279" t="s">
        <v>3237</v>
      </c>
      <c r="H857" s="279">
        <v>92</v>
      </c>
      <c r="I857" s="279" t="s">
        <v>1877</v>
      </c>
      <c r="J857" s="279" t="s">
        <v>683</v>
      </c>
      <c r="K857" s="279">
        <v>10</v>
      </c>
      <c r="L857" s="279">
        <v>10</v>
      </c>
      <c r="M857" s="279" t="s">
        <v>1878</v>
      </c>
      <c r="N857" s="279" t="s">
        <v>1879</v>
      </c>
      <c r="O857" s="279" t="s">
        <v>1880</v>
      </c>
      <c r="P857" s="283">
        <v>758</v>
      </c>
      <c r="Q857" s="279" t="s">
        <v>3688</v>
      </c>
      <c r="R857" s="279" t="s">
        <v>1889</v>
      </c>
      <c r="S857" s="279" t="s">
        <v>683</v>
      </c>
      <c r="T857" s="279">
        <v>3</v>
      </c>
      <c r="U857" s="267">
        <v>0.14000000000000001</v>
      </c>
      <c r="V857" s="267">
        <v>0.14000000000000001</v>
      </c>
      <c r="W857" s="224">
        <v>0.28000000000000003</v>
      </c>
      <c r="X857" s="267">
        <v>0.14000000000000001</v>
      </c>
      <c r="Y857" s="267">
        <v>0.14000000000000001</v>
      </c>
      <c r="Z857" s="267">
        <v>0.14000000000000001</v>
      </c>
      <c r="AA857" s="267">
        <v>0.14000000000000001</v>
      </c>
      <c r="AB857" s="224">
        <v>0.56000000000000005</v>
      </c>
      <c r="AC857" s="267">
        <v>0.14000000000000001</v>
      </c>
      <c r="AD857" s="267">
        <v>0.14000000000000001</v>
      </c>
      <c r="AE857" s="267">
        <v>0.14000000000000001</v>
      </c>
      <c r="AF857" s="267">
        <v>0.14000000000000001</v>
      </c>
      <c r="AG857" s="224">
        <v>0.56000000000000005</v>
      </c>
      <c r="AH857" s="267">
        <v>0.14000000000000001</v>
      </c>
      <c r="AI857" s="267">
        <v>0.14000000000000001</v>
      </c>
      <c r="AJ857" s="267">
        <v>0.14000000000000001</v>
      </c>
      <c r="AK857" s="267">
        <v>0.18</v>
      </c>
      <c r="AL857" s="224">
        <v>0.60000000000000009</v>
      </c>
      <c r="AM857" s="104">
        <v>2</v>
      </c>
      <c r="AN857" s="103" t="s">
        <v>685</v>
      </c>
      <c r="AO857" s="103" t="s">
        <v>621</v>
      </c>
      <c r="AP857" s="103" t="s">
        <v>1225</v>
      </c>
      <c r="AQ857" s="103" t="s">
        <v>1200</v>
      </c>
      <c r="AR857" s="103" t="s">
        <v>952</v>
      </c>
      <c r="AS857" s="271"/>
      <c r="AT857" s="271"/>
      <c r="AU857" s="271"/>
      <c r="AV857" s="271"/>
      <c r="AW857" s="271">
        <v>500000</v>
      </c>
      <c r="AX857" s="271"/>
      <c r="AY857" s="271"/>
      <c r="AZ857" s="271"/>
      <c r="BA857" s="271"/>
      <c r="BB857" s="271"/>
      <c r="BC857" s="271"/>
      <c r="BD857" s="271"/>
      <c r="BE857" s="271"/>
      <c r="BF857" s="271"/>
      <c r="BG857" s="271"/>
      <c r="BH857" s="235">
        <f t="shared" si="433"/>
        <v>500000</v>
      </c>
      <c r="BI857" s="271"/>
      <c r="BJ857" s="271"/>
      <c r="BK857" s="271"/>
      <c r="BL857" s="271"/>
      <c r="BM857" s="271">
        <v>5000000</v>
      </c>
      <c r="BN857" s="271"/>
      <c r="BO857" s="271"/>
      <c r="BP857" s="271"/>
      <c r="BQ857" s="271"/>
      <c r="BR857" s="271"/>
      <c r="BS857" s="271"/>
      <c r="BT857" s="271"/>
      <c r="BU857" s="271"/>
      <c r="BV857" s="271"/>
      <c r="BW857" s="271"/>
      <c r="BX857" s="235">
        <f t="shared" si="434"/>
        <v>5000000</v>
      </c>
      <c r="BY857" s="271"/>
      <c r="BZ857" s="271"/>
      <c r="CA857" s="271"/>
      <c r="CB857" s="271"/>
      <c r="CC857" s="271">
        <v>5000000</v>
      </c>
      <c r="CD857" s="271"/>
      <c r="CE857" s="271"/>
      <c r="CF857" s="271"/>
      <c r="CG857" s="271"/>
      <c r="CH857" s="271"/>
      <c r="CI857" s="271"/>
      <c r="CJ857" s="271"/>
      <c r="CK857" s="271"/>
      <c r="CL857" s="271"/>
      <c r="CM857" s="271"/>
      <c r="CN857" s="235">
        <f t="shared" si="435"/>
        <v>5000000</v>
      </c>
      <c r="CO857" s="271"/>
      <c r="CP857" s="271"/>
      <c r="CQ857" s="271"/>
      <c r="CR857" s="271"/>
      <c r="CS857" s="271">
        <v>10000000</v>
      </c>
      <c r="CT857" s="271"/>
      <c r="CU857" s="271"/>
      <c r="CV857" s="271"/>
      <c r="CW857" s="271"/>
      <c r="CX857" s="271"/>
      <c r="CY857" s="271"/>
      <c r="CZ857" s="271"/>
      <c r="DA857" s="271"/>
      <c r="DB857" s="271"/>
      <c r="DC857" s="271"/>
      <c r="DD857" s="234">
        <f t="shared" si="436"/>
        <v>10000000</v>
      </c>
      <c r="DE857" s="244">
        <f t="shared" si="431"/>
        <v>20500000</v>
      </c>
    </row>
    <row r="858" spans="1:109" s="99" customFormat="1" ht="175.05" customHeight="1">
      <c r="A858" s="103" t="s">
        <v>1248</v>
      </c>
      <c r="B858" s="279" t="s">
        <v>3614</v>
      </c>
      <c r="C858" s="279" t="s">
        <v>1849</v>
      </c>
      <c r="D858" s="279">
        <v>76</v>
      </c>
      <c r="E858" s="279" t="s">
        <v>1875</v>
      </c>
      <c r="F858" s="280" t="s">
        <v>1876</v>
      </c>
      <c r="G858" s="279" t="s">
        <v>3237</v>
      </c>
      <c r="H858" s="279">
        <v>92</v>
      </c>
      <c r="I858" s="279" t="s">
        <v>1877</v>
      </c>
      <c r="J858" s="279" t="s">
        <v>683</v>
      </c>
      <c r="K858" s="279">
        <v>10</v>
      </c>
      <c r="L858" s="279">
        <v>10</v>
      </c>
      <c r="M858" s="279" t="s">
        <v>1878</v>
      </c>
      <c r="N858" s="279" t="s">
        <v>1879</v>
      </c>
      <c r="O858" s="279" t="s">
        <v>1880</v>
      </c>
      <c r="P858" s="283">
        <v>759</v>
      </c>
      <c r="Q858" s="279" t="s">
        <v>3763</v>
      </c>
      <c r="R858" s="279" t="s">
        <v>1884</v>
      </c>
      <c r="S858" s="279" t="s">
        <v>683</v>
      </c>
      <c r="T858" s="279">
        <v>3</v>
      </c>
      <c r="U858" s="267">
        <v>7.0000000000000007E-2</v>
      </c>
      <c r="V858" s="267">
        <v>7.0000000000000007E-2</v>
      </c>
      <c r="W858" s="224">
        <v>0.14000000000000001</v>
      </c>
      <c r="X858" s="267">
        <v>7.0000000000000007E-2</v>
      </c>
      <c r="Y858" s="267">
        <v>7.0000000000000007E-2</v>
      </c>
      <c r="Z858" s="267">
        <v>7.0000000000000007E-2</v>
      </c>
      <c r="AA858" s="267">
        <v>7.0000000000000007E-2</v>
      </c>
      <c r="AB858" s="224">
        <v>0.28000000000000003</v>
      </c>
      <c r="AC858" s="267">
        <v>7.0000000000000007E-2</v>
      </c>
      <c r="AD858" s="267">
        <v>7.0000000000000007E-2</v>
      </c>
      <c r="AE858" s="267">
        <v>7.0000000000000007E-2</v>
      </c>
      <c r="AF858" s="267">
        <v>7.0000000000000007E-2</v>
      </c>
      <c r="AG858" s="224">
        <v>0.28000000000000003</v>
      </c>
      <c r="AH858" s="267">
        <v>7.0000000000000007E-2</v>
      </c>
      <c r="AI858" s="267">
        <v>7.0000000000000007E-2</v>
      </c>
      <c r="AJ858" s="267">
        <v>7.0000000000000007E-2</v>
      </c>
      <c r="AK858" s="267">
        <v>0.09</v>
      </c>
      <c r="AL858" s="224">
        <v>0.30000000000000004</v>
      </c>
      <c r="AM858" s="104">
        <v>1</v>
      </c>
      <c r="AN858" s="103" t="s">
        <v>685</v>
      </c>
      <c r="AO858" s="103" t="s">
        <v>621</v>
      </c>
      <c r="AP858" s="103" t="s">
        <v>1225</v>
      </c>
      <c r="AQ858" s="103" t="s">
        <v>1200</v>
      </c>
      <c r="AR858" s="103" t="s">
        <v>952</v>
      </c>
      <c r="AS858" s="271"/>
      <c r="AT858" s="271"/>
      <c r="AU858" s="271"/>
      <c r="AV858" s="271"/>
      <c r="AW858" s="271">
        <v>1000000</v>
      </c>
      <c r="AX858" s="271"/>
      <c r="AY858" s="271"/>
      <c r="AZ858" s="271"/>
      <c r="BA858" s="271"/>
      <c r="BB858" s="271"/>
      <c r="BC858" s="271"/>
      <c r="BD858" s="271"/>
      <c r="BE858" s="271"/>
      <c r="BF858" s="271"/>
      <c r="BG858" s="271"/>
      <c r="BH858" s="235">
        <f t="shared" si="433"/>
        <v>1000000</v>
      </c>
      <c r="BI858" s="271"/>
      <c r="BJ858" s="271"/>
      <c r="BK858" s="271"/>
      <c r="BL858" s="271"/>
      <c r="BM858" s="271">
        <v>35000000</v>
      </c>
      <c r="BN858" s="271"/>
      <c r="BO858" s="271"/>
      <c r="BP858" s="271"/>
      <c r="BQ858" s="271"/>
      <c r="BR858" s="271"/>
      <c r="BS858" s="271"/>
      <c r="BT858" s="271"/>
      <c r="BU858" s="271"/>
      <c r="BV858" s="271"/>
      <c r="BW858" s="271"/>
      <c r="BX858" s="235">
        <f t="shared" si="434"/>
        <v>35000000</v>
      </c>
      <c r="BY858" s="271"/>
      <c r="BZ858" s="271"/>
      <c r="CA858" s="271"/>
      <c r="CB858" s="271"/>
      <c r="CC858" s="271">
        <v>50000000</v>
      </c>
      <c r="CD858" s="271"/>
      <c r="CE858" s="271"/>
      <c r="CF858" s="271"/>
      <c r="CG858" s="271"/>
      <c r="CH858" s="271"/>
      <c r="CI858" s="271"/>
      <c r="CJ858" s="271"/>
      <c r="CK858" s="271"/>
      <c r="CL858" s="271"/>
      <c r="CM858" s="271"/>
      <c r="CN858" s="235">
        <f t="shared" si="435"/>
        <v>50000000</v>
      </c>
      <c r="CO858" s="271"/>
      <c r="CP858" s="271"/>
      <c r="CQ858" s="271"/>
      <c r="CR858" s="271"/>
      <c r="CS858" s="271">
        <v>50000000</v>
      </c>
      <c r="CT858" s="271"/>
      <c r="CU858" s="271"/>
      <c r="CV858" s="271"/>
      <c r="CW858" s="271"/>
      <c r="CX858" s="271"/>
      <c r="CY858" s="271"/>
      <c r="CZ858" s="271"/>
      <c r="DA858" s="271"/>
      <c r="DB858" s="271"/>
      <c r="DC858" s="271"/>
      <c r="DD858" s="234">
        <f t="shared" si="436"/>
        <v>50000000</v>
      </c>
      <c r="DE858" s="244">
        <f t="shared" si="431"/>
        <v>136000000</v>
      </c>
    </row>
    <row r="859" spans="1:109" s="99" customFormat="1" ht="175.05" customHeight="1">
      <c r="A859" s="103" t="s">
        <v>1248</v>
      </c>
      <c r="B859" s="279" t="s">
        <v>3614</v>
      </c>
      <c r="C859" s="279" t="s">
        <v>1849</v>
      </c>
      <c r="D859" s="279">
        <v>76</v>
      </c>
      <c r="E859" s="279" t="s">
        <v>1875</v>
      </c>
      <c r="F859" s="280" t="s">
        <v>1876</v>
      </c>
      <c r="G859" s="279" t="s">
        <v>3237</v>
      </c>
      <c r="H859" s="279">
        <v>92</v>
      </c>
      <c r="I859" s="279" t="s">
        <v>1877</v>
      </c>
      <c r="J859" s="279" t="s">
        <v>683</v>
      </c>
      <c r="K859" s="279">
        <v>10</v>
      </c>
      <c r="L859" s="279">
        <v>10</v>
      </c>
      <c r="M859" s="279" t="s">
        <v>1878</v>
      </c>
      <c r="N859" s="279" t="s">
        <v>1879</v>
      </c>
      <c r="O859" s="279" t="s">
        <v>1880</v>
      </c>
      <c r="P859" s="283">
        <v>760</v>
      </c>
      <c r="Q859" s="279" t="s">
        <v>3689</v>
      </c>
      <c r="R859" s="279" t="s">
        <v>1885</v>
      </c>
      <c r="S859" s="279" t="s">
        <v>683</v>
      </c>
      <c r="T859" s="279">
        <v>1</v>
      </c>
      <c r="U859" s="267">
        <v>0.14000000000000001</v>
      </c>
      <c r="V859" s="267">
        <v>0.14000000000000001</v>
      </c>
      <c r="W859" s="224">
        <v>0.28000000000000003</v>
      </c>
      <c r="X859" s="267">
        <v>0.14000000000000001</v>
      </c>
      <c r="Y859" s="267">
        <v>0.14000000000000001</v>
      </c>
      <c r="Z859" s="267">
        <v>0.14000000000000001</v>
      </c>
      <c r="AA859" s="267">
        <v>0.14000000000000001</v>
      </c>
      <c r="AB859" s="224">
        <v>0.56000000000000005</v>
      </c>
      <c r="AC859" s="267">
        <v>0.14000000000000001</v>
      </c>
      <c r="AD859" s="267">
        <v>0.14000000000000001</v>
      </c>
      <c r="AE859" s="267">
        <v>0.14000000000000001</v>
      </c>
      <c r="AF859" s="267">
        <v>0.14000000000000001</v>
      </c>
      <c r="AG859" s="224">
        <v>0.56000000000000005</v>
      </c>
      <c r="AH859" s="267">
        <v>0.14000000000000001</v>
      </c>
      <c r="AI859" s="267">
        <v>0.14000000000000001</v>
      </c>
      <c r="AJ859" s="267">
        <v>0.14000000000000001</v>
      </c>
      <c r="AK859" s="267">
        <v>0.18</v>
      </c>
      <c r="AL859" s="224">
        <v>0.60000000000000009</v>
      </c>
      <c r="AM859" s="104">
        <v>2</v>
      </c>
      <c r="AN859" s="103" t="s">
        <v>685</v>
      </c>
      <c r="AO859" s="103" t="s">
        <v>621</v>
      </c>
      <c r="AP859" s="103" t="s">
        <v>1225</v>
      </c>
      <c r="AQ859" s="103" t="s">
        <v>1200</v>
      </c>
      <c r="AR859" s="103" t="s">
        <v>952</v>
      </c>
      <c r="AS859" s="271"/>
      <c r="AT859" s="271"/>
      <c r="AU859" s="271"/>
      <c r="AV859" s="271"/>
      <c r="AW859" s="271">
        <v>500000</v>
      </c>
      <c r="AX859" s="271"/>
      <c r="AY859" s="271"/>
      <c r="AZ859" s="271"/>
      <c r="BA859" s="271"/>
      <c r="BB859" s="271"/>
      <c r="BC859" s="271"/>
      <c r="BD859" s="271"/>
      <c r="BE859" s="271"/>
      <c r="BF859" s="271"/>
      <c r="BG859" s="271"/>
      <c r="BH859" s="235">
        <f t="shared" si="433"/>
        <v>500000</v>
      </c>
      <c r="BI859" s="271"/>
      <c r="BJ859" s="271"/>
      <c r="BK859" s="271"/>
      <c r="BL859" s="271"/>
      <c r="BM859" s="271">
        <v>10000000</v>
      </c>
      <c r="BN859" s="271"/>
      <c r="BO859" s="271"/>
      <c r="BP859" s="271"/>
      <c r="BQ859" s="271"/>
      <c r="BR859" s="271"/>
      <c r="BS859" s="271"/>
      <c r="BT859" s="271"/>
      <c r="BU859" s="271"/>
      <c r="BV859" s="271"/>
      <c r="BW859" s="271"/>
      <c r="BX859" s="235">
        <f t="shared" si="434"/>
        <v>10000000</v>
      </c>
      <c r="BY859" s="271"/>
      <c r="BZ859" s="271"/>
      <c r="CA859" s="271"/>
      <c r="CB859" s="271"/>
      <c r="CC859" s="271">
        <v>10000000</v>
      </c>
      <c r="CD859" s="271"/>
      <c r="CE859" s="271"/>
      <c r="CF859" s="271"/>
      <c r="CG859" s="271"/>
      <c r="CH859" s="271"/>
      <c r="CI859" s="271"/>
      <c r="CJ859" s="271"/>
      <c r="CK859" s="271"/>
      <c r="CL859" s="271"/>
      <c r="CM859" s="271"/>
      <c r="CN859" s="235">
        <f t="shared" si="435"/>
        <v>10000000</v>
      </c>
      <c r="CO859" s="271"/>
      <c r="CP859" s="271"/>
      <c r="CQ859" s="271"/>
      <c r="CR859" s="271"/>
      <c r="CS859" s="271">
        <v>15000000</v>
      </c>
      <c r="CT859" s="271"/>
      <c r="CU859" s="271"/>
      <c r="CV859" s="271"/>
      <c r="CW859" s="271"/>
      <c r="CX859" s="271"/>
      <c r="CY859" s="271"/>
      <c r="CZ859" s="271"/>
      <c r="DA859" s="271"/>
      <c r="DB859" s="271"/>
      <c r="DC859" s="271"/>
      <c r="DD859" s="234">
        <f t="shared" si="436"/>
        <v>15000000</v>
      </c>
      <c r="DE859" s="244">
        <f t="shared" si="431"/>
        <v>35500000</v>
      </c>
    </row>
    <row r="860" spans="1:109" s="99" customFormat="1" ht="175.05" customHeight="1">
      <c r="A860" s="103" t="s">
        <v>1248</v>
      </c>
      <c r="B860" s="279" t="s">
        <v>3614</v>
      </c>
      <c r="C860" s="279" t="s">
        <v>1849</v>
      </c>
      <c r="D860" s="279">
        <v>76</v>
      </c>
      <c r="E860" s="279" t="s">
        <v>1875</v>
      </c>
      <c r="F860" s="280" t="s">
        <v>1876</v>
      </c>
      <c r="G860" s="279" t="s">
        <v>3237</v>
      </c>
      <c r="H860" s="279">
        <v>92</v>
      </c>
      <c r="I860" s="279" t="s">
        <v>1877</v>
      </c>
      <c r="J860" s="279" t="s">
        <v>683</v>
      </c>
      <c r="K860" s="279">
        <v>10</v>
      </c>
      <c r="L860" s="279">
        <v>10</v>
      </c>
      <c r="M860" s="279" t="s">
        <v>1878</v>
      </c>
      <c r="N860" s="279" t="s">
        <v>1879</v>
      </c>
      <c r="O860" s="279" t="s">
        <v>1880</v>
      </c>
      <c r="P860" s="283">
        <v>761</v>
      </c>
      <c r="Q860" s="279" t="s">
        <v>3690</v>
      </c>
      <c r="R860" s="279" t="s">
        <v>1886</v>
      </c>
      <c r="S860" s="279" t="s">
        <v>683</v>
      </c>
      <c r="T860" s="279">
        <v>2</v>
      </c>
      <c r="U860" s="267">
        <v>7.0000000000000007E-2</v>
      </c>
      <c r="V860" s="267">
        <v>7.0000000000000007E-2</v>
      </c>
      <c r="W860" s="224">
        <v>0.14000000000000001</v>
      </c>
      <c r="X860" s="267">
        <v>7.0000000000000007E-2</v>
      </c>
      <c r="Y860" s="267">
        <v>7.0000000000000007E-2</v>
      </c>
      <c r="Z860" s="267">
        <v>7.0000000000000007E-2</v>
      </c>
      <c r="AA860" s="267">
        <v>7.0000000000000007E-2</v>
      </c>
      <c r="AB860" s="224">
        <v>0.28000000000000003</v>
      </c>
      <c r="AC860" s="267">
        <v>7.0000000000000007E-2</v>
      </c>
      <c r="AD860" s="267">
        <v>7.0000000000000007E-2</v>
      </c>
      <c r="AE860" s="267">
        <v>7.0000000000000007E-2</v>
      </c>
      <c r="AF860" s="267">
        <v>7.0000000000000007E-2</v>
      </c>
      <c r="AG860" s="224">
        <v>0.28000000000000003</v>
      </c>
      <c r="AH860" s="267">
        <v>7.0000000000000007E-2</v>
      </c>
      <c r="AI860" s="267">
        <v>7.0000000000000007E-2</v>
      </c>
      <c r="AJ860" s="267">
        <v>7.0000000000000007E-2</v>
      </c>
      <c r="AK860" s="267">
        <v>0.09</v>
      </c>
      <c r="AL860" s="224">
        <v>0.30000000000000004</v>
      </c>
      <c r="AM860" s="104">
        <v>1</v>
      </c>
      <c r="AN860" s="103" t="s">
        <v>685</v>
      </c>
      <c r="AO860" s="103" t="s">
        <v>621</v>
      </c>
      <c r="AP860" s="103" t="s">
        <v>1225</v>
      </c>
      <c r="AQ860" s="103" t="s">
        <v>1200</v>
      </c>
      <c r="AR860" s="103" t="s">
        <v>952</v>
      </c>
      <c r="AS860" s="271"/>
      <c r="AT860" s="271"/>
      <c r="AU860" s="271"/>
      <c r="AV860" s="271"/>
      <c r="AW860" s="271">
        <v>500000</v>
      </c>
      <c r="AX860" s="271"/>
      <c r="AY860" s="271"/>
      <c r="AZ860" s="271"/>
      <c r="BA860" s="271"/>
      <c r="BB860" s="271"/>
      <c r="BC860" s="271"/>
      <c r="BD860" s="271"/>
      <c r="BE860" s="271"/>
      <c r="BF860" s="271"/>
      <c r="BG860" s="271"/>
      <c r="BH860" s="235">
        <f t="shared" si="433"/>
        <v>500000</v>
      </c>
      <c r="BI860" s="271"/>
      <c r="BJ860" s="271"/>
      <c r="BK860" s="271"/>
      <c r="BL860" s="271"/>
      <c r="BM860" s="271">
        <v>65000000</v>
      </c>
      <c r="BN860" s="271"/>
      <c r="BO860" s="271"/>
      <c r="BP860" s="271"/>
      <c r="BQ860" s="271"/>
      <c r="BR860" s="271"/>
      <c r="BS860" s="271"/>
      <c r="BT860" s="271"/>
      <c r="BU860" s="271"/>
      <c r="BV860" s="271"/>
      <c r="BW860" s="271"/>
      <c r="BX860" s="235">
        <f t="shared" si="434"/>
        <v>65000000</v>
      </c>
      <c r="BY860" s="271"/>
      <c r="BZ860" s="271"/>
      <c r="CA860" s="271"/>
      <c r="CB860" s="271"/>
      <c r="CC860" s="271">
        <v>100000</v>
      </c>
      <c r="CD860" s="271"/>
      <c r="CE860" s="271"/>
      <c r="CF860" s="271"/>
      <c r="CG860" s="271"/>
      <c r="CH860" s="271"/>
      <c r="CI860" s="271"/>
      <c r="CJ860" s="271"/>
      <c r="CK860" s="271"/>
      <c r="CL860" s="271"/>
      <c r="CM860" s="271"/>
      <c r="CN860" s="235">
        <f t="shared" si="435"/>
        <v>100000</v>
      </c>
      <c r="CO860" s="271"/>
      <c r="CP860" s="271"/>
      <c r="CQ860" s="271"/>
      <c r="CR860" s="271"/>
      <c r="CS860" s="271">
        <v>100000</v>
      </c>
      <c r="CT860" s="271"/>
      <c r="CU860" s="271"/>
      <c r="CV860" s="271"/>
      <c r="CW860" s="271"/>
      <c r="CX860" s="271"/>
      <c r="CY860" s="271"/>
      <c r="CZ860" s="271"/>
      <c r="DA860" s="271"/>
      <c r="DB860" s="271"/>
      <c r="DC860" s="271"/>
      <c r="DD860" s="234">
        <f t="shared" si="436"/>
        <v>100000</v>
      </c>
      <c r="DE860" s="244">
        <f t="shared" si="431"/>
        <v>65700000</v>
      </c>
    </row>
    <row r="861" spans="1:109" s="99" customFormat="1" ht="175.05" customHeight="1">
      <c r="A861" s="103" t="s">
        <v>1248</v>
      </c>
      <c r="B861" s="279" t="s">
        <v>3614</v>
      </c>
      <c r="C861" s="279" t="s">
        <v>1849</v>
      </c>
      <c r="D861" s="279">
        <v>76</v>
      </c>
      <c r="E861" s="279" t="s">
        <v>1875</v>
      </c>
      <c r="F861" s="280" t="s">
        <v>1876</v>
      </c>
      <c r="G861" s="279" t="s">
        <v>3237</v>
      </c>
      <c r="H861" s="279">
        <v>92</v>
      </c>
      <c r="I861" s="279" t="s">
        <v>1877</v>
      </c>
      <c r="J861" s="279" t="s">
        <v>683</v>
      </c>
      <c r="K861" s="279">
        <v>10</v>
      </c>
      <c r="L861" s="279">
        <v>10</v>
      </c>
      <c r="M861" s="279" t="s">
        <v>1878</v>
      </c>
      <c r="N861" s="279" t="s">
        <v>1879</v>
      </c>
      <c r="O861" s="279" t="s">
        <v>1880</v>
      </c>
      <c r="P861" s="283">
        <v>762</v>
      </c>
      <c r="Q861" s="279" t="s">
        <v>3691</v>
      </c>
      <c r="R861" s="279" t="s">
        <v>1887</v>
      </c>
      <c r="S861" s="279" t="s">
        <v>1874</v>
      </c>
      <c r="T861" s="279">
        <v>35</v>
      </c>
      <c r="U861" s="267">
        <v>2</v>
      </c>
      <c r="V861" s="267">
        <v>2</v>
      </c>
      <c r="W861" s="224">
        <v>4</v>
      </c>
      <c r="X861" s="267">
        <v>0.5</v>
      </c>
      <c r="Y861" s="267">
        <v>0.5</v>
      </c>
      <c r="Z861" s="267">
        <v>0.5</v>
      </c>
      <c r="AA861" s="267">
        <v>0.5</v>
      </c>
      <c r="AB861" s="224">
        <v>2</v>
      </c>
      <c r="AC861" s="267">
        <v>0.5</v>
      </c>
      <c r="AD861" s="267">
        <v>0.5</v>
      </c>
      <c r="AE861" s="267">
        <v>0.5</v>
      </c>
      <c r="AF861" s="267">
        <v>0.5</v>
      </c>
      <c r="AG861" s="224">
        <v>2</v>
      </c>
      <c r="AH861" s="267">
        <v>0.5</v>
      </c>
      <c r="AI861" s="267">
        <v>0.5</v>
      </c>
      <c r="AJ861" s="267">
        <v>0.5</v>
      </c>
      <c r="AK861" s="267">
        <v>0.5</v>
      </c>
      <c r="AL861" s="224">
        <v>2</v>
      </c>
      <c r="AM861" s="104">
        <v>10</v>
      </c>
      <c r="AN861" s="103" t="s">
        <v>685</v>
      </c>
      <c r="AO861" s="103" t="s">
        <v>626</v>
      </c>
      <c r="AP861" s="103" t="s">
        <v>1228</v>
      </c>
      <c r="AQ861" s="103" t="s">
        <v>1200</v>
      </c>
      <c r="AR861" s="103" t="s">
        <v>952</v>
      </c>
      <c r="AS861" s="271"/>
      <c r="AT861" s="271"/>
      <c r="AU861" s="271"/>
      <c r="AV861" s="271"/>
      <c r="AW861" s="271">
        <v>1000000</v>
      </c>
      <c r="AX861" s="271"/>
      <c r="AY861" s="271"/>
      <c r="AZ861" s="271"/>
      <c r="BA861" s="271"/>
      <c r="BB861" s="271"/>
      <c r="BC861" s="271"/>
      <c r="BD861" s="271"/>
      <c r="BE861" s="271"/>
      <c r="BF861" s="271"/>
      <c r="BG861" s="271"/>
      <c r="BH861" s="235">
        <f t="shared" si="433"/>
        <v>1000000</v>
      </c>
      <c r="BI861" s="271"/>
      <c r="BJ861" s="271"/>
      <c r="BK861" s="271"/>
      <c r="BL861" s="271"/>
      <c r="BM861" s="271">
        <v>5000000</v>
      </c>
      <c r="BN861" s="271"/>
      <c r="BO861" s="271"/>
      <c r="BP861" s="271"/>
      <c r="BQ861" s="271"/>
      <c r="BR861" s="271"/>
      <c r="BS861" s="271"/>
      <c r="BT861" s="271"/>
      <c r="BU861" s="271"/>
      <c r="BV861" s="271"/>
      <c r="BW861" s="271"/>
      <c r="BX861" s="235">
        <f t="shared" si="434"/>
        <v>5000000</v>
      </c>
      <c r="BY861" s="271"/>
      <c r="BZ861" s="271"/>
      <c r="CA861" s="271"/>
      <c r="CB861" s="271"/>
      <c r="CC861" s="271">
        <v>5000000</v>
      </c>
      <c r="CD861" s="271"/>
      <c r="CE861" s="271"/>
      <c r="CF861" s="271"/>
      <c r="CG861" s="271"/>
      <c r="CH861" s="271"/>
      <c r="CI861" s="271"/>
      <c r="CJ861" s="271"/>
      <c r="CK861" s="271"/>
      <c r="CL861" s="271"/>
      <c r="CM861" s="271"/>
      <c r="CN861" s="235">
        <f t="shared" si="435"/>
        <v>5000000</v>
      </c>
      <c r="CO861" s="271"/>
      <c r="CP861" s="271"/>
      <c r="CQ861" s="271"/>
      <c r="CR861" s="271"/>
      <c r="CS861" s="271">
        <v>5000000</v>
      </c>
      <c r="CT861" s="271"/>
      <c r="CU861" s="271"/>
      <c r="CV861" s="271"/>
      <c r="CW861" s="271"/>
      <c r="CX861" s="271"/>
      <c r="CY861" s="271"/>
      <c r="CZ861" s="271"/>
      <c r="DA861" s="271"/>
      <c r="DB861" s="271"/>
      <c r="DC861" s="271"/>
      <c r="DD861" s="234">
        <f t="shared" si="436"/>
        <v>5000000</v>
      </c>
      <c r="DE861" s="244">
        <f t="shared" si="431"/>
        <v>16000000</v>
      </c>
    </row>
    <row r="862" spans="1:109" s="99" customFormat="1" ht="175.05" customHeight="1">
      <c r="A862" s="120" t="s">
        <v>1248</v>
      </c>
      <c r="B862" s="281" t="s">
        <v>3614</v>
      </c>
      <c r="C862" s="281" t="s">
        <v>1849</v>
      </c>
      <c r="D862" s="281">
        <v>76</v>
      </c>
      <c r="E862" s="281" t="s">
        <v>1875</v>
      </c>
      <c r="F862" s="282" t="s">
        <v>1876</v>
      </c>
      <c r="G862" s="281" t="s">
        <v>3237</v>
      </c>
      <c r="H862" s="281">
        <v>92</v>
      </c>
      <c r="I862" s="281" t="s">
        <v>1877</v>
      </c>
      <c r="J862" s="281" t="s">
        <v>683</v>
      </c>
      <c r="K862" s="281">
        <v>10</v>
      </c>
      <c r="L862" s="281">
        <v>10</v>
      </c>
      <c r="M862" s="281" t="s">
        <v>1878</v>
      </c>
      <c r="N862" s="281" t="s">
        <v>1879</v>
      </c>
      <c r="O862" s="281" t="s">
        <v>1880</v>
      </c>
      <c r="P862" s="283">
        <v>763</v>
      </c>
      <c r="Q862" s="281" t="s">
        <v>3692</v>
      </c>
      <c r="R862" s="281" t="s">
        <v>1888</v>
      </c>
      <c r="S862" s="281" t="s">
        <v>683</v>
      </c>
      <c r="T862" s="281">
        <v>1</v>
      </c>
      <c r="U862" s="275">
        <v>7.0000000000000007E-2</v>
      </c>
      <c r="V862" s="275">
        <v>7.0000000000000007E-2</v>
      </c>
      <c r="W862" s="225">
        <v>0.14000000000000001</v>
      </c>
      <c r="X862" s="275">
        <v>7.0000000000000007E-2</v>
      </c>
      <c r="Y862" s="275">
        <v>7.0000000000000007E-2</v>
      </c>
      <c r="Z862" s="275">
        <v>7.0000000000000007E-2</v>
      </c>
      <c r="AA862" s="275">
        <v>7.0000000000000007E-2</v>
      </c>
      <c r="AB862" s="225">
        <v>0.28000000000000003</v>
      </c>
      <c r="AC862" s="275">
        <v>7.0000000000000007E-2</v>
      </c>
      <c r="AD862" s="275">
        <v>7.0000000000000007E-2</v>
      </c>
      <c r="AE862" s="275">
        <v>7.0000000000000007E-2</v>
      </c>
      <c r="AF862" s="275">
        <v>7.0000000000000007E-2</v>
      </c>
      <c r="AG862" s="225">
        <v>0.28000000000000003</v>
      </c>
      <c r="AH862" s="275">
        <v>7.0000000000000007E-2</v>
      </c>
      <c r="AI862" s="275">
        <v>7.0000000000000007E-2</v>
      </c>
      <c r="AJ862" s="275">
        <v>7.0000000000000007E-2</v>
      </c>
      <c r="AK862" s="275">
        <v>0.09</v>
      </c>
      <c r="AL862" s="225">
        <v>0.30000000000000004</v>
      </c>
      <c r="AM862" s="119">
        <v>1</v>
      </c>
      <c r="AN862" s="120" t="s">
        <v>685</v>
      </c>
      <c r="AO862" s="120" t="s">
        <v>621</v>
      </c>
      <c r="AP862" s="120" t="s">
        <v>1225</v>
      </c>
      <c r="AQ862" s="120" t="s">
        <v>1200</v>
      </c>
      <c r="AR862" s="120" t="s">
        <v>952</v>
      </c>
      <c r="AS862" s="276"/>
      <c r="AT862" s="276"/>
      <c r="AU862" s="276"/>
      <c r="AV862" s="276"/>
      <c r="AW862" s="276">
        <v>100000</v>
      </c>
      <c r="AX862" s="276"/>
      <c r="AY862" s="276"/>
      <c r="AZ862" s="276"/>
      <c r="BA862" s="276"/>
      <c r="BB862" s="276"/>
      <c r="BC862" s="276"/>
      <c r="BD862" s="276"/>
      <c r="BE862" s="276"/>
      <c r="BF862" s="276"/>
      <c r="BG862" s="276"/>
      <c r="BH862" s="236">
        <f t="shared" si="433"/>
        <v>100000</v>
      </c>
      <c r="BI862" s="276"/>
      <c r="BJ862" s="276"/>
      <c r="BK862" s="276"/>
      <c r="BL862" s="276"/>
      <c r="BM862" s="276">
        <v>100000</v>
      </c>
      <c r="BN862" s="276"/>
      <c r="BO862" s="276"/>
      <c r="BP862" s="276"/>
      <c r="BQ862" s="276"/>
      <c r="BR862" s="276"/>
      <c r="BS862" s="276"/>
      <c r="BT862" s="276"/>
      <c r="BU862" s="276"/>
      <c r="BV862" s="276"/>
      <c r="BW862" s="276"/>
      <c r="BX862" s="236">
        <f t="shared" si="434"/>
        <v>100000</v>
      </c>
      <c r="BY862" s="276"/>
      <c r="BZ862" s="276"/>
      <c r="CA862" s="276"/>
      <c r="CB862" s="276"/>
      <c r="CC862" s="276">
        <v>100000</v>
      </c>
      <c r="CD862" s="276"/>
      <c r="CE862" s="276"/>
      <c r="CF862" s="276"/>
      <c r="CG862" s="276"/>
      <c r="CH862" s="276"/>
      <c r="CI862" s="276"/>
      <c r="CJ862" s="276"/>
      <c r="CK862" s="276"/>
      <c r="CL862" s="276"/>
      <c r="CM862" s="276"/>
      <c r="CN862" s="236">
        <f t="shared" si="435"/>
        <v>100000</v>
      </c>
      <c r="CO862" s="276"/>
      <c r="CP862" s="276"/>
      <c r="CQ862" s="276"/>
      <c r="CR862" s="276"/>
      <c r="CS862" s="276">
        <v>100000</v>
      </c>
      <c r="CT862" s="276"/>
      <c r="CU862" s="276"/>
      <c r="CV862" s="276"/>
      <c r="CW862" s="276"/>
      <c r="CX862" s="276"/>
      <c r="CY862" s="276"/>
      <c r="CZ862" s="276"/>
      <c r="DA862" s="276"/>
      <c r="DB862" s="276"/>
      <c r="DC862" s="276"/>
      <c r="DD862" s="240">
        <f t="shared" si="436"/>
        <v>100000</v>
      </c>
      <c r="DE862" s="245">
        <f t="shared" si="431"/>
        <v>400000</v>
      </c>
    </row>
    <row r="863" spans="1:109" s="46" customFormat="1" ht="65.099999999999994" customHeight="1">
      <c r="A863" s="134" t="s">
        <v>1248</v>
      </c>
      <c r="B863" s="134" t="s">
        <v>3614</v>
      </c>
      <c r="C863" s="134" t="s">
        <v>1849</v>
      </c>
      <c r="D863" s="148">
        <v>76</v>
      </c>
      <c r="E863" s="148" t="s">
        <v>1875</v>
      </c>
      <c r="F863" s="149"/>
      <c r="G863" s="150"/>
      <c r="H863" s="151"/>
      <c r="I863" s="151"/>
      <c r="J863" s="151"/>
      <c r="K863" s="152"/>
      <c r="L863" s="151"/>
      <c r="M863" s="151"/>
      <c r="N863" s="151"/>
      <c r="O863" s="151"/>
      <c r="P863" s="151"/>
      <c r="Q863" s="150"/>
      <c r="R863" s="153"/>
      <c r="S863" s="151"/>
      <c r="T863" s="151"/>
      <c r="U863" s="154"/>
      <c r="V863" s="154"/>
      <c r="W863" s="152"/>
      <c r="X863" s="154"/>
      <c r="Y863" s="154"/>
      <c r="Z863" s="154"/>
      <c r="AA863" s="154"/>
      <c r="AB863" s="152"/>
      <c r="AC863" s="154"/>
      <c r="AD863" s="154"/>
      <c r="AE863" s="154"/>
      <c r="AF863" s="154"/>
      <c r="AG863" s="152"/>
      <c r="AH863" s="154"/>
      <c r="AI863" s="154"/>
      <c r="AJ863" s="154"/>
      <c r="AK863" s="154"/>
      <c r="AL863" s="152"/>
      <c r="AM863" s="155"/>
      <c r="AN863" s="156"/>
      <c r="AO863" s="156"/>
      <c r="AP863" s="157"/>
      <c r="AQ863" s="157"/>
      <c r="AR863" s="158"/>
      <c r="AS863" s="132">
        <f>SUM(AS854:AS862)</f>
        <v>0</v>
      </c>
      <c r="AT863" s="132">
        <f t="shared" ref="AT863:DE863" si="437">SUM(AT854:AT862)</f>
        <v>0</v>
      </c>
      <c r="AU863" s="132">
        <f t="shared" si="437"/>
        <v>0</v>
      </c>
      <c r="AV863" s="132">
        <f t="shared" si="437"/>
        <v>0</v>
      </c>
      <c r="AW863" s="132">
        <f t="shared" si="437"/>
        <v>50500000</v>
      </c>
      <c r="AX863" s="132">
        <f t="shared" si="437"/>
        <v>0</v>
      </c>
      <c r="AY863" s="132">
        <f t="shared" si="437"/>
        <v>0</v>
      </c>
      <c r="AZ863" s="132">
        <f t="shared" si="437"/>
        <v>0</v>
      </c>
      <c r="BA863" s="132">
        <f t="shared" si="437"/>
        <v>0</v>
      </c>
      <c r="BB863" s="132">
        <f t="shared" si="437"/>
        <v>0</v>
      </c>
      <c r="BC863" s="132">
        <f t="shared" si="437"/>
        <v>0</v>
      </c>
      <c r="BD863" s="132">
        <f t="shared" si="437"/>
        <v>0</v>
      </c>
      <c r="BE863" s="132">
        <f t="shared" si="437"/>
        <v>0</v>
      </c>
      <c r="BF863" s="132">
        <f t="shared" si="437"/>
        <v>0</v>
      </c>
      <c r="BG863" s="132">
        <f t="shared" si="437"/>
        <v>0</v>
      </c>
      <c r="BH863" s="133">
        <f>IF(OR(AND(BH854=0,W854&lt;&gt;0),AND(BH855=0,W855&lt;&gt;0),AND(BH856=0,W856&lt;&gt;0),AND(BH857=0,W857&lt;&gt;0),AND(BH858=0,W858&lt;&gt;0),AND(BH859=0,W859&lt;&gt;0),AND(BH860=0,W860&lt;&gt;0),AND(BH861=0,W861&lt;&gt;0),AND(BH862=0,W862&lt;&gt;0)),"NO DEBEN QUEDAR CELDAS EN ROJO",SUM(BH854:BH862))</f>
        <v>50500000</v>
      </c>
      <c r="BI863" s="132">
        <f t="shared" si="437"/>
        <v>0</v>
      </c>
      <c r="BJ863" s="132">
        <f t="shared" si="437"/>
        <v>0</v>
      </c>
      <c r="BK863" s="132">
        <f t="shared" si="437"/>
        <v>0</v>
      </c>
      <c r="BL863" s="132">
        <f t="shared" si="437"/>
        <v>0</v>
      </c>
      <c r="BM863" s="132">
        <f t="shared" si="437"/>
        <v>148000000</v>
      </c>
      <c r="BN863" s="132">
        <f t="shared" si="437"/>
        <v>0</v>
      </c>
      <c r="BO863" s="132">
        <f t="shared" si="437"/>
        <v>0</v>
      </c>
      <c r="BP863" s="132">
        <f t="shared" si="437"/>
        <v>0</v>
      </c>
      <c r="BQ863" s="132">
        <f t="shared" si="437"/>
        <v>0</v>
      </c>
      <c r="BR863" s="132">
        <f t="shared" si="437"/>
        <v>0</v>
      </c>
      <c r="BS863" s="132">
        <f t="shared" si="437"/>
        <v>0</v>
      </c>
      <c r="BT863" s="132">
        <f t="shared" si="437"/>
        <v>0</v>
      </c>
      <c r="BU863" s="132">
        <f t="shared" si="437"/>
        <v>0</v>
      </c>
      <c r="BV863" s="132">
        <f t="shared" si="437"/>
        <v>0</v>
      </c>
      <c r="BW863" s="132">
        <f t="shared" si="437"/>
        <v>0</v>
      </c>
      <c r="BX863" s="133">
        <f>IF(OR(AND(BX854=0,AB854&lt;&gt;0),AND(BX855=0,AB855&lt;&gt;0),AND(BX856=0,AB856&lt;&gt;0),AND(BX857=0,AB857&lt;&gt;0),AND(BX858=0,AB858&lt;&gt;0),AND(BX859=0,AB859&lt;&gt;0),AND(BX860=0,AB860&lt;&gt;0),AND(BX861=0,AB861&lt;&gt;0),AND(BX862=0,AB862&lt;&gt;0)),"NO DEBEN QUEDAR CELDAS EN ROJO",SUM(BX854:BX862))</f>
        <v>148000000</v>
      </c>
      <c r="BY863" s="132">
        <f t="shared" si="437"/>
        <v>0</v>
      </c>
      <c r="BZ863" s="132">
        <f t="shared" si="437"/>
        <v>0</v>
      </c>
      <c r="CA863" s="132">
        <f t="shared" si="437"/>
        <v>0</v>
      </c>
      <c r="CB863" s="132">
        <f t="shared" si="437"/>
        <v>0</v>
      </c>
      <c r="CC863" s="132">
        <f t="shared" si="437"/>
        <v>111100000</v>
      </c>
      <c r="CD863" s="132">
        <f t="shared" si="437"/>
        <v>0</v>
      </c>
      <c r="CE863" s="132">
        <f t="shared" si="437"/>
        <v>0</v>
      </c>
      <c r="CF863" s="132">
        <f t="shared" si="437"/>
        <v>0</v>
      </c>
      <c r="CG863" s="132">
        <f t="shared" si="437"/>
        <v>0</v>
      </c>
      <c r="CH863" s="132">
        <f t="shared" si="437"/>
        <v>0</v>
      </c>
      <c r="CI863" s="132">
        <f t="shared" si="437"/>
        <v>0</v>
      </c>
      <c r="CJ863" s="132">
        <f t="shared" si="437"/>
        <v>0</v>
      </c>
      <c r="CK863" s="132">
        <f t="shared" si="437"/>
        <v>0</v>
      </c>
      <c r="CL863" s="132">
        <f t="shared" si="437"/>
        <v>0</v>
      </c>
      <c r="CM863" s="132">
        <f t="shared" si="437"/>
        <v>0</v>
      </c>
      <c r="CN863" s="133">
        <f>IF(OR(AND(CN854=0,AG854&lt;&gt;0),AND(CN855=0,AG855&lt;&gt;0),AND(CN856=0,AG856&lt;&gt;0),AND(CN857=0,AG857&lt;&gt;0),AND(CN858=0,AG858&lt;&gt;0),AND(CN859=0,AG859&lt;&gt;0),AND(CN860=0,AG860&lt;&gt;0),AND(CN861=0,AG861&lt;&gt;0),AND(CN862=0,AG862&lt;&gt;0)),"NO DEBEN QUEDAR CELDAS EN ROJO",SUM(CN854:CN862))</f>
        <v>111100000</v>
      </c>
      <c r="CO863" s="132">
        <f t="shared" si="437"/>
        <v>0</v>
      </c>
      <c r="CP863" s="132">
        <f t="shared" si="437"/>
        <v>0</v>
      </c>
      <c r="CQ863" s="132">
        <f t="shared" si="437"/>
        <v>0</v>
      </c>
      <c r="CR863" s="132">
        <f t="shared" si="437"/>
        <v>0</v>
      </c>
      <c r="CS863" s="132">
        <f t="shared" si="437"/>
        <v>121100000</v>
      </c>
      <c r="CT863" s="132">
        <f t="shared" si="437"/>
        <v>0</v>
      </c>
      <c r="CU863" s="132">
        <f t="shared" si="437"/>
        <v>0</v>
      </c>
      <c r="CV863" s="132">
        <f t="shared" si="437"/>
        <v>0</v>
      </c>
      <c r="CW863" s="132">
        <f t="shared" si="437"/>
        <v>0</v>
      </c>
      <c r="CX863" s="132">
        <f t="shared" si="437"/>
        <v>0</v>
      </c>
      <c r="CY863" s="132">
        <f t="shared" si="437"/>
        <v>0</v>
      </c>
      <c r="CZ863" s="132">
        <f t="shared" si="437"/>
        <v>0</v>
      </c>
      <c r="DA863" s="132">
        <f t="shared" si="437"/>
        <v>0</v>
      </c>
      <c r="DB863" s="132">
        <f t="shared" si="437"/>
        <v>0</v>
      </c>
      <c r="DC863" s="132">
        <f t="shared" si="437"/>
        <v>0</v>
      </c>
      <c r="DD863" s="133">
        <f>IF(OR(AND(DD854=0,AL854&lt;&gt;0),AND(DD855=0,AL855&lt;&gt;0),AND(DD856=0,AL856&lt;&gt;0),AND(DD857=0,AL857&lt;&gt;0),AND(DD858=0,AL858&lt;&gt;0),AND(DD859=0,AL859&lt;&gt;0),AND(DD860=0,AL860&lt;&gt;0),AND(DD861=0,AL861&lt;&gt;0),AND(DD862=0,AL862&lt;&gt;0)),"NO DEBEN QUEDAR CELDAS EN ROJO",SUM(DD854:DD862))</f>
        <v>121100000</v>
      </c>
      <c r="DE863" s="133">
        <f t="shared" si="437"/>
        <v>430700000</v>
      </c>
    </row>
    <row r="864" spans="1:109" s="116" customFormat="1" ht="55.05" customHeight="1" thickBot="1">
      <c r="A864" s="124"/>
      <c r="B864" s="125" t="s">
        <v>3614</v>
      </c>
      <c r="C864" s="145" t="s">
        <v>1849</v>
      </c>
      <c r="D864" s="170"/>
      <c r="E864" s="171"/>
      <c r="F864" s="172"/>
      <c r="G864" s="173"/>
      <c r="H864" s="171"/>
      <c r="I864" s="171"/>
      <c r="J864" s="171"/>
      <c r="K864" s="171"/>
      <c r="L864" s="171"/>
      <c r="M864" s="171"/>
      <c r="N864" s="171"/>
      <c r="O864" s="171"/>
      <c r="P864" s="171"/>
      <c r="Q864" s="173"/>
      <c r="R864" s="174"/>
      <c r="S864" s="171"/>
      <c r="T864" s="171"/>
      <c r="U864" s="175"/>
      <c r="V864" s="175"/>
      <c r="W864" s="176"/>
      <c r="X864" s="175"/>
      <c r="Y864" s="175"/>
      <c r="Z864" s="175"/>
      <c r="AA864" s="175"/>
      <c r="AB864" s="176"/>
      <c r="AC864" s="175"/>
      <c r="AD864" s="175"/>
      <c r="AE864" s="175"/>
      <c r="AF864" s="175"/>
      <c r="AG864" s="176"/>
      <c r="AH864" s="175"/>
      <c r="AI864" s="175"/>
      <c r="AJ864" s="175"/>
      <c r="AK864" s="175"/>
      <c r="AL864" s="176"/>
      <c r="AM864" s="177"/>
      <c r="AN864" s="178"/>
      <c r="AO864" s="178"/>
      <c r="AP864" s="173"/>
      <c r="AQ864" s="173"/>
      <c r="AR864" s="179"/>
      <c r="AS864" s="147">
        <f>SUM(AS863+AS853+AS845)</f>
        <v>0</v>
      </c>
      <c r="AT864" s="130">
        <f t="shared" ref="AT864:DE864" si="438">SUM(AT863+AT853+AT845)</f>
        <v>0</v>
      </c>
      <c r="AU864" s="130">
        <f t="shared" si="438"/>
        <v>0</v>
      </c>
      <c r="AV864" s="130">
        <f t="shared" si="438"/>
        <v>0</v>
      </c>
      <c r="AW864" s="130">
        <f t="shared" si="438"/>
        <v>263000000</v>
      </c>
      <c r="AX864" s="130">
        <f t="shared" si="438"/>
        <v>0</v>
      </c>
      <c r="AY864" s="130">
        <f t="shared" si="438"/>
        <v>0</v>
      </c>
      <c r="AZ864" s="130">
        <f t="shared" si="438"/>
        <v>0</v>
      </c>
      <c r="BA864" s="130">
        <f t="shared" si="438"/>
        <v>0</v>
      </c>
      <c r="BB864" s="130">
        <f t="shared" si="438"/>
        <v>0</v>
      </c>
      <c r="BC864" s="130">
        <f t="shared" si="438"/>
        <v>0</v>
      </c>
      <c r="BD864" s="130">
        <f t="shared" si="438"/>
        <v>0</v>
      </c>
      <c r="BE864" s="130">
        <f t="shared" si="438"/>
        <v>0</v>
      </c>
      <c r="BF864" s="130">
        <f t="shared" si="438"/>
        <v>0</v>
      </c>
      <c r="BG864" s="130">
        <f t="shared" si="438"/>
        <v>0</v>
      </c>
      <c r="BH864" s="130">
        <f t="shared" si="438"/>
        <v>263000000</v>
      </c>
      <c r="BI864" s="130">
        <f t="shared" si="438"/>
        <v>0</v>
      </c>
      <c r="BJ864" s="130">
        <f t="shared" si="438"/>
        <v>0</v>
      </c>
      <c r="BK864" s="130">
        <f t="shared" si="438"/>
        <v>0</v>
      </c>
      <c r="BL864" s="130">
        <f t="shared" si="438"/>
        <v>0</v>
      </c>
      <c r="BM864" s="130">
        <f t="shared" si="438"/>
        <v>390000000</v>
      </c>
      <c r="BN864" s="130">
        <f t="shared" si="438"/>
        <v>0</v>
      </c>
      <c r="BO864" s="130">
        <f t="shared" si="438"/>
        <v>0</v>
      </c>
      <c r="BP864" s="130">
        <f t="shared" si="438"/>
        <v>0</v>
      </c>
      <c r="BQ864" s="130">
        <f t="shared" si="438"/>
        <v>0</v>
      </c>
      <c r="BR864" s="130">
        <f t="shared" si="438"/>
        <v>0</v>
      </c>
      <c r="BS864" s="130">
        <f t="shared" si="438"/>
        <v>0</v>
      </c>
      <c r="BT864" s="130">
        <f t="shared" si="438"/>
        <v>0</v>
      </c>
      <c r="BU864" s="130">
        <f t="shared" si="438"/>
        <v>0</v>
      </c>
      <c r="BV864" s="130">
        <f t="shared" si="438"/>
        <v>0</v>
      </c>
      <c r="BW864" s="130">
        <f t="shared" si="438"/>
        <v>0</v>
      </c>
      <c r="BX864" s="130">
        <f t="shared" si="438"/>
        <v>390000000</v>
      </c>
      <c r="BY864" s="130">
        <f t="shared" si="438"/>
        <v>0</v>
      </c>
      <c r="BZ864" s="130">
        <f t="shared" si="438"/>
        <v>0</v>
      </c>
      <c r="CA864" s="130">
        <f t="shared" si="438"/>
        <v>0</v>
      </c>
      <c r="CB864" s="130">
        <f t="shared" si="438"/>
        <v>0</v>
      </c>
      <c r="CC864" s="130">
        <f t="shared" si="438"/>
        <v>425000000</v>
      </c>
      <c r="CD864" s="130">
        <f t="shared" si="438"/>
        <v>0</v>
      </c>
      <c r="CE864" s="130">
        <f t="shared" si="438"/>
        <v>0</v>
      </c>
      <c r="CF864" s="130">
        <f t="shared" si="438"/>
        <v>0</v>
      </c>
      <c r="CG864" s="130">
        <f t="shared" si="438"/>
        <v>0</v>
      </c>
      <c r="CH864" s="130">
        <f t="shared" si="438"/>
        <v>0</v>
      </c>
      <c r="CI864" s="130">
        <f t="shared" si="438"/>
        <v>0</v>
      </c>
      <c r="CJ864" s="130">
        <f t="shared" si="438"/>
        <v>0</v>
      </c>
      <c r="CK864" s="130">
        <f t="shared" si="438"/>
        <v>0</v>
      </c>
      <c r="CL864" s="130">
        <f t="shared" si="438"/>
        <v>0</v>
      </c>
      <c r="CM864" s="130">
        <f t="shared" si="438"/>
        <v>0</v>
      </c>
      <c r="CN864" s="130">
        <f t="shared" si="438"/>
        <v>425000000</v>
      </c>
      <c r="CO864" s="130">
        <f t="shared" si="438"/>
        <v>0</v>
      </c>
      <c r="CP864" s="130">
        <f t="shared" si="438"/>
        <v>0</v>
      </c>
      <c r="CQ864" s="130">
        <f t="shared" si="438"/>
        <v>0</v>
      </c>
      <c r="CR864" s="130">
        <f t="shared" si="438"/>
        <v>0</v>
      </c>
      <c r="CS864" s="130">
        <f t="shared" si="438"/>
        <v>482750000</v>
      </c>
      <c r="CT864" s="130">
        <f t="shared" si="438"/>
        <v>0</v>
      </c>
      <c r="CU864" s="130">
        <f t="shared" si="438"/>
        <v>0</v>
      </c>
      <c r="CV864" s="130">
        <f t="shared" si="438"/>
        <v>0</v>
      </c>
      <c r="CW864" s="130">
        <f t="shared" si="438"/>
        <v>0</v>
      </c>
      <c r="CX864" s="130">
        <f t="shared" si="438"/>
        <v>0</v>
      </c>
      <c r="CY864" s="130">
        <f t="shared" si="438"/>
        <v>0</v>
      </c>
      <c r="CZ864" s="130">
        <f t="shared" si="438"/>
        <v>0</v>
      </c>
      <c r="DA864" s="130">
        <f t="shared" si="438"/>
        <v>0</v>
      </c>
      <c r="DB864" s="130">
        <f t="shared" si="438"/>
        <v>0</v>
      </c>
      <c r="DC864" s="130">
        <f t="shared" si="438"/>
        <v>0</v>
      </c>
      <c r="DD864" s="130">
        <f t="shared" si="438"/>
        <v>482750000</v>
      </c>
      <c r="DE864" s="130">
        <f t="shared" si="438"/>
        <v>1560750000</v>
      </c>
    </row>
    <row r="865" spans="1:110" s="46" customFormat="1" ht="51" customHeight="1" thickBot="1">
      <c r="A865" s="671" t="s">
        <v>3614</v>
      </c>
      <c r="B865" s="672"/>
      <c r="C865" s="672"/>
      <c r="D865" s="180"/>
      <c r="E865" s="181"/>
      <c r="F865" s="182"/>
      <c r="G865" s="183"/>
      <c r="H865" s="181"/>
      <c r="I865" s="181"/>
      <c r="J865" s="181"/>
      <c r="K865" s="181"/>
      <c r="L865" s="181"/>
      <c r="M865" s="181"/>
      <c r="N865" s="181"/>
      <c r="O865" s="181"/>
      <c r="P865" s="184"/>
      <c r="Q865" s="183"/>
      <c r="R865" s="181"/>
      <c r="S865" s="181"/>
      <c r="T865" s="181"/>
      <c r="U865" s="185"/>
      <c r="V865" s="185"/>
      <c r="W865" s="186"/>
      <c r="X865" s="185"/>
      <c r="Y865" s="185"/>
      <c r="Z865" s="185"/>
      <c r="AA865" s="185"/>
      <c r="AB865" s="186"/>
      <c r="AC865" s="185"/>
      <c r="AD865" s="185"/>
      <c r="AE865" s="185"/>
      <c r="AF865" s="185"/>
      <c r="AG865" s="187"/>
      <c r="AH865" s="185"/>
      <c r="AI865" s="185"/>
      <c r="AJ865" s="185"/>
      <c r="AK865" s="185"/>
      <c r="AL865" s="187"/>
      <c r="AM865" s="188"/>
      <c r="AN865" s="189"/>
      <c r="AO865" s="189"/>
      <c r="AP865" s="190"/>
      <c r="AQ865" s="190"/>
      <c r="AR865" s="191"/>
      <c r="AS865" s="203">
        <f t="shared" ref="AS865:BX865" si="439">SUM(AS864+AS839+AS824+AS789+AS777+AS728)</f>
        <v>0</v>
      </c>
      <c r="AT865" s="204">
        <f t="shared" si="439"/>
        <v>0</v>
      </c>
      <c r="AU865" s="204">
        <f t="shared" si="439"/>
        <v>0</v>
      </c>
      <c r="AV865" s="204">
        <f t="shared" si="439"/>
        <v>1000000000</v>
      </c>
      <c r="AW865" s="204">
        <f t="shared" si="439"/>
        <v>5212012803</v>
      </c>
      <c r="AX865" s="204">
        <f t="shared" si="439"/>
        <v>0</v>
      </c>
      <c r="AY865" s="204">
        <f t="shared" si="439"/>
        <v>9376814166</v>
      </c>
      <c r="AZ865" s="204">
        <f t="shared" si="439"/>
        <v>0</v>
      </c>
      <c r="BA865" s="204">
        <f t="shared" si="439"/>
        <v>0</v>
      </c>
      <c r="BB865" s="204">
        <f t="shared" si="439"/>
        <v>0</v>
      </c>
      <c r="BC865" s="204">
        <f t="shared" si="439"/>
        <v>0</v>
      </c>
      <c r="BD865" s="204">
        <f t="shared" si="439"/>
        <v>0</v>
      </c>
      <c r="BE865" s="204">
        <f t="shared" si="439"/>
        <v>0</v>
      </c>
      <c r="BF865" s="204">
        <f t="shared" si="439"/>
        <v>0</v>
      </c>
      <c r="BG865" s="204">
        <f t="shared" si="439"/>
        <v>2122088880</v>
      </c>
      <c r="BH865" s="204">
        <f t="shared" si="439"/>
        <v>17710915849</v>
      </c>
      <c r="BI865" s="204">
        <f t="shared" si="439"/>
        <v>0</v>
      </c>
      <c r="BJ865" s="204">
        <f t="shared" si="439"/>
        <v>0</v>
      </c>
      <c r="BK865" s="204">
        <f t="shared" si="439"/>
        <v>0</v>
      </c>
      <c r="BL865" s="204">
        <f t="shared" si="439"/>
        <v>0</v>
      </c>
      <c r="BM865" s="204">
        <f t="shared" si="439"/>
        <v>6057131644</v>
      </c>
      <c r="BN865" s="204">
        <f t="shared" si="439"/>
        <v>0</v>
      </c>
      <c r="BO865" s="204">
        <f t="shared" si="439"/>
        <v>9658118590.9799995</v>
      </c>
      <c r="BP865" s="204">
        <f t="shared" si="439"/>
        <v>0</v>
      </c>
      <c r="BQ865" s="204">
        <f t="shared" si="439"/>
        <v>0</v>
      </c>
      <c r="BR865" s="204">
        <f t="shared" si="439"/>
        <v>0</v>
      </c>
      <c r="BS865" s="204">
        <f t="shared" si="439"/>
        <v>0</v>
      </c>
      <c r="BT865" s="204">
        <f t="shared" si="439"/>
        <v>0</v>
      </c>
      <c r="BU865" s="204">
        <f t="shared" si="439"/>
        <v>0</v>
      </c>
      <c r="BV865" s="204">
        <f t="shared" si="439"/>
        <v>0</v>
      </c>
      <c r="BW865" s="204">
        <f t="shared" si="439"/>
        <v>13136790865.5</v>
      </c>
      <c r="BX865" s="204">
        <f t="shared" si="439"/>
        <v>28852041100.48</v>
      </c>
      <c r="BY865" s="204">
        <f t="shared" ref="BY865:DD865" si="440">SUM(BY864+BY839+BY824+BY789+BY777+BY728)</f>
        <v>0</v>
      </c>
      <c r="BZ865" s="204">
        <f t="shared" si="440"/>
        <v>0</v>
      </c>
      <c r="CA865" s="204">
        <f t="shared" si="440"/>
        <v>0</v>
      </c>
      <c r="CB865" s="204">
        <f t="shared" si="440"/>
        <v>0</v>
      </c>
      <c r="CC865" s="204">
        <f t="shared" si="440"/>
        <v>6477010899</v>
      </c>
      <c r="CD865" s="204">
        <f t="shared" si="440"/>
        <v>0</v>
      </c>
      <c r="CE865" s="204">
        <f t="shared" si="440"/>
        <v>9947862149</v>
      </c>
      <c r="CF865" s="204">
        <f t="shared" si="440"/>
        <v>0</v>
      </c>
      <c r="CG865" s="204">
        <f t="shared" si="440"/>
        <v>0</v>
      </c>
      <c r="CH865" s="204">
        <f t="shared" si="440"/>
        <v>0</v>
      </c>
      <c r="CI865" s="204">
        <f t="shared" si="440"/>
        <v>0</v>
      </c>
      <c r="CJ865" s="204">
        <f t="shared" si="440"/>
        <v>0</v>
      </c>
      <c r="CK865" s="204">
        <f t="shared" si="440"/>
        <v>0</v>
      </c>
      <c r="CL865" s="204">
        <f t="shared" si="440"/>
        <v>0</v>
      </c>
      <c r="CM865" s="204">
        <f t="shared" si="440"/>
        <v>2889642573</v>
      </c>
      <c r="CN865" s="204">
        <f t="shared" si="440"/>
        <v>19314515621</v>
      </c>
      <c r="CO865" s="204">
        <f t="shared" si="440"/>
        <v>0</v>
      </c>
      <c r="CP865" s="204">
        <f t="shared" si="440"/>
        <v>0</v>
      </c>
      <c r="CQ865" s="204">
        <f t="shared" si="440"/>
        <v>0</v>
      </c>
      <c r="CR865" s="204">
        <f t="shared" si="440"/>
        <v>0</v>
      </c>
      <c r="CS865" s="204">
        <f t="shared" si="440"/>
        <v>6199543046</v>
      </c>
      <c r="CT865" s="204">
        <f t="shared" si="440"/>
        <v>0</v>
      </c>
      <c r="CU865" s="204">
        <f t="shared" si="440"/>
        <v>10246298013</v>
      </c>
      <c r="CV865" s="204">
        <f t="shared" si="440"/>
        <v>0</v>
      </c>
      <c r="CW865" s="204">
        <f t="shared" si="440"/>
        <v>0</v>
      </c>
      <c r="CX865" s="204">
        <f t="shared" si="440"/>
        <v>0</v>
      </c>
      <c r="CY865" s="204">
        <f t="shared" si="440"/>
        <v>0</v>
      </c>
      <c r="CZ865" s="204">
        <f t="shared" si="440"/>
        <v>0</v>
      </c>
      <c r="DA865" s="204">
        <f t="shared" si="440"/>
        <v>0</v>
      </c>
      <c r="DB865" s="204">
        <f t="shared" si="440"/>
        <v>0</v>
      </c>
      <c r="DC865" s="204">
        <f t="shared" si="440"/>
        <v>19211100314</v>
      </c>
      <c r="DD865" s="204">
        <f t="shared" si="440"/>
        <v>35656941373</v>
      </c>
      <c r="DE865" s="205">
        <f t="shared" ref="DE865" si="441">SUM(DE864+DE839+DE824+DE789+DE777+DE728)</f>
        <v>101534413943.48</v>
      </c>
    </row>
    <row r="866" spans="1:110" s="98" customFormat="1" ht="119.1" customHeight="1">
      <c r="A866" s="103" t="s">
        <v>1249</v>
      </c>
      <c r="B866" s="103" t="s">
        <v>1890</v>
      </c>
      <c r="C866" s="103" t="s">
        <v>1891</v>
      </c>
      <c r="D866" s="103">
        <v>77</v>
      </c>
      <c r="E866" s="103" t="s">
        <v>1892</v>
      </c>
      <c r="F866" s="278" t="s">
        <v>1893</v>
      </c>
      <c r="G866" s="103" t="s">
        <v>2923</v>
      </c>
      <c r="H866" s="103">
        <v>93</v>
      </c>
      <c r="I866" s="103" t="s">
        <v>1894</v>
      </c>
      <c r="J866" s="103" t="s">
        <v>683</v>
      </c>
      <c r="K866" s="103">
        <v>40</v>
      </c>
      <c r="L866" s="103" t="s">
        <v>1895</v>
      </c>
      <c r="M866" s="103" t="s">
        <v>1896</v>
      </c>
      <c r="N866" s="103" t="s">
        <v>1897</v>
      </c>
      <c r="O866" s="103" t="s">
        <v>432</v>
      </c>
      <c r="P866" s="283">
        <v>764</v>
      </c>
      <c r="Q866" s="103" t="s">
        <v>2924</v>
      </c>
      <c r="R866" s="103" t="s">
        <v>1898</v>
      </c>
      <c r="S866" s="103" t="s">
        <v>683</v>
      </c>
      <c r="T866" s="103">
        <v>1450</v>
      </c>
      <c r="U866" s="267">
        <v>50</v>
      </c>
      <c r="V866" s="267">
        <v>50</v>
      </c>
      <c r="W866" s="224">
        <v>100</v>
      </c>
      <c r="X866" s="267">
        <v>50</v>
      </c>
      <c r="Y866" s="267">
        <v>250</v>
      </c>
      <c r="Z866" s="267">
        <v>250</v>
      </c>
      <c r="AA866" s="267">
        <v>50</v>
      </c>
      <c r="AB866" s="224">
        <v>600</v>
      </c>
      <c r="AC866" s="267">
        <v>50</v>
      </c>
      <c r="AD866" s="267">
        <v>250</v>
      </c>
      <c r="AE866" s="267">
        <v>250</v>
      </c>
      <c r="AF866" s="267">
        <v>50</v>
      </c>
      <c r="AG866" s="224">
        <v>600</v>
      </c>
      <c r="AH866" s="267">
        <v>50</v>
      </c>
      <c r="AI866" s="267">
        <v>100</v>
      </c>
      <c r="AJ866" s="267">
        <v>50</v>
      </c>
      <c r="AK866" s="267"/>
      <c r="AL866" s="224">
        <v>200</v>
      </c>
      <c r="AM866" s="102">
        <v>1500</v>
      </c>
      <c r="AN866" s="103" t="s">
        <v>685</v>
      </c>
      <c r="AO866" s="103" t="s">
        <v>612</v>
      </c>
      <c r="AP866" s="103" t="s">
        <v>1213</v>
      </c>
      <c r="AQ866" s="103" t="s">
        <v>1195</v>
      </c>
      <c r="AR866" s="103" t="s">
        <v>939</v>
      </c>
      <c r="AS866" s="268"/>
      <c r="AT866" s="268"/>
      <c r="AU866" s="268"/>
      <c r="AV866" s="268"/>
      <c r="AW866" s="268">
        <v>13598400</v>
      </c>
      <c r="AX866" s="268"/>
      <c r="AY866" s="268"/>
      <c r="AZ866" s="268"/>
      <c r="BA866" s="268"/>
      <c r="BB866" s="268"/>
      <c r="BC866" s="268"/>
      <c r="BD866" s="268"/>
      <c r="BE866" s="268"/>
      <c r="BF866" s="268"/>
      <c r="BG866" s="268"/>
      <c r="BH866" s="234">
        <f t="shared" ref="BH866:BH873" si="442">IF(W866=0,0,BG866+BF866+BE866+BD866+BC866+BB866+BA866+AZ866+AY866+AX866+AW866+AV866+AU866+AT866+AS866)</f>
        <v>13598400</v>
      </c>
      <c r="BI866" s="268"/>
      <c r="BJ866" s="268"/>
      <c r="BK866" s="268"/>
      <c r="BL866" s="268"/>
      <c r="BM866" s="268">
        <v>12096000</v>
      </c>
      <c r="BN866" s="268"/>
      <c r="BO866" s="268"/>
      <c r="BP866" s="268"/>
      <c r="BQ866" s="268"/>
      <c r="BR866" s="268"/>
      <c r="BS866" s="268"/>
      <c r="BT866" s="268"/>
      <c r="BU866" s="268"/>
      <c r="BV866" s="268"/>
      <c r="BW866" s="268"/>
      <c r="BX866" s="234">
        <f t="shared" ref="BX866:BX873" si="443">IF(AB866=0,0,BI866+BJ866+BK866+BL866+BM866+BN866+BO866+BP866+BQ866+BR866+BS866+BT866+BU866+BV866+BW866)</f>
        <v>12096000</v>
      </c>
      <c r="BY866" s="268"/>
      <c r="BZ866" s="268"/>
      <c r="CA866" s="268"/>
      <c r="CB866" s="268"/>
      <c r="CC866" s="268">
        <v>10584000</v>
      </c>
      <c r="CD866" s="268"/>
      <c r="CE866" s="268"/>
      <c r="CF866" s="268"/>
      <c r="CG866" s="268"/>
      <c r="CH866" s="268"/>
      <c r="CI866" s="268"/>
      <c r="CJ866" s="268"/>
      <c r="CK866" s="268"/>
      <c r="CL866" s="268"/>
      <c r="CM866" s="268"/>
      <c r="CN866" s="234">
        <f t="shared" ref="CN866:CN873" si="444">IF(AG866=0,0,(BY866+BZ866+CA866+CB866+CC866+CD866+CE866+CF866+CG866+CH866+CI866+CJ866+CK866+CL866+CM866))</f>
        <v>10584000</v>
      </c>
      <c r="CO866" s="268"/>
      <c r="CP866" s="268"/>
      <c r="CQ866" s="268"/>
      <c r="CR866" s="268"/>
      <c r="CS866" s="268">
        <v>21168000</v>
      </c>
      <c r="CT866" s="268"/>
      <c r="CU866" s="268"/>
      <c r="CV866" s="268"/>
      <c r="CW866" s="268"/>
      <c r="CX866" s="268"/>
      <c r="CY866" s="268"/>
      <c r="CZ866" s="268"/>
      <c r="DA866" s="268"/>
      <c r="DB866" s="268"/>
      <c r="DC866" s="268"/>
      <c r="DD866" s="234">
        <f t="shared" ref="DD866:DD873" si="445">IF(AL866=0,0,(CO866+CP866+CQ866+CR866+CS866+CT866+CU866+CV866+CW866+CX866+CY866+CZ866+DA866+DB866+DC866))</f>
        <v>21168000</v>
      </c>
      <c r="DE866" s="243">
        <f t="shared" ref="DE866:DE873" si="446">SUM(DD866+CN866+BX866+BH866)</f>
        <v>57446400</v>
      </c>
    </row>
    <row r="867" spans="1:110" s="98" customFormat="1" ht="119.1" customHeight="1">
      <c r="A867" s="103" t="s">
        <v>1249</v>
      </c>
      <c r="B867" s="279" t="s">
        <v>1890</v>
      </c>
      <c r="C867" s="279" t="s">
        <v>1891</v>
      </c>
      <c r="D867" s="279">
        <v>77</v>
      </c>
      <c r="E867" s="279" t="s">
        <v>1892</v>
      </c>
      <c r="F867" s="280" t="s">
        <v>1893</v>
      </c>
      <c r="G867" s="279" t="s">
        <v>2923</v>
      </c>
      <c r="H867" s="279">
        <v>93</v>
      </c>
      <c r="I867" s="279" t="s">
        <v>1894</v>
      </c>
      <c r="J867" s="279" t="s">
        <v>683</v>
      </c>
      <c r="K867" s="279">
        <v>40</v>
      </c>
      <c r="L867" s="279" t="s">
        <v>1895</v>
      </c>
      <c r="M867" s="279" t="s">
        <v>1896</v>
      </c>
      <c r="N867" s="279" t="s">
        <v>1897</v>
      </c>
      <c r="O867" s="279" t="s">
        <v>432</v>
      </c>
      <c r="P867" s="283">
        <v>765</v>
      </c>
      <c r="Q867" s="279" t="s">
        <v>2925</v>
      </c>
      <c r="R867" s="279" t="s">
        <v>1899</v>
      </c>
      <c r="S867" s="279" t="s">
        <v>683</v>
      </c>
      <c r="T867" s="279">
        <v>250</v>
      </c>
      <c r="U867" s="267">
        <v>2</v>
      </c>
      <c r="V867" s="267">
        <v>3</v>
      </c>
      <c r="W867" s="224">
        <v>5</v>
      </c>
      <c r="X867" s="267">
        <v>10</v>
      </c>
      <c r="Y867" s="267">
        <v>15</v>
      </c>
      <c r="Z867" s="267">
        <v>15</v>
      </c>
      <c r="AA867" s="267">
        <v>10</v>
      </c>
      <c r="AB867" s="224">
        <v>50</v>
      </c>
      <c r="AC867" s="267">
        <v>20</v>
      </c>
      <c r="AD867" s="267">
        <v>25</v>
      </c>
      <c r="AE867" s="267">
        <v>30</v>
      </c>
      <c r="AF867" s="267">
        <v>25</v>
      </c>
      <c r="AG867" s="224">
        <v>100</v>
      </c>
      <c r="AH867" s="267">
        <v>15</v>
      </c>
      <c r="AI867" s="267">
        <v>10</v>
      </c>
      <c r="AJ867" s="267">
        <v>10</v>
      </c>
      <c r="AK867" s="267"/>
      <c r="AL867" s="224">
        <v>35</v>
      </c>
      <c r="AM867" s="104">
        <v>190</v>
      </c>
      <c r="AN867" s="103" t="s">
        <v>685</v>
      </c>
      <c r="AO867" s="103" t="s">
        <v>612</v>
      </c>
      <c r="AP867" s="103" t="s">
        <v>1213</v>
      </c>
      <c r="AQ867" s="103" t="s">
        <v>1195</v>
      </c>
      <c r="AR867" s="103" t="s">
        <v>939</v>
      </c>
      <c r="AS867" s="271"/>
      <c r="AT867" s="271"/>
      <c r="AU867" s="271"/>
      <c r="AV867" s="271"/>
      <c r="AW867" s="271">
        <v>13598400</v>
      </c>
      <c r="AX867" s="271"/>
      <c r="AY867" s="271"/>
      <c r="AZ867" s="271"/>
      <c r="BA867" s="271"/>
      <c r="BB867" s="271"/>
      <c r="BC867" s="271"/>
      <c r="BD867" s="271"/>
      <c r="BE867" s="271"/>
      <c r="BF867" s="271"/>
      <c r="BG867" s="271"/>
      <c r="BH867" s="235">
        <f t="shared" si="442"/>
        <v>13598400</v>
      </c>
      <c r="BI867" s="271"/>
      <c r="BJ867" s="271"/>
      <c r="BK867" s="271"/>
      <c r="BL867" s="271"/>
      <c r="BM867" s="271">
        <v>12096000</v>
      </c>
      <c r="BN867" s="271"/>
      <c r="BO867" s="271"/>
      <c r="BP867" s="271"/>
      <c r="BQ867" s="271"/>
      <c r="BR867" s="271"/>
      <c r="BS867" s="271"/>
      <c r="BT867" s="271"/>
      <c r="BU867" s="271"/>
      <c r="BV867" s="271"/>
      <c r="BW867" s="271"/>
      <c r="BX867" s="235">
        <f t="shared" si="443"/>
        <v>12096000</v>
      </c>
      <c r="BY867" s="271"/>
      <c r="BZ867" s="271"/>
      <c r="CA867" s="271"/>
      <c r="CB867" s="271"/>
      <c r="CC867" s="271">
        <v>10584000</v>
      </c>
      <c r="CD867" s="271"/>
      <c r="CE867" s="271"/>
      <c r="CF867" s="271"/>
      <c r="CG867" s="271"/>
      <c r="CH867" s="271"/>
      <c r="CI867" s="271"/>
      <c r="CJ867" s="271"/>
      <c r="CK867" s="271"/>
      <c r="CL867" s="271"/>
      <c r="CM867" s="271"/>
      <c r="CN867" s="235">
        <f t="shared" si="444"/>
        <v>10584000</v>
      </c>
      <c r="CO867" s="271"/>
      <c r="CP867" s="271"/>
      <c r="CQ867" s="271"/>
      <c r="CR867" s="271"/>
      <c r="CS867" s="271">
        <v>21168000</v>
      </c>
      <c r="CT867" s="271"/>
      <c r="CU867" s="271"/>
      <c r="CV867" s="271"/>
      <c r="CW867" s="271"/>
      <c r="CX867" s="271"/>
      <c r="CY867" s="271"/>
      <c r="CZ867" s="271"/>
      <c r="DA867" s="271"/>
      <c r="DB867" s="271"/>
      <c r="DC867" s="271"/>
      <c r="DD867" s="234">
        <f t="shared" si="445"/>
        <v>21168000</v>
      </c>
      <c r="DE867" s="244">
        <f t="shared" si="446"/>
        <v>57446400</v>
      </c>
    </row>
    <row r="868" spans="1:110" s="98" customFormat="1" ht="119.1" customHeight="1">
      <c r="A868" s="103" t="s">
        <v>1249</v>
      </c>
      <c r="B868" s="279" t="s">
        <v>1890</v>
      </c>
      <c r="C868" s="279" t="s">
        <v>1891</v>
      </c>
      <c r="D868" s="279">
        <v>77</v>
      </c>
      <c r="E868" s="279" t="s">
        <v>1892</v>
      </c>
      <c r="F868" s="280" t="s">
        <v>1893</v>
      </c>
      <c r="G868" s="279" t="s">
        <v>2923</v>
      </c>
      <c r="H868" s="279">
        <v>93</v>
      </c>
      <c r="I868" s="279" t="s">
        <v>1894</v>
      </c>
      <c r="J868" s="279" t="s">
        <v>683</v>
      </c>
      <c r="K868" s="279">
        <v>40</v>
      </c>
      <c r="L868" s="279" t="s">
        <v>1895</v>
      </c>
      <c r="M868" s="279" t="s">
        <v>1896</v>
      </c>
      <c r="N868" s="279" t="s">
        <v>1897</v>
      </c>
      <c r="O868" s="279" t="s">
        <v>432</v>
      </c>
      <c r="P868" s="283">
        <v>766</v>
      </c>
      <c r="Q868" s="279" t="s">
        <v>3697</v>
      </c>
      <c r="R868" s="279" t="s">
        <v>1900</v>
      </c>
      <c r="S868" s="279" t="s">
        <v>683</v>
      </c>
      <c r="T868" s="279">
        <v>1142</v>
      </c>
      <c r="U868" s="267"/>
      <c r="V868" s="267">
        <v>15</v>
      </c>
      <c r="W868" s="224">
        <v>15</v>
      </c>
      <c r="X868" s="267">
        <v>25</v>
      </c>
      <c r="Y868" s="267">
        <v>100</v>
      </c>
      <c r="Z868" s="267">
        <v>100</v>
      </c>
      <c r="AA868" s="267">
        <v>25</v>
      </c>
      <c r="AB868" s="224">
        <v>250</v>
      </c>
      <c r="AC868" s="267">
        <v>50</v>
      </c>
      <c r="AD868" s="267">
        <v>200</v>
      </c>
      <c r="AE868" s="267">
        <v>200</v>
      </c>
      <c r="AF868" s="267">
        <v>50</v>
      </c>
      <c r="AG868" s="224">
        <v>500</v>
      </c>
      <c r="AH868" s="267">
        <v>25</v>
      </c>
      <c r="AI868" s="267">
        <v>60</v>
      </c>
      <c r="AJ868" s="267">
        <v>50</v>
      </c>
      <c r="AK868" s="267"/>
      <c r="AL868" s="224">
        <v>135</v>
      </c>
      <c r="AM868" s="104">
        <v>900</v>
      </c>
      <c r="AN868" s="103" t="s">
        <v>685</v>
      </c>
      <c r="AO868" s="103" t="s">
        <v>612</v>
      </c>
      <c r="AP868" s="103" t="s">
        <v>1213</v>
      </c>
      <c r="AQ868" s="103" t="s">
        <v>1195</v>
      </c>
      <c r="AR868" s="103" t="s">
        <v>939</v>
      </c>
      <c r="AS868" s="271"/>
      <c r="AT868" s="271"/>
      <c r="AU868" s="271"/>
      <c r="AV868" s="271"/>
      <c r="AW868" s="271">
        <v>13598400</v>
      </c>
      <c r="AX868" s="271"/>
      <c r="AY868" s="271"/>
      <c r="AZ868" s="271"/>
      <c r="BA868" s="271"/>
      <c r="BB868" s="271"/>
      <c r="BC868" s="271"/>
      <c r="BD868" s="271"/>
      <c r="BE868" s="271"/>
      <c r="BF868" s="271"/>
      <c r="BG868" s="271"/>
      <c r="BH868" s="235">
        <f t="shared" si="442"/>
        <v>13598400</v>
      </c>
      <c r="BI868" s="271"/>
      <c r="BJ868" s="271"/>
      <c r="BK868" s="271"/>
      <c r="BL868" s="271"/>
      <c r="BM868" s="271">
        <v>12096000</v>
      </c>
      <c r="BN868" s="271"/>
      <c r="BO868" s="271"/>
      <c r="BP868" s="271"/>
      <c r="BQ868" s="271"/>
      <c r="BR868" s="271"/>
      <c r="BS868" s="271"/>
      <c r="BT868" s="271"/>
      <c r="BU868" s="271"/>
      <c r="BV868" s="271"/>
      <c r="BW868" s="271"/>
      <c r="BX868" s="235">
        <f t="shared" si="443"/>
        <v>12096000</v>
      </c>
      <c r="BY868" s="271"/>
      <c r="BZ868" s="271"/>
      <c r="CA868" s="271"/>
      <c r="CB868" s="271"/>
      <c r="CC868" s="271">
        <v>10584000</v>
      </c>
      <c r="CD868" s="271"/>
      <c r="CE868" s="271"/>
      <c r="CF868" s="271"/>
      <c r="CG868" s="271"/>
      <c r="CH868" s="271"/>
      <c r="CI868" s="271"/>
      <c r="CJ868" s="271"/>
      <c r="CK868" s="271"/>
      <c r="CL868" s="271"/>
      <c r="CM868" s="271"/>
      <c r="CN868" s="235">
        <f t="shared" si="444"/>
        <v>10584000</v>
      </c>
      <c r="CO868" s="271"/>
      <c r="CP868" s="271"/>
      <c r="CQ868" s="271"/>
      <c r="CR868" s="271"/>
      <c r="CS868" s="271">
        <v>21168000</v>
      </c>
      <c r="CT868" s="271"/>
      <c r="CU868" s="271"/>
      <c r="CV868" s="271"/>
      <c r="CW868" s="271"/>
      <c r="CX868" s="271"/>
      <c r="CY868" s="271"/>
      <c r="CZ868" s="271"/>
      <c r="DA868" s="271"/>
      <c r="DB868" s="271"/>
      <c r="DC868" s="271"/>
      <c r="DD868" s="234">
        <f t="shared" si="445"/>
        <v>21168000</v>
      </c>
      <c r="DE868" s="244">
        <f t="shared" si="446"/>
        <v>57446400</v>
      </c>
    </row>
    <row r="869" spans="1:110" s="98" customFormat="1" ht="119.1" customHeight="1">
      <c r="A869" s="103" t="s">
        <v>1249</v>
      </c>
      <c r="B869" s="279" t="s">
        <v>1890</v>
      </c>
      <c r="C869" s="279" t="s">
        <v>1891</v>
      </c>
      <c r="D869" s="279">
        <v>77</v>
      </c>
      <c r="E869" s="279" t="s">
        <v>1892</v>
      </c>
      <c r="F869" s="280" t="s">
        <v>1893</v>
      </c>
      <c r="G869" s="279" t="s">
        <v>2923</v>
      </c>
      <c r="H869" s="279">
        <v>93</v>
      </c>
      <c r="I869" s="279" t="s">
        <v>1894</v>
      </c>
      <c r="J869" s="279" t="s">
        <v>683</v>
      </c>
      <c r="K869" s="279">
        <v>40</v>
      </c>
      <c r="L869" s="279" t="s">
        <v>1895</v>
      </c>
      <c r="M869" s="279" t="s">
        <v>1901</v>
      </c>
      <c r="N869" s="279" t="s">
        <v>1902</v>
      </c>
      <c r="O869" s="279" t="s">
        <v>1903</v>
      </c>
      <c r="P869" s="283">
        <v>767</v>
      </c>
      <c r="Q869" s="279" t="s">
        <v>2926</v>
      </c>
      <c r="R869" s="279" t="s">
        <v>1904</v>
      </c>
      <c r="S869" s="279" t="s">
        <v>683</v>
      </c>
      <c r="T869" s="104">
        <v>9502</v>
      </c>
      <c r="U869" s="267">
        <v>3000</v>
      </c>
      <c r="V869" s="267"/>
      <c r="W869" s="224">
        <v>3000</v>
      </c>
      <c r="X869" s="267">
        <v>700</v>
      </c>
      <c r="Y869" s="267">
        <v>1200</v>
      </c>
      <c r="Z869" s="267">
        <v>1200</v>
      </c>
      <c r="AA869" s="267"/>
      <c r="AB869" s="224">
        <v>3100</v>
      </c>
      <c r="AC869" s="267"/>
      <c r="AD869" s="267">
        <v>50</v>
      </c>
      <c r="AE869" s="267">
        <v>50</v>
      </c>
      <c r="AF869" s="267"/>
      <c r="AG869" s="224">
        <v>100</v>
      </c>
      <c r="AH869" s="267"/>
      <c r="AI869" s="267"/>
      <c r="AJ869" s="267"/>
      <c r="AK869" s="267"/>
      <c r="AL869" s="224">
        <v>0</v>
      </c>
      <c r="AM869" s="104">
        <v>6200</v>
      </c>
      <c r="AN869" s="103" t="s">
        <v>685</v>
      </c>
      <c r="AO869" s="103" t="s">
        <v>612</v>
      </c>
      <c r="AP869" s="103" t="s">
        <v>1213</v>
      </c>
      <c r="AQ869" s="103" t="s">
        <v>1195</v>
      </c>
      <c r="AR869" s="103" t="s">
        <v>939</v>
      </c>
      <c r="AS869" s="271"/>
      <c r="AT869" s="271"/>
      <c r="AU869" s="271"/>
      <c r="AV869" s="271"/>
      <c r="AW869" s="271">
        <v>13598400</v>
      </c>
      <c r="AX869" s="271"/>
      <c r="AY869" s="271"/>
      <c r="AZ869" s="271"/>
      <c r="BA869" s="271"/>
      <c r="BB869" s="271"/>
      <c r="BC869" s="271"/>
      <c r="BD869" s="271"/>
      <c r="BE869" s="271"/>
      <c r="BF869" s="271"/>
      <c r="BG869" s="271"/>
      <c r="BH869" s="235">
        <f t="shared" si="442"/>
        <v>13598400</v>
      </c>
      <c r="BI869" s="271"/>
      <c r="BJ869" s="271"/>
      <c r="BK869" s="271"/>
      <c r="BL869" s="271"/>
      <c r="BM869" s="271">
        <v>12096000</v>
      </c>
      <c r="BN869" s="271"/>
      <c r="BO869" s="271"/>
      <c r="BP869" s="271"/>
      <c r="BQ869" s="271"/>
      <c r="BR869" s="271"/>
      <c r="BS869" s="271"/>
      <c r="BT869" s="271"/>
      <c r="BU869" s="271"/>
      <c r="BV869" s="271"/>
      <c r="BW869" s="271"/>
      <c r="BX869" s="235">
        <f t="shared" si="443"/>
        <v>12096000</v>
      </c>
      <c r="BY869" s="271"/>
      <c r="BZ869" s="271"/>
      <c r="CA869" s="271"/>
      <c r="CB869" s="271"/>
      <c r="CC869" s="271">
        <v>10584000</v>
      </c>
      <c r="CD869" s="271"/>
      <c r="CE869" s="271"/>
      <c r="CF869" s="271"/>
      <c r="CG869" s="271"/>
      <c r="CH869" s="271"/>
      <c r="CI869" s="271"/>
      <c r="CJ869" s="271"/>
      <c r="CK869" s="271"/>
      <c r="CL869" s="271"/>
      <c r="CM869" s="271">
        <v>1200000000</v>
      </c>
      <c r="CN869" s="235">
        <f t="shared" si="444"/>
        <v>1210584000</v>
      </c>
      <c r="CO869" s="271"/>
      <c r="CP869" s="271"/>
      <c r="CQ869" s="271"/>
      <c r="CR869" s="271"/>
      <c r="CS869" s="271"/>
      <c r="CT869" s="271"/>
      <c r="CU869" s="271"/>
      <c r="CV869" s="271"/>
      <c r="CW869" s="271"/>
      <c r="CX869" s="271"/>
      <c r="CY869" s="271"/>
      <c r="CZ869" s="271"/>
      <c r="DA869" s="271"/>
      <c r="DB869" s="271"/>
      <c r="DC869" s="271"/>
      <c r="DD869" s="234">
        <f t="shared" si="445"/>
        <v>0</v>
      </c>
      <c r="DE869" s="244">
        <f t="shared" si="446"/>
        <v>1236278400</v>
      </c>
    </row>
    <row r="870" spans="1:110" s="98" customFormat="1" ht="119.1" customHeight="1">
      <c r="A870" s="103" t="s">
        <v>1249</v>
      </c>
      <c r="B870" s="279" t="s">
        <v>1890</v>
      </c>
      <c r="C870" s="279" t="s">
        <v>1891</v>
      </c>
      <c r="D870" s="279">
        <v>77</v>
      </c>
      <c r="E870" s="279" t="s">
        <v>1892</v>
      </c>
      <c r="F870" s="280" t="s">
        <v>1893</v>
      </c>
      <c r="G870" s="279" t="s">
        <v>2923</v>
      </c>
      <c r="H870" s="279">
        <v>93</v>
      </c>
      <c r="I870" s="279" t="s">
        <v>1894</v>
      </c>
      <c r="J870" s="279" t="s">
        <v>683</v>
      </c>
      <c r="K870" s="279">
        <v>40</v>
      </c>
      <c r="L870" s="279" t="s">
        <v>1895</v>
      </c>
      <c r="M870" s="279" t="s">
        <v>1901</v>
      </c>
      <c r="N870" s="279" t="s">
        <v>1902</v>
      </c>
      <c r="O870" s="279" t="s">
        <v>1903</v>
      </c>
      <c r="P870" s="283">
        <v>768</v>
      </c>
      <c r="Q870" s="279" t="s">
        <v>3638</v>
      </c>
      <c r="R870" s="279" t="s">
        <v>1905</v>
      </c>
      <c r="S870" s="279" t="s">
        <v>683</v>
      </c>
      <c r="T870" s="279">
        <v>279</v>
      </c>
      <c r="U870" s="267">
        <v>139</v>
      </c>
      <c r="V870" s="267">
        <v>140</v>
      </c>
      <c r="W870" s="224">
        <v>279</v>
      </c>
      <c r="X870" s="267">
        <v>69</v>
      </c>
      <c r="Y870" s="267">
        <v>69</v>
      </c>
      <c r="Z870" s="267">
        <v>69</v>
      </c>
      <c r="AA870" s="267">
        <v>72</v>
      </c>
      <c r="AB870" s="224">
        <v>279</v>
      </c>
      <c r="AC870" s="267">
        <v>69</v>
      </c>
      <c r="AD870" s="267">
        <v>69</v>
      </c>
      <c r="AE870" s="267">
        <v>69</v>
      </c>
      <c r="AF870" s="267">
        <v>72</v>
      </c>
      <c r="AG870" s="224">
        <v>279</v>
      </c>
      <c r="AH870" s="267">
        <v>69</v>
      </c>
      <c r="AI870" s="267">
        <v>69</v>
      </c>
      <c r="AJ870" s="267">
        <v>69</v>
      </c>
      <c r="AK870" s="267">
        <v>72</v>
      </c>
      <c r="AL870" s="224">
        <v>279</v>
      </c>
      <c r="AM870" s="104">
        <v>279</v>
      </c>
      <c r="AN870" s="103" t="s">
        <v>686</v>
      </c>
      <c r="AO870" s="103" t="s">
        <v>612</v>
      </c>
      <c r="AP870" s="103" t="s">
        <v>1213</v>
      </c>
      <c r="AQ870" s="103" t="s">
        <v>1195</v>
      </c>
      <c r="AR870" s="103" t="s">
        <v>939</v>
      </c>
      <c r="AS870" s="271"/>
      <c r="AT870" s="271"/>
      <c r="AU870" s="271"/>
      <c r="AV870" s="271"/>
      <c r="AW870" s="271">
        <v>13598400</v>
      </c>
      <c r="AX870" s="271"/>
      <c r="AY870" s="271"/>
      <c r="AZ870" s="271"/>
      <c r="BA870" s="271"/>
      <c r="BB870" s="271"/>
      <c r="BC870" s="271"/>
      <c r="BD870" s="271"/>
      <c r="BE870" s="271"/>
      <c r="BF870" s="271"/>
      <c r="BG870" s="271"/>
      <c r="BH870" s="235">
        <f t="shared" si="442"/>
        <v>13598400</v>
      </c>
      <c r="BI870" s="271"/>
      <c r="BJ870" s="271"/>
      <c r="BK870" s="271"/>
      <c r="BL870" s="271"/>
      <c r="BM870" s="271">
        <v>12096000</v>
      </c>
      <c r="BN870" s="271"/>
      <c r="BO870" s="271"/>
      <c r="BP870" s="271"/>
      <c r="BQ870" s="271"/>
      <c r="BR870" s="271"/>
      <c r="BS870" s="271"/>
      <c r="BT870" s="271"/>
      <c r="BU870" s="271"/>
      <c r="BV870" s="271"/>
      <c r="BW870" s="271"/>
      <c r="BX870" s="235">
        <f t="shared" si="443"/>
        <v>12096000</v>
      </c>
      <c r="BY870" s="271"/>
      <c r="BZ870" s="271"/>
      <c r="CA870" s="271"/>
      <c r="CB870" s="271"/>
      <c r="CC870" s="271">
        <v>10584000</v>
      </c>
      <c r="CD870" s="271"/>
      <c r="CE870" s="271"/>
      <c r="CF870" s="271"/>
      <c r="CG870" s="271"/>
      <c r="CH870" s="271"/>
      <c r="CI870" s="271"/>
      <c r="CJ870" s="271"/>
      <c r="CK870" s="271"/>
      <c r="CL870" s="271"/>
      <c r="CM870" s="271"/>
      <c r="CN870" s="235">
        <f t="shared" si="444"/>
        <v>10584000</v>
      </c>
      <c r="CO870" s="271"/>
      <c r="CP870" s="271"/>
      <c r="CQ870" s="271"/>
      <c r="CR870" s="271"/>
      <c r="CS870" s="271">
        <v>21168000</v>
      </c>
      <c r="CT870" s="271"/>
      <c r="CU870" s="271"/>
      <c r="CV870" s="271"/>
      <c r="CW870" s="271"/>
      <c r="CX870" s="271"/>
      <c r="CY870" s="271"/>
      <c r="CZ870" s="271"/>
      <c r="DA870" s="271"/>
      <c r="DB870" s="271"/>
      <c r="DC870" s="271"/>
      <c r="DD870" s="234">
        <f t="shared" si="445"/>
        <v>21168000</v>
      </c>
      <c r="DE870" s="244">
        <f t="shared" si="446"/>
        <v>57446400</v>
      </c>
    </row>
    <row r="871" spans="1:110" s="98" customFormat="1" ht="119.1" customHeight="1">
      <c r="A871" s="103" t="s">
        <v>1249</v>
      </c>
      <c r="B871" s="279" t="s">
        <v>1890</v>
      </c>
      <c r="C871" s="279" t="s">
        <v>1891</v>
      </c>
      <c r="D871" s="279">
        <v>77</v>
      </c>
      <c r="E871" s="279" t="s">
        <v>1892</v>
      </c>
      <c r="F871" s="280" t="s">
        <v>1893</v>
      </c>
      <c r="G871" s="279" t="s">
        <v>2923</v>
      </c>
      <c r="H871" s="279">
        <v>93</v>
      </c>
      <c r="I871" s="279" t="s">
        <v>1894</v>
      </c>
      <c r="J871" s="279" t="s">
        <v>683</v>
      </c>
      <c r="K871" s="279">
        <v>40</v>
      </c>
      <c r="L871" s="279" t="s">
        <v>1895</v>
      </c>
      <c r="M871" s="279" t="s">
        <v>1901</v>
      </c>
      <c r="N871" s="279" t="s">
        <v>1902</v>
      </c>
      <c r="O871" s="279" t="s">
        <v>1903</v>
      </c>
      <c r="P871" s="283">
        <v>769</v>
      </c>
      <c r="Q871" s="279" t="s">
        <v>2927</v>
      </c>
      <c r="R871" s="279" t="s">
        <v>1905</v>
      </c>
      <c r="S871" s="279" t="s">
        <v>683</v>
      </c>
      <c r="T871" s="279">
        <v>279</v>
      </c>
      <c r="U871" s="267"/>
      <c r="V871" s="267"/>
      <c r="W871" s="224">
        <v>0</v>
      </c>
      <c r="X871" s="267"/>
      <c r="Y871" s="267">
        <v>70</v>
      </c>
      <c r="Z871" s="267">
        <v>70</v>
      </c>
      <c r="AA871" s="267"/>
      <c r="AB871" s="224">
        <v>140</v>
      </c>
      <c r="AC871" s="267"/>
      <c r="AD871" s="267">
        <v>30</v>
      </c>
      <c r="AE871" s="267">
        <v>30</v>
      </c>
      <c r="AF871" s="267"/>
      <c r="AG871" s="224">
        <v>60</v>
      </c>
      <c r="AH871" s="267"/>
      <c r="AI871" s="267"/>
      <c r="AJ871" s="267"/>
      <c r="AK871" s="267"/>
      <c r="AL871" s="224">
        <v>0</v>
      </c>
      <c r="AM871" s="104">
        <v>200</v>
      </c>
      <c r="AN871" s="103" t="s">
        <v>685</v>
      </c>
      <c r="AO871" s="103" t="s">
        <v>612</v>
      </c>
      <c r="AP871" s="103" t="s">
        <v>1213</v>
      </c>
      <c r="AQ871" s="103" t="s">
        <v>1195</v>
      </c>
      <c r="AR871" s="103" t="s">
        <v>939</v>
      </c>
      <c r="AS871" s="271"/>
      <c r="AT871" s="271"/>
      <c r="AU871" s="271"/>
      <c r="AV871" s="271"/>
      <c r="AW871" s="271"/>
      <c r="AX871" s="271"/>
      <c r="AY871" s="271"/>
      <c r="AZ871" s="271"/>
      <c r="BA871" s="271"/>
      <c r="BB871" s="271"/>
      <c r="BC871" s="271"/>
      <c r="BD871" s="271"/>
      <c r="BE871" s="271"/>
      <c r="BF871" s="271"/>
      <c r="BG871" s="271"/>
      <c r="BH871" s="235">
        <f t="shared" si="442"/>
        <v>0</v>
      </c>
      <c r="BI871" s="271"/>
      <c r="BJ871" s="271"/>
      <c r="BK871" s="271"/>
      <c r="BL871" s="271"/>
      <c r="BM871" s="271">
        <v>12096000</v>
      </c>
      <c r="BN871" s="271"/>
      <c r="BO871" s="271"/>
      <c r="BP871" s="271"/>
      <c r="BQ871" s="271"/>
      <c r="BR871" s="271"/>
      <c r="BS871" s="271"/>
      <c r="BT871" s="271"/>
      <c r="BU871" s="271"/>
      <c r="BV871" s="271"/>
      <c r="BW871" s="271"/>
      <c r="BX871" s="235">
        <f t="shared" si="443"/>
        <v>12096000</v>
      </c>
      <c r="BY871" s="271"/>
      <c r="BZ871" s="271"/>
      <c r="CA871" s="271"/>
      <c r="CB871" s="271"/>
      <c r="CC871" s="271">
        <v>10584000</v>
      </c>
      <c r="CD871" s="271"/>
      <c r="CE871" s="271"/>
      <c r="CF871" s="271"/>
      <c r="CG871" s="271"/>
      <c r="CH871" s="271"/>
      <c r="CI871" s="271"/>
      <c r="CJ871" s="271"/>
      <c r="CK871" s="271"/>
      <c r="CL871" s="271"/>
      <c r="CM871" s="271">
        <v>200000000</v>
      </c>
      <c r="CN871" s="235">
        <f t="shared" si="444"/>
        <v>210584000</v>
      </c>
      <c r="CO871" s="271"/>
      <c r="CP871" s="271"/>
      <c r="CQ871" s="271"/>
      <c r="CR871" s="271"/>
      <c r="CS871" s="271"/>
      <c r="CT871" s="271"/>
      <c r="CU871" s="271"/>
      <c r="CV871" s="271"/>
      <c r="CW871" s="271"/>
      <c r="CX871" s="271"/>
      <c r="CY871" s="271"/>
      <c r="CZ871" s="271"/>
      <c r="DA871" s="271"/>
      <c r="DB871" s="271"/>
      <c r="DC871" s="271"/>
      <c r="DD871" s="234">
        <f t="shared" si="445"/>
        <v>0</v>
      </c>
      <c r="DE871" s="244">
        <f t="shared" si="446"/>
        <v>222680000</v>
      </c>
    </row>
    <row r="872" spans="1:110" s="98" customFormat="1" ht="119.1" customHeight="1">
      <c r="A872" s="103" t="s">
        <v>1249</v>
      </c>
      <c r="B872" s="279" t="s">
        <v>1890</v>
      </c>
      <c r="C872" s="279" t="s">
        <v>1891</v>
      </c>
      <c r="D872" s="279">
        <v>77</v>
      </c>
      <c r="E872" s="279" t="s">
        <v>1892</v>
      </c>
      <c r="F872" s="280" t="s">
        <v>1893</v>
      </c>
      <c r="G872" s="279" t="s">
        <v>2923</v>
      </c>
      <c r="H872" s="279">
        <v>93</v>
      </c>
      <c r="I872" s="279" t="s">
        <v>1894</v>
      </c>
      <c r="J872" s="279" t="s">
        <v>683</v>
      </c>
      <c r="K872" s="279">
        <v>40</v>
      </c>
      <c r="L872" s="279" t="s">
        <v>1895</v>
      </c>
      <c r="M872" s="279" t="s">
        <v>1901</v>
      </c>
      <c r="N872" s="279" t="s">
        <v>1902</v>
      </c>
      <c r="O872" s="279" t="s">
        <v>1903</v>
      </c>
      <c r="P872" s="283">
        <v>770</v>
      </c>
      <c r="Q872" s="279" t="s">
        <v>3598</v>
      </c>
      <c r="R872" s="279" t="s">
        <v>1906</v>
      </c>
      <c r="S872" s="279" t="s">
        <v>683</v>
      </c>
      <c r="T872" s="279">
        <v>29</v>
      </c>
      <c r="U872" s="267"/>
      <c r="V872" s="267"/>
      <c r="W872" s="224">
        <v>0</v>
      </c>
      <c r="X872" s="267"/>
      <c r="Y872" s="267"/>
      <c r="Z872" s="267"/>
      <c r="AA872" s="267"/>
      <c r="AB872" s="224">
        <v>0</v>
      </c>
      <c r="AC872" s="267"/>
      <c r="AD872" s="267">
        <v>5</v>
      </c>
      <c r="AE872" s="267">
        <v>5</v>
      </c>
      <c r="AF872" s="267"/>
      <c r="AG872" s="224">
        <v>10</v>
      </c>
      <c r="AH872" s="267"/>
      <c r="AI872" s="267"/>
      <c r="AJ872" s="267"/>
      <c r="AK872" s="267"/>
      <c r="AL872" s="224">
        <v>0</v>
      </c>
      <c r="AM872" s="104">
        <v>10</v>
      </c>
      <c r="AN872" s="103" t="s">
        <v>685</v>
      </c>
      <c r="AO872" s="103" t="s">
        <v>612</v>
      </c>
      <c r="AP872" s="103" t="s">
        <v>1213</v>
      </c>
      <c r="AQ872" s="103" t="s">
        <v>1195</v>
      </c>
      <c r="AR872" s="103" t="s">
        <v>939</v>
      </c>
      <c r="AS872" s="271"/>
      <c r="AT872" s="271"/>
      <c r="AU872" s="271"/>
      <c r="AV872" s="271"/>
      <c r="AW872" s="271"/>
      <c r="AX872" s="271"/>
      <c r="AY872" s="271"/>
      <c r="AZ872" s="271"/>
      <c r="BA872" s="271"/>
      <c r="BB872" s="271"/>
      <c r="BC872" s="271"/>
      <c r="BD872" s="271"/>
      <c r="BE872" s="271"/>
      <c r="BF872" s="271"/>
      <c r="BG872" s="271"/>
      <c r="BH872" s="235">
        <f t="shared" si="442"/>
        <v>0</v>
      </c>
      <c r="BI872" s="271"/>
      <c r="BJ872" s="271"/>
      <c r="BK872" s="271"/>
      <c r="BL872" s="271"/>
      <c r="BM872" s="271"/>
      <c r="BN872" s="271"/>
      <c r="BO872" s="271"/>
      <c r="BP872" s="271"/>
      <c r="BQ872" s="271"/>
      <c r="BR872" s="271"/>
      <c r="BS872" s="271"/>
      <c r="BT872" s="271"/>
      <c r="BU872" s="271"/>
      <c r="BV872" s="271"/>
      <c r="BW872" s="271"/>
      <c r="BX872" s="235">
        <f t="shared" si="443"/>
        <v>0</v>
      </c>
      <c r="BY872" s="271"/>
      <c r="BZ872" s="271"/>
      <c r="CA872" s="271"/>
      <c r="CB872" s="271"/>
      <c r="CC872" s="271">
        <v>10584000</v>
      </c>
      <c r="CD872" s="271"/>
      <c r="CE872" s="271"/>
      <c r="CF872" s="271"/>
      <c r="CG872" s="271"/>
      <c r="CH872" s="271"/>
      <c r="CI872" s="271"/>
      <c r="CJ872" s="271"/>
      <c r="CK872" s="271"/>
      <c r="CL872" s="271"/>
      <c r="CM872" s="271">
        <v>400000000</v>
      </c>
      <c r="CN872" s="235">
        <f t="shared" si="444"/>
        <v>410584000</v>
      </c>
      <c r="CO872" s="271"/>
      <c r="CP872" s="271"/>
      <c r="CQ872" s="271"/>
      <c r="CR872" s="271"/>
      <c r="CS872" s="271"/>
      <c r="CT872" s="271"/>
      <c r="CU872" s="271"/>
      <c r="CV872" s="271"/>
      <c r="CW872" s="271"/>
      <c r="CX872" s="271"/>
      <c r="CY872" s="271"/>
      <c r="CZ872" s="271"/>
      <c r="DA872" s="271"/>
      <c r="DB872" s="271"/>
      <c r="DC872" s="271"/>
      <c r="DD872" s="234">
        <f t="shared" si="445"/>
        <v>0</v>
      </c>
      <c r="DE872" s="244">
        <f t="shared" si="446"/>
        <v>410584000</v>
      </c>
    </row>
    <row r="873" spans="1:110" s="98" customFormat="1" ht="119.1" customHeight="1">
      <c r="A873" s="120" t="s">
        <v>1249</v>
      </c>
      <c r="B873" s="281" t="s">
        <v>1890</v>
      </c>
      <c r="C873" s="281" t="s">
        <v>1891</v>
      </c>
      <c r="D873" s="281">
        <v>77</v>
      </c>
      <c r="E873" s="281" t="s">
        <v>1892</v>
      </c>
      <c r="F873" s="282" t="s">
        <v>1893</v>
      </c>
      <c r="G873" s="281" t="s">
        <v>2923</v>
      </c>
      <c r="H873" s="281">
        <v>93</v>
      </c>
      <c r="I873" s="281" t="s">
        <v>1894</v>
      </c>
      <c r="J873" s="281" t="s">
        <v>683</v>
      </c>
      <c r="K873" s="281">
        <v>40</v>
      </c>
      <c r="L873" s="281" t="s">
        <v>1895</v>
      </c>
      <c r="M873" s="281" t="s">
        <v>1907</v>
      </c>
      <c r="N873" s="281" t="s">
        <v>1908</v>
      </c>
      <c r="O873" s="281" t="s">
        <v>1909</v>
      </c>
      <c r="P873" s="283">
        <v>771</v>
      </c>
      <c r="Q873" s="281" t="s">
        <v>3599</v>
      </c>
      <c r="R873" s="281" t="s">
        <v>1910</v>
      </c>
      <c r="S873" s="281" t="s">
        <v>683</v>
      </c>
      <c r="T873" s="281">
        <v>4</v>
      </c>
      <c r="U873" s="275"/>
      <c r="V873" s="275"/>
      <c r="W873" s="225">
        <v>0</v>
      </c>
      <c r="X873" s="275"/>
      <c r="Y873" s="275">
        <v>2</v>
      </c>
      <c r="Z873" s="275">
        <v>2</v>
      </c>
      <c r="AA873" s="275"/>
      <c r="AB873" s="225">
        <v>4</v>
      </c>
      <c r="AC873" s="275"/>
      <c r="AD873" s="275">
        <v>2</v>
      </c>
      <c r="AE873" s="275">
        <v>2</v>
      </c>
      <c r="AF873" s="275"/>
      <c r="AG873" s="225">
        <v>4</v>
      </c>
      <c r="AH873" s="275"/>
      <c r="AI873" s="275"/>
      <c r="AJ873" s="275"/>
      <c r="AK873" s="275"/>
      <c r="AL873" s="225">
        <v>0</v>
      </c>
      <c r="AM873" s="119">
        <v>8</v>
      </c>
      <c r="AN873" s="120" t="s">
        <v>685</v>
      </c>
      <c r="AO873" s="120" t="s">
        <v>612</v>
      </c>
      <c r="AP873" s="120" t="s">
        <v>1213</v>
      </c>
      <c r="AQ873" s="120" t="s">
        <v>1195</v>
      </c>
      <c r="AR873" s="120" t="s">
        <v>939</v>
      </c>
      <c r="AS873" s="276"/>
      <c r="AT873" s="276"/>
      <c r="AU873" s="276"/>
      <c r="AV873" s="276"/>
      <c r="AW873" s="276"/>
      <c r="AX873" s="276"/>
      <c r="AY873" s="276"/>
      <c r="AZ873" s="276"/>
      <c r="BA873" s="276"/>
      <c r="BB873" s="276"/>
      <c r="BC873" s="276"/>
      <c r="BD873" s="276"/>
      <c r="BE873" s="276"/>
      <c r="BF873" s="276"/>
      <c r="BG873" s="276"/>
      <c r="BH873" s="236">
        <f t="shared" si="442"/>
        <v>0</v>
      </c>
      <c r="BI873" s="276"/>
      <c r="BJ873" s="276"/>
      <c r="BK873" s="276"/>
      <c r="BL873" s="276"/>
      <c r="BM873" s="276">
        <v>12096000</v>
      </c>
      <c r="BN873" s="276"/>
      <c r="BO873" s="276"/>
      <c r="BP873" s="276"/>
      <c r="BQ873" s="276"/>
      <c r="BR873" s="276"/>
      <c r="BS873" s="276"/>
      <c r="BT873" s="276"/>
      <c r="BU873" s="276"/>
      <c r="BV873" s="276"/>
      <c r="BW873" s="276"/>
      <c r="BX873" s="236">
        <f t="shared" si="443"/>
        <v>12096000</v>
      </c>
      <c r="BY873" s="276"/>
      <c r="BZ873" s="276"/>
      <c r="CA873" s="276"/>
      <c r="CB873" s="276"/>
      <c r="CC873" s="276">
        <v>10584000</v>
      </c>
      <c r="CD873" s="276"/>
      <c r="CE873" s="276"/>
      <c r="CF873" s="276"/>
      <c r="CG873" s="276"/>
      <c r="CH873" s="276"/>
      <c r="CI873" s="276"/>
      <c r="CJ873" s="276"/>
      <c r="CK873" s="276"/>
      <c r="CL873" s="276"/>
      <c r="CM873" s="276">
        <v>400000000</v>
      </c>
      <c r="CN873" s="236">
        <f t="shared" si="444"/>
        <v>410584000</v>
      </c>
      <c r="CO873" s="276"/>
      <c r="CP873" s="276"/>
      <c r="CQ873" s="276"/>
      <c r="CR873" s="276"/>
      <c r="CS873" s="276"/>
      <c r="CT873" s="276"/>
      <c r="CU873" s="276"/>
      <c r="CV873" s="276"/>
      <c r="CW873" s="276"/>
      <c r="CX873" s="276"/>
      <c r="CY873" s="276"/>
      <c r="CZ873" s="276"/>
      <c r="DA873" s="276"/>
      <c r="DB873" s="276"/>
      <c r="DC873" s="276"/>
      <c r="DD873" s="240">
        <f t="shared" si="445"/>
        <v>0</v>
      </c>
      <c r="DE873" s="245">
        <f t="shared" si="446"/>
        <v>422680000</v>
      </c>
    </row>
    <row r="874" spans="1:110" ht="65.099999999999994" customHeight="1">
      <c r="A874" s="134" t="s">
        <v>1249</v>
      </c>
      <c r="B874" s="134" t="s">
        <v>1890</v>
      </c>
      <c r="C874" s="134" t="s">
        <v>1891</v>
      </c>
      <c r="D874" s="134">
        <v>77</v>
      </c>
      <c r="E874" s="134" t="s">
        <v>1892</v>
      </c>
      <c r="F874" s="135"/>
      <c r="G874" s="136"/>
      <c r="H874" s="137"/>
      <c r="I874" s="137"/>
      <c r="J874" s="137"/>
      <c r="K874" s="138"/>
      <c r="L874" s="137"/>
      <c r="M874" s="137"/>
      <c r="N874" s="137"/>
      <c r="O874" s="137"/>
      <c r="P874" s="137"/>
      <c r="Q874" s="136"/>
      <c r="R874" s="139"/>
      <c r="S874" s="137"/>
      <c r="T874" s="137"/>
      <c r="U874" s="140"/>
      <c r="V874" s="140"/>
      <c r="W874" s="138"/>
      <c r="X874" s="140"/>
      <c r="Y874" s="140"/>
      <c r="Z874" s="140"/>
      <c r="AA874" s="140"/>
      <c r="AB874" s="138"/>
      <c r="AC874" s="140"/>
      <c r="AD874" s="140"/>
      <c r="AE874" s="140"/>
      <c r="AF874" s="140"/>
      <c r="AG874" s="138"/>
      <c r="AH874" s="140"/>
      <c r="AI874" s="140"/>
      <c r="AJ874" s="140"/>
      <c r="AK874" s="140"/>
      <c r="AL874" s="138"/>
      <c r="AM874" s="141"/>
      <c r="AN874" s="142"/>
      <c r="AO874" s="142"/>
      <c r="AP874" s="143"/>
      <c r="AQ874" s="143"/>
      <c r="AR874" s="144"/>
      <c r="AS874" s="132">
        <f>SUM(AS866:AS873)</f>
        <v>0</v>
      </c>
      <c r="AT874" s="132">
        <f t="shared" ref="AT874:DE874" si="447">SUM(AT866:AT873)</f>
        <v>0</v>
      </c>
      <c r="AU874" s="132">
        <f t="shared" si="447"/>
        <v>0</v>
      </c>
      <c r="AV874" s="132">
        <f t="shared" si="447"/>
        <v>0</v>
      </c>
      <c r="AW874" s="132">
        <f t="shared" si="447"/>
        <v>67992000</v>
      </c>
      <c r="AX874" s="132">
        <f t="shared" si="447"/>
        <v>0</v>
      </c>
      <c r="AY874" s="132">
        <f t="shared" si="447"/>
        <v>0</v>
      </c>
      <c r="AZ874" s="132">
        <f t="shared" si="447"/>
        <v>0</v>
      </c>
      <c r="BA874" s="132">
        <f t="shared" si="447"/>
        <v>0</v>
      </c>
      <c r="BB874" s="132">
        <f t="shared" si="447"/>
        <v>0</v>
      </c>
      <c r="BC874" s="132">
        <f t="shared" si="447"/>
        <v>0</v>
      </c>
      <c r="BD874" s="132">
        <f t="shared" si="447"/>
        <v>0</v>
      </c>
      <c r="BE874" s="132">
        <f t="shared" si="447"/>
        <v>0</v>
      </c>
      <c r="BF874" s="132">
        <f t="shared" si="447"/>
        <v>0</v>
      </c>
      <c r="BG874" s="132">
        <f t="shared" si="447"/>
        <v>0</v>
      </c>
      <c r="BH874" s="133">
        <f>IF(OR(AND(BH866=0,W866&lt;&gt;0),AND(BH867=0,W867&lt;&gt;0),AND(BH868=0,W868&lt;&gt;0),AND(BH869=0,W869&lt;&gt;0),AND(BH870=0,W870&lt;&gt;0),AND(BH871=0,W871&lt;&gt;0),AND(BH872=0,W872&lt;&gt;0),AND(BH873=0,W873&lt;&gt;0)),"NO DEBEN QUEDAR CELDAS EN ROJO",SUM(BH866:BH873))</f>
        <v>67992000</v>
      </c>
      <c r="BI874" s="132">
        <f t="shared" si="447"/>
        <v>0</v>
      </c>
      <c r="BJ874" s="132">
        <f t="shared" si="447"/>
        <v>0</v>
      </c>
      <c r="BK874" s="132">
        <f t="shared" si="447"/>
        <v>0</v>
      </c>
      <c r="BL874" s="132">
        <f t="shared" si="447"/>
        <v>0</v>
      </c>
      <c r="BM874" s="132">
        <f t="shared" si="447"/>
        <v>84672000</v>
      </c>
      <c r="BN874" s="132">
        <f t="shared" si="447"/>
        <v>0</v>
      </c>
      <c r="BO874" s="132">
        <f t="shared" si="447"/>
        <v>0</v>
      </c>
      <c r="BP874" s="132">
        <f t="shared" si="447"/>
        <v>0</v>
      </c>
      <c r="BQ874" s="132">
        <f t="shared" si="447"/>
        <v>0</v>
      </c>
      <c r="BR874" s="132">
        <f t="shared" si="447"/>
        <v>0</v>
      </c>
      <c r="BS874" s="132">
        <f t="shared" si="447"/>
        <v>0</v>
      </c>
      <c r="BT874" s="132">
        <f t="shared" si="447"/>
        <v>0</v>
      </c>
      <c r="BU874" s="132">
        <f t="shared" si="447"/>
        <v>0</v>
      </c>
      <c r="BV874" s="132">
        <f t="shared" si="447"/>
        <v>0</v>
      </c>
      <c r="BW874" s="132">
        <f t="shared" si="447"/>
        <v>0</v>
      </c>
      <c r="BX874" s="133">
        <f>IF(OR(AND(BX866=0,AB866&lt;&gt;0),AND(BX867=0,AB867&lt;&gt;0),AND(BX868=0,AB868&lt;&gt;0),AND(BX869=0,AB869&lt;&gt;0),AND(BX870=0,AB870&lt;&gt;0),AND(BX871=0,AB871&lt;&gt;0),AND(BX872=0,AB872&lt;&gt;0),AND(BX873=0,AB873&lt;&gt;0)),"NO DEBEN QUEDAR CELDAS EN ROJO",SUM(BX866:BX873))</f>
        <v>84672000</v>
      </c>
      <c r="BY874" s="132">
        <f t="shared" si="447"/>
        <v>0</v>
      </c>
      <c r="BZ874" s="132">
        <f t="shared" si="447"/>
        <v>0</v>
      </c>
      <c r="CA874" s="132">
        <f t="shared" si="447"/>
        <v>0</v>
      </c>
      <c r="CB874" s="132">
        <f t="shared" si="447"/>
        <v>0</v>
      </c>
      <c r="CC874" s="132">
        <f t="shared" si="447"/>
        <v>84672000</v>
      </c>
      <c r="CD874" s="132">
        <f t="shared" si="447"/>
        <v>0</v>
      </c>
      <c r="CE874" s="132">
        <f t="shared" si="447"/>
        <v>0</v>
      </c>
      <c r="CF874" s="132">
        <f t="shared" si="447"/>
        <v>0</v>
      </c>
      <c r="CG874" s="132">
        <f t="shared" si="447"/>
        <v>0</v>
      </c>
      <c r="CH874" s="132">
        <f t="shared" si="447"/>
        <v>0</v>
      </c>
      <c r="CI874" s="132">
        <f t="shared" si="447"/>
        <v>0</v>
      </c>
      <c r="CJ874" s="132">
        <f t="shared" si="447"/>
        <v>0</v>
      </c>
      <c r="CK874" s="132">
        <f t="shared" si="447"/>
        <v>0</v>
      </c>
      <c r="CL874" s="132">
        <f t="shared" si="447"/>
        <v>0</v>
      </c>
      <c r="CM874" s="132">
        <f t="shared" si="447"/>
        <v>2200000000</v>
      </c>
      <c r="CN874" s="133">
        <f>IF(OR(AND(CN866=0,AG866&lt;&gt;0),AND(CN867=0,AG867&lt;&gt;0),AND(CN868=0,AG868&lt;&gt;0),AND(CN869=0,AG869&lt;&gt;0),AND(CN870=0,AG870&lt;&gt;0),AND(CN871=0,AG871&lt;&gt;0),AND(CN872=0,AG872&lt;&gt;0),AND(CN873=0,AG873&lt;&gt;0)),"NO DEBEN QUEDAR CELDAS EN ROJO",SUM(CN866:CN873))</f>
        <v>2284672000</v>
      </c>
      <c r="CO874" s="132">
        <f t="shared" si="447"/>
        <v>0</v>
      </c>
      <c r="CP874" s="132">
        <f t="shared" si="447"/>
        <v>0</v>
      </c>
      <c r="CQ874" s="132">
        <f t="shared" si="447"/>
        <v>0</v>
      </c>
      <c r="CR874" s="132">
        <f t="shared" si="447"/>
        <v>0</v>
      </c>
      <c r="CS874" s="132">
        <f t="shared" si="447"/>
        <v>84672000</v>
      </c>
      <c r="CT874" s="132">
        <f t="shared" si="447"/>
        <v>0</v>
      </c>
      <c r="CU874" s="132">
        <f t="shared" si="447"/>
        <v>0</v>
      </c>
      <c r="CV874" s="132">
        <f t="shared" si="447"/>
        <v>0</v>
      </c>
      <c r="CW874" s="132">
        <f t="shared" si="447"/>
        <v>0</v>
      </c>
      <c r="CX874" s="132">
        <f t="shared" si="447"/>
        <v>0</v>
      </c>
      <c r="CY874" s="132">
        <f t="shared" si="447"/>
        <v>0</v>
      </c>
      <c r="CZ874" s="132">
        <f t="shared" si="447"/>
        <v>0</v>
      </c>
      <c r="DA874" s="132">
        <f t="shared" si="447"/>
        <v>0</v>
      </c>
      <c r="DB874" s="132">
        <f t="shared" si="447"/>
        <v>0</v>
      </c>
      <c r="DC874" s="132">
        <f t="shared" si="447"/>
        <v>0</v>
      </c>
      <c r="DD874" s="133">
        <f>IF(OR(AND(DD866=0,AL866&lt;&gt;0),AND(DD867=0,AL867&lt;&gt;0),AND(DD868=0,AL868&lt;&gt;0),AND(DD869=0,AL869&lt;&gt;0),AND(DD870=0,AL870&lt;&gt;0),AND(DD871=0,AL871&lt;&gt;0),AND(DD872=0,AL872&lt;&gt;0),AND(DD873=0,AL873&lt;&gt;0)),"NO DEBEN QUEDAR CELDAS EN ROJO",SUM(DD866:DD873))</f>
        <v>84672000</v>
      </c>
      <c r="DE874" s="133">
        <f t="shared" si="447"/>
        <v>2522008000</v>
      </c>
      <c r="DF874" s="101"/>
    </row>
    <row r="875" spans="1:110" s="98" customFormat="1" ht="119.1" customHeight="1">
      <c r="A875" s="103" t="s">
        <v>1249</v>
      </c>
      <c r="B875" s="103" t="s">
        <v>1890</v>
      </c>
      <c r="C875" s="103" t="s">
        <v>1891</v>
      </c>
      <c r="D875" s="103">
        <v>78</v>
      </c>
      <c r="E875" s="103" t="s">
        <v>1911</v>
      </c>
      <c r="F875" s="278" t="s">
        <v>1912</v>
      </c>
      <c r="G875" s="103" t="s">
        <v>3764</v>
      </c>
      <c r="H875" s="103">
        <v>94</v>
      </c>
      <c r="I875" s="103" t="s">
        <v>1913</v>
      </c>
      <c r="J875" s="103" t="s">
        <v>683</v>
      </c>
      <c r="K875" s="103">
        <v>20</v>
      </c>
      <c r="L875" s="103" t="s">
        <v>1914</v>
      </c>
      <c r="M875" s="103" t="s">
        <v>1915</v>
      </c>
      <c r="N875" s="103" t="s">
        <v>1916</v>
      </c>
      <c r="O875" s="103" t="s">
        <v>1917</v>
      </c>
      <c r="P875" s="283">
        <v>772</v>
      </c>
      <c r="Q875" s="103" t="s">
        <v>2928</v>
      </c>
      <c r="R875" s="103" t="s">
        <v>433</v>
      </c>
      <c r="S875" s="103" t="s">
        <v>683</v>
      </c>
      <c r="T875" s="103">
        <v>60</v>
      </c>
      <c r="U875" s="267"/>
      <c r="V875" s="267">
        <v>36</v>
      </c>
      <c r="W875" s="224">
        <v>36</v>
      </c>
      <c r="X875" s="267">
        <v>2</v>
      </c>
      <c r="Y875" s="267">
        <v>2</v>
      </c>
      <c r="Z875" s="267">
        <v>2</v>
      </c>
      <c r="AA875" s="267">
        <v>2</v>
      </c>
      <c r="AB875" s="224">
        <v>8</v>
      </c>
      <c r="AC875" s="267">
        <v>2</v>
      </c>
      <c r="AD875" s="267">
        <v>2</v>
      </c>
      <c r="AE875" s="267">
        <v>2</v>
      </c>
      <c r="AF875" s="267">
        <v>2</v>
      </c>
      <c r="AG875" s="224">
        <v>8</v>
      </c>
      <c r="AH875" s="267">
        <v>2</v>
      </c>
      <c r="AI875" s="267">
        <v>2</v>
      </c>
      <c r="AJ875" s="267">
        <v>2</v>
      </c>
      <c r="AK875" s="267">
        <v>2</v>
      </c>
      <c r="AL875" s="224">
        <v>8</v>
      </c>
      <c r="AM875" s="102">
        <v>60</v>
      </c>
      <c r="AN875" s="103" t="s">
        <v>685</v>
      </c>
      <c r="AO875" s="103" t="s">
        <v>621</v>
      </c>
      <c r="AP875" s="103" t="s">
        <v>1225</v>
      </c>
      <c r="AQ875" s="103" t="s">
        <v>1193</v>
      </c>
      <c r="AR875" s="103" t="s">
        <v>944</v>
      </c>
      <c r="AS875" s="268"/>
      <c r="AT875" s="268"/>
      <c r="AU875" s="268"/>
      <c r="AV875" s="268">
        <v>23333333</v>
      </c>
      <c r="AW875" s="268">
        <v>22664000</v>
      </c>
      <c r="AX875" s="268"/>
      <c r="AY875" s="268"/>
      <c r="AZ875" s="268"/>
      <c r="BA875" s="268"/>
      <c r="BB875" s="268"/>
      <c r="BC875" s="268"/>
      <c r="BD875" s="268"/>
      <c r="BE875" s="268"/>
      <c r="BF875" s="268"/>
      <c r="BG875" s="268"/>
      <c r="BH875" s="234">
        <f>IF(W875=0,0,BG875+BF875+BE875+BD875+BC875+BB875+BA875+AZ875+AY875+AX875+AW875+AV875+AU875+AT875+AS875)</f>
        <v>45997333</v>
      </c>
      <c r="BI875" s="268"/>
      <c r="BJ875" s="268"/>
      <c r="BK875" s="268"/>
      <c r="BL875" s="268"/>
      <c r="BM875" s="268">
        <v>14112000</v>
      </c>
      <c r="BN875" s="268"/>
      <c r="BO875" s="268"/>
      <c r="BP875" s="268"/>
      <c r="BQ875" s="268"/>
      <c r="BR875" s="268"/>
      <c r="BS875" s="268"/>
      <c r="BT875" s="268"/>
      <c r="BU875" s="268"/>
      <c r="BV875" s="268"/>
      <c r="BW875" s="268"/>
      <c r="BX875" s="234">
        <f>IF(AB875=0,0,BI875+BJ875+BK875+BL875+BM875+BN875+BO875+BP875+BQ875+BR875+BS875+BT875+BU875+BV875+BW875)</f>
        <v>14112000</v>
      </c>
      <c r="BY875" s="268"/>
      <c r="BZ875" s="268"/>
      <c r="CA875" s="268"/>
      <c r="CB875" s="268"/>
      <c r="CC875" s="268">
        <v>22579200</v>
      </c>
      <c r="CD875" s="268"/>
      <c r="CE875" s="268"/>
      <c r="CF875" s="268"/>
      <c r="CG875" s="268"/>
      <c r="CH875" s="268"/>
      <c r="CI875" s="268"/>
      <c r="CJ875" s="268"/>
      <c r="CK875" s="268"/>
      <c r="CL875" s="268"/>
      <c r="CM875" s="268"/>
      <c r="CN875" s="234">
        <f>IF(AG875=0,0,(BY875+BZ875+CA875+CB875+CC875+CD875+CE875+CF875+CG875+CH875+CI875+CJ875+CK875+CL875+CM875))</f>
        <v>22579200</v>
      </c>
      <c r="CO875" s="268"/>
      <c r="CP875" s="268"/>
      <c r="CQ875" s="268"/>
      <c r="CR875" s="268"/>
      <c r="CS875" s="268">
        <v>37632000</v>
      </c>
      <c r="CT875" s="268"/>
      <c r="CU875" s="268"/>
      <c r="CV875" s="268"/>
      <c r="CW875" s="268"/>
      <c r="CX875" s="268"/>
      <c r="CY875" s="268"/>
      <c r="CZ875" s="268"/>
      <c r="DA875" s="268"/>
      <c r="DB875" s="268"/>
      <c r="DC875" s="268"/>
      <c r="DD875" s="234">
        <f>IF(AL875=0,0,(CO875+CP875+CQ875+CR875+CS875+CT875+CU875+CV875+CW875+CX875+CY875+CZ875+DA875+DB875+DC875))</f>
        <v>37632000</v>
      </c>
      <c r="DE875" s="243">
        <f t="shared" ref="DE875:DE879" si="448">SUM(DD875+CN875+BX875+BH875)</f>
        <v>120320533</v>
      </c>
    </row>
    <row r="876" spans="1:110" s="98" customFormat="1" ht="119.1" customHeight="1">
      <c r="A876" s="103" t="s">
        <v>1249</v>
      </c>
      <c r="B876" s="279" t="s">
        <v>1890</v>
      </c>
      <c r="C876" s="279" t="s">
        <v>1891</v>
      </c>
      <c r="D876" s="279">
        <v>78</v>
      </c>
      <c r="E876" s="279" t="s">
        <v>1911</v>
      </c>
      <c r="F876" s="280" t="s">
        <v>1912</v>
      </c>
      <c r="G876" s="279" t="s">
        <v>3764</v>
      </c>
      <c r="H876" s="279">
        <v>94</v>
      </c>
      <c r="I876" s="279" t="s">
        <v>1913</v>
      </c>
      <c r="J876" s="279" t="s">
        <v>683</v>
      </c>
      <c r="K876" s="279">
        <v>20</v>
      </c>
      <c r="L876" s="279" t="s">
        <v>1914</v>
      </c>
      <c r="M876" s="279" t="s">
        <v>1915</v>
      </c>
      <c r="N876" s="279" t="s">
        <v>1916</v>
      </c>
      <c r="O876" s="279" t="s">
        <v>1917</v>
      </c>
      <c r="P876" s="283">
        <v>773</v>
      </c>
      <c r="Q876" s="279" t="s">
        <v>2929</v>
      </c>
      <c r="R876" s="279" t="s">
        <v>1918</v>
      </c>
      <c r="S876" s="279" t="s">
        <v>683</v>
      </c>
      <c r="T876" s="279">
        <v>106</v>
      </c>
      <c r="U876" s="267">
        <v>115</v>
      </c>
      <c r="V876" s="267">
        <v>15</v>
      </c>
      <c r="W876" s="224">
        <v>130</v>
      </c>
      <c r="X876" s="267"/>
      <c r="Y876" s="267">
        <v>70</v>
      </c>
      <c r="Z876" s="267">
        <v>70</v>
      </c>
      <c r="AA876" s="267">
        <v>70</v>
      </c>
      <c r="AB876" s="224">
        <v>210</v>
      </c>
      <c r="AC876" s="267"/>
      <c r="AD876" s="267">
        <v>30</v>
      </c>
      <c r="AE876" s="267">
        <v>30</v>
      </c>
      <c r="AF876" s="267"/>
      <c r="AG876" s="224">
        <v>60</v>
      </c>
      <c r="AH876" s="267"/>
      <c r="AI876" s="267"/>
      <c r="AJ876" s="267"/>
      <c r="AK876" s="267"/>
      <c r="AL876" s="224">
        <v>0</v>
      </c>
      <c r="AM876" s="104">
        <v>400</v>
      </c>
      <c r="AN876" s="103" t="s">
        <v>685</v>
      </c>
      <c r="AO876" s="103" t="s">
        <v>621</v>
      </c>
      <c r="AP876" s="103" t="s">
        <v>1225</v>
      </c>
      <c r="AQ876" s="103" t="s">
        <v>1193</v>
      </c>
      <c r="AR876" s="103" t="s">
        <v>944</v>
      </c>
      <c r="AS876" s="271"/>
      <c r="AT876" s="271"/>
      <c r="AU876" s="271"/>
      <c r="AV876" s="271">
        <v>23333333</v>
      </c>
      <c r="AW876" s="271">
        <v>22664000</v>
      </c>
      <c r="AX876" s="271"/>
      <c r="AY876" s="271"/>
      <c r="AZ876" s="271"/>
      <c r="BA876" s="271"/>
      <c r="BB876" s="271"/>
      <c r="BC876" s="271"/>
      <c r="BD876" s="271"/>
      <c r="BE876" s="271"/>
      <c r="BF876" s="271"/>
      <c r="BG876" s="271"/>
      <c r="BH876" s="235">
        <f>IF(W876=0,0,BG876+BF876+BE876+BD876+BC876+BB876+BA876+AZ876+AY876+AX876+AW876+AV876+AU876+AT876+AS876)</f>
        <v>45997333</v>
      </c>
      <c r="BI876" s="271"/>
      <c r="BJ876" s="271"/>
      <c r="BK876" s="271"/>
      <c r="BL876" s="271"/>
      <c r="BM876" s="271">
        <v>14112000</v>
      </c>
      <c r="BN876" s="271"/>
      <c r="BO876" s="271"/>
      <c r="BP876" s="271"/>
      <c r="BQ876" s="271"/>
      <c r="BR876" s="271"/>
      <c r="BS876" s="271"/>
      <c r="BT876" s="271"/>
      <c r="BU876" s="271"/>
      <c r="BV876" s="271"/>
      <c r="BW876" s="271"/>
      <c r="BX876" s="235">
        <f>IF(AB876=0,0,BI876+BJ876+BK876+BL876+BM876+BN876+BO876+BP876+BQ876+BR876+BS876+BT876+BU876+BV876+BW876)</f>
        <v>14112000</v>
      </c>
      <c r="BY876" s="271"/>
      <c r="BZ876" s="271"/>
      <c r="CA876" s="271"/>
      <c r="CB876" s="271"/>
      <c r="CC876" s="271">
        <v>22579200</v>
      </c>
      <c r="CD876" s="271"/>
      <c r="CE876" s="271"/>
      <c r="CF876" s="271"/>
      <c r="CG876" s="271"/>
      <c r="CH876" s="271"/>
      <c r="CI876" s="271"/>
      <c r="CJ876" s="271"/>
      <c r="CK876" s="271"/>
      <c r="CL876" s="271"/>
      <c r="CM876" s="271">
        <v>200000000</v>
      </c>
      <c r="CN876" s="235">
        <f>IF(AG876=0,0,(BY876+BZ876+CA876+CB876+CC876+CD876+CE876+CF876+CG876+CH876+CI876+CJ876+CK876+CL876+CM876))</f>
        <v>222579200</v>
      </c>
      <c r="CO876" s="271"/>
      <c r="CP876" s="271"/>
      <c r="CQ876" s="271"/>
      <c r="CR876" s="271"/>
      <c r="CS876" s="271"/>
      <c r="CT876" s="271"/>
      <c r="CU876" s="271"/>
      <c r="CV876" s="271"/>
      <c r="CW876" s="271"/>
      <c r="CX876" s="271"/>
      <c r="CY876" s="271"/>
      <c r="CZ876" s="271"/>
      <c r="DA876" s="271"/>
      <c r="DB876" s="271"/>
      <c r="DC876" s="271"/>
      <c r="DD876" s="234">
        <f>IF(AL876=0,0,(CO876+CP876+CQ876+CR876+CS876+CT876+CU876+CV876+CW876+CX876+CY876+CZ876+DA876+DB876+DC876))</f>
        <v>0</v>
      </c>
      <c r="DE876" s="244">
        <f t="shared" si="448"/>
        <v>282688533</v>
      </c>
    </row>
    <row r="877" spans="1:110" s="98" customFormat="1" ht="119.1" customHeight="1">
      <c r="A877" s="103" t="s">
        <v>1249</v>
      </c>
      <c r="B877" s="279" t="s">
        <v>1890</v>
      </c>
      <c r="C877" s="279" t="s">
        <v>1891</v>
      </c>
      <c r="D877" s="279">
        <v>78</v>
      </c>
      <c r="E877" s="279" t="s">
        <v>1911</v>
      </c>
      <c r="F877" s="280" t="s">
        <v>1912</v>
      </c>
      <c r="G877" s="279" t="s">
        <v>3764</v>
      </c>
      <c r="H877" s="279">
        <v>94</v>
      </c>
      <c r="I877" s="279" t="s">
        <v>1913</v>
      </c>
      <c r="J877" s="279" t="s">
        <v>683</v>
      </c>
      <c r="K877" s="279">
        <v>20</v>
      </c>
      <c r="L877" s="279" t="s">
        <v>1914</v>
      </c>
      <c r="M877" s="279" t="s">
        <v>1915</v>
      </c>
      <c r="N877" s="279" t="s">
        <v>1916</v>
      </c>
      <c r="O877" s="279" t="s">
        <v>1917</v>
      </c>
      <c r="P877" s="283">
        <v>774</v>
      </c>
      <c r="Q877" s="279" t="s">
        <v>2930</v>
      </c>
      <c r="R877" s="279" t="s">
        <v>1919</v>
      </c>
      <c r="S877" s="279" t="s">
        <v>683</v>
      </c>
      <c r="T877" s="279">
        <v>120</v>
      </c>
      <c r="U877" s="267"/>
      <c r="V877" s="267"/>
      <c r="W877" s="224">
        <v>0</v>
      </c>
      <c r="X877" s="267"/>
      <c r="Y877" s="267">
        <v>50</v>
      </c>
      <c r="Z877" s="267">
        <v>50</v>
      </c>
      <c r="AA877" s="267"/>
      <c r="AB877" s="224">
        <v>100</v>
      </c>
      <c r="AC877" s="267"/>
      <c r="AD877" s="267">
        <v>350</v>
      </c>
      <c r="AE877" s="267">
        <v>350</v>
      </c>
      <c r="AF877" s="267">
        <v>200</v>
      </c>
      <c r="AG877" s="224">
        <v>900</v>
      </c>
      <c r="AH877" s="267"/>
      <c r="AI877" s="267"/>
      <c r="AJ877" s="267"/>
      <c r="AK877" s="267"/>
      <c r="AL877" s="224">
        <v>0</v>
      </c>
      <c r="AM877" s="104">
        <v>1000</v>
      </c>
      <c r="AN877" s="103" t="s">
        <v>685</v>
      </c>
      <c r="AO877" s="103" t="s">
        <v>621</v>
      </c>
      <c r="AP877" s="103" t="s">
        <v>1225</v>
      </c>
      <c r="AQ877" s="103" t="s">
        <v>1193</v>
      </c>
      <c r="AR877" s="103" t="s">
        <v>944</v>
      </c>
      <c r="AS877" s="271"/>
      <c r="AT877" s="271"/>
      <c r="AU877" s="271"/>
      <c r="AV877" s="271"/>
      <c r="AW877" s="271"/>
      <c r="AX877" s="271"/>
      <c r="AY877" s="271"/>
      <c r="AZ877" s="271"/>
      <c r="BA877" s="271"/>
      <c r="BB877" s="271"/>
      <c r="BC877" s="271"/>
      <c r="BD877" s="271"/>
      <c r="BE877" s="271"/>
      <c r="BF877" s="271"/>
      <c r="BG877" s="271"/>
      <c r="BH877" s="235">
        <f>IF(W877=0,0,BG877+BF877+BE877+BD877+BC877+BB877+BA877+AZ877+AY877+AX877+AW877+AV877+AU877+AT877+AS877)</f>
        <v>0</v>
      </c>
      <c r="BI877" s="271"/>
      <c r="BJ877" s="271"/>
      <c r="BK877" s="271"/>
      <c r="BL877" s="271"/>
      <c r="BM877" s="271">
        <v>56448000</v>
      </c>
      <c r="BN877" s="271"/>
      <c r="BO877" s="271"/>
      <c r="BP877" s="271"/>
      <c r="BQ877" s="271"/>
      <c r="BR877" s="271"/>
      <c r="BS877" s="271"/>
      <c r="BT877" s="271"/>
      <c r="BU877" s="271"/>
      <c r="BV877" s="271"/>
      <c r="BW877" s="271"/>
      <c r="BX877" s="235">
        <f>IF(AB877=0,0,BI877+BJ877+BK877+BL877+BM877+BN877+BO877+BP877+BQ877+BR877+BS877+BT877+BU877+BV877+BW877)</f>
        <v>56448000</v>
      </c>
      <c r="BY877" s="271"/>
      <c r="BZ877" s="271"/>
      <c r="CA877" s="271"/>
      <c r="CB877" s="271"/>
      <c r="CC877" s="271">
        <v>22579200</v>
      </c>
      <c r="CD877" s="271"/>
      <c r="CE877" s="271"/>
      <c r="CF877" s="271"/>
      <c r="CG877" s="271"/>
      <c r="CH877" s="271"/>
      <c r="CI877" s="271"/>
      <c r="CJ877" s="271"/>
      <c r="CK877" s="271"/>
      <c r="CL877" s="271"/>
      <c r="CM877" s="271">
        <v>600000000</v>
      </c>
      <c r="CN877" s="235">
        <f>IF(AG877=0,0,(BY877+BZ877+CA877+CB877+CC877+CD877+CE877+CF877+CG877+CH877+CI877+CJ877+CK877+CL877+CM877))</f>
        <v>622579200</v>
      </c>
      <c r="CO877" s="271"/>
      <c r="CP877" s="271"/>
      <c r="CQ877" s="271"/>
      <c r="CR877" s="271"/>
      <c r="CS877" s="271"/>
      <c r="CT877" s="271"/>
      <c r="CU877" s="271"/>
      <c r="CV877" s="271"/>
      <c r="CW877" s="271"/>
      <c r="CX877" s="271"/>
      <c r="CY877" s="271"/>
      <c r="CZ877" s="271"/>
      <c r="DA877" s="271"/>
      <c r="DB877" s="271"/>
      <c r="DC877" s="271"/>
      <c r="DD877" s="234">
        <f>IF(AL877=0,0,(CO877+CP877+CQ877+CR877+CS877+CT877+CU877+CV877+CW877+CX877+CY877+CZ877+DA877+DB877+DC877))</f>
        <v>0</v>
      </c>
      <c r="DE877" s="244">
        <f t="shared" si="448"/>
        <v>679027200</v>
      </c>
    </row>
    <row r="878" spans="1:110" s="98" customFormat="1" ht="119.1" customHeight="1">
      <c r="A878" s="103" t="s">
        <v>1249</v>
      </c>
      <c r="B878" s="279" t="s">
        <v>1890</v>
      </c>
      <c r="C878" s="279" t="s">
        <v>1891</v>
      </c>
      <c r="D878" s="279">
        <v>78</v>
      </c>
      <c r="E878" s="279" t="s">
        <v>1911</v>
      </c>
      <c r="F878" s="280" t="s">
        <v>1912</v>
      </c>
      <c r="G878" s="279" t="s">
        <v>3764</v>
      </c>
      <c r="H878" s="279">
        <v>94</v>
      </c>
      <c r="I878" s="279" t="s">
        <v>1913</v>
      </c>
      <c r="J878" s="279" t="s">
        <v>683</v>
      </c>
      <c r="K878" s="279">
        <v>20</v>
      </c>
      <c r="L878" s="279" t="s">
        <v>1914</v>
      </c>
      <c r="M878" s="279" t="s">
        <v>1915</v>
      </c>
      <c r="N878" s="279" t="s">
        <v>1916</v>
      </c>
      <c r="O878" s="279" t="s">
        <v>1917</v>
      </c>
      <c r="P878" s="283">
        <v>775</v>
      </c>
      <c r="Q878" s="279" t="s">
        <v>2931</v>
      </c>
      <c r="R878" s="279" t="s">
        <v>1920</v>
      </c>
      <c r="S878" s="279" t="s">
        <v>683</v>
      </c>
      <c r="T878" s="279">
        <v>81</v>
      </c>
      <c r="U878" s="267"/>
      <c r="V878" s="267"/>
      <c r="W878" s="224">
        <v>0</v>
      </c>
      <c r="X878" s="267"/>
      <c r="Y878" s="267"/>
      <c r="Z878" s="267">
        <v>5</v>
      </c>
      <c r="AA878" s="267">
        <v>5</v>
      </c>
      <c r="AB878" s="224">
        <v>10</v>
      </c>
      <c r="AC878" s="267">
        <v>6</v>
      </c>
      <c r="AD878" s="267">
        <v>6</v>
      </c>
      <c r="AE878" s="267">
        <v>6</v>
      </c>
      <c r="AF878" s="267">
        <v>6</v>
      </c>
      <c r="AG878" s="224">
        <v>24</v>
      </c>
      <c r="AH878" s="267">
        <v>6</v>
      </c>
      <c r="AI878" s="267">
        <v>5</v>
      </c>
      <c r="AJ878" s="267">
        <v>5</v>
      </c>
      <c r="AK878" s="267"/>
      <c r="AL878" s="224">
        <v>16</v>
      </c>
      <c r="AM878" s="104">
        <v>50</v>
      </c>
      <c r="AN878" s="103" t="s">
        <v>685</v>
      </c>
      <c r="AO878" s="103" t="s">
        <v>621</v>
      </c>
      <c r="AP878" s="103" t="s">
        <v>1225</v>
      </c>
      <c r="AQ878" s="103" t="s">
        <v>1193</v>
      </c>
      <c r="AR878" s="103" t="s">
        <v>944</v>
      </c>
      <c r="AS878" s="271"/>
      <c r="AT878" s="271"/>
      <c r="AU878" s="271"/>
      <c r="AV878" s="271"/>
      <c r="AW878" s="271"/>
      <c r="AX878" s="271"/>
      <c r="AY878" s="271"/>
      <c r="AZ878" s="271"/>
      <c r="BA878" s="271"/>
      <c r="BB878" s="271"/>
      <c r="BC878" s="271"/>
      <c r="BD878" s="271"/>
      <c r="BE878" s="271"/>
      <c r="BF878" s="271"/>
      <c r="BG878" s="271"/>
      <c r="BH878" s="235">
        <f>IF(W878=0,0,BG878+BF878+BE878+BD878+BC878+BB878+BA878+AZ878+AY878+AX878+AW878+AV878+AU878+AT878+AS878)</f>
        <v>0</v>
      </c>
      <c r="BI878" s="271"/>
      <c r="BJ878" s="271"/>
      <c r="BK878" s="271"/>
      <c r="BL878" s="271"/>
      <c r="BM878" s="271">
        <v>14112000</v>
      </c>
      <c r="BN878" s="271"/>
      <c r="BO878" s="271"/>
      <c r="BP878" s="271"/>
      <c r="BQ878" s="271"/>
      <c r="BR878" s="271"/>
      <c r="BS878" s="271"/>
      <c r="BT878" s="271"/>
      <c r="BU878" s="271"/>
      <c r="BV878" s="271"/>
      <c r="BW878" s="271"/>
      <c r="BX878" s="235">
        <f>IF(AB878=0,0,BI878+BJ878+BK878+BL878+BM878+BN878+BO878+BP878+BQ878+BR878+BS878+BT878+BU878+BV878+BW878)</f>
        <v>14112000</v>
      </c>
      <c r="BY878" s="271"/>
      <c r="BZ878" s="271"/>
      <c r="CA878" s="271"/>
      <c r="CB878" s="271"/>
      <c r="CC878" s="271">
        <v>22579200</v>
      </c>
      <c r="CD878" s="271"/>
      <c r="CE878" s="271"/>
      <c r="CF878" s="271"/>
      <c r="CG878" s="271"/>
      <c r="CH878" s="271"/>
      <c r="CI878" s="271"/>
      <c r="CJ878" s="271"/>
      <c r="CK878" s="271"/>
      <c r="CL878" s="271"/>
      <c r="CM878" s="271"/>
      <c r="CN878" s="235">
        <f>IF(AG878=0,0,(BY878+BZ878+CA878+CB878+CC878+CD878+CE878+CF878+CG878+CH878+CI878+CJ878+CK878+CL878+CM878))</f>
        <v>22579200</v>
      </c>
      <c r="CO878" s="271"/>
      <c r="CP878" s="271"/>
      <c r="CQ878" s="271"/>
      <c r="CR878" s="271"/>
      <c r="CS878" s="271">
        <v>37632000</v>
      </c>
      <c r="CT878" s="271"/>
      <c r="CU878" s="271"/>
      <c r="CV878" s="271"/>
      <c r="CW878" s="271"/>
      <c r="CX878" s="271"/>
      <c r="CY878" s="271"/>
      <c r="CZ878" s="271"/>
      <c r="DA878" s="271"/>
      <c r="DB878" s="271"/>
      <c r="DC878" s="271"/>
      <c r="DD878" s="234">
        <f>IF(AL878=0,0,(CO878+CP878+CQ878+CR878+CS878+CT878+CU878+CV878+CW878+CX878+CY878+CZ878+DA878+DB878+DC878))</f>
        <v>37632000</v>
      </c>
      <c r="DE878" s="244">
        <f t="shared" si="448"/>
        <v>74323200</v>
      </c>
    </row>
    <row r="879" spans="1:110" s="98" customFormat="1" ht="119.1" customHeight="1">
      <c r="A879" s="120" t="s">
        <v>1249</v>
      </c>
      <c r="B879" s="281" t="s">
        <v>1890</v>
      </c>
      <c r="C879" s="281" t="s">
        <v>1891</v>
      </c>
      <c r="D879" s="281">
        <v>78</v>
      </c>
      <c r="E879" s="281" t="s">
        <v>1911</v>
      </c>
      <c r="F879" s="282" t="s">
        <v>1912</v>
      </c>
      <c r="G879" s="281" t="s">
        <v>3764</v>
      </c>
      <c r="H879" s="281">
        <v>94</v>
      </c>
      <c r="I879" s="281" t="s">
        <v>1913</v>
      </c>
      <c r="J879" s="281" t="s">
        <v>683</v>
      </c>
      <c r="K879" s="281">
        <v>20</v>
      </c>
      <c r="L879" s="281" t="s">
        <v>1914</v>
      </c>
      <c r="M879" s="281" t="s">
        <v>1921</v>
      </c>
      <c r="N879" s="281" t="s">
        <v>1922</v>
      </c>
      <c r="O879" s="281" t="s">
        <v>434</v>
      </c>
      <c r="P879" s="283">
        <v>776</v>
      </c>
      <c r="Q879" s="281" t="s">
        <v>2932</v>
      </c>
      <c r="R879" s="281" t="s">
        <v>1923</v>
      </c>
      <c r="S879" s="281" t="s">
        <v>683</v>
      </c>
      <c r="T879" s="281">
        <v>6</v>
      </c>
      <c r="U879" s="275"/>
      <c r="V879" s="275">
        <v>1</v>
      </c>
      <c r="W879" s="225">
        <v>1</v>
      </c>
      <c r="X879" s="275"/>
      <c r="Y879" s="275">
        <v>1</v>
      </c>
      <c r="Z879" s="275"/>
      <c r="AA879" s="275">
        <v>1</v>
      </c>
      <c r="AB879" s="225">
        <v>2</v>
      </c>
      <c r="AC879" s="275"/>
      <c r="AD879" s="275">
        <v>1</v>
      </c>
      <c r="AE879" s="275"/>
      <c r="AF879" s="275">
        <v>1</v>
      </c>
      <c r="AG879" s="225">
        <v>2</v>
      </c>
      <c r="AH879" s="275"/>
      <c r="AI879" s="275">
        <v>1</v>
      </c>
      <c r="AJ879" s="275"/>
      <c r="AK879" s="275"/>
      <c r="AL879" s="225">
        <v>1</v>
      </c>
      <c r="AM879" s="119">
        <v>6</v>
      </c>
      <c r="AN879" s="120" t="s">
        <v>685</v>
      </c>
      <c r="AO879" s="120" t="s">
        <v>621</v>
      </c>
      <c r="AP879" s="120" t="s">
        <v>1225</v>
      </c>
      <c r="AQ879" s="120" t="s">
        <v>1193</v>
      </c>
      <c r="AR879" s="120" t="s">
        <v>944</v>
      </c>
      <c r="AS879" s="276"/>
      <c r="AT879" s="276"/>
      <c r="AU879" s="276"/>
      <c r="AV879" s="276">
        <v>23333334</v>
      </c>
      <c r="AW879" s="276">
        <v>22664000</v>
      </c>
      <c r="AX879" s="276"/>
      <c r="AY879" s="276"/>
      <c r="AZ879" s="276"/>
      <c r="BA879" s="276"/>
      <c r="BB879" s="276"/>
      <c r="BC879" s="276"/>
      <c r="BD879" s="276"/>
      <c r="BE879" s="276"/>
      <c r="BF879" s="276"/>
      <c r="BG879" s="276"/>
      <c r="BH879" s="236">
        <f>IF(W879=0,0,BG879+BF879+BE879+BD879+BC879+BB879+BA879+AZ879+AY879+AX879+AW879+AV879+AU879+AT879+AS879)</f>
        <v>45997334</v>
      </c>
      <c r="BI879" s="276"/>
      <c r="BJ879" s="276"/>
      <c r="BK879" s="276"/>
      <c r="BL879" s="276"/>
      <c r="BM879" s="276">
        <v>14112000</v>
      </c>
      <c r="BN879" s="276"/>
      <c r="BO879" s="276"/>
      <c r="BP879" s="276"/>
      <c r="BQ879" s="276"/>
      <c r="BR879" s="276"/>
      <c r="BS879" s="276"/>
      <c r="BT879" s="276"/>
      <c r="BU879" s="276"/>
      <c r="BV879" s="276"/>
      <c r="BW879" s="276"/>
      <c r="BX879" s="236">
        <f>IF(AB879=0,0,BI879+BJ879+BK879+BL879+BM879+BN879+BO879+BP879+BQ879+BR879+BS879+BT879+BU879+BV879+BW879)</f>
        <v>14112000</v>
      </c>
      <c r="BY879" s="276"/>
      <c r="BZ879" s="276"/>
      <c r="CA879" s="276"/>
      <c r="CB879" s="276"/>
      <c r="CC879" s="276">
        <v>22579200</v>
      </c>
      <c r="CD879" s="276"/>
      <c r="CE879" s="276"/>
      <c r="CF879" s="276"/>
      <c r="CG879" s="276"/>
      <c r="CH879" s="276"/>
      <c r="CI879" s="276"/>
      <c r="CJ879" s="276"/>
      <c r="CK879" s="276"/>
      <c r="CL879" s="276"/>
      <c r="CM879" s="276"/>
      <c r="CN879" s="236">
        <f>IF(AG879=0,0,(BY879+BZ879+CA879+CB879+CC879+CD879+CE879+CF879+CG879+CH879+CI879+CJ879+CK879+CL879+CM879))</f>
        <v>22579200</v>
      </c>
      <c r="CO879" s="276"/>
      <c r="CP879" s="276"/>
      <c r="CQ879" s="276"/>
      <c r="CR879" s="276"/>
      <c r="CS879" s="276">
        <v>37632000</v>
      </c>
      <c r="CT879" s="276"/>
      <c r="CU879" s="276"/>
      <c r="CV879" s="276"/>
      <c r="CW879" s="276"/>
      <c r="CX879" s="276"/>
      <c r="CY879" s="276"/>
      <c r="CZ879" s="276"/>
      <c r="DA879" s="276"/>
      <c r="DB879" s="276"/>
      <c r="DC879" s="276"/>
      <c r="DD879" s="240">
        <f>IF(AL879=0,0,(CO879+CP879+CQ879+CR879+CS879+CT879+CU879+CV879+CW879+CX879+CY879+CZ879+DA879+DB879+DC879))</f>
        <v>37632000</v>
      </c>
      <c r="DE879" s="245">
        <f t="shared" si="448"/>
        <v>120320534</v>
      </c>
    </row>
    <row r="880" spans="1:110" ht="65.099999999999994" customHeight="1">
      <c r="A880" s="134" t="s">
        <v>1249</v>
      </c>
      <c r="B880" s="134" t="s">
        <v>1890</v>
      </c>
      <c r="C880" s="134" t="s">
        <v>1891</v>
      </c>
      <c r="D880" s="134">
        <v>78</v>
      </c>
      <c r="E880" s="134" t="s">
        <v>1911</v>
      </c>
      <c r="F880" s="135"/>
      <c r="G880" s="136"/>
      <c r="H880" s="137"/>
      <c r="I880" s="137"/>
      <c r="J880" s="137"/>
      <c r="K880" s="138"/>
      <c r="L880" s="137"/>
      <c r="M880" s="137"/>
      <c r="N880" s="137"/>
      <c r="O880" s="137"/>
      <c r="P880" s="137"/>
      <c r="Q880" s="136"/>
      <c r="R880" s="139"/>
      <c r="S880" s="137"/>
      <c r="T880" s="137"/>
      <c r="U880" s="140"/>
      <c r="V880" s="140"/>
      <c r="W880" s="138"/>
      <c r="X880" s="140"/>
      <c r="Y880" s="140"/>
      <c r="Z880" s="140"/>
      <c r="AA880" s="140"/>
      <c r="AB880" s="138"/>
      <c r="AC880" s="140"/>
      <c r="AD880" s="140"/>
      <c r="AE880" s="140"/>
      <c r="AF880" s="140"/>
      <c r="AG880" s="138"/>
      <c r="AH880" s="140"/>
      <c r="AI880" s="140"/>
      <c r="AJ880" s="140"/>
      <c r="AK880" s="140"/>
      <c r="AL880" s="138"/>
      <c r="AM880" s="141"/>
      <c r="AN880" s="142"/>
      <c r="AO880" s="142"/>
      <c r="AP880" s="143"/>
      <c r="AQ880" s="143"/>
      <c r="AR880" s="144"/>
      <c r="AS880" s="132">
        <f t="shared" ref="AS880:BG880" si="449">SUM(AS875:AS879)</f>
        <v>0</v>
      </c>
      <c r="AT880" s="132">
        <f t="shared" si="449"/>
        <v>0</v>
      </c>
      <c r="AU880" s="132">
        <f t="shared" si="449"/>
        <v>0</v>
      </c>
      <c r="AV880" s="132">
        <f t="shared" si="449"/>
        <v>70000000</v>
      </c>
      <c r="AW880" s="132">
        <f t="shared" si="449"/>
        <v>67992000</v>
      </c>
      <c r="AX880" s="132">
        <f t="shared" si="449"/>
        <v>0</v>
      </c>
      <c r="AY880" s="132">
        <f t="shared" si="449"/>
        <v>0</v>
      </c>
      <c r="AZ880" s="132">
        <f t="shared" si="449"/>
        <v>0</v>
      </c>
      <c r="BA880" s="132">
        <f t="shared" si="449"/>
        <v>0</v>
      </c>
      <c r="BB880" s="132">
        <f t="shared" si="449"/>
        <v>0</v>
      </c>
      <c r="BC880" s="132">
        <f t="shared" si="449"/>
        <v>0</v>
      </c>
      <c r="BD880" s="132">
        <f t="shared" si="449"/>
        <v>0</v>
      </c>
      <c r="BE880" s="132">
        <f t="shared" si="449"/>
        <v>0</v>
      </c>
      <c r="BF880" s="132">
        <f t="shared" si="449"/>
        <v>0</v>
      </c>
      <c r="BG880" s="132">
        <f t="shared" si="449"/>
        <v>0</v>
      </c>
      <c r="BH880" s="133">
        <f>IF(OR(AND(BH875=0,W875&lt;&gt;0),AND(BH876=0,W876&lt;&gt;0),AND(BH877=0,W877&lt;&gt;0),AND(BH878=0,W878&lt;&gt;0),AND(BH879=0,W879&lt;&gt;0)),"NO DEBEN QUEDAR CELDAS EN ROJO",SUM(BH875:BH879))</f>
        <v>137992000</v>
      </c>
      <c r="BI880" s="132">
        <f t="shared" ref="BI880:BW880" si="450">SUM(BI875:BI879)</f>
        <v>0</v>
      </c>
      <c r="BJ880" s="132">
        <f t="shared" si="450"/>
        <v>0</v>
      </c>
      <c r="BK880" s="132">
        <f t="shared" si="450"/>
        <v>0</v>
      </c>
      <c r="BL880" s="132">
        <f t="shared" si="450"/>
        <v>0</v>
      </c>
      <c r="BM880" s="132">
        <f t="shared" si="450"/>
        <v>112896000</v>
      </c>
      <c r="BN880" s="132">
        <f t="shared" si="450"/>
        <v>0</v>
      </c>
      <c r="BO880" s="132">
        <f t="shared" si="450"/>
        <v>0</v>
      </c>
      <c r="BP880" s="132">
        <f t="shared" si="450"/>
        <v>0</v>
      </c>
      <c r="BQ880" s="132">
        <f t="shared" si="450"/>
        <v>0</v>
      </c>
      <c r="BR880" s="132">
        <f t="shared" si="450"/>
        <v>0</v>
      </c>
      <c r="BS880" s="132">
        <f t="shared" si="450"/>
        <v>0</v>
      </c>
      <c r="BT880" s="132">
        <f t="shared" si="450"/>
        <v>0</v>
      </c>
      <c r="BU880" s="132">
        <f t="shared" si="450"/>
        <v>0</v>
      </c>
      <c r="BV880" s="132">
        <f t="shared" si="450"/>
        <v>0</v>
      </c>
      <c r="BW880" s="132">
        <f t="shared" si="450"/>
        <v>0</v>
      </c>
      <c r="BX880" s="133">
        <f>IF(OR(AND(BX875=0,AB875&lt;&gt;0),AND(BX876=0,AB876&lt;&gt;0),AND(BX877=0,AB877&lt;&gt;0),AND(BX878=0,AB878&lt;&gt;0),AND(BX879=0,AB879&lt;&gt;0)),"NO DEBEN QUEDAR CELDAS EN ROJO",SUM(BX875:BX879))</f>
        <v>112896000</v>
      </c>
      <c r="BY880" s="132">
        <f t="shared" ref="BY880:CM880" si="451">SUM(BY875:BY879)</f>
        <v>0</v>
      </c>
      <c r="BZ880" s="132">
        <f t="shared" si="451"/>
        <v>0</v>
      </c>
      <c r="CA880" s="132">
        <f t="shared" si="451"/>
        <v>0</v>
      </c>
      <c r="CB880" s="132">
        <f t="shared" si="451"/>
        <v>0</v>
      </c>
      <c r="CC880" s="132">
        <f t="shared" si="451"/>
        <v>112896000</v>
      </c>
      <c r="CD880" s="132">
        <f t="shared" si="451"/>
        <v>0</v>
      </c>
      <c r="CE880" s="132">
        <f t="shared" si="451"/>
        <v>0</v>
      </c>
      <c r="CF880" s="132">
        <f t="shared" si="451"/>
        <v>0</v>
      </c>
      <c r="CG880" s="132">
        <f t="shared" si="451"/>
        <v>0</v>
      </c>
      <c r="CH880" s="132">
        <f t="shared" si="451"/>
        <v>0</v>
      </c>
      <c r="CI880" s="132">
        <f t="shared" si="451"/>
        <v>0</v>
      </c>
      <c r="CJ880" s="132">
        <f t="shared" si="451"/>
        <v>0</v>
      </c>
      <c r="CK880" s="132">
        <f t="shared" si="451"/>
        <v>0</v>
      </c>
      <c r="CL880" s="132">
        <f t="shared" si="451"/>
        <v>0</v>
      </c>
      <c r="CM880" s="132">
        <f t="shared" si="451"/>
        <v>800000000</v>
      </c>
      <c r="CN880" s="133">
        <f>IF(OR(AND(CN875=0,AG875&lt;&gt;0),AND(CN876=0,AG876&lt;&gt;0),AND(CN877=0,AG877&lt;&gt;0),AND(CN878=0,AG878&lt;&gt;0),AND(CN879=0,AG879&lt;&gt;0)),"NO DEBEN QUEDAR CELDAS EN ROJO",SUM(CN875:CN879))</f>
        <v>912896000</v>
      </c>
      <c r="CO880" s="132">
        <f t="shared" ref="CO880:DC880" si="452">SUM(CO875:CO879)</f>
        <v>0</v>
      </c>
      <c r="CP880" s="132">
        <f t="shared" si="452"/>
        <v>0</v>
      </c>
      <c r="CQ880" s="132">
        <f t="shared" si="452"/>
        <v>0</v>
      </c>
      <c r="CR880" s="132">
        <f t="shared" si="452"/>
        <v>0</v>
      </c>
      <c r="CS880" s="132">
        <f t="shared" si="452"/>
        <v>112896000</v>
      </c>
      <c r="CT880" s="132">
        <f t="shared" si="452"/>
        <v>0</v>
      </c>
      <c r="CU880" s="132">
        <f t="shared" si="452"/>
        <v>0</v>
      </c>
      <c r="CV880" s="132">
        <f t="shared" si="452"/>
        <v>0</v>
      </c>
      <c r="CW880" s="132">
        <f t="shared" si="452"/>
        <v>0</v>
      </c>
      <c r="CX880" s="132">
        <f t="shared" si="452"/>
        <v>0</v>
      </c>
      <c r="CY880" s="132">
        <f t="shared" si="452"/>
        <v>0</v>
      </c>
      <c r="CZ880" s="132">
        <f t="shared" si="452"/>
        <v>0</v>
      </c>
      <c r="DA880" s="132">
        <f t="shared" si="452"/>
        <v>0</v>
      </c>
      <c r="DB880" s="132">
        <f t="shared" si="452"/>
        <v>0</v>
      </c>
      <c r="DC880" s="132">
        <f t="shared" si="452"/>
        <v>0</v>
      </c>
      <c r="DD880" s="133">
        <f>IF(OR(AND(DD875=0,AL875&lt;&gt;0),AND(DD876=0,AL876&lt;&gt;0),AND(DD877=0,AL877&lt;&gt;0),AND(DD878=0,AL878&lt;&gt;0),AND(DD879=0,AL879&lt;&gt;0)),"NO DEBEN QUEDAR CELDAS EN ROJO",SUM(DD875:DD879))</f>
        <v>112896000</v>
      </c>
      <c r="DE880" s="133">
        <f>SUM(DE875:DE879)</f>
        <v>1276680000</v>
      </c>
      <c r="DF880" s="101"/>
    </row>
    <row r="881" spans="1:110" s="98" customFormat="1" ht="119.1" customHeight="1">
      <c r="A881" s="103" t="s">
        <v>1249</v>
      </c>
      <c r="B881" s="103" t="s">
        <v>1890</v>
      </c>
      <c r="C881" s="103" t="s">
        <v>1891</v>
      </c>
      <c r="D881" s="103">
        <v>79</v>
      </c>
      <c r="E881" s="103" t="s">
        <v>1924</v>
      </c>
      <c r="F881" s="278" t="s">
        <v>437</v>
      </c>
      <c r="G881" s="103" t="s">
        <v>3695</v>
      </c>
      <c r="H881" s="103">
        <v>95</v>
      </c>
      <c r="I881" s="103" t="s">
        <v>438</v>
      </c>
      <c r="J881" s="103" t="s">
        <v>683</v>
      </c>
      <c r="K881" s="103">
        <v>10</v>
      </c>
      <c r="L881" s="103" t="s">
        <v>1925</v>
      </c>
      <c r="M881" s="103" t="s">
        <v>1926</v>
      </c>
      <c r="N881" s="103" t="s">
        <v>1927</v>
      </c>
      <c r="O881" s="103" t="s">
        <v>439</v>
      </c>
      <c r="P881" s="283">
        <v>777</v>
      </c>
      <c r="Q881" s="103" t="s">
        <v>2933</v>
      </c>
      <c r="R881" s="103" t="s">
        <v>1928</v>
      </c>
      <c r="S881" s="103" t="s">
        <v>683</v>
      </c>
      <c r="T881" s="103">
        <v>10</v>
      </c>
      <c r="U881" s="267"/>
      <c r="V881" s="267"/>
      <c r="W881" s="224">
        <v>0</v>
      </c>
      <c r="X881" s="267"/>
      <c r="Y881" s="267"/>
      <c r="Z881" s="267">
        <v>2</v>
      </c>
      <c r="AA881" s="267">
        <v>2</v>
      </c>
      <c r="AB881" s="224">
        <v>4</v>
      </c>
      <c r="AC881" s="267"/>
      <c r="AD881" s="267">
        <v>2</v>
      </c>
      <c r="AE881" s="267">
        <v>2</v>
      </c>
      <c r="AF881" s="267"/>
      <c r="AG881" s="224">
        <v>4</v>
      </c>
      <c r="AH881" s="267">
        <v>2</v>
      </c>
      <c r="AI881" s="267">
        <v>2</v>
      </c>
      <c r="AJ881" s="267"/>
      <c r="AK881" s="267"/>
      <c r="AL881" s="224">
        <v>4</v>
      </c>
      <c r="AM881" s="102">
        <v>12</v>
      </c>
      <c r="AN881" s="103" t="s">
        <v>685</v>
      </c>
      <c r="AO881" s="103" t="s">
        <v>621</v>
      </c>
      <c r="AP881" s="103" t="s">
        <v>1225</v>
      </c>
      <c r="AQ881" s="103" t="s">
        <v>1197</v>
      </c>
      <c r="AR881" s="103" t="s">
        <v>944</v>
      </c>
      <c r="AS881" s="268"/>
      <c r="AT881" s="268"/>
      <c r="AU881" s="268"/>
      <c r="AV881" s="268"/>
      <c r="AW881" s="268"/>
      <c r="AX881" s="268"/>
      <c r="AY881" s="268"/>
      <c r="AZ881" s="268"/>
      <c r="BA881" s="268"/>
      <c r="BB881" s="268"/>
      <c r="BC881" s="268"/>
      <c r="BD881" s="268"/>
      <c r="BE881" s="268"/>
      <c r="BF881" s="268"/>
      <c r="BG881" s="268"/>
      <c r="BH881" s="234">
        <f>IF(W881=0,0,BG881+BF881+BE881+BD881+BC881+BB881+BA881+AZ881+AY881+AX881+AW881+AV881+AU881+AT881+AS881)</f>
        <v>0</v>
      </c>
      <c r="BI881" s="268"/>
      <c r="BJ881" s="268"/>
      <c r="BK881" s="268"/>
      <c r="BL881" s="268"/>
      <c r="BM881" s="268">
        <v>5644800</v>
      </c>
      <c r="BN881" s="268"/>
      <c r="BO881" s="268"/>
      <c r="BP881" s="268"/>
      <c r="BQ881" s="268"/>
      <c r="BR881" s="268"/>
      <c r="BS881" s="268"/>
      <c r="BT881" s="268"/>
      <c r="BU881" s="268"/>
      <c r="BV881" s="268"/>
      <c r="BW881" s="268"/>
      <c r="BX881" s="234">
        <f>IF(AB881=0,0,BI881+BJ881+BK881+BL881+BM881+BN881+BO881+BP881+BQ881+BR881+BS881+BT881+BU881+BV881+BW881)</f>
        <v>5644800</v>
      </c>
      <c r="BY881" s="268"/>
      <c r="BZ881" s="268"/>
      <c r="CA881" s="268"/>
      <c r="CB881" s="268"/>
      <c r="CC881" s="268">
        <v>5644800</v>
      </c>
      <c r="CD881" s="268"/>
      <c r="CE881" s="268"/>
      <c r="CF881" s="268"/>
      <c r="CG881" s="268"/>
      <c r="CH881" s="268"/>
      <c r="CI881" s="268"/>
      <c r="CJ881" s="268"/>
      <c r="CK881" s="268"/>
      <c r="CL881" s="268"/>
      <c r="CM881" s="268"/>
      <c r="CN881" s="234">
        <f>IF(AG881=0,0,(BY881+BZ881+CA881+CB881+CC881+CD881+CE881+CF881+CG881+CH881+CI881+CJ881+CK881+CL881+CM881))</f>
        <v>5644800</v>
      </c>
      <c r="CO881" s="268"/>
      <c r="CP881" s="268"/>
      <c r="CQ881" s="268"/>
      <c r="CR881" s="268"/>
      <c r="CS881" s="268">
        <v>5644800</v>
      </c>
      <c r="CT881" s="268"/>
      <c r="CU881" s="268"/>
      <c r="CV881" s="268"/>
      <c r="CW881" s="268"/>
      <c r="CX881" s="268"/>
      <c r="CY881" s="268"/>
      <c r="CZ881" s="268"/>
      <c r="DA881" s="268"/>
      <c r="DB881" s="268"/>
      <c r="DC881" s="268"/>
      <c r="DD881" s="234">
        <f>IF(AL881=0,0,(CO881+CP881+CQ881+CR881+CS881+CT881+CU881+CV881+CW881+CX881+CY881+CZ881+DA881+DB881+DC881))</f>
        <v>5644800</v>
      </c>
      <c r="DE881" s="243">
        <f t="shared" ref="DE881:DE885" si="453">SUM(DD881+CN881+BX881+BH881)</f>
        <v>16934400</v>
      </c>
    </row>
    <row r="882" spans="1:110" s="98" customFormat="1" ht="119.1" customHeight="1">
      <c r="A882" s="103" t="s">
        <v>1249</v>
      </c>
      <c r="B882" s="279" t="s">
        <v>1890</v>
      </c>
      <c r="C882" s="279" t="s">
        <v>1891</v>
      </c>
      <c r="D882" s="279">
        <v>79</v>
      </c>
      <c r="E882" s="279" t="s">
        <v>1924</v>
      </c>
      <c r="F882" s="280" t="s">
        <v>437</v>
      </c>
      <c r="G882" s="279" t="s">
        <v>3695</v>
      </c>
      <c r="H882" s="279">
        <v>95</v>
      </c>
      <c r="I882" s="279" t="s">
        <v>438</v>
      </c>
      <c r="J882" s="279" t="s">
        <v>683</v>
      </c>
      <c r="K882" s="279">
        <v>10</v>
      </c>
      <c r="L882" s="279" t="s">
        <v>1925</v>
      </c>
      <c r="M882" s="279" t="s">
        <v>1926</v>
      </c>
      <c r="N882" s="279" t="s">
        <v>1927</v>
      </c>
      <c r="O882" s="279" t="s">
        <v>439</v>
      </c>
      <c r="P882" s="283">
        <v>778</v>
      </c>
      <c r="Q882" s="279" t="s">
        <v>2934</v>
      </c>
      <c r="R882" s="279" t="s">
        <v>1929</v>
      </c>
      <c r="S882" s="279" t="s">
        <v>683</v>
      </c>
      <c r="T882" s="279">
        <v>0</v>
      </c>
      <c r="U882" s="267"/>
      <c r="V882" s="267"/>
      <c r="W882" s="224">
        <v>0</v>
      </c>
      <c r="X882" s="267"/>
      <c r="Y882" s="267"/>
      <c r="Z882" s="267"/>
      <c r="AA882" s="267">
        <v>1</v>
      </c>
      <c r="AB882" s="224">
        <v>1</v>
      </c>
      <c r="AC882" s="267"/>
      <c r="AD882" s="267"/>
      <c r="AE882" s="267"/>
      <c r="AF882" s="267">
        <v>1</v>
      </c>
      <c r="AG882" s="224">
        <v>1</v>
      </c>
      <c r="AH882" s="267"/>
      <c r="AI882" s="267"/>
      <c r="AJ882" s="267"/>
      <c r="AK882" s="267">
        <v>1</v>
      </c>
      <c r="AL882" s="224">
        <v>1</v>
      </c>
      <c r="AM882" s="104">
        <v>3</v>
      </c>
      <c r="AN882" s="103" t="s">
        <v>685</v>
      </c>
      <c r="AO882" s="103" t="s">
        <v>621</v>
      </c>
      <c r="AP882" s="103" t="s">
        <v>1225</v>
      </c>
      <c r="AQ882" s="103" t="s">
        <v>1197</v>
      </c>
      <c r="AR882" s="103" t="s">
        <v>944</v>
      </c>
      <c r="AS882" s="271"/>
      <c r="AT882" s="271"/>
      <c r="AU882" s="271"/>
      <c r="AV882" s="271"/>
      <c r="AW882" s="271"/>
      <c r="AX882" s="271"/>
      <c r="AY882" s="271"/>
      <c r="AZ882" s="271"/>
      <c r="BA882" s="271"/>
      <c r="BB882" s="271"/>
      <c r="BC882" s="271"/>
      <c r="BD882" s="271"/>
      <c r="BE882" s="271"/>
      <c r="BF882" s="271"/>
      <c r="BG882" s="271"/>
      <c r="BH882" s="235">
        <f>IF(W882=0,0,BG882+BF882+BE882+BD882+BC882+BB882+BA882+AZ882+AY882+AX882+AW882+AV882+AU882+AT882+AS882)</f>
        <v>0</v>
      </c>
      <c r="BI882" s="271"/>
      <c r="BJ882" s="271"/>
      <c r="BK882" s="271"/>
      <c r="BL882" s="271"/>
      <c r="BM882" s="271">
        <v>5644800</v>
      </c>
      <c r="BN882" s="271"/>
      <c r="BO882" s="271"/>
      <c r="BP882" s="271"/>
      <c r="BQ882" s="271"/>
      <c r="BR882" s="271"/>
      <c r="BS882" s="271"/>
      <c r="BT882" s="271"/>
      <c r="BU882" s="271"/>
      <c r="BV882" s="271"/>
      <c r="BW882" s="271">
        <v>2417909713</v>
      </c>
      <c r="BX882" s="235">
        <f>IF(AB882=0,0,BI882+BJ882+BK882+BL882+BM882+BN882+BO882+BP882+BQ882+BR882+BS882+BT882+BU882+BV882+BW882)</f>
        <v>2423554513</v>
      </c>
      <c r="BY882" s="271"/>
      <c r="BZ882" s="271"/>
      <c r="CA882" s="271"/>
      <c r="CB882" s="271"/>
      <c r="CC882" s="271">
        <v>5644800</v>
      </c>
      <c r="CD882" s="271"/>
      <c r="CE882" s="271"/>
      <c r="CF882" s="271"/>
      <c r="CG882" s="271"/>
      <c r="CH882" s="271"/>
      <c r="CI882" s="271"/>
      <c r="CJ882" s="271"/>
      <c r="CK882" s="271"/>
      <c r="CL882" s="271"/>
      <c r="CM882" s="271"/>
      <c r="CN882" s="235">
        <f>IF(AG882=0,0,(BY882+BZ882+CA882+CB882+CC882+CD882+CE882+CF882+CG882+CH882+CI882+CJ882+CK882+CL882+CM882))</f>
        <v>5644800</v>
      </c>
      <c r="CO882" s="271"/>
      <c r="CP882" s="271"/>
      <c r="CQ882" s="271"/>
      <c r="CR882" s="271"/>
      <c r="CS882" s="271">
        <v>5644800</v>
      </c>
      <c r="CT882" s="271"/>
      <c r="CU882" s="271"/>
      <c r="CV882" s="271"/>
      <c r="CW882" s="271"/>
      <c r="CX882" s="271"/>
      <c r="CY882" s="271"/>
      <c r="CZ882" s="271"/>
      <c r="DA882" s="271"/>
      <c r="DB882" s="271"/>
      <c r="DC882" s="271"/>
      <c r="DD882" s="234">
        <f>IF(AL882=0,0,(CO882+CP882+CQ882+CR882+CS882+CT882+CU882+CV882+CW882+CX882+CY882+CZ882+DA882+DB882+DC882))</f>
        <v>5644800</v>
      </c>
      <c r="DE882" s="244">
        <f t="shared" si="453"/>
        <v>2434844113</v>
      </c>
    </row>
    <row r="883" spans="1:110" s="98" customFormat="1" ht="119.1" customHeight="1">
      <c r="A883" s="103" t="s">
        <v>1249</v>
      </c>
      <c r="B883" s="279" t="s">
        <v>1890</v>
      </c>
      <c r="C883" s="279" t="s">
        <v>1891</v>
      </c>
      <c r="D883" s="279">
        <v>79</v>
      </c>
      <c r="E883" s="279" t="s">
        <v>1924</v>
      </c>
      <c r="F883" s="280" t="s">
        <v>437</v>
      </c>
      <c r="G883" s="279" t="s">
        <v>3695</v>
      </c>
      <c r="H883" s="279">
        <v>95</v>
      </c>
      <c r="I883" s="279" t="s">
        <v>438</v>
      </c>
      <c r="J883" s="279" t="s">
        <v>683</v>
      </c>
      <c r="K883" s="279">
        <v>10</v>
      </c>
      <c r="L883" s="279" t="s">
        <v>1925</v>
      </c>
      <c r="M883" s="279" t="s">
        <v>1930</v>
      </c>
      <c r="N883" s="279" t="s">
        <v>1931</v>
      </c>
      <c r="O883" s="279" t="s">
        <v>442</v>
      </c>
      <c r="P883" s="283">
        <v>779</v>
      </c>
      <c r="Q883" s="279" t="s">
        <v>2935</v>
      </c>
      <c r="R883" s="279" t="s">
        <v>1932</v>
      </c>
      <c r="S883" s="279" t="s">
        <v>683</v>
      </c>
      <c r="T883" s="279">
        <v>12</v>
      </c>
      <c r="U883" s="267">
        <v>6</v>
      </c>
      <c r="V883" s="267">
        <v>6</v>
      </c>
      <c r="W883" s="224">
        <v>12</v>
      </c>
      <c r="X883" s="267">
        <v>3</v>
      </c>
      <c r="Y883" s="267">
        <v>3</v>
      </c>
      <c r="Z883" s="267">
        <v>3</v>
      </c>
      <c r="AA883" s="267">
        <v>3</v>
      </c>
      <c r="AB883" s="224">
        <v>12</v>
      </c>
      <c r="AC883" s="267">
        <v>3</v>
      </c>
      <c r="AD883" s="267">
        <v>3</v>
      </c>
      <c r="AE883" s="267">
        <v>3</v>
      </c>
      <c r="AF883" s="267">
        <v>3</v>
      </c>
      <c r="AG883" s="224">
        <v>12</v>
      </c>
      <c r="AH883" s="267">
        <v>3</v>
      </c>
      <c r="AI883" s="267">
        <v>3</v>
      </c>
      <c r="AJ883" s="267">
        <v>3</v>
      </c>
      <c r="AK883" s="267">
        <v>3</v>
      </c>
      <c r="AL883" s="224">
        <v>12</v>
      </c>
      <c r="AM883" s="104">
        <v>12</v>
      </c>
      <c r="AN883" s="103" t="s">
        <v>686</v>
      </c>
      <c r="AO883" s="103" t="s">
        <v>621</v>
      </c>
      <c r="AP883" s="103" t="s">
        <v>1225</v>
      </c>
      <c r="AQ883" s="103" t="s">
        <v>1197</v>
      </c>
      <c r="AR883" s="103" t="s">
        <v>944</v>
      </c>
      <c r="AS883" s="271"/>
      <c r="AT883" s="271"/>
      <c r="AU883" s="271"/>
      <c r="AV883" s="271"/>
      <c r="AW883" s="271">
        <v>3777334</v>
      </c>
      <c r="AX883" s="271"/>
      <c r="AY883" s="271"/>
      <c r="AZ883" s="271"/>
      <c r="BA883" s="271"/>
      <c r="BB883" s="271"/>
      <c r="BC883" s="271"/>
      <c r="BD883" s="271"/>
      <c r="BE883" s="271"/>
      <c r="BF883" s="271"/>
      <c r="BG883" s="271"/>
      <c r="BH883" s="235">
        <f>IF(W883=0,0,BG883+BF883+BE883+BD883+BC883+BB883+BA883+AZ883+AY883+AX883+AW883+AV883+AU883+AT883+AS883)</f>
        <v>3777334</v>
      </c>
      <c r="BI883" s="271"/>
      <c r="BJ883" s="271"/>
      <c r="BK883" s="271"/>
      <c r="BL883" s="271"/>
      <c r="BM883" s="271">
        <v>5644800</v>
      </c>
      <c r="BN883" s="271"/>
      <c r="BO883" s="271"/>
      <c r="BP883" s="271"/>
      <c r="BQ883" s="271"/>
      <c r="BR883" s="271"/>
      <c r="BS883" s="271"/>
      <c r="BT883" s="271"/>
      <c r="BU883" s="271"/>
      <c r="BV883" s="271"/>
      <c r="BW883" s="271"/>
      <c r="BX883" s="235">
        <f>IF(AB883=0,0,BI883+BJ883+BK883+BL883+BM883+BN883+BO883+BP883+BQ883+BR883+BS883+BT883+BU883+BV883+BW883)</f>
        <v>5644800</v>
      </c>
      <c r="BY883" s="271"/>
      <c r="BZ883" s="271"/>
      <c r="CA883" s="271"/>
      <c r="CB883" s="271"/>
      <c r="CC883" s="271">
        <v>5644800</v>
      </c>
      <c r="CD883" s="271"/>
      <c r="CE883" s="271"/>
      <c r="CF883" s="271"/>
      <c r="CG883" s="271"/>
      <c r="CH883" s="271"/>
      <c r="CI883" s="271"/>
      <c r="CJ883" s="271"/>
      <c r="CK883" s="271"/>
      <c r="CL883" s="271"/>
      <c r="CM883" s="271"/>
      <c r="CN883" s="235">
        <f>IF(AG883=0,0,(BY883+BZ883+CA883+CB883+CC883+CD883+CE883+CF883+CG883+CH883+CI883+CJ883+CK883+CL883+CM883))</f>
        <v>5644800</v>
      </c>
      <c r="CO883" s="271"/>
      <c r="CP883" s="271"/>
      <c r="CQ883" s="271"/>
      <c r="CR883" s="271"/>
      <c r="CS883" s="271">
        <v>5644800</v>
      </c>
      <c r="CT883" s="271"/>
      <c r="CU883" s="271"/>
      <c r="CV883" s="271"/>
      <c r="CW883" s="271"/>
      <c r="CX883" s="271"/>
      <c r="CY883" s="271"/>
      <c r="CZ883" s="271"/>
      <c r="DA883" s="271"/>
      <c r="DB883" s="271"/>
      <c r="DC883" s="271"/>
      <c r="DD883" s="234">
        <f>IF(AL883=0,0,(CO883+CP883+CQ883+CR883+CS883+CT883+CU883+CV883+CW883+CX883+CY883+CZ883+DA883+DB883+DC883))</f>
        <v>5644800</v>
      </c>
      <c r="DE883" s="244">
        <f t="shared" si="453"/>
        <v>20711734</v>
      </c>
    </row>
    <row r="884" spans="1:110" s="98" customFormat="1" ht="119.1" customHeight="1">
      <c r="A884" s="103" t="s">
        <v>1249</v>
      </c>
      <c r="B884" s="279" t="s">
        <v>1890</v>
      </c>
      <c r="C884" s="279" t="s">
        <v>1891</v>
      </c>
      <c r="D884" s="279">
        <v>79</v>
      </c>
      <c r="E884" s="279" t="s">
        <v>1924</v>
      </c>
      <c r="F884" s="280" t="s">
        <v>437</v>
      </c>
      <c r="G884" s="279" t="s">
        <v>3695</v>
      </c>
      <c r="H884" s="279">
        <v>95</v>
      </c>
      <c r="I884" s="279" t="s">
        <v>438</v>
      </c>
      <c r="J884" s="279" t="s">
        <v>683</v>
      </c>
      <c r="K884" s="279">
        <v>10</v>
      </c>
      <c r="L884" s="279" t="s">
        <v>1925</v>
      </c>
      <c r="M884" s="279" t="s">
        <v>1930</v>
      </c>
      <c r="N884" s="279" t="s">
        <v>1931</v>
      </c>
      <c r="O884" s="279" t="s">
        <v>442</v>
      </c>
      <c r="P884" s="283">
        <v>780</v>
      </c>
      <c r="Q884" s="279" t="s">
        <v>2936</v>
      </c>
      <c r="R884" s="279" t="s">
        <v>1932</v>
      </c>
      <c r="S884" s="279" t="s">
        <v>683</v>
      </c>
      <c r="T884" s="279">
        <v>12</v>
      </c>
      <c r="U884" s="267"/>
      <c r="V884" s="267">
        <v>2</v>
      </c>
      <c r="W884" s="224">
        <v>2</v>
      </c>
      <c r="X884" s="267"/>
      <c r="Y884" s="267"/>
      <c r="Z884" s="267">
        <v>1</v>
      </c>
      <c r="AA884" s="267">
        <v>1</v>
      </c>
      <c r="AB884" s="224">
        <v>2</v>
      </c>
      <c r="AC884" s="267"/>
      <c r="AD884" s="267"/>
      <c r="AE884" s="267">
        <v>1</v>
      </c>
      <c r="AF884" s="267">
        <v>1</v>
      </c>
      <c r="AG884" s="224">
        <v>2</v>
      </c>
      <c r="AH884" s="267"/>
      <c r="AI884" s="267">
        <v>1</v>
      </c>
      <c r="AJ884" s="267">
        <v>1</v>
      </c>
      <c r="AK884" s="267"/>
      <c r="AL884" s="224">
        <v>2</v>
      </c>
      <c r="AM884" s="104">
        <v>8</v>
      </c>
      <c r="AN884" s="103" t="s">
        <v>685</v>
      </c>
      <c r="AO884" s="103" t="s">
        <v>621</v>
      </c>
      <c r="AP884" s="103" t="s">
        <v>1225</v>
      </c>
      <c r="AQ884" s="103" t="s">
        <v>1197</v>
      </c>
      <c r="AR884" s="103" t="s">
        <v>944</v>
      </c>
      <c r="AS884" s="271"/>
      <c r="AT884" s="271"/>
      <c r="AU884" s="271"/>
      <c r="AV884" s="271"/>
      <c r="AW884" s="271">
        <v>3777333</v>
      </c>
      <c r="AX884" s="271"/>
      <c r="AY884" s="271"/>
      <c r="AZ884" s="271"/>
      <c r="BA884" s="271"/>
      <c r="BB884" s="271"/>
      <c r="BC884" s="271"/>
      <c r="BD884" s="271"/>
      <c r="BE884" s="271"/>
      <c r="BF884" s="271"/>
      <c r="BG884" s="271"/>
      <c r="BH884" s="235">
        <f>IF(W884=0,0,BG884+BF884+BE884+BD884+BC884+BB884+BA884+AZ884+AY884+AX884+AW884+AV884+AU884+AT884+AS884)</f>
        <v>3777333</v>
      </c>
      <c r="BI884" s="271"/>
      <c r="BJ884" s="271"/>
      <c r="BK884" s="271"/>
      <c r="BL884" s="271"/>
      <c r="BM884" s="271">
        <v>5644800</v>
      </c>
      <c r="BN884" s="271"/>
      <c r="BO884" s="271"/>
      <c r="BP884" s="271"/>
      <c r="BQ884" s="271"/>
      <c r="BR884" s="271"/>
      <c r="BS884" s="271"/>
      <c r="BT884" s="271"/>
      <c r="BU884" s="271"/>
      <c r="BV884" s="271"/>
      <c r="BW884" s="271">
        <v>2417909714</v>
      </c>
      <c r="BX884" s="235">
        <f>IF(AB884=0,0,BI884+BJ884+BK884+BL884+BM884+BN884+BO884+BP884+BQ884+BR884+BS884+BT884+BU884+BV884+BW884)</f>
        <v>2423554514</v>
      </c>
      <c r="BY884" s="271"/>
      <c r="BZ884" s="271"/>
      <c r="CA884" s="271"/>
      <c r="CB884" s="271"/>
      <c r="CC884" s="271">
        <v>5644800</v>
      </c>
      <c r="CD884" s="271"/>
      <c r="CE884" s="271"/>
      <c r="CF884" s="271"/>
      <c r="CG884" s="271"/>
      <c r="CH884" s="271"/>
      <c r="CI884" s="271"/>
      <c r="CJ884" s="271"/>
      <c r="CK884" s="271"/>
      <c r="CL884" s="271"/>
      <c r="CM884" s="271"/>
      <c r="CN884" s="235">
        <f>IF(AG884=0,0,(BY884+BZ884+CA884+CB884+CC884+CD884+CE884+CF884+CG884+CH884+CI884+CJ884+CK884+CL884+CM884))</f>
        <v>5644800</v>
      </c>
      <c r="CO884" s="271"/>
      <c r="CP884" s="271"/>
      <c r="CQ884" s="271"/>
      <c r="CR884" s="271"/>
      <c r="CS884" s="271">
        <v>5644800</v>
      </c>
      <c r="CT884" s="271"/>
      <c r="CU884" s="271"/>
      <c r="CV884" s="271"/>
      <c r="CW884" s="271"/>
      <c r="CX884" s="271"/>
      <c r="CY884" s="271"/>
      <c r="CZ884" s="271"/>
      <c r="DA884" s="271"/>
      <c r="DB884" s="271"/>
      <c r="DC884" s="271"/>
      <c r="DD884" s="234">
        <f>IF(AL884=0,0,(CO884+CP884+CQ884+CR884+CS884+CT884+CU884+CV884+CW884+CX884+CY884+CZ884+DA884+DB884+DC884))</f>
        <v>5644800</v>
      </c>
      <c r="DE884" s="244">
        <f t="shared" si="453"/>
        <v>2438621447</v>
      </c>
    </row>
    <row r="885" spans="1:110" s="98" customFormat="1" ht="119.1" customHeight="1">
      <c r="A885" s="120" t="s">
        <v>1249</v>
      </c>
      <c r="B885" s="281" t="s">
        <v>1890</v>
      </c>
      <c r="C885" s="281" t="s">
        <v>1891</v>
      </c>
      <c r="D885" s="281">
        <v>79</v>
      </c>
      <c r="E885" s="281" t="s">
        <v>1924</v>
      </c>
      <c r="F885" s="282" t="s">
        <v>437</v>
      </c>
      <c r="G885" s="281" t="s">
        <v>3695</v>
      </c>
      <c r="H885" s="281">
        <v>95</v>
      </c>
      <c r="I885" s="281" t="s">
        <v>438</v>
      </c>
      <c r="J885" s="281" t="s">
        <v>683</v>
      </c>
      <c r="K885" s="281">
        <v>10</v>
      </c>
      <c r="L885" s="281" t="s">
        <v>1925</v>
      </c>
      <c r="M885" s="281" t="s">
        <v>1930</v>
      </c>
      <c r="N885" s="281" t="s">
        <v>1931</v>
      </c>
      <c r="O885" s="281" t="s">
        <v>442</v>
      </c>
      <c r="P885" s="283">
        <v>781</v>
      </c>
      <c r="Q885" s="281" t="s">
        <v>2937</v>
      </c>
      <c r="R885" s="281" t="s">
        <v>1933</v>
      </c>
      <c r="S885" s="281" t="s">
        <v>683</v>
      </c>
      <c r="T885" s="281">
        <v>0</v>
      </c>
      <c r="U885" s="275"/>
      <c r="V885" s="275">
        <v>1</v>
      </c>
      <c r="W885" s="225">
        <v>1</v>
      </c>
      <c r="X885" s="275"/>
      <c r="Y885" s="275">
        <v>1</v>
      </c>
      <c r="Z885" s="275">
        <v>1</v>
      </c>
      <c r="AA885" s="275">
        <v>1</v>
      </c>
      <c r="AB885" s="225">
        <v>3</v>
      </c>
      <c r="AC885" s="275"/>
      <c r="AD885" s="275">
        <v>1</v>
      </c>
      <c r="AE885" s="275">
        <v>1</v>
      </c>
      <c r="AF885" s="275">
        <v>1</v>
      </c>
      <c r="AG885" s="225">
        <v>3</v>
      </c>
      <c r="AH885" s="275"/>
      <c r="AI885" s="275">
        <v>1</v>
      </c>
      <c r="AJ885" s="275"/>
      <c r="AK885" s="275"/>
      <c r="AL885" s="225">
        <v>1</v>
      </c>
      <c r="AM885" s="119">
        <v>8</v>
      </c>
      <c r="AN885" s="120" t="s">
        <v>685</v>
      </c>
      <c r="AO885" s="120" t="s">
        <v>621</v>
      </c>
      <c r="AP885" s="120" t="s">
        <v>1225</v>
      </c>
      <c r="AQ885" s="120" t="s">
        <v>1197</v>
      </c>
      <c r="AR885" s="120" t="s">
        <v>944</v>
      </c>
      <c r="AS885" s="276"/>
      <c r="AT885" s="276"/>
      <c r="AU885" s="276"/>
      <c r="AV885" s="276"/>
      <c r="AW885" s="276">
        <v>3777333</v>
      </c>
      <c r="AX885" s="276"/>
      <c r="AY885" s="276"/>
      <c r="AZ885" s="276"/>
      <c r="BA885" s="276"/>
      <c r="BB885" s="276"/>
      <c r="BC885" s="276"/>
      <c r="BD885" s="276"/>
      <c r="BE885" s="276"/>
      <c r="BF885" s="276"/>
      <c r="BG885" s="276"/>
      <c r="BH885" s="236">
        <f>IF(W885=0,0,BG885+BF885+BE885+BD885+BC885+BB885+BA885+AZ885+AY885+AX885+AW885+AV885+AU885+AT885+AS885)</f>
        <v>3777333</v>
      </c>
      <c r="BI885" s="276"/>
      <c r="BJ885" s="276"/>
      <c r="BK885" s="276"/>
      <c r="BL885" s="276"/>
      <c r="BM885" s="276">
        <v>5644800</v>
      </c>
      <c r="BN885" s="276"/>
      <c r="BO885" s="276"/>
      <c r="BP885" s="276"/>
      <c r="BQ885" s="276"/>
      <c r="BR885" s="276"/>
      <c r="BS885" s="276"/>
      <c r="BT885" s="276"/>
      <c r="BU885" s="276"/>
      <c r="BV885" s="276"/>
      <c r="BW885" s="276"/>
      <c r="BX885" s="236">
        <f>IF(AB885=0,0,BI885+BJ885+BK885+BL885+BM885+BN885+BO885+BP885+BQ885+BR885+BS885+BT885+BU885+BV885+BW885)</f>
        <v>5644800</v>
      </c>
      <c r="BY885" s="276"/>
      <c r="BZ885" s="276"/>
      <c r="CA885" s="276"/>
      <c r="CB885" s="276"/>
      <c r="CC885" s="276">
        <v>5644800</v>
      </c>
      <c r="CD885" s="276"/>
      <c r="CE885" s="276"/>
      <c r="CF885" s="276"/>
      <c r="CG885" s="276"/>
      <c r="CH885" s="276"/>
      <c r="CI885" s="276"/>
      <c r="CJ885" s="276"/>
      <c r="CK885" s="276"/>
      <c r="CL885" s="276"/>
      <c r="CM885" s="276"/>
      <c r="CN885" s="236">
        <f>IF(AG885=0,0,(BY885+BZ885+CA885+CB885+CC885+CD885+CE885+CF885+CG885+CH885+CI885+CJ885+CK885+CL885+CM885))</f>
        <v>5644800</v>
      </c>
      <c r="CO885" s="276"/>
      <c r="CP885" s="276"/>
      <c r="CQ885" s="276"/>
      <c r="CR885" s="276"/>
      <c r="CS885" s="276">
        <v>5644800</v>
      </c>
      <c r="CT885" s="276"/>
      <c r="CU885" s="276"/>
      <c r="CV885" s="276"/>
      <c r="CW885" s="276"/>
      <c r="CX885" s="276"/>
      <c r="CY885" s="276"/>
      <c r="CZ885" s="276"/>
      <c r="DA885" s="276"/>
      <c r="DB885" s="276"/>
      <c r="DC885" s="276"/>
      <c r="DD885" s="240">
        <f>IF(AL885=0,0,(CO885+CP885+CQ885+CR885+CS885+CT885+CU885+CV885+CW885+CX885+CY885+CZ885+DA885+DB885+DC885))</f>
        <v>5644800</v>
      </c>
      <c r="DE885" s="245">
        <f t="shared" si="453"/>
        <v>20711733</v>
      </c>
    </row>
    <row r="886" spans="1:110" ht="65.099999999999994" customHeight="1">
      <c r="A886" s="134" t="s">
        <v>1249</v>
      </c>
      <c r="B886" s="134" t="s">
        <v>1890</v>
      </c>
      <c r="C886" s="134" t="s">
        <v>1891</v>
      </c>
      <c r="D886" s="148">
        <v>79</v>
      </c>
      <c r="E886" s="148" t="s">
        <v>1924</v>
      </c>
      <c r="F886" s="149"/>
      <c r="G886" s="150"/>
      <c r="H886" s="151"/>
      <c r="I886" s="151"/>
      <c r="J886" s="151"/>
      <c r="K886" s="152"/>
      <c r="L886" s="151"/>
      <c r="M886" s="151"/>
      <c r="N886" s="151"/>
      <c r="O886" s="151"/>
      <c r="P886" s="151"/>
      <c r="Q886" s="150"/>
      <c r="R886" s="153"/>
      <c r="S886" s="151"/>
      <c r="T886" s="151"/>
      <c r="U886" s="154"/>
      <c r="V886" s="154"/>
      <c r="W886" s="152"/>
      <c r="X886" s="154"/>
      <c r="Y886" s="154"/>
      <c r="Z886" s="154"/>
      <c r="AA886" s="154"/>
      <c r="AB886" s="152"/>
      <c r="AC886" s="154"/>
      <c r="AD886" s="154"/>
      <c r="AE886" s="154"/>
      <c r="AF886" s="154"/>
      <c r="AG886" s="152"/>
      <c r="AH886" s="154"/>
      <c r="AI886" s="154"/>
      <c r="AJ886" s="154"/>
      <c r="AK886" s="154"/>
      <c r="AL886" s="152"/>
      <c r="AM886" s="155"/>
      <c r="AN886" s="156"/>
      <c r="AO886" s="156"/>
      <c r="AP886" s="157"/>
      <c r="AQ886" s="157"/>
      <c r="AR886" s="158"/>
      <c r="AS886" s="132">
        <f t="shared" ref="AS886:BG886" si="454">SUM(AS881:AS885)</f>
        <v>0</v>
      </c>
      <c r="AT886" s="132">
        <f t="shared" si="454"/>
        <v>0</v>
      </c>
      <c r="AU886" s="132">
        <f t="shared" si="454"/>
        <v>0</v>
      </c>
      <c r="AV886" s="132">
        <f t="shared" si="454"/>
        <v>0</v>
      </c>
      <c r="AW886" s="132">
        <f t="shared" si="454"/>
        <v>11332000</v>
      </c>
      <c r="AX886" s="132">
        <f t="shared" si="454"/>
        <v>0</v>
      </c>
      <c r="AY886" s="132">
        <f t="shared" si="454"/>
        <v>0</v>
      </c>
      <c r="AZ886" s="132">
        <f t="shared" si="454"/>
        <v>0</v>
      </c>
      <c r="BA886" s="132">
        <f t="shared" si="454"/>
        <v>0</v>
      </c>
      <c r="BB886" s="132">
        <f t="shared" si="454"/>
        <v>0</v>
      </c>
      <c r="BC886" s="132">
        <f t="shared" si="454"/>
        <v>0</v>
      </c>
      <c r="BD886" s="132">
        <f t="shared" si="454"/>
        <v>0</v>
      </c>
      <c r="BE886" s="132">
        <f t="shared" si="454"/>
        <v>0</v>
      </c>
      <c r="BF886" s="132">
        <f t="shared" si="454"/>
        <v>0</v>
      </c>
      <c r="BG886" s="132">
        <f t="shared" si="454"/>
        <v>0</v>
      </c>
      <c r="BH886" s="133">
        <f>IF(OR(AND(BH881=0,W881&lt;&gt;0),AND(BH882=0,W882&lt;&gt;0),AND(BH883=0,W883&lt;&gt;0),AND(BH884=0,W884&lt;&gt;0),AND(BH885=0,W885&lt;&gt;0)),"NO DEBEN QUEDAR CELDAS EN ROJO",SUM(BH881:BH885))</f>
        <v>11332000</v>
      </c>
      <c r="BI886" s="132">
        <f t="shared" ref="BI886:BW886" si="455">SUM(BI881:BI885)</f>
        <v>0</v>
      </c>
      <c r="BJ886" s="132">
        <f t="shared" si="455"/>
        <v>0</v>
      </c>
      <c r="BK886" s="132">
        <f t="shared" si="455"/>
        <v>0</v>
      </c>
      <c r="BL886" s="132">
        <f t="shared" si="455"/>
        <v>0</v>
      </c>
      <c r="BM886" s="132">
        <f t="shared" si="455"/>
        <v>28224000</v>
      </c>
      <c r="BN886" s="132">
        <f t="shared" si="455"/>
        <v>0</v>
      </c>
      <c r="BO886" s="132">
        <f t="shared" si="455"/>
        <v>0</v>
      </c>
      <c r="BP886" s="132">
        <f t="shared" si="455"/>
        <v>0</v>
      </c>
      <c r="BQ886" s="132">
        <f t="shared" si="455"/>
        <v>0</v>
      </c>
      <c r="BR886" s="132">
        <f t="shared" si="455"/>
        <v>0</v>
      </c>
      <c r="BS886" s="132">
        <f t="shared" si="455"/>
        <v>0</v>
      </c>
      <c r="BT886" s="132">
        <f t="shared" si="455"/>
        <v>0</v>
      </c>
      <c r="BU886" s="132">
        <f t="shared" si="455"/>
        <v>0</v>
      </c>
      <c r="BV886" s="132">
        <f t="shared" si="455"/>
        <v>0</v>
      </c>
      <c r="BW886" s="132">
        <f t="shared" si="455"/>
        <v>4835819427</v>
      </c>
      <c r="BX886" s="133">
        <f>IF(OR(AND(BX881=0,AB881&lt;&gt;0),AND(BX882=0,AB882&lt;&gt;0),AND(BX883=0,AB883&lt;&gt;0),AND(BX884=0,AB884&lt;&gt;0),AND(BX885=0,AB885&lt;&gt;0)),"NO DEBEN QUEDAR CELDAS EN ROJO",SUM(BX881:BX885))</f>
        <v>4864043427</v>
      </c>
      <c r="BY886" s="132">
        <f t="shared" ref="BY886:CM886" si="456">SUM(BY881:BY885)</f>
        <v>0</v>
      </c>
      <c r="BZ886" s="132">
        <f t="shared" si="456"/>
        <v>0</v>
      </c>
      <c r="CA886" s="132">
        <f t="shared" si="456"/>
        <v>0</v>
      </c>
      <c r="CB886" s="132">
        <f t="shared" si="456"/>
        <v>0</v>
      </c>
      <c r="CC886" s="132">
        <f t="shared" si="456"/>
        <v>28224000</v>
      </c>
      <c r="CD886" s="132">
        <f t="shared" si="456"/>
        <v>0</v>
      </c>
      <c r="CE886" s="132">
        <f t="shared" si="456"/>
        <v>0</v>
      </c>
      <c r="CF886" s="132">
        <f t="shared" si="456"/>
        <v>0</v>
      </c>
      <c r="CG886" s="132">
        <f t="shared" si="456"/>
        <v>0</v>
      </c>
      <c r="CH886" s="132">
        <f t="shared" si="456"/>
        <v>0</v>
      </c>
      <c r="CI886" s="132">
        <f t="shared" si="456"/>
        <v>0</v>
      </c>
      <c r="CJ886" s="132">
        <f t="shared" si="456"/>
        <v>0</v>
      </c>
      <c r="CK886" s="132">
        <f t="shared" si="456"/>
        <v>0</v>
      </c>
      <c r="CL886" s="132">
        <f t="shared" si="456"/>
        <v>0</v>
      </c>
      <c r="CM886" s="132">
        <f t="shared" si="456"/>
        <v>0</v>
      </c>
      <c r="CN886" s="133">
        <f>IF(OR(AND(CN881=0,AG881&lt;&gt;0),AND(CN882=0,AG882&lt;&gt;0),AND(CN883=0,AG883&lt;&gt;0),AND(CN884=0,AG884&lt;&gt;0),AND(CN885=0,AG885&lt;&gt;0)),"NO DEBEN QUEDAR CELDAS EN ROJO",SUM(CN881:CN885))</f>
        <v>28224000</v>
      </c>
      <c r="CO886" s="132">
        <f t="shared" ref="CO886:DC886" si="457">SUM(CO881:CO885)</f>
        <v>0</v>
      </c>
      <c r="CP886" s="132">
        <f t="shared" si="457"/>
        <v>0</v>
      </c>
      <c r="CQ886" s="132">
        <f t="shared" si="457"/>
        <v>0</v>
      </c>
      <c r="CR886" s="132">
        <f t="shared" si="457"/>
        <v>0</v>
      </c>
      <c r="CS886" s="132">
        <f t="shared" si="457"/>
        <v>28224000</v>
      </c>
      <c r="CT886" s="132">
        <f t="shared" si="457"/>
        <v>0</v>
      </c>
      <c r="CU886" s="132">
        <f t="shared" si="457"/>
        <v>0</v>
      </c>
      <c r="CV886" s="132">
        <f t="shared" si="457"/>
        <v>0</v>
      </c>
      <c r="CW886" s="132">
        <f t="shared" si="457"/>
        <v>0</v>
      </c>
      <c r="CX886" s="132">
        <f t="shared" si="457"/>
        <v>0</v>
      </c>
      <c r="CY886" s="132">
        <f t="shared" si="457"/>
        <v>0</v>
      </c>
      <c r="CZ886" s="132">
        <f t="shared" si="457"/>
        <v>0</v>
      </c>
      <c r="DA886" s="132">
        <f t="shared" si="457"/>
        <v>0</v>
      </c>
      <c r="DB886" s="132">
        <f t="shared" si="457"/>
        <v>0</v>
      </c>
      <c r="DC886" s="132">
        <f t="shared" si="457"/>
        <v>0</v>
      </c>
      <c r="DD886" s="133">
        <f>IF(OR(AND(DD881=0,AL881&lt;&gt;0),AND(DD882=0,AL882&lt;&gt;0),AND(DD883=0,AL883&lt;&gt;0),AND(DD884=0,AL884&lt;&gt;0),AND(DD885=0,AL885&lt;&gt;0)),"NO DEBEN QUEDAR CELDAS EN ROJO",SUM(DD881:DD885))</f>
        <v>28224000</v>
      </c>
      <c r="DE886" s="133">
        <f>SUM(DE881:DE885)</f>
        <v>4931823427</v>
      </c>
      <c r="DF886" s="101"/>
    </row>
    <row r="887" spans="1:110" s="117" customFormat="1" ht="55.05" customHeight="1">
      <c r="A887" s="124" t="s">
        <v>1249</v>
      </c>
      <c r="B887" s="125" t="s">
        <v>1890</v>
      </c>
      <c r="C887" s="145" t="s">
        <v>1891</v>
      </c>
      <c r="D887" s="160"/>
      <c r="E887" s="161"/>
      <c r="F887" s="162"/>
      <c r="G887" s="163"/>
      <c r="H887" s="161"/>
      <c r="I887" s="161"/>
      <c r="J887" s="161"/>
      <c r="K887" s="161"/>
      <c r="L887" s="161"/>
      <c r="M887" s="161"/>
      <c r="N887" s="161"/>
      <c r="O887" s="161"/>
      <c r="P887" s="161"/>
      <c r="Q887" s="163"/>
      <c r="R887" s="164"/>
      <c r="S887" s="161"/>
      <c r="T887" s="161"/>
      <c r="U887" s="165"/>
      <c r="V887" s="165"/>
      <c r="W887" s="166"/>
      <c r="X887" s="165"/>
      <c r="Y887" s="165"/>
      <c r="Z887" s="165"/>
      <c r="AA887" s="165"/>
      <c r="AB887" s="166"/>
      <c r="AC887" s="165"/>
      <c r="AD887" s="165"/>
      <c r="AE887" s="165"/>
      <c r="AF887" s="165"/>
      <c r="AG887" s="166"/>
      <c r="AH887" s="165"/>
      <c r="AI887" s="165"/>
      <c r="AJ887" s="165"/>
      <c r="AK887" s="165"/>
      <c r="AL887" s="166"/>
      <c r="AM887" s="167"/>
      <c r="AN887" s="168"/>
      <c r="AO887" s="168"/>
      <c r="AP887" s="163"/>
      <c r="AQ887" s="163"/>
      <c r="AR887" s="169"/>
      <c r="AS887" s="147">
        <f>SUM(AS886+AS880+AS874)</f>
        <v>0</v>
      </c>
      <c r="AT887" s="130">
        <f t="shared" ref="AT887:DE887" si="458">SUM(AT886+AT880+AT874)</f>
        <v>0</v>
      </c>
      <c r="AU887" s="130">
        <f t="shared" si="458"/>
        <v>0</v>
      </c>
      <c r="AV887" s="130">
        <f t="shared" si="458"/>
        <v>70000000</v>
      </c>
      <c r="AW887" s="130">
        <f t="shared" si="458"/>
        <v>147316000</v>
      </c>
      <c r="AX887" s="130">
        <f t="shared" si="458"/>
        <v>0</v>
      </c>
      <c r="AY887" s="130">
        <f t="shared" si="458"/>
        <v>0</v>
      </c>
      <c r="AZ887" s="130">
        <f t="shared" si="458"/>
        <v>0</v>
      </c>
      <c r="BA887" s="130">
        <f t="shared" si="458"/>
        <v>0</v>
      </c>
      <c r="BB887" s="130">
        <f t="shared" si="458"/>
        <v>0</v>
      </c>
      <c r="BC887" s="130">
        <f t="shared" si="458"/>
        <v>0</v>
      </c>
      <c r="BD887" s="130">
        <f t="shared" si="458"/>
        <v>0</v>
      </c>
      <c r="BE887" s="130">
        <f t="shared" si="458"/>
        <v>0</v>
      </c>
      <c r="BF887" s="130">
        <f t="shared" si="458"/>
        <v>0</v>
      </c>
      <c r="BG887" s="130">
        <f t="shared" si="458"/>
        <v>0</v>
      </c>
      <c r="BH887" s="130">
        <f t="shared" si="458"/>
        <v>217316000</v>
      </c>
      <c r="BI887" s="130">
        <f t="shared" si="458"/>
        <v>0</v>
      </c>
      <c r="BJ887" s="130">
        <f t="shared" si="458"/>
        <v>0</v>
      </c>
      <c r="BK887" s="130">
        <f t="shared" si="458"/>
        <v>0</v>
      </c>
      <c r="BL887" s="130">
        <f t="shared" si="458"/>
        <v>0</v>
      </c>
      <c r="BM887" s="130">
        <f t="shared" si="458"/>
        <v>225792000</v>
      </c>
      <c r="BN887" s="130">
        <f t="shared" si="458"/>
        <v>0</v>
      </c>
      <c r="BO887" s="130">
        <f t="shared" si="458"/>
        <v>0</v>
      </c>
      <c r="BP887" s="130">
        <f t="shared" si="458"/>
        <v>0</v>
      </c>
      <c r="BQ887" s="130">
        <f t="shared" si="458"/>
        <v>0</v>
      </c>
      <c r="BR887" s="130">
        <f t="shared" si="458"/>
        <v>0</v>
      </c>
      <c r="BS887" s="130">
        <f t="shared" si="458"/>
        <v>0</v>
      </c>
      <c r="BT887" s="130">
        <f t="shared" si="458"/>
        <v>0</v>
      </c>
      <c r="BU887" s="130">
        <f t="shared" si="458"/>
        <v>0</v>
      </c>
      <c r="BV887" s="130">
        <f t="shared" si="458"/>
        <v>0</v>
      </c>
      <c r="BW887" s="130">
        <f t="shared" si="458"/>
        <v>4835819427</v>
      </c>
      <c r="BX887" s="130">
        <f t="shared" si="458"/>
        <v>5061611427</v>
      </c>
      <c r="BY887" s="130">
        <f t="shared" si="458"/>
        <v>0</v>
      </c>
      <c r="BZ887" s="130">
        <f t="shared" si="458"/>
        <v>0</v>
      </c>
      <c r="CA887" s="130">
        <f t="shared" si="458"/>
        <v>0</v>
      </c>
      <c r="CB887" s="130">
        <f t="shared" si="458"/>
        <v>0</v>
      </c>
      <c r="CC887" s="130">
        <f t="shared" si="458"/>
        <v>225792000</v>
      </c>
      <c r="CD887" s="130">
        <f t="shared" si="458"/>
        <v>0</v>
      </c>
      <c r="CE887" s="130">
        <f t="shared" si="458"/>
        <v>0</v>
      </c>
      <c r="CF887" s="130">
        <f t="shared" si="458"/>
        <v>0</v>
      </c>
      <c r="CG887" s="130">
        <f t="shared" si="458"/>
        <v>0</v>
      </c>
      <c r="CH887" s="130">
        <f t="shared" si="458"/>
        <v>0</v>
      </c>
      <c r="CI887" s="130">
        <f t="shared" si="458"/>
        <v>0</v>
      </c>
      <c r="CJ887" s="130">
        <f t="shared" si="458"/>
        <v>0</v>
      </c>
      <c r="CK887" s="130">
        <f t="shared" si="458"/>
        <v>0</v>
      </c>
      <c r="CL887" s="130">
        <f t="shared" si="458"/>
        <v>0</v>
      </c>
      <c r="CM887" s="130">
        <f t="shared" si="458"/>
        <v>3000000000</v>
      </c>
      <c r="CN887" s="130">
        <f t="shared" si="458"/>
        <v>3225792000</v>
      </c>
      <c r="CO887" s="130">
        <f t="shared" si="458"/>
        <v>0</v>
      </c>
      <c r="CP887" s="130">
        <f t="shared" si="458"/>
        <v>0</v>
      </c>
      <c r="CQ887" s="130">
        <f t="shared" si="458"/>
        <v>0</v>
      </c>
      <c r="CR887" s="130">
        <f t="shared" si="458"/>
        <v>0</v>
      </c>
      <c r="CS887" s="130">
        <f t="shared" si="458"/>
        <v>225792000</v>
      </c>
      <c r="CT887" s="130">
        <f t="shared" si="458"/>
        <v>0</v>
      </c>
      <c r="CU887" s="130">
        <f t="shared" si="458"/>
        <v>0</v>
      </c>
      <c r="CV887" s="130">
        <f t="shared" si="458"/>
        <v>0</v>
      </c>
      <c r="CW887" s="130">
        <f t="shared" si="458"/>
        <v>0</v>
      </c>
      <c r="CX887" s="130">
        <f t="shared" si="458"/>
        <v>0</v>
      </c>
      <c r="CY887" s="130">
        <f t="shared" si="458"/>
        <v>0</v>
      </c>
      <c r="CZ887" s="130">
        <f t="shared" si="458"/>
        <v>0</v>
      </c>
      <c r="DA887" s="130">
        <f t="shared" si="458"/>
        <v>0</v>
      </c>
      <c r="DB887" s="130">
        <f t="shared" si="458"/>
        <v>0</v>
      </c>
      <c r="DC887" s="130">
        <f t="shared" si="458"/>
        <v>0</v>
      </c>
      <c r="DD887" s="130">
        <f t="shared" si="458"/>
        <v>225792000</v>
      </c>
      <c r="DE887" s="130">
        <f t="shared" si="458"/>
        <v>8730511427</v>
      </c>
    </row>
    <row r="888" spans="1:110" s="98" customFormat="1" ht="135" customHeight="1">
      <c r="A888" s="103" t="s">
        <v>1240</v>
      </c>
      <c r="B888" s="103" t="s">
        <v>1890</v>
      </c>
      <c r="C888" s="103" t="s">
        <v>1934</v>
      </c>
      <c r="D888" s="103">
        <v>80</v>
      </c>
      <c r="E888" s="103" t="s">
        <v>1935</v>
      </c>
      <c r="F888" s="278" t="s">
        <v>443</v>
      </c>
      <c r="G888" s="103" t="s">
        <v>3851</v>
      </c>
      <c r="H888" s="103">
        <v>96</v>
      </c>
      <c r="I888" s="103" t="s">
        <v>1936</v>
      </c>
      <c r="J888" s="103" t="s">
        <v>689</v>
      </c>
      <c r="K888" s="103">
        <v>34.020000000000003</v>
      </c>
      <c r="L888" s="103" t="s">
        <v>1937</v>
      </c>
      <c r="M888" s="103" t="s">
        <v>1941</v>
      </c>
      <c r="N888" s="103" t="s">
        <v>1939</v>
      </c>
      <c r="O888" s="103" t="s">
        <v>445</v>
      </c>
      <c r="P888" s="283">
        <v>782</v>
      </c>
      <c r="Q888" s="103" t="s">
        <v>3852</v>
      </c>
      <c r="R888" s="103" t="s">
        <v>446</v>
      </c>
      <c r="S888" s="103" t="s">
        <v>683</v>
      </c>
      <c r="T888" s="103">
        <v>0</v>
      </c>
      <c r="U888" s="267"/>
      <c r="V888" s="267">
        <v>0.1</v>
      </c>
      <c r="W888" s="224">
        <v>0.1</v>
      </c>
      <c r="X888" s="267"/>
      <c r="Y888" s="267"/>
      <c r="Z888" s="267"/>
      <c r="AA888" s="267"/>
      <c r="AB888" s="224">
        <v>0</v>
      </c>
      <c r="AC888" s="267"/>
      <c r="AD888" s="267"/>
      <c r="AE888" s="267"/>
      <c r="AF888" s="267"/>
      <c r="AG888" s="224">
        <v>0</v>
      </c>
      <c r="AH888" s="267"/>
      <c r="AI888" s="267"/>
      <c r="AJ888" s="267">
        <v>0.9</v>
      </c>
      <c r="AK888" s="267"/>
      <c r="AL888" s="224">
        <v>0.9</v>
      </c>
      <c r="AM888" s="102">
        <v>1</v>
      </c>
      <c r="AN888" s="103" t="s">
        <v>685</v>
      </c>
      <c r="AO888" s="103" t="s">
        <v>615</v>
      </c>
      <c r="AP888" s="103" t="s">
        <v>1227</v>
      </c>
      <c r="AQ888" s="103" t="s">
        <v>1207</v>
      </c>
      <c r="AR888" s="103" t="s">
        <v>944</v>
      </c>
      <c r="AS888" s="268"/>
      <c r="AT888" s="268"/>
      <c r="AU888" s="268"/>
      <c r="AV888" s="268"/>
      <c r="AW888" s="268"/>
      <c r="AX888" s="268"/>
      <c r="AY888" s="268"/>
      <c r="AZ888" s="268"/>
      <c r="BA888" s="268"/>
      <c r="BB888" s="268"/>
      <c r="BC888" s="268"/>
      <c r="BD888" s="268"/>
      <c r="BE888" s="268"/>
      <c r="BF888" s="268"/>
      <c r="BG888" s="268">
        <v>10000000000</v>
      </c>
      <c r="BH888" s="234">
        <v>10000000000</v>
      </c>
      <c r="BI888" s="268"/>
      <c r="BJ888" s="268"/>
      <c r="BK888" s="268"/>
      <c r="BL888" s="268"/>
      <c r="BM888" s="268"/>
      <c r="BN888" s="268"/>
      <c r="BO888" s="268"/>
      <c r="BP888" s="268"/>
      <c r="BQ888" s="268"/>
      <c r="BR888" s="268"/>
      <c r="BS888" s="268"/>
      <c r="BT888" s="268"/>
      <c r="BU888" s="268"/>
      <c r="BV888" s="268"/>
      <c r="BW888" s="268"/>
      <c r="BX888" s="234">
        <v>0</v>
      </c>
      <c r="BY888" s="268"/>
      <c r="BZ888" s="268"/>
      <c r="CA888" s="268"/>
      <c r="CB888" s="268"/>
      <c r="CC888" s="268"/>
      <c r="CD888" s="268"/>
      <c r="CE888" s="268"/>
      <c r="CF888" s="268"/>
      <c r="CG888" s="268"/>
      <c r="CH888" s="268"/>
      <c r="CI888" s="268"/>
      <c r="CJ888" s="268"/>
      <c r="CK888" s="268"/>
      <c r="CL888" s="268"/>
      <c r="CM888" s="268"/>
      <c r="CN888" s="234">
        <v>0</v>
      </c>
      <c r="CO888" s="268"/>
      <c r="CP888" s="268"/>
      <c r="CQ888" s="268"/>
      <c r="CR888" s="268"/>
      <c r="CS888" s="268"/>
      <c r="CT888" s="268"/>
      <c r="CU888" s="268"/>
      <c r="CV888" s="268"/>
      <c r="CW888" s="268"/>
      <c r="CX888" s="268"/>
      <c r="CY888" s="268"/>
      <c r="CZ888" s="268"/>
      <c r="DA888" s="268"/>
      <c r="DB888" s="268"/>
      <c r="DC888" s="268">
        <v>1500000000</v>
      </c>
      <c r="DD888" s="234">
        <v>1500000000</v>
      </c>
      <c r="DE888" s="243">
        <v>11500000000</v>
      </c>
    </row>
    <row r="889" spans="1:110" s="98" customFormat="1" ht="135" customHeight="1">
      <c r="A889" s="103" t="s">
        <v>1240</v>
      </c>
      <c r="B889" s="279" t="s">
        <v>1890</v>
      </c>
      <c r="C889" s="279" t="s">
        <v>1934</v>
      </c>
      <c r="D889" s="279">
        <v>80</v>
      </c>
      <c r="E889" s="279" t="s">
        <v>1935</v>
      </c>
      <c r="F889" s="280" t="s">
        <v>443</v>
      </c>
      <c r="G889" s="279" t="s">
        <v>3851</v>
      </c>
      <c r="H889" s="279">
        <v>96</v>
      </c>
      <c r="I889" s="279" t="s">
        <v>1936</v>
      </c>
      <c r="J889" s="279" t="s">
        <v>689</v>
      </c>
      <c r="K889" s="279">
        <v>34.020000000000003</v>
      </c>
      <c r="L889" s="279" t="s">
        <v>1937</v>
      </c>
      <c r="M889" s="279" t="s">
        <v>1941</v>
      </c>
      <c r="N889" s="279" t="s">
        <v>1939</v>
      </c>
      <c r="O889" s="279" t="s">
        <v>445</v>
      </c>
      <c r="P889" s="283">
        <v>783</v>
      </c>
      <c r="Q889" s="279" t="s">
        <v>3853</v>
      </c>
      <c r="R889" s="279" t="s">
        <v>1940</v>
      </c>
      <c r="S889" s="279" t="s">
        <v>683</v>
      </c>
      <c r="T889" s="279">
        <v>0</v>
      </c>
      <c r="U889" s="267"/>
      <c r="V889" s="267"/>
      <c r="W889" s="224">
        <v>0</v>
      </c>
      <c r="X889" s="267"/>
      <c r="Y889" s="267"/>
      <c r="Z889" s="267"/>
      <c r="AA889" s="267"/>
      <c r="AB889" s="224">
        <v>0</v>
      </c>
      <c r="AC889" s="267"/>
      <c r="AD889" s="267"/>
      <c r="AE889" s="267"/>
      <c r="AF889" s="267"/>
      <c r="AG889" s="224">
        <v>0</v>
      </c>
      <c r="AH889" s="267"/>
      <c r="AI889" s="267"/>
      <c r="AJ889" s="267"/>
      <c r="AK889" s="267">
        <v>1</v>
      </c>
      <c r="AL889" s="224">
        <v>1</v>
      </c>
      <c r="AM889" s="104">
        <v>1</v>
      </c>
      <c r="AN889" s="103" t="s">
        <v>685</v>
      </c>
      <c r="AO889" s="103" t="s">
        <v>615</v>
      </c>
      <c r="AP889" s="103" t="s">
        <v>1227</v>
      </c>
      <c r="AQ889" s="103" t="s">
        <v>1207</v>
      </c>
      <c r="AR889" s="103" t="s">
        <v>944</v>
      </c>
      <c r="AS889" s="271"/>
      <c r="AT889" s="271"/>
      <c r="AU889" s="271"/>
      <c r="AV889" s="271"/>
      <c r="AW889" s="271"/>
      <c r="AX889" s="271"/>
      <c r="AY889" s="271"/>
      <c r="AZ889" s="271"/>
      <c r="BA889" s="271"/>
      <c r="BB889" s="271"/>
      <c r="BC889" s="271"/>
      <c r="BD889" s="271"/>
      <c r="BE889" s="271"/>
      <c r="BF889" s="271"/>
      <c r="BG889" s="271"/>
      <c r="BH889" s="235">
        <v>0</v>
      </c>
      <c r="BI889" s="271"/>
      <c r="BJ889" s="271"/>
      <c r="BK889" s="271"/>
      <c r="BL889" s="271"/>
      <c r="BM889" s="271"/>
      <c r="BN889" s="271"/>
      <c r="BO889" s="271"/>
      <c r="BP889" s="271"/>
      <c r="BQ889" s="271"/>
      <c r="BR889" s="271"/>
      <c r="BS889" s="271"/>
      <c r="BT889" s="271"/>
      <c r="BU889" s="271"/>
      <c r="BV889" s="271"/>
      <c r="BW889" s="271"/>
      <c r="BX889" s="235">
        <v>0</v>
      </c>
      <c r="BY889" s="271"/>
      <c r="BZ889" s="271"/>
      <c r="CA889" s="271"/>
      <c r="CB889" s="271"/>
      <c r="CC889" s="271"/>
      <c r="CD889" s="271"/>
      <c r="CE889" s="271"/>
      <c r="CF889" s="271"/>
      <c r="CG889" s="271"/>
      <c r="CH889" s="271"/>
      <c r="CI889" s="271"/>
      <c r="CJ889" s="271"/>
      <c r="CK889" s="271"/>
      <c r="CL889" s="271"/>
      <c r="CM889" s="271"/>
      <c r="CN889" s="235">
        <v>0</v>
      </c>
      <c r="CO889" s="271"/>
      <c r="CP889" s="271"/>
      <c r="CQ889" s="271"/>
      <c r="CR889" s="271"/>
      <c r="CS889" s="271"/>
      <c r="CT889" s="271"/>
      <c r="CU889" s="271"/>
      <c r="CV889" s="271"/>
      <c r="CW889" s="271"/>
      <c r="CX889" s="271"/>
      <c r="CY889" s="271"/>
      <c r="CZ889" s="271"/>
      <c r="DA889" s="271"/>
      <c r="DB889" s="271"/>
      <c r="DC889" s="271">
        <v>100000000</v>
      </c>
      <c r="DD889" s="234">
        <v>100000000</v>
      </c>
      <c r="DE889" s="244">
        <v>100000000</v>
      </c>
    </row>
    <row r="890" spans="1:110" s="98" customFormat="1" ht="135" customHeight="1">
      <c r="A890" s="103" t="s">
        <v>1240</v>
      </c>
      <c r="B890" s="279" t="s">
        <v>1890</v>
      </c>
      <c r="C890" s="279" t="s">
        <v>1934</v>
      </c>
      <c r="D890" s="279">
        <v>80</v>
      </c>
      <c r="E890" s="279" t="s">
        <v>1935</v>
      </c>
      <c r="F890" s="280" t="s">
        <v>443</v>
      </c>
      <c r="G890" s="279" t="s">
        <v>3851</v>
      </c>
      <c r="H890" s="279">
        <v>96</v>
      </c>
      <c r="I890" s="279" t="s">
        <v>1936</v>
      </c>
      <c r="J890" s="279" t="s">
        <v>689</v>
      </c>
      <c r="K890" s="279">
        <v>34.020000000000003</v>
      </c>
      <c r="L890" s="279" t="s">
        <v>1937</v>
      </c>
      <c r="M890" s="279" t="s">
        <v>1941</v>
      </c>
      <c r="N890" s="279" t="s">
        <v>1939</v>
      </c>
      <c r="O890" s="279" t="s">
        <v>445</v>
      </c>
      <c r="P890" s="283">
        <v>784</v>
      </c>
      <c r="Q890" s="279" t="s">
        <v>3854</v>
      </c>
      <c r="R890" s="279" t="s">
        <v>447</v>
      </c>
      <c r="S890" s="279" t="s">
        <v>683</v>
      </c>
      <c r="T890" s="279">
        <v>1</v>
      </c>
      <c r="U890" s="267"/>
      <c r="V890" s="267">
        <v>0.2</v>
      </c>
      <c r="W890" s="224">
        <v>0.2</v>
      </c>
      <c r="X890" s="267"/>
      <c r="Y890" s="267"/>
      <c r="Z890" s="267"/>
      <c r="AA890" s="267"/>
      <c r="AB890" s="224">
        <v>0</v>
      </c>
      <c r="AC890" s="267"/>
      <c r="AD890" s="267"/>
      <c r="AE890" s="267"/>
      <c r="AF890" s="267"/>
      <c r="AG890" s="224">
        <v>0</v>
      </c>
      <c r="AH890" s="267"/>
      <c r="AI890" s="267"/>
      <c r="AJ890" s="267"/>
      <c r="AK890" s="267">
        <v>0.8</v>
      </c>
      <c r="AL890" s="224">
        <v>0.8</v>
      </c>
      <c r="AM890" s="104">
        <v>1</v>
      </c>
      <c r="AN890" s="103" t="s">
        <v>685</v>
      </c>
      <c r="AO890" s="103" t="s">
        <v>612</v>
      </c>
      <c r="AP890" s="103" t="s">
        <v>1213</v>
      </c>
      <c r="AQ890" s="103" t="s">
        <v>1207</v>
      </c>
      <c r="AR890" s="103" t="s">
        <v>944</v>
      </c>
      <c r="AS890" s="271"/>
      <c r="AT890" s="271"/>
      <c r="AU890" s="271"/>
      <c r="AV890" s="271"/>
      <c r="AW890" s="271"/>
      <c r="AX890" s="271"/>
      <c r="AY890" s="271"/>
      <c r="AZ890" s="271"/>
      <c r="BA890" s="271"/>
      <c r="BB890" s="271"/>
      <c r="BC890" s="271"/>
      <c r="BD890" s="271"/>
      <c r="BE890" s="271"/>
      <c r="BF890" s="271"/>
      <c r="BG890" s="271">
        <v>188820689</v>
      </c>
      <c r="BH890" s="235">
        <v>188820689</v>
      </c>
      <c r="BI890" s="271"/>
      <c r="BJ890" s="271"/>
      <c r="BK890" s="271"/>
      <c r="BL890" s="271"/>
      <c r="BM890" s="271"/>
      <c r="BN890" s="271"/>
      <c r="BO890" s="271"/>
      <c r="BP890" s="271"/>
      <c r="BQ890" s="271"/>
      <c r="BR890" s="271"/>
      <c r="BS890" s="271"/>
      <c r="BT890" s="271"/>
      <c r="BU890" s="271"/>
      <c r="BV890" s="271"/>
      <c r="BW890" s="271"/>
      <c r="BX890" s="235">
        <v>0</v>
      </c>
      <c r="BY890" s="271"/>
      <c r="BZ890" s="271"/>
      <c r="CA890" s="271"/>
      <c r="CB890" s="271"/>
      <c r="CC890" s="271"/>
      <c r="CD890" s="271"/>
      <c r="CE890" s="271"/>
      <c r="CF890" s="271"/>
      <c r="CG890" s="271"/>
      <c r="CH890" s="271"/>
      <c r="CI890" s="271"/>
      <c r="CJ890" s="271"/>
      <c r="CK890" s="271"/>
      <c r="CL890" s="271"/>
      <c r="CM890" s="271"/>
      <c r="CN890" s="235">
        <v>0</v>
      </c>
      <c r="CO890" s="271"/>
      <c r="CP890" s="271"/>
      <c r="CQ890" s="271"/>
      <c r="CR890" s="271"/>
      <c r="CS890" s="271"/>
      <c r="CT890" s="271"/>
      <c r="CU890" s="271"/>
      <c r="CV890" s="271"/>
      <c r="CW890" s="271"/>
      <c r="CX890" s="271"/>
      <c r="CY890" s="271"/>
      <c r="CZ890" s="271"/>
      <c r="DA890" s="271"/>
      <c r="DB890" s="271"/>
      <c r="DC890" s="271">
        <v>10000000</v>
      </c>
      <c r="DD890" s="234">
        <v>10000000</v>
      </c>
      <c r="DE890" s="244">
        <v>198820689</v>
      </c>
    </row>
    <row r="891" spans="1:110" s="98" customFormat="1" ht="135" customHeight="1">
      <c r="A891" s="103" t="s">
        <v>1240</v>
      </c>
      <c r="B891" s="279" t="s">
        <v>1890</v>
      </c>
      <c r="C891" s="279" t="s">
        <v>1934</v>
      </c>
      <c r="D891" s="279">
        <v>80</v>
      </c>
      <c r="E891" s="279" t="s">
        <v>1935</v>
      </c>
      <c r="F891" s="280" t="s">
        <v>443</v>
      </c>
      <c r="G891" s="279" t="s">
        <v>3851</v>
      </c>
      <c r="H891" s="279">
        <v>96</v>
      </c>
      <c r="I891" s="279" t="s">
        <v>1936</v>
      </c>
      <c r="J891" s="279" t="s">
        <v>689</v>
      </c>
      <c r="K891" s="279">
        <v>34.020000000000003</v>
      </c>
      <c r="L891" s="279" t="s">
        <v>1937</v>
      </c>
      <c r="M891" s="279" t="s">
        <v>1942</v>
      </c>
      <c r="N891" s="279" t="s">
        <v>1943</v>
      </c>
      <c r="O891" s="279" t="s">
        <v>1944</v>
      </c>
      <c r="P891" s="283">
        <v>785</v>
      </c>
      <c r="Q891" s="279" t="s">
        <v>3923</v>
      </c>
      <c r="R891" s="279" t="s">
        <v>1945</v>
      </c>
      <c r="S891" s="279" t="s">
        <v>683</v>
      </c>
      <c r="T891" s="279">
        <v>0</v>
      </c>
      <c r="U891" s="267"/>
      <c r="V891" s="267"/>
      <c r="W891" s="224">
        <v>0</v>
      </c>
      <c r="X891" s="267"/>
      <c r="Y891" s="267"/>
      <c r="Z891" s="267"/>
      <c r="AA891" s="267"/>
      <c r="AB891" s="224">
        <v>0</v>
      </c>
      <c r="AC891" s="267"/>
      <c r="AD891" s="267"/>
      <c r="AE891" s="267"/>
      <c r="AF891" s="267"/>
      <c r="AG891" s="224">
        <v>0</v>
      </c>
      <c r="AH891" s="267"/>
      <c r="AI891" s="267"/>
      <c r="AJ891" s="267"/>
      <c r="AK891" s="267">
        <v>7</v>
      </c>
      <c r="AL891" s="224">
        <v>7</v>
      </c>
      <c r="AM891" s="104">
        <v>7</v>
      </c>
      <c r="AN891" s="103" t="s">
        <v>685</v>
      </c>
      <c r="AO891" s="103" t="s">
        <v>612</v>
      </c>
      <c r="AP891" s="103" t="s">
        <v>1213</v>
      </c>
      <c r="AQ891" s="103" t="s">
        <v>1207</v>
      </c>
      <c r="AR891" s="103" t="s">
        <v>944</v>
      </c>
      <c r="AS891" s="271"/>
      <c r="AT891" s="271"/>
      <c r="AU891" s="271"/>
      <c r="AV891" s="271"/>
      <c r="AW891" s="271"/>
      <c r="AX891" s="271"/>
      <c r="AY891" s="271"/>
      <c r="AZ891" s="271"/>
      <c r="BA891" s="271"/>
      <c r="BB891" s="271"/>
      <c r="BC891" s="271"/>
      <c r="BD891" s="271"/>
      <c r="BE891" s="271"/>
      <c r="BF891" s="271"/>
      <c r="BG891" s="271"/>
      <c r="BH891" s="235">
        <v>0</v>
      </c>
      <c r="BI891" s="271"/>
      <c r="BJ891" s="271"/>
      <c r="BK891" s="271"/>
      <c r="BL891" s="271"/>
      <c r="BM891" s="271"/>
      <c r="BN891" s="271"/>
      <c r="BO891" s="271"/>
      <c r="BP891" s="271"/>
      <c r="BQ891" s="271"/>
      <c r="BR891" s="271"/>
      <c r="BS891" s="271"/>
      <c r="BT891" s="271"/>
      <c r="BU891" s="271"/>
      <c r="BV891" s="271"/>
      <c r="BW891" s="271"/>
      <c r="BX891" s="235">
        <v>0</v>
      </c>
      <c r="BY891" s="271"/>
      <c r="BZ891" s="271"/>
      <c r="CA891" s="271"/>
      <c r="CB891" s="271"/>
      <c r="CC891" s="271"/>
      <c r="CD891" s="271"/>
      <c r="CE891" s="271"/>
      <c r="CF891" s="271"/>
      <c r="CG891" s="271"/>
      <c r="CH891" s="271"/>
      <c r="CI891" s="271"/>
      <c r="CJ891" s="271"/>
      <c r="CK891" s="271"/>
      <c r="CL891" s="271"/>
      <c r="CM891" s="271"/>
      <c r="CN891" s="235">
        <v>0</v>
      </c>
      <c r="CO891" s="271"/>
      <c r="CP891" s="271"/>
      <c r="CQ891" s="271"/>
      <c r="CR891" s="271"/>
      <c r="CS891" s="271"/>
      <c r="CT891" s="271"/>
      <c r="CU891" s="271"/>
      <c r="CV891" s="271"/>
      <c r="CW891" s="271"/>
      <c r="CX891" s="271"/>
      <c r="CY891" s="271"/>
      <c r="CZ891" s="271"/>
      <c r="DA891" s="271"/>
      <c r="DB891" s="271"/>
      <c r="DC891" s="271">
        <v>340000000</v>
      </c>
      <c r="DD891" s="234">
        <v>340000000</v>
      </c>
      <c r="DE891" s="244">
        <v>340000000</v>
      </c>
    </row>
    <row r="892" spans="1:110" s="98" customFormat="1" ht="135" customHeight="1">
      <c r="A892" s="103" t="s">
        <v>1240</v>
      </c>
      <c r="B892" s="279" t="s">
        <v>1890</v>
      </c>
      <c r="C892" s="279" t="s">
        <v>1934</v>
      </c>
      <c r="D892" s="279">
        <v>80</v>
      </c>
      <c r="E892" s="279" t="s">
        <v>1935</v>
      </c>
      <c r="F892" s="280" t="s">
        <v>443</v>
      </c>
      <c r="G892" s="279" t="s">
        <v>3851</v>
      </c>
      <c r="H892" s="279">
        <v>96</v>
      </c>
      <c r="I892" s="279" t="s">
        <v>1936</v>
      </c>
      <c r="J892" s="279" t="s">
        <v>689</v>
      </c>
      <c r="K892" s="279">
        <v>34.020000000000003</v>
      </c>
      <c r="L892" s="279" t="s">
        <v>1937</v>
      </c>
      <c r="M892" s="279" t="s">
        <v>1942</v>
      </c>
      <c r="N892" s="279" t="s">
        <v>1943</v>
      </c>
      <c r="O892" s="279" t="s">
        <v>1944</v>
      </c>
      <c r="P892" s="283">
        <v>786</v>
      </c>
      <c r="Q892" s="279" t="s">
        <v>3855</v>
      </c>
      <c r="R892" s="279" t="s">
        <v>1946</v>
      </c>
      <c r="S892" s="279" t="s">
        <v>683</v>
      </c>
      <c r="T892" s="279">
        <v>0</v>
      </c>
      <c r="U892" s="267"/>
      <c r="V892" s="267">
        <v>0.1</v>
      </c>
      <c r="W892" s="224">
        <v>0.1</v>
      </c>
      <c r="X892" s="267"/>
      <c r="Y892" s="267"/>
      <c r="Z892" s="267"/>
      <c r="AA892" s="267"/>
      <c r="AB892" s="224">
        <v>0</v>
      </c>
      <c r="AC892" s="267"/>
      <c r="AD892" s="267"/>
      <c r="AE892" s="267"/>
      <c r="AF892" s="267"/>
      <c r="AG892" s="224">
        <v>0</v>
      </c>
      <c r="AH892" s="267"/>
      <c r="AI892" s="267">
        <v>0.9</v>
      </c>
      <c r="AJ892" s="267"/>
      <c r="AK892" s="267"/>
      <c r="AL892" s="224">
        <v>0.9</v>
      </c>
      <c r="AM892" s="104">
        <v>1</v>
      </c>
      <c r="AN892" s="103" t="s">
        <v>685</v>
      </c>
      <c r="AO892" s="103" t="s">
        <v>612</v>
      </c>
      <c r="AP892" s="103" t="s">
        <v>1213</v>
      </c>
      <c r="AQ892" s="103" t="s">
        <v>1207</v>
      </c>
      <c r="AR892" s="103" t="s">
        <v>944</v>
      </c>
      <c r="AS892" s="271"/>
      <c r="AT892" s="271"/>
      <c r="AU892" s="271"/>
      <c r="AV892" s="271"/>
      <c r="AW892" s="271"/>
      <c r="AX892" s="271"/>
      <c r="AY892" s="271"/>
      <c r="AZ892" s="271"/>
      <c r="BA892" s="271"/>
      <c r="BB892" s="271"/>
      <c r="BC892" s="271"/>
      <c r="BD892" s="271"/>
      <c r="BE892" s="271"/>
      <c r="BF892" s="271"/>
      <c r="BG892" s="271">
        <v>280000000</v>
      </c>
      <c r="BH892" s="235">
        <v>280000000</v>
      </c>
      <c r="BI892" s="271"/>
      <c r="BJ892" s="271"/>
      <c r="BK892" s="271"/>
      <c r="BL892" s="271"/>
      <c r="BM892" s="271"/>
      <c r="BN892" s="271"/>
      <c r="BO892" s="271"/>
      <c r="BP892" s="271"/>
      <c r="BQ892" s="271"/>
      <c r="BR892" s="271"/>
      <c r="BS892" s="271"/>
      <c r="BT892" s="271"/>
      <c r="BU892" s="271"/>
      <c r="BV892" s="271"/>
      <c r="BW892" s="271"/>
      <c r="BX892" s="235">
        <v>0</v>
      </c>
      <c r="BY892" s="271"/>
      <c r="BZ892" s="271"/>
      <c r="CA892" s="271"/>
      <c r="CB892" s="271"/>
      <c r="CC892" s="271"/>
      <c r="CD892" s="271"/>
      <c r="CE892" s="271"/>
      <c r="CF892" s="271"/>
      <c r="CG892" s="271"/>
      <c r="CH892" s="271"/>
      <c r="CI892" s="271"/>
      <c r="CJ892" s="271"/>
      <c r="CK892" s="271"/>
      <c r="CL892" s="271"/>
      <c r="CM892" s="271"/>
      <c r="CN892" s="235">
        <v>0</v>
      </c>
      <c r="CO892" s="271"/>
      <c r="CP892" s="271"/>
      <c r="CQ892" s="271"/>
      <c r="CR892" s="271"/>
      <c r="CS892" s="271"/>
      <c r="CT892" s="271"/>
      <c r="CU892" s="271"/>
      <c r="CV892" s="271"/>
      <c r="CW892" s="271"/>
      <c r="CX892" s="271"/>
      <c r="CY892" s="271"/>
      <c r="CZ892" s="271"/>
      <c r="DA892" s="271"/>
      <c r="DB892" s="271"/>
      <c r="DC892" s="271">
        <v>50000000</v>
      </c>
      <c r="DD892" s="234">
        <v>50000000</v>
      </c>
      <c r="DE892" s="244">
        <v>330000000</v>
      </c>
    </row>
    <row r="893" spans="1:110" s="98" customFormat="1" ht="135" customHeight="1">
      <c r="A893" s="103" t="s">
        <v>1242</v>
      </c>
      <c r="B893" s="279" t="s">
        <v>1890</v>
      </c>
      <c r="C893" s="279" t="s">
        <v>1934</v>
      </c>
      <c r="D893" s="279">
        <v>80</v>
      </c>
      <c r="E893" s="279" t="s">
        <v>1935</v>
      </c>
      <c r="F893" s="280" t="s">
        <v>443</v>
      </c>
      <c r="G893" s="279" t="s">
        <v>3696</v>
      </c>
      <c r="H893" s="279">
        <v>96</v>
      </c>
      <c r="I893" s="279" t="s">
        <v>1936</v>
      </c>
      <c r="J893" s="279" t="s">
        <v>689</v>
      </c>
      <c r="K893" s="279">
        <v>34.020000000000003</v>
      </c>
      <c r="L893" s="279" t="s">
        <v>1937</v>
      </c>
      <c r="M893" s="279" t="s">
        <v>1947</v>
      </c>
      <c r="N893" s="279" t="s">
        <v>1948</v>
      </c>
      <c r="O893" s="279" t="s">
        <v>1949</v>
      </c>
      <c r="P893" s="283">
        <v>787</v>
      </c>
      <c r="Q893" s="279" t="s">
        <v>3698</v>
      </c>
      <c r="R893" s="279" t="s">
        <v>89</v>
      </c>
      <c r="S893" s="279" t="s">
        <v>683</v>
      </c>
      <c r="T893" s="279">
        <v>0</v>
      </c>
      <c r="U893" s="267"/>
      <c r="V893" s="267">
        <v>30</v>
      </c>
      <c r="W893" s="224">
        <v>30</v>
      </c>
      <c r="X893" s="267"/>
      <c r="Y893" s="267"/>
      <c r="Z893" s="267"/>
      <c r="AA893" s="267"/>
      <c r="AB893" s="224">
        <v>0</v>
      </c>
      <c r="AC893" s="267"/>
      <c r="AD893" s="267"/>
      <c r="AE893" s="267"/>
      <c r="AF893" s="267"/>
      <c r="AG893" s="224">
        <v>0</v>
      </c>
      <c r="AH893" s="267"/>
      <c r="AI893" s="267"/>
      <c r="AJ893" s="267"/>
      <c r="AK893" s="267"/>
      <c r="AL893" s="224">
        <v>0</v>
      </c>
      <c r="AM893" s="104">
        <v>30</v>
      </c>
      <c r="AN893" s="103" t="s">
        <v>685</v>
      </c>
      <c r="AO893" s="103" t="s">
        <v>620</v>
      </c>
      <c r="AP893" s="103" t="s">
        <v>1220</v>
      </c>
      <c r="AQ893" s="103" t="s">
        <v>1197</v>
      </c>
      <c r="AR893" s="103" t="s">
        <v>937</v>
      </c>
      <c r="AS893" s="271"/>
      <c r="AT893" s="271"/>
      <c r="AU893" s="271"/>
      <c r="AV893" s="271"/>
      <c r="AW893" s="271"/>
      <c r="AX893" s="271"/>
      <c r="AY893" s="271"/>
      <c r="AZ893" s="271"/>
      <c r="BA893" s="271"/>
      <c r="BB893" s="271"/>
      <c r="BC893" s="271"/>
      <c r="BD893" s="271"/>
      <c r="BE893" s="271"/>
      <c r="BF893" s="271"/>
      <c r="BG893" s="271">
        <v>800000000</v>
      </c>
      <c r="BH893" s="235">
        <f t="shared" ref="BH893:BH900" si="459">IF(W893=0,0,BG893+BF893+BE893+BD893+BC893+BB893+BA893+AZ893+AY893+AX893+AW893+AV893+AU893+AT893+AS893)</f>
        <v>800000000</v>
      </c>
      <c r="BI893" s="271"/>
      <c r="BJ893" s="271"/>
      <c r="BK893" s="271"/>
      <c r="BL893" s="271"/>
      <c r="BM893" s="271"/>
      <c r="BN893" s="271"/>
      <c r="BO893" s="271"/>
      <c r="BP893" s="271"/>
      <c r="BQ893" s="271"/>
      <c r="BR893" s="271"/>
      <c r="BS893" s="271"/>
      <c r="BT893" s="271"/>
      <c r="BU893" s="271"/>
      <c r="BV893" s="271"/>
      <c r="BW893" s="271"/>
      <c r="BX893" s="235">
        <f t="shared" ref="BX893:BX900" si="460">IF(AB893=0,0,BI893+BJ893+BK893+BL893+BM893+BN893+BO893+BP893+BQ893+BR893+BS893+BT893+BU893+BV893+BW893)</f>
        <v>0</v>
      </c>
      <c r="BY893" s="271"/>
      <c r="BZ893" s="271"/>
      <c r="CA893" s="271"/>
      <c r="CB893" s="271"/>
      <c r="CC893" s="271"/>
      <c r="CD893" s="271"/>
      <c r="CE893" s="271"/>
      <c r="CF893" s="271"/>
      <c r="CG893" s="271"/>
      <c r="CH893" s="271"/>
      <c r="CI893" s="271"/>
      <c r="CJ893" s="271"/>
      <c r="CK893" s="271"/>
      <c r="CL893" s="271"/>
      <c r="CM893" s="271"/>
      <c r="CN893" s="235">
        <f t="shared" ref="CN893:CN900" si="461">IF(AG893=0,0,(BY893+BZ893+CA893+CB893+CC893+CD893+CE893+CF893+CG893+CH893+CI893+CJ893+CK893+CL893+CM893))</f>
        <v>0</v>
      </c>
      <c r="CO893" s="271"/>
      <c r="CP893" s="271"/>
      <c r="CQ893" s="271"/>
      <c r="CR893" s="271"/>
      <c r="CS893" s="271"/>
      <c r="CT893" s="271"/>
      <c r="CU893" s="271"/>
      <c r="CV893" s="271"/>
      <c r="CW893" s="271"/>
      <c r="CX893" s="271"/>
      <c r="CY893" s="271"/>
      <c r="CZ893" s="271"/>
      <c r="DA893" s="271"/>
      <c r="DB893" s="271"/>
      <c r="DC893" s="271"/>
      <c r="DD893" s="235">
        <f t="shared" ref="DD893:DD900" si="462">IF(AL893=0,0,(CO893+CP893+CQ893+CR893+CS893+CT893+CU893+CV893+CW893+CX893+CY893+CZ893+DA893+DB893+DC893))</f>
        <v>0</v>
      </c>
      <c r="DE893" s="244">
        <f t="shared" ref="DE893:DE897" si="463">SUM(DD893+CN893+BX893+BH893)</f>
        <v>800000000</v>
      </c>
    </row>
    <row r="894" spans="1:110" s="98" customFormat="1" ht="135" customHeight="1">
      <c r="A894" s="103" t="s">
        <v>1242</v>
      </c>
      <c r="B894" s="279" t="s">
        <v>1890</v>
      </c>
      <c r="C894" s="279" t="s">
        <v>1934</v>
      </c>
      <c r="D894" s="279">
        <v>80</v>
      </c>
      <c r="E894" s="279" t="s">
        <v>1935</v>
      </c>
      <c r="F894" s="280" t="s">
        <v>443</v>
      </c>
      <c r="G894" s="279" t="s">
        <v>3696</v>
      </c>
      <c r="H894" s="279">
        <v>96</v>
      </c>
      <c r="I894" s="279" t="s">
        <v>1936</v>
      </c>
      <c r="J894" s="279" t="s">
        <v>689</v>
      </c>
      <c r="K894" s="279">
        <v>34.020000000000003</v>
      </c>
      <c r="L894" s="279" t="s">
        <v>1937</v>
      </c>
      <c r="M894" s="279" t="s">
        <v>1947</v>
      </c>
      <c r="N894" s="279" t="s">
        <v>1948</v>
      </c>
      <c r="O894" s="279" t="s">
        <v>1949</v>
      </c>
      <c r="P894" s="283">
        <v>788</v>
      </c>
      <c r="Q894" s="279" t="s">
        <v>3699</v>
      </c>
      <c r="R894" s="279" t="s">
        <v>1950</v>
      </c>
      <c r="S894" s="279" t="s">
        <v>683</v>
      </c>
      <c r="T894" s="279">
        <v>0</v>
      </c>
      <c r="U894" s="267"/>
      <c r="V894" s="267">
        <v>1500</v>
      </c>
      <c r="W894" s="224">
        <v>1500</v>
      </c>
      <c r="X894" s="267"/>
      <c r="Y894" s="267"/>
      <c r="Z894" s="267"/>
      <c r="AA894" s="267"/>
      <c r="AB894" s="224">
        <v>0</v>
      </c>
      <c r="AC894" s="267"/>
      <c r="AD894" s="267"/>
      <c r="AE894" s="267"/>
      <c r="AF894" s="267"/>
      <c r="AG894" s="224">
        <v>0</v>
      </c>
      <c r="AH894" s="267"/>
      <c r="AI894" s="267"/>
      <c r="AJ894" s="267"/>
      <c r="AK894" s="267"/>
      <c r="AL894" s="224">
        <v>0</v>
      </c>
      <c r="AM894" s="104">
        <v>1500</v>
      </c>
      <c r="AN894" s="103" t="s">
        <v>685</v>
      </c>
      <c r="AO894" s="103" t="s">
        <v>620</v>
      </c>
      <c r="AP894" s="103" t="s">
        <v>1220</v>
      </c>
      <c r="AQ894" s="103" t="s">
        <v>1197</v>
      </c>
      <c r="AR894" s="103" t="s">
        <v>937</v>
      </c>
      <c r="AS894" s="271"/>
      <c r="AT894" s="271"/>
      <c r="AU894" s="271"/>
      <c r="AV894" s="271"/>
      <c r="AW894" s="271"/>
      <c r="AX894" s="271"/>
      <c r="AY894" s="271"/>
      <c r="AZ894" s="271"/>
      <c r="BA894" s="271"/>
      <c r="BB894" s="271"/>
      <c r="BC894" s="271"/>
      <c r="BD894" s="271"/>
      <c r="BE894" s="271"/>
      <c r="BF894" s="271"/>
      <c r="BG894" s="271">
        <v>30000000</v>
      </c>
      <c r="BH894" s="235">
        <f t="shared" si="459"/>
        <v>30000000</v>
      </c>
      <c r="BI894" s="271"/>
      <c r="BJ894" s="271"/>
      <c r="BK894" s="271"/>
      <c r="BL894" s="271"/>
      <c r="BM894" s="271"/>
      <c r="BN894" s="271"/>
      <c r="BO894" s="271"/>
      <c r="BP894" s="271"/>
      <c r="BQ894" s="271"/>
      <c r="BR894" s="271"/>
      <c r="BS894" s="271"/>
      <c r="BT894" s="271"/>
      <c r="BU894" s="271"/>
      <c r="BV894" s="271"/>
      <c r="BW894" s="271"/>
      <c r="BX894" s="235">
        <f t="shared" si="460"/>
        <v>0</v>
      </c>
      <c r="BY894" s="271"/>
      <c r="BZ894" s="271"/>
      <c r="CA894" s="271"/>
      <c r="CB894" s="271"/>
      <c r="CC894" s="271"/>
      <c r="CD894" s="271"/>
      <c r="CE894" s="271"/>
      <c r="CF894" s="271"/>
      <c r="CG894" s="271"/>
      <c r="CH894" s="271"/>
      <c r="CI894" s="271"/>
      <c r="CJ894" s="271"/>
      <c r="CK894" s="271"/>
      <c r="CL894" s="271"/>
      <c r="CM894" s="271"/>
      <c r="CN894" s="235">
        <f t="shared" si="461"/>
        <v>0</v>
      </c>
      <c r="CO894" s="271"/>
      <c r="CP894" s="271"/>
      <c r="CQ894" s="271"/>
      <c r="CR894" s="271"/>
      <c r="CS894" s="271"/>
      <c r="CT894" s="271"/>
      <c r="CU894" s="271"/>
      <c r="CV894" s="271"/>
      <c r="CW894" s="271"/>
      <c r="CX894" s="271"/>
      <c r="CY894" s="271"/>
      <c r="CZ894" s="271"/>
      <c r="DA894" s="271"/>
      <c r="DB894" s="271"/>
      <c r="DC894" s="271"/>
      <c r="DD894" s="235">
        <f t="shared" si="462"/>
        <v>0</v>
      </c>
      <c r="DE894" s="244">
        <f t="shared" si="463"/>
        <v>30000000</v>
      </c>
    </row>
    <row r="895" spans="1:110" s="98" customFormat="1" ht="135" customHeight="1">
      <c r="A895" s="103" t="s">
        <v>1242</v>
      </c>
      <c r="B895" s="279" t="s">
        <v>1890</v>
      </c>
      <c r="C895" s="279" t="s">
        <v>1934</v>
      </c>
      <c r="D895" s="279">
        <v>80</v>
      </c>
      <c r="E895" s="279" t="s">
        <v>1935</v>
      </c>
      <c r="F895" s="280" t="s">
        <v>443</v>
      </c>
      <c r="G895" s="279" t="s">
        <v>3696</v>
      </c>
      <c r="H895" s="279">
        <v>96</v>
      </c>
      <c r="I895" s="279" t="s">
        <v>1936</v>
      </c>
      <c r="J895" s="279" t="s">
        <v>689</v>
      </c>
      <c r="K895" s="279">
        <v>34.020000000000003</v>
      </c>
      <c r="L895" s="279" t="s">
        <v>1937</v>
      </c>
      <c r="M895" s="279" t="s">
        <v>1947</v>
      </c>
      <c r="N895" s="279" t="s">
        <v>1948</v>
      </c>
      <c r="O895" s="279" t="s">
        <v>1949</v>
      </c>
      <c r="P895" s="283">
        <v>789</v>
      </c>
      <c r="Q895" s="279" t="s">
        <v>2905</v>
      </c>
      <c r="R895" s="279" t="s">
        <v>1951</v>
      </c>
      <c r="S895" s="279" t="s">
        <v>683</v>
      </c>
      <c r="T895" s="279">
        <v>0</v>
      </c>
      <c r="U895" s="267"/>
      <c r="V895" s="267">
        <v>1</v>
      </c>
      <c r="W895" s="224">
        <v>1</v>
      </c>
      <c r="X895" s="267"/>
      <c r="Y895" s="267"/>
      <c r="Z895" s="267"/>
      <c r="AA895" s="267"/>
      <c r="AB895" s="224">
        <v>0</v>
      </c>
      <c r="AC895" s="267"/>
      <c r="AD895" s="267"/>
      <c r="AE895" s="267"/>
      <c r="AF895" s="267"/>
      <c r="AG895" s="224">
        <v>0</v>
      </c>
      <c r="AH895" s="267"/>
      <c r="AI895" s="267"/>
      <c r="AJ895" s="267"/>
      <c r="AK895" s="267"/>
      <c r="AL895" s="224">
        <v>0</v>
      </c>
      <c r="AM895" s="104">
        <v>1</v>
      </c>
      <c r="AN895" s="103" t="s">
        <v>685</v>
      </c>
      <c r="AO895" s="103" t="s">
        <v>620</v>
      </c>
      <c r="AP895" s="103" t="s">
        <v>1220</v>
      </c>
      <c r="AQ895" s="103" t="s">
        <v>1197</v>
      </c>
      <c r="AR895" s="103" t="s">
        <v>937</v>
      </c>
      <c r="AS895" s="271"/>
      <c r="AT895" s="271"/>
      <c r="AU895" s="271"/>
      <c r="AV895" s="271"/>
      <c r="AW895" s="271"/>
      <c r="AX895" s="271"/>
      <c r="AY895" s="271"/>
      <c r="AZ895" s="271"/>
      <c r="BA895" s="271"/>
      <c r="BB895" s="271"/>
      <c r="BC895" s="271"/>
      <c r="BD895" s="271"/>
      <c r="BE895" s="271"/>
      <c r="BF895" s="271"/>
      <c r="BG895" s="271">
        <v>10000000000</v>
      </c>
      <c r="BH895" s="235">
        <f t="shared" si="459"/>
        <v>10000000000</v>
      </c>
      <c r="BI895" s="271"/>
      <c r="BJ895" s="271"/>
      <c r="BK895" s="271"/>
      <c r="BL895" s="271"/>
      <c r="BM895" s="271"/>
      <c r="BN895" s="271"/>
      <c r="BO895" s="271"/>
      <c r="BP895" s="271"/>
      <c r="BQ895" s="271"/>
      <c r="BR895" s="271"/>
      <c r="BS895" s="271"/>
      <c r="BT895" s="271"/>
      <c r="BU895" s="271"/>
      <c r="BV895" s="271"/>
      <c r="BW895" s="271"/>
      <c r="BX895" s="235">
        <f t="shared" si="460"/>
        <v>0</v>
      </c>
      <c r="BY895" s="271"/>
      <c r="BZ895" s="271"/>
      <c r="CA895" s="271"/>
      <c r="CB895" s="271"/>
      <c r="CC895" s="271"/>
      <c r="CD895" s="271"/>
      <c r="CE895" s="271"/>
      <c r="CF895" s="271"/>
      <c r="CG895" s="271"/>
      <c r="CH895" s="271"/>
      <c r="CI895" s="271"/>
      <c r="CJ895" s="271"/>
      <c r="CK895" s="271"/>
      <c r="CL895" s="271"/>
      <c r="CM895" s="271"/>
      <c r="CN895" s="235">
        <f t="shared" si="461"/>
        <v>0</v>
      </c>
      <c r="CO895" s="271"/>
      <c r="CP895" s="271"/>
      <c r="CQ895" s="271"/>
      <c r="CR895" s="271"/>
      <c r="CS895" s="271"/>
      <c r="CT895" s="271"/>
      <c r="CU895" s="271"/>
      <c r="CV895" s="271"/>
      <c r="CW895" s="271"/>
      <c r="CX895" s="271"/>
      <c r="CY895" s="271"/>
      <c r="CZ895" s="271"/>
      <c r="DA895" s="271"/>
      <c r="DB895" s="271"/>
      <c r="DC895" s="271"/>
      <c r="DD895" s="235">
        <f t="shared" si="462"/>
        <v>0</v>
      </c>
      <c r="DE895" s="244">
        <f t="shared" si="463"/>
        <v>10000000000</v>
      </c>
    </row>
    <row r="896" spans="1:110" s="98" customFormat="1" ht="135" customHeight="1">
      <c r="A896" s="103" t="s">
        <v>1242</v>
      </c>
      <c r="B896" s="279" t="s">
        <v>1890</v>
      </c>
      <c r="C896" s="279" t="s">
        <v>1934</v>
      </c>
      <c r="D896" s="279">
        <v>80</v>
      </c>
      <c r="E896" s="279" t="s">
        <v>1935</v>
      </c>
      <c r="F896" s="280" t="s">
        <v>443</v>
      </c>
      <c r="G896" s="279" t="s">
        <v>3696</v>
      </c>
      <c r="H896" s="279">
        <v>96</v>
      </c>
      <c r="I896" s="279" t="s">
        <v>1936</v>
      </c>
      <c r="J896" s="279" t="s">
        <v>689</v>
      </c>
      <c r="K896" s="279">
        <v>34.020000000000003</v>
      </c>
      <c r="L896" s="279" t="s">
        <v>1937</v>
      </c>
      <c r="M896" s="279" t="s">
        <v>1947</v>
      </c>
      <c r="N896" s="279" t="s">
        <v>1948</v>
      </c>
      <c r="O896" s="279" t="s">
        <v>1949</v>
      </c>
      <c r="P896" s="283">
        <v>790</v>
      </c>
      <c r="Q896" s="279" t="s">
        <v>2906</v>
      </c>
      <c r="R896" s="279" t="s">
        <v>1952</v>
      </c>
      <c r="S896" s="279" t="s">
        <v>677</v>
      </c>
      <c r="T896" s="279">
        <v>0</v>
      </c>
      <c r="U896" s="267"/>
      <c r="V896" s="267">
        <v>70</v>
      </c>
      <c r="W896" s="224">
        <v>70</v>
      </c>
      <c r="X896" s="267"/>
      <c r="Y896" s="267"/>
      <c r="Z896" s="267"/>
      <c r="AA896" s="267"/>
      <c r="AB896" s="224">
        <v>0</v>
      </c>
      <c r="AC896" s="267"/>
      <c r="AD896" s="267"/>
      <c r="AE896" s="267"/>
      <c r="AF896" s="267"/>
      <c r="AG896" s="224">
        <v>0</v>
      </c>
      <c r="AH896" s="267"/>
      <c r="AI896" s="267"/>
      <c r="AJ896" s="267"/>
      <c r="AK896" s="267"/>
      <c r="AL896" s="224">
        <v>0</v>
      </c>
      <c r="AM896" s="104">
        <v>70</v>
      </c>
      <c r="AN896" s="103" t="s">
        <v>685</v>
      </c>
      <c r="AO896" s="103" t="s">
        <v>620</v>
      </c>
      <c r="AP896" s="103" t="s">
        <v>1220</v>
      </c>
      <c r="AQ896" s="103" t="s">
        <v>1197</v>
      </c>
      <c r="AR896" s="103" t="s">
        <v>937</v>
      </c>
      <c r="AS896" s="271"/>
      <c r="AT896" s="271"/>
      <c r="AU896" s="271"/>
      <c r="AV896" s="271"/>
      <c r="AW896" s="271"/>
      <c r="AX896" s="271"/>
      <c r="AY896" s="271"/>
      <c r="AZ896" s="271"/>
      <c r="BA896" s="271"/>
      <c r="BB896" s="271"/>
      <c r="BC896" s="271"/>
      <c r="BD896" s="271"/>
      <c r="BE896" s="271"/>
      <c r="BF896" s="271"/>
      <c r="BG896" s="271">
        <v>70000000</v>
      </c>
      <c r="BH896" s="235">
        <f t="shared" si="459"/>
        <v>70000000</v>
      </c>
      <c r="BI896" s="271"/>
      <c r="BJ896" s="271"/>
      <c r="BK896" s="271"/>
      <c r="BL896" s="271"/>
      <c r="BM896" s="271"/>
      <c r="BN896" s="271"/>
      <c r="BO896" s="271"/>
      <c r="BP896" s="271"/>
      <c r="BQ896" s="271"/>
      <c r="BR896" s="271"/>
      <c r="BS896" s="271"/>
      <c r="BT896" s="271"/>
      <c r="BU896" s="271"/>
      <c r="BV896" s="271"/>
      <c r="BW896" s="271"/>
      <c r="BX896" s="235">
        <f t="shared" si="460"/>
        <v>0</v>
      </c>
      <c r="BY896" s="271"/>
      <c r="BZ896" s="271"/>
      <c r="CA896" s="271"/>
      <c r="CB896" s="271"/>
      <c r="CC896" s="271"/>
      <c r="CD896" s="271"/>
      <c r="CE896" s="271"/>
      <c r="CF896" s="271"/>
      <c r="CG896" s="271"/>
      <c r="CH896" s="271"/>
      <c r="CI896" s="271"/>
      <c r="CJ896" s="271"/>
      <c r="CK896" s="271"/>
      <c r="CL896" s="271"/>
      <c r="CM896" s="271"/>
      <c r="CN896" s="235">
        <f t="shared" si="461"/>
        <v>0</v>
      </c>
      <c r="CO896" s="271"/>
      <c r="CP896" s="271"/>
      <c r="CQ896" s="271"/>
      <c r="CR896" s="271"/>
      <c r="CS896" s="271"/>
      <c r="CT896" s="271"/>
      <c r="CU896" s="271"/>
      <c r="CV896" s="271"/>
      <c r="CW896" s="271"/>
      <c r="CX896" s="271"/>
      <c r="CY896" s="271"/>
      <c r="CZ896" s="271"/>
      <c r="DA896" s="271"/>
      <c r="DB896" s="271"/>
      <c r="DC896" s="271"/>
      <c r="DD896" s="235">
        <f t="shared" si="462"/>
        <v>0</v>
      </c>
      <c r="DE896" s="244">
        <f t="shared" si="463"/>
        <v>70000000</v>
      </c>
    </row>
    <row r="897" spans="1:110" s="98" customFormat="1" ht="135" customHeight="1">
      <c r="A897" s="103" t="s">
        <v>1242</v>
      </c>
      <c r="B897" s="279" t="s">
        <v>1890</v>
      </c>
      <c r="C897" s="279" t="s">
        <v>1934</v>
      </c>
      <c r="D897" s="279">
        <v>80</v>
      </c>
      <c r="E897" s="279" t="s">
        <v>1935</v>
      </c>
      <c r="F897" s="280" t="s">
        <v>443</v>
      </c>
      <c r="G897" s="279" t="s">
        <v>3696</v>
      </c>
      <c r="H897" s="279">
        <v>96</v>
      </c>
      <c r="I897" s="279" t="s">
        <v>1936</v>
      </c>
      <c r="J897" s="279" t="s">
        <v>689</v>
      </c>
      <c r="K897" s="279">
        <v>34.020000000000003</v>
      </c>
      <c r="L897" s="279" t="s">
        <v>1937</v>
      </c>
      <c r="M897" s="279" t="s">
        <v>1947</v>
      </c>
      <c r="N897" s="279" t="s">
        <v>1948</v>
      </c>
      <c r="O897" s="279" t="s">
        <v>1949</v>
      </c>
      <c r="P897" s="283">
        <v>791</v>
      </c>
      <c r="Q897" s="279" t="s">
        <v>2907</v>
      </c>
      <c r="R897" s="279" t="s">
        <v>1953</v>
      </c>
      <c r="S897" s="279" t="s">
        <v>683</v>
      </c>
      <c r="T897" s="279">
        <v>0</v>
      </c>
      <c r="U897" s="267"/>
      <c r="V897" s="267">
        <v>10000</v>
      </c>
      <c r="W897" s="224">
        <v>10000</v>
      </c>
      <c r="X897" s="267"/>
      <c r="Y897" s="267"/>
      <c r="Z897" s="267"/>
      <c r="AA897" s="267"/>
      <c r="AB897" s="224">
        <v>0</v>
      </c>
      <c r="AC897" s="267"/>
      <c r="AD897" s="267"/>
      <c r="AE897" s="267"/>
      <c r="AF897" s="267"/>
      <c r="AG897" s="224">
        <v>0</v>
      </c>
      <c r="AH897" s="267"/>
      <c r="AI897" s="267"/>
      <c r="AJ897" s="267"/>
      <c r="AK897" s="267"/>
      <c r="AL897" s="224">
        <v>0</v>
      </c>
      <c r="AM897" s="104">
        <v>10000</v>
      </c>
      <c r="AN897" s="103" t="s">
        <v>685</v>
      </c>
      <c r="AO897" s="103" t="s">
        <v>620</v>
      </c>
      <c r="AP897" s="103" t="s">
        <v>1220</v>
      </c>
      <c r="AQ897" s="103" t="s">
        <v>1197</v>
      </c>
      <c r="AR897" s="103" t="s">
        <v>937</v>
      </c>
      <c r="AS897" s="271"/>
      <c r="AT897" s="271"/>
      <c r="AU897" s="271"/>
      <c r="AV897" s="271"/>
      <c r="AW897" s="271"/>
      <c r="AX897" s="271"/>
      <c r="AY897" s="271"/>
      <c r="AZ897" s="271"/>
      <c r="BA897" s="271"/>
      <c r="BB897" s="271"/>
      <c r="BC897" s="271"/>
      <c r="BD897" s="271"/>
      <c r="BE897" s="271"/>
      <c r="BF897" s="271"/>
      <c r="BG897" s="271">
        <v>100000000</v>
      </c>
      <c r="BH897" s="235">
        <f t="shared" si="459"/>
        <v>100000000</v>
      </c>
      <c r="BI897" s="271"/>
      <c r="BJ897" s="271"/>
      <c r="BK897" s="271"/>
      <c r="BL897" s="271"/>
      <c r="BM897" s="271"/>
      <c r="BN897" s="271"/>
      <c r="BO897" s="271"/>
      <c r="BP897" s="271"/>
      <c r="BQ897" s="271"/>
      <c r="BR897" s="271"/>
      <c r="BS897" s="271"/>
      <c r="BT897" s="271"/>
      <c r="BU897" s="271"/>
      <c r="BV897" s="271"/>
      <c r="BW897" s="271"/>
      <c r="BX897" s="235">
        <f t="shared" si="460"/>
        <v>0</v>
      </c>
      <c r="BY897" s="271"/>
      <c r="BZ897" s="271"/>
      <c r="CA897" s="271"/>
      <c r="CB897" s="271"/>
      <c r="CC897" s="271"/>
      <c r="CD897" s="271"/>
      <c r="CE897" s="271"/>
      <c r="CF897" s="271"/>
      <c r="CG897" s="271"/>
      <c r="CH897" s="271"/>
      <c r="CI897" s="271"/>
      <c r="CJ897" s="271"/>
      <c r="CK897" s="271"/>
      <c r="CL897" s="271"/>
      <c r="CM897" s="271"/>
      <c r="CN897" s="235">
        <f t="shared" si="461"/>
        <v>0</v>
      </c>
      <c r="CO897" s="271"/>
      <c r="CP897" s="271"/>
      <c r="CQ897" s="271"/>
      <c r="CR897" s="271"/>
      <c r="CS897" s="271"/>
      <c r="CT897" s="271"/>
      <c r="CU897" s="271"/>
      <c r="CV897" s="271"/>
      <c r="CW897" s="271"/>
      <c r="CX897" s="271"/>
      <c r="CY897" s="271"/>
      <c r="CZ897" s="271"/>
      <c r="DA897" s="271"/>
      <c r="DB897" s="271"/>
      <c r="DC897" s="271"/>
      <c r="DD897" s="235">
        <f t="shared" si="462"/>
        <v>0</v>
      </c>
      <c r="DE897" s="244">
        <f t="shared" si="463"/>
        <v>100000000</v>
      </c>
    </row>
    <row r="898" spans="1:110" s="99" customFormat="1" ht="135" customHeight="1">
      <c r="A898" s="103" t="s">
        <v>1235</v>
      </c>
      <c r="B898" s="279" t="s">
        <v>1890</v>
      </c>
      <c r="C898" s="279" t="s">
        <v>1934</v>
      </c>
      <c r="D898" s="279">
        <v>80</v>
      </c>
      <c r="E898" s="279" t="s">
        <v>1935</v>
      </c>
      <c r="F898" s="280" t="s">
        <v>443</v>
      </c>
      <c r="G898" s="279" t="s">
        <v>3696</v>
      </c>
      <c r="H898" s="279">
        <v>96</v>
      </c>
      <c r="I898" s="279" t="s">
        <v>1936</v>
      </c>
      <c r="J898" s="279" t="s">
        <v>689</v>
      </c>
      <c r="K898" s="279">
        <v>34.020000000000003</v>
      </c>
      <c r="L898" s="279" t="s">
        <v>1937</v>
      </c>
      <c r="M898" s="279" t="s">
        <v>1954</v>
      </c>
      <c r="N898" s="279" t="s">
        <v>1955</v>
      </c>
      <c r="O898" s="279" t="s">
        <v>1956</v>
      </c>
      <c r="P898" s="283">
        <v>792</v>
      </c>
      <c r="Q898" s="279" t="s">
        <v>3700</v>
      </c>
      <c r="R898" s="279" t="s">
        <v>1957</v>
      </c>
      <c r="S898" s="279" t="s">
        <v>683</v>
      </c>
      <c r="T898" s="279">
        <v>0</v>
      </c>
      <c r="U898" s="267"/>
      <c r="V898" s="267">
        <v>2</v>
      </c>
      <c r="W898" s="224">
        <v>2</v>
      </c>
      <c r="X898" s="267"/>
      <c r="Y898" s="267"/>
      <c r="Z898" s="267"/>
      <c r="AA898" s="267"/>
      <c r="AB898" s="224">
        <v>0</v>
      </c>
      <c r="AC898" s="267"/>
      <c r="AD898" s="267"/>
      <c r="AE898" s="267"/>
      <c r="AF898" s="267"/>
      <c r="AG898" s="224">
        <v>0</v>
      </c>
      <c r="AH898" s="267">
        <v>2</v>
      </c>
      <c r="AI898" s="267"/>
      <c r="AJ898" s="267"/>
      <c r="AK898" s="267"/>
      <c r="AL898" s="224">
        <v>2</v>
      </c>
      <c r="AM898" s="104">
        <v>4</v>
      </c>
      <c r="AN898" s="103" t="s">
        <v>685</v>
      </c>
      <c r="AO898" s="103" t="s">
        <v>621</v>
      </c>
      <c r="AP898" s="103" t="s">
        <v>1225</v>
      </c>
      <c r="AQ898" s="103" t="s">
        <v>1192</v>
      </c>
      <c r="AR898" s="103" t="s">
        <v>944</v>
      </c>
      <c r="AS898" s="271"/>
      <c r="AT898" s="271"/>
      <c r="AU898" s="271"/>
      <c r="AV898" s="271"/>
      <c r="AW898" s="271"/>
      <c r="AX898" s="271"/>
      <c r="AY898" s="271"/>
      <c r="AZ898" s="271"/>
      <c r="BA898" s="271"/>
      <c r="BB898" s="271"/>
      <c r="BC898" s="271"/>
      <c r="BD898" s="271"/>
      <c r="BE898" s="271"/>
      <c r="BF898" s="271"/>
      <c r="BG898" s="271">
        <v>50000000</v>
      </c>
      <c r="BH898" s="235">
        <f t="shared" si="459"/>
        <v>50000000</v>
      </c>
      <c r="BI898" s="271"/>
      <c r="BJ898" s="271"/>
      <c r="BK898" s="271"/>
      <c r="BL898" s="271"/>
      <c r="BM898" s="271"/>
      <c r="BN898" s="271"/>
      <c r="BO898" s="271"/>
      <c r="BP898" s="271"/>
      <c r="BQ898" s="271"/>
      <c r="BR898" s="271"/>
      <c r="BS898" s="271"/>
      <c r="BT898" s="271"/>
      <c r="BU898" s="271"/>
      <c r="BV898" s="271"/>
      <c r="BW898" s="271"/>
      <c r="BX898" s="235">
        <f t="shared" si="460"/>
        <v>0</v>
      </c>
      <c r="BY898" s="271"/>
      <c r="BZ898" s="271"/>
      <c r="CA898" s="271"/>
      <c r="CB898" s="271"/>
      <c r="CC898" s="271"/>
      <c r="CD898" s="271"/>
      <c r="CE898" s="271"/>
      <c r="CF898" s="271"/>
      <c r="CG898" s="271"/>
      <c r="CH898" s="271"/>
      <c r="CI898" s="271"/>
      <c r="CJ898" s="271"/>
      <c r="CK898" s="271"/>
      <c r="CL898" s="271"/>
      <c r="CM898" s="271"/>
      <c r="CN898" s="235">
        <f t="shared" si="461"/>
        <v>0</v>
      </c>
      <c r="CO898" s="271"/>
      <c r="CP898" s="271"/>
      <c r="CQ898" s="271"/>
      <c r="CR898" s="271"/>
      <c r="CS898" s="271"/>
      <c r="CT898" s="271"/>
      <c r="CU898" s="271"/>
      <c r="CV898" s="271"/>
      <c r="CW898" s="271"/>
      <c r="CX898" s="271"/>
      <c r="CY898" s="271"/>
      <c r="CZ898" s="271"/>
      <c r="DA898" s="271"/>
      <c r="DB898" s="271"/>
      <c r="DC898" s="271">
        <v>20000000</v>
      </c>
      <c r="DD898" s="234">
        <f t="shared" si="462"/>
        <v>20000000</v>
      </c>
      <c r="DE898" s="244">
        <f t="shared" ref="DE898:DE900" si="464">SUM(DD898+CN898+BX898+BH898)</f>
        <v>70000000</v>
      </c>
    </row>
    <row r="899" spans="1:110" s="99" customFormat="1" ht="135" customHeight="1">
      <c r="A899" s="103" t="s">
        <v>1235</v>
      </c>
      <c r="B899" s="279" t="s">
        <v>1890</v>
      </c>
      <c r="C899" s="279" t="s">
        <v>1934</v>
      </c>
      <c r="D899" s="279">
        <v>80</v>
      </c>
      <c r="E899" s="279" t="s">
        <v>1935</v>
      </c>
      <c r="F899" s="280" t="s">
        <v>443</v>
      </c>
      <c r="G899" s="279" t="s">
        <v>3696</v>
      </c>
      <c r="H899" s="279">
        <v>96</v>
      </c>
      <c r="I899" s="279" t="s">
        <v>1936</v>
      </c>
      <c r="J899" s="279" t="s">
        <v>689</v>
      </c>
      <c r="K899" s="279">
        <v>34.020000000000003</v>
      </c>
      <c r="L899" s="279" t="s">
        <v>1937</v>
      </c>
      <c r="M899" s="279" t="s">
        <v>1954</v>
      </c>
      <c r="N899" s="279" t="s">
        <v>1955</v>
      </c>
      <c r="O899" s="279" t="s">
        <v>1956</v>
      </c>
      <c r="P899" s="283">
        <v>793</v>
      </c>
      <c r="Q899" s="279" t="s">
        <v>3701</v>
      </c>
      <c r="R899" s="279" t="s">
        <v>272</v>
      </c>
      <c r="S899" s="279" t="s">
        <v>683</v>
      </c>
      <c r="T899" s="279">
        <v>0</v>
      </c>
      <c r="U899" s="267"/>
      <c r="V899" s="267"/>
      <c r="W899" s="224">
        <v>0</v>
      </c>
      <c r="X899" s="267"/>
      <c r="Y899" s="267"/>
      <c r="Z899" s="267"/>
      <c r="AA899" s="267"/>
      <c r="AB899" s="224">
        <v>0</v>
      </c>
      <c r="AC899" s="267"/>
      <c r="AD899" s="267"/>
      <c r="AE899" s="267"/>
      <c r="AF899" s="267"/>
      <c r="AG899" s="224">
        <v>0</v>
      </c>
      <c r="AH899" s="267">
        <v>0.5</v>
      </c>
      <c r="AI899" s="267">
        <v>0.75</v>
      </c>
      <c r="AJ899" s="267">
        <v>0.75</v>
      </c>
      <c r="AK899" s="267"/>
      <c r="AL899" s="224">
        <v>2</v>
      </c>
      <c r="AM899" s="104">
        <v>2</v>
      </c>
      <c r="AN899" s="103" t="s">
        <v>685</v>
      </c>
      <c r="AO899" s="103" t="s">
        <v>621</v>
      </c>
      <c r="AP899" s="103" t="s">
        <v>1225</v>
      </c>
      <c r="AQ899" s="103" t="s">
        <v>1192</v>
      </c>
      <c r="AR899" s="103" t="s">
        <v>944</v>
      </c>
      <c r="AS899" s="271"/>
      <c r="AT899" s="271"/>
      <c r="AU899" s="271"/>
      <c r="AV899" s="271"/>
      <c r="AW899" s="271"/>
      <c r="AX899" s="271"/>
      <c r="AY899" s="271"/>
      <c r="AZ899" s="271"/>
      <c r="BA899" s="271"/>
      <c r="BB899" s="271"/>
      <c r="BC899" s="271"/>
      <c r="BD899" s="271"/>
      <c r="BE899" s="271"/>
      <c r="BF899" s="271"/>
      <c r="BG899" s="271"/>
      <c r="BH899" s="235">
        <f t="shared" si="459"/>
        <v>0</v>
      </c>
      <c r="BI899" s="271"/>
      <c r="BJ899" s="271"/>
      <c r="BK899" s="271"/>
      <c r="BL899" s="271"/>
      <c r="BM899" s="271"/>
      <c r="BN899" s="271"/>
      <c r="BO899" s="271"/>
      <c r="BP899" s="271"/>
      <c r="BQ899" s="271"/>
      <c r="BR899" s="271"/>
      <c r="BS899" s="271"/>
      <c r="BT899" s="271"/>
      <c r="BU899" s="271"/>
      <c r="BV899" s="271"/>
      <c r="BW899" s="271"/>
      <c r="BX899" s="235">
        <f t="shared" si="460"/>
        <v>0</v>
      </c>
      <c r="BY899" s="271"/>
      <c r="BZ899" s="271"/>
      <c r="CA899" s="271"/>
      <c r="CB899" s="271"/>
      <c r="CC899" s="271"/>
      <c r="CD899" s="271"/>
      <c r="CE899" s="271"/>
      <c r="CF899" s="271"/>
      <c r="CG899" s="271"/>
      <c r="CH899" s="271"/>
      <c r="CI899" s="271"/>
      <c r="CJ899" s="271"/>
      <c r="CK899" s="271"/>
      <c r="CL899" s="271"/>
      <c r="CM899" s="271"/>
      <c r="CN899" s="235">
        <f t="shared" si="461"/>
        <v>0</v>
      </c>
      <c r="CO899" s="271"/>
      <c r="CP899" s="271"/>
      <c r="CQ899" s="271"/>
      <c r="CR899" s="271"/>
      <c r="CS899" s="271"/>
      <c r="CT899" s="271"/>
      <c r="CU899" s="271"/>
      <c r="CV899" s="271"/>
      <c r="CW899" s="271"/>
      <c r="CX899" s="271"/>
      <c r="CY899" s="271"/>
      <c r="CZ899" s="271"/>
      <c r="DA899" s="271"/>
      <c r="DB899" s="271"/>
      <c r="DC899" s="271">
        <v>50000000</v>
      </c>
      <c r="DD899" s="234">
        <f t="shared" si="462"/>
        <v>50000000</v>
      </c>
      <c r="DE899" s="244">
        <f t="shared" si="464"/>
        <v>50000000</v>
      </c>
    </row>
    <row r="900" spans="1:110" s="99" customFormat="1" ht="135" customHeight="1">
      <c r="A900" s="120" t="s">
        <v>1235</v>
      </c>
      <c r="B900" s="281" t="s">
        <v>1890</v>
      </c>
      <c r="C900" s="281" t="s">
        <v>1934</v>
      </c>
      <c r="D900" s="281">
        <v>80</v>
      </c>
      <c r="E900" s="281" t="s">
        <v>1935</v>
      </c>
      <c r="F900" s="282" t="s">
        <v>443</v>
      </c>
      <c r="G900" s="281" t="s">
        <v>3696</v>
      </c>
      <c r="H900" s="281">
        <v>96</v>
      </c>
      <c r="I900" s="281" t="s">
        <v>1936</v>
      </c>
      <c r="J900" s="281" t="s">
        <v>689</v>
      </c>
      <c r="K900" s="281">
        <v>34.020000000000003</v>
      </c>
      <c r="L900" s="281" t="s">
        <v>1937</v>
      </c>
      <c r="M900" s="281" t="s">
        <v>1954</v>
      </c>
      <c r="N900" s="281" t="s">
        <v>1955</v>
      </c>
      <c r="O900" s="281" t="s">
        <v>1956</v>
      </c>
      <c r="P900" s="283">
        <v>794</v>
      </c>
      <c r="Q900" s="281" t="s">
        <v>3702</v>
      </c>
      <c r="R900" s="281" t="s">
        <v>270</v>
      </c>
      <c r="S900" s="281" t="s">
        <v>683</v>
      </c>
      <c r="T900" s="281">
        <v>0</v>
      </c>
      <c r="U900" s="275"/>
      <c r="V900" s="275"/>
      <c r="W900" s="225">
        <v>0</v>
      </c>
      <c r="X900" s="275"/>
      <c r="Y900" s="275"/>
      <c r="Z900" s="275"/>
      <c r="AA900" s="275"/>
      <c r="AB900" s="225">
        <v>0</v>
      </c>
      <c r="AC900" s="275"/>
      <c r="AD900" s="275"/>
      <c r="AE900" s="275"/>
      <c r="AF900" s="275"/>
      <c r="AG900" s="225">
        <v>0</v>
      </c>
      <c r="AH900" s="275">
        <v>1</v>
      </c>
      <c r="AI900" s="275">
        <v>1</v>
      </c>
      <c r="AJ900" s="275"/>
      <c r="AK900" s="275"/>
      <c r="AL900" s="225">
        <v>2</v>
      </c>
      <c r="AM900" s="119">
        <v>2</v>
      </c>
      <c r="AN900" s="120" t="s">
        <v>685</v>
      </c>
      <c r="AO900" s="120" t="s">
        <v>621</v>
      </c>
      <c r="AP900" s="120" t="s">
        <v>1225</v>
      </c>
      <c r="AQ900" s="120" t="s">
        <v>1192</v>
      </c>
      <c r="AR900" s="120" t="s">
        <v>944</v>
      </c>
      <c r="AS900" s="276"/>
      <c r="AT900" s="276"/>
      <c r="AU900" s="276"/>
      <c r="AV900" s="276"/>
      <c r="AW900" s="276"/>
      <c r="AX900" s="276"/>
      <c r="AY900" s="276"/>
      <c r="AZ900" s="276"/>
      <c r="BA900" s="276"/>
      <c r="BB900" s="276"/>
      <c r="BC900" s="276"/>
      <c r="BD900" s="276"/>
      <c r="BE900" s="276"/>
      <c r="BF900" s="276"/>
      <c r="BG900" s="276"/>
      <c r="BH900" s="236">
        <f t="shared" si="459"/>
        <v>0</v>
      </c>
      <c r="BI900" s="276"/>
      <c r="BJ900" s="276"/>
      <c r="BK900" s="276"/>
      <c r="BL900" s="276"/>
      <c r="BM900" s="276"/>
      <c r="BN900" s="276"/>
      <c r="BO900" s="276"/>
      <c r="BP900" s="276"/>
      <c r="BQ900" s="276"/>
      <c r="BR900" s="276"/>
      <c r="BS900" s="276"/>
      <c r="BT900" s="276"/>
      <c r="BU900" s="276"/>
      <c r="BV900" s="276"/>
      <c r="BW900" s="276"/>
      <c r="BX900" s="236">
        <f t="shared" si="460"/>
        <v>0</v>
      </c>
      <c r="BY900" s="276"/>
      <c r="BZ900" s="276"/>
      <c r="CA900" s="276"/>
      <c r="CB900" s="276"/>
      <c r="CC900" s="276"/>
      <c r="CD900" s="276"/>
      <c r="CE900" s="276"/>
      <c r="CF900" s="276"/>
      <c r="CG900" s="276"/>
      <c r="CH900" s="276"/>
      <c r="CI900" s="276"/>
      <c r="CJ900" s="276"/>
      <c r="CK900" s="276"/>
      <c r="CL900" s="276"/>
      <c r="CM900" s="276"/>
      <c r="CN900" s="236">
        <f t="shared" si="461"/>
        <v>0</v>
      </c>
      <c r="CO900" s="276"/>
      <c r="CP900" s="276"/>
      <c r="CQ900" s="276"/>
      <c r="CR900" s="276"/>
      <c r="CS900" s="276"/>
      <c r="CT900" s="276"/>
      <c r="CU900" s="276"/>
      <c r="CV900" s="276"/>
      <c r="CW900" s="276"/>
      <c r="CX900" s="276"/>
      <c r="CY900" s="276"/>
      <c r="CZ900" s="276"/>
      <c r="DA900" s="276"/>
      <c r="DB900" s="276"/>
      <c r="DC900" s="276">
        <v>80000000</v>
      </c>
      <c r="DD900" s="240">
        <f t="shared" si="462"/>
        <v>80000000</v>
      </c>
      <c r="DE900" s="245">
        <f t="shared" si="464"/>
        <v>80000000</v>
      </c>
    </row>
    <row r="901" spans="1:110" s="46" customFormat="1" ht="65.099999999999994" customHeight="1">
      <c r="A901" s="134"/>
      <c r="B901" s="134" t="s">
        <v>1890</v>
      </c>
      <c r="C901" s="134" t="s">
        <v>1934</v>
      </c>
      <c r="D901" s="134">
        <v>80</v>
      </c>
      <c r="E901" s="134" t="s">
        <v>1935</v>
      </c>
      <c r="F901" s="135"/>
      <c r="G901" s="136"/>
      <c r="H901" s="137"/>
      <c r="I901" s="137"/>
      <c r="J901" s="137"/>
      <c r="K901" s="138"/>
      <c r="L901" s="137"/>
      <c r="M901" s="137"/>
      <c r="N901" s="137"/>
      <c r="O901" s="137"/>
      <c r="P901" s="137"/>
      <c r="Q901" s="136"/>
      <c r="R901" s="139"/>
      <c r="S901" s="137"/>
      <c r="T901" s="137"/>
      <c r="U901" s="140"/>
      <c r="V901" s="140"/>
      <c r="W901" s="138"/>
      <c r="X901" s="140"/>
      <c r="Y901" s="140"/>
      <c r="Z901" s="140"/>
      <c r="AA901" s="140"/>
      <c r="AB901" s="138"/>
      <c r="AC901" s="140"/>
      <c r="AD901" s="140"/>
      <c r="AE901" s="140"/>
      <c r="AF901" s="140"/>
      <c r="AG901" s="138"/>
      <c r="AH901" s="140"/>
      <c r="AI901" s="140"/>
      <c r="AJ901" s="140"/>
      <c r="AK901" s="140"/>
      <c r="AL901" s="138"/>
      <c r="AM901" s="141"/>
      <c r="AN901" s="142"/>
      <c r="AO901" s="142"/>
      <c r="AP901" s="143"/>
      <c r="AQ901" s="143"/>
      <c r="AR901" s="144"/>
      <c r="AS901" s="132">
        <f>SUM(AS888:AS900)</f>
        <v>0</v>
      </c>
      <c r="AT901" s="132">
        <f t="shared" ref="AT901:DE901" si="465">SUM(AT888:AT900)</f>
        <v>0</v>
      </c>
      <c r="AU901" s="132">
        <f t="shared" si="465"/>
        <v>0</v>
      </c>
      <c r="AV901" s="132">
        <f t="shared" si="465"/>
        <v>0</v>
      </c>
      <c r="AW901" s="132">
        <f t="shared" si="465"/>
        <v>0</v>
      </c>
      <c r="AX901" s="132">
        <f t="shared" si="465"/>
        <v>0</v>
      </c>
      <c r="AY901" s="132">
        <f t="shared" si="465"/>
        <v>0</v>
      </c>
      <c r="AZ901" s="132">
        <f t="shared" si="465"/>
        <v>0</v>
      </c>
      <c r="BA901" s="132">
        <f t="shared" si="465"/>
        <v>0</v>
      </c>
      <c r="BB901" s="132">
        <f t="shared" si="465"/>
        <v>0</v>
      </c>
      <c r="BC901" s="132">
        <f t="shared" si="465"/>
        <v>0</v>
      </c>
      <c r="BD901" s="132">
        <f t="shared" si="465"/>
        <v>0</v>
      </c>
      <c r="BE901" s="132">
        <f t="shared" si="465"/>
        <v>0</v>
      </c>
      <c r="BF901" s="132">
        <f t="shared" si="465"/>
        <v>0</v>
      </c>
      <c r="BG901" s="132">
        <f t="shared" si="465"/>
        <v>21518820689</v>
      </c>
      <c r="BH901" s="132">
        <f t="shared" si="465"/>
        <v>21518820689</v>
      </c>
      <c r="BI901" s="132">
        <f t="shared" si="465"/>
        <v>0</v>
      </c>
      <c r="BJ901" s="132">
        <f t="shared" si="465"/>
        <v>0</v>
      </c>
      <c r="BK901" s="132">
        <f t="shared" si="465"/>
        <v>0</v>
      </c>
      <c r="BL901" s="132">
        <f t="shared" si="465"/>
        <v>0</v>
      </c>
      <c r="BM901" s="132">
        <f t="shared" si="465"/>
        <v>0</v>
      </c>
      <c r="BN901" s="132">
        <f t="shared" si="465"/>
        <v>0</v>
      </c>
      <c r="BO901" s="132">
        <f t="shared" si="465"/>
        <v>0</v>
      </c>
      <c r="BP901" s="132">
        <f t="shared" si="465"/>
        <v>0</v>
      </c>
      <c r="BQ901" s="132">
        <f t="shared" si="465"/>
        <v>0</v>
      </c>
      <c r="BR901" s="132">
        <f t="shared" si="465"/>
        <v>0</v>
      </c>
      <c r="BS901" s="132">
        <f t="shared" si="465"/>
        <v>0</v>
      </c>
      <c r="BT901" s="132">
        <f t="shared" si="465"/>
        <v>0</v>
      </c>
      <c r="BU901" s="132">
        <f t="shared" si="465"/>
        <v>0</v>
      </c>
      <c r="BV901" s="132">
        <f t="shared" si="465"/>
        <v>0</v>
      </c>
      <c r="BW901" s="132">
        <f t="shared" si="465"/>
        <v>0</v>
      </c>
      <c r="BX901" s="132">
        <f t="shared" si="465"/>
        <v>0</v>
      </c>
      <c r="BY901" s="132">
        <f t="shared" si="465"/>
        <v>0</v>
      </c>
      <c r="BZ901" s="132">
        <f t="shared" si="465"/>
        <v>0</v>
      </c>
      <c r="CA901" s="132">
        <f t="shared" si="465"/>
        <v>0</v>
      </c>
      <c r="CB901" s="132">
        <f t="shared" si="465"/>
        <v>0</v>
      </c>
      <c r="CC901" s="132">
        <f t="shared" si="465"/>
        <v>0</v>
      </c>
      <c r="CD901" s="132">
        <f t="shared" si="465"/>
        <v>0</v>
      </c>
      <c r="CE901" s="132">
        <f t="shared" si="465"/>
        <v>0</v>
      </c>
      <c r="CF901" s="132">
        <f t="shared" si="465"/>
        <v>0</v>
      </c>
      <c r="CG901" s="132">
        <f t="shared" si="465"/>
        <v>0</v>
      </c>
      <c r="CH901" s="132">
        <f t="shared" si="465"/>
        <v>0</v>
      </c>
      <c r="CI901" s="132">
        <f t="shared" si="465"/>
        <v>0</v>
      </c>
      <c r="CJ901" s="132">
        <f t="shared" si="465"/>
        <v>0</v>
      </c>
      <c r="CK901" s="132">
        <f t="shared" si="465"/>
        <v>0</v>
      </c>
      <c r="CL901" s="132">
        <f t="shared" si="465"/>
        <v>0</v>
      </c>
      <c r="CM901" s="132">
        <f t="shared" si="465"/>
        <v>0</v>
      </c>
      <c r="CN901" s="132">
        <f t="shared" si="465"/>
        <v>0</v>
      </c>
      <c r="CO901" s="132">
        <f t="shared" si="465"/>
        <v>0</v>
      </c>
      <c r="CP901" s="132">
        <f t="shared" si="465"/>
        <v>0</v>
      </c>
      <c r="CQ901" s="132">
        <f t="shared" si="465"/>
        <v>0</v>
      </c>
      <c r="CR901" s="132">
        <f t="shared" si="465"/>
        <v>0</v>
      </c>
      <c r="CS901" s="132">
        <f t="shared" si="465"/>
        <v>0</v>
      </c>
      <c r="CT901" s="132">
        <f t="shared" si="465"/>
        <v>0</v>
      </c>
      <c r="CU901" s="132">
        <f t="shared" si="465"/>
        <v>0</v>
      </c>
      <c r="CV901" s="132">
        <f t="shared" si="465"/>
        <v>0</v>
      </c>
      <c r="CW901" s="132">
        <f t="shared" si="465"/>
        <v>0</v>
      </c>
      <c r="CX901" s="132">
        <f t="shared" si="465"/>
        <v>0</v>
      </c>
      <c r="CY901" s="132">
        <f t="shared" si="465"/>
        <v>0</v>
      </c>
      <c r="CZ901" s="132">
        <f t="shared" si="465"/>
        <v>0</v>
      </c>
      <c r="DA901" s="132">
        <f t="shared" si="465"/>
        <v>0</v>
      </c>
      <c r="DB901" s="132">
        <f t="shared" si="465"/>
        <v>0</v>
      </c>
      <c r="DC901" s="132">
        <f t="shared" si="465"/>
        <v>2150000000</v>
      </c>
      <c r="DD901" s="132">
        <f t="shared" si="465"/>
        <v>2150000000</v>
      </c>
      <c r="DE901" s="132">
        <f t="shared" si="465"/>
        <v>23668820689</v>
      </c>
    </row>
    <row r="902" spans="1:110" s="98" customFormat="1" ht="119.1" customHeight="1">
      <c r="A902" s="103" t="s">
        <v>1240</v>
      </c>
      <c r="B902" s="103" t="s">
        <v>1890</v>
      </c>
      <c r="C902" s="103" t="s">
        <v>1934</v>
      </c>
      <c r="D902" s="103">
        <v>81</v>
      </c>
      <c r="E902" s="103" t="s">
        <v>1958</v>
      </c>
      <c r="F902" s="278" t="s">
        <v>1959</v>
      </c>
      <c r="G902" s="103" t="s">
        <v>3856</v>
      </c>
      <c r="H902" s="103">
        <v>97</v>
      </c>
      <c r="I902" s="103" t="s">
        <v>1960</v>
      </c>
      <c r="J902" s="103" t="s">
        <v>683</v>
      </c>
      <c r="K902" s="103">
        <v>1</v>
      </c>
      <c r="L902" s="103">
        <v>1</v>
      </c>
      <c r="M902" s="103" t="s">
        <v>1938</v>
      </c>
      <c r="N902" s="103" t="s">
        <v>1961</v>
      </c>
      <c r="O902" s="103" t="s">
        <v>1962</v>
      </c>
      <c r="P902" s="283">
        <v>795</v>
      </c>
      <c r="Q902" s="103" t="s">
        <v>3857</v>
      </c>
      <c r="R902" s="103" t="s">
        <v>1963</v>
      </c>
      <c r="S902" s="103" t="s">
        <v>683</v>
      </c>
      <c r="T902" s="103">
        <v>0</v>
      </c>
      <c r="U902" s="267"/>
      <c r="V902" s="267">
        <v>0.3</v>
      </c>
      <c r="W902" s="224">
        <v>0.3</v>
      </c>
      <c r="X902" s="267"/>
      <c r="Y902" s="267"/>
      <c r="Z902" s="267"/>
      <c r="AA902" s="267"/>
      <c r="AB902" s="224">
        <v>0</v>
      </c>
      <c r="AC902" s="267"/>
      <c r="AD902" s="267"/>
      <c r="AE902" s="267"/>
      <c r="AF902" s="267"/>
      <c r="AG902" s="224">
        <v>0</v>
      </c>
      <c r="AH902" s="267">
        <v>0.7</v>
      </c>
      <c r="AI902" s="267"/>
      <c r="AJ902" s="267"/>
      <c r="AK902" s="267"/>
      <c r="AL902" s="224">
        <v>0.7</v>
      </c>
      <c r="AM902" s="102">
        <v>1</v>
      </c>
      <c r="AN902" s="103" t="s">
        <v>685</v>
      </c>
      <c r="AO902" s="103" t="s">
        <v>1212</v>
      </c>
      <c r="AP902" s="103" t="s">
        <v>1229</v>
      </c>
      <c r="AQ902" s="103" t="s">
        <v>1207</v>
      </c>
      <c r="AR902" s="103" t="s">
        <v>951</v>
      </c>
      <c r="AS902" s="268"/>
      <c r="AT902" s="268"/>
      <c r="AU902" s="268"/>
      <c r="AV902" s="268"/>
      <c r="AW902" s="268"/>
      <c r="AX902" s="268"/>
      <c r="AY902" s="268"/>
      <c r="AZ902" s="268"/>
      <c r="BA902" s="268"/>
      <c r="BB902" s="268"/>
      <c r="BC902" s="268"/>
      <c r="BD902" s="268"/>
      <c r="BE902" s="268"/>
      <c r="BF902" s="268"/>
      <c r="BG902" s="268">
        <v>400000000</v>
      </c>
      <c r="BH902" s="234">
        <v>400000000</v>
      </c>
      <c r="BI902" s="268"/>
      <c r="BJ902" s="268"/>
      <c r="BK902" s="268"/>
      <c r="BL902" s="268"/>
      <c r="BM902" s="268"/>
      <c r="BN902" s="268"/>
      <c r="BO902" s="268"/>
      <c r="BP902" s="268"/>
      <c r="BQ902" s="268"/>
      <c r="BR902" s="268"/>
      <c r="BS902" s="268"/>
      <c r="BT902" s="268"/>
      <c r="BU902" s="268"/>
      <c r="BV902" s="268"/>
      <c r="BW902" s="268"/>
      <c r="BX902" s="234">
        <v>0</v>
      </c>
      <c r="BY902" s="268"/>
      <c r="BZ902" s="268"/>
      <c r="CA902" s="268"/>
      <c r="CB902" s="268"/>
      <c r="CC902" s="268"/>
      <c r="CD902" s="268"/>
      <c r="CE902" s="268"/>
      <c r="CF902" s="268"/>
      <c r="CG902" s="268"/>
      <c r="CH902" s="268"/>
      <c r="CI902" s="268"/>
      <c r="CJ902" s="268"/>
      <c r="CK902" s="268"/>
      <c r="CL902" s="268"/>
      <c r="CM902" s="268"/>
      <c r="CN902" s="234">
        <v>0</v>
      </c>
      <c r="CO902" s="268"/>
      <c r="CP902" s="268"/>
      <c r="CQ902" s="268"/>
      <c r="CR902" s="268"/>
      <c r="CS902" s="268"/>
      <c r="CT902" s="268"/>
      <c r="CU902" s="268"/>
      <c r="CV902" s="268"/>
      <c r="CW902" s="268"/>
      <c r="CX902" s="268"/>
      <c r="CY902" s="268"/>
      <c r="CZ902" s="268"/>
      <c r="DA902" s="268"/>
      <c r="DB902" s="268"/>
      <c r="DC902" s="268">
        <v>200000000</v>
      </c>
      <c r="DD902" s="234">
        <v>200000000</v>
      </c>
      <c r="DE902" s="243">
        <v>600000000</v>
      </c>
    </row>
    <row r="903" spans="1:110" s="98" customFormat="1" ht="119.1" customHeight="1">
      <c r="A903" s="103" t="s">
        <v>1240</v>
      </c>
      <c r="B903" s="279" t="s">
        <v>1890</v>
      </c>
      <c r="C903" s="279" t="s">
        <v>1934</v>
      </c>
      <c r="D903" s="279">
        <v>81</v>
      </c>
      <c r="E903" s="279" t="s">
        <v>1958</v>
      </c>
      <c r="F903" s="280" t="s">
        <v>1959</v>
      </c>
      <c r="G903" s="279" t="s">
        <v>3856</v>
      </c>
      <c r="H903" s="279">
        <v>97</v>
      </c>
      <c r="I903" s="279" t="s">
        <v>1960</v>
      </c>
      <c r="J903" s="279" t="s">
        <v>683</v>
      </c>
      <c r="K903" s="279">
        <v>1</v>
      </c>
      <c r="L903" s="279">
        <v>1</v>
      </c>
      <c r="M903" s="279" t="s">
        <v>1938</v>
      </c>
      <c r="N903" s="279" t="s">
        <v>1961</v>
      </c>
      <c r="O903" s="279" t="s">
        <v>1962</v>
      </c>
      <c r="P903" s="283">
        <v>796</v>
      </c>
      <c r="Q903" s="279" t="s">
        <v>3858</v>
      </c>
      <c r="R903" s="279" t="s">
        <v>1964</v>
      </c>
      <c r="S903" s="279" t="s">
        <v>683</v>
      </c>
      <c r="T903" s="279">
        <v>0</v>
      </c>
      <c r="U903" s="267"/>
      <c r="V903" s="267">
        <v>0.2</v>
      </c>
      <c r="W903" s="224">
        <v>0.2</v>
      </c>
      <c r="X903" s="267"/>
      <c r="Y903" s="267"/>
      <c r="Z903" s="267"/>
      <c r="AA903" s="267"/>
      <c r="AB903" s="224">
        <v>0</v>
      </c>
      <c r="AC903" s="267"/>
      <c r="AD903" s="267"/>
      <c r="AE903" s="267"/>
      <c r="AF903" s="267"/>
      <c r="AG903" s="224">
        <v>0</v>
      </c>
      <c r="AH903" s="267">
        <v>0.8</v>
      </c>
      <c r="AI903" s="267">
        <v>1</v>
      </c>
      <c r="AJ903" s="267">
        <v>1</v>
      </c>
      <c r="AK903" s="267"/>
      <c r="AL903" s="224">
        <v>2.8</v>
      </c>
      <c r="AM903" s="104">
        <v>3</v>
      </c>
      <c r="AN903" s="103" t="s">
        <v>685</v>
      </c>
      <c r="AO903" s="103" t="s">
        <v>1212</v>
      </c>
      <c r="AP903" s="103" t="s">
        <v>1229</v>
      </c>
      <c r="AQ903" s="103" t="s">
        <v>1207</v>
      </c>
      <c r="AR903" s="103" t="s">
        <v>951</v>
      </c>
      <c r="AS903" s="271"/>
      <c r="AT903" s="271"/>
      <c r="AU903" s="271"/>
      <c r="AV903" s="271"/>
      <c r="AW903" s="271"/>
      <c r="AX903" s="271"/>
      <c r="AY903" s="271"/>
      <c r="AZ903" s="271"/>
      <c r="BA903" s="271"/>
      <c r="BB903" s="271"/>
      <c r="BC903" s="271"/>
      <c r="BD903" s="271"/>
      <c r="BE903" s="271"/>
      <c r="BF903" s="271"/>
      <c r="BG903" s="271">
        <v>200000000</v>
      </c>
      <c r="BH903" s="235">
        <v>200000000</v>
      </c>
      <c r="BI903" s="271"/>
      <c r="BJ903" s="271"/>
      <c r="BK903" s="271"/>
      <c r="BL903" s="271"/>
      <c r="BM903" s="271"/>
      <c r="BN903" s="271"/>
      <c r="BO903" s="271"/>
      <c r="BP903" s="271"/>
      <c r="BQ903" s="271"/>
      <c r="BR903" s="271"/>
      <c r="BS903" s="271"/>
      <c r="BT903" s="271"/>
      <c r="BU903" s="271"/>
      <c r="BV903" s="271"/>
      <c r="BW903" s="271"/>
      <c r="BX903" s="235">
        <v>0</v>
      </c>
      <c r="BY903" s="271"/>
      <c r="BZ903" s="271"/>
      <c r="CA903" s="271"/>
      <c r="CB903" s="271"/>
      <c r="CC903" s="271"/>
      <c r="CD903" s="271"/>
      <c r="CE903" s="271"/>
      <c r="CF903" s="271"/>
      <c r="CG903" s="271"/>
      <c r="CH903" s="271"/>
      <c r="CI903" s="271"/>
      <c r="CJ903" s="271"/>
      <c r="CK903" s="271"/>
      <c r="CL903" s="271"/>
      <c r="CM903" s="271"/>
      <c r="CN903" s="235">
        <v>0</v>
      </c>
      <c r="CO903" s="271"/>
      <c r="CP903" s="271"/>
      <c r="CQ903" s="271"/>
      <c r="CR903" s="271"/>
      <c r="CS903" s="271"/>
      <c r="CT903" s="271"/>
      <c r="CU903" s="271"/>
      <c r="CV903" s="271"/>
      <c r="CW903" s="271"/>
      <c r="CX903" s="271"/>
      <c r="CY903" s="271"/>
      <c r="CZ903" s="271"/>
      <c r="DA903" s="271"/>
      <c r="DB903" s="271"/>
      <c r="DC903" s="271">
        <v>200000000</v>
      </c>
      <c r="DD903" s="234">
        <v>200000000</v>
      </c>
      <c r="DE903" s="244">
        <v>400000000</v>
      </c>
    </row>
    <row r="904" spans="1:110" s="98" customFormat="1" ht="119.1" customHeight="1">
      <c r="A904" s="120" t="s">
        <v>1240</v>
      </c>
      <c r="B904" s="281" t="s">
        <v>1890</v>
      </c>
      <c r="C904" s="281" t="s">
        <v>1934</v>
      </c>
      <c r="D904" s="281">
        <v>81</v>
      </c>
      <c r="E904" s="281" t="s">
        <v>1958</v>
      </c>
      <c r="F904" s="282" t="s">
        <v>1959</v>
      </c>
      <c r="G904" s="281" t="s">
        <v>3856</v>
      </c>
      <c r="H904" s="281">
        <v>97</v>
      </c>
      <c r="I904" s="281" t="s">
        <v>1960</v>
      </c>
      <c r="J904" s="281" t="s">
        <v>683</v>
      </c>
      <c r="K904" s="281">
        <v>1</v>
      </c>
      <c r="L904" s="281">
        <v>1</v>
      </c>
      <c r="M904" s="281" t="s">
        <v>1938</v>
      </c>
      <c r="N904" s="281" t="s">
        <v>1961</v>
      </c>
      <c r="O904" s="281" t="s">
        <v>1962</v>
      </c>
      <c r="P904" s="284">
        <v>797</v>
      </c>
      <c r="Q904" s="281" t="s">
        <v>3859</v>
      </c>
      <c r="R904" s="281" t="s">
        <v>1965</v>
      </c>
      <c r="S904" s="281" t="s">
        <v>683</v>
      </c>
      <c r="T904" s="281">
        <v>11</v>
      </c>
      <c r="U904" s="275"/>
      <c r="V904" s="275">
        <v>1</v>
      </c>
      <c r="W904" s="225">
        <v>1</v>
      </c>
      <c r="X904" s="275"/>
      <c r="Y904" s="275"/>
      <c r="Z904" s="275"/>
      <c r="AA904" s="275"/>
      <c r="AB904" s="225">
        <v>0</v>
      </c>
      <c r="AC904" s="275"/>
      <c r="AD904" s="275"/>
      <c r="AE904" s="275"/>
      <c r="AF904" s="275"/>
      <c r="AG904" s="225">
        <v>0</v>
      </c>
      <c r="AH904" s="275">
        <v>5</v>
      </c>
      <c r="AI904" s="275"/>
      <c r="AJ904" s="275"/>
      <c r="AK904" s="275"/>
      <c r="AL904" s="225">
        <v>5</v>
      </c>
      <c r="AM904" s="119">
        <v>6</v>
      </c>
      <c r="AN904" s="120" t="s">
        <v>685</v>
      </c>
      <c r="AO904" s="120" t="s">
        <v>1212</v>
      </c>
      <c r="AP904" s="120" t="s">
        <v>1229</v>
      </c>
      <c r="AQ904" s="120" t="s">
        <v>1207</v>
      </c>
      <c r="AR904" s="120" t="s">
        <v>951</v>
      </c>
      <c r="AS904" s="276"/>
      <c r="AT904" s="276"/>
      <c r="AU904" s="276"/>
      <c r="AV904" s="276"/>
      <c r="AW904" s="276"/>
      <c r="AX904" s="276"/>
      <c r="AY904" s="276"/>
      <c r="AZ904" s="276"/>
      <c r="BA904" s="276"/>
      <c r="BB904" s="276"/>
      <c r="BC904" s="276"/>
      <c r="BD904" s="276"/>
      <c r="BE904" s="276"/>
      <c r="BF904" s="276"/>
      <c r="BG904" s="276">
        <v>400000000</v>
      </c>
      <c r="BH904" s="236">
        <v>400000000</v>
      </c>
      <c r="BI904" s="276"/>
      <c r="BJ904" s="276"/>
      <c r="BK904" s="276"/>
      <c r="BL904" s="276"/>
      <c r="BM904" s="276"/>
      <c r="BN904" s="276"/>
      <c r="BO904" s="276"/>
      <c r="BP904" s="276"/>
      <c r="BQ904" s="276"/>
      <c r="BR904" s="276"/>
      <c r="BS904" s="276"/>
      <c r="BT904" s="276"/>
      <c r="BU904" s="276"/>
      <c r="BV904" s="276"/>
      <c r="BW904" s="276"/>
      <c r="BX904" s="236">
        <v>0</v>
      </c>
      <c r="BY904" s="276"/>
      <c r="BZ904" s="276"/>
      <c r="CA904" s="276"/>
      <c r="CB904" s="276"/>
      <c r="CC904" s="276"/>
      <c r="CD904" s="276"/>
      <c r="CE904" s="276"/>
      <c r="CF904" s="276"/>
      <c r="CG904" s="276"/>
      <c r="CH904" s="276"/>
      <c r="CI904" s="276"/>
      <c r="CJ904" s="276"/>
      <c r="CK904" s="276"/>
      <c r="CL904" s="276"/>
      <c r="CM904" s="276"/>
      <c r="CN904" s="236">
        <v>0</v>
      </c>
      <c r="CO904" s="276"/>
      <c r="CP904" s="276"/>
      <c r="CQ904" s="276"/>
      <c r="CR904" s="276"/>
      <c r="CS904" s="276"/>
      <c r="CT904" s="276"/>
      <c r="CU904" s="276"/>
      <c r="CV904" s="276"/>
      <c r="CW904" s="276"/>
      <c r="CX904" s="276"/>
      <c r="CY904" s="276"/>
      <c r="CZ904" s="276"/>
      <c r="DA904" s="276"/>
      <c r="DB904" s="276"/>
      <c r="DC904" s="276">
        <v>7450894009</v>
      </c>
      <c r="DD904" s="240">
        <v>7450894009</v>
      </c>
      <c r="DE904" s="245">
        <v>7850894009</v>
      </c>
    </row>
    <row r="905" spans="1:110" ht="65.099999999999994" customHeight="1">
      <c r="A905" s="118" t="s">
        <v>1240</v>
      </c>
      <c r="B905" s="118" t="s">
        <v>1890</v>
      </c>
      <c r="C905" s="118" t="s">
        <v>1934</v>
      </c>
      <c r="D905" s="159">
        <v>81</v>
      </c>
      <c r="E905" s="159" t="s">
        <v>1958</v>
      </c>
      <c r="F905" s="149"/>
      <c r="G905" s="150"/>
      <c r="H905" s="151"/>
      <c r="I905" s="151"/>
      <c r="J905" s="151"/>
      <c r="K905" s="152"/>
      <c r="L905" s="151"/>
      <c r="M905" s="151"/>
      <c r="N905" s="151"/>
      <c r="O905" s="151"/>
      <c r="P905" s="151"/>
      <c r="Q905" s="150"/>
      <c r="R905" s="153"/>
      <c r="S905" s="151"/>
      <c r="T905" s="151"/>
      <c r="U905" s="154"/>
      <c r="V905" s="154"/>
      <c r="W905" s="152"/>
      <c r="X905" s="154"/>
      <c r="Y905" s="154"/>
      <c r="Z905" s="154"/>
      <c r="AA905" s="154"/>
      <c r="AB905" s="152"/>
      <c r="AC905" s="154"/>
      <c r="AD905" s="154"/>
      <c r="AE905" s="154"/>
      <c r="AF905" s="154"/>
      <c r="AG905" s="152"/>
      <c r="AH905" s="154"/>
      <c r="AI905" s="154"/>
      <c r="AJ905" s="154"/>
      <c r="AK905" s="154"/>
      <c r="AL905" s="152"/>
      <c r="AM905" s="155"/>
      <c r="AN905" s="156"/>
      <c r="AO905" s="156"/>
      <c r="AP905" s="157"/>
      <c r="AQ905" s="157"/>
      <c r="AR905" s="158"/>
      <c r="AS905" s="132">
        <f>SUM(AS902:AS904)</f>
        <v>0</v>
      </c>
      <c r="AT905" s="132">
        <f t="shared" ref="AT905:DE905" si="466">SUM(AT902:AT904)</f>
        <v>0</v>
      </c>
      <c r="AU905" s="132">
        <f t="shared" si="466"/>
        <v>0</v>
      </c>
      <c r="AV905" s="132">
        <f t="shared" si="466"/>
        <v>0</v>
      </c>
      <c r="AW905" s="132">
        <f t="shared" si="466"/>
        <v>0</v>
      </c>
      <c r="AX905" s="132">
        <f t="shared" si="466"/>
        <v>0</v>
      </c>
      <c r="AY905" s="132">
        <f t="shared" si="466"/>
        <v>0</v>
      </c>
      <c r="AZ905" s="132">
        <f t="shared" si="466"/>
        <v>0</v>
      </c>
      <c r="BA905" s="132">
        <f t="shared" si="466"/>
        <v>0</v>
      </c>
      <c r="BB905" s="132">
        <f t="shared" si="466"/>
        <v>0</v>
      </c>
      <c r="BC905" s="132">
        <f t="shared" si="466"/>
        <v>0</v>
      </c>
      <c r="BD905" s="132">
        <f t="shared" si="466"/>
        <v>0</v>
      </c>
      <c r="BE905" s="132">
        <f t="shared" si="466"/>
        <v>0</v>
      </c>
      <c r="BF905" s="132">
        <f t="shared" si="466"/>
        <v>0</v>
      </c>
      <c r="BG905" s="132">
        <f t="shared" si="466"/>
        <v>1000000000</v>
      </c>
      <c r="BH905" s="132">
        <f>IF(OR(AND(BH902=0,W902&lt;&gt;0),AND(BH903=0,W903&lt;&gt;0),AND(BH904=0,W904&lt;&gt;0)),"NO DEBEN QUEDAR CELDAS EN ROJO",SUM(BH902:BH904))</f>
        <v>1000000000</v>
      </c>
      <c r="BI905" s="132">
        <f t="shared" si="466"/>
        <v>0</v>
      </c>
      <c r="BJ905" s="132">
        <f t="shared" si="466"/>
        <v>0</v>
      </c>
      <c r="BK905" s="132">
        <f t="shared" si="466"/>
        <v>0</v>
      </c>
      <c r="BL905" s="132">
        <f t="shared" si="466"/>
        <v>0</v>
      </c>
      <c r="BM905" s="132">
        <f t="shared" si="466"/>
        <v>0</v>
      </c>
      <c r="BN905" s="132">
        <f t="shared" si="466"/>
        <v>0</v>
      </c>
      <c r="BO905" s="132">
        <f t="shared" si="466"/>
        <v>0</v>
      </c>
      <c r="BP905" s="132">
        <f t="shared" si="466"/>
        <v>0</v>
      </c>
      <c r="BQ905" s="132">
        <f t="shared" si="466"/>
        <v>0</v>
      </c>
      <c r="BR905" s="132">
        <f t="shared" si="466"/>
        <v>0</v>
      </c>
      <c r="BS905" s="132">
        <f t="shared" si="466"/>
        <v>0</v>
      </c>
      <c r="BT905" s="132">
        <f t="shared" si="466"/>
        <v>0</v>
      </c>
      <c r="BU905" s="132">
        <f t="shared" si="466"/>
        <v>0</v>
      </c>
      <c r="BV905" s="132">
        <f t="shared" si="466"/>
        <v>0</v>
      </c>
      <c r="BW905" s="132">
        <f t="shared" si="466"/>
        <v>0</v>
      </c>
      <c r="BX905" s="132">
        <f>IF(OR(AND(BX902=0,AB902&lt;&gt;0),AND(BX903=0,AB903&lt;&gt;0),AND(BX904=0,AB904&lt;&gt;0)),"NO DEBEN QUEDAR CELDAS EN ROJO",SUM(BX902:BX904))</f>
        <v>0</v>
      </c>
      <c r="BY905" s="132">
        <f t="shared" si="466"/>
        <v>0</v>
      </c>
      <c r="BZ905" s="132">
        <f t="shared" si="466"/>
        <v>0</v>
      </c>
      <c r="CA905" s="132">
        <f t="shared" si="466"/>
        <v>0</v>
      </c>
      <c r="CB905" s="132">
        <f t="shared" si="466"/>
        <v>0</v>
      </c>
      <c r="CC905" s="132">
        <f t="shared" si="466"/>
        <v>0</v>
      </c>
      <c r="CD905" s="132">
        <f t="shared" si="466"/>
        <v>0</v>
      </c>
      <c r="CE905" s="132">
        <f t="shared" si="466"/>
        <v>0</v>
      </c>
      <c r="CF905" s="132">
        <f t="shared" si="466"/>
        <v>0</v>
      </c>
      <c r="CG905" s="132">
        <f t="shared" si="466"/>
        <v>0</v>
      </c>
      <c r="CH905" s="132">
        <f t="shared" si="466"/>
        <v>0</v>
      </c>
      <c r="CI905" s="132">
        <f t="shared" si="466"/>
        <v>0</v>
      </c>
      <c r="CJ905" s="132">
        <f t="shared" si="466"/>
        <v>0</v>
      </c>
      <c r="CK905" s="132">
        <f t="shared" si="466"/>
        <v>0</v>
      </c>
      <c r="CL905" s="132">
        <f t="shared" si="466"/>
        <v>0</v>
      </c>
      <c r="CM905" s="132">
        <f t="shared" si="466"/>
        <v>0</v>
      </c>
      <c r="CN905" s="132">
        <f>IF(OR(AND(CN902=0,AG902&lt;&gt;0),AND(CN903=0,AG903&lt;&gt;0),AND(CN904=0,AG904&lt;&gt;0)),"NO DEBEN QUEDAR CELDAS EN ROJO",SUM(CN902:CN904))</f>
        <v>0</v>
      </c>
      <c r="CO905" s="132">
        <f t="shared" si="466"/>
        <v>0</v>
      </c>
      <c r="CP905" s="132">
        <f t="shared" si="466"/>
        <v>0</v>
      </c>
      <c r="CQ905" s="132">
        <f t="shared" si="466"/>
        <v>0</v>
      </c>
      <c r="CR905" s="132">
        <f t="shared" si="466"/>
        <v>0</v>
      </c>
      <c r="CS905" s="132">
        <f t="shared" si="466"/>
        <v>0</v>
      </c>
      <c r="CT905" s="132">
        <f t="shared" si="466"/>
        <v>0</v>
      </c>
      <c r="CU905" s="132">
        <f t="shared" si="466"/>
        <v>0</v>
      </c>
      <c r="CV905" s="132">
        <f t="shared" si="466"/>
        <v>0</v>
      </c>
      <c r="CW905" s="132">
        <f t="shared" si="466"/>
        <v>0</v>
      </c>
      <c r="CX905" s="132">
        <f t="shared" si="466"/>
        <v>0</v>
      </c>
      <c r="CY905" s="132">
        <f t="shared" si="466"/>
        <v>0</v>
      </c>
      <c r="CZ905" s="132">
        <f t="shared" si="466"/>
        <v>0</v>
      </c>
      <c r="DA905" s="132">
        <f t="shared" si="466"/>
        <v>0</v>
      </c>
      <c r="DB905" s="132">
        <f t="shared" si="466"/>
        <v>0</v>
      </c>
      <c r="DC905" s="132">
        <f t="shared" si="466"/>
        <v>7850894009</v>
      </c>
      <c r="DD905" s="132">
        <f>IF(OR(AND(DD902=0,AL902&lt;&gt;0),AND(DD903=0,AL903&lt;&gt;0),AND(DD904=0,AL904&lt;&gt;0)),"NO DEBEN QUEDAR CELDAS EN ROJO",SUM(DD902:DD904))</f>
        <v>7850894009</v>
      </c>
      <c r="DE905" s="132">
        <f t="shared" si="466"/>
        <v>8850894009</v>
      </c>
      <c r="DF905" s="101"/>
    </row>
    <row r="906" spans="1:110" s="117" customFormat="1" ht="55.05" customHeight="1">
      <c r="A906" s="127"/>
      <c r="B906" s="126" t="s">
        <v>1890</v>
      </c>
      <c r="C906" s="146" t="s">
        <v>1934</v>
      </c>
      <c r="D906" s="160"/>
      <c r="E906" s="161"/>
      <c r="F906" s="162"/>
      <c r="G906" s="163"/>
      <c r="H906" s="161"/>
      <c r="I906" s="161"/>
      <c r="J906" s="161"/>
      <c r="K906" s="161"/>
      <c r="L906" s="161"/>
      <c r="M906" s="161"/>
      <c r="N906" s="161"/>
      <c r="O906" s="161"/>
      <c r="P906" s="161"/>
      <c r="Q906" s="163"/>
      <c r="R906" s="164"/>
      <c r="S906" s="161"/>
      <c r="T906" s="161"/>
      <c r="U906" s="165"/>
      <c r="V906" s="165"/>
      <c r="W906" s="166"/>
      <c r="X906" s="165"/>
      <c r="Y906" s="165"/>
      <c r="Z906" s="165"/>
      <c r="AA906" s="165"/>
      <c r="AB906" s="166"/>
      <c r="AC906" s="165"/>
      <c r="AD906" s="165"/>
      <c r="AE906" s="165"/>
      <c r="AF906" s="165"/>
      <c r="AG906" s="166"/>
      <c r="AH906" s="165"/>
      <c r="AI906" s="165"/>
      <c r="AJ906" s="165"/>
      <c r="AK906" s="165"/>
      <c r="AL906" s="166"/>
      <c r="AM906" s="167"/>
      <c r="AN906" s="168"/>
      <c r="AO906" s="168"/>
      <c r="AP906" s="163"/>
      <c r="AQ906" s="163"/>
      <c r="AR906" s="169"/>
      <c r="AS906" s="147">
        <f>SUM(AS905+AS901)</f>
        <v>0</v>
      </c>
      <c r="AT906" s="130">
        <f t="shared" ref="AT906:DE906" si="467">SUM(AT905+AT901)</f>
        <v>0</v>
      </c>
      <c r="AU906" s="130">
        <f t="shared" si="467"/>
        <v>0</v>
      </c>
      <c r="AV906" s="130">
        <f t="shared" si="467"/>
        <v>0</v>
      </c>
      <c r="AW906" s="130">
        <f t="shared" si="467"/>
        <v>0</v>
      </c>
      <c r="AX906" s="130">
        <f t="shared" si="467"/>
        <v>0</v>
      </c>
      <c r="AY906" s="130">
        <f t="shared" si="467"/>
        <v>0</v>
      </c>
      <c r="AZ906" s="130">
        <f t="shared" si="467"/>
        <v>0</v>
      </c>
      <c r="BA906" s="130">
        <f t="shared" si="467"/>
        <v>0</v>
      </c>
      <c r="BB906" s="130">
        <f t="shared" si="467"/>
        <v>0</v>
      </c>
      <c r="BC906" s="130">
        <f t="shared" si="467"/>
        <v>0</v>
      </c>
      <c r="BD906" s="130">
        <f t="shared" si="467"/>
        <v>0</v>
      </c>
      <c r="BE906" s="130">
        <f t="shared" si="467"/>
        <v>0</v>
      </c>
      <c r="BF906" s="130">
        <f t="shared" si="467"/>
        <v>0</v>
      </c>
      <c r="BG906" s="130">
        <f t="shared" si="467"/>
        <v>22518820689</v>
      </c>
      <c r="BH906" s="130">
        <f t="shared" si="467"/>
        <v>22518820689</v>
      </c>
      <c r="BI906" s="130">
        <f t="shared" si="467"/>
        <v>0</v>
      </c>
      <c r="BJ906" s="130">
        <f t="shared" si="467"/>
        <v>0</v>
      </c>
      <c r="BK906" s="130">
        <f t="shared" si="467"/>
        <v>0</v>
      </c>
      <c r="BL906" s="130">
        <f t="shared" si="467"/>
        <v>0</v>
      </c>
      <c r="BM906" s="130">
        <f t="shared" si="467"/>
        <v>0</v>
      </c>
      <c r="BN906" s="130">
        <f t="shared" si="467"/>
        <v>0</v>
      </c>
      <c r="BO906" s="130">
        <f t="shared" si="467"/>
        <v>0</v>
      </c>
      <c r="BP906" s="130">
        <f t="shared" si="467"/>
        <v>0</v>
      </c>
      <c r="BQ906" s="130">
        <f t="shared" si="467"/>
        <v>0</v>
      </c>
      <c r="BR906" s="130">
        <f t="shared" si="467"/>
        <v>0</v>
      </c>
      <c r="BS906" s="130">
        <f t="shared" si="467"/>
        <v>0</v>
      </c>
      <c r="BT906" s="130">
        <f t="shared" si="467"/>
        <v>0</v>
      </c>
      <c r="BU906" s="130">
        <f t="shared" si="467"/>
        <v>0</v>
      </c>
      <c r="BV906" s="130">
        <f t="shared" si="467"/>
        <v>0</v>
      </c>
      <c r="BW906" s="130">
        <f t="shared" si="467"/>
        <v>0</v>
      </c>
      <c r="BX906" s="130">
        <f t="shared" si="467"/>
        <v>0</v>
      </c>
      <c r="BY906" s="130">
        <f t="shared" si="467"/>
        <v>0</v>
      </c>
      <c r="BZ906" s="130">
        <f t="shared" si="467"/>
        <v>0</v>
      </c>
      <c r="CA906" s="130">
        <f t="shared" si="467"/>
        <v>0</v>
      </c>
      <c r="CB906" s="130">
        <f t="shared" si="467"/>
        <v>0</v>
      </c>
      <c r="CC906" s="130">
        <f t="shared" si="467"/>
        <v>0</v>
      </c>
      <c r="CD906" s="130">
        <f t="shared" si="467"/>
        <v>0</v>
      </c>
      <c r="CE906" s="130">
        <f t="shared" si="467"/>
        <v>0</v>
      </c>
      <c r="CF906" s="130">
        <f t="shared" si="467"/>
        <v>0</v>
      </c>
      <c r="CG906" s="130">
        <f t="shared" si="467"/>
        <v>0</v>
      </c>
      <c r="CH906" s="130">
        <f t="shared" si="467"/>
        <v>0</v>
      </c>
      <c r="CI906" s="130">
        <f t="shared" si="467"/>
        <v>0</v>
      </c>
      <c r="CJ906" s="130">
        <f t="shared" si="467"/>
        <v>0</v>
      </c>
      <c r="CK906" s="130">
        <f t="shared" si="467"/>
        <v>0</v>
      </c>
      <c r="CL906" s="130">
        <f t="shared" si="467"/>
        <v>0</v>
      </c>
      <c r="CM906" s="130">
        <f t="shared" si="467"/>
        <v>0</v>
      </c>
      <c r="CN906" s="130">
        <f t="shared" si="467"/>
        <v>0</v>
      </c>
      <c r="CO906" s="130">
        <f t="shared" si="467"/>
        <v>0</v>
      </c>
      <c r="CP906" s="130">
        <f t="shared" si="467"/>
        <v>0</v>
      </c>
      <c r="CQ906" s="130">
        <f t="shared" si="467"/>
        <v>0</v>
      </c>
      <c r="CR906" s="130">
        <f t="shared" si="467"/>
        <v>0</v>
      </c>
      <c r="CS906" s="130">
        <f t="shared" si="467"/>
        <v>0</v>
      </c>
      <c r="CT906" s="130">
        <f t="shared" si="467"/>
        <v>0</v>
      </c>
      <c r="CU906" s="130">
        <f t="shared" si="467"/>
        <v>0</v>
      </c>
      <c r="CV906" s="130">
        <f t="shared" si="467"/>
        <v>0</v>
      </c>
      <c r="CW906" s="130">
        <f t="shared" si="467"/>
        <v>0</v>
      </c>
      <c r="CX906" s="130">
        <f t="shared" si="467"/>
        <v>0</v>
      </c>
      <c r="CY906" s="130">
        <f t="shared" si="467"/>
        <v>0</v>
      </c>
      <c r="CZ906" s="130">
        <f t="shared" si="467"/>
        <v>0</v>
      </c>
      <c r="DA906" s="130">
        <f t="shared" si="467"/>
        <v>0</v>
      </c>
      <c r="DB906" s="130">
        <f t="shared" si="467"/>
        <v>0</v>
      </c>
      <c r="DC906" s="130">
        <f t="shared" si="467"/>
        <v>10000894009</v>
      </c>
      <c r="DD906" s="130">
        <f t="shared" si="467"/>
        <v>10000894009</v>
      </c>
      <c r="DE906" s="130">
        <f t="shared" si="467"/>
        <v>32519714698</v>
      </c>
    </row>
    <row r="907" spans="1:110" s="98" customFormat="1" ht="119.1" customHeight="1">
      <c r="A907" s="103" t="s">
        <v>1240</v>
      </c>
      <c r="B907" s="103" t="s">
        <v>1890</v>
      </c>
      <c r="C907" s="103" t="s">
        <v>1966</v>
      </c>
      <c r="D907" s="103">
        <v>82</v>
      </c>
      <c r="E907" s="103" t="s">
        <v>1967</v>
      </c>
      <c r="F907" s="278" t="s">
        <v>1968</v>
      </c>
      <c r="G907" s="103" t="s">
        <v>3860</v>
      </c>
      <c r="H907" s="103">
        <v>98</v>
      </c>
      <c r="I907" s="103" t="s">
        <v>1969</v>
      </c>
      <c r="J907" s="103" t="s">
        <v>683</v>
      </c>
      <c r="K907" s="103">
        <v>0</v>
      </c>
      <c r="L907" s="103">
        <v>1</v>
      </c>
      <c r="M907" s="103" t="s">
        <v>1970</v>
      </c>
      <c r="N907" s="103" t="s">
        <v>1971</v>
      </c>
      <c r="O907" s="103" t="s">
        <v>1972</v>
      </c>
      <c r="P907" s="283">
        <v>798</v>
      </c>
      <c r="Q907" s="103" t="s">
        <v>3861</v>
      </c>
      <c r="R907" s="103" t="s">
        <v>1973</v>
      </c>
      <c r="S907" s="103" t="s">
        <v>683</v>
      </c>
      <c r="T907" s="103">
        <v>0</v>
      </c>
      <c r="U907" s="267"/>
      <c r="V907" s="267">
        <v>0.1</v>
      </c>
      <c r="W907" s="224">
        <v>0.1</v>
      </c>
      <c r="X907" s="267"/>
      <c r="Y907" s="267"/>
      <c r="Z907" s="267">
        <v>0.9</v>
      </c>
      <c r="AA907" s="267"/>
      <c r="AB907" s="224">
        <v>0.9</v>
      </c>
      <c r="AC907" s="267"/>
      <c r="AD907" s="267"/>
      <c r="AE907" s="267"/>
      <c r="AF907" s="267"/>
      <c r="AG907" s="224">
        <v>0</v>
      </c>
      <c r="AH907" s="267"/>
      <c r="AI907" s="267"/>
      <c r="AJ907" s="267"/>
      <c r="AK907" s="267"/>
      <c r="AL907" s="224">
        <v>0</v>
      </c>
      <c r="AM907" s="102">
        <v>1</v>
      </c>
      <c r="AN907" s="103" t="s">
        <v>685</v>
      </c>
      <c r="AO907" s="103" t="s">
        <v>621</v>
      </c>
      <c r="AP907" s="103" t="s">
        <v>1225</v>
      </c>
      <c r="AQ907" s="103" t="s">
        <v>1193</v>
      </c>
      <c r="AR907" s="103" t="s">
        <v>942</v>
      </c>
      <c r="AS907" s="268"/>
      <c r="AT907" s="268"/>
      <c r="AU907" s="268"/>
      <c r="AV907" s="268"/>
      <c r="AW907" s="268">
        <v>15000000</v>
      </c>
      <c r="AX907" s="268"/>
      <c r="AY907" s="268"/>
      <c r="AZ907" s="268"/>
      <c r="BA907" s="268"/>
      <c r="BB907" s="268"/>
      <c r="BC907" s="268"/>
      <c r="BD907" s="268"/>
      <c r="BE907" s="268"/>
      <c r="BF907" s="268"/>
      <c r="BG907" s="268"/>
      <c r="BH907" s="234">
        <v>15000000</v>
      </c>
      <c r="BI907" s="268"/>
      <c r="BJ907" s="268"/>
      <c r="BK907" s="268"/>
      <c r="BL907" s="268"/>
      <c r="BM907" s="268"/>
      <c r="BN907" s="268"/>
      <c r="BO907" s="268"/>
      <c r="BP907" s="268"/>
      <c r="BQ907" s="268"/>
      <c r="BR907" s="268"/>
      <c r="BS907" s="268"/>
      <c r="BT907" s="268"/>
      <c r="BU907" s="268"/>
      <c r="BV907" s="268"/>
      <c r="BW907" s="268">
        <v>3500000000</v>
      </c>
      <c r="BX907" s="234">
        <v>3500000000</v>
      </c>
      <c r="BY907" s="268"/>
      <c r="BZ907" s="268"/>
      <c r="CA907" s="268"/>
      <c r="CB907" s="268"/>
      <c r="CC907" s="268"/>
      <c r="CD907" s="268"/>
      <c r="CE907" s="268"/>
      <c r="CF907" s="268"/>
      <c r="CG907" s="268"/>
      <c r="CH907" s="268"/>
      <c r="CI907" s="268"/>
      <c r="CJ907" s="268"/>
      <c r="CK907" s="268"/>
      <c r="CL907" s="268"/>
      <c r="CM907" s="268"/>
      <c r="CN907" s="234">
        <v>0</v>
      </c>
      <c r="CO907" s="268"/>
      <c r="CP907" s="268"/>
      <c r="CQ907" s="268"/>
      <c r="CR907" s="268"/>
      <c r="CS907" s="268"/>
      <c r="CT907" s="268"/>
      <c r="CU907" s="268"/>
      <c r="CV907" s="268"/>
      <c r="CW907" s="268"/>
      <c r="CX907" s="268"/>
      <c r="CY907" s="268"/>
      <c r="CZ907" s="268"/>
      <c r="DA907" s="268"/>
      <c r="DB907" s="268"/>
      <c r="DC907" s="268"/>
      <c r="DD907" s="234">
        <v>0</v>
      </c>
      <c r="DE907" s="243">
        <v>3515000000</v>
      </c>
    </row>
    <row r="908" spans="1:110" s="98" customFormat="1" ht="119.1" customHeight="1">
      <c r="A908" s="103" t="s">
        <v>1240</v>
      </c>
      <c r="B908" s="279" t="s">
        <v>1890</v>
      </c>
      <c r="C908" s="279" t="s">
        <v>1966</v>
      </c>
      <c r="D908" s="279">
        <v>82</v>
      </c>
      <c r="E908" s="279" t="s">
        <v>1967</v>
      </c>
      <c r="F908" s="280" t="s">
        <v>1968</v>
      </c>
      <c r="G908" s="279" t="s">
        <v>3860</v>
      </c>
      <c r="H908" s="279">
        <v>98</v>
      </c>
      <c r="I908" s="279" t="s">
        <v>1969</v>
      </c>
      <c r="J908" s="279" t="s">
        <v>683</v>
      </c>
      <c r="K908" s="279">
        <v>0</v>
      </c>
      <c r="L908" s="279">
        <v>1</v>
      </c>
      <c r="M908" s="279" t="s">
        <v>1970</v>
      </c>
      <c r="N908" s="279" t="s">
        <v>1971</v>
      </c>
      <c r="O908" s="279" t="s">
        <v>1972</v>
      </c>
      <c r="P908" s="283">
        <v>799</v>
      </c>
      <c r="Q908" s="279" t="s">
        <v>3862</v>
      </c>
      <c r="R908" s="279" t="s">
        <v>1974</v>
      </c>
      <c r="S908" s="279" t="s">
        <v>683</v>
      </c>
      <c r="T908" s="279">
        <v>1</v>
      </c>
      <c r="U908" s="267"/>
      <c r="V908" s="267">
        <v>1</v>
      </c>
      <c r="W908" s="224">
        <v>1</v>
      </c>
      <c r="X908" s="267"/>
      <c r="Y908" s="267"/>
      <c r="Z908" s="267"/>
      <c r="AA908" s="267"/>
      <c r="AB908" s="224">
        <v>0</v>
      </c>
      <c r="AC908" s="267"/>
      <c r="AD908" s="267"/>
      <c r="AE908" s="267"/>
      <c r="AF908" s="267"/>
      <c r="AG908" s="224">
        <v>0</v>
      </c>
      <c r="AH908" s="267"/>
      <c r="AI908" s="267"/>
      <c r="AJ908" s="267"/>
      <c r="AK908" s="267"/>
      <c r="AL908" s="224">
        <v>0</v>
      </c>
      <c r="AM908" s="104">
        <v>1</v>
      </c>
      <c r="AN908" s="103" t="s">
        <v>685</v>
      </c>
      <c r="AO908" s="103" t="s">
        <v>621</v>
      </c>
      <c r="AP908" s="103" t="s">
        <v>1225</v>
      </c>
      <c r="AQ908" s="103" t="s">
        <v>1193</v>
      </c>
      <c r="AR908" s="103" t="s">
        <v>942</v>
      </c>
      <c r="AS908" s="271"/>
      <c r="AT908" s="271"/>
      <c r="AU908" s="271"/>
      <c r="AV908" s="271"/>
      <c r="AW908" s="271">
        <v>31500000</v>
      </c>
      <c r="AX908" s="271"/>
      <c r="AY908" s="271"/>
      <c r="AZ908" s="271"/>
      <c r="BA908" s="271"/>
      <c r="BB908" s="271"/>
      <c r="BC908" s="271"/>
      <c r="BD908" s="271"/>
      <c r="BE908" s="271"/>
      <c r="BF908" s="271"/>
      <c r="BG908" s="271"/>
      <c r="BH908" s="235">
        <v>31500000</v>
      </c>
      <c r="BI908" s="271"/>
      <c r="BJ908" s="271"/>
      <c r="BK908" s="271"/>
      <c r="BL908" s="271"/>
      <c r="BM908" s="271"/>
      <c r="BN908" s="271"/>
      <c r="BO908" s="271"/>
      <c r="BP908" s="271"/>
      <c r="BQ908" s="271"/>
      <c r="BR908" s="271"/>
      <c r="BS908" s="271"/>
      <c r="BT908" s="271"/>
      <c r="BU908" s="271"/>
      <c r="BV908" s="271"/>
      <c r="BW908" s="271"/>
      <c r="BX908" s="235">
        <v>0</v>
      </c>
      <c r="BY908" s="271"/>
      <c r="BZ908" s="271"/>
      <c r="CA908" s="271"/>
      <c r="CB908" s="271"/>
      <c r="CC908" s="271"/>
      <c r="CD908" s="271"/>
      <c r="CE908" s="271"/>
      <c r="CF908" s="271"/>
      <c r="CG908" s="271"/>
      <c r="CH908" s="271"/>
      <c r="CI908" s="271"/>
      <c r="CJ908" s="271"/>
      <c r="CK908" s="271"/>
      <c r="CL908" s="271"/>
      <c r="CM908" s="271"/>
      <c r="CN908" s="235">
        <v>0</v>
      </c>
      <c r="CO908" s="271"/>
      <c r="CP908" s="271"/>
      <c r="CQ908" s="271"/>
      <c r="CR908" s="271"/>
      <c r="CS908" s="271"/>
      <c r="CT908" s="271"/>
      <c r="CU908" s="271"/>
      <c r="CV908" s="271"/>
      <c r="CW908" s="271"/>
      <c r="CX908" s="271"/>
      <c r="CY908" s="271"/>
      <c r="CZ908" s="271"/>
      <c r="DA908" s="271"/>
      <c r="DB908" s="271"/>
      <c r="DC908" s="271"/>
      <c r="DD908" s="234">
        <v>0</v>
      </c>
      <c r="DE908" s="244">
        <v>31500000</v>
      </c>
    </row>
    <row r="909" spans="1:110" s="98" customFormat="1" ht="119.1" customHeight="1">
      <c r="A909" s="120" t="s">
        <v>1240</v>
      </c>
      <c r="B909" s="281" t="s">
        <v>1890</v>
      </c>
      <c r="C909" s="281" t="s">
        <v>1966</v>
      </c>
      <c r="D909" s="281">
        <v>82</v>
      </c>
      <c r="E909" s="281" t="s">
        <v>1967</v>
      </c>
      <c r="F909" s="282" t="s">
        <v>1968</v>
      </c>
      <c r="G909" s="281" t="s">
        <v>3860</v>
      </c>
      <c r="H909" s="281">
        <v>98</v>
      </c>
      <c r="I909" s="281" t="s">
        <v>1969</v>
      </c>
      <c r="J909" s="281" t="s">
        <v>683</v>
      </c>
      <c r="K909" s="281">
        <v>0</v>
      </c>
      <c r="L909" s="281">
        <v>1</v>
      </c>
      <c r="M909" s="281" t="s">
        <v>1970</v>
      </c>
      <c r="N909" s="281" t="s">
        <v>1971</v>
      </c>
      <c r="O909" s="281" t="s">
        <v>1972</v>
      </c>
      <c r="P909" s="284">
        <v>800</v>
      </c>
      <c r="Q909" s="281" t="s">
        <v>3863</v>
      </c>
      <c r="R909" s="281" t="s">
        <v>1975</v>
      </c>
      <c r="S909" s="281" t="s">
        <v>683</v>
      </c>
      <c r="T909" s="281">
        <v>0</v>
      </c>
      <c r="U909" s="275"/>
      <c r="V909" s="275">
        <v>0.1</v>
      </c>
      <c r="W909" s="225">
        <v>0.1</v>
      </c>
      <c r="X909" s="275"/>
      <c r="Y909" s="275"/>
      <c r="Z909" s="275">
        <v>0.9</v>
      </c>
      <c r="AA909" s="275"/>
      <c r="AB909" s="225">
        <v>0.9</v>
      </c>
      <c r="AC909" s="275"/>
      <c r="AD909" s="275"/>
      <c r="AE909" s="275"/>
      <c r="AF909" s="275"/>
      <c r="AG909" s="225">
        <v>0</v>
      </c>
      <c r="AH909" s="275"/>
      <c r="AI909" s="275"/>
      <c r="AJ909" s="275"/>
      <c r="AK909" s="275"/>
      <c r="AL909" s="225">
        <v>0</v>
      </c>
      <c r="AM909" s="119">
        <v>1</v>
      </c>
      <c r="AN909" s="120" t="s">
        <v>685</v>
      </c>
      <c r="AO909" s="120" t="s">
        <v>621</v>
      </c>
      <c r="AP909" s="120" t="s">
        <v>1225</v>
      </c>
      <c r="AQ909" s="120" t="s">
        <v>1193</v>
      </c>
      <c r="AR909" s="120" t="s">
        <v>942</v>
      </c>
      <c r="AS909" s="276"/>
      <c r="AT909" s="276"/>
      <c r="AU909" s="276"/>
      <c r="AV909" s="276"/>
      <c r="AW909" s="276">
        <v>16500000</v>
      </c>
      <c r="AX909" s="276"/>
      <c r="AY909" s="276"/>
      <c r="AZ909" s="276"/>
      <c r="BA909" s="276"/>
      <c r="BB909" s="276"/>
      <c r="BC909" s="276"/>
      <c r="BD909" s="276"/>
      <c r="BE909" s="276"/>
      <c r="BF909" s="276"/>
      <c r="BG909" s="276"/>
      <c r="BH909" s="236">
        <v>16500000</v>
      </c>
      <c r="BI909" s="276"/>
      <c r="BJ909" s="276"/>
      <c r="BK909" s="276"/>
      <c r="BL909" s="276"/>
      <c r="BM909" s="276"/>
      <c r="BN909" s="276"/>
      <c r="BO909" s="276"/>
      <c r="BP909" s="276"/>
      <c r="BQ909" s="276"/>
      <c r="BR909" s="276"/>
      <c r="BS909" s="276"/>
      <c r="BT909" s="276"/>
      <c r="BU909" s="276"/>
      <c r="BV909" s="276"/>
      <c r="BW909" s="276">
        <v>3500000000</v>
      </c>
      <c r="BX909" s="236">
        <v>3500000000</v>
      </c>
      <c r="BY909" s="276"/>
      <c r="BZ909" s="276"/>
      <c r="CA909" s="276"/>
      <c r="CB909" s="276"/>
      <c r="CC909" s="276"/>
      <c r="CD909" s="276"/>
      <c r="CE909" s="276"/>
      <c r="CF909" s="276"/>
      <c r="CG909" s="276"/>
      <c r="CH909" s="276"/>
      <c r="CI909" s="276"/>
      <c r="CJ909" s="276"/>
      <c r="CK909" s="276"/>
      <c r="CL909" s="276"/>
      <c r="CM909" s="276"/>
      <c r="CN909" s="236">
        <v>0</v>
      </c>
      <c r="CO909" s="276"/>
      <c r="CP909" s="276"/>
      <c r="CQ909" s="276"/>
      <c r="CR909" s="276"/>
      <c r="CS909" s="276"/>
      <c r="CT909" s="276"/>
      <c r="CU909" s="276"/>
      <c r="CV909" s="276"/>
      <c r="CW909" s="276"/>
      <c r="CX909" s="276"/>
      <c r="CY909" s="276"/>
      <c r="CZ909" s="276"/>
      <c r="DA909" s="276"/>
      <c r="DB909" s="276"/>
      <c r="DC909" s="276"/>
      <c r="DD909" s="240">
        <v>0</v>
      </c>
      <c r="DE909" s="245">
        <v>3516500000</v>
      </c>
    </row>
    <row r="910" spans="1:110" ht="65.099999999999994" customHeight="1">
      <c r="A910" s="118" t="s">
        <v>1240</v>
      </c>
      <c r="B910" s="118" t="s">
        <v>1890</v>
      </c>
      <c r="C910" s="118" t="s">
        <v>1966</v>
      </c>
      <c r="D910" s="118">
        <v>82</v>
      </c>
      <c r="E910" s="118" t="s">
        <v>1967</v>
      </c>
      <c r="F910" s="135"/>
      <c r="G910" s="136"/>
      <c r="H910" s="137"/>
      <c r="I910" s="137"/>
      <c r="J910" s="137"/>
      <c r="K910" s="138"/>
      <c r="L910" s="137"/>
      <c r="M910" s="137"/>
      <c r="N910" s="137"/>
      <c r="O910" s="137"/>
      <c r="P910" s="137"/>
      <c r="Q910" s="136"/>
      <c r="R910" s="139"/>
      <c r="S910" s="137"/>
      <c r="T910" s="137"/>
      <c r="U910" s="140"/>
      <c r="V910" s="140"/>
      <c r="W910" s="138"/>
      <c r="X910" s="140"/>
      <c r="Y910" s="140"/>
      <c r="Z910" s="140"/>
      <c r="AA910" s="140"/>
      <c r="AB910" s="138"/>
      <c r="AC910" s="140"/>
      <c r="AD910" s="140"/>
      <c r="AE910" s="140"/>
      <c r="AF910" s="140"/>
      <c r="AG910" s="138"/>
      <c r="AH910" s="140"/>
      <c r="AI910" s="140"/>
      <c r="AJ910" s="140"/>
      <c r="AK910" s="140"/>
      <c r="AL910" s="138"/>
      <c r="AM910" s="141"/>
      <c r="AN910" s="142"/>
      <c r="AO910" s="142"/>
      <c r="AP910" s="143"/>
      <c r="AQ910" s="143"/>
      <c r="AR910" s="144"/>
      <c r="AS910" s="132">
        <f t="shared" ref="AS910:BG910" si="468">SUM(AS907:AS909)</f>
        <v>0</v>
      </c>
      <c r="AT910" s="132">
        <f t="shared" si="468"/>
        <v>0</v>
      </c>
      <c r="AU910" s="132">
        <f t="shared" si="468"/>
        <v>0</v>
      </c>
      <c r="AV910" s="132">
        <f t="shared" si="468"/>
        <v>0</v>
      </c>
      <c r="AW910" s="132">
        <f t="shared" si="468"/>
        <v>63000000</v>
      </c>
      <c r="AX910" s="132">
        <f t="shared" si="468"/>
        <v>0</v>
      </c>
      <c r="AY910" s="132">
        <f t="shared" si="468"/>
        <v>0</v>
      </c>
      <c r="AZ910" s="132">
        <f t="shared" si="468"/>
        <v>0</v>
      </c>
      <c r="BA910" s="132">
        <f t="shared" si="468"/>
        <v>0</v>
      </c>
      <c r="BB910" s="132">
        <f t="shared" si="468"/>
        <v>0</v>
      </c>
      <c r="BC910" s="132">
        <f t="shared" si="468"/>
        <v>0</v>
      </c>
      <c r="BD910" s="132">
        <f t="shared" si="468"/>
        <v>0</v>
      </c>
      <c r="BE910" s="132">
        <f t="shared" si="468"/>
        <v>0</v>
      </c>
      <c r="BF910" s="132">
        <f t="shared" si="468"/>
        <v>0</v>
      </c>
      <c r="BG910" s="132">
        <f t="shared" si="468"/>
        <v>0</v>
      </c>
      <c r="BH910" s="132">
        <f>IF(OR(AND(BH907=0,W907&lt;&gt;0),AND(BH908=0,W908&lt;&gt;0),AND(BH909=0,W909&lt;&gt;0)),"NO DEBEN QUEDAR CELDAS EN ROJO",SUM(BH907:BH909))</f>
        <v>63000000</v>
      </c>
      <c r="BI910" s="132">
        <f t="shared" ref="BI910:BW910" si="469">SUM(BI907:BI909)</f>
        <v>0</v>
      </c>
      <c r="BJ910" s="132">
        <f t="shared" si="469"/>
        <v>0</v>
      </c>
      <c r="BK910" s="132">
        <f t="shared" si="469"/>
        <v>0</v>
      </c>
      <c r="BL910" s="132">
        <f t="shared" si="469"/>
        <v>0</v>
      </c>
      <c r="BM910" s="132">
        <f t="shared" si="469"/>
        <v>0</v>
      </c>
      <c r="BN910" s="132">
        <f t="shared" si="469"/>
        <v>0</v>
      </c>
      <c r="BO910" s="132">
        <f t="shared" si="469"/>
        <v>0</v>
      </c>
      <c r="BP910" s="132">
        <f t="shared" si="469"/>
        <v>0</v>
      </c>
      <c r="BQ910" s="132">
        <f t="shared" si="469"/>
        <v>0</v>
      </c>
      <c r="BR910" s="132">
        <f t="shared" si="469"/>
        <v>0</v>
      </c>
      <c r="BS910" s="132">
        <f t="shared" si="469"/>
        <v>0</v>
      </c>
      <c r="BT910" s="132">
        <f t="shared" si="469"/>
        <v>0</v>
      </c>
      <c r="BU910" s="132">
        <f t="shared" si="469"/>
        <v>0</v>
      </c>
      <c r="BV910" s="132">
        <f t="shared" si="469"/>
        <v>0</v>
      </c>
      <c r="BW910" s="132">
        <f t="shared" si="469"/>
        <v>7000000000</v>
      </c>
      <c r="BX910" s="132">
        <f>IF(OR(AND(BX907=0,AB907&lt;&gt;0),AND(BX908=0,AB908&lt;&gt;0),AND(BX909=0,AB909&lt;&gt;0)),"NO DEBEN QUEDAR CELDAS EN ROJO",SUM(BX907:BX909))</f>
        <v>7000000000</v>
      </c>
      <c r="BY910" s="132">
        <f t="shared" ref="BY910:CM910" si="470">SUM(BY907:BY909)</f>
        <v>0</v>
      </c>
      <c r="BZ910" s="132">
        <f t="shared" si="470"/>
        <v>0</v>
      </c>
      <c r="CA910" s="132">
        <f t="shared" si="470"/>
        <v>0</v>
      </c>
      <c r="CB910" s="132">
        <f t="shared" si="470"/>
        <v>0</v>
      </c>
      <c r="CC910" s="132">
        <f t="shared" si="470"/>
        <v>0</v>
      </c>
      <c r="CD910" s="132">
        <f t="shared" si="470"/>
        <v>0</v>
      </c>
      <c r="CE910" s="132">
        <f t="shared" si="470"/>
        <v>0</v>
      </c>
      <c r="CF910" s="132">
        <f t="shared" si="470"/>
        <v>0</v>
      </c>
      <c r="CG910" s="132">
        <f t="shared" si="470"/>
        <v>0</v>
      </c>
      <c r="CH910" s="132">
        <f t="shared" si="470"/>
        <v>0</v>
      </c>
      <c r="CI910" s="132">
        <f t="shared" si="470"/>
        <v>0</v>
      </c>
      <c r="CJ910" s="132">
        <f t="shared" si="470"/>
        <v>0</v>
      </c>
      <c r="CK910" s="132">
        <f t="shared" si="470"/>
        <v>0</v>
      </c>
      <c r="CL910" s="132">
        <f t="shared" si="470"/>
        <v>0</v>
      </c>
      <c r="CM910" s="132">
        <f t="shared" si="470"/>
        <v>0</v>
      </c>
      <c r="CN910" s="132">
        <f>IF(OR(AND(CN907=0,AG907&lt;&gt;0),AND(CN908=0,AG908&lt;&gt;0),AND(CN909=0,AG909&lt;&gt;0)),"NO DEBEN QUEDAR CELDAS EN ROJO",SUM(CN907:CN909))</f>
        <v>0</v>
      </c>
      <c r="CO910" s="132">
        <f t="shared" ref="CO910:DC910" si="471">SUM(CO907:CO909)</f>
        <v>0</v>
      </c>
      <c r="CP910" s="132">
        <f t="shared" si="471"/>
        <v>0</v>
      </c>
      <c r="CQ910" s="132">
        <f t="shared" si="471"/>
        <v>0</v>
      </c>
      <c r="CR910" s="132">
        <f t="shared" si="471"/>
        <v>0</v>
      </c>
      <c r="CS910" s="132">
        <f t="shared" si="471"/>
        <v>0</v>
      </c>
      <c r="CT910" s="132">
        <f t="shared" si="471"/>
        <v>0</v>
      </c>
      <c r="CU910" s="132">
        <f t="shared" si="471"/>
        <v>0</v>
      </c>
      <c r="CV910" s="132">
        <f t="shared" si="471"/>
        <v>0</v>
      </c>
      <c r="CW910" s="132">
        <f t="shared" si="471"/>
        <v>0</v>
      </c>
      <c r="CX910" s="132">
        <f t="shared" si="471"/>
        <v>0</v>
      </c>
      <c r="CY910" s="132">
        <f t="shared" si="471"/>
        <v>0</v>
      </c>
      <c r="CZ910" s="132">
        <f t="shared" si="471"/>
        <v>0</v>
      </c>
      <c r="DA910" s="132">
        <f t="shared" si="471"/>
        <v>0</v>
      </c>
      <c r="DB910" s="132">
        <f t="shared" si="471"/>
        <v>0</v>
      </c>
      <c r="DC910" s="132">
        <f t="shared" si="471"/>
        <v>0</v>
      </c>
      <c r="DD910" s="132">
        <f>IF(OR(AND(DD907=0,AL907&lt;&gt;0),AND(DD908=0,AL908&lt;&gt;0),AND(DD909=0,AL909&lt;&gt;0)),"NO DEBEN QUEDAR CELDAS EN ROJO",SUM(DD907:DD909))</f>
        <v>0</v>
      </c>
      <c r="DE910" s="132">
        <f>SUM(DE907:DE909)</f>
        <v>7063000000</v>
      </c>
      <c r="DF910" s="101"/>
    </row>
    <row r="911" spans="1:110" s="99" customFormat="1" ht="119.1" customHeight="1">
      <c r="A911" s="103" t="s">
        <v>1235</v>
      </c>
      <c r="B911" s="103" t="s">
        <v>1890</v>
      </c>
      <c r="C911" s="103" t="s">
        <v>1966</v>
      </c>
      <c r="D911" s="103">
        <v>83</v>
      </c>
      <c r="E911" s="103" t="s">
        <v>1976</v>
      </c>
      <c r="F911" s="278" t="s">
        <v>453</v>
      </c>
      <c r="G911" s="103" t="s">
        <v>3765</v>
      </c>
      <c r="H911" s="103">
        <v>99</v>
      </c>
      <c r="I911" s="103" t="s">
        <v>454</v>
      </c>
      <c r="J911" s="103" t="s">
        <v>683</v>
      </c>
      <c r="K911" s="103">
        <v>6</v>
      </c>
      <c r="L911" s="103" t="s">
        <v>684</v>
      </c>
      <c r="M911" s="103" t="s">
        <v>1977</v>
      </c>
      <c r="N911" s="103" t="s">
        <v>1978</v>
      </c>
      <c r="O911" s="103" t="s">
        <v>1979</v>
      </c>
      <c r="P911" s="283">
        <v>801</v>
      </c>
      <c r="Q911" s="103" t="s">
        <v>3018</v>
      </c>
      <c r="R911" s="103" t="s">
        <v>1980</v>
      </c>
      <c r="S911" s="103" t="s">
        <v>683</v>
      </c>
      <c r="T911" s="103">
        <v>7</v>
      </c>
      <c r="U911" s="267"/>
      <c r="V911" s="267"/>
      <c r="W911" s="224">
        <v>0</v>
      </c>
      <c r="X911" s="267">
        <v>0.25</v>
      </c>
      <c r="Y911" s="267">
        <v>0.25</v>
      </c>
      <c r="Z911" s="267">
        <v>0.25</v>
      </c>
      <c r="AA911" s="267">
        <v>0.25</v>
      </c>
      <c r="AB911" s="224">
        <v>1</v>
      </c>
      <c r="AC911" s="267"/>
      <c r="AD911" s="267">
        <v>1</v>
      </c>
      <c r="AE911" s="267">
        <v>1</v>
      </c>
      <c r="AF911" s="267">
        <v>1</v>
      </c>
      <c r="AG911" s="224">
        <v>3</v>
      </c>
      <c r="AH911" s="267">
        <v>0.25</v>
      </c>
      <c r="AI911" s="267">
        <v>0.25</v>
      </c>
      <c r="AJ911" s="267">
        <v>0.5</v>
      </c>
      <c r="AK911" s="267"/>
      <c r="AL911" s="224">
        <v>1</v>
      </c>
      <c r="AM911" s="102">
        <v>5</v>
      </c>
      <c r="AN911" s="103" t="s">
        <v>685</v>
      </c>
      <c r="AO911" s="103" t="s">
        <v>621</v>
      </c>
      <c r="AP911" s="103" t="s">
        <v>1225</v>
      </c>
      <c r="AQ911" s="103" t="s">
        <v>1193</v>
      </c>
      <c r="AR911" s="103" t="s">
        <v>942</v>
      </c>
      <c r="AS911" s="268"/>
      <c r="AT911" s="268"/>
      <c r="AU911" s="268"/>
      <c r="AV911" s="268"/>
      <c r="AW911" s="268"/>
      <c r="AX911" s="268"/>
      <c r="AY911" s="268"/>
      <c r="AZ911" s="268"/>
      <c r="BA911" s="268"/>
      <c r="BB911" s="268"/>
      <c r="BC911" s="268"/>
      <c r="BD911" s="268"/>
      <c r="BE911" s="268"/>
      <c r="BF911" s="268"/>
      <c r="BG911" s="268"/>
      <c r="BH911" s="234">
        <f>IF(W911=0,0,BG911+BF911+BE911+BD911+BC911+BB911+BA911+AZ911+AY911+AX911+AW911+AV911+AU911+AT911+AS911)</f>
        <v>0</v>
      </c>
      <c r="BI911" s="268"/>
      <c r="BJ911" s="268"/>
      <c r="BK911" s="268"/>
      <c r="BL911" s="268"/>
      <c r="BM911" s="268"/>
      <c r="BN911" s="268"/>
      <c r="BO911" s="268"/>
      <c r="BP911" s="268"/>
      <c r="BQ911" s="268"/>
      <c r="BR911" s="268"/>
      <c r="BS911" s="268"/>
      <c r="BT911" s="268"/>
      <c r="BU911" s="268"/>
      <c r="BV911" s="268"/>
      <c r="BW911" s="268">
        <v>4450000000</v>
      </c>
      <c r="BX911" s="234">
        <f>IF(AB911=0,0,BI911+BJ911+BK911+BL911+BM911+BN911+BO911+BP911+BQ911+BR911+BS911+BT911+BU911+BV911+BW911)</f>
        <v>4450000000</v>
      </c>
      <c r="BY911" s="268"/>
      <c r="BZ911" s="268"/>
      <c r="CA911" s="268"/>
      <c r="CB911" s="268"/>
      <c r="CC911" s="268">
        <v>2500000000</v>
      </c>
      <c r="CD911" s="268"/>
      <c r="CE911" s="268"/>
      <c r="CF911" s="268"/>
      <c r="CG911" s="268"/>
      <c r="CH911" s="268"/>
      <c r="CI911" s="268"/>
      <c r="CJ911" s="268"/>
      <c r="CK911" s="268"/>
      <c r="CL911" s="268"/>
      <c r="CM911" s="268"/>
      <c r="CN911" s="234">
        <f>IF(AG911=0,0,(BY911+BZ911+CA911+CB911+CC911+CD911+CE911+CF911+CG911+CH911+CI911+CJ911+CK911+CL911+CM911))</f>
        <v>2500000000</v>
      </c>
      <c r="CO911" s="268"/>
      <c r="CP911" s="268"/>
      <c r="CQ911" s="268"/>
      <c r="CR911" s="268"/>
      <c r="CS911" s="268">
        <v>4200000000</v>
      </c>
      <c r="CT911" s="268"/>
      <c r="CU911" s="268"/>
      <c r="CV911" s="268"/>
      <c r="CW911" s="268"/>
      <c r="CX911" s="268"/>
      <c r="CY911" s="268"/>
      <c r="CZ911" s="268"/>
      <c r="DA911" s="268"/>
      <c r="DB911" s="268"/>
      <c r="DC911" s="268"/>
      <c r="DD911" s="234">
        <f>IF(AL911=0,0,(CO911+CP911+CQ911+CR911+CS911+CT911+CU911+CV911+CW911+CX911+CY911+CZ911+DA911+DB911+DC911))</f>
        <v>4200000000</v>
      </c>
      <c r="DE911" s="243">
        <f t="shared" ref="DE911:DE913" si="472">SUM(DD911+CN911+BX911+BH911)</f>
        <v>11150000000</v>
      </c>
    </row>
    <row r="912" spans="1:110" s="99" customFormat="1" ht="119.1" customHeight="1">
      <c r="A912" s="103" t="s">
        <v>1235</v>
      </c>
      <c r="B912" s="279" t="s">
        <v>1890</v>
      </c>
      <c r="C912" s="279" t="s">
        <v>1966</v>
      </c>
      <c r="D912" s="279">
        <v>83</v>
      </c>
      <c r="E912" s="279" t="s">
        <v>1976</v>
      </c>
      <c r="F912" s="280" t="s">
        <v>453</v>
      </c>
      <c r="G912" s="279" t="s">
        <v>3765</v>
      </c>
      <c r="H912" s="279">
        <v>99</v>
      </c>
      <c r="I912" s="279" t="s">
        <v>454</v>
      </c>
      <c r="J912" s="279" t="s">
        <v>683</v>
      </c>
      <c r="K912" s="279">
        <v>6</v>
      </c>
      <c r="L912" s="279" t="s">
        <v>684</v>
      </c>
      <c r="M912" s="279" t="s">
        <v>1977</v>
      </c>
      <c r="N912" s="279" t="s">
        <v>1978</v>
      </c>
      <c r="O912" s="279" t="s">
        <v>1979</v>
      </c>
      <c r="P912" s="283">
        <v>802</v>
      </c>
      <c r="Q912" s="279" t="s">
        <v>3019</v>
      </c>
      <c r="R912" s="279" t="s">
        <v>1981</v>
      </c>
      <c r="S912" s="279" t="s">
        <v>683</v>
      </c>
      <c r="T912" s="279">
        <v>4</v>
      </c>
      <c r="U912" s="267"/>
      <c r="V912" s="267"/>
      <c r="W912" s="224">
        <v>0</v>
      </c>
      <c r="X912" s="267"/>
      <c r="Y912" s="267"/>
      <c r="Z912" s="267"/>
      <c r="AA912" s="267"/>
      <c r="AB912" s="224">
        <v>0</v>
      </c>
      <c r="AC912" s="267">
        <v>0.5</v>
      </c>
      <c r="AD912" s="267">
        <v>0.5</v>
      </c>
      <c r="AE912" s="267">
        <v>0.5</v>
      </c>
      <c r="AF912" s="267">
        <v>0.5</v>
      </c>
      <c r="AG912" s="224">
        <v>2</v>
      </c>
      <c r="AH912" s="267">
        <v>0.5</v>
      </c>
      <c r="AI912" s="267">
        <v>0.5</v>
      </c>
      <c r="AJ912" s="267"/>
      <c r="AK912" s="267"/>
      <c r="AL912" s="224">
        <v>1</v>
      </c>
      <c r="AM912" s="104">
        <v>3</v>
      </c>
      <c r="AN912" s="103" t="s">
        <v>685</v>
      </c>
      <c r="AO912" s="103" t="s">
        <v>621</v>
      </c>
      <c r="AP912" s="103" t="s">
        <v>1225</v>
      </c>
      <c r="AQ912" s="103" t="s">
        <v>1193</v>
      </c>
      <c r="AR912" s="103" t="s">
        <v>942</v>
      </c>
      <c r="AS912" s="271"/>
      <c r="AT912" s="271"/>
      <c r="AU912" s="271"/>
      <c r="AV912" s="271"/>
      <c r="AW912" s="271"/>
      <c r="AX912" s="271"/>
      <c r="AY912" s="271"/>
      <c r="AZ912" s="271"/>
      <c r="BA912" s="271"/>
      <c r="BB912" s="271"/>
      <c r="BC912" s="271"/>
      <c r="BD912" s="271"/>
      <c r="BE912" s="271"/>
      <c r="BF912" s="271"/>
      <c r="BG912" s="271"/>
      <c r="BH912" s="235">
        <f>IF(W912=0,0,BG912+BF912+BE912+BD912+BC912+BB912+BA912+AZ912+AY912+AX912+AW912+AV912+AU912+AT912+AS912)</f>
        <v>0</v>
      </c>
      <c r="BI912" s="271"/>
      <c r="BJ912" s="271"/>
      <c r="BK912" s="271"/>
      <c r="BL912" s="271"/>
      <c r="BM912" s="271"/>
      <c r="BN912" s="271"/>
      <c r="BO912" s="271"/>
      <c r="BP912" s="271"/>
      <c r="BQ912" s="271"/>
      <c r="BR912" s="271"/>
      <c r="BS912" s="271"/>
      <c r="BT912" s="271"/>
      <c r="BU912" s="271"/>
      <c r="BV912" s="271"/>
      <c r="BW912" s="271"/>
      <c r="BX912" s="235">
        <f>IF(AB912=0,0,BI912+BJ912+BK912+BL912+BM912+BN912+BO912+BP912+BQ912+BR912+BS912+BT912+BU912+BV912+BW912)</f>
        <v>0</v>
      </c>
      <c r="BY912" s="271"/>
      <c r="BZ912" s="271"/>
      <c r="CA912" s="271"/>
      <c r="CB912" s="271"/>
      <c r="CC912" s="271">
        <v>4900000000</v>
      </c>
      <c r="CD912" s="271"/>
      <c r="CE912" s="271"/>
      <c r="CF912" s="271"/>
      <c r="CG912" s="271"/>
      <c r="CH912" s="271"/>
      <c r="CI912" s="271"/>
      <c r="CJ912" s="271"/>
      <c r="CK912" s="271"/>
      <c r="CL912" s="271"/>
      <c r="CM912" s="271"/>
      <c r="CN912" s="235">
        <f>IF(AG912=0,0,(BY912+BZ912+CA912+CB912+CC912+CD912+CE912+CF912+CG912+CH912+CI912+CJ912+CK912+CL912+CM912))</f>
        <v>4900000000</v>
      </c>
      <c r="CO912" s="271"/>
      <c r="CP912" s="271"/>
      <c r="CQ912" s="271"/>
      <c r="CR912" s="271"/>
      <c r="CS912" s="271">
        <v>4200000000</v>
      </c>
      <c r="CT912" s="271"/>
      <c r="CU912" s="271"/>
      <c r="CV912" s="271"/>
      <c r="CW912" s="271"/>
      <c r="CX912" s="271"/>
      <c r="CY912" s="271"/>
      <c r="CZ912" s="271"/>
      <c r="DA912" s="271"/>
      <c r="DB912" s="271"/>
      <c r="DC912" s="271"/>
      <c r="DD912" s="234">
        <f>IF(AL912=0,0,(CO912+CP912+CQ912+CR912+CS912+CT912+CU912+CV912+CW912+CX912+CY912+CZ912+DA912+DB912+DC912))</f>
        <v>4200000000</v>
      </c>
      <c r="DE912" s="244">
        <f t="shared" si="472"/>
        <v>9100000000</v>
      </c>
    </row>
    <row r="913" spans="1:110" s="99" customFormat="1" ht="119.1" customHeight="1">
      <c r="A913" s="120" t="s">
        <v>1235</v>
      </c>
      <c r="B913" s="281" t="s">
        <v>1890</v>
      </c>
      <c r="C913" s="281" t="s">
        <v>1966</v>
      </c>
      <c r="D913" s="281">
        <v>83</v>
      </c>
      <c r="E913" s="281" t="s">
        <v>1976</v>
      </c>
      <c r="F913" s="282" t="s">
        <v>453</v>
      </c>
      <c r="G913" s="281" t="s">
        <v>3765</v>
      </c>
      <c r="H913" s="281">
        <v>99</v>
      </c>
      <c r="I913" s="281" t="s">
        <v>454</v>
      </c>
      <c r="J913" s="281" t="s">
        <v>683</v>
      </c>
      <c r="K913" s="281">
        <v>6</v>
      </c>
      <c r="L913" s="281" t="s">
        <v>684</v>
      </c>
      <c r="M913" s="281" t="s">
        <v>1977</v>
      </c>
      <c r="N913" s="281" t="s">
        <v>1978</v>
      </c>
      <c r="O913" s="281" t="s">
        <v>1979</v>
      </c>
      <c r="P913" s="283">
        <v>803</v>
      </c>
      <c r="Q913" s="281" t="s">
        <v>3020</v>
      </c>
      <c r="R913" s="281" t="s">
        <v>1982</v>
      </c>
      <c r="S913" s="281" t="s">
        <v>683</v>
      </c>
      <c r="T913" s="281">
        <v>0</v>
      </c>
      <c r="U913" s="275"/>
      <c r="V913" s="275"/>
      <c r="W913" s="225">
        <v>0</v>
      </c>
      <c r="X913" s="275"/>
      <c r="Y913" s="275"/>
      <c r="Z913" s="275">
        <v>1</v>
      </c>
      <c r="AA913" s="275"/>
      <c r="AB913" s="225">
        <v>1</v>
      </c>
      <c r="AC913" s="275"/>
      <c r="AD913" s="275">
        <v>1</v>
      </c>
      <c r="AE913" s="275"/>
      <c r="AF913" s="275">
        <v>1</v>
      </c>
      <c r="AG913" s="225">
        <v>2</v>
      </c>
      <c r="AH913" s="275">
        <v>1</v>
      </c>
      <c r="AI913" s="275">
        <v>1</v>
      </c>
      <c r="AJ913" s="275"/>
      <c r="AK913" s="275"/>
      <c r="AL913" s="225">
        <v>2</v>
      </c>
      <c r="AM913" s="119">
        <v>5</v>
      </c>
      <c r="AN913" s="120" t="s">
        <v>685</v>
      </c>
      <c r="AO913" s="120" t="s">
        <v>621</v>
      </c>
      <c r="AP913" s="120" t="s">
        <v>1225</v>
      </c>
      <c r="AQ913" s="120" t="s">
        <v>1193</v>
      </c>
      <c r="AR913" s="120" t="s">
        <v>942</v>
      </c>
      <c r="AS913" s="276"/>
      <c r="AT913" s="276"/>
      <c r="AU913" s="276"/>
      <c r="AV913" s="276"/>
      <c r="AW913" s="276"/>
      <c r="AX913" s="276"/>
      <c r="AY913" s="276"/>
      <c r="AZ913" s="276"/>
      <c r="BA913" s="276"/>
      <c r="BB913" s="276"/>
      <c r="BC913" s="276"/>
      <c r="BD913" s="276"/>
      <c r="BE913" s="276"/>
      <c r="BF913" s="276"/>
      <c r="BG913" s="276"/>
      <c r="BH913" s="236">
        <f>IF(W913=0,0,BG913+BF913+BE913+BD913+BC913+BB913+BA913+AZ913+AY913+AX913+AW913+AV913+AU913+AT913+AS913)</f>
        <v>0</v>
      </c>
      <c r="BI913" s="276"/>
      <c r="BJ913" s="276"/>
      <c r="BK913" s="276"/>
      <c r="BL913" s="276"/>
      <c r="BM913" s="276"/>
      <c r="BN913" s="276"/>
      <c r="BO913" s="276"/>
      <c r="BP913" s="276"/>
      <c r="BQ913" s="276"/>
      <c r="BR913" s="276"/>
      <c r="BS913" s="276"/>
      <c r="BT913" s="276"/>
      <c r="BU913" s="276"/>
      <c r="BV913" s="276"/>
      <c r="BW913" s="276">
        <v>50000000</v>
      </c>
      <c r="BX913" s="236">
        <f>IF(AB913=0,0,BI913+BJ913+BK913+BL913+BM913+BN913+BO913+BP913+BQ913+BR913+BS913+BT913+BU913+BV913+BW913)</f>
        <v>50000000</v>
      </c>
      <c r="BY913" s="276"/>
      <c r="BZ913" s="276"/>
      <c r="CA913" s="276"/>
      <c r="CB913" s="276"/>
      <c r="CC913" s="276">
        <v>100000000</v>
      </c>
      <c r="CD913" s="276"/>
      <c r="CE913" s="276"/>
      <c r="CF913" s="276"/>
      <c r="CG913" s="276"/>
      <c r="CH913" s="276"/>
      <c r="CI913" s="276"/>
      <c r="CJ913" s="276"/>
      <c r="CK913" s="276"/>
      <c r="CL913" s="276"/>
      <c r="CM913" s="276"/>
      <c r="CN913" s="236">
        <f>IF(AG913=0,0,(BY913+BZ913+CA913+CB913+CC913+CD913+CE913+CF913+CG913+CH913+CI913+CJ913+CK913+CL913+CM913))</f>
        <v>100000000</v>
      </c>
      <c r="CO913" s="276"/>
      <c r="CP913" s="276"/>
      <c r="CQ913" s="276"/>
      <c r="CR913" s="276"/>
      <c r="CS913" s="276">
        <v>100000000</v>
      </c>
      <c r="CT913" s="276"/>
      <c r="CU913" s="276"/>
      <c r="CV913" s="276"/>
      <c r="CW913" s="276"/>
      <c r="CX913" s="276"/>
      <c r="CY913" s="276"/>
      <c r="CZ913" s="276"/>
      <c r="DA913" s="276"/>
      <c r="DB913" s="276"/>
      <c r="DC913" s="276"/>
      <c r="DD913" s="240">
        <f>IF(AL913=0,0,(CO913+CP913+CQ913+CR913+CS913+CT913+CU913+CV913+CW913+CX913+CY913+CZ913+DA913+DB913+DC913))</f>
        <v>100000000</v>
      </c>
      <c r="DE913" s="245">
        <f t="shared" si="472"/>
        <v>250000000</v>
      </c>
    </row>
    <row r="914" spans="1:110" s="46" customFormat="1" ht="65.099999999999994" customHeight="1">
      <c r="A914" s="134" t="s">
        <v>1235</v>
      </c>
      <c r="B914" s="134" t="s">
        <v>1890</v>
      </c>
      <c r="C914" s="134" t="s">
        <v>1966</v>
      </c>
      <c r="D914" s="148">
        <v>83</v>
      </c>
      <c r="E914" s="148" t="s">
        <v>1976</v>
      </c>
      <c r="F914" s="149"/>
      <c r="G914" s="150"/>
      <c r="H914" s="151"/>
      <c r="I914" s="151"/>
      <c r="J914" s="151"/>
      <c r="K914" s="152"/>
      <c r="L914" s="151"/>
      <c r="M914" s="151"/>
      <c r="N914" s="151"/>
      <c r="O914" s="151"/>
      <c r="P914" s="151"/>
      <c r="Q914" s="150"/>
      <c r="R914" s="153"/>
      <c r="S914" s="151"/>
      <c r="T914" s="151"/>
      <c r="U914" s="154"/>
      <c r="V914" s="154"/>
      <c r="W914" s="152"/>
      <c r="X914" s="154"/>
      <c r="Y914" s="154"/>
      <c r="Z914" s="154"/>
      <c r="AA914" s="154"/>
      <c r="AB914" s="152"/>
      <c r="AC914" s="154"/>
      <c r="AD914" s="154"/>
      <c r="AE914" s="154"/>
      <c r="AF914" s="154"/>
      <c r="AG914" s="152"/>
      <c r="AH914" s="154"/>
      <c r="AI914" s="154"/>
      <c r="AJ914" s="154"/>
      <c r="AK914" s="154"/>
      <c r="AL914" s="152"/>
      <c r="AM914" s="155"/>
      <c r="AN914" s="156"/>
      <c r="AO914" s="156"/>
      <c r="AP914" s="157"/>
      <c r="AQ914" s="157"/>
      <c r="AR914" s="158"/>
      <c r="AS914" s="132">
        <f>SUM(AS911:AS913)</f>
        <v>0</v>
      </c>
      <c r="AT914" s="132">
        <f t="shared" ref="AT914:DE914" si="473">SUM(AT911:AT913)</f>
        <v>0</v>
      </c>
      <c r="AU914" s="132">
        <f t="shared" si="473"/>
        <v>0</v>
      </c>
      <c r="AV914" s="132">
        <f t="shared" si="473"/>
        <v>0</v>
      </c>
      <c r="AW914" s="132">
        <f t="shared" si="473"/>
        <v>0</v>
      </c>
      <c r="AX914" s="132">
        <f t="shared" si="473"/>
        <v>0</v>
      </c>
      <c r="AY914" s="132">
        <f t="shared" si="473"/>
        <v>0</v>
      </c>
      <c r="AZ914" s="132">
        <f t="shared" si="473"/>
        <v>0</v>
      </c>
      <c r="BA914" s="132">
        <f t="shared" si="473"/>
        <v>0</v>
      </c>
      <c r="BB914" s="132">
        <f t="shared" si="473"/>
        <v>0</v>
      </c>
      <c r="BC914" s="132">
        <f t="shared" si="473"/>
        <v>0</v>
      </c>
      <c r="BD914" s="132">
        <f t="shared" si="473"/>
        <v>0</v>
      </c>
      <c r="BE914" s="132">
        <f t="shared" si="473"/>
        <v>0</v>
      </c>
      <c r="BF914" s="132">
        <f t="shared" si="473"/>
        <v>0</v>
      </c>
      <c r="BG914" s="132">
        <f t="shared" si="473"/>
        <v>0</v>
      </c>
      <c r="BH914" s="133">
        <f>IF(OR(AND(BH911=0,W911&lt;&gt;0),AND(BH912=0,W912&lt;&gt;0),AND(BH913=0,W913&lt;&gt;0)),"NO DEBEN QUEDAR CELDAS EN ROJO",SUM(BH911:BH913))</f>
        <v>0</v>
      </c>
      <c r="BI914" s="132">
        <f t="shared" si="473"/>
        <v>0</v>
      </c>
      <c r="BJ914" s="132">
        <f t="shared" si="473"/>
        <v>0</v>
      </c>
      <c r="BK914" s="132">
        <f t="shared" si="473"/>
        <v>0</v>
      </c>
      <c r="BL914" s="132">
        <f t="shared" si="473"/>
        <v>0</v>
      </c>
      <c r="BM914" s="132">
        <f t="shared" si="473"/>
        <v>0</v>
      </c>
      <c r="BN914" s="132">
        <f t="shared" si="473"/>
        <v>0</v>
      </c>
      <c r="BO914" s="132">
        <f t="shared" si="473"/>
        <v>0</v>
      </c>
      <c r="BP914" s="132">
        <f t="shared" si="473"/>
        <v>0</v>
      </c>
      <c r="BQ914" s="132">
        <f t="shared" si="473"/>
        <v>0</v>
      </c>
      <c r="BR914" s="132">
        <f t="shared" si="473"/>
        <v>0</v>
      </c>
      <c r="BS914" s="132">
        <f t="shared" si="473"/>
        <v>0</v>
      </c>
      <c r="BT914" s="132">
        <f t="shared" si="473"/>
        <v>0</v>
      </c>
      <c r="BU914" s="132">
        <f t="shared" si="473"/>
        <v>0</v>
      </c>
      <c r="BV914" s="132">
        <f t="shared" si="473"/>
        <v>0</v>
      </c>
      <c r="BW914" s="132">
        <f t="shared" si="473"/>
        <v>4500000000</v>
      </c>
      <c r="BX914" s="133">
        <f>IF(OR(AND(BX911=0,AB911&lt;&gt;0),AND(BX912=0,AB912&lt;&gt;0),AND(BX913=0,AB913&lt;&gt;0)),"NO DEBEN QUEDAR CELDAS EN ROJO",SUM(BX911:BX913))</f>
        <v>4500000000</v>
      </c>
      <c r="BY914" s="132">
        <f t="shared" si="473"/>
        <v>0</v>
      </c>
      <c r="BZ914" s="132">
        <f t="shared" si="473"/>
        <v>0</v>
      </c>
      <c r="CA914" s="132">
        <f t="shared" si="473"/>
        <v>0</v>
      </c>
      <c r="CB914" s="132">
        <f t="shared" si="473"/>
        <v>0</v>
      </c>
      <c r="CC914" s="132">
        <f t="shared" si="473"/>
        <v>7500000000</v>
      </c>
      <c r="CD914" s="132">
        <f t="shared" si="473"/>
        <v>0</v>
      </c>
      <c r="CE914" s="132">
        <f t="shared" si="473"/>
        <v>0</v>
      </c>
      <c r="CF914" s="132">
        <f t="shared" si="473"/>
        <v>0</v>
      </c>
      <c r="CG914" s="132">
        <f t="shared" si="473"/>
        <v>0</v>
      </c>
      <c r="CH914" s="132">
        <f t="shared" si="473"/>
        <v>0</v>
      </c>
      <c r="CI914" s="132">
        <f t="shared" si="473"/>
        <v>0</v>
      </c>
      <c r="CJ914" s="132">
        <f t="shared" si="473"/>
        <v>0</v>
      </c>
      <c r="CK914" s="132">
        <f t="shared" si="473"/>
        <v>0</v>
      </c>
      <c r="CL914" s="132">
        <f t="shared" si="473"/>
        <v>0</v>
      </c>
      <c r="CM914" s="132">
        <f t="shared" si="473"/>
        <v>0</v>
      </c>
      <c r="CN914" s="133">
        <f>IF(OR(AND(CN911=0,AG911&lt;&gt;0),AND(CN912=0,AG912&lt;&gt;0),AND(CN913=0,AG913&lt;&gt;0)),"NO DEBEN QUEDAR CELDAS EN ROJO",SUM(CN911:CN913))</f>
        <v>7500000000</v>
      </c>
      <c r="CO914" s="132">
        <f t="shared" si="473"/>
        <v>0</v>
      </c>
      <c r="CP914" s="132">
        <f t="shared" si="473"/>
        <v>0</v>
      </c>
      <c r="CQ914" s="132">
        <f t="shared" si="473"/>
        <v>0</v>
      </c>
      <c r="CR914" s="132">
        <f t="shared" si="473"/>
        <v>0</v>
      </c>
      <c r="CS914" s="132">
        <f t="shared" si="473"/>
        <v>8500000000</v>
      </c>
      <c r="CT914" s="132">
        <f t="shared" si="473"/>
        <v>0</v>
      </c>
      <c r="CU914" s="132">
        <f t="shared" si="473"/>
        <v>0</v>
      </c>
      <c r="CV914" s="132">
        <f t="shared" si="473"/>
        <v>0</v>
      </c>
      <c r="CW914" s="132">
        <f t="shared" si="473"/>
        <v>0</v>
      </c>
      <c r="CX914" s="132">
        <f t="shared" si="473"/>
        <v>0</v>
      </c>
      <c r="CY914" s="132">
        <f t="shared" si="473"/>
        <v>0</v>
      </c>
      <c r="CZ914" s="132">
        <f t="shared" si="473"/>
        <v>0</v>
      </c>
      <c r="DA914" s="132">
        <f t="shared" si="473"/>
        <v>0</v>
      </c>
      <c r="DB914" s="132">
        <f t="shared" si="473"/>
        <v>0</v>
      </c>
      <c r="DC914" s="132">
        <f t="shared" si="473"/>
        <v>0</v>
      </c>
      <c r="DD914" s="133">
        <f>IF(OR(AND(DD911=0,AL911&lt;&gt;0),AND(DD912=0,AL912&lt;&gt;0),AND(DD913=0,AL913&lt;&gt;0)),"NO DEBEN QUEDAR CELDAS EN ROJO",SUM(DD911:DD913))</f>
        <v>8500000000</v>
      </c>
      <c r="DE914" s="133">
        <f t="shared" si="473"/>
        <v>20500000000</v>
      </c>
    </row>
    <row r="915" spans="1:110" s="116" customFormat="1" ht="55.05" customHeight="1" thickBot="1">
      <c r="A915" s="124"/>
      <c r="B915" s="125" t="s">
        <v>1890</v>
      </c>
      <c r="C915" s="145" t="s">
        <v>1966</v>
      </c>
      <c r="D915" s="170"/>
      <c r="E915" s="171"/>
      <c r="F915" s="172"/>
      <c r="G915" s="173"/>
      <c r="H915" s="171"/>
      <c r="I915" s="171"/>
      <c r="J915" s="171"/>
      <c r="K915" s="171"/>
      <c r="L915" s="171"/>
      <c r="M915" s="171"/>
      <c r="N915" s="171"/>
      <c r="O915" s="171"/>
      <c r="P915" s="171"/>
      <c r="Q915" s="173"/>
      <c r="R915" s="174"/>
      <c r="S915" s="171"/>
      <c r="T915" s="171"/>
      <c r="U915" s="175"/>
      <c r="V915" s="175"/>
      <c r="W915" s="176"/>
      <c r="X915" s="175"/>
      <c r="Y915" s="175"/>
      <c r="Z915" s="175"/>
      <c r="AA915" s="175"/>
      <c r="AB915" s="176"/>
      <c r="AC915" s="175"/>
      <c r="AD915" s="175"/>
      <c r="AE915" s="175"/>
      <c r="AF915" s="175"/>
      <c r="AG915" s="176"/>
      <c r="AH915" s="175"/>
      <c r="AI915" s="175"/>
      <c r="AJ915" s="175"/>
      <c r="AK915" s="175"/>
      <c r="AL915" s="176"/>
      <c r="AM915" s="177"/>
      <c r="AN915" s="178"/>
      <c r="AO915" s="178"/>
      <c r="AP915" s="173"/>
      <c r="AQ915" s="173"/>
      <c r="AR915" s="179"/>
      <c r="AS915" s="147">
        <f>SUM(AS914+AS910)</f>
        <v>0</v>
      </c>
      <c r="AT915" s="130">
        <f t="shared" ref="AT915:DE915" si="474">SUM(AT914+AT910)</f>
        <v>0</v>
      </c>
      <c r="AU915" s="130">
        <f t="shared" si="474"/>
        <v>0</v>
      </c>
      <c r="AV915" s="130">
        <f t="shared" si="474"/>
        <v>0</v>
      </c>
      <c r="AW915" s="130">
        <f t="shared" si="474"/>
        <v>63000000</v>
      </c>
      <c r="AX915" s="130">
        <f t="shared" si="474"/>
        <v>0</v>
      </c>
      <c r="AY915" s="130">
        <f t="shared" si="474"/>
        <v>0</v>
      </c>
      <c r="AZ915" s="130">
        <f t="shared" si="474"/>
        <v>0</v>
      </c>
      <c r="BA915" s="130">
        <f t="shared" si="474"/>
        <v>0</v>
      </c>
      <c r="BB915" s="130">
        <f t="shared" si="474"/>
        <v>0</v>
      </c>
      <c r="BC915" s="130">
        <f t="shared" si="474"/>
        <v>0</v>
      </c>
      <c r="BD915" s="130">
        <f t="shared" si="474"/>
        <v>0</v>
      </c>
      <c r="BE915" s="130">
        <f t="shared" si="474"/>
        <v>0</v>
      </c>
      <c r="BF915" s="130">
        <f t="shared" si="474"/>
        <v>0</v>
      </c>
      <c r="BG915" s="130">
        <f t="shared" si="474"/>
        <v>0</v>
      </c>
      <c r="BH915" s="130">
        <f t="shared" si="474"/>
        <v>63000000</v>
      </c>
      <c r="BI915" s="130">
        <f t="shared" si="474"/>
        <v>0</v>
      </c>
      <c r="BJ915" s="130">
        <f t="shared" si="474"/>
        <v>0</v>
      </c>
      <c r="BK915" s="130">
        <f t="shared" si="474"/>
        <v>0</v>
      </c>
      <c r="BL915" s="130">
        <f t="shared" si="474"/>
        <v>0</v>
      </c>
      <c r="BM915" s="130">
        <f t="shared" si="474"/>
        <v>0</v>
      </c>
      <c r="BN915" s="130">
        <f t="shared" si="474"/>
        <v>0</v>
      </c>
      <c r="BO915" s="130">
        <f t="shared" si="474"/>
        <v>0</v>
      </c>
      <c r="BP915" s="130">
        <f t="shared" si="474"/>
        <v>0</v>
      </c>
      <c r="BQ915" s="130">
        <f t="shared" si="474"/>
        <v>0</v>
      </c>
      <c r="BR915" s="130">
        <f t="shared" si="474"/>
        <v>0</v>
      </c>
      <c r="BS915" s="130">
        <f t="shared" si="474"/>
        <v>0</v>
      </c>
      <c r="BT915" s="130">
        <f t="shared" si="474"/>
        <v>0</v>
      </c>
      <c r="BU915" s="130">
        <f t="shared" si="474"/>
        <v>0</v>
      </c>
      <c r="BV915" s="130">
        <f t="shared" si="474"/>
        <v>0</v>
      </c>
      <c r="BW915" s="130">
        <f t="shared" si="474"/>
        <v>11500000000</v>
      </c>
      <c r="BX915" s="130">
        <f t="shared" si="474"/>
        <v>11500000000</v>
      </c>
      <c r="BY915" s="130">
        <f t="shared" si="474"/>
        <v>0</v>
      </c>
      <c r="BZ915" s="130">
        <f t="shared" si="474"/>
        <v>0</v>
      </c>
      <c r="CA915" s="130">
        <f t="shared" si="474"/>
        <v>0</v>
      </c>
      <c r="CB915" s="130">
        <f t="shared" si="474"/>
        <v>0</v>
      </c>
      <c r="CC915" s="130">
        <f t="shared" si="474"/>
        <v>7500000000</v>
      </c>
      <c r="CD915" s="130">
        <f t="shared" si="474"/>
        <v>0</v>
      </c>
      <c r="CE915" s="130">
        <f t="shared" si="474"/>
        <v>0</v>
      </c>
      <c r="CF915" s="130">
        <f t="shared" si="474"/>
        <v>0</v>
      </c>
      <c r="CG915" s="130">
        <f t="shared" si="474"/>
        <v>0</v>
      </c>
      <c r="CH915" s="130">
        <f t="shared" si="474"/>
        <v>0</v>
      </c>
      <c r="CI915" s="130">
        <f t="shared" si="474"/>
        <v>0</v>
      </c>
      <c r="CJ915" s="130">
        <f t="shared" si="474"/>
        <v>0</v>
      </c>
      <c r="CK915" s="130">
        <f t="shared" si="474"/>
        <v>0</v>
      </c>
      <c r="CL915" s="130">
        <f t="shared" si="474"/>
        <v>0</v>
      </c>
      <c r="CM915" s="130">
        <f t="shared" si="474"/>
        <v>0</v>
      </c>
      <c r="CN915" s="130">
        <f t="shared" si="474"/>
        <v>7500000000</v>
      </c>
      <c r="CO915" s="130">
        <f t="shared" si="474"/>
        <v>0</v>
      </c>
      <c r="CP915" s="130">
        <f t="shared" si="474"/>
        <v>0</v>
      </c>
      <c r="CQ915" s="130">
        <f t="shared" si="474"/>
        <v>0</v>
      </c>
      <c r="CR915" s="130">
        <f t="shared" si="474"/>
        <v>0</v>
      </c>
      <c r="CS915" s="130">
        <f t="shared" si="474"/>
        <v>8500000000</v>
      </c>
      <c r="CT915" s="130">
        <f t="shared" si="474"/>
        <v>0</v>
      </c>
      <c r="CU915" s="130">
        <f t="shared" si="474"/>
        <v>0</v>
      </c>
      <c r="CV915" s="130">
        <f t="shared" si="474"/>
        <v>0</v>
      </c>
      <c r="CW915" s="130">
        <f t="shared" si="474"/>
        <v>0</v>
      </c>
      <c r="CX915" s="130">
        <f t="shared" si="474"/>
        <v>0</v>
      </c>
      <c r="CY915" s="130">
        <f t="shared" si="474"/>
        <v>0</v>
      </c>
      <c r="CZ915" s="130">
        <f t="shared" si="474"/>
        <v>0</v>
      </c>
      <c r="DA915" s="130">
        <f t="shared" si="474"/>
        <v>0</v>
      </c>
      <c r="DB915" s="130">
        <f t="shared" si="474"/>
        <v>0</v>
      </c>
      <c r="DC915" s="130">
        <f t="shared" si="474"/>
        <v>0</v>
      </c>
      <c r="DD915" s="130">
        <f t="shared" si="474"/>
        <v>8500000000</v>
      </c>
      <c r="DE915" s="130">
        <f t="shared" si="474"/>
        <v>27563000000</v>
      </c>
    </row>
    <row r="916" spans="1:110" s="46" customFormat="1" ht="51" customHeight="1" thickBot="1">
      <c r="A916" s="671" t="s">
        <v>1890</v>
      </c>
      <c r="B916" s="672"/>
      <c r="C916" s="672"/>
      <c r="D916" s="180"/>
      <c r="E916" s="181"/>
      <c r="F916" s="182"/>
      <c r="G916" s="183"/>
      <c r="H916" s="181"/>
      <c r="I916" s="181"/>
      <c r="J916" s="181"/>
      <c r="K916" s="181"/>
      <c r="L916" s="181"/>
      <c r="M916" s="181"/>
      <c r="N916" s="181"/>
      <c r="O916" s="181"/>
      <c r="P916" s="184"/>
      <c r="Q916" s="183"/>
      <c r="R916" s="181"/>
      <c r="S916" s="181"/>
      <c r="T916" s="181"/>
      <c r="U916" s="185"/>
      <c r="V916" s="185"/>
      <c r="W916" s="186"/>
      <c r="X916" s="185"/>
      <c r="Y916" s="185"/>
      <c r="Z916" s="185"/>
      <c r="AA916" s="185"/>
      <c r="AB916" s="186"/>
      <c r="AC916" s="185"/>
      <c r="AD916" s="185"/>
      <c r="AE916" s="185"/>
      <c r="AF916" s="185"/>
      <c r="AG916" s="187"/>
      <c r="AH916" s="185"/>
      <c r="AI916" s="185"/>
      <c r="AJ916" s="185"/>
      <c r="AK916" s="185"/>
      <c r="AL916" s="187"/>
      <c r="AM916" s="188"/>
      <c r="AN916" s="189"/>
      <c r="AO916" s="189"/>
      <c r="AP916" s="190"/>
      <c r="AQ916" s="190"/>
      <c r="AR916" s="191"/>
      <c r="AS916" s="203">
        <f t="shared" ref="AS916:BX916" si="475">SUM(AS915+AS906+AS887)</f>
        <v>0</v>
      </c>
      <c r="AT916" s="204">
        <f t="shared" si="475"/>
        <v>0</v>
      </c>
      <c r="AU916" s="204">
        <f t="shared" si="475"/>
        <v>0</v>
      </c>
      <c r="AV916" s="204">
        <f t="shared" si="475"/>
        <v>70000000</v>
      </c>
      <c r="AW916" s="204">
        <f t="shared" si="475"/>
        <v>210316000</v>
      </c>
      <c r="AX916" s="204">
        <f t="shared" si="475"/>
        <v>0</v>
      </c>
      <c r="AY916" s="204">
        <f t="shared" si="475"/>
        <v>0</v>
      </c>
      <c r="AZ916" s="204">
        <f t="shared" si="475"/>
        <v>0</v>
      </c>
      <c r="BA916" s="204">
        <f t="shared" si="475"/>
        <v>0</v>
      </c>
      <c r="BB916" s="204">
        <f t="shared" si="475"/>
        <v>0</v>
      </c>
      <c r="BC916" s="204">
        <f t="shared" si="475"/>
        <v>0</v>
      </c>
      <c r="BD916" s="204">
        <f t="shared" si="475"/>
        <v>0</v>
      </c>
      <c r="BE916" s="204">
        <f t="shared" si="475"/>
        <v>0</v>
      </c>
      <c r="BF916" s="204">
        <f t="shared" si="475"/>
        <v>0</v>
      </c>
      <c r="BG916" s="204">
        <f t="shared" si="475"/>
        <v>22518820689</v>
      </c>
      <c r="BH916" s="204">
        <f t="shared" si="475"/>
        <v>22799136689</v>
      </c>
      <c r="BI916" s="204">
        <f t="shared" si="475"/>
        <v>0</v>
      </c>
      <c r="BJ916" s="204">
        <f t="shared" si="475"/>
        <v>0</v>
      </c>
      <c r="BK916" s="204">
        <f t="shared" si="475"/>
        <v>0</v>
      </c>
      <c r="BL916" s="204">
        <f t="shared" si="475"/>
        <v>0</v>
      </c>
      <c r="BM916" s="204">
        <f t="shared" si="475"/>
        <v>225792000</v>
      </c>
      <c r="BN916" s="204">
        <f t="shared" si="475"/>
        <v>0</v>
      </c>
      <c r="BO916" s="204">
        <f t="shared" si="475"/>
        <v>0</v>
      </c>
      <c r="BP916" s="204">
        <f t="shared" si="475"/>
        <v>0</v>
      </c>
      <c r="BQ916" s="204">
        <f t="shared" si="475"/>
        <v>0</v>
      </c>
      <c r="BR916" s="204">
        <f t="shared" si="475"/>
        <v>0</v>
      </c>
      <c r="BS916" s="204">
        <f t="shared" si="475"/>
        <v>0</v>
      </c>
      <c r="BT916" s="204">
        <f t="shared" si="475"/>
        <v>0</v>
      </c>
      <c r="BU916" s="204">
        <f t="shared" si="475"/>
        <v>0</v>
      </c>
      <c r="BV916" s="204">
        <f t="shared" si="475"/>
        <v>0</v>
      </c>
      <c r="BW916" s="204">
        <f t="shared" si="475"/>
        <v>16335819427</v>
      </c>
      <c r="BX916" s="204">
        <f t="shared" si="475"/>
        <v>16561611427</v>
      </c>
      <c r="BY916" s="204">
        <f t="shared" ref="BY916:DD916" si="476">SUM(BY915+BY906+BY887)</f>
        <v>0</v>
      </c>
      <c r="BZ916" s="204">
        <f t="shared" si="476"/>
        <v>0</v>
      </c>
      <c r="CA916" s="204">
        <f t="shared" si="476"/>
        <v>0</v>
      </c>
      <c r="CB916" s="204">
        <f t="shared" si="476"/>
        <v>0</v>
      </c>
      <c r="CC916" s="204">
        <f t="shared" si="476"/>
        <v>7725792000</v>
      </c>
      <c r="CD916" s="204">
        <f t="shared" si="476"/>
        <v>0</v>
      </c>
      <c r="CE916" s="204">
        <f t="shared" si="476"/>
        <v>0</v>
      </c>
      <c r="CF916" s="204">
        <f t="shared" si="476"/>
        <v>0</v>
      </c>
      <c r="CG916" s="204">
        <f t="shared" si="476"/>
        <v>0</v>
      </c>
      <c r="CH916" s="204">
        <f t="shared" si="476"/>
        <v>0</v>
      </c>
      <c r="CI916" s="204">
        <f t="shared" si="476"/>
        <v>0</v>
      </c>
      <c r="CJ916" s="204">
        <f t="shared" si="476"/>
        <v>0</v>
      </c>
      <c r="CK916" s="204">
        <f t="shared" si="476"/>
        <v>0</v>
      </c>
      <c r="CL916" s="204">
        <f t="shared" si="476"/>
        <v>0</v>
      </c>
      <c r="CM916" s="204">
        <f t="shared" si="476"/>
        <v>3000000000</v>
      </c>
      <c r="CN916" s="204">
        <f t="shared" si="476"/>
        <v>10725792000</v>
      </c>
      <c r="CO916" s="204">
        <f t="shared" si="476"/>
        <v>0</v>
      </c>
      <c r="CP916" s="204">
        <f t="shared" si="476"/>
        <v>0</v>
      </c>
      <c r="CQ916" s="204">
        <f t="shared" si="476"/>
        <v>0</v>
      </c>
      <c r="CR916" s="204">
        <f t="shared" si="476"/>
        <v>0</v>
      </c>
      <c r="CS916" s="204">
        <f t="shared" si="476"/>
        <v>8725792000</v>
      </c>
      <c r="CT916" s="204">
        <f t="shared" si="476"/>
        <v>0</v>
      </c>
      <c r="CU916" s="204">
        <f t="shared" si="476"/>
        <v>0</v>
      </c>
      <c r="CV916" s="204">
        <f t="shared" si="476"/>
        <v>0</v>
      </c>
      <c r="CW916" s="204">
        <f t="shared" si="476"/>
        <v>0</v>
      </c>
      <c r="CX916" s="204">
        <f t="shared" si="476"/>
        <v>0</v>
      </c>
      <c r="CY916" s="204">
        <f t="shared" si="476"/>
        <v>0</v>
      </c>
      <c r="CZ916" s="204">
        <f t="shared" si="476"/>
        <v>0</v>
      </c>
      <c r="DA916" s="204">
        <f t="shared" si="476"/>
        <v>0</v>
      </c>
      <c r="DB916" s="204">
        <f t="shared" si="476"/>
        <v>0</v>
      </c>
      <c r="DC916" s="204">
        <f t="shared" si="476"/>
        <v>10000894009</v>
      </c>
      <c r="DD916" s="204">
        <f t="shared" si="476"/>
        <v>18726686009</v>
      </c>
      <c r="DE916" s="205">
        <f t="shared" ref="DE916" si="477">SUM(DE915+DE906+DE887)</f>
        <v>68813226125</v>
      </c>
    </row>
    <row r="917" spans="1:110" s="98" customFormat="1" ht="147" customHeight="1">
      <c r="A917" s="103" t="s">
        <v>1234</v>
      </c>
      <c r="B917" s="103" t="s">
        <v>440</v>
      </c>
      <c r="C917" s="103" t="s">
        <v>1983</v>
      </c>
      <c r="D917" s="103">
        <v>84</v>
      </c>
      <c r="E917" s="103" t="s">
        <v>1984</v>
      </c>
      <c r="F917" s="278" t="s">
        <v>1985</v>
      </c>
      <c r="G917" s="103" t="s">
        <v>3766</v>
      </c>
      <c r="H917" s="103">
        <v>100</v>
      </c>
      <c r="I917" s="103" t="s">
        <v>441</v>
      </c>
      <c r="J917" s="103" t="s">
        <v>689</v>
      </c>
      <c r="K917" s="103">
        <v>4.91</v>
      </c>
      <c r="L917" s="103" t="s">
        <v>1986</v>
      </c>
      <c r="M917" s="103" t="s">
        <v>1987</v>
      </c>
      <c r="N917" s="103" t="s">
        <v>1988</v>
      </c>
      <c r="O917" s="103" t="s">
        <v>1989</v>
      </c>
      <c r="P917" s="283">
        <v>804</v>
      </c>
      <c r="Q917" s="103" t="s">
        <v>2910</v>
      </c>
      <c r="R917" s="103" t="s">
        <v>1990</v>
      </c>
      <c r="S917" s="103" t="s">
        <v>683</v>
      </c>
      <c r="T917" s="103">
        <v>2</v>
      </c>
      <c r="U917" s="267"/>
      <c r="V917" s="267"/>
      <c r="W917" s="224">
        <v>0</v>
      </c>
      <c r="X917" s="267"/>
      <c r="Y917" s="267"/>
      <c r="Z917" s="267"/>
      <c r="AA917" s="267"/>
      <c r="AB917" s="224">
        <v>0</v>
      </c>
      <c r="AC917" s="267">
        <v>1</v>
      </c>
      <c r="AD917" s="267"/>
      <c r="AE917" s="267"/>
      <c r="AF917" s="267"/>
      <c r="AG917" s="224">
        <v>1</v>
      </c>
      <c r="AH917" s="267"/>
      <c r="AI917" s="267"/>
      <c r="AJ917" s="267"/>
      <c r="AK917" s="267"/>
      <c r="AL917" s="224">
        <v>0</v>
      </c>
      <c r="AM917" s="102">
        <v>1</v>
      </c>
      <c r="AN917" s="103" t="s">
        <v>685</v>
      </c>
      <c r="AO917" s="103" t="s">
        <v>625</v>
      </c>
      <c r="AP917" s="103" t="s">
        <v>1221</v>
      </c>
      <c r="AQ917" s="103" t="s">
        <v>1193</v>
      </c>
      <c r="AR917" s="103" t="s">
        <v>944</v>
      </c>
      <c r="AS917" s="268"/>
      <c r="AT917" s="268"/>
      <c r="AU917" s="268"/>
      <c r="AV917" s="268"/>
      <c r="AW917" s="268"/>
      <c r="AX917" s="268"/>
      <c r="AY917" s="268"/>
      <c r="AZ917" s="268"/>
      <c r="BA917" s="268"/>
      <c r="BB917" s="268"/>
      <c r="BC917" s="268"/>
      <c r="BD917" s="268"/>
      <c r="BE917" s="268"/>
      <c r="BF917" s="268"/>
      <c r="BG917" s="268"/>
      <c r="BH917" s="234">
        <f t="shared" ref="BH917:BH923" si="478">IF(W917=0,0,BG917+BF917+BE917+BD917+BC917+BB917+BA917+AZ917+AY917+AX917+AW917+AV917+AU917+AT917+AS917)</f>
        <v>0</v>
      </c>
      <c r="BI917" s="268"/>
      <c r="BJ917" s="268"/>
      <c r="BK917" s="268"/>
      <c r="BL917" s="268"/>
      <c r="BM917" s="268"/>
      <c r="BN917" s="268"/>
      <c r="BO917" s="268"/>
      <c r="BP917" s="268"/>
      <c r="BQ917" s="268"/>
      <c r="BR917" s="268"/>
      <c r="BS917" s="268"/>
      <c r="BT917" s="268"/>
      <c r="BU917" s="268"/>
      <c r="BV917" s="268"/>
      <c r="BW917" s="268"/>
      <c r="BX917" s="234">
        <f t="shared" ref="BX917:BX923" si="479">IF(AB917=0,0,BI917+BJ917+BK917+BL917+BM917+BN917+BO917+BP917+BQ917+BR917+BS917+BT917+BU917+BV917+BW917)</f>
        <v>0</v>
      </c>
      <c r="BY917" s="268"/>
      <c r="BZ917" s="268"/>
      <c r="CA917" s="268"/>
      <c r="CB917" s="268"/>
      <c r="CC917" s="268">
        <v>1000000</v>
      </c>
      <c r="CD917" s="268"/>
      <c r="CE917" s="268"/>
      <c r="CF917" s="268"/>
      <c r="CG917" s="268"/>
      <c r="CH917" s="268"/>
      <c r="CI917" s="268"/>
      <c r="CJ917" s="268"/>
      <c r="CK917" s="268"/>
      <c r="CL917" s="268"/>
      <c r="CM917" s="268"/>
      <c r="CN917" s="234">
        <f t="shared" ref="CN917:CN923" si="480">IF(AG917=0,0,(BY917+BZ917+CA917+CB917+CC917+CD917+CE917+CF917+CG917+CH917+CI917+CJ917+CK917+CL917+CM917))</f>
        <v>1000000</v>
      </c>
      <c r="CO917" s="268"/>
      <c r="CP917" s="268"/>
      <c r="CQ917" s="268"/>
      <c r="CR917" s="268"/>
      <c r="CS917" s="268"/>
      <c r="CT917" s="268"/>
      <c r="CU917" s="268"/>
      <c r="CV917" s="268"/>
      <c r="CW917" s="268"/>
      <c r="CX917" s="268"/>
      <c r="CY917" s="268"/>
      <c r="CZ917" s="268"/>
      <c r="DA917" s="268"/>
      <c r="DB917" s="268"/>
      <c r="DC917" s="268"/>
      <c r="DD917" s="234">
        <f t="shared" ref="DD917:DD923" si="481">IF(AL917=0,0,(CO917+CP917+CQ917+CR917+CS917+CT917+CU917+CV917+CW917+CX917+CY917+CZ917+DA917+DB917+DC917))</f>
        <v>0</v>
      </c>
      <c r="DE917" s="243">
        <f t="shared" ref="DE917:DE923" si="482">SUM(DD917+CN917+BX917+BH917)</f>
        <v>1000000</v>
      </c>
    </row>
    <row r="918" spans="1:110" s="98" customFormat="1" ht="147" customHeight="1">
      <c r="A918" s="103" t="s">
        <v>1234</v>
      </c>
      <c r="B918" s="279" t="s">
        <v>440</v>
      </c>
      <c r="C918" s="279" t="s">
        <v>1983</v>
      </c>
      <c r="D918" s="279">
        <v>84</v>
      </c>
      <c r="E918" s="279" t="s">
        <v>1984</v>
      </c>
      <c r="F918" s="280" t="s">
        <v>1985</v>
      </c>
      <c r="G918" s="279" t="s">
        <v>3766</v>
      </c>
      <c r="H918" s="279">
        <v>100</v>
      </c>
      <c r="I918" s="279" t="s">
        <v>441</v>
      </c>
      <c r="J918" s="279" t="s">
        <v>689</v>
      </c>
      <c r="K918" s="279">
        <v>4.91</v>
      </c>
      <c r="L918" s="279" t="s">
        <v>1986</v>
      </c>
      <c r="M918" s="279" t="s">
        <v>1991</v>
      </c>
      <c r="N918" s="279" t="s">
        <v>1992</v>
      </c>
      <c r="O918" s="279" t="s">
        <v>444</v>
      </c>
      <c r="P918" s="283">
        <v>805</v>
      </c>
      <c r="Q918" s="279" t="s">
        <v>3767</v>
      </c>
      <c r="R918" s="279" t="s">
        <v>448</v>
      </c>
      <c r="S918" s="279" t="s">
        <v>683</v>
      </c>
      <c r="T918" s="279">
        <v>1</v>
      </c>
      <c r="U918" s="267"/>
      <c r="V918" s="267">
        <v>1</v>
      </c>
      <c r="W918" s="224">
        <v>1</v>
      </c>
      <c r="X918" s="267"/>
      <c r="Y918" s="267"/>
      <c r="Z918" s="267">
        <v>1</v>
      </c>
      <c r="AA918" s="267"/>
      <c r="AB918" s="224">
        <v>1</v>
      </c>
      <c r="AC918" s="267"/>
      <c r="AD918" s="267"/>
      <c r="AE918" s="267">
        <v>1</v>
      </c>
      <c r="AF918" s="267"/>
      <c r="AG918" s="224">
        <v>1</v>
      </c>
      <c r="AH918" s="267"/>
      <c r="AI918" s="267"/>
      <c r="AJ918" s="267">
        <v>1</v>
      </c>
      <c r="AK918" s="267"/>
      <c r="AL918" s="224">
        <v>1</v>
      </c>
      <c r="AM918" s="104">
        <v>1</v>
      </c>
      <c r="AN918" s="103" t="s">
        <v>686</v>
      </c>
      <c r="AO918" s="103" t="s">
        <v>625</v>
      </c>
      <c r="AP918" s="103" t="s">
        <v>1221</v>
      </c>
      <c r="AQ918" s="103" t="s">
        <v>1193</v>
      </c>
      <c r="AR918" s="103" t="s">
        <v>944</v>
      </c>
      <c r="AS918" s="271"/>
      <c r="AT918" s="271"/>
      <c r="AU918" s="271"/>
      <c r="AV918" s="271"/>
      <c r="AW918" s="271">
        <v>250000</v>
      </c>
      <c r="AX918" s="271"/>
      <c r="AY918" s="271"/>
      <c r="AZ918" s="271"/>
      <c r="BA918" s="271"/>
      <c r="BB918" s="271"/>
      <c r="BC918" s="271"/>
      <c r="BD918" s="271"/>
      <c r="BE918" s="271"/>
      <c r="BF918" s="271"/>
      <c r="BG918" s="271"/>
      <c r="BH918" s="235">
        <f t="shared" si="478"/>
        <v>250000</v>
      </c>
      <c r="BI918" s="271"/>
      <c r="BJ918" s="271"/>
      <c r="BK918" s="271"/>
      <c r="BL918" s="271"/>
      <c r="BM918" s="271">
        <v>250000</v>
      </c>
      <c r="BN918" s="271"/>
      <c r="BO918" s="271"/>
      <c r="BP918" s="271"/>
      <c r="BQ918" s="271"/>
      <c r="BR918" s="271"/>
      <c r="BS918" s="271"/>
      <c r="BT918" s="271"/>
      <c r="BU918" s="271"/>
      <c r="BV918" s="271"/>
      <c r="BW918" s="271"/>
      <c r="BX918" s="235">
        <f t="shared" si="479"/>
        <v>250000</v>
      </c>
      <c r="BY918" s="271"/>
      <c r="BZ918" s="271"/>
      <c r="CA918" s="271"/>
      <c r="CB918" s="271"/>
      <c r="CC918" s="271">
        <v>250000</v>
      </c>
      <c r="CD918" s="271"/>
      <c r="CE918" s="271"/>
      <c r="CF918" s="271"/>
      <c r="CG918" s="271"/>
      <c r="CH918" s="271"/>
      <c r="CI918" s="271"/>
      <c r="CJ918" s="271"/>
      <c r="CK918" s="271"/>
      <c r="CL918" s="271"/>
      <c r="CM918" s="271"/>
      <c r="CN918" s="235">
        <f t="shared" si="480"/>
        <v>250000</v>
      </c>
      <c r="CO918" s="271"/>
      <c r="CP918" s="271"/>
      <c r="CQ918" s="271"/>
      <c r="CR918" s="271"/>
      <c r="CS918" s="271">
        <v>250000</v>
      </c>
      <c r="CT918" s="271"/>
      <c r="CU918" s="271"/>
      <c r="CV918" s="271"/>
      <c r="CW918" s="271"/>
      <c r="CX918" s="271"/>
      <c r="CY918" s="271"/>
      <c r="CZ918" s="271"/>
      <c r="DA918" s="271"/>
      <c r="DB918" s="271"/>
      <c r="DC918" s="271"/>
      <c r="DD918" s="234">
        <f t="shared" si="481"/>
        <v>250000</v>
      </c>
      <c r="DE918" s="244">
        <f t="shared" si="482"/>
        <v>1000000</v>
      </c>
    </row>
    <row r="919" spans="1:110" s="98" customFormat="1" ht="147" customHeight="1">
      <c r="A919" s="103" t="s">
        <v>1234</v>
      </c>
      <c r="B919" s="279" t="s">
        <v>440</v>
      </c>
      <c r="C919" s="279" t="s">
        <v>1983</v>
      </c>
      <c r="D919" s="279">
        <v>84</v>
      </c>
      <c r="E919" s="279" t="s">
        <v>1984</v>
      </c>
      <c r="F919" s="280" t="s">
        <v>1985</v>
      </c>
      <c r="G919" s="279" t="s">
        <v>3766</v>
      </c>
      <c r="H919" s="279">
        <v>100</v>
      </c>
      <c r="I919" s="279" t="s">
        <v>441</v>
      </c>
      <c r="J919" s="279" t="s">
        <v>689</v>
      </c>
      <c r="K919" s="279">
        <v>4.91</v>
      </c>
      <c r="L919" s="279" t="s">
        <v>1986</v>
      </c>
      <c r="M919" s="279" t="s">
        <v>1991</v>
      </c>
      <c r="N919" s="279" t="s">
        <v>1992</v>
      </c>
      <c r="O919" s="279" t="s">
        <v>444</v>
      </c>
      <c r="P919" s="283">
        <v>806</v>
      </c>
      <c r="Q919" s="279" t="s">
        <v>2911</v>
      </c>
      <c r="R919" s="279" t="s">
        <v>449</v>
      </c>
      <c r="S919" s="279" t="s">
        <v>683</v>
      </c>
      <c r="T919" s="279">
        <v>0</v>
      </c>
      <c r="U919" s="267"/>
      <c r="V919" s="267"/>
      <c r="W919" s="224">
        <v>0</v>
      </c>
      <c r="X919" s="267"/>
      <c r="Y919" s="267"/>
      <c r="Z919" s="267"/>
      <c r="AA919" s="267">
        <v>1</v>
      </c>
      <c r="AB919" s="224">
        <v>1</v>
      </c>
      <c r="AC919" s="267"/>
      <c r="AD919" s="267"/>
      <c r="AE919" s="267"/>
      <c r="AF919" s="267"/>
      <c r="AG919" s="224">
        <v>0</v>
      </c>
      <c r="AH919" s="267"/>
      <c r="AI919" s="267"/>
      <c r="AJ919" s="267"/>
      <c r="AK919" s="267"/>
      <c r="AL919" s="224">
        <v>0</v>
      </c>
      <c r="AM919" s="104">
        <v>1</v>
      </c>
      <c r="AN919" s="103" t="s">
        <v>685</v>
      </c>
      <c r="AO919" s="103" t="s">
        <v>625</v>
      </c>
      <c r="AP919" s="103" t="s">
        <v>1221</v>
      </c>
      <c r="AQ919" s="103" t="s">
        <v>1193</v>
      </c>
      <c r="AR919" s="103" t="s">
        <v>944</v>
      </c>
      <c r="AS919" s="271"/>
      <c r="AT919" s="271"/>
      <c r="AU919" s="271"/>
      <c r="AV919" s="271"/>
      <c r="AW919" s="271"/>
      <c r="AX919" s="271"/>
      <c r="AY919" s="271"/>
      <c r="AZ919" s="271"/>
      <c r="BA919" s="271"/>
      <c r="BB919" s="271"/>
      <c r="BC919" s="271"/>
      <c r="BD919" s="271"/>
      <c r="BE919" s="271"/>
      <c r="BF919" s="271"/>
      <c r="BG919" s="271"/>
      <c r="BH919" s="235">
        <f t="shared" si="478"/>
        <v>0</v>
      </c>
      <c r="BI919" s="271"/>
      <c r="BJ919" s="271"/>
      <c r="BK919" s="271"/>
      <c r="BL919" s="271"/>
      <c r="BM919" s="271">
        <v>1000000</v>
      </c>
      <c r="BN919" s="271"/>
      <c r="BO919" s="271"/>
      <c r="BP919" s="271"/>
      <c r="BQ919" s="271"/>
      <c r="BR919" s="271"/>
      <c r="BS919" s="271"/>
      <c r="BT919" s="271"/>
      <c r="BU919" s="271"/>
      <c r="BV919" s="271"/>
      <c r="BW919" s="271"/>
      <c r="BX919" s="235">
        <f t="shared" si="479"/>
        <v>1000000</v>
      </c>
      <c r="BY919" s="271"/>
      <c r="BZ919" s="271"/>
      <c r="CA919" s="271"/>
      <c r="CB919" s="271"/>
      <c r="CC919" s="271"/>
      <c r="CD919" s="271"/>
      <c r="CE919" s="271"/>
      <c r="CF919" s="271"/>
      <c r="CG919" s="271"/>
      <c r="CH919" s="271"/>
      <c r="CI919" s="271"/>
      <c r="CJ919" s="271"/>
      <c r="CK919" s="271"/>
      <c r="CL919" s="271"/>
      <c r="CM919" s="271"/>
      <c r="CN919" s="235">
        <f t="shared" si="480"/>
        <v>0</v>
      </c>
      <c r="CO919" s="271"/>
      <c r="CP919" s="271"/>
      <c r="CQ919" s="271"/>
      <c r="CR919" s="271"/>
      <c r="CS919" s="271"/>
      <c r="CT919" s="271"/>
      <c r="CU919" s="271"/>
      <c r="CV919" s="271"/>
      <c r="CW919" s="271"/>
      <c r="CX919" s="271"/>
      <c r="CY919" s="271"/>
      <c r="CZ919" s="271"/>
      <c r="DA919" s="271"/>
      <c r="DB919" s="271"/>
      <c r="DC919" s="271"/>
      <c r="DD919" s="234">
        <f t="shared" si="481"/>
        <v>0</v>
      </c>
      <c r="DE919" s="244">
        <f t="shared" si="482"/>
        <v>1000000</v>
      </c>
    </row>
    <row r="920" spans="1:110" s="98" customFormat="1" ht="147" customHeight="1">
      <c r="A920" s="103" t="s">
        <v>1234</v>
      </c>
      <c r="B920" s="279" t="s">
        <v>440</v>
      </c>
      <c r="C920" s="279" t="s">
        <v>1983</v>
      </c>
      <c r="D920" s="279">
        <v>84</v>
      </c>
      <c r="E920" s="279" t="s">
        <v>1984</v>
      </c>
      <c r="F920" s="280" t="s">
        <v>1985</v>
      </c>
      <c r="G920" s="279" t="s">
        <v>3766</v>
      </c>
      <c r="H920" s="279">
        <v>100</v>
      </c>
      <c r="I920" s="279" t="s">
        <v>441</v>
      </c>
      <c r="J920" s="279" t="s">
        <v>689</v>
      </c>
      <c r="K920" s="279">
        <v>4.91</v>
      </c>
      <c r="L920" s="279" t="s">
        <v>1986</v>
      </c>
      <c r="M920" s="279" t="s">
        <v>1991</v>
      </c>
      <c r="N920" s="279" t="s">
        <v>1992</v>
      </c>
      <c r="O920" s="279" t="s">
        <v>444</v>
      </c>
      <c r="P920" s="283">
        <v>807</v>
      </c>
      <c r="Q920" s="279" t="s">
        <v>3768</v>
      </c>
      <c r="R920" s="279" t="s">
        <v>1993</v>
      </c>
      <c r="S920" s="279" t="s">
        <v>683</v>
      </c>
      <c r="T920" s="279">
        <v>0</v>
      </c>
      <c r="U920" s="267"/>
      <c r="V920" s="267"/>
      <c r="W920" s="224">
        <v>0</v>
      </c>
      <c r="X920" s="267"/>
      <c r="Y920" s="267"/>
      <c r="Z920" s="267"/>
      <c r="AA920" s="267"/>
      <c r="AB920" s="224">
        <v>0</v>
      </c>
      <c r="AC920" s="267"/>
      <c r="AD920" s="267">
        <v>1</v>
      </c>
      <c r="AE920" s="267"/>
      <c r="AF920" s="267"/>
      <c r="AG920" s="224">
        <v>1</v>
      </c>
      <c r="AH920" s="267"/>
      <c r="AI920" s="267"/>
      <c r="AJ920" s="267"/>
      <c r="AK920" s="267"/>
      <c r="AL920" s="224">
        <v>0</v>
      </c>
      <c r="AM920" s="104">
        <v>1</v>
      </c>
      <c r="AN920" s="103" t="s">
        <v>685</v>
      </c>
      <c r="AO920" s="103" t="s">
        <v>625</v>
      </c>
      <c r="AP920" s="103" t="s">
        <v>1221</v>
      </c>
      <c r="AQ920" s="103" t="s">
        <v>1193</v>
      </c>
      <c r="AR920" s="103" t="s">
        <v>944</v>
      </c>
      <c r="AS920" s="271"/>
      <c r="AT920" s="271"/>
      <c r="AU920" s="271"/>
      <c r="AV920" s="271"/>
      <c r="AW920" s="271"/>
      <c r="AX920" s="271"/>
      <c r="AY920" s="271"/>
      <c r="AZ920" s="271"/>
      <c r="BA920" s="271"/>
      <c r="BB920" s="271"/>
      <c r="BC920" s="271"/>
      <c r="BD920" s="271"/>
      <c r="BE920" s="271"/>
      <c r="BF920" s="271"/>
      <c r="BG920" s="271"/>
      <c r="BH920" s="235">
        <f t="shared" si="478"/>
        <v>0</v>
      </c>
      <c r="BI920" s="271"/>
      <c r="BJ920" s="271"/>
      <c r="BK920" s="271"/>
      <c r="BL920" s="271"/>
      <c r="BM920" s="271"/>
      <c r="BN920" s="271"/>
      <c r="BO920" s="271"/>
      <c r="BP920" s="271"/>
      <c r="BQ920" s="271"/>
      <c r="BR920" s="271"/>
      <c r="BS920" s="271"/>
      <c r="BT920" s="271"/>
      <c r="BU920" s="271"/>
      <c r="BV920" s="271"/>
      <c r="BW920" s="271"/>
      <c r="BX920" s="235">
        <f t="shared" si="479"/>
        <v>0</v>
      </c>
      <c r="BY920" s="271"/>
      <c r="BZ920" s="271"/>
      <c r="CA920" s="271"/>
      <c r="CB920" s="271"/>
      <c r="CC920" s="271">
        <v>1000000</v>
      </c>
      <c r="CD920" s="271"/>
      <c r="CE920" s="271"/>
      <c r="CF920" s="271"/>
      <c r="CG920" s="271"/>
      <c r="CH920" s="271"/>
      <c r="CI920" s="271"/>
      <c r="CJ920" s="271"/>
      <c r="CK920" s="271"/>
      <c r="CL920" s="271"/>
      <c r="CM920" s="271"/>
      <c r="CN920" s="235">
        <f t="shared" si="480"/>
        <v>1000000</v>
      </c>
      <c r="CO920" s="271"/>
      <c r="CP920" s="271"/>
      <c r="CQ920" s="271"/>
      <c r="CR920" s="271"/>
      <c r="CS920" s="271"/>
      <c r="CT920" s="271"/>
      <c r="CU920" s="271"/>
      <c r="CV920" s="271"/>
      <c r="CW920" s="271"/>
      <c r="CX920" s="271"/>
      <c r="CY920" s="271"/>
      <c r="CZ920" s="271"/>
      <c r="DA920" s="271"/>
      <c r="DB920" s="271"/>
      <c r="DC920" s="271"/>
      <c r="DD920" s="234">
        <f t="shared" si="481"/>
        <v>0</v>
      </c>
      <c r="DE920" s="244">
        <f t="shared" si="482"/>
        <v>1000000</v>
      </c>
    </row>
    <row r="921" spans="1:110" s="98" customFormat="1" ht="147" customHeight="1">
      <c r="A921" s="103" t="s">
        <v>1234</v>
      </c>
      <c r="B921" s="279" t="s">
        <v>440</v>
      </c>
      <c r="C921" s="279" t="s">
        <v>1983</v>
      </c>
      <c r="D921" s="279">
        <v>84</v>
      </c>
      <c r="E921" s="279" t="s">
        <v>1984</v>
      </c>
      <c r="F921" s="280" t="s">
        <v>1985</v>
      </c>
      <c r="G921" s="279" t="s">
        <v>3766</v>
      </c>
      <c r="H921" s="279">
        <v>100</v>
      </c>
      <c r="I921" s="279" t="s">
        <v>441</v>
      </c>
      <c r="J921" s="279" t="s">
        <v>689</v>
      </c>
      <c r="K921" s="279">
        <v>4.91</v>
      </c>
      <c r="L921" s="279" t="s">
        <v>1986</v>
      </c>
      <c r="M921" s="279" t="s">
        <v>1991</v>
      </c>
      <c r="N921" s="279" t="s">
        <v>1992</v>
      </c>
      <c r="O921" s="279" t="s">
        <v>444</v>
      </c>
      <c r="P921" s="283">
        <v>808</v>
      </c>
      <c r="Q921" s="279" t="s">
        <v>3769</v>
      </c>
      <c r="R921" s="279" t="s">
        <v>450</v>
      </c>
      <c r="S921" s="279" t="s">
        <v>683</v>
      </c>
      <c r="T921" s="279">
        <v>1</v>
      </c>
      <c r="U921" s="267"/>
      <c r="V921" s="267">
        <v>1</v>
      </c>
      <c r="W921" s="224">
        <v>1</v>
      </c>
      <c r="X921" s="267"/>
      <c r="Y921" s="267"/>
      <c r="Z921" s="267">
        <v>1</v>
      </c>
      <c r="AA921" s="267"/>
      <c r="AB921" s="224">
        <v>1</v>
      </c>
      <c r="AC921" s="267"/>
      <c r="AD921" s="267"/>
      <c r="AE921" s="267">
        <v>1</v>
      </c>
      <c r="AF921" s="267"/>
      <c r="AG921" s="224">
        <v>1</v>
      </c>
      <c r="AH921" s="267"/>
      <c r="AI921" s="267"/>
      <c r="AJ921" s="267">
        <v>1</v>
      </c>
      <c r="AK921" s="267"/>
      <c r="AL921" s="224">
        <v>1</v>
      </c>
      <c r="AM921" s="104">
        <v>1</v>
      </c>
      <c r="AN921" s="103" t="s">
        <v>686</v>
      </c>
      <c r="AO921" s="103" t="s">
        <v>625</v>
      </c>
      <c r="AP921" s="103" t="s">
        <v>1221</v>
      </c>
      <c r="AQ921" s="103" t="s">
        <v>1193</v>
      </c>
      <c r="AR921" s="103" t="s">
        <v>944</v>
      </c>
      <c r="AS921" s="271"/>
      <c r="AT921" s="271"/>
      <c r="AU921" s="271"/>
      <c r="AV921" s="271"/>
      <c r="AW921" s="271">
        <v>250000</v>
      </c>
      <c r="AX921" s="271"/>
      <c r="AY921" s="271"/>
      <c r="AZ921" s="271"/>
      <c r="BA921" s="271"/>
      <c r="BB921" s="271"/>
      <c r="BC921" s="271"/>
      <c r="BD921" s="271"/>
      <c r="BE921" s="271"/>
      <c r="BF921" s="271"/>
      <c r="BG921" s="271"/>
      <c r="BH921" s="235">
        <f t="shared" si="478"/>
        <v>250000</v>
      </c>
      <c r="BI921" s="271"/>
      <c r="BJ921" s="271"/>
      <c r="BK921" s="271"/>
      <c r="BL921" s="271"/>
      <c r="BM921" s="271">
        <v>250000</v>
      </c>
      <c r="BN921" s="271"/>
      <c r="BO921" s="271"/>
      <c r="BP921" s="271"/>
      <c r="BQ921" s="271"/>
      <c r="BR921" s="271"/>
      <c r="BS921" s="271"/>
      <c r="BT921" s="271"/>
      <c r="BU921" s="271"/>
      <c r="BV921" s="271"/>
      <c r="BW921" s="271"/>
      <c r="BX921" s="235">
        <f t="shared" si="479"/>
        <v>250000</v>
      </c>
      <c r="BY921" s="271"/>
      <c r="BZ921" s="271"/>
      <c r="CA921" s="271"/>
      <c r="CB921" s="271"/>
      <c r="CC921" s="271">
        <v>250000</v>
      </c>
      <c r="CD921" s="271"/>
      <c r="CE921" s="271"/>
      <c r="CF921" s="271"/>
      <c r="CG921" s="271"/>
      <c r="CH921" s="271"/>
      <c r="CI921" s="271"/>
      <c r="CJ921" s="271"/>
      <c r="CK921" s="271"/>
      <c r="CL921" s="271"/>
      <c r="CM921" s="271"/>
      <c r="CN921" s="235">
        <f t="shared" si="480"/>
        <v>250000</v>
      </c>
      <c r="CO921" s="271"/>
      <c r="CP921" s="271"/>
      <c r="CQ921" s="271"/>
      <c r="CR921" s="271"/>
      <c r="CS921" s="271">
        <v>250000</v>
      </c>
      <c r="CT921" s="271"/>
      <c r="CU921" s="271"/>
      <c r="CV921" s="271"/>
      <c r="CW921" s="271"/>
      <c r="CX921" s="271"/>
      <c r="CY921" s="271"/>
      <c r="CZ921" s="271"/>
      <c r="DA921" s="271"/>
      <c r="DB921" s="271"/>
      <c r="DC921" s="271"/>
      <c r="DD921" s="234">
        <f t="shared" si="481"/>
        <v>250000</v>
      </c>
      <c r="DE921" s="244">
        <f t="shared" si="482"/>
        <v>1000000</v>
      </c>
    </row>
    <row r="922" spans="1:110" s="98" customFormat="1" ht="147" customHeight="1">
      <c r="A922" s="103" t="s">
        <v>1234</v>
      </c>
      <c r="B922" s="279" t="s">
        <v>440</v>
      </c>
      <c r="C922" s="279" t="s">
        <v>1983</v>
      </c>
      <c r="D922" s="279">
        <v>84</v>
      </c>
      <c r="E922" s="279" t="s">
        <v>1984</v>
      </c>
      <c r="F922" s="280" t="s">
        <v>1985</v>
      </c>
      <c r="G922" s="279" t="s">
        <v>3766</v>
      </c>
      <c r="H922" s="279">
        <v>100</v>
      </c>
      <c r="I922" s="279" t="s">
        <v>441</v>
      </c>
      <c r="J922" s="279" t="s">
        <v>689</v>
      </c>
      <c r="K922" s="279">
        <v>4.91</v>
      </c>
      <c r="L922" s="279" t="s">
        <v>1986</v>
      </c>
      <c r="M922" s="279" t="s">
        <v>1994</v>
      </c>
      <c r="N922" s="279" t="s">
        <v>1995</v>
      </c>
      <c r="O922" s="279" t="s">
        <v>1996</v>
      </c>
      <c r="P922" s="283">
        <v>809</v>
      </c>
      <c r="Q922" s="279" t="s">
        <v>3770</v>
      </c>
      <c r="R922" s="279" t="s">
        <v>451</v>
      </c>
      <c r="S922" s="279" t="s">
        <v>683</v>
      </c>
      <c r="T922" s="279">
        <v>3</v>
      </c>
      <c r="U922" s="267"/>
      <c r="V922" s="267">
        <v>3</v>
      </c>
      <c r="W922" s="224">
        <v>3</v>
      </c>
      <c r="X922" s="267"/>
      <c r="Y922" s="267"/>
      <c r="Z922" s="267">
        <v>3</v>
      </c>
      <c r="AA922" s="267"/>
      <c r="AB922" s="224">
        <v>3</v>
      </c>
      <c r="AC922" s="267">
        <v>3</v>
      </c>
      <c r="AD922" s="267"/>
      <c r="AE922" s="267"/>
      <c r="AF922" s="267"/>
      <c r="AG922" s="224">
        <v>3</v>
      </c>
      <c r="AH922" s="267">
        <v>3</v>
      </c>
      <c r="AI922" s="267"/>
      <c r="AJ922" s="267"/>
      <c r="AK922" s="267"/>
      <c r="AL922" s="224">
        <v>3</v>
      </c>
      <c r="AM922" s="104">
        <v>3</v>
      </c>
      <c r="AN922" s="103" t="s">
        <v>686</v>
      </c>
      <c r="AO922" s="103" t="s">
        <v>625</v>
      </c>
      <c r="AP922" s="103" t="s">
        <v>1221</v>
      </c>
      <c r="AQ922" s="103" t="s">
        <v>1193</v>
      </c>
      <c r="AR922" s="103" t="s">
        <v>944</v>
      </c>
      <c r="AS922" s="271"/>
      <c r="AT922" s="271"/>
      <c r="AU922" s="271"/>
      <c r="AV922" s="271"/>
      <c r="AW922" s="271">
        <v>250000</v>
      </c>
      <c r="AX922" s="271"/>
      <c r="AY922" s="271"/>
      <c r="AZ922" s="271"/>
      <c r="BA922" s="271"/>
      <c r="BB922" s="271"/>
      <c r="BC922" s="271"/>
      <c r="BD922" s="271"/>
      <c r="BE922" s="271"/>
      <c r="BF922" s="271"/>
      <c r="BG922" s="271"/>
      <c r="BH922" s="235">
        <f t="shared" si="478"/>
        <v>250000</v>
      </c>
      <c r="BI922" s="271"/>
      <c r="BJ922" s="271"/>
      <c r="BK922" s="271"/>
      <c r="BL922" s="271"/>
      <c r="BM922" s="271">
        <v>250000</v>
      </c>
      <c r="BN922" s="271"/>
      <c r="BO922" s="271"/>
      <c r="BP922" s="271"/>
      <c r="BQ922" s="271"/>
      <c r="BR922" s="271"/>
      <c r="BS922" s="271"/>
      <c r="BT922" s="271"/>
      <c r="BU922" s="271"/>
      <c r="BV922" s="271"/>
      <c r="BW922" s="271"/>
      <c r="BX922" s="235">
        <f t="shared" si="479"/>
        <v>250000</v>
      </c>
      <c r="BY922" s="271"/>
      <c r="BZ922" s="271"/>
      <c r="CA922" s="271"/>
      <c r="CB922" s="271"/>
      <c r="CC922" s="271">
        <v>250000</v>
      </c>
      <c r="CD922" s="271"/>
      <c r="CE922" s="271"/>
      <c r="CF922" s="271"/>
      <c r="CG922" s="271"/>
      <c r="CH922" s="271"/>
      <c r="CI922" s="271"/>
      <c r="CJ922" s="271"/>
      <c r="CK922" s="271"/>
      <c r="CL922" s="271"/>
      <c r="CM922" s="271"/>
      <c r="CN922" s="235">
        <f t="shared" si="480"/>
        <v>250000</v>
      </c>
      <c r="CO922" s="271"/>
      <c r="CP922" s="271"/>
      <c r="CQ922" s="271"/>
      <c r="CR922" s="271"/>
      <c r="CS922" s="271">
        <v>250000</v>
      </c>
      <c r="CT922" s="271"/>
      <c r="CU922" s="271"/>
      <c r="CV922" s="271"/>
      <c r="CW922" s="271"/>
      <c r="CX922" s="271"/>
      <c r="CY922" s="271"/>
      <c r="CZ922" s="271"/>
      <c r="DA922" s="271"/>
      <c r="DB922" s="271"/>
      <c r="DC922" s="271"/>
      <c r="DD922" s="234">
        <f t="shared" si="481"/>
        <v>250000</v>
      </c>
      <c r="DE922" s="244">
        <f t="shared" si="482"/>
        <v>1000000</v>
      </c>
    </row>
    <row r="923" spans="1:110" s="98" customFormat="1" ht="147" customHeight="1">
      <c r="A923" s="120" t="s">
        <v>1234</v>
      </c>
      <c r="B923" s="281" t="s">
        <v>440</v>
      </c>
      <c r="C923" s="281" t="s">
        <v>1983</v>
      </c>
      <c r="D923" s="281">
        <v>84</v>
      </c>
      <c r="E923" s="281" t="s">
        <v>1984</v>
      </c>
      <c r="F923" s="282" t="s">
        <v>1985</v>
      </c>
      <c r="G923" s="281" t="s">
        <v>3766</v>
      </c>
      <c r="H923" s="281">
        <v>100</v>
      </c>
      <c r="I923" s="281" t="s">
        <v>441</v>
      </c>
      <c r="J923" s="281" t="s">
        <v>689</v>
      </c>
      <c r="K923" s="281">
        <v>4.91</v>
      </c>
      <c r="L923" s="281" t="s">
        <v>1986</v>
      </c>
      <c r="M923" s="281" t="s">
        <v>1994</v>
      </c>
      <c r="N923" s="281" t="s">
        <v>1995</v>
      </c>
      <c r="O923" s="281" t="s">
        <v>1996</v>
      </c>
      <c r="P923" s="283">
        <v>810</v>
      </c>
      <c r="Q923" s="281" t="s">
        <v>3693</v>
      </c>
      <c r="R923" s="281" t="s">
        <v>1997</v>
      </c>
      <c r="S923" s="281" t="s">
        <v>1998</v>
      </c>
      <c r="T923" s="281">
        <v>0</v>
      </c>
      <c r="U923" s="275"/>
      <c r="V923" s="275">
        <v>7</v>
      </c>
      <c r="W923" s="225">
        <v>7</v>
      </c>
      <c r="X923" s="275"/>
      <c r="Y923" s="275"/>
      <c r="Z923" s="275"/>
      <c r="AA923" s="275">
        <v>11</v>
      </c>
      <c r="AB923" s="225">
        <v>11</v>
      </c>
      <c r="AC923" s="275"/>
      <c r="AD923" s="275"/>
      <c r="AE923" s="275"/>
      <c r="AF923" s="275">
        <v>11</v>
      </c>
      <c r="AG923" s="225">
        <v>11</v>
      </c>
      <c r="AH923" s="275"/>
      <c r="AI923" s="275"/>
      <c r="AJ923" s="275"/>
      <c r="AK923" s="275">
        <v>11</v>
      </c>
      <c r="AL923" s="225">
        <v>11</v>
      </c>
      <c r="AM923" s="119">
        <v>40</v>
      </c>
      <c r="AN923" s="120" t="s">
        <v>685</v>
      </c>
      <c r="AO923" s="120" t="s">
        <v>625</v>
      </c>
      <c r="AP923" s="120" t="s">
        <v>1221</v>
      </c>
      <c r="AQ923" s="120" t="s">
        <v>1193</v>
      </c>
      <c r="AR923" s="120" t="s">
        <v>944</v>
      </c>
      <c r="AS923" s="276"/>
      <c r="AT923" s="276"/>
      <c r="AU923" s="276"/>
      <c r="AV923" s="276"/>
      <c r="AW923" s="304">
        <f>100000000-(SUM(AW917:AW922))</f>
        <v>99250000</v>
      </c>
      <c r="AX923" s="276"/>
      <c r="AY923" s="276"/>
      <c r="AZ923" s="276"/>
      <c r="BA923" s="276"/>
      <c r="BB923" s="276"/>
      <c r="BC923" s="276"/>
      <c r="BD923" s="276"/>
      <c r="BE923" s="276"/>
      <c r="BF923" s="276"/>
      <c r="BG923" s="276"/>
      <c r="BH923" s="236">
        <f t="shared" si="478"/>
        <v>99250000</v>
      </c>
      <c r="BI923" s="276"/>
      <c r="BJ923" s="276"/>
      <c r="BK923" s="276"/>
      <c r="BL923" s="276"/>
      <c r="BM923" s="276">
        <v>198250000</v>
      </c>
      <c r="BN923" s="276"/>
      <c r="BO923" s="276"/>
      <c r="BP923" s="276"/>
      <c r="BQ923" s="276"/>
      <c r="BR923" s="276"/>
      <c r="BS923" s="276"/>
      <c r="BT923" s="276"/>
      <c r="BU923" s="276"/>
      <c r="BV923" s="276"/>
      <c r="BW923" s="276"/>
      <c r="BX923" s="236">
        <f t="shared" si="479"/>
        <v>198250000</v>
      </c>
      <c r="BY923" s="276"/>
      <c r="BZ923" s="276"/>
      <c r="CA923" s="276"/>
      <c r="CB923" s="276"/>
      <c r="CC923" s="276">
        <f>200000000-CC917-CC918-CC920-CC921-CC922</f>
        <v>197250000</v>
      </c>
      <c r="CD923" s="276"/>
      <c r="CE923" s="276"/>
      <c r="CF923" s="276"/>
      <c r="CG923" s="276"/>
      <c r="CH923" s="276"/>
      <c r="CI923" s="276"/>
      <c r="CJ923" s="276"/>
      <c r="CK923" s="276"/>
      <c r="CL923" s="276"/>
      <c r="CM923" s="276"/>
      <c r="CN923" s="236">
        <f t="shared" si="480"/>
        <v>197250000</v>
      </c>
      <c r="CO923" s="276"/>
      <c r="CP923" s="276"/>
      <c r="CQ923" s="276"/>
      <c r="CR923" s="276"/>
      <c r="CS923" s="276">
        <v>199250000</v>
      </c>
      <c r="CT923" s="276"/>
      <c r="CU923" s="276"/>
      <c r="CV923" s="276"/>
      <c r="CW923" s="276"/>
      <c r="CX923" s="276"/>
      <c r="CY923" s="276"/>
      <c r="CZ923" s="276"/>
      <c r="DA923" s="276"/>
      <c r="DB923" s="276"/>
      <c r="DC923" s="276"/>
      <c r="DD923" s="240">
        <f t="shared" si="481"/>
        <v>199250000</v>
      </c>
      <c r="DE923" s="245">
        <f t="shared" si="482"/>
        <v>694000000</v>
      </c>
    </row>
    <row r="924" spans="1:110" ht="65.099999999999994" customHeight="1">
      <c r="A924" s="134" t="s">
        <v>1234</v>
      </c>
      <c r="B924" s="134" t="s">
        <v>440</v>
      </c>
      <c r="C924" s="134" t="s">
        <v>1983</v>
      </c>
      <c r="D924" s="134">
        <v>84</v>
      </c>
      <c r="E924" s="134" t="s">
        <v>1984</v>
      </c>
      <c r="F924" s="135"/>
      <c r="G924" s="136"/>
      <c r="H924" s="137"/>
      <c r="I924" s="137"/>
      <c r="J924" s="137"/>
      <c r="K924" s="138"/>
      <c r="L924" s="137"/>
      <c r="M924" s="137"/>
      <c r="N924" s="137"/>
      <c r="O924" s="137"/>
      <c r="P924" s="137"/>
      <c r="Q924" s="136"/>
      <c r="R924" s="139"/>
      <c r="S924" s="137"/>
      <c r="T924" s="137"/>
      <c r="U924" s="140"/>
      <c r="V924" s="140"/>
      <c r="W924" s="138"/>
      <c r="X924" s="140"/>
      <c r="Y924" s="140"/>
      <c r="Z924" s="140"/>
      <c r="AA924" s="140"/>
      <c r="AB924" s="138"/>
      <c r="AC924" s="140"/>
      <c r="AD924" s="140"/>
      <c r="AE924" s="140"/>
      <c r="AF924" s="140"/>
      <c r="AG924" s="138"/>
      <c r="AH924" s="140"/>
      <c r="AI924" s="140"/>
      <c r="AJ924" s="140"/>
      <c r="AK924" s="140"/>
      <c r="AL924" s="138"/>
      <c r="AM924" s="141"/>
      <c r="AN924" s="142"/>
      <c r="AO924" s="142"/>
      <c r="AP924" s="143"/>
      <c r="AQ924" s="143"/>
      <c r="AR924" s="144"/>
      <c r="AS924" s="132">
        <f>SUM(AS917:AS923)</f>
        <v>0</v>
      </c>
      <c r="AT924" s="132">
        <f t="shared" ref="AT924:DE924" si="483">SUM(AT917:AT923)</f>
        <v>0</v>
      </c>
      <c r="AU924" s="132">
        <f t="shared" si="483"/>
        <v>0</v>
      </c>
      <c r="AV924" s="132">
        <f t="shared" si="483"/>
        <v>0</v>
      </c>
      <c r="AW924" s="132">
        <f t="shared" si="483"/>
        <v>100000000</v>
      </c>
      <c r="AX924" s="132">
        <f t="shared" si="483"/>
        <v>0</v>
      </c>
      <c r="AY924" s="132">
        <f t="shared" si="483"/>
        <v>0</v>
      </c>
      <c r="AZ924" s="132">
        <f t="shared" si="483"/>
        <v>0</v>
      </c>
      <c r="BA924" s="132">
        <f t="shared" si="483"/>
        <v>0</v>
      </c>
      <c r="BB924" s="132">
        <f t="shared" si="483"/>
        <v>0</v>
      </c>
      <c r="BC924" s="132">
        <f t="shared" si="483"/>
        <v>0</v>
      </c>
      <c r="BD924" s="132">
        <f t="shared" si="483"/>
        <v>0</v>
      </c>
      <c r="BE924" s="132">
        <f t="shared" si="483"/>
        <v>0</v>
      </c>
      <c r="BF924" s="132">
        <f t="shared" si="483"/>
        <v>0</v>
      </c>
      <c r="BG924" s="132">
        <f t="shared" si="483"/>
        <v>0</v>
      </c>
      <c r="BH924" s="133">
        <f>IF(OR(AND(BH917=0,W917&lt;&gt;0),AND(BH918=0,W918&lt;&gt;0),AND(BH919=0,W919&lt;&gt;0),AND(BH920=0,W920&lt;&gt;0),AND(BH921=0,W921&lt;&gt;0),AND(BH922=0,W922&lt;&gt;0),AND(BH923=0,W923&lt;&gt;0)),"NO DEBEN QUEDAR CELDAS EN ROJO",SUM(BH917:BH923))</f>
        <v>100000000</v>
      </c>
      <c r="BI924" s="132">
        <f t="shared" si="483"/>
        <v>0</v>
      </c>
      <c r="BJ924" s="132">
        <f t="shared" si="483"/>
        <v>0</v>
      </c>
      <c r="BK924" s="132">
        <f t="shared" si="483"/>
        <v>0</v>
      </c>
      <c r="BL924" s="132">
        <f>SUM(BL917:BL923)</f>
        <v>0</v>
      </c>
      <c r="BM924" s="132">
        <f>SUM(BM917:BM923)</f>
        <v>200000000</v>
      </c>
      <c r="BN924" s="132">
        <f t="shared" si="483"/>
        <v>0</v>
      </c>
      <c r="BO924" s="132">
        <f t="shared" si="483"/>
        <v>0</v>
      </c>
      <c r="BP924" s="132">
        <f t="shared" si="483"/>
        <v>0</v>
      </c>
      <c r="BQ924" s="132">
        <f t="shared" si="483"/>
        <v>0</v>
      </c>
      <c r="BR924" s="132">
        <f t="shared" si="483"/>
        <v>0</v>
      </c>
      <c r="BS924" s="132">
        <f t="shared" si="483"/>
        <v>0</v>
      </c>
      <c r="BT924" s="132">
        <f t="shared" si="483"/>
        <v>0</v>
      </c>
      <c r="BU924" s="132">
        <f t="shared" si="483"/>
        <v>0</v>
      </c>
      <c r="BV924" s="132">
        <f t="shared" si="483"/>
        <v>0</v>
      </c>
      <c r="BW924" s="132">
        <f t="shared" si="483"/>
        <v>0</v>
      </c>
      <c r="BX924" s="133">
        <f>IF(OR(AND(BX917=0,AB917&lt;&gt;0),AND(BX918=0,AB918&lt;&gt;0),AND(BX919=0,AB919&lt;&gt;0),AND(BX920=0,AB920&lt;&gt;0),AND(BX921=0,AB921&lt;&gt;0),AND(BX922=0,AB922&lt;&gt;0),AND(BX923=0,AB923&lt;&gt;0)),"NO DEBEN QUEDAR CELDAS EN ROJO",SUM(BX917:BX923))</f>
        <v>200000000</v>
      </c>
      <c r="BY924" s="132">
        <f t="shared" si="483"/>
        <v>0</v>
      </c>
      <c r="BZ924" s="132">
        <f t="shared" si="483"/>
        <v>0</v>
      </c>
      <c r="CA924" s="132">
        <f t="shared" si="483"/>
        <v>0</v>
      </c>
      <c r="CB924" s="132">
        <f t="shared" si="483"/>
        <v>0</v>
      </c>
      <c r="CC924" s="132">
        <f t="shared" si="483"/>
        <v>200000000</v>
      </c>
      <c r="CD924" s="132">
        <f t="shared" si="483"/>
        <v>0</v>
      </c>
      <c r="CE924" s="132">
        <f t="shared" si="483"/>
        <v>0</v>
      </c>
      <c r="CF924" s="132">
        <f t="shared" si="483"/>
        <v>0</v>
      </c>
      <c r="CG924" s="132">
        <f t="shared" si="483"/>
        <v>0</v>
      </c>
      <c r="CH924" s="132">
        <f t="shared" si="483"/>
        <v>0</v>
      </c>
      <c r="CI924" s="132">
        <f t="shared" si="483"/>
        <v>0</v>
      </c>
      <c r="CJ924" s="132">
        <f t="shared" si="483"/>
        <v>0</v>
      </c>
      <c r="CK924" s="132">
        <f t="shared" si="483"/>
        <v>0</v>
      </c>
      <c r="CL924" s="132">
        <f t="shared" si="483"/>
        <v>0</v>
      </c>
      <c r="CM924" s="132">
        <f t="shared" si="483"/>
        <v>0</v>
      </c>
      <c r="CN924" s="133">
        <f>IF(OR(AND(CN917=0,AG917&lt;&gt;0),AND(CN918=0,AG918&lt;&gt;0),AND(CN919=0,AG919&lt;&gt;0),AND(CN920=0,AG920&lt;&gt;0),AND(CN921=0,AG921&lt;&gt;0),AND(CN922=0,AG922&lt;&gt;0),AND(CN923=0,AG923&lt;&gt;0)),"NO DEBEN QUEDAR CELDAS EN ROJO",SUM(CN917:CN923))</f>
        <v>200000000</v>
      </c>
      <c r="CO924" s="132">
        <f t="shared" si="483"/>
        <v>0</v>
      </c>
      <c r="CP924" s="132">
        <f t="shared" si="483"/>
        <v>0</v>
      </c>
      <c r="CQ924" s="132">
        <f t="shared" si="483"/>
        <v>0</v>
      </c>
      <c r="CR924" s="132">
        <f t="shared" si="483"/>
        <v>0</v>
      </c>
      <c r="CS924" s="132">
        <f t="shared" si="483"/>
        <v>200000000</v>
      </c>
      <c r="CT924" s="132">
        <f t="shared" si="483"/>
        <v>0</v>
      </c>
      <c r="CU924" s="132">
        <f t="shared" si="483"/>
        <v>0</v>
      </c>
      <c r="CV924" s="132">
        <f t="shared" si="483"/>
        <v>0</v>
      </c>
      <c r="CW924" s="132">
        <f t="shared" si="483"/>
        <v>0</v>
      </c>
      <c r="CX924" s="132">
        <f t="shared" si="483"/>
        <v>0</v>
      </c>
      <c r="CY924" s="132">
        <f t="shared" si="483"/>
        <v>0</v>
      </c>
      <c r="CZ924" s="132">
        <f t="shared" si="483"/>
        <v>0</v>
      </c>
      <c r="DA924" s="132">
        <f t="shared" si="483"/>
        <v>0</v>
      </c>
      <c r="DB924" s="132">
        <f t="shared" si="483"/>
        <v>0</v>
      </c>
      <c r="DC924" s="132">
        <f t="shared" si="483"/>
        <v>0</v>
      </c>
      <c r="DD924" s="133">
        <f>IF(OR(AND(DD917=0,AL917&lt;&gt;0),AND(DD918=0,AL918&lt;&gt;0),AND(DD919=0,AL919&lt;&gt;0),AND(DD920=0,AL920&lt;&gt;0),AND(DD921=0,AL921&lt;&gt;0),AND(DD922=0,AL922&lt;&gt;0),AND(DD923=0,AL923&lt;&gt;0)),"NO DEBEN QUEDAR CELDAS EN ROJO",SUM(DD917:DD923))</f>
        <v>200000000</v>
      </c>
      <c r="DE924" s="133">
        <f t="shared" si="483"/>
        <v>700000000</v>
      </c>
      <c r="DF924" s="101"/>
    </row>
    <row r="925" spans="1:110" s="98" customFormat="1" ht="119.1" customHeight="1">
      <c r="A925" s="103" t="s">
        <v>1234</v>
      </c>
      <c r="B925" s="103" t="s">
        <v>440</v>
      </c>
      <c r="C925" s="103" t="s">
        <v>1983</v>
      </c>
      <c r="D925" s="103">
        <v>85</v>
      </c>
      <c r="E925" s="103" t="s">
        <v>1999</v>
      </c>
      <c r="F925" s="278" t="s">
        <v>2000</v>
      </c>
      <c r="G925" s="103" t="s">
        <v>3771</v>
      </c>
      <c r="H925" s="103">
        <v>101</v>
      </c>
      <c r="I925" s="103" t="s">
        <v>2001</v>
      </c>
      <c r="J925" s="103" t="s">
        <v>689</v>
      </c>
      <c r="K925" s="103">
        <v>2.82</v>
      </c>
      <c r="L925" s="103" t="s">
        <v>2002</v>
      </c>
      <c r="M925" s="103" t="s">
        <v>2003</v>
      </c>
      <c r="N925" s="103" t="s">
        <v>2004</v>
      </c>
      <c r="O925" s="103" t="s">
        <v>452</v>
      </c>
      <c r="P925" s="283">
        <v>811</v>
      </c>
      <c r="Q925" s="103" t="s">
        <v>2912</v>
      </c>
      <c r="R925" s="103" t="s">
        <v>2005</v>
      </c>
      <c r="S925" s="103" t="s">
        <v>2006</v>
      </c>
      <c r="T925" s="103">
        <v>330</v>
      </c>
      <c r="U925" s="267"/>
      <c r="V925" s="267">
        <v>30</v>
      </c>
      <c r="W925" s="224">
        <v>30</v>
      </c>
      <c r="X925" s="267">
        <v>10</v>
      </c>
      <c r="Y925" s="267"/>
      <c r="Z925" s="267">
        <v>30</v>
      </c>
      <c r="AA925" s="267"/>
      <c r="AB925" s="224">
        <v>40</v>
      </c>
      <c r="AC925" s="267"/>
      <c r="AD925" s="267"/>
      <c r="AE925" s="267">
        <v>30</v>
      </c>
      <c r="AF925" s="267">
        <v>10</v>
      </c>
      <c r="AG925" s="224">
        <v>40</v>
      </c>
      <c r="AH925" s="267"/>
      <c r="AI925" s="267"/>
      <c r="AJ925" s="267">
        <v>20</v>
      </c>
      <c r="AK925" s="267">
        <v>20</v>
      </c>
      <c r="AL925" s="224">
        <v>40</v>
      </c>
      <c r="AM925" s="102">
        <v>150</v>
      </c>
      <c r="AN925" s="103" t="s">
        <v>685</v>
      </c>
      <c r="AO925" s="103" t="s">
        <v>625</v>
      </c>
      <c r="AP925" s="103" t="s">
        <v>1221</v>
      </c>
      <c r="AQ925" s="103" t="s">
        <v>1193</v>
      </c>
      <c r="AR925" s="103" t="s">
        <v>944</v>
      </c>
      <c r="AS925" s="268"/>
      <c r="AT925" s="305">
        <v>93783792889</v>
      </c>
      <c r="AU925" s="268"/>
      <c r="AV925" s="268"/>
      <c r="AW925" s="268"/>
      <c r="AX925" s="268"/>
      <c r="AY925" s="268"/>
      <c r="AZ925" s="268"/>
      <c r="BA925" s="268"/>
      <c r="BB925" s="268"/>
      <c r="BC925" s="268"/>
      <c r="BD925" s="268"/>
      <c r="BE925" s="268"/>
      <c r="BF925" s="268"/>
      <c r="BG925" s="268"/>
      <c r="BH925" s="234">
        <f t="shared" ref="BH925:BH935" si="484">IF(W925=0,0,BG925+BF925+BE925+BD925+BC925+BB925+BA925+AZ925+AY925+AX925+AW925+AV925+AU925+AT925+AS925)</f>
        <v>93783792889</v>
      </c>
      <c r="BI925" s="268"/>
      <c r="BJ925" s="268"/>
      <c r="BK925" s="268"/>
      <c r="BL925" s="268"/>
      <c r="BM925" s="268">
        <f>4190000000-BM929-BM928-BM930-BM932-BM933</f>
        <v>4137438000</v>
      </c>
      <c r="BN925" s="268"/>
      <c r="BO925" s="268"/>
      <c r="BP925" s="268"/>
      <c r="BQ925" s="268"/>
      <c r="BR925" s="268"/>
      <c r="BS925" s="268"/>
      <c r="BT925" s="268"/>
      <c r="BU925" s="268"/>
      <c r="BV925" s="268"/>
      <c r="BW925" s="305">
        <v>17996284738</v>
      </c>
      <c r="BX925" s="234">
        <f t="shared" ref="BX925:BX935" si="485">IF(AB925=0,0,BI925+BJ925+BK925+BL925+BM925+BN925+BO925+BP925+BQ925+BR925+BS925+BT925+BU925+BV925+BW925)</f>
        <v>22133722738</v>
      </c>
      <c r="BY925" s="268"/>
      <c r="BZ925" s="268">
        <v>25000000000</v>
      </c>
      <c r="CA925" s="268">
        <v>25000000000</v>
      </c>
      <c r="CB925" s="268"/>
      <c r="CC925" s="268">
        <v>2546138000</v>
      </c>
      <c r="CD925" s="268"/>
      <c r="CE925" s="268"/>
      <c r="CF925" s="268"/>
      <c r="CG925" s="268"/>
      <c r="CH925" s="268"/>
      <c r="CI925" s="268"/>
      <c r="CJ925" s="268"/>
      <c r="CK925" s="268"/>
      <c r="CL925" s="268"/>
      <c r="CM925" s="268">
        <v>16472121105.1891</v>
      </c>
      <c r="CN925" s="234">
        <f t="shared" ref="CN925:CN935" si="486">IF(AG925=0,0,(BY925+BZ925+CA925+CB925+CC925+CD925+CE925+CF925+CG925+CH925+CI925+CJ925+CK925+CL925+CM925))</f>
        <v>69018259105.189102</v>
      </c>
      <c r="CO925" s="268"/>
      <c r="CP925" s="268"/>
      <c r="CQ925" s="268"/>
      <c r="CR925" s="268"/>
      <c r="CS925" s="268">
        <f>3004813000-CS929-CS928-CS930-CS933- CS932</f>
        <v>2952251000</v>
      </c>
      <c r="CT925" s="268"/>
      <c r="CU925" s="268"/>
      <c r="CV925" s="268"/>
      <c r="CW925" s="268"/>
      <c r="CX925" s="268"/>
      <c r="CY925" s="268"/>
      <c r="CZ925" s="268"/>
      <c r="DA925" s="268"/>
      <c r="DB925" s="268"/>
      <c r="DC925" s="305">
        <v>18528607495.48267</v>
      </c>
      <c r="DD925" s="234">
        <f t="shared" ref="DD925:DD935" si="487">IF(AL925=0,0,(CO925+CP925+CQ925+CR925+CS925+CT925+CU925+CV925+CW925+CX925+CY925+CZ925+DA925+DB925+DC925))</f>
        <v>21480858495.48267</v>
      </c>
      <c r="DE925" s="243">
        <f t="shared" ref="DE925:DE935" si="488">SUM(DD925+CN925+BX925+BH925)</f>
        <v>206416633227.67175</v>
      </c>
    </row>
    <row r="926" spans="1:110" s="98" customFormat="1" ht="119.1" customHeight="1">
      <c r="A926" s="103" t="s">
        <v>1234</v>
      </c>
      <c r="B926" s="279" t="s">
        <v>440</v>
      </c>
      <c r="C926" s="279" t="s">
        <v>1983</v>
      </c>
      <c r="D926" s="279">
        <v>85</v>
      </c>
      <c r="E926" s="279" t="s">
        <v>1999</v>
      </c>
      <c r="F926" s="280" t="s">
        <v>2000</v>
      </c>
      <c r="G926" s="279" t="s">
        <v>3771</v>
      </c>
      <c r="H926" s="279">
        <v>101</v>
      </c>
      <c r="I926" s="279" t="s">
        <v>2001</v>
      </c>
      <c r="J926" s="279" t="s">
        <v>689</v>
      </c>
      <c r="K926" s="279">
        <v>2.82</v>
      </c>
      <c r="L926" s="279" t="s">
        <v>2002</v>
      </c>
      <c r="M926" s="279" t="s">
        <v>2003</v>
      </c>
      <c r="N926" s="279" t="s">
        <v>2004</v>
      </c>
      <c r="O926" s="279" t="s">
        <v>452</v>
      </c>
      <c r="P926" s="283">
        <v>812</v>
      </c>
      <c r="Q926" s="279" t="s">
        <v>2913</v>
      </c>
      <c r="R926" s="279" t="s">
        <v>2007</v>
      </c>
      <c r="S926" s="279" t="s">
        <v>2006</v>
      </c>
      <c r="T926" s="104">
        <v>7250</v>
      </c>
      <c r="U926" s="267"/>
      <c r="V926" s="267">
        <v>600</v>
      </c>
      <c r="W926" s="224">
        <v>600</v>
      </c>
      <c r="X926" s="267">
        <v>300</v>
      </c>
      <c r="Y926" s="267">
        <v>500</v>
      </c>
      <c r="Z926" s="267">
        <v>500</v>
      </c>
      <c r="AA926" s="267">
        <v>201</v>
      </c>
      <c r="AB926" s="224">
        <v>1501</v>
      </c>
      <c r="AC926" s="267">
        <v>300</v>
      </c>
      <c r="AD926" s="267">
        <v>600</v>
      </c>
      <c r="AE926" s="267">
        <v>400</v>
      </c>
      <c r="AF926" s="267">
        <v>201</v>
      </c>
      <c r="AG926" s="224">
        <v>1501</v>
      </c>
      <c r="AH926" s="267">
        <v>300</v>
      </c>
      <c r="AI926" s="267">
        <v>534</v>
      </c>
      <c r="AJ926" s="267">
        <v>500</v>
      </c>
      <c r="AK926" s="267">
        <v>202</v>
      </c>
      <c r="AL926" s="224">
        <v>1536</v>
      </c>
      <c r="AM926" s="104">
        <v>5138</v>
      </c>
      <c r="AN926" s="103" t="s">
        <v>685</v>
      </c>
      <c r="AO926" s="103" t="s">
        <v>625</v>
      </c>
      <c r="AP926" s="103" t="s">
        <v>1221</v>
      </c>
      <c r="AQ926" s="103" t="s">
        <v>1193</v>
      </c>
      <c r="AR926" s="103" t="s">
        <v>944</v>
      </c>
      <c r="AS926" s="271"/>
      <c r="AT926" s="271"/>
      <c r="AU926" s="271"/>
      <c r="AV926" s="271"/>
      <c r="AW926" s="306">
        <v>2000000000</v>
      </c>
      <c r="AX926" s="271"/>
      <c r="AY926" s="271"/>
      <c r="AZ926" s="271"/>
      <c r="BA926" s="271"/>
      <c r="BB926" s="271"/>
      <c r="BC926" s="271"/>
      <c r="BD926" s="271"/>
      <c r="BE926" s="271"/>
      <c r="BF926" s="271"/>
      <c r="BG926" s="271"/>
      <c r="BH926" s="235">
        <f t="shared" si="484"/>
        <v>2000000000</v>
      </c>
      <c r="BI926" s="271"/>
      <c r="BJ926" s="271"/>
      <c r="BK926" s="271"/>
      <c r="BL926" s="271"/>
      <c r="BM926" s="271">
        <v>3000000000</v>
      </c>
      <c r="BN926" s="271"/>
      <c r="BO926" s="271"/>
      <c r="BP926" s="271"/>
      <c r="BQ926" s="271"/>
      <c r="BR926" s="271"/>
      <c r="BS926" s="271"/>
      <c r="BT926" s="271"/>
      <c r="BU926" s="271"/>
      <c r="BV926" s="271"/>
      <c r="BW926" s="271"/>
      <c r="BX926" s="235">
        <f t="shared" si="485"/>
        <v>3000000000</v>
      </c>
      <c r="BY926" s="271"/>
      <c r="BZ926" s="271"/>
      <c r="CA926" s="271"/>
      <c r="CB926" s="271"/>
      <c r="CC926" s="271">
        <v>3000000000</v>
      </c>
      <c r="CD926" s="271"/>
      <c r="CE926" s="271"/>
      <c r="CF926" s="271"/>
      <c r="CG926" s="271"/>
      <c r="CH926" s="271"/>
      <c r="CI926" s="271"/>
      <c r="CJ926" s="271"/>
      <c r="CK926" s="271"/>
      <c r="CL926" s="271"/>
      <c r="CM926" s="271"/>
      <c r="CN926" s="235">
        <f t="shared" si="486"/>
        <v>3000000000</v>
      </c>
      <c r="CO926" s="271"/>
      <c r="CP926" s="271"/>
      <c r="CQ926" s="271"/>
      <c r="CR926" s="271"/>
      <c r="CS926" s="271">
        <v>3000000000</v>
      </c>
      <c r="CT926" s="271"/>
      <c r="CU926" s="271"/>
      <c r="CV926" s="271"/>
      <c r="CW926" s="271"/>
      <c r="CX926" s="271"/>
      <c r="CY926" s="271"/>
      <c r="CZ926" s="271"/>
      <c r="DA926" s="271"/>
      <c r="DB926" s="271"/>
      <c r="DC926" s="271"/>
      <c r="DD926" s="234">
        <f t="shared" si="487"/>
        <v>3000000000</v>
      </c>
      <c r="DE926" s="244">
        <f t="shared" si="488"/>
        <v>11000000000</v>
      </c>
    </row>
    <row r="927" spans="1:110" s="98" customFormat="1" ht="119.1" customHeight="1">
      <c r="A927" s="103" t="s">
        <v>1234</v>
      </c>
      <c r="B927" s="279" t="s">
        <v>440</v>
      </c>
      <c r="C927" s="279" t="s">
        <v>1983</v>
      </c>
      <c r="D927" s="279">
        <v>85</v>
      </c>
      <c r="E927" s="279" t="s">
        <v>1999</v>
      </c>
      <c r="F927" s="280" t="s">
        <v>2000</v>
      </c>
      <c r="G927" s="279" t="s">
        <v>3771</v>
      </c>
      <c r="H927" s="279">
        <v>101</v>
      </c>
      <c r="I927" s="279" t="s">
        <v>2001</v>
      </c>
      <c r="J927" s="279" t="s">
        <v>689</v>
      </c>
      <c r="K927" s="279">
        <v>2.82</v>
      </c>
      <c r="L927" s="279" t="s">
        <v>2002</v>
      </c>
      <c r="M927" s="279" t="s">
        <v>2003</v>
      </c>
      <c r="N927" s="279" t="s">
        <v>2004</v>
      </c>
      <c r="O927" s="279" t="s">
        <v>452</v>
      </c>
      <c r="P927" s="283">
        <v>813</v>
      </c>
      <c r="Q927" s="279" t="s">
        <v>3694</v>
      </c>
      <c r="R927" s="279" t="s">
        <v>2009</v>
      </c>
      <c r="S927" s="279" t="s">
        <v>683</v>
      </c>
      <c r="T927" s="279">
        <v>10</v>
      </c>
      <c r="U927" s="267"/>
      <c r="V927" s="267">
        <v>5</v>
      </c>
      <c r="W927" s="224">
        <v>5</v>
      </c>
      <c r="X927" s="267"/>
      <c r="Y927" s="267">
        <v>2</v>
      </c>
      <c r="Z927" s="267"/>
      <c r="AA927" s="267"/>
      <c r="AB927" s="224">
        <v>2</v>
      </c>
      <c r="AC927" s="267"/>
      <c r="AD927" s="267"/>
      <c r="AE927" s="267">
        <v>2</v>
      </c>
      <c r="AF927" s="267">
        <v>2</v>
      </c>
      <c r="AG927" s="224">
        <v>4</v>
      </c>
      <c r="AH927" s="267"/>
      <c r="AI927" s="267"/>
      <c r="AJ927" s="267">
        <v>4</v>
      </c>
      <c r="AK927" s="267"/>
      <c r="AL927" s="224">
        <v>4</v>
      </c>
      <c r="AM927" s="104">
        <v>15</v>
      </c>
      <c r="AN927" s="103" t="s">
        <v>685</v>
      </c>
      <c r="AO927" s="103" t="s">
        <v>625</v>
      </c>
      <c r="AP927" s="103" t="s">
        <v>1221</v>
      </c>
      <c r="AQ927" s="103" t="s">
        <v>1193</v>
      </c>
      <c r="AR927" s="103" t="s">
        <v>944</v>
      </c>
      <c r="AS927" s="271"/>
      <c r="AT927" s="271"/>
      <c r="AU927" s="271"/>
      <c r="AV927" s="271"/>
      <c r="AW927" s="307">
        <v>6316119873</v>
      </c>
      <c r="AX927" s="271"/>
      <c r="AY927" s="271"/>
      <c r="AZ927" s="271"/>
      <c r="BA927" s="271"/>
      <c r="BB927" s="271"/>
      <c r="BC927" s="271"/>
      <c r="BD927" s="271"/>
      <c r="BE927" s="271"/>
      <c r="BF927" s="271"/>
      <c r="BG927" s="271"/>
      <c r="BH927" s="235">
        <f t="shared" si="484"/>
        <v>6316119873</v>
      </c>
      <c r="BI927" s="271"/>
      <c r="BJ927" s="271"/>
      <c r="BK927" s="271"/>
      <c r="BL927" s="271"/>
      <c r="BM927" s="271">
        <v>2000000000</v>
      </c>
      <c r="BN927" s="271"/>
      <c r="BO927" s="271"/>
      <c r="BP927" s="271"/>
      <c r="BQ927" s="271"/>
      <c r="BR927" s="271"/>
      <c r="BS927" s="271"/>
      <c r="BT927" s="271"/>
      <c r="BU927" s="271"/>
      <c r="BV927" s="271"/>
      <c r="BW927" s="271"/>
      <c r="BX927" s="235">
        <f t="shared" si="485"/>
        <v>2000000000</v>
      </c>
      <c r="BY927" s="271"/>
      <c r="BZ927" s="271"/>
      <c r="CA927" s="271"/>
      <c r="CB927" s="271"/>
      <c r="CC927" s="271">
        <v>4000000000</v>
      </c>
      <c r="CD927" s="271"/>
      <c r="CE927" s="271"/>
      <c r="CF927" s="271"/>
      <c r="CG927" s="271"/>
      <c r="CH927" s="271"/>
      <c r="CI927" s="271"/>
      <c r="CJ927" s="271"/>
      <c r="CK927" s="271"/>
      <c r="CL927" s="271"/>
      <c r="CM927" s="271"/>
      <c r="CN927" s="235">
        <f t="shared" si="486"/>
        <v>4000000000</v>
      </c>
      <c r="CO927" s="271"/>
      <c r="CP927" s="271"/>
      <c r="CQ927" s="271"/>
      <c r="CR927" s="271"/>
      <c r="CS927" s="271">
        <v>4000000000</v>
      </c>
      <c r="CT927" s="271"/>
      <c r="CU927" s="271"/>
      <c r="CV927" s="271"/>
      <c r="CW927" s="271"/>
      <c r="CX927" s="271"/>
      <c r="CY927" s="271"/>
      <c r="CZ927" s="271"/>
      <c r="DA927" s="271"/>
      <c r="DB927" s="271"/>
      <c r="DC927" s="271"/>
      <c r="DD927" s="234">
        <f t="shared" si="487"/>
        <v>4000000000</v>
      </c>
      <c r="DE927" s="244">
        <f t="shared" si="488"/>
        <v>16316119873</v>
      </c>
    </row>
    <row r="928" spans="1:110" s="98" customFormat="1" ht="119.1" customHeight="1">
      <c r="A928" s="103" t="s">
        <v>1234</v>
      </c>
      <c r="B928" s="279" t="s">
        <v>440</v>
      </c>
      <c r="C928" s="279" t="s">
        <v>1983</v>
      </c>
      <c r="D928" s="279">
        <v>85</v>
      </c>
      <c r="E928" s="279" t="s">
        <v>1999</v>
      </c>
      <c r="F928" s="280" t="s">
        <v>2000</v>
      </c>
      <c r="G928" s="279" t="s">
        <v>3771</v>
      </c>
      <c r="H928" s="279">
        <v>101</v>
      </c>
      <c r="I928" s="279" t="s">
        <v>2001</v>
      </c>
      <c r="J928" s="279" t="s">
        <v>689</v>
      </c>
      <c r="K928" s="279">
        <v>2.82</v>
      </c>
      <c r="L928" s="279" t="s">
        <v>2002</v>
      </c>
      <c r="M928" s="279" t="s">
        <v>2003</v>
      </c>
      <c r="N928" s="279" t="s">
        <v>2004</v>
      </c>
      <c r="O928" s="279" t="s">
        <v>452</v>
      </c>
      <c r="P928" s="283">
        <v>814</v>
      </c>
      <c r="Q928" s="279" t="s">
        <v>2914</v>
      </c>
      <c r="R928" s="279" t="s">
        <v>2010</v>
      </c>
      <c r="S928" s="279" t="s">
        <v>2006</v>
      </c>
      <c r="T928" s="279">
        <v>1</v>
      </c>
      <c r="U928" s="267"/>
      <c r="V928" s="267"/>
      <c r="W928" s="224">
        <v>0</v>
      </c>
      <c r="X928" s="267"/>
      <c r="Y928" s="267"/>
      <c r="Z928" s="267">
        <v>3</v>
      </c>
      <c r="AA928" s="267"/>
      <c r="AB928" s="224">
        <v>3</v>
      </c>
      <c r="AC928" s="267"/>
      <c r="AD928" s="267"/>
      <c r="AE928" s="267"/>
      <c r="AF928" s="267">
        <v>3</v>
      </c>
      <c r="AG928" s="224">
        <v>3</v>
      </c>
      <c r="AH928" s="267"/>
      <c r="AI928" s="267"/>
      <c r="AJ928" s="267">
        <v>4</v>
      </c>
      <c r="AK928" s="267"/>
      <c r="AL928" s="224">
        <v>4</v>
      </c>
      <c r="AM928" s="104">
        <v>10</v>
      </c>
      <c r="AN928" s="103" t="s">
        <v>685</v>
      </c>
      <c r="AO928" s="103" t="s">
        <v>625</v>
      </c>
      <c r="AP928" s="103" t="s">
        <v>1221</v>
      </c>
      <c r="AQ928" s="103" t="s">
        <v>1193</v>
      </c>
      <c r="AR928" s="103" t="s">
        <v>944</v>
      </c>
      <c r="AS928" s="271"/>
      <c r="AT928" s="271"/>
      <c r="AU928" s="271"/>
      <c r="AV928" s="271"/>
      <c r="AW928" s="271"/>
      <c r="AX928" s="271"/>
      <c r="AY928" s="271"/>
      <c r="AZ928" s="271"/>
      <c r="BA928" s="271"/>
      <c r="BB928" s="271"/>
      <c r="BC928" s="271"/>
      <c r="BD928" s="271"/>
      <c r="BE928" s="271"/>
      <c r="BF928" s="271"/>
      <c r="BG928" s="271"/>
      <c r="BH928" s="235">
        <f t="shared" si="484"/>
        <v>0</v>
      </c>
      <c r="BI928" s="271"/>
      <c r="BJ928" s="271"/>
      <c r="BK928" s="271"/>
      <c r="BL928" s="271"/>
      <c r="BM928" s="271">
        <v>1000000</v>
      </c>
      <c r="BN928" s="271"/>
      <c r="BO928" s="271"/>
      <c r="BP928" s="271"/>
      <c r="BQ928" s="271"/>
      <c r="BR928" s="271"/>
      <c r="BS928" s="271"/>
      <c r="BT928" s="271"/>
      <c r="BU928" s="271"/>
      <c r="BV928" s="271"/>
      <c r="BW928" s="271"/>
      <c r="BX928" s="235">
        <f t="shared" si="485"/>
        <v>1000000</v>
      </c>
      <c r="BY928" s="271"/>
      <c r="BZ928" s="271"/>
      <c r="CA928" s="271"/>
      <c r="CB928" s="271"/>
      <c r="CC928" s="271">
        <v>1000000</v>
      </c>
      <c r="CD928" s="271"/>
      <c r="CE928" s="271"/>
      <c r="CF928" s="271"/>
      <c r="CG928" s="271"/>
      <c r="CH928" s="271"/>
      <c r="CI928" s="271"/>
      <c r="CJ928" s="271"/>
      <c r="CK928" s="271"/>
      <c r="CL928" s="271"/>
      <c r="CM928" s="271"/>
      <c r="CN928" s="235">
        <f t="shared" si="486"/>
        <v>1000000</v>
      </c>
      <c r="CO928" s="271"/>
      <c r="CP928" s="271"/>
      <c r="CQ928" s="271"/>
      <c r="CR928" s="271"/>
      <c r="CS928" s="271">
        <v>1000000</v>
      </c>
      <c r="CT928" s="271"/>
      <c r="CU928" s="271"/>
      <c r="CV928" s="271"/>
      <c r="CW928" s="271"/>
      <c r="CX928" s="271"/>
      <c r="CY928" s="271"/>
      <c r="CZ928" s="271"/>
      <c r="DA928" s="271"/>
      <c r="DB928" s="271"/>
      <c r="DC928" s="271"/>
      <c r="DD928" s="234">
        <f t="shared" si="487"/>
        <v>1000000</v>
      </c>
      <c r="DE928" s="244">
        <f t="shared" si="488"/>
        <v>3000000</v>
      </c>
    </row>
    <row r="929" spans="1:110" s="98" customFormat="1" ht="119.1" customHeight="1">
      <c r="A929" s="103" t="s">
        <v>1234</v>
      </c>
      <c r="B929" s="279" t="s">
        <v>440</v>
      </c>
      <c r="C929" s="279" t="s">
        <v>1983</v>
      </c>
      <c r="D929" s="279">
        <v>85</v>
      </c>
      <c r="E929" s="279" t="s">
        <v>1999</v>
      </c>
      <c r="F929" s="280" t="s">
        <v>2000</v>
      </c>
      <c r="G929" s="279" t="s">
        <v>3771</v>
      </c>
      <c r="H929" s="279">
        <v>101</v>
      </c>
      <c r="I929" s="279" t="s">
        <v>2001</v>
      </c>
      <c r="J929" s="279" t="s">
        <v>689</v>
      </c>
      <c r="K929" s="279">
        <v>2.82</v>
      </c>
      <c r="L929" s="279" t="s">
        <v>2002</v>
      </c>
      <c r="M929" s="279" t="s">
        <v>2003</v>
      </c>
      <c r="N929" s="279" t="s">
        <v>2004</v>
      </c>
      <c r="O929" s="279" t="s">
        <v>452</v>
      </c>
      <c r="P929" s="283">
        <v>815</v>
      </c>
      <c r="Q929" s="279" t="s">
        <v>2915</v>
      </c>
      <c r="R929" s="279" t="s">
        <v>2008</v>
      </c>
      <c r="S929" s="279" t="s">
        <v>683</v>
      </c>
      <c r="T929" s="279">
        <v>388</v>
      </c>
      <c r="U929" s="267">
        <v>20</v>
      </c>
      <c r="V929" s="267">
        <v>5</v>
      </c>
      <c r="W929" s="224">
        <v>25</v>
      </c>
      <c r="X929" s="267">
        <v>25</v>
      </c>
      <c r="Y929" s="267"/>
      <c r="Z929" s="267"/>
      <c r="AA929" s="267"/>
      <c r="AB929" s="224">
        <v>25</v>
      </c>
      <c r="AC929" s="267">
        <v>25</v>
      </c>
      <c r="AD929" s="267"/>
      <c r="AE929" s="267"/>
      <c r="AF929" s="267"/>
      <c r="AG929" s="224">
        <v>25</v>
      </c>
      <c r="AH929" s="267">
        <v>25</v>
      </c>
      <c r="AI929" s="267"/>
      <c r="AJ929" s="267"/>
      <c r="AK929" s="267"/>
      <c r="AL929" s="224">
        <v>25</v>
      </c>
      <c r="AM929" s="104">
        <v>100</v>
      </c>
      <c r="AN929" s="103" t="s">
        <v>685</v>
      </c>
      <c r="AO929" s="103" t="s">
        <v>625</v>
      </c>
      <c r="AP929" s="103" t="s">
        <v>1221</v>
      </c>
      <c r="AQ929" s="103" t="s">
        <v>1193</v>
      </c>
      <c r="AR929" s="103" t="s">
        <v>944</v>
      </c>
      <c r="AS929" s="271"/>
      <c r="AT929" s="271"/>
      <c r="AU929" s="271"/>
      <c r="AV929" s="271"/>
      <c r="AW929" s="271">
        <v>16464000</v>
      </c>
      <c r="AX929" s="271"/>
      <c r="AY929" s="271"/>
      <c r="AZ929" s="271"/>
      <c r="BA929" s="271"/>
      <c r="BB929" s="271"/>
      <c r="BC929" s="271"/>
      <c r="BD929" s="271"/>
      <c r="BE929" s="271"/>
      <c r="BF929" s="271"/>
      <c r="BG929" s="271"/>
      <c r="BH929" s="235">
        <f t="shared" si="484"/>
        <v>16464000</v>
      </c>
      <c r="BI929" s="271"/>
      <c r="BJ929" s="271"/>
      <c r="BK929" s="271"/>
      <c r="BL929" s="271"/>
      <c r="BM929" s="271">
        <v>49312000</v>
      </c>
      <c r="BN929" s="271"/>
      <c r="BO929" s="271"/>
      <c r="BP929" s="271"/>
      <c r="BQ929" s="271"/>
      <c r="BR929" s="271"/>
      <c r="BS929" s="271"/>
      <c r="BT929" s="271"/>
      <c r="BU929" s="271"/>
      <c r="BV929" s="271"/>
      <c r="BW929" s="271"/>
      <c r="BX929" s="235">
        <f t="shared" si="485"/>
        <v>49312000</v>
      </c>
      <c r="BY929" s="271"/>
      <c r="BZ929" s="271"/>
      <c r="CA929" s="271"/>
      <c r="CB929" s="271"/>
      <c r="CC929" s="271">
        <f>49312000</f>
        <v>49312000</v>
      </c>
      <c r="CD929" s="271"/>
      <c r="CE929" s="271"/>
      <c r="CF929" s="271"/>
      <c r="CG929" s="271"/>
      <c r="CH929" s="271"/>
      <c r="CI929" s="271"/>
      <c r="CJ929" s="271"/>
      <c r="CK929" s="271"/>
      <c r="CL929" s="271"/>
      <c r="CM929" s="271"/>
      <c r="CN929" s="235">
        <f t="shared" si="486"/>
        <v>49312000</v>
      </c>
      <c r="CO929" s="271"/>
      <c r="CP929" s="271"/>
      <c r="CQ929" s="271"/>
      <c r="CR929" s="271"/>
      <c r="CS929" s="271">
        <v>49312000</v>
      </c>
      <c r="CT929" s="271"/>
      <c r="CU929" s="271"/>
      <c r="CV929" s="271"/>
      <c r="CW929" s="271"/>
      <c r="CX929" s="271"/>
      <c r="CY929" s="271"/>
      <c r="CZ929" s="271"/>
      <c r="DA929" s="271"/>
      <c r="DB929" s="271"/>
      <c r="DC929" s="271"/>
      <c r="DD929" s="234">
        <f t="shared" si="487"/>
        <v>49312000</v>
      </c>
      <c r="DE929" s="244">
        <f t="shared" si="488"/>
        <v>164400000</v>
      </c>
    </row>
    <row r="930" spans="1:110" s="98" customFormat="1" ht="119.1" customHeight="1">
      <c r="A930" s="103" t="s">
        <v>1234</v>
      </c>
      <c r="B930" s="279" t="s">
        <v>440</v>
      </c>
      <c r="C930" s="279" t="s">
        <v>1983</v>
      </c>
      <c r="D930" s="279">
        <v>85</v>
      </c>
      <c r="E930" s="279" t="s">
        <v>1999</v>
      </c>
      <c r="F930" s="280" t="s">
        <v>2000</v>
      </c>
      <c r="G930" s="279" t="s">
        <v>3771</v>
      </c>
      <c r="H930" s="279">
        <v>101</v>
      </c>
      <c r="I930" s="279" t="s">
        <v>2001</v>
      </c>
      <c r="J930" s="279" t="s">
        <v>689</v>
      </c>
      <c r="K930" s="279">
        <v>2.82</v>
      </c>
      <c r="L930" s="279" t="s">
        <v>2002</v>
      </c>
      <c r="M930" s="279" t="s">
        <v>2011</v>
      </c>
      <c r="N930" s="279" t="s">
        <v>2012</v>
      </c>
      <c r="O930" s="279" t="s">
        <v>2013</v>
      </c>
      <c r="P930" s="283">
        <v>816</v>
      </c>
      <c r="Q930" s="279" t="s">
        <v>2916</v>
      </c>
      <c r="R930" s="279" t="s">
        <v>455</v>
      </c>
      <c r="S930" s="279" t="s">
        <v>683</v>
      </c>
      <c r="T930" s="279">
        <v>1</v>
      </c>
      <c r="U930" s="267"/>
      <c r="V930" s="267"/>
      <c r="W930" s="224">
        <v>0</v>
      </c>
      <c r="X930" s="267"/>
      <c r="Y930" s="267"/>
      <c r="Z930" s="267">
        <v>1</v>
      </c>
      <c r="AA930" s="267"/>
      <c r="AB930" s="224">
        <v>1</v>
      </c>
      <c r="AC930" s="267"/>
      <c r="AD930" s="267"/>
      <c r="AE930" s="267"/>
      <c r="AF930" s="267"/>
      <c r="AG930" s="224">
        <v>0</v>
      </c>
      <c r="AH930" s="267"/>
      <c r="AI930" s="267">
        <v>1</v>
      </c>
      <c r="AJ930" s="267"/>
      <c r="AK930" s="267"/>
      <c r="AL930" s="224">
        <v>1</v>
      </c>
      <c r="AM930" s="104">
        <v>2</v>
      </c>
      <c r="AN930" s="103" t="s">
        <v>685</v>
      </c>
      <c r="AO930" s="103" t="s">
        <v>625</v>
      </c>
      <c r="AP930" s="103" t="s">
        <v>1221</v>
      </c>
      <c r="AQ930" s="103" t="s">
        <v>1193</v>
      </c>
      <c r="AR930" s="103" t="s">
        <v>944</v>
      </c>
      <c r="AS930" s="271"/>
      <c r="AT930" s="271"/>
      <c r="AU930" s="271"/>
      <c r="AV930" s="271"/>
      <c r="AW930" s="271"/>
      <c r="AX930" s="271"/>
      <c r="AY930" s="271"/>
      <c r="AZ930" s="271"/>
      <c r="BA930" s="271"/>
      <c r="BB930" s="271"/>
      <c r="BC930" s="271"/>
      <c r="BD930" s="271"/>
      <c r="BE930" s="271"/>
      <c r="BF930" s="271"/>
      <c r="BG930" s="271"/>
      <c r="BH930" s="235">
        <f t="shared" si="484"/>
        <v>0</v>
      </c>
      <c r="BI930" s="271"/>
      <c r="BJ930" s="271"/>
      <c r="BK930" s="271"/>
      <c r="BL930" s="271"/>
      <c r="BM930" s="271">
        <v>1000000</v>
      </c>
      <c r="BN930" s="271"/>
      <c r="BO930" s="271"/>
      <c r="BP930" s="271"/>
      <c r="BQ930" s="271"/>
      <c r="BR930" s="271"/>
      <c r="BS930" s="271"/>
      <c r="BT930" s="271"/>
      <c r="BU930" s="271"/>
      <c r="BV930" s="271"/>
      <c r="BW930" s="271"/>
      <c r="BX930" s="235">
        <f t="shared" si="485"/>
        <v>1000000</v>
      </c>
      <c r="BY930" s="271"/>
      <c r="BZ930" s="271"/>
      <c r="CA930" s="271"/>
      <c r="CB930" s="271"/>
      <c r="CC930" s="271"/>
      <c r="CD930" s="271"/>
      <c r="CE930" s="271"/>
      <c r="CF930" s="271"/>
      <c r="CG930" s="271"/>
      <c r="CH930" s="271"/>
      <c r="CI930" s="271"/>
      <c r="CJ930" s="271"/>
      <c r="CK930" s="271"/>
      <c r="CL930" s="271"/>
      <c r="CM930" s="271"/>
      <c r="CN930" s="235">
        <f t="shared" si="486"/>
        <v>0</v>
      </c>
      <c r="CO930" s="271"/>
      <c r="CP930" s="271"/>
      <c r="CQ930" s="271"/>
      <c r="CR930" s="271"/>
      <c r="CS930" s="271">
        <v>1000000</v>
      </c>
      <c r="CT930" s="271"/>
      <c r="CU930" s="271"/>
      <c r="CV930" s="271"/>
      <c r="CW930" s="271"/>
      <c r="CX930" s="271"/>
      <c r="CY930" s="271"/>
      <c r="CZ930" s="271"/>
      <c r="DA930" s="271"/>
      <c r="DB930" s="271"/>
      <c r="DC930" s="271"/>
      <c r="DD930" s="234">
        <f t="shared" si="487"/>
        <v>1000000</v>
      </c>
      <c r="DE930" s="244">
        <f t="shared" si="488"/>
        <v>2000000</v>
      </c>
    </row>
    <row r="931" spans="1:110" s="98" customFormat="1" ht="119.1" customHeight="1">
      <c r="A931" s="103" t="s">
        <v>1234</v>
      </c>
      <c r="B931" s="279" t="s">
        <v>440</v>
      </c>
      <c r="C931" s="279" t="s">
        <v>1983</v>
      </c>
      <c r="D931" s="279">
        <v>85</v>
      </c>
      <c r="E931" s="279" t="s">
        <v>1999</v>
      </c>
      <c r="F931" s="280" t="s">
        <v>2000</v>
      </c>
      <c r="G931" s="279" t="s">
        <v>3771</v>
      </c>
      <c r="H931" s="279">
        <v>101</v>
      </c>
      <c r="I931" s="279" t="s">
        <v>2001</v>
      </c>
      <c r="J931" s="279" t="s">
        <v>689</v>
      </c>
      <c r="K931" s="279">
        <v>2.82</v>
      </c>
      <c r="L931" s="279" t="s">
        <v>2002</v>
      </c>
      <c r="M931" s="279" t="s">
        <v>2011</v>
      </c>
      <c r="N931" s="279" t="s">
        <v>2012</v>
      </c>
      <c r="O931" s="279" t="s">
        <v>2013</v>
      </c>
      <c r="P931" s="283">
        <v>817</v>
      </c>
      <c r="Q931" s="279" t="s">
        <v>2917</v>
      </c>
      <c r="R931" s="279" t="s">
        <v>2014</v>
      </c>
      <c r="S931" s="279" t="s">
        <v>683</v>
      </c>
      <c r="T931" s="279">
        <v>0</v>
      </c>
      <c r="U931" s="267"/>
      <c r="V931" s="267"/>
      <c r="W931" s="224">
        <v>0</v>
      </c>
      <c r="X931" s="267"/>
      <c r="Y931" s="267"/>
      <c r="Z931" s="267"/>
      <c r="AA931" s="267"/>
      <c r="AB931" s="224">
        <v>0</v>
      </c>
      <c r="AC931" s="267"/>
      <c r="AD931" s="267"/>
      <c r="AE931" s="267">
        <v>1</v>
      </c>
      <c r="AF931" s="267"/>
      <c r="AG931" s="224">
        <v>1</v>
      </c>
      <c r="AH931" s="267"/>
      <c r="AI931" s="267"/>
      <c r="AJ931" s="267"/>
      <c r="AK931" s="267"/>
      <c r="AL931" s="224">
        <v>0</v>
      </c>
      <c r="AM931" s="104">
        <v>1</v>
      </c>
      <c r="AN931" s="103" t="s">
        <v>685</v>
      </c>
      <c r="AO931" s="103" t="s">
        <v>625</v>
      </c>
      <c r="AP931" s="103" t="s">
        <v>1221</v>
      </c>
      <c r="AQ931" s="103" t="s">
        <v>1193</v>
      </c>
      <c r="AR931" s="103" t="s">
        <v>944</v>
      </c>
      <c r="AS931" s="271"/>
      <c r="AT931" s="271"/>
      <c r="AU931" s="271"/>
      <c r="AV931" s="271"/>
      <c r="AW931" s="271"/>
      <c r="AX931" s="271"/>
      <c r="AY931" s="271"/>
      <c r="AZ931" s="271"/>
      <c r="BA931" s="271"/>
      <c r="BB931" s="271"/>
      <c r="BC931" s="271"/>
      <c r="BD931" s="271"/>
      <c r="BE931" s="271"/>
      <c r="BF931" s="271"/>
      <c r="BG931" s="271"/>
      <c r="BH931" s="235">
        <f t="shared" si="484"/>
        <v>0</v>
      </c>
      <c r="BI931" s="271"/>
      <c r="BJ931" s="271"/>
      <c r="BK931" s="271"/>
      <c r="BL931" s="271"/>
      <c r="BM931" s="271"/>
      <c r="BN931" s="271"/>
      <c r="BO931" s="271"/>
      <c r="BP931" s="271"/>
      <c r="BQ931" s="271"/>
      <c r="BR931" s="271"/>
      <c r="BS931" s="271"/>
      <c r="BT931" s="271"/>
      <c r="BU931" s="271"/>
      <c r="BV931" s="271"/>
      <c r="BW931" s="271"/>
      <c r="BX931" s="235">
        <f t="shared" si="485"/>
        <v>0</v>
      </c>
      <c r="BY931" s="271"/>
      <c r="BZ931" s="271"/>
      <c r="CA931" s="271"/>
      <c r="CB931" s="271"/>
      <c r="CC931" s="271">
        <v>1000000</v>
      </c>
      <c r="CD931" s="271"/>
      <c r="CE931" s="271"/>
      <c r="CF931" s="271"/>
      <c r="CG931" s="271"/>
      <c r="CH931" s="271"/>
      <c r="CI931" s="271"/>
      <c r="CJ931" s="271"/>
      <c r="CK931" s="271"/>
      <c r="CL931" s="271"/>
      <c r="CM931" s="271"/>
      <c r="CN931" s="235">
        <f t="shared" si="486"/>
        <v>1000000</v>
      </c>
      <c r="CO931" s="271"/>
      <c r="CP931" s="271"/>
      <c r="CQ931" s="271"/>
      <c r="CR931" s="271"/>
      <c r="CS931" s="271"/>
      <c r="CT931" s="271"/>
      <c r="CU931" s="271"/>
      <c r="CV931" s="271"/>
      <c r="CW931" s="271"/>
      <c r="CX931" s="271"/>
      <c r="CY931" s="271"/>
      <c r="CZ931" s="271"/>
      <c r="DA931" s="271"/>
      <c r="DB931" s="271"/>
      <c r="DC931" s="271"/>
      <c r="DD931" s="234">
        <f t="shared" si="487"/>
        <v>0</v>
      </c>
      <c r="DE931" s="244">
        <f t="shared" si="488"/>
        <v>1000000</v>
      </c>
    </row>
    <row r="932" spans="1:110" s="98" customFormat="1" ht="119.1" customHeight="1">
      <c r="A932" s="103" t="s">
        <v>1234</v>
      </c>
      <c r="B932" s="279" t="s">
        <v>440</v>
      </c>
      <c r="C932" s="279" t="s">
        <v>1983</v>
      </c>
      <c r="D932" s="279">
        <v>85</v>
      </c>
      <c r="E932" s="279" t="s">
        <v>1999</v>
      </c>
      <c r="F932" s="280" t="s">
        <v>2000</v>
      </c>
      <c r="G932" s="279" t="s">
        <v>3771</v>
      </c>
      <c r="H932" s="279">
        <v>101</v>
      </c>
      <c r="I932" s="279" t="s">
        <v>2001</v>
      </c>
      <c r="J932" s="279" t="s">
        <v>689</v>
      </c>
      <c r="K932" s="279">
        <v>2.82</v>
      </c>
      <c r="L932" s="279" t="s">
        <v>2002</v>
      </c>
      <c r="M932" s="279" t="s">
        <v>2015</v>
      </c>
      <c r="N932" s="279" t="s">
        <v>2016</v>
      </c>
      <c r="O932" s="279" t="s">
        <v>2017</v>
      </c>
      <c r="P932" s="283">
        <v>818</v>
      </c>
      <c r="Q932" s="279" t="s">
        <v>2918</v>
      </c>
      <c r="R932" s="279" t="s">
        <v>456</v>
      </c>
      <c r="S932" s="279" t="s">
        <v>683</v>
      </c>
      <c r="T932" s="279">
        <v>1</v>
      </c>
      <c r="U932" s="267"/>
      <c r="V932" s="267">
        <v>1</v>
      </c>
      <c r="W932" s="224">
        <v>1</v>
      </c>
      <c r="X932" s="267"/>
      <c r="Y932" s="267">
        <v>1</v>
      </c>
      <c r="Z932" s="267"/>
      <c r="AA932" s="267"/>
      <c r="AB932" s="224">
        <v>1</v>
      </c>
      <c r="AC932" s="267"/>
      <c r="AD932" s="267">
        <v>1</v>
      </c>
      <c r="AE932" s="267"/>
      <c r="AF932" s="267"/>
      <c r="AG932" s="224">
        <v>1</v>
      </c>
      <c r="AH932" s="267"/>
      <c r="AI932" s="267"/>
      <c r="AJ932" s="267">
        <v>1</v>
      </c>
      <c r="AK932" s="267"/>
      <c r="AL932" s="224">
        <v>1</v>
      </c>
      <c r="AM932" s="104">
        <v>1</v>
      </c>
      <c r="AN932" s="103" t="s">
        <v>686</v>
      </c>
      <c r="AO932" s="103" t="s">
        <v>625</v>
      </c>
      <c r="AP932" s="103" t="s">
        <v>1221</v>
      </c>
      <c r="AQ932" s="103" t="s">
        <v>1193</v>
      </c>
      <c r="AR932" s="103" t="s">
        <v>944</v>
      </c>
      <c r="AS932" s="271"/>
      <c r="AT932" s="271"/>
      <c r="AU932" s="271"/>
      <c r="AV932" s="271"/>
      <c r="AW932" s="271">
        <v>250000</v>
      </c>
      <c r="AX932" s="271"/>
      <c r="AY932" s="271"/>
      <c r="AZ932" s="271"/>
      <c r="BA932" s="271"/>
      <c r="BB932" s="271"/>
      <c r="BC932" s="271"/>
      <c r="BD932" s="271"/>
      <c r="BE932" s="271"/>
      <c r="BF932" s="271"/>
      <c r="BG932" s="271"/>
      <c r="BH932" s="235">
        <f t="shared" si="484"/>
        <v>250000</v>
      </c>
      <c r="BI932" s="271"/>
      <c r="BJ932" s="271"/>
      <c r="BK932" s="271"/>
      <c r="BL932" s="271"/>
      <c r="BM932" s="271">
        <v>250000</v>
      </c>
      <c r="BN932" s="271"/>
      <c r="BO932" s="271"/>
      <c r="BP932" s="271"/>
      <c r="BQ932" s="271"/>
      <c r="BR932" s="271"/>
      <c r="BS932" s="271"/>
      <c r="BT932" s="271"/>
      <c r="BU932" s="271"/>
      <c r="BV932" s="271"/>
      <c r="BW932" s="271"/>
      <c r="BX932" s="235">
        <f t="shared" si="485"/>
        <v>250000</v>
      </c>
      <c r="BY932" s="271"/>
      <c r="BZ932" s="271"/>
      <c r="CA932" s="271"/>
      <c r="CB932" s="271"/>
      <c r="CC932" s="271">
        <v>250000</v>
      </c>
      <c r="CD932" s="271"/>
      <c r="CE932" s="271"/>
      <c r="CF932" s="271"/>
      <c r="CG932" s="271"/>
      <c r="CH932" s="271"/>
      <c r="CI932" s="271"/>
      <c r="CJ932" s="271"/>
      <c r="CK932" s="271"/>
      <c r="CL932" s="271"/>
      <c r="CM932" s="271"/>
      <c r="CN932" s="235">
        <f t="shared" si="486"/>
        <v>250000</v>
      </c>
      <c r="CO932" s="271"/>
      <c r="CP932" s="271"/>
      <c r="CQ932" s="271"/>
      <c r="CR932" s="271"/>
      <c r="CS932" s="271">
        <v>250000</v>
      </c>
      <c r="CT932" s="271"/>
      <c r="CU932" s="271"/>
      <c r="CV932" s="271"/>
      <c r="CW932" s="271"/>
      <c r="CX932" s="271"/>
      <c r="CY932" s="271"/>
      <c r="CZ932" s="271"/>
      <c r="DA932" s="271"/>
      <c r="DB932" s="271"/>
      <c r="DC932" s="271"/>
      <c r="DD932" s="234">
        <f t="shared" si="487"/>
        <v>250000</v>
      </c>
      <c r="DE932" s="244">
        <f t="shared" si="488"/>
        <v>1000000</v>
      </c>
    </row>
    <row r="933" spans="1:110" s="98" customFormat="1" ht="119.1" customHeight="1">
      <c r="A933" s="103" t="s">
        <v>1234</v>
      </c>
      <c r="B933" s="279" t="s">
        <v>440</v>
      </c>
      <c r="C933" s="279" t="s">
        <v>1983</v>
      </c>
      <c r="D933" s="279">
        <v>85</v>
      </c>
      <c r="E933" s="279" t="s">
        <v>1999</v>
      </c>
      <c r="F933" s="280" t="s">
        <v>2000</v>
      </c>
      <c r="G933" s="279" t="s">
        <v>3771</v>
      </c>
      <c r="H933" s="279">
        <v>101</v>
      </c>
      <c r="I933" s="279" t="s">
        <v>2001</v>
      </c>
      <c r="J933" s="279" t="s">
        <v>689</v>
      </c>
      <c r="K933" s="279">
        <v>2.82</v>
      </c>
      <c r="L933" s="279" t="s">
        <v>2002</v>
      </c>
      <c r="M933" s="279" t="s">
        <v>2018</v>
      </c>
      <c r="N933" s="279" t="s">
        <v>2019</v>
      </c>
      <c r="O933" s="279" t="s">
        <v>2020</v>
      </c>
      <c r="P933" s="283">
        <v>819</v>
      </c>
      <c r="Q933" s="279" t="s">
        <v>2919</v>
      </c>
      <c r="R933" s="279" t="s">
        <v>2021</v>
      </c>
      <c r="S933" s="279" t="s">
        <v>2006</v>
      </c>
      <c r="T933" s="279">
        <v>330</v>
      </c>
      <c r="U933" s="267"/>
      <c r="V933" s="267">
        <v>30</v>
      </c>
      <c r="W933" s="224">
        <v>30</v>
      </c>
      <c r="X933" s="267">
        <v>10</v>
      </c>
      <c r="Y933" s="267"/>
      <c r="Z933" s="267">
        <v>30</v>
      </c>
      <c r="AA933" s="267"/>
      <c r="AB933" s="224">
        <v>40</v>
      </c>
      <c r="AC933" s="267"/>
      <c r="AD933" s="267"/>
      <c r="AE933" s="267">
        <v>30</v>
      </c>
      <c r="AF933" s="267">
        <v>10</v>
      </c>
      <c r="AG933" s="224">
        <v>40</v>
      </c>
      <c r="AH933" s="267"/>
      <c r="AI933" s="267"/>
      <c r="AJ933" s="267">
        <v>20</v>
      </c>
      <c r="AK933" s="267">
        <v>30</v>
      </c>
      <c r="AL933" s="224">
        <v>50</v>
      </c>
      <c r="AM933" s="104">
        <v>160</v>
      </c>
      <c r="AN933" s="103" t="s">
        <v>685</v>
      </c>
      <c r="AO933" s="103" t="s">
        <v>625</v>
      </c>
      <c r="AP933" s="103" t="s">
        <v>1221</v>
      </c>
      <c r="AQ933" s="103" t="s">
        <v>1193</v>
      </c>
      <c r="AR933" s="103" t="s">
        <v>944</v>
      </c>
      <c r="AS933" s="271"/>
      <c r="AT933" s="271"/>
      <c r="AU933" s="271"/>
      <c r="AV933" s="271"/>
      <c r="AW933" s="271">
        <v>1000000</v>
      </c>
      <c r="AX933" s="271"/>
      <c r="AY933" s="271"/>
      <c r="AZ933" s="271"/>
      <c r="BA933" s="271"/>
      <c r="BB933" s="271"/>
      <c r="BC933" s="271"/>
      <c r="BD933" s="271"/>
      <c r="BE933" s="271"/>
      <c r="BF933" s="271"/>
      <c r="BG933" s="271"/>
      <c r="BH933" s="235">
        <f t="shared" si="484"/>
        <v>1000000</v>
      </c>
      <c r="BI933" s="271"/>
      <c r="BJ933" s="271"/>
      <c r="BK933" s="271"/>
      <c r="BL933" s="271"/>
      <c r="BM933" s="271">
        <v>1000000</v>
      </c>
      <c r="BN933" s="271"/>
      <c r="BO933" s="271"/>
      <c r="BP933" s="271"/>
      <c r="BQ933" s="271"/>
      <c r="BR933" s="271"/>
      <c r="BS933" s="271"/>
      <c r="BT933" s="271"/>
      <c r="BU933" s="271"/>
      <c r="BV933" s="271"/>
      <c r="BW933" s="271"/>
      <c r="BX933" s="235">
        <f t="shared" si="485"/>
        <v>1000000</v>
      </c>
      <c r="BY933" s="271"/>
      <c r="BZ933" s="271"/>
      <c r="CA933" s="271"/>
      <c r="CB933" s="271"/>
      <c r="CC933" s="271">
        <v>1000000</v>
      </c>
      <c r="CD933" s="271"/>
      <c r="CE933" s="271"/>
      <c r="CF933" s="271"/>
      <c r="CG933" s="271"/>
      <c r="CH933" s="271"/>
      <c r="CI933" s="271"/>
      <c r="CJ933" s="271"/>
      <c r="CK933" s="271"/>
      <c r="CL933" s="271"/>
      <c r="CM933" s="271"/>
      <c r="CN933" s="235">
        <f t="shared" si="486"/>
        <v>1000000</v>
      </c>
      <c r="CO933" s="271"/>
      <c r="CP933" s="271"/>
      <c r="CQ933" s="271"/>
      <c r="CR933" s="271"/>
      <c r="CS933" s="271">
        <v>1000000</v>
      </c>
      <c r="CT933" s="271"/>
      <c r="CU933" s="271"/>
      <c r="CV933" s="271"/>
      <c r="CW933" s="271"/>
      <c r="CX933" s="271"/>
      <c r="CY933" s="271"/>
      <c r="CZ933" s="271"/>
      <c r="DA933" s="271"/>
      <c r="DB933" s="271"/>
      <c r="DC933" s="271"/>
      <c r="DD933" s="234">
        <f t="shared" si="487"/>
        <v>1000000</v>
      </c>
      <c r="DE933" s="244">
        <f t="shared" si="488"/>
        <v>4000000</v>
      </c>
    </row>
    <row r="934" spans="1:110" s="98" customFormat="1" ht="119.1" customHeight="1">
      <c r="A934" s="103" t="s">
        <v>1234</v>
      </c>
      <c r="B934" s="279" t="s">
        <v>440</v>
      </c>
      <c r="C934" s="279" t="s">
        <v>1983</v>
      </c>
      <c r="D934" s="279">
        <v>85</v>
      </c>
      <c r="E934" s="279" t="s">
        <v>1999</v>
      </c>
      <c r="F934" s="280" t="s">
        <v>2000</v>
      </c>
      <c r="G934" s="279" t="s">
        <v>3771</v>
      </c>
      <c r="H934" s="279">
        <v>101</v>
      </c>
      <c r="I934" s="279" t="s">
        <v>2001</v>
      </c>
      <c r="J934" s="279" t="s">
        <v>689</v>
      </c>
      <c r="K934" s="279">
        <v>2.82</v>
      </c>
      <c r="L934" s="279" t="s">
        <v>2002</v>
      </c>
      <c r="M934" s="279" t="s">
        <v>2018</v>
      </c>
      <c r="N934" s="279" t="s">
        <v>2019</v>
      </c>
      <c r="O934" s="279" t="s">
        <v>2020</v>
      </c>
      <c r="P934" s="283">
        <v>820</v>
      </c>
      <c r="Q934" s="279" t="s">
        <v>2920</v>
      </c>
      <c r="R934" s="279" t="s">
        <v>2022</v>
      </c>
      <c r="S934" s="279" t="s">
        <v>2006</v>
      </c>
      <c r="T934" s="279">
        <v>600</v>
      </c>
      <c r="U934" s="267"/>
      <c r="V934" s="267">
        <v>150</v>
      </c>
      <c r="W934" s="224">
        <v>150</v>
      </c>
      <c r="X934" s="267">
        <v>220</v>
      </c>
      <c r="Y934" s="267">
        <v>220</v>
      </c>
      <c r="Z934" s="267">
        <v>220</v>
      </c>
      <c r="AA934" s="267">
        <v>190</v>
      </c>
      <c r="AB934" s="224">
        <v>850</v>
      </c>
      <c r="AC934" s="267"/>
      <c r="AD934" s="267"/>
      <c r="AE934" s="267"/>
      <c r="AF934" s="267"/>
      <c r="AG934" s="224">
        <v>0</v>
      </c>
      <c r="AH934" s="267"/>
      <c r="AI934" s="267"/>
      <c r="AJ934" s="267"/>
      <c r="AK934" s="267"/>
      <c r="AL934" s="224">
        <v>0</v>
      </c>
      <c r="AM934" s="104">
        <v>1000</v>
      </c>
      <c r="AN934" s="103" t="s">
        <v>685</v>
      </c>
      <c r="AO934" s="103" t="s">
        <v>625</v>
      </c>
      <c r="AP934" s="103" t="s">
        <v>1221</v>
      </c>
      <c r="AQ934" s="103" t="s">
        <v>1193</v>
      </c>
      <c r="AR934" s="103" t="s">
        <v>944</v>
      </c>
      <c r="AS934" s="271"/>
      <c r="AT934" s="271"/>
      <c r="AU934" s="271"/>
      <c r="AV934" s="271"/>
      <c r="AW934" s="271">
        <f>100000000-AW929-AW930-AW931-AW932-AW933-AW935</f>
        <v>82286000</v>
      </c>
      <c r="AX934" s="271"/>
      <c r="AY934" s="271"/>
      <c r="AZ934" s="271"/>
      <c r="BA934" s="271"/>
      <c r="BB934" s="271"/>
      <c r="BC934" s="271"/>
      <c r="BD934" s="271"/>
      <c r="BE934" s="271"/>
      <c r="BF934" s="271"/>
      <c r="BG934" s="271"/>
      <c r="BH934" s="235">
        <f t="shared" si="484"/>
        <v>82286000</v>
      </c>
      <c r="BI934" s="271"/>
      <c r="BJ934" s="271"/>
      <c r="BK934" s="271"/>
      <c r="BL934" s="271"/>
      <c r="BM934" s="271">
        <v>100000000</v>
      </c>
      <c r="BN934" s="271"/>
      <c r="BO934" s="271"/>
      <c r="BP934" s="271"/>
      <c r="BQ934" s="271"/>
      <c r="BR934" s="271"/>
      <c r="BS934" s="271"/>
      <c r="BT934" s="271"/>
      <c r="BU934" s="271"/>
      <c r="BV934" s="271"/>
      <c r="BW934" s="271"/>
      <c r="BX934" s="235">
        <f t="shared" si="485"/>
        <v>100000000</v>
      </c>
      <c r="BY934" s="271"/>
      <c r="BZ934" s="271"/>
      <c r="CA934" s="271"/>
      <c r="CB934" s="271"/>
      <c r="CC934" s="271"/>
      <c r="CD934" s="271"/>
      <c r="CE934" s="271"/>
      <c r="CF934" s="271"/>
      <c r="CG934" s="271"/>
      <c r="CH934" s="271"/>
      <c r="CI934" s="271"/>
      <c r="CJ934" s="271"/>
      <c r="CK934" s="271"/>
      <c r="CL934" s="271"/>
      <c r="CM934" s="271"/>
      <c r="CN934" s="235">
        <f t="shared" si="486"/>
        <v>0</v>
      </c>
      <c r="CO934" s="271"/>
      <c r="CP934" s="271"/>
      <c r="CQ934" s="271"/>
      <c r="CR934" s="271"/>
      <c r="CS934" s="271"/>
      <c r="CT934" s="271"/>
      <c r="CU934" s="271"/>
      <c r="CV934" s="271"/>
      <c r="CW934" s="271"/>
      <c r="CX934" s="271"/>
      <c r="CY934" s="271"/>
      <c r="CZ934" s="271"/>
      <c r="DA934" s="271"/>
      <c r="DB934" s="271"/>
      <c r="DC934" s="271"/>
      <c r="DD934" s="234">
        <f t="shared" si="487"/>
        <v>0</v>
      </c>
      <c r="DE934" s="244">
        <f t="shared" si="488"/>
        <v>182286000</v>
      </c>
    </row>
    <row r="935" spans="1:110" s="98" customFormat="1" ht="119.1" customHeight="1">
      <c r="A935" s="120" t="s">
        <v>1234</v>
      </c>
      <c r="B935" s="281" t="s">
        <v>440</v>
      </c>
      <c r="C935" s="281" t="s">
        <v>1983</v>
      </c>
      <c r="D935" s="281">
        <v>85</v>
      </c>
      <c r="E935" s="281" t="s">
        <v>1999</v>
      </c>
      <c r="F935" s="282" t="s">
        <v>2000</v>
      </c>
      <c r="G935" s="281" t="s">
        <v>3771</v>
      </c>
      <c r="H935" s="281">
        <v>101</v>
      </c>
      <c r="I935" s="281" t="s">
        <v>2001</v>
      </c>
      <c r="J935" s="281" t="s">
        <v>689</v>
      </c>
      <c r="K935" s="281">
        <v>2.82</v>
      </c>
      <c r="L935" s="281" t="s">
        <v>2002</v>
      </c>
      <c r="M935" s="281" t="s">
        <v>2018</v>
      </c>
      <c r="N935" s="281" t="s">
        <v>2019</v>
      </c>
      <c r="O935" s="281" t="s">
        <v>2020</v>
      </c>
      <c r="P935" s="283">
        <v>821</v>
      </c>
      <c r="Q935" s="281" t="s">
        <v>2921</v>
      </c>
      <c r="R935" s="281" t="s">
        <v>2023</v>
      </c>
      <c r="S935" s="281" t="s">
        <v>2006</v>
      </c>
      <c r="T935" s="281">
        <v>0</v>
      </c>
      <c r="U935" s="275"/>
      <c r="V935" s="275"/>
      <c r="W935" s="225">
        <v>0</v>
      </c>
      <c r="X935" s="275"/>
      <c r="Y935" s="275"/>
      <c r="Z935" s="275"/>
      <c r="AA935" s="275"/>
      <c r="AB935" s="225">
        <v>0</v>
      </c>
      <c r="AC935" s="275">
        <v>2200</v>
      </c>
      <c r="AD935" s="275"/>
      <c r="AE935" s="275"/>
      <c r="AF935" s="275"/>
      <c r="AG935" s="225">
        <v>2200</v>
      </c>
      <c r="AH935" s="275"/>
      <c r="AI935" s="275"/>
      <c r="AJ935" s="275"/>
      <c r="AK935" s="275"/>
      <c r="AL935" s="225">
        <v>0</v>
      </c>
      <c r="AM935" s="119">
        <v>2200</v>
      </c>
      <c r="AN935" s="120" t="s">
        <v>685</v>
      </c>
      <c r="AO935" s="120" t="s">
        <v>625</v>
      </c>
      <c r="AP935" s="120" t="s">
        <v>1221</v>
      </c>
      <c r="AQ935" s="120" t="s">
        <v>1193</v>
      </c>
      <c r="AR935" s="120" t="s">
        <v>944</v>
      </c>
      <c r="AS935" s="276"/>
      <c r="AT935" s="276"/>
      <c r="AU935" s="276"/>
      <c r="AV935" s="276"/>
      <c r="AW935" s="276"/>
      <c r="AX935" s="276"/>
      <c r="AY935" s="276"/>
      <c r="AZ935" s="276"/>
      <c r="BA935" s="276"/>
      <c r="BB935" s="276"/>
      <c r="BC935" s="276"/>
      <c r="BD935" s="276"/>
      <c r="BE935" s="276"/>
      <c r="BF935" s="276"/>
      <c r="BG935" s="276"/>
      <c r="BH935" s="236">
        <f t="shared" si="484"/>
        <v>0</v>
      </c>
      <c r="BI935" s="276"/>
      <c r="BJ935" s="276"/>
      <c r="BK935" s="276"/>
      <c r="BL935" s="276"/>
      <c r="BM935" s="276"/>
      <c r="BN935" s="276"/>
      <c r="BO935" s="276"/>
      <c r="BP935" s="276"/>
      <c r="BQ935" s="276"/>
      <c r="BR935" s="276"/>
      <c r="BS935" s="276"/>
      <c r="BT935" s="276"/>
      <c r="BU935" s="276"/>
      <c r="BV935" s="276"/>
      <c r="BW935" s="276"/>
      <c r="BX935" s="236">
        <f t="shared" si="485"/>
        <v>0</v>
      </c>
      <c r="BY935" s="276"/>
      <c r="BZ935" s="276"/>
      <c r="CA935" s="276"/>
      <c r="CB935" s="276"/>
      <c r="CC935" s="276">
        <v>1000000</v>
      </c>
      <c r="CD935" s="276"/>
      <c r="CE935" s="276"/>
      <c r="CF935" s="276"/>
      <c r="CG935" s="276"/>
      <c r="CH935" s="276"/>
      <c r="CI935" s="276"/>
      <c r="CJ935" s="276"/>
      <c r="CK935" s="276"/>
      <c r="CL935" s="276"/>
      <c r="CM935" s="276"/>
      <c r="CN935" s="236">
        <f t="shared" si="486"/>
        <v>1000000</v>
      </c>
      <c r="CO935" s="276"/>
      <c r="CP935" s="276"/>
      <c r="CQ935" s="276"/>
      <c r="CR935" s="276"/>
      <c r="CS935" s="276"/>
      <c r="CT935" s="276"/>
      <c r="CU935" s="276"/>
      <c r="CV935" s="276"/>
      <c r="CW935" s="276"/>
      <c r="CX935" s="276"/>
      <c r="CY935" s="276"/>
      <c r="CZ935" s="276"/>
      <c r="DA935" s="276"/>
      <c r="DB935" s="276"/>
      <c r="DC935" s="276"/>
      <c r="DD935" s="240">
        <f t="shared" si="487"/>
        <v>0</v>
      </c>
      <c r="DE935" s="245">
        <f t="shared" si="488"/>
        <v>1000000</v>
      </c>
    </row>
    <row r="936" spans="1:110" ht="65.099999999999994" customHeight="1">
      <c r="A936" s="134" t="s">
        <v>1234</v>
      </c>
      <c r="B936" s="134" t="s">
        <v>440</v>
      </c>
      <c r="C936" s="134" t="s">
        <v>1983</v>
      </c>
      <c r="D936" s="148">
        <v>85</v>
      </c>
      <c r="E936" s="148" t="s">
        <v>1999</v>
      </c>
      <c r="F936" s="149"/>
      <c r="G936" s="150"/>
      <c r="H936" s="151"/>
      <c r="I936" s="151"/>
      <c r="J936" s="151"/>
      <c r="K936" s="152"/>
      <c r="L936" s="151"/>
      <c r="M936" s="151"/>
      <c r="N936" s="151"/>
      <c r="O936" s="151"/>
      <c r="P936" s="151"/>
      <c r="Q936" s="150"/>
      <c r="R936" s="153"/>
      <c r="S936" s="151"/>
      <c r="T936" s="151"/>
      <c r="U936" s="154"/>
      <c r="V936" s="154"/>
      <c r="W936" s="152"/>
      <c r="X936" s="154"/>
      <c r="Y936" s="154"/>
      <c r="Z936" s="154"/>
      <c r="AA936" s="154"/>
      <c r="AB936" s="152"/>
      <c r="AC936" s="154"/>
      <c r="AD936" s="154"/>
      <c r="AE936" s="154"/>
      <c r="AF936" s="154"/>
      <c r="AG936" s="152"/>
      <c r="AH936" s="154"/>
      <c r="AI936" s="154"/>
      <c r="AJ936" s="154"/>
      <c r="AK936" s="154"/>
      <c r="AL936" s="152"/>
      <c r="AM936" s="155"/>
      <c r="AN936" s="156"/>
      <c r="AO936" s="156"/>
      <c r="AP936" s="157"/>
      <c r="AQ936" s="157"/>
      <c r="AR936" s="158"/>
      <c r="AS936" s="132">
        <f>SUM(AS925:AS935)</f>
        <v>0</v>
      </c>
      <c r="AT936" s="132">
        <f t="shared" ref="AT936:DE936" si="489">SUM(AT925:AT935)</f>
        <v>93783792889</v>
      </c>
      <c r="AU936" s="132">
        <f t="shared" si="489"/>
        <v>0</v>
      </c>
      <c r="AV936" s="132">
        <f t="shared" si="489"/>
        <v>0</v>
      </c>
      <c r="AW936" s="132">
        <f t="shared" si="489"/>
        <v>8416119873</v>
      </c>
      <c r="AX936" s="132">
        <f t="shared" si="489"/>
        <v>0</v>
      </c>
      <c r="AY936" s="132">
        <f t="shared" si="489"/>
        <v>0</v>
      </c>
      <c r="AZ936" s="132">
        <f t="shared" si="489"/>
        <v>0</v>
      </c>
      <c r="BA936" s="132">
        <f t="shared" si="489"/>
        <v>0</v>
      </c>
      <c r="BB936" s="132">
        <f t="shared" si="489"/>
        <v>0</v>
      </c>
      <c r="BC936" s="132">
        <f t="shared" si="489"/>
        <v>0</v>
      </c>
      <c r="BD936" s="132">
        <f t="shared" si="489"/>
        <v>0</v>
      </c>
      <c r="BE936" s="132">
        <f t="shared" si="489"/>
        <v>0</v>
      </c>
      <c r="BF936" s="132">
        <f t="shared" si="489"/>
        <v>0</v>
      </c>
      <c r="BG936" s="132">
        <f t="shared" si="489"/>
        <v>0</v>
      </c>
      <c r="BH936" s="133">
        <f>IF(OR(AND(BH925=0,W925&lt;&gt;0),AND(BH926=0,W926&lt;&gt;0),AND(BH927=0,W927&lt;&gt;0),AND(BH928=0,W928&lt;&gt;0),AND(BH929=0,W929&lt;&gt;0),AND(BH930=0,W930&lt;&gt;0),AND(BH931=0,W931&lt;&gt;0),AND(BH932=0,W932&lt;&gt;0),AND(BH933=0,W933&lt;&gt;0),AND(BH934=0,W934&lt;&gt;0),AND(BH935=0,W935&lt;&gt;0)),"NO DEBEN QUEDAR CELDAS EN ROJO",SUM(BH925:BH935))</f>
        <v>102199912762</v>
      </c>
      <c r="BI936" s="132">
        <f t="shared" si="489"/>
        <v>0</v>
      </c>
      <c r="BJ936" s="132">
        <f t="shared" si="489"/>
        <v>0</v>
      </c>
      <c r="BK936" s="132">
        <f t="shared" si="489"/>
        <v>0</v>
      </c>
      <c r="BL936" s="132">
        <f t="shared" si="489"/>
        <v>0</v>
      </c>
      <c r="BM936" s="132">
        <f t="shared" si="489"/>
        <v>9290000000</v>
      </c>
      <c r="BN936" s="132">
        <f t="shared" si="489"/>
        <v>0</v>
      </c>
      <c r="BO936" s="132">
        <f t="shared" si="489"/>
        <v>0</v>
      </c>
      <c r="BP936" s="132">
        <f t="shared" si="489"/>
        <v>0</v>
      </c>
      <c r="BQ936" s="132">
        <f t="shared" si="489"/>
        <v>0</v>
      </c>
      <c r="BR936" s="132">
        <f t="shared" si="489"/>
        <v>0</v>
      </c>
      <c r="BS936" s="132">
        <f t="shared" si="489"/>
        <v>0</v>
      </c>
      <c r="BT936" s="132">
        <f t="shared" si="489"/>
        <v>0</v>
      </c>
      <c r="BU936" s="132">
        <f t="shared" si="489"/>
        <v>0</v>
      </c>
      <c r="BV936" s="132">
        <f t="shared" si="489"/>
        <v>0</v>
      </c>
      <c r="BW936" s="132">
        <f t="shared" si="489"/>
        <v>17996284738</v>
      </c>
      <c r="BX936" s="133">
        <f>IF(OR(AND(BX925=0,AB925&lt;&gt;0),AND(BX926=0,AB926&lt;&gt;0),AND(BX927=0,AB927&lt;&gt;0),AND(BX928=0,AB928&lt;&gt;0),AND(BX929=0,AB929&lt;&gt;0),AND(BX930=0,AB930&lt;&gt;0),AND(BX931=0,AB931&lt;&gt;0),AND(BX932=0,AB932&lt;&gt;0),AND(BX933=0,AB933&lt;&gt;0),AND(BX934=0,AB934&lt;&gt;0),AND(BX935=0,AB935&lt;&gt;0)),"NO DEBEN QUEDAR CELDAS EN ROJO",SUM(BX925:BX935))</f>
        <v>27286284738</v>
      </c>
      <c r="BY936" s="132">
        <f t="shared" si="489"/>
        <v>0</v>
      </c>
      <c r="BZ936" s="132">
        <f t="shared" si="489"/>
        <v>25000000000</v>
      </c>
      <c r="CA936" s="132">
        <f t="shared" si="489"/>
        <v>25000000000</v>
      </c>
      <c r="CB936" s="132">
        <f t="shared" si="489"/>
        <v>0</v>
      </c>
      <c r="CC936" s="132">
        <f t="shared" si="489"/>
        <v>9599700000</v>
      </c>
      <c r="CD936" s="132">
        <f t="shared" si="489"/>
        <v>0</v>
      </c>
      <c r="CE936" s="132">
        <f t="shared" si="489"/>
        <v>0</v>
      </c>
      <c r="CF936" s="132">
        <f t="shared" si="489"/>
        <v>0</v>
      </c>
      <c r="CG936" s="132">
        <f t="shared" si="489"/>
        <v>0</v>
      </c>
      <c r="CH936" s="132">
        <f t="shared" si="489"/>
        <v>0</v>
      </c>
      <c r="CI936" s="132">
        <f t="shared" si="489"/>
        <v>0</v>
      </c>
      <c r="CJ936" s="132">
        <f t="shared" si="489"/>
        <v>0</v>
      </c>
      <c r="CK936" s="132">
        <f t="shared" si="489"/>
        <v>0</v>
      </c>
      <c r="CL936" s="132">
        <f t="shared" si="489"/>
        <v>0</v>
      </c>
      <c r="CM936" s="132">
        <f>SUM(CM925:CM935)</f>
        <v>16472121105.1891</v>
      </c>
      <c r="CN936" s="133">
        <f>IF(OR(AND(CN925=0,AG925&lt;&gt;0),AND(CN926=0,AG926&lt;&gt;0),AND(CN927=0,AG927&lt;&gt;0),AND(CN928=0,AG928&lt;&gt;0),AND(CN929=0,AG929&lt;&gt;0),AND(CN930=0,AG930&lt;&gt;0),AND(CN931=0,AG931&lt;&gt;0),AND(CN932=0,AG932&lt;&gt;0),AND(CN933=0,AG933&lt;&gt;0),AND(CN934=0,AG934&lt;&gt;0),AND(CN935=0,AG935&lt;&gt;0)),"NO DEBEN QUEDAR CELDAS EN ROJO",SUM(CN925:CN935))</f>
        <v>76071821105.189102</v>
      </c>
      <c r="CO936" s="132">
        <f t="shared" si="489"/>
        <v>0</v>
      </c>
      <c r="CP936" s="132">
        <f t="shared" si="489"/>
        <v>0</v>
      </c>
      <c r="CQ936" s="132">
        <f t="shared" si="489"/>
        <v>0</v>
      </c>
      <c r="CR936" s="132">
        <f t="shared" si="489"/>
        <v>0</v>
      </c>
      <c r="CS936" s="132">
        <f t="shared" si="489"/>
        <v>10004813000</v>
      </c>
      <c r="CT936" s="132">
        <f t="shared" si="489"/>
        <v>0</v>
      </c>
      <c r="CU936" s="132">
        <f t="shared" si="489"/>
        <v>0</v>
      </c>
      <c r="CV936" s="132">
        <f t="shared" si="489"/>
        <v>0</v>
      </c>
      <c r="CW936" s="132">
        <f t="shared" si="489"/>
        <v>0</v>
      </c>
      <c r="CX936" s="132">
        <f t="shared" si="489"/>
        <v>0</v>
      </c>
      <c r="CY936" s="132">
        <f t="shared" si="489"/>
        <v>0</v>
      </c>
      <c r="CZ936" s="132">
        <f t="shared" si="489"/>
        <v>0</v>
      </c>
      <c r="DA936" s="132">
        <f t="shared" si="489"/>
        <v>0</v>
      </c>
      <c r="DB936" s="132">
        <f t="shared" si="489"/>
        <v>0</v>
      </c>
      <c r="DC936" s="132">
        <f t="shared" si="489"/>
        <v>18528607495.48267</v>
      </c>
      <c r="DD936" s="133">
        <f>IF(OR(AND(DD925=0,AL925&lt;&gt;0),AND(DD926=0,AL926&lt;&gt;0),AND(DD927=0,AL927&lt;&gt;0),AND(DD928=0,AL928&lt;&gt;0),AND(DD929=0,AL929&lt;&gt;0),AND(DD930=0,AL930&lt;&gt;0),AND(DD931=0,AL931&lt;&gt;0),AND(DD932=0,AL932&lt;&gt;0),AND(DD933=0,AL933&lt;&gt;0),AND(DD934=0,AL934&lt;&gt;0),AND(DD935=0,AL935&lt;&gt;0)),"NO DEBEN QUEDAR CELDAS EN ROJO",SUM(DD925:DD935))</f>
        <v>28533420495.48267</v>
      </c>
      <c r="DE936" s="133">
        <f t="shared" si="489"/>
        <v>234091439100.67175</v>
      </c>
      <c r="DF936" s="101"/>
    </row>
    <row r="937" spans="1:110" s="117" customFormat="1" ht="55.05" customHeight="1">
      <c r="A937" s="124" t="s">
        <v>1234</v>
      </c>
      <c r="B937" s="125" t="s">
        <v>440</v>
      </c>
      <c r="C937" s="145" t="s">
        <v>1983</v>
      </c>
      <c r="D937" s="160"/>
      <c r="E937" s="161"/>
      <c r="F937" s="162"/>
      <c r="G937" s="163"/>
      <c r="H937" s="161"/>
      <c r="I937" s="161"/>
      <c r="J937" s="161"/>
      <c r="K937" s="161"/>
      <c r="L937" s="161"/>
      <c r="M937" s="161"/>
      <c r="N937" s="161"/>
      <c r="O937" s="161"/>
      <c r="P937" s="161"/>
      <c r="Q937" s="163"/>
      <c r="R937" s="164"/>
      <c r="S937" s="161"/>
      <c r="T937" s="161"/>
      <c r="U937" s="165"/>
      <c r="V937" s="165"/>
      <c r="W937" s="166"/>
      <c r="X937" s="165"/>
      <c r="Y937" s="165"/>
      <c r="Z937" s="165"/>
      <c r="AA937" s="165"/>
      <c r="AB937" s="166"/>
      <c r="AC937" s="165"/>
      <c r="AD937" s="165"/>
      <c r="AE937" s="165"/>
      <c r="AF937" s="165"/>
      <c r="AG937" s="166"/>
      <c r="AH937" s="165"/>
      <c r="AI937" s="165"/>
      <c r="AJ937" s="165"/>
      <c r="AK937" s="165"/>
      <c r="AL937" s="166"/>
      <c r="AM937" s="167"/>
      <c r="AN937" s="168"/>
      <c r="AO937" s="168"/>
      <c r="AP937" s="163"/>
      <c r="AQ937" s="163"/>
      <c r="AR937" s="169"/>
      <c r="AS937" s="147">
        <f>SUM(AS936+AS924)</f>
        <v>0</v>
      </c>
      <c r="AT937" s="130">
        <f t="shared" ref="AT937:DE937" si="490">SUM(AT936+AT924)</f>
        <v>93783792889</v>
      </c>
      <c r="AU937" s="130">
        <f t="shared" si="490"/>
        <v>0</v>
      </c>
      <c r="AV937" s="130">
        <f t="shared" si="490"/>
        <v>0</v>
      </c>
      <c r="AW937" s="130">
        <f t="shared" si="490"/>
        <v>8516119873</v>
      </c>
      <c r="AX937" s="130">
        <f t="shared" si="490"/>
        <v>0</v>
      </c>
      <c r="AY937" s="130">
        <f t="shared" si="490"/>
        <v>0</v>
      </c>
      <c r="AZ937" s="130">
        <f t="shared" si="490"/>
        <v>0</v>
      </c>
      <c r="BA937" s="130">
        <f t="shared" si="490"/>
        <v>0</v>
      </c>
      <c r="BB937" s="130">
        <f t="shared" si="490"/>
        <v>0</v>
      </c>
      <c r="BC937" s="130">
        <f t="shared" si="490"/>
        <v>0</v>
      </c>
      <c r="BD937" s="130">
        <f t="shared" si="490"/>
        <v>0</v>
      </c>
      <c r="BE937" s="130">
        <f t="shared" si="490"/>
        <v>0</v>
      </c>
      <c r="BF937" s="130">
        <f t="shared" si="490"/>
        <v>0</v>
      </c>
      <c r="BG937" s="130">
        <f t="shared" si="490"/>
        <v>0</v>
      </c>
      <c r="BH937" s="130">
        <f t="shared" si="490"/>
        <v>102299912762</v>
      </c>
      <c r="BI937" s="130">
        <f t="shared" si="490"/>
        <v>0</v>
      </c>
      <c r="BJ937" s="130">
        <f t="shared" si="490"/>
        <v>0</v>
      </c>
      <c r="BK937" s="130">
        <f t="shared" si="490"/>
        <v>0</v>
      </c>
      <c r="BL937" s="130">
        <f t="shared" si="490"/>
        <v>0</v>
      </c>
      <c r="BM937" s="130">
        <f t="shared" si="490"/>
        <v>9490000000</v>
      </c>
      <c r="BN937" s="130">
        <f t="shared" si="490"/>
        <v>0</v>
      </c>
      <c r="BO937" s="130">
        <f t="shared" si="490"/>
        <v>0</v>
      </c>
      <c r="BP937" s="130">
        <f t="shared" si="490"/>
        <v>0</v>
      </c>
      <c r="BQ937" s="130">
        <f t="shared" si="490"/>
        <v>0</v>
      </c>
      <c r="BR937" s="130">
        <f t="shared" si="490"/>
        <v>0</v>
      </c>
      <c r="BS937" s="130">
        <f t="shared" si="490"/>
        <v>0</v>
      </c>
      <c r="BT937" s="130">
        <f t="shared" si="490"/>
        <v>0</v>
      </c>
      <c r="BU937" s="130">
        <f t="shared" si="490"/>
        <v>0</v>
      </c>
      <c r="BV937" s="130">
        <f t="shared" si="490"/>
        <v>0</v>
      </c>
      <c r="BW937" s="130">
        <f t="shared" si="490"/>
        <v>17996284738</v>
      </c>
      <c r="BX937" s="130">
        <f t="shared" si="490"/>
        <v>27486284738</v>
      </c>
      <c r="BY937" s="130">
        <f t="shared" si="490"/>
        <v>0</v>
      </c>
      <c r="BZ937" s="130">
        <f t="shared" si="490"/>
        <v>25000000000</v>
      </c>
      <c r="CA937" s="130">
        <f t="shared" si="490"/>
        <v>25000000000</v>
      </c>
      <c r="CB937" s="130">
        <f t="shared" si="490"/>
        <v>0</v>
      </c>
      <c r="CC937" s="130">
        <f t="shared" si="490"/>
        <v>9799700000</v>
      </c>
      <c r="CD937" s="130">
        <f t="shared" si="490"/>
        <v>0</v>
      </c>
      <c r="CE937" s="130">
        <f t="shared" si="490"/>
        <v>0</v>
      </c>
      <c r="CF937" s="130">
        <f t="shared" si="490"/>
        <v>0</v>
      </c>
      <c r="CG937" s="130">
        <f t="shared" si="490"/>
        <v>0</v>
      </c>
      <c r="CH937" s="130">
        <f t="shared" si="490"/>
        <v>0</v>
      </c>
      <c r="CI937" s="130">
        <f t="shared" si="490"/>
        <v>0</v>
      </c>
      <c r="CJ937" s="130">
        <f t="shared" si="490"/>
        <v>0</v>
      </c>
      <c r="CK937" s="130">
        <f t="shared" si="490"/>
        <v>0</v>
      </c>
      <c r="CL937" s="130">
        <f t="shared" si="490"/>
        <v>0</v>
      </c>
      <c r="CM937" s="130">
        <f t="shared" si="490"/>
        <v>16472121105.1891</v>
      </c>
      <c r="CN937" s="130">
        <f t="shared" si="490"/>
        <v>76271821105.189102</v>
      </c>
      <c r="CO937" s="130">
        <f t="shared" si="490"/>
        <v>0</v>
      </c>
      <c r="CP937" s="130">
        <f t="shared" si="490"/>
        <v>0</v>
      </c>
      <c r="CQ937" s="130">
        <f t="shared" si="490"/>
        <v>0</v>
      </c>
      <c r="CR937" s="130">
        <f t="shared" si="490"/>
        <v>0</v>
      </c>
      <c r="CS937" s="130">
        <f t="shared" si="490"/>
        <v>10204813000</v>
      </c>
      <c r="CT937" s="130">
        <f t="shared" si="490"/>
        <v>0</v>
      </c>
      <c r="CU937" s="130">
        <f t="shared" si="490"/>
        <v>0</v>
      </c>
      <c r="CV937" s="130">
        <f t="shared" si="490"/>
        <v>0</v>
      </c>
      <c r="CW937" s="130">
        <f t="shared" si="490"/>
        <v>0</v>
      </c>
      <c r="CX937" s="130">
        <f t="shared" si="490"/>
        <v>0</v>
      </c>
      <c r="CY937" s="130">
        <f t="shared" si="490"/>
        <v>0</v>
      </c>
      <c r="CZ937" s="130">
        <f t="shared" si="490"/>
        <v>0</v>
      </c>
      <c r="DA937" s="130">
        <f t="shared" si="490"/>
        <v>0</v>
      </c>
      <c r="DB937" s="130">
        <f t="shared" si="490"/>
        <v>0</v>
      </c>
      <c r="DC937" s="130">
        <f t="shared" si="490"/>
        <v>18528607495.48267</v>
      </c>
      <c r="DD937" s="130">
        <f t="shared" si="490"/>
        <v>28733420495.48267</v>
      </c>
      <c r="DE937" s="130">
        <f t="shared" si="490"/>
        <v>234791439100.67175</v>
      </c>
    </row>
    <row r="938" spans="1:110" s="98" customFormat="1" ht="119.1" customHeight="1">
      <c r="A938" s="103" t="s">
        <v>1250</v>
      </c>
      <c r="B938" s="103" t="s">
        <v>440</v>
      </c>
      <c r="C938" s="103" t="s">
        <v>2024</v>
      </c>
      <c r="D938" s="103">
        <v>86</v>
      </c>
      <c r="E938" s="103" t="s">
        <v>2701</v>
      </c>
      <c r="F938" s="278" t="s">
        <v>2031</v>
      </c>
      <c r="G938" s="103" t="s">
        <v>3238</v>
      </c>
      <c r="H938" s="103">
        <v>102</v>
      </c>
      <c r="I938" s="103" t="s">
        <v>2026</v>
      </c>
      <c r="J938" s="103" t="s">
        <v>683</v>
      </c>
      <c r="K938" s="103">
        <v>73</v>
      </c>
      <c r="L938" s="103" t="s">
        <v>2027</v>
      </c>
      <c r="M938" s="103" t="s">
        <v>2029</v>
      </c>
      <c r="N938" s="103" t="s">
        <v>2030</v>
      </c>
      <c r="O938" s="103" t="s">
        <v>2025</v>
      </c>
      <c r="P938" s="283">
        <v>822</v>
      </c>
      <c r="Q938" s="103" t="s">
        <v>3772</v>
      </c>
      <c r="R938" s="103" t="s">
        <v>457</v>
      </c>
      <c r="S938" s="103" t="s">
        <v>683</v>
      </c>
      <c r="T938" s="103">
        <v>791</v>
      </c>
      <c r="U938" s="267"/>
      <c r="V938" s="267">
        <v>20</v>
      </c>
      <c r="W938" s="224">
        <v>20</v>
      </c>
      <c r="X938" s="267">
        <v>30</v>
      </c>
      <c r="Y938" s="267">
        <v>47</v>
      </c>
      <c r="Z938" s="267">
        <v>40</v>
      </c>
      <c r="AA938" s="267">
        <v>40</v>
      </c>
      <c r="AB938" s="224">
        <v>157</v>
      </c>
      <c r="AC938" s="267">
        <v>30</v>
      </c>
      <c r="AD938" s="267">
        <v>47</v>
      </c>
      <c r="AE938" s="267">
        <v>40</v>
      </c>
      <c r="AF938" s="267">
        <v>40</v>
      </c>
      <c r="AG938" s="224">
        <v>157</v>
      </c>
      <c r="AH938" s="267">
        <v>40</v>
      </c>
      <c r="AI938" s="267">
        <v>46</v>
      </c>
      <c r="AJ938" s="267">
        <v>40</v>
      </c>
      <c r="AK938" s="267">
        <v>40</v>
      </c>
      <c r="AL938" s="224">
        <v>166</v>
      </c>
      <c r="AM938" s="102">
        <v>500</v>
      </c>
      <c r="AN938" s="103" t="s">
        <v>685</v>
      </c>
      <c r="AO938" s="103" t="s">
        <v>625</v>
      </c>
      <c r="AP938" s="103" t="s">
        <v>1221</v>
      </c>
      <c r="AQ938" s="103" t="s">
        <v>1207</v>
      </c>
      <c r="AR938" s="103" t="s">
        <v>938</v>
      </c>
      <c r="AS938" s="268"/>
      <c r="AT938" s="268"/>
      <c r="AU938" s="268"/>
      <c r="AV938" s="268">
        <v>470507000</v>
      </c>
      <c r="AW938" s="268"/>
      <c r="AX938" s="268"/>
      <c r="AY938" s="268"/>
      <c r="AZ938" s="268"/>
      <c r="BA938" s="268"/>
      <c r="BB938" s="268"/>
      <c r="BC938" s="268"/>
      <c r="BD938" s="268"/>
      <c r="BE938" s="268"/>
      <c r="BF938" s="268"/>
      <c r="BG938" s="268"/>
      <c r="BH938" s="234">
        <f t="shared" ref="BH938:BH950" si="491">IF(W938=0,0,BG938+BF938+BE938+BD938+BC938+BB938+BA938+AZ938+AY938+AX938+AW938+AV938+AU938+AT938+AS938)</f>
        <v>470507000</v>
      </c>
      <c r="BI938" s="268"/>
      <c r="BJ938" s="268"/>
      <c r="BK938" s="268"/>
      <c r="BL938" s="268"/>
      <c r="BM938" s="268">
        <v>85000000</v>
      </c>
      <c r="BN938" s="268"/>
      <c r="BO938" s="268"/>
      <c r="BP938" s="268"/>
      <c r="BQ938" s="268"/>
      <c r="BR938" s="268"/>
      <c r="BS938" s="268"/>
      <c r="BT938" s="268"/>
      <c r="BU938" s="268"/>
      <c r="BV938" s="268"/>
      <c r="BW938" s="268"/>
      <c r="BX938" s="234">
        <f t="shared" ref="BX938:BX950" si="492">IF(AB938=0,0,BI938+BJ938+BK938+BL938+BM938+BN938+BO938+BP938+BQ938+BR938+BS938+BT938+BU938+BV938+BW938)</f>
        <v>85000000</v>
      </c>
      <c r="BY938" s="268"/>
      <c r="BZ938" s="268"/>
      <c r="CA938" s="268"/>
      <c r="CB938" s="268"/>
      <c r="CC938" s="268">
        <v>85000000</v>
      </c>
      <c r="CD938" s="268"/>
      <c r="CE938" s="268"/>
      <c r="CF938" s="268"/>
      <c r="CG938" s="268"/>
      <c r="CH938" s="268"/>
      <c r="CI938" s="268"/>
      <c r="CJ938" s="268"/>
      <c r="CK938" s="268"/>
      <c r="CL938" s="268"/>
      <c r="CM938" s="268"/>
      <c r="CN938" s="234">
        <f t="shared" ref="CN938:CN950" si="493">IF(AG938=0,0,(BY938+BZ938+CA938+CB938+CC938+CD938+CE938+CF938+CG938+CH938+CI938+CJ938+CK938+CL938+CM938))</f>
        <v>85000000</v>
      </c>
      <c r="CO938" s="268"/>
      <c r="CP938" s="268"/>
      <c r="CQ938" s="268"/>
      <c r="CR938" s="268"/>
      <c r="CS938" s="268">
        <v>85000000</v>
      </c>
      <c r="CT938" s="268"/>
      <c r="CU938" s="268"/>
      <c r="CV938" s="268"/>
      <c r="CW938" s="268"/>
      <c r="CX938" s="268"/>
      <c r="CY938" s="268"/>
      <c r="CZ938" s="268"/>
      <c r="DA938" s="268"/>
      <c r="DB938" s="268"/>
      <c r="DC938" s="268"/>
      <c r="DD938" s="234">
        <f t="shared" ref="DD938:DD950" si="494">IF(AL938=0,0,(CO938+CP938+CQ938+CR938+CS938+CT938+CU938+CV938+CW938+CX938+CY938+CZ938+DA938+DB938+DC938))</f>
        <v>85000000</v>
      </c>
      <c r="DE938" s="243">
        <f t="shared" ref="DE938:DE939" si="495">SUM(DD938+CN938+BX938+BH938)</f>
        <v>725507000</v>
      </c>
    </row>
    <row r="939" spans="1:110" s="98" customFormat="1" ht="119.1" customHeight="1">
      <c r="A939" s="103" t="s">
        <v>1250</v>
      </c>
      <c r="B939" s="279" t="s">
        <v>440</v>
      </c>
      <c r="C939" s="279" t="s">
        <v>2024</v>
      </c>
      <c r="D939" s="279">
        <v>86</v>
      </c>
      <c r="E939" s="279" t="s">
        <v>2701</v>
      </c>
      <c r="F939" s="280" t="s">
        <v>2031</v>
      </c>
      <c r="G939" s="279" t="s">
        <v>3238</v>
      </c>
      <c r="H939" s="279">
        <v>102</v>
      </c>
      <c r="I939" s="279" t="s">
        <v>2026</v>
      </c>
      <c r="J939" s="279" t="s">
        <v>683</v>
      </c>
      <c r="K939" s="279">
        <v>73</v>
      </c>
      <c r="L939" s="279" t="s">
        <v>2027</v>
      </c>
      <c r="M939" s="279" t="s">
        <v>2029</v>
      </c>
      <c r="N939" s="279" t="s">
        <v>2030</v>
      </c>
      <c r="O939" s="279" t="s">
        <v>2025</v>
      </c>
      <c r="P939" s="283">
        <v>823</v>
      </c>
      <c r="Q939" s="279" t="s">
        <v>3773</v>
      </c>
      <c r="R939" s="279" t="s">
        <v>2032</v>
      </c>
      <c r="S939" s="279" t="s">
        <v>683</v>
      </c>
      <c r="T939" s="279">
        <v>28</v>
      </c>
      <c r="U939" s="267"/>
      <c r="V939" s="267">
        <v>1</v>
      </c>
      <c r="W939" s="224">
        <v>1</v>
      </c>
      <c r="X939" s="267">
        <v>1</v>
      </c>
      <c r="Y939" s="267">
        <v>2</v>
      </c>
      <c r="Z939" s="267">
        <v>2</v>
      </c>
      <c r="AA939" s="267"/>
      <c r="AB939" s="224">
        <v>5</v>
      </c>
      <c r="AC939" s="267">
        <v>1</v>
      </c>
      <c r="AD939" s="267">
        <v>2</v>
      </c>
      <c r="AE939" s="267">
        <v>2</v>
      </c>
      <c r="AF939" s="267"/>
      <c r="AG939" s="224">
        <v>5</v>
      </c>
      <c r="AH939" s="267">
        <v>1</v>
      </c>
      <c r="AI939" s="267">
        <v>2</v>
      </c>
      <c r="AJ939" s="267">
        <v>1</v>
      </c>
      <c r="AK939" s="267"/>
      <c r="AL939" s="224">
        <v>4</v>
      </c>
      <c r="AM939" s="104">
        <v>15</v>
      </c>
      <c r="AN939" s="103" t="s">
        <v>685</v>
      </c>
      <c r="AO939" s="103" t="s">
        <v>626</v>
      </c>
      <c r="AP939" s="103" t="s">
        <v>1228</v>
      </c>
      <c r="AQ939" s="103" t="s">
        <v>1199</v>
      </c>
      <c r="AR939" s="103" t="s">
        <v>952</v>
      </c>
      <c r="AS939" s="271"/>
      <c r="AT939" s="271"/>
      <c r="AU939" s="271"/>
      <c r="AV939" s="271">
        <v>236800000</v>
      </c>
      <c r="AW939" s="271"/>
      <c r="AX939" s="271"/>
      <c r="AY939" s="271"/>
      <c r="AZ939" s="271"/>
      <c r="BA939" s="271"/>
      <c r="BB939" s="271"/>
      <c r="BC939" s="271"/>
      <c r="BD939" s="271"/>
      <c r="BE939" s="271"/>
      <c r="BF939" s="271"/>
      <c r="BG939" s="271"/>
      <c r="BH939" s="235">
        <f t="shared" si="491"/>
        <v>236800000</v>
      </c>
      <c r="BI939" s="271"/>
      <c r="BJ939" s="271"/>
      <c r="BK939" s="271"/>
      <c r="BL939" s="271">
        <v>236800000</v>
      </c>
      <c r="BM939" s="271">
        <v>236800000</v>
      </c>
      <c r="BN939" s="271"/>
      <c r="BO939" s="271"/>
      <c r="BP939" s="271"/>
      <c r="BQ939" s="271"/>
      <c r="BR939" s="271"/>
      <c r="BS939" s="271"/>
      <c r="BT939" s="271"/>
      <c r="BU939" s="271"/>
      <c r="BV939" s="271"/>
      <c r="BW939" s="271"/>
      <c r="BX939" s="235">
        <f t="shared" si="492"/>
        <v>473600000</v>
      </c>
      <c r="BY939" s="271"/>
      <c r="BZ939" s="271"/>
      <c r="CA939" s="271"/>
      <c r="CB939" s="271">
        <v>236800000</v>
      </c>
      <c r="CC939" s="271">
        <v>266800000</v>
      </c>
      <c r="CD939" s="271"/>
      <c r="CE939" s="271"/>
      <c r="CF939" s="271"/>
      <c r="CG939" s="271"/>
      <c r="CH939" s="271"/>
      <c r="CI939" s="271"/>
      <c r="CJ939" s="271"/>
      <c r="CK939" s="271"/>
      <c r="CL939" s="271"/>
      <c r="CM939" s="271"/>
      <c r="CN939" s="235">
        <f t="shared" si="493"/>
        <v>503600000</v>
      </c>
      <c r="CO939" s="271"/>
      <c r="CP939" s="271"/>
      <c r="CQ939" s="271"/>
      <c r="CR939" s="271">
        <v>236800000</v>
      </c>
      <c r="CS939" s="271">
        <v>236800000</v>
      </c>
      <c r="CT939" s="271"/>
      <c r="CU939" s="271"/>
      <c r="CV939" s="271"/>
      <c r="CW939" s="271"/>
      <c r="CX939" s="271"/>
      <c r="CY939" s="271"/>
      <c r="CZ939" s="271"/>
      <c r="DA939" s="271"/>
      <c r="DB939" s="271"/>
      <c r="DC939" s="271"/>
      <c r="DD939" s="234">
        <f t="shared" si="494"/>
        <v>473600000</v>
      </c>
      <c r="DE939" s="244">
        <f t="shared" si="495"/>
        <v>1687600000</v>
      </c>
    </row>
    <row r="940" spans="1:110" s="98" customFormat="1" ht="119.1" customHeight="1">
      <c r="A940" s="103" t="s">
        <v>1250</v>
      </c>
      <c r="B940" s="279" t="s">
        <v>440</v>
      </c>
      <c r="C940" s="279" t="s">
        <v>2024</v>
      </c>
      <c r="D940" s="279">
        <v>86</v>
      </c>
      <c r="E940" s="279" t="s">
        <v>2701</v>
      </c>
      <c r="F940" s="280" t="s">
        <v>2031</v>
      </c>
      <c r="G940" s="279" t="s">
        <v>3238</v>
      </c>
      <c r="H940" s="279">
        <v>102</v>
      </c>
      <c r="I940" s="279" t="s">
        <v>2026</v>
      </c>
      <c r="J940" s="279" t="s">
        <v>683</v>
      </c>
      <c r="K940" s="279">
        <v>73</v>
      </c>
      <c r="L940" s="279" t="s">
        <v>2027</v>
      </c>
      <c r="M940" s="279" t="s">
        <v>2029</v>
      </c>
      <c r="N940" s="279" t="s">
        <v>2030</v>
      </c>
      <c r="O940" s="279" t="s">
        <v>2025</v>
      </c>
      <c r="P940" s="283">
        <v>824</v>
      </c>
      <c r="Q940" s="279" t="s">
        <v>3774</v>
      </c>
      <c r="R940" s="279" t="s">
        <v>2033</v>
      </c>
      <c r="S940" s="279" t="s">
        <v>683</v>
      </c>
      <c r="T940" s="279">
        <v>0</v>
      </c>
      <c r="U940" s="267"/>
      <c r="V940" s="267"/>
      <c r="W940" s="224">
        <v>0</v>
      </c>
      <c r="X940" s="267"/>
      <c r="Y940" s="267">
        <v>8</v>
      </c>
      <c r="Z940" s="267">
        <v>20</v>
      </c>
      <c r="AA940" s="267">
        <v>20</v>
      </c>
      <c r="AB940" s="224">
        <v>48</v>
      </c>
      <c r="AC940" s="267"/>
      <c r="AD940" s="267">
        <v>10</v>
      </c>
      <c r="AE940" s="267">
        <v>12</v>
      </c>
      <c r="AF940" s="267"/>
      <c r="AG940" s="224">
        <v>22</v>
      </c>
      <c r="AH940" s="267"/>
      <c r="AI940" s="267"/>
      <c r="AJ940" s="267"/>
      <c r="AK940" s="267"/>
      <c r="AL940" s="224">
        <v>0</v>
      </c>
      <c r="AM940" s="104">
        <v>70</v>
      </c>
      <c r="AN940" s="103" t="s">
        <v>685</v>
      </c>
      <c r="AO940" s="103" t="s">
        <v>625</v>
      </c>
      <c r="AP940" s="103" t="s">
        <v>1221</v>
      </c>
      <c r="AQ940" s="103" t="s">
        <v>1193</v>
      </c>
      <c r="AR940" s="103" t="s">
        <v>944</v>
      </c>
      <c r="AS940" s="271"/>
      <c r="AT940" s="271"/>
      <c r="AU940" s="271"/>
      <c r="AV940" s="271"/>
      <c r="AW940" s="271"/>
      <c r="AX940" s="271"/>
      <c r="AY940" s="271"/>
      <c r="AZ940" s="271"/>
      <c r="BA940" s="271"/>
      <c r="BB940" s="271"/>
      <c r="BC940" s="271"/>
      <c r="BD940" s="271"/>
      <c r="BE940" s="271"/>
      <c r="BF940" s="271"/>
      <c r="BG940" s="271"/>
      <c r="BH940" s="235">
        <f t="shared" si="491"/>
        <v>0</v>
      </c>
      <c r="BI940" s="271"/>
      <c r="BJ940" s="271"/>
      <c r="BK940" s="271"/>
      <c r="BL940" s="271">
        <v>600000000</v>
      </c>
      <c r="BM940" s="271"/>
      <c r="BN940" s="271"/>
      <c r="BO940" s="271"/>
      <c r="BP940" s="271"/>
      <c r="BQ940" s="271"/>
      <c r="BR940" s="271"/>
      <c r="BS940" s="271"/>
      <c r="BT940" s="271"/>
      <c r="BU940" s="271"/>
      <c r="BV940" s="271"/>
      <c r="BW940" s="271"/>
      <c r="BX940" s="235">
        <f t="shared" si="492"/>
        <v>600000000</v>
      </c>
      <c r="BY940" s="271"/>
      <c r="BZ940" s="271"/>
      <c r="CA940" s="271"/>
      <c r="CB940" s="271">
        <v>600000000</v>
      </c>
      <c r="CC940" s="271"/>
      <c r="CD940" s="271"/>
      <c r="CE940" s="271"/>
      <c r="CF940" s="271"/>
      <c r="CG940" s="271"/>
      <c r="CH940" s="271"/>
      <c r="CI940" s="271"/>
      <c r="CJ940" s="271"/>
      <c r="CK940" s="271"/>
      <c r="CL940" s="271"/>
      <c r="CM940" s="271"/>
      <c r="CN940" s="235">
        <f t="shared" si="493"/>
        <v>600000000</v>
      </c>
      <c r="CO940" s="271"/>
      <c r="CP940" s="271"/>
      <c r="CQ940" s="271"/>
      <c r="CR940" s="271"/>
      <c r="CS940" s="271"/>
      <c r="CT940" s="271"/>
      <c r="CU940" s="271"/>
      <c r="CV940" s="271"/>
      <c r="CW940" s="271"/>
      <c r="CX940" s="271"/>
      <c r="CY940" s="271"/>
      <c r="CZ940" s="271"/>
      <c r="DA940" s="271"/>
      <c r="DB940" s="271"/>
      <c r="DC940" s="271"/>
      <c r="DD940" s="234">
        <f t="shared" si="494"/>
        <v>0</v>
      </c>
      <c r="DE940" s="244">
        <f t="shared" ref="DE940:DE950" si="496">SUM(DD940+CN940+BX940+BH940)</f>
        <v>1200000000</v>
      </c>
    </row>
    <row r="941" spans="1:110" s="98" customFormat="1" ht="119.1" customHeight="1">
      <c r="A941" s="103" t="s">
        <v>1250</v>
      </c>
      <c r="B941" s="279" t="s">
        <v>440</v>
      </c>
      <c r="C941" s="279" t="s">
        <v>2024</v>
      </c>
      <c r="D941" s="279">
        <v>86</v>
      </c>
      <c r="E941" s="279" t="s">
        <v>2701</v>
      </c>
      <c r="F941" s="280" t="s">
        <v>2031</v>
      </c>
      <c r="G941" s="279" t="s">
        <v>3238</v>
      </c>
      <c r="H941" s="279">
        <v>102</v>
      </c>
      <c r="I941" s="279" t="s">
        <v>2026</v>
      </c>
      <c r="J941" s="279" t="s">
        <v>683</v>
      </c>
      <c r="K941" s="279">
        <v>73</v>
      </c>
      <c r="L941" s="279" t="s">
        <v>2027</v>
      </c>
      <c r="M941" s="279" t="s">
        <v>2029</v>
      </c>
      <c r="N941" s="279" t="s">
        <v>2030</v>
      </c>
      <c r="O941" s="279" t="s">
        <v>2025</v>
      </c>
      <c r="P941" s="283">
        <v>825</v>
      </c>
      <c r="Q941" s="279" t="s">
        <v>3775</v>
      </c>
      <c r="R941" s="279" t="s">
        <v>2034</v>
      </c>
      <c r="S941" s="279" t="s">
        <v>683</v>
      </c>
      <c r="T941" s="104">
        <v>284905</v>
      </c>
      <c r="U941" s="267">
        <v>700</v>
      </c>
      <c r="V941" s="267">
        <v>1000</v>
      </c>
      <c r="W941" s="224">
        <v>1700</v>
      </c>
      <c r="X941" s="267">
        <v>10000</v>
      </c>
      <c r="Y941" s="267">
        <v>16000</v>
      </c>
      <c r="Z941" s="267">
        <v>15500</v>
      </c>
      <c r="AA941" s="267">
        <v>17000</v>
      </c>
      <c r="AB941" s="224">
        <v>58500</v>
      </c>
      <c r="AC941" s="267">
        <v>15000</v>
      </c>
      <c r="AD941" s="267">
        <v>18000</v>
      </c>
      <c r="AE941" s="267">
        <v>17000</v>
      </c>
      <c r="AF941" s="267">
        <v>18000</v>
      </c>
      <c r="AG941" s="224">
        <v>68000</v>
      </c>
      <c r="AH941" s="267">
        <v>10000</v>
      </c>
      <c r="AI941" s="267">
        <v>12000</v>
      </c>
      <c r="AJ941" s="267">
        <v>15000</v>
      </c>
      <c r="AK941" s="267">
        <v>14800</v>
      </c>
      <c r="AL941" s="224">
        <v>51800</v>
      </c>
      <c r="AM941" s="104">
        <v>180000</v>
      </c>
      <c r="AN941" s="103" t="s">
        <v>685</v>
      </c>
      <c r="AO941" s="103" t="s">
        <v>612</v>
      </c>
      <c r="AP941" s="103" t="s">
        <v>1213</v>
      </c>
      <c r="AQ941" s="103" t="s">
        <v>1207</v>
      </c>
      <c r="AR941" s="103" t="s">
        <v>938</v>
      </c>
      <c r="AS941" s="271"/>
      <c r="AT941" s="271"/>
      <c r="AU941" s="271"/>
      <c r="AV941" s="271">
        <v>164093000</v>
      </c>
      <c r="AW941" s="271"/>
      <c r="AX941" s="271"/>
      <c r="AY941" s="271"/>
      <c r="AZ941" s="271"/>
      <c r="BA941" s="271"/>
      <c r="BB941" s="271"/>
      <c r="BC941" s="271"/>
      <c r="BD941" s="271"/>
      <c r="BE941" s="271"/>
      <c r="BF941" s="271"/>
      <c r="BG941" s="271"/>
      <c r="BH941" s="235">
        <f t="shared" si="491"/>
        <v>164093000</v>
      </c>
      <c r="BI941" s="271"/>
      <c r="BJ941" s="271"/>
      <c r="BK941" s="271"/>
      <c r="BL941" s="271"/>
      <c r="BM941" s="271">
        <v>168598040</v>
      </c>
      <c r="BN941" s="271"/>
      <c r="BO941" s="271"/>
      <c r="BP941" s="271"/>
      <c r="BQ941" s="271"/>
      <c r="BR941" s="271"/>
      <c r="BS941" s="271"/>
      <c r="BT941" s="271"/>
      <c r="BU941" s="271"/>
      <c r="BV941" s="271"/>
      <c r="BW941" s="271"/>
      <c r="BX941" s="235">
        <f t="shared" si="492"/>
        <v>168598040</v>
      </c>
      <c r="BY941" s="271"/>
      <c r="BZ941" s="271"/>
      <c r="CA941" s="271"/>
      <c r="CB941" s="271"/>
      <c r="CC941" s="271">
        <v>175341961.59999999</v>
      </c>
      <c r="CD941" s="271"/>
      <c r="CE941" s="271"/>
      <c r="CF941" s="271"/>
      <c r="CG941" s="271"/>
      <c r="CH941" s="271"/>
      <c r="CI941" s="271"/>
      <c r="CJ941" s="271"/>
      <c r="CK941" s="271"/>
      <c r="CL941" s="271"/>
      <c r="CM941" s="271"/>
      <c r="CN941" s="235">
        <f t="shared" si="493"/>
        <v>175341961.59999999</v>
      </c>
      <c r="CO941" s="271"/>
      <c r="CP941" s="271"/>
      <c r="CQ941" s="271"/>
      <c r="CR941" s="271"/>
      <c r="CS941" s="271">
        <v>182355640.06</v>
      </c>
      <c r="CT941" s="271"/>
      <c r="CU941" s="271"/>
      <c r="CV941" s="271"/>
      <c r="CW941" s="271"/>
      <c r="CX941" s="271"/>
      <c r="CY941" s="271"/>
      <c r="CZ941" s="271"/>
      <c r="DA941" s="271"/>
      <c r="DB941" s="271"/>
      <c r="DC941" s="271"/>
      <c r="DD941" s="234">
        <f t="shared" si="494"/>
        <v>182355640.06</v>
      </c>
      <c r="DE941" s="244">
        <f t="shared" si="496"/>
        <v>690388641.65999997</v>
      </c>
    </row>
    <row r="942" spans="1:110" s="98" customFormat="1" ht="119.1" customHeight="1">
      <c r="A942" s="103" t="s">
        <v>1250</v>
      </c>
      <c r="B942" s="279" t="s">
        <v>440</v>
      </c>
      <c r="C942" s="279" t="s">
        <v>2024</v>
      </c>
      <c r="D942" s="279">
        <v>86</v>
      </c>
      <c r="E942" s="279" t="s">
        <v>2701</v>
      </c>
      <c r="F942" s="280" t="s">
        <v>2031</v>
      </c>
      <c r="G942" s="279" t="s">
        <v>3238</v>
      </c>
      <c r="H942" s="279">
        <v>102</v>
      </c>
      <c r="I942" s="279" t="s">
        <v>2026</v>
      </c>
      <c r="J942" s="279" t="s">
        <v>683</v>
      </c>
      <c r="K942" s="279">
        <v>73</v>
      </c>
      <c r="L942" s="279" t="s">
        <v>2027</v>
      </c>
      <c r="M942" s="279" t="s">
        <v>2029</v>
      </c>
      <c r="N942" s="279" t="s">
        <v>2030</v>
      </c>
      <c r="O942" s="279" t="s">
        <v>2025</v>
      </c>
      <c r="P942" s="283">
        <v>826</v>
      </c>
      <c r="Q942" s="279" t="s">
        <v>3776</v>
      </c>
      <c r="R942" s="279" t="s">
        <v>2035</v>
      </c>
      <c r="S942" s="279" t="s">
        <v>683</v>
      </c>
      <c r="T942" s="279">
        <v>4</v>
      </c>
      <c r="U942" s="267">
        <v>1</v>
      </c>
      <c r="V942" s="267"/>
      <c r="W942" s="224">
        <v>1</v>
      </c>
      <c r="X942" s="267"/>
      <c r="Y942" s="267"/>
      <c r="Z942" s="267">
        <v>1</v>
      </c>
      <c r="AA942" s="267"/>
      <c r="AB942" s="224">
        <v>1</v>
      </c>
      <c r="AC942" s="267"/>
      <c r="AD942" s="267"/>
      <c r="AE942" s="267">
        <v>1</v>
      </c>
      <c r="AF942" s="267"/>
      <c r="AG942" s="224">
        <v>1</v>
      </c>
      <c r="AH942" s="267"/>
      <c r="AI942" s="267"/>
      <c r="AJ942" s="267">
        <v>1</v>
      </c>
      <c r="AK942" s="267"/>
      <c r="AL942" s="224">
        <v>1</v>
      </c>
      <c r="AM942" s="104">
        <v>4</v>
      </c>
      <c r="AN942" s="103" t="s">
        <v>685</v>
      </c>
      <c r="AO942" s="103" t="s">
        <v>612</v>
      </c>
      <c r="AP942" s="103" t="s">
        <v>1213</v>
      </c>
      <c r="AQ942" s="103" t="s">
        <v>1207</v>
      </c>
      <c r="AR942" s="103" t="s">
        <v>938</v>
      </c>
      <c r="AS942" s="271"/>
      <c r="AT942" s="271"/>
      <c r="AU942" s="271"/>
      <c r="AV942" s="271">
        <v>168785000</v>
      </c>
      <c r="AW942" s="271"/>
      <c r="AX942" s="271"/>
      <c r="AY942" s="271"/>
      <c r="AZ942" s="271"/>
      <c r="BA942" s="271"/>
      <c r="BB942" s="271"/>
      <c r="BC942" s="271"/>
      <c r="BD942" s="271"/>
      <c r="BE942" s="271"/>
      <c r="BF942" s="271"/>
      <c r="BG942" s="271"/>
      <c r="BH942" s="235">
        <f t="shared" si="491"/>
        <v>168785000</v>
      </c>
      <c r="BI942" s="271"/>
      <c r="BJ942" s="271"/>
      <c r="BK942" s="271"/>
      <c r="BL942" s="271"/>
      <c r="BM942" s="271">
        <v>109601960</v>
      </c>
      <c r="BN942" s="271"/>
      <c r="BO942" s="271"/>
      <c r="BP942" s="271"/>
      <c r="BQ942" s="271"/>
      <c r="BR942" s="271"/>
      <c r="BS942" s="271"/>
      <c r="BT942" s="271"/>
      <c r="BU942" s="271"/>
      <c r="BV942" s="271"/>
      <c r="BW942" s="271"/>
      <c r="BX942" s="235">
        <f t="shared" si="492"/>
        <v>109601960</v>
      </c>
      <c r="BY942" s="271"/>
      <c r="BZ942" s="271"/>
      <c r="CA942" s="271"/>
      <c r="CB942" s="271"/>
      <c r="CC942" s="271">
        <v>102858038.40000001</v>
      </c>
      <c r="CD942" s="271"/>
      <c r="CE942" s="271"/>
      <c r="CF942" s="271"/>
      <c r="CG942" s="271"/>
      <c r="CH942" s="271"/>
      <c r="CI942" s="271"/>
      <c r="CJ942" s="271"/>
      <c r="CK942" s="271"/>
      <c r="CL942" s="271"/>
      <c r="CM942" s="271"/>
      <c r="CN942" s="235">
        <f t="shared" si="493"/>
        <v>102858038.40000001</v>
      </c>
      <c r="CO942" s="271"/>
      <c r="CP942" s="271"/>
      <c r="CQ942" s="271"/>
      <c r="CR942" s="271"/>
      <c r="CS942" s="271">
        <v>157344359.94</v>
      </c>
      <c r="CT942" s="271"/>
      <c r="CU942" s="271"/>
      <c r="CV942" s="271"/>
      <c r="CW942" s="271"/>
      <c r="CX942" s="271"/>
      <c r="CY942" s="271"/>
      <c r="CZ942" s="271"/>
      <c r="DA942" s="271"/>
      <c r="DB942" s="271"/>
      <c r="DC942" s="271"/>
      <c r="DD942" s="234">
        <f t="shared" si="494"/>
        <v>157344359.94</v>
      </c>
      <c r="DE942" s="244">
        <f t="shared" si="496"/>
        <v>538589358.34000003</v>
      </c>
    </row>
    <row r="943" spans="1:110" s="98" customFormat="1" ht="119.1" customHeight="1">
      <c r="A943" s="103" t="s">
        <v>1250</v>
      </c>
      <c r="B943" s="279" t="s">
        <v>440</v>
      </c>
      <c r="C943" s="279" t="s">
        <v>2024</v>
      </c>
      <c r="D943" s="279">
        <v>86</v>
      </c>
      <c r="E943" s="279" t="s">
        <v>2701</v>
      </c>
      <c r="F943" s="280" t="s">
        <v>2031</v>
      </c>
      <c r="G943" s="279" t="s">
        <v>3238</v>
      </c>
      <c r="H943" s="279">
        <v>102</v>
      </c>
      <c r="I943" s="279" t="s">
        <v>2026</v>
      </c>
      <c r="J943" s="279" t="s">
        <v>683</v>
      </c>
      <c r="K943" s="279">
        <v>73</v>
      </c>
      <c r="L943" s="279" t="s">
        <v>2027</v>
      </c>
      <c r="M943" s="279" t="s">
        <v>2028</v>
      </c>
      <c r="N943" s="279" t="s">
        <v>2036</v>
      </c>
      <c r="O943" s="279" t="s">
        <v>2702</v>
      </c>
      <c r="P943" s="283">
        <v>827</v>
      </c>
      <c r="Q943" s="279" t="s">
        <v>3777</v>
      </c>
      <c r="R943" s="279" t="s">
        <v>2037</v>
      </c>
      <c r="S943" s="279" t="s">
        <v>683</v>
      </c>
      <c r="T943" s="279">
        <v>11</v>
      </c>
      <c r="U943" s="267"/>
      <c r="V943" s="267"/>
      <c r="W943" s="224">
        <v>0</v>
      </c>
      <c r="X943" s="267">
        <v>11</v>
      </c>
      <c r="Y943" s="267"/>
      <c r="Z943" s="267"/>
      <c r="AA943" s="267"/>
      <c r="AB943" s="224">
        <v>11</v>
      </c>
      <c r="AC943" s="267">
        <v>11</v>
      </c>
      <c r="AD943" s="267"/>
      <c r="AE943" s="267"/>
      <c r="AF943" s="267"/>
      <c r="AG943" s="224">
        <v>11</v>
      </c>
      <c r="AH943" s="267">
        <v>11</v>
      </c>
      <c r="AI943" s="267"/>
      <c r="AJ943" s="267"/>
      <c r="AK943" s="267"/>
      <c r="AL943" s="224">
        <v>11</v>
      </c>
      <c r="AM943" s="104">
        <v>11</v>
      </c>
      <c r="AN943" s="103" t="s">
        <v>686</v>
      </c>
      <c r="AO943" s="103" t="s">
        <v>1212</v>
      </c>
      <c r="AP943" s="103" t="s">
        <v>1229</v>
      </c>
      <c r="AQ943" s="103" t="s">
        <v>1207</v>
      </c>
      <c r="AR943" s="103" t="s">
        <v>951</v>
      </c>
      <c r="AS943" s="271"/>
      <c r="AT943" s="271"/>
      <c r="AU943" s="271"/>
      <c r="AV943" s="271"/>
      <c r="AW943" s="271"/>
      <c r="AX943" s="271"/>
      <c r="AY943" s="271"/>
      <c r="AZ943" s="271"/>
      <c r="BA943" s="271"/>
      <c r="BB943" s="271"/>
      <c r="BC943" s="271"/>
      <c r="BD943" s="271"/>
      <c r="BE943" s="271"/>
      <c r="BF943" s="271"/>
      <c r="BG943" s="271"/>
      <c r="BH943" s="235">
        <f t="shared" si="491"/>
        <v>0</v>
      </c>
      <c r="BI943" s="271"/>
      <c r="BJ943" s="271"/>
      <c r="BK943" s="271"/>
      <c r="BL943" s="271">
        <v>42253519</v>
      </c>
      <c r="BM943" s="271"/>
      <c r="BN943" s="271"/>
      <c r="BO943" s="271"/>
      <c r="BP943" s="271"/>
      <c r="BQ943" s="271"/>
      <c r="BR943" s="271"/>
      <c r="BS943" s="271"/>
      <c r="BT943" s="271"/>
      <c r="BU943" s="271"/>
      <c r="BV943" s="271"/>
      <c r="BW943" s="271"/>
      <c r="BX943" s="235">
        <f t="shared" si="492"/>
        <v>42253519</v>
      </c>
      <c r="BY943" s="271"/>
      <c r="BZ943" s="271"/>
      <c r="CA943" s="271"/>
      <c r="CB943" s="271">
        <v>43859153</v>
      </c>
      <c r="CC943" s="271"/>
      <c r="CD943" s="271"/>
      <c r="CE943" s="271"/>
      <c r="CF943" s="271"/>
      <c r="CG943" s="271"/>
      <c r="CH943" s="271"/>
      <c r="CI943" s="271"/>
      <c r="CJ943" s="271"/>
      <c r="CK943" s="271"/>
      <c r="CL943" s="271"/>
      <c r="CM943" s="271"/>
      <c r="CN943" s="235">
        <f t="shared" si="493"/>
        <v>43859153</v>
      </c>
      <c r="CO943" s="271"/>
      <c r="CP943" s="271"/>
      <c r="CQ943" s="271"/>
      <c r="CR943" s="271">
        <v>45525800</v>
      </c>
      <c r="CS943" s="271"/>
      <c r="CT943" s="271"/>
      <c r="CU943" s="271"/>
      <c r="CV943" s="271"/>
      <c r="CW943" s="271"/>
      <c r="CX943" s="271"/>
      <c r="CY943" s="271"/>
      <c r="CZ943" s="271"/>
      <c r="DA943" s="271"/>
      <c r="DB943" s="271"/>
      <c r="DC943" s="271"/>
      <c r="DD943" s="234">
        <f t="shared" si="494"/>
        <v>45525800</v>
      </c>
      <c r="DE943" s="244">
        <f t="shared" si="496"/>
        <v>131638472</v>
      </c>
    </row>
    <row r="944" spans="1:110" s="98" customFormat="1" ht="119.1" customHeight="1">
      <c r="A944" s="103" t="s">
        <v>1250</v>
      </c>
      <c r="B944" s="279" t="s">
        <v>440</v>
      </c>
      <c r="C944" s="279" t="s">
        <v>2024</v>
      </c>
      <c r="D944" s="279">
        <v>86</v>
      </c>
      <c r="E944" s="279" t="s">
        <v>2701</v>
      </c>
      <c r="F944" s="280" t="s">
        <v>2031</v>
      </c>
      <c r="G944" s="279" t="s">
        <v>3238</v>
      </c>
      <c r="H944" s="279">
        <v>102</v>
      </c>
      <c r="I944" s="279" t="s">
        <v>2026</v>
      </c>
      <c r="J944" s="279" t="s">
        <v>683</v>
      </c>
      <c r="K944" s="279">
        <v>73</v>
      </c>
      <c r="L944" s="279" t="s">
        <v>2027</v>
      </c>
      <c r="M944" s="279" t="s">
        <v>2028</v>
      </c>
      <c r="N944" s="279" t="s">
        <v>2036</v>
      </c>
      <c r="O944" s="279" t="s">
        <v>2702</v>
      </c>
      <c r="P944" s="283">
        <v>828</v>
      </c>
      <c r="Q944" s="279" t="s">
        <v>2922</v>
      </c>
      <c r="R944" s="279" t="s">
        <v>2037</v>
      </c>
      <c r="S944" s="279" t="s">
        <v>683</v>
      </c>
      <c r="T944" s="279">
        <v>1</v>
      </c>
      <c r="U944" s="267">
        <v>10</v>
      </c>
      <c r="V944" s="267"/>
      <c r="W944" s="224">
        <v>10</v>
      </c>
      <c r="X944" s="267"/>
      <c r="Y944" s="267"/>
      <c r="Z944" s="267"/>
      <c r="AA944" s="267"/>
      <c r="AB944" s="224">
        <v>0</v>
      </c>
      <c r="AC944" s="267"/>
      <c r="AD944" s="267"/>
      <c r="AE944" s="267"/>
      <c r="AF944" s="267"/>
      <c r="AG944" s="224">
        <v>0</v>
      </c>
      <c r="AH944" s="267"/>
      <c r="AI944" s="267"/>
      <c r="AJ944" s="267"/>
      <c r="AK944" s="267"/>
      <c r="AL944" s="224">
        <v>0</v>
      </c>
      <c r="AM944" s="104">
        <v>10</v>
      </c>
      <c r="AN944" s="103" t="s">
        <v>685</v>
      </c>
      <c r="AO944" s="103" t="s">
        <v>1212</v>
      </c>
      <c r="AP944" s="103" t="s">
        <v>1229</v>
      </c>
      <c r="AQ944" s="103" t="s">
        <v>1207</v>
      </c>
      <c r="AR944" s="103" t="s">
        <v>951</v>
      </c>
      <c r="AS944" s="271"/>
      <c r="AT944" s="271"/>
      <c r="AU944" s="271"/>
      <c r="AV944" s="271">
        <v>40706666</v>
      </c>
      <c r="AW944" s="271"/>
      <c r="AX944" s="271"/>
      <c r="AY944" s="271"/>
      <c r="AZ944" s="271"/>
      <c r="BA944" s="271"/>
      <c r="BB944" s="271"/>
      <c r="BC944" s="271"/>
      <c r="BD944" s="271"/>
      <c r="BE944" s="271"/>
      <c r="BF944" s="271"/>
      <c r="BG944" s="271"/>
      <c r="BH944" s="235">
        <f t="shared" si="491"/>
        <v>40706666</v>
      </c>
      <c r="BI944" s="271"/>
      <c r="BJ944" s="271"/>
      <c r="BK944" s="271"/>
      <c r="BL944" s="271"/>
      <c r="BM944" s="271"/>
      <c r="BN944" s="271"/>
      <c r="BO944" s="271"/>
      <c r="BP944" s="271"/>
      <c r="BQ944" s="271"/>
      <c r="BR944" s="271"/>
      <c r="BS944" s="271"/>
      <c r="BT944" s="271"/>
      <c r="BU944" s="271"/>
      <c r="BV944" s="271"/>
      <c r="BW944" s="271"/>
      <c r="BX944" s="235">
        <f t="shared" si="492"/>
        <v>0</v>
      </c>
      <c r="BY944" s="271"/>
      <c r="BZ944" s="271"/>
      <c r="CA944" s="271"/>
      <c r="CB944" s="271"/>
      <c r="CC944" s="271"/>
      <c r="CD944" s="271"/>
      <c r="CE944" s="271"/>
      <c r="CF944" s="271"/>
      <c r="CG944" s="271"/>
      <c r="CH944" s="271"/>
      <c r="CI944" s="271"/>
      <c r="CJ944" s="271"/>
      <c r="CK944" s="271"/>
      <c r="CL944" s="271"/>
      <c r="CM944" s="271"/>
      <c r="CN944" s="235">
        <f t="shared" si="493"/>
        <v>0</v>
      </c>
      <c r="CO944" s="271"/>
      <c r="CP944" s="271"/>
      <c r="CQ944" s="271"/>
      <c r="CR944" s="271"/>
      <c r="CS944" s="271"/>
      <c r="CT944" s="271"/>
      <c r="CU944" s="271"/>
      <c r="CV944" s="271"/>
      <c r="CW944" s="271"/>
      <c r="CX944" s="271"/>
      <c r="CY944" s="271"/>
      <c r="CZ944" s="271"/>
      <c r="DA944" s="271"/>
      <c r="DB944" s="271"/>
      <c r="DC944" s="271"/>
      <c r="DD944" s="234">
        <f t="shared" si="494"/>
        <v>0</v>
      </c>
      <c r="DE944" s="244">
        <f t="shared" si="496"/>
        <v>40706666</v>
      </c>
    </row>
    <row r="945" spans="1:110" s="98" customFormat="1" ht="119.1" customHeight="1">
      <c r="A945" s="103" t="s">
        <v>1250</v>
      </c>
      <c r="B945" s="279" t="s">
        <v>440</v>
      </c>
      <c r="C945" s="279" t="s">
        <v>2024</v>
      </c>
      <c r="D945" s="279">
        <v>86</v>
      </c>
      <c r="E945" s="279" t="s">
        <v>2701</v>
      </c>
      <c r="F945" s="280" t="s">
        <v>2031</v>
      </c>
      <c r="G945" s="279" t="s">
        <v>3238</v>
      </c>
      <c r="H945" s="279">
        <v>102</v>
      </c>
      <c r="I945" s="279" t="s">
        <v>2026</v>
      </c>
      <c r="J945" s="279" t="s">
        <v>683</v>
      </c>
      <c r="K945" s="279">
        <v>73</v>
      </c>
      <c r="L945" s="279" t="s">
        <v>2027</v>
      </c>
      <c r="M945" s="279" t="s">
        <v>2038</v>
      </c>
      <c r="N945" s="279" t="s">
        <v>2039</v>
      </c>
      <c r="O945" s="279" t="s">
        <v>458</v>
      </c>
      <c r="P945" s="283">
        <v>829</v>
      </c>
      <c r="Q945" s="279" t="s">
        <v>3778</v>
      </c>
      <c r="R945" s="279" t="s">
        <v>2040</v>
      </c>
      <c r="S945" s="279" t="s">
        <v>683</v>
      </c>
      <c r="T945" s="279">
        <v>1</v>
      </c>
      <c r="U945" s="267"/>
      <c r="V945" s="267">
        <v>1</v>
      </c>
      <c r="W945" s="224">
        <v>1</v>
      </c>
      <c r="X945" s="267"/>
      <c r="Y945" s="267">
        <v>1</v>
      </c>
      <c r="Z945" s="267"/>
      <c r="AA945" s="267">
        <v>1</v>
      </c>
      <c r="AB945" s="224">
        <v>2</v>
      </c>
      <c r="AC945" s="267"/>
      <c r="AD945" s="267">
        <v>1</v>
      </c>
      <c r="AE945" s="267"/>
      <c r="AF945" s="267">
        <v>1</v>
      </c>
      <c r="AG945" s="224">
        <v>2</v>
      </c>
      <c r="AH945" s="267"/>
      <c r="AI945" s="267">
        <v>1</v>
      </c>
      <c r="AJ945" s="267">
        <v>1</v>
      </c>
      <c r="AK945" s="267">
        <v>1</v>
      </c>
      <c r="AL945" s="224">
        <v>3</v>
      </c>
      <c r="AM945" s="104">
        <v>8</v>
      </c>
      <c r="AN945" s="103" t="s">
        <v>685</v>
      </c>
      <c r="AO945" s="103" t="s">
        <v>1212</v>
      </c>
      <c r="AP945" s="103" t="s">
        <v>1229</v>
      </c>
      <c r="AQ945" s="103" t="s">
        <v>1207</v>
      </c>
      <c r="AR945" s="103" t="s">
        <v>943</v>
      </c>
      <c r="AS945" s="271"/>
      <c r="AT945" s="271"/>
      <c r="AU945" s="271"/>
      <c r="AV945" s="271">
        <v>1000000</v>
      </c>
      <c r="AW945" s="271"/>
      <c r="AX945" s="271"/>
      <c r="AY945" s="271"/>
      <c r="AZ945" s="271"/>
      <c r="BA945" s="271"/>
      <c r="BB945" s="271"/>
      <c r="BC945" s="271"/>
      <c r="BD945" s="271"/>
      <c r="BE945" s="271"/>
      <c r="BF945" s="271"/>
      <c r="BG945" s="271"/>
      <c r="BH945" s="235">
        <f t="shared" si="491"/>
        <v>1000000</v>
      </c>
      <c r="BI945" s="271"/>
      <c r="BJ945" s="271"/>
      <c r="BK945" s="271"/>
      <c r="BL945" s="271">
        <v>5000000</v>
      </c>
      <c r="BM945" s="271"/>
      <c r="BN945" s="271"/>
      <c r="BO945" s="271"/>
      <c r="BP945" s="271"/>
      <c r="BQ945" s="271"/>
      <c r="BR945" s="271"/>
      <c r="BS945" s="271"/>
      <c r="BT945" s="271"/>
      <c r="BU945" s="271"/>
      <c r="BV945" s="271"/>
      <c r="BW945" s="271"/>
      <c r="BX945" s="235">
        <f t="shared" si="492"/>
        <v>5000000</v>
      </c>
      <c r="BY945" s="271"/>
      <c r="BZ945" s="271"/>
      <c r="CA945" s="271"/>
      <c r="CB945" s="271">
        <v>5000000</v>
      </c>
      <c r="CC945" s="271"/>
      <c r="CD945" s="271"/>
      <c r="CE945" s="271"/>
      <c r="CF945" s="271"/>
      <c r="CG945" s="271"/>
      <c r="CH945" s="271"/>
      <c r="CI945" s="271"/>
      <c r="CJ945" s="271"/>
      <c r="CK945" s="271"/>
      <c r="CL945" s="271"/>
      <c r="CM945" s="271"/>
      <c r="CN945" s="235">
        <f t="shared" si="493"/>
        <v>5000000</v>
      </c>
      <c r="CO945" s="271"/>
      <c r="CP945" s="271"/>
      <c r="CQ945" s="271"/>
      <c r="CR945" s="271">
        <v>5000000</v>
      </c>
      <c r="CS945" s="271"/>
      <c r="CT945" s="271"/>
      <c r="CU945" s="271"/>
      <c r="CV945" s="271"/>
      <c r="CW945" s="271"/>
      <c r="CX945" s="271"/>
      <c r="CY945" s="271"/>
      <c r="CZ945" s="271"/>
      <c r="DA945" s="271"/>
      <c r="DB945" s="271"/>
      <c r="DC945" s="271"/>
      <c r="DD945" s="234">
        <f t="shared" si="494"/>
        <v>5000000</v>
      </c>
      <c r="DE945" s="244">
        <f t="shared" si="496"/>
        <v>16000000</v>
      </c>
    </row>
    <row r="946" spans="1:110" s="98" customFormat="1" ht="119.1" customHeight="1">
      <c r="A946" s="103" t="s">
        <v>1250</v>
      </c>
      <c r="B946" s="279" t="s">
        <v>440</v>
      </c>
      <c r="C946" s="279" t="s">
        <v>2024</v>
      </c>
      <c r="D946" s="279">
        <v>86</v>
      </c>
      <c r="E946" s="279" t="s">
        <v>2701</v>
      </c>
      <c r="F946" s="280" t="s">
        <v>2031</v>
      </c>
      <c r="G946" s="279" t="s">
        <v>3238</v>
      </c>
      <c r="H946" s="279">
        <v>102</v>
      </c>
      <c r="I946" s="279" t="s">
        <v>2026</v>
      </c>
      <c r="J946" s="279" t="s">
        <v>683</v>
      </c>
      <c r="K946" s="279">
        <v>73</v>
      </c>
      <c r="L946" s="279" t="s">
        <v>2027</v>
      </c>
      <c r="M946" s="279" t="s">
        <v>2038</v>
      </c>
      <c r="N946" s="279" t="s">
        <v>2039</v>
      </c>
      <c r="O946" s="279" t="s">
        <v>458</v>
      </c>
      <c r="P946" s="283">
        <v>830</v>
      </c>
      <c r="Q946" s="279" t="s">
        <v>3779</v>
      </c>
      <c r="R946" s="279" t="s">
        <v>2041</v>
      </c>
      <c r="S946" s="279" t="s">
        <v>683</v>
      </c>
      <c r="T946" s="104">
        <v>4420</v>
      </c>
      <c r="U946" s="267">
        <v>250</v>
      </c>
      <c r="V946" s="267">
        <v>250</v>
      </c>
      <c r="W946" s="224">
        <v>500</v>
      </c>
      <c r="X946" s="267">
        <v>337</v>
      </c>
      <c r="Y946" s="267">
        <v>347</v>
      </c>
      <c r="Z946" s="267">
        <v>337</v>
      </c>
      <c r="AA946" s="267">
        <v>337</v>
      </c>
      <c r="AB946" s="224">
        <v>1358</v>
      </c>
      <c r="AC946" s="267">
        <v>337</v>
      </c>
      <c r="AD946" s="267">
        <v>347</v>
      </c>
      <c r="AE946" s="267">
        <v>337</v>
      </c>
      <c r="AF946" s="267">
        <v>337</v>
      </c>
      <c r="AG946" s="224">
        <v>1358</v>
      </c>
      <c r="AH946" s="267">
        <v>337</v>
      </c>
      <c r="AI946" s="267">
        <v>347</v>
      </c>
      <c r="AJ946" s="267">
        <v>337</v>
      </c>
      <c r="AK946" s="267">
        <v>316</v>
      </c>
      <c r="AL946" s="224">
        <v>1337</v>
      </c>
      <c r="AM946" s="104">
        <v>4553</v>
      </c>
      <c r="AN946" s="103" t="s">
        <v>685</v>
      </c>
      <c r="AO946" s="103" t="s">
        <v>1212</v>
      </c>
      <c r="AP946" s="103" t="s">
        <v>1229</v>
      </c>
      <c r="AQ946" s="103" t="s">
        <v>1207</v>
      </c>
      <c r="AR946" s="103" t="s">
        <v>943</v>
      </c>
      <c r="AS946" s="271"/>
      <c r="AT946" s="271"/>
      <c r="AU946" s="271"/>
      <c r="AV946" s="271">
        <v>985605000</v>
      </c>
      <c r="AW946" s="271"/>
      <c r="AX946" s="271"/>
      <c r="AY946" s="271"/>
      <c r="AZ946" s="271"/>
      <c r="BA946" s="271"/>
      <c r="BB946" s="271"/>
      <c r="BC946" s="271"/>
      <c r="BD946" s="271"/>
      <c r="BE946" s="271"/>
      <c r="BF946" s="271"/>
      <c r="BG946" s="271"/>
      <c r="BH946" s="235">
        <f t="shared" si="491"/>
        <v>985605000</v>
      </c>
      <c r="BI946" s="271"/>
      <c r="BJ946" s="271"/>
      <c r="BK946" s="271"/>
      <c r="BL946" s="271">
        <v>1087315493.6700001</v>
      </c>
      <c r="BM946" s="271"/>
      <c r="BN946" s="271"/>
      <c r="BO946" s="271"/>
      <c r="BP946" s="271"/>
      <c r="BQ946" s="271"/>
      <c r="BR946" s="271"/>
      <c r="BS946" s="271"/>
      <c r="BT946" s="271"/>
      <c r="BU946" s="271"/>
      <c r="BV946" s="271"/>
      <c r="BW946" s="271"/>
      <c r="BX946" s="235">
        <f t="shared" si="492"/>
        <v>1087315493.6700001</v>
      </c>
      <c r="BY946" s="271"/>
      <c r="BZ946" s="271"/>
      <c r="CA946" s="271"/>
      <c r="CB946" s="271">
        <v>1156780282.3299999</v>
      </c>
      <c r="CC946" s="271"/>
      <c r="CD946" s="271"/>
      <c r="CE946" s="271"/>
      <c r="CF946" s="271"/>
      <c r="CG946" s="271"/>
      <c r="CH946" s="271"/>
      <c r="CI946" s="271"/>
      <c r="CJ946" s="271"/>
      <c r="CK946" s="271"/>
      <c r="CL946" s="271"/>
      <c r="CM946" s="271"/>
      <c r="CN946" s="235">
        <f t="shared" si="493"/>
        <v>1156780282.3299999</v>
      </c>
      <c r="CO946" s="271"/>
      <c r="CP946" s="271"/>
      <c r="CQ946" s="271"/>
      <c r="CR946" s="271">
        <v>1406891400</v>
      </c>
      <c r="CS946" s="271"/>
      <c r="CT946" s="271"/>
      <c r="CU946" s="271"/>
      <c r="CV946" s="271"/>
      <c r="CW946" s="271"/>
      <c r="CX946" s="271"/>
      <c r="CY946" s="271"/>
      <c r="CZ946" s="271"/>
      <c r="DA946" s="271"/>
      <c r="DB946" s="271"/>
      <c r="DC946" s="271"/>
      <c r="DD946" s="234">
        <f t="shared" si="494"/>
        <v>1406891400</v>
      </c>
      <c r="DE946" s="244">
        <f t="shared" si="496"/>
        <v>4636592176</v>
      </c>
    </row>
    <row r="947" spans="1:110" s="98" customFormat="1" ht="119.1" customHeight="1">
      <c r="A947" s="103" t="s">
        <v>1250</v>
      </c>
      <c r="B947" s="279" t="s">
        <v>440</v>
      </c>
      <c r="C947" s="279" t="s">
        <v>2024</v>
      </c>
      <c r="D947" s="279">
        <v>86</v>
      </c>
      <c r="E947" s="279" t="s">
        <v>2701</v>
      </c>
      <c r="F947" s="280" t="s">
        <v>2031</v>
      </c>
      <c r="G947" s="279" t="s">
        <v>3238</v>
      </c>
      <c r="H947" s="279">
        <v>102</v>
      </c>
      <c r="I947" s="279" t="s">
        <v>2026</v>
      </c>
      <c r="J947" s="279" t="s">
        <v>683</v>
      </c>
      <c r="K947" s="279">
        <v>73</v>
      </c>
      <c r="L947" s="279" t="s">
        <v>2027</v>
      </c>
      <c r="M947" s="279" t="s">
        <v>2038</v>
      </c>
      <c r="N947" s="279" t="s">
        <v>2039</v>
      </c>
      <c r="O947" s="279" t="s">
        <v>458</v>
      </c>
      <c r="P947" s="283">
        <v>831</v>
      </c>
      <c r="Q947" s="279" t="s">
        <v>3780</v>
      </c>
      <c r="R947" s="279" t="s">
        <v>2042</v>
      </c>
      <c r="S947" s="279" t="s">
        <v>683</v>
      </c>
      <c r="T947" s="104">
        <v>24463</v>
      </c>
      <c r="U947" s="267">
        <v>3000</v>
      </c>
      <c r="V947" s="267">
        <v>3000</v>
      </c>
      <c r="W947" s="224">
        <v>6000</v>
      </c>
      <c r="X947" s="267">
        <v>1600</v>
      </c>
      <c r="Y947" s="267">
        <v>1600</v>
      </c>
      <c r="Z947" s="267">
        <v>1600</v>
      </c>
      <c r="AA947" s="267">
        <v>1600</v>
      </c>
      <c r="AB947" s="224">
        <v>6400</v>
      </c>
      <c r="AC947" s="267">
        <v>1600</v>
      </c>
      <c r="AD947" s="267">
        <v>1600</v>
      </c>
      <c r="AE947" s="267">
        <v>1600</v>
      </c>
      <c r="AF947" s="267">
        <v>1600</v>
      </c>
      <c r="AG947" s="224">
        <v>6400</v>
      </c>
      <c r="AH947" s="267">
        <v>1600</v>
      </c>
      <c r="AI947" s="267">
        <v>1600</v>
      </c>
      <c r="AJ947" s="267">
        <v>1600</v>
      </c>
      <c r="AK947" s="267">
        <v>1597</v>
      </c>
      <c r="AL947" s="224">
        <v>6397</v>
      </c>
      <c r="AM947" s="104">
        <v>25197</v>
      </c>
      <c r="AN947" s="103" t="s">
        <v>685</v>
      </c>
      <c r="AO947" s="103" t="s">
        <v>1212</v>
      </c>
      <c r="AP947" s="103" t="s">
        <v>1229</v>
      </c>
      <c r="AQ947" s="103" t="s">
        <v>1207</v>
      </c>
      <c r="AR947" s="103" t="s">
        <v>943</v>
      </c>
      <c r="AS947" s="271"/>
      <c r="AT947" s="271"/>
      <c r="AU947" s="271"/>
      <c r="AV947" s="271">
        <v>986605000</v>
      </c>
      <c r="AW947" s="271"/>
      <c r="AX947" s="271"/>
      <c r="AY947" s="271"/>
      <c r="AZ947" s="271"/>
      <c r="BA947" s="271"/>
      <c r="BB947" s="271"/>
      <c r="BC947" s="271"/>
      <c r="BD947" s="271"/>
      <c r="BE947" s="271"/>
      <c r="BF947" s="271"/>
      <c r="BG947" s="271"/>
      <c r="BH947" s="235">
        <f t="shared" si="491"/>
        <v>986605000</v>
      </c>
      <c r="BI947" s="271"/>
      <c r="BJ947" s="271"/>
      <c r="BK947" s="271"/>
      <c r="BL947" s="271">
        <v>1087315493.6700001</v>
      </c>
      <c r="BM947" s="271"/>
      <c r="BN947" s="271"/>
      <c r="BO947" s="271"/>
      <c r="BP947" s="271"/>
      <c r="BQ947" s="271"/>
      <c r="BR947" s="271"/>
      <c r="BS947" s="271"/>
      <c r="BT947" s="271"/>
      <c r="BU947" s="271"/>
      <c r="BV947" s="271"/>
      <c r="BW947" s="271"/>
      <c r="BX947" s="235">
        <f t="shared" si="492"/>
        <v>1087315493.6700001</v>
      </c>
      <c r="BY947" s="271"/>
      <c r="BZ947" s="271"/>
      <c r="CA947" s="271"/>
      <c r="CB947" s="271">
        <v>1156780282.3299999</v>
      </c>
      <c r="CC947" s="271"/>
      <c r="CD947" s="271"/>
      <c r="CE947" s="271"/>
      <c r="CF947" s="271"/>
      <c r="CG947" s="271"/>
      <c r="CH947" s="271"/>
      <c r="CI947" s="271"/>
      <c r="CJ947" s="271"/>
      <c r="CK947" s="271"/>
      <c r="CL947" s="271"/>
      <c r="CM947" s="271"/>
      <c r="CN947" s="235">
        <f t="shared" si="493"/>
        <v>1156780282.3299999</v>
      </c>
      <c r="CO947" s="271"/>
      <c r="CP947" s="271"/>
      <c r="CQ947" s="271"/>
      <c r="CR947" s="271">
        <v>1406891400</v>
      </c>
      <c r="CS947" s="271"/>
      <c r="CT947" s="271"/>
      <c r="CU947" s="271"/>
      <c r="CV947" s="271"/>
      <c r="CW947" s="271"/>
      <c r="CX947" s="271"/>
      <c r="CY947" s="271"/>
      <c r="CZ947" s="271"/>
      <c r="DA947" s="271"/>
      <c r="DB947" s="271"/>
      <c r="DC947" s="271"/>
      <c r="DD947" s="234">
        <f t="shared" si="494"/>
        <v>1406891400</v>
      </c>
      <c r="DE947" s="244">
        <f t="shared" si="496"/>
        <v>4637592176</v>
      </c>
    </row>
    <row r="948" spans="1:110" s="98" customFormat="1" ht="119.1" customHeight="1">
      <c r="A948" s="103" t="s">
        <v>1250</v>
      </c>
      <c r="B948" s="279" t="s">
        <v>440</v>
      </c>
      <c r="C948" s="279" t="s">
        <v>2024</v>
      </c>
      <c r="D948" s="279">
        <v>86</v>
      </c>
      <c r="E948" s="279" t="s">
        <v>2701</v>
      </c>
      <c r="F948" s="280" t="s">
        <v>2031</v>
      </c>
      <c r="G948" s="279" t="s">
        <v>3238</v>
      </c>
      <c r="H948" s="279">
        <v>102</v>
      </c>
      <c r="I948" s="279" t="s">
        <v>2026</v>
      </c>
      <c r="J948" s="279" t="s">
        <v>683</v>
      </c>
      <c r="K948" s="279">
        <v>73</v>
      </c>
      <c r="L948" s="279" t="s">
        <v>2027</v>
      </c>
      <c r="M948" s="279" t="s">
        <v>2038</v>
      </c>
      <c r="N948" s="279" t="s">
        <v>2039</v>
      </c>
      <c r="O948" s="279" t="s">
        <v>458</v>
      </c>
      <c r="P948" s="283">
        <v>832</v>
      </c>
      <c r="Q948" s="279" t="s">
        <v>3781</v>
      </c>
      <c r="R948" s="279" t="s">
        <v>2043</v>
      </c>
      <c r="S948" s="279" t="s">
        <v>683</v>
      </c>
      <c r="T948" s="104">
        <v>9852</v>
      </c>
      <c r="U948" s="267">
        <v>1000</v>
      </c>
      <c r="V948" s="267">
        <v>1000</v>
      </c>
      <c r="W948" s="224">
        <v>2000</v>
      </c>
      <c r="X948" s="267">
        <v>663</v>
      </c>
      <c r="Y948" s="267">
        <v>663</v>
      </c>
      <c r="Z948" s="267">
        <v>663</v>
      </c>
      <c r="AA948" s="267">
        <v>663</v>
      </c>
      <c r="AB948" s="224">
        <v>2652</v>
      </c>
      <c r="AC948" s="267">
        <v>663</v>
      </c>
      <c r="AD948" s="267">
        <v>663</v>
      </c>
      <c r="AE948" s="267">
        <v>663</v>
      </c>
      <c r="AF948" s="267">
        <v>663</v>
      </c>
      <c r="AG948" s="224">
        <v>2652</v>
      </c>
      <c r="AH948" s="267">
        <v>663</v>
      </c>
      <c r="AI948" s="267">
        <v>663</v>
      </c>
      <c r="AJ948" s="267">
        <v>663</v>
      </c>
      <c r="AK948" s="267">
        <v>658</v>
      </c>
      <c r="AL948" s="224">
        <v>2647</v>
      </c>
      <c r="AM948" s="104">
        <v>9951</v>
      </c>
      <c r="AN948" s="103" t="s">
        <v>685</v>
      </c>
      <c r="AO948" s="103" t="s">
        <v>1212</v>
      </c>
      <c r="AP948" s="103" t="s">
        <v>1229</v>
      </c>
      <c r="AQ948" s="103" t="s">
        <v>1207</v>
      </c>
      <c r="AR948" s="103" t="s">
        <v>943</v>
      </c>
      <c r="AS948" s="271"/>
      <c r="AT948" s="271"/>
      <c r="AU948" s="271"/>
      <c r="AV948" s="271">
        <v>930898334</v>
      </c>
      <c r="AW948" s="271"/>
      <c r="AX948" s="271"/>
      <c r="AY948" s="271"/>
      <c r="AZ948" s="271"/>
      <c r="BA948" s="271"/>
      <c r="BB948" s="271"/>
      <c r="BC948" s="271"/>
      <c r="BD948" s="271"/>
      <c r="BE948" s="271"/>
      <c r="BF948" s="271"/>
      <c r="BG948" s="271"/>
      <c r="BH948" s="235">
        <f t="shared" si="491"/>
        <v>930898334</v>
      </c>
      <c r="BI948" s="271"/>
      <c r="BJ948" s="271"/>
      <c r="BK948" s="271"/>
      <c r="BL948" s="271">
        <v>1087315493.6600001</v>
      </c>
      <c r="BM948" s="271"/>
      <c r="BN948" s="271"/>
      <c r="BO948" s="271"/>
      <c r="BP948" s="271"/>
      <c r="BQ948" s="271"/>
      <c r="BR948" s="271"/>
      <c r="BS948" s="271"/>
      <c r="BT948" s="271"/>
      <c r="BU948" s="271"/>
      <c r="BV948" s="271"/>
      <c r="BW948" s="271"/>
      <c r="BX948" s="235">
        <f t="shared" si="492"/>
        <v>1087315493.6600001</v>
      </c>
      <c r="BY948" s="271"/>
      <c r="BZ948" s="271"/>
      <c r="CA948" s="271"/>
      <c r="CB948" s="271">
        <v>1156780282.3399999</v>
      </c>
      <c r="CC948" s="271"/>
      <c r="CD948" s="271"/>
      <c r="CE948" s="271"/>
      <c r="CF948" s="271"/>
      <c r="CG948" s="271"/>
      <c r="CH948" s="271"/>
      <c r="CI948" s="271"/>
      <c r="CJ948" s="271"/>
      <c r="CK948" s="271"/>
      <c r="CL948" s="271"/>
      <c r="CM948" s="271"/>
      <c r="CN948" s="235">
        <f t="shared" si="493"/>
        <v>1156780282.3399999</v>
      </c>
      <c r="CO948" s="271"/>
      <c r="CP948" s="271"/>
      <c r="CQ948" s="271"/>
      <c r="CR948" s="271">
        <v>1406891400</v>
      </c>
      <c r="CS948" s="271"/>
      <c r="CT948" s="271"/>
      <c r="CU948" s="271"/>
      <c r="CV948" s="271"/>
      <c r="CW948" s="271"/>
      <c r="CX948" s="271"/>
      <c r="CY948" s="271"/>
      <c r="CZ948" s="271"/>
      <c r="DA948" s="271"/>
      <c r="DB948" s="271"/>
      <c r="DC948" s="271"/>
      <c r="DD948" s="234">
        <f t="shared" si="494"/>
        <v>1406891400</v>
      </c>
      <c r="DE948" s="244">
        <f t="shared" si="496"/>
        <v>4581885510</v>
      </c>
    </row>
    <row r="949" spans="1:110" s="98" customFormat="1" ht="119.1" customHeight="1">
      <c r="A949" s="103" t="s">
        <v>1250</v>
      </c>
      <c r="B949" s="279" t="s">
        <v>440</v>
      </c>
      <c r="C949" s="279" t="s">
        <v>2024</v>
      </c>
      <c r="D949" s="279">
        <v>86</v>
      </c>
      <c r="E949" s="279" t="s">
        <v>2701</v>
      </c>
      <c r="F949" s="280" t="s">
        <v>2031</v>
      </c>
      <c r="G949" s="279" t="s">
        <v>3238</v>
      </c>
      <c r="H949" s="279">
        <v>102</v>
      </c>
      <c r="I949" s="279" t="s">
        <v>2026</v>
      </c>
      <c r="J949" s="279" t="s">
        <v>683</v>
      </c>
      <c r="K949" s="279">
        <v>73</v>
      </c>
      <c r="L949" s="279" t="s">
        <v>2027</v>
      </c>
      <c r="M949" s="279" t="s">
        <v>2038</v>
      </c>
      <c r="N949" s="279" t="s">
        <v>2039</v>
      </c>
      <c r="O949" s="279" t="s">
        <v>458</v>
      </c>
      <c r="P949" s="283">
        <v>833</v>
      </c>
      <c r="Q949" s="279" t="s">
        <v>3782</v>
      </c>
      <c r="R949" s="279" t="s">
        <v>2044</v>
      </c>
      <c r="S949" s="279" t="s">
        <v>683</v>
      </c>
      <c r="T949" s="279">
        <v>0</v>
      </c>
      <c r="U949" s="267">
        <v>0.5</v>
      </c>
      <c r="V949" s="267">
        <v>0.5</v>
      </c>
      <c r="W949" s="224">
        <v>1</v>
      </c>
      <c r="X949" s="267">
        <v>0.25</v>
      </c>
      <c r="Y949" s="267">
        <v>0.25</v>
      </c>
      <c r="Z949" s="267">
        <v>0.25</v>
      </c>
      <c r="AA949" s="267">
        <v>0.25</v>
      </c>
      <c r="AB949" s="224">
        <v>1</v>
      </c>
      <c r="AC949" s="267">
        <v>0.25</v>
      </c>
      <c r="AD949" s="267">
        <v>0.25</v>
      </c>
      <c r="AE949" s="267">
        <v>0.25</v>
      </c>
      <c r="AF949" s="267">
        <v>0.25</v>
      </c>
      <c r="AG949" s="224">
        <v>1</v>
      </c>
      <c r="AH949" s="267"/>
      <c r="AI949" s="267"/>
      <c r="AJ949" s="267"/>
      <c r="AK949" s="267"/>
      <c r="AL949" s="224">
        <v>0</v>
      </c>
      <c r="AM949" s="104">
        <v>3</v>
      </c>
      <c r="AN949" s="103" t="s">
        <v>685</v>
      </c>
      <c r="AO949" s="103" t="s">
        <v>1212</v>
      </c>
      <c r="AP949" s="103" t="s">
        <v>1229</v>
      </c>
      <c r="AQ949" s="103" t="s">
        <v>1207</v>
      </c>
      <c r="AR949" s="103" t="s">
        <v>952</v>
      </c>
      <c r="AS949" s="271"/>
      <c r="AT949" s="271"/>
      <c r="AU949" s="271"/>
      <c r="AV949" s="271">
        <v>15000000</v>
      </c>
      <c r="AW949" s="271"/>
      <c r="AX949" s="271"/>
      <c r="AY949" s="271"/>
      <c r="AZ949" s="271"/>
      <c r="BA949" s="271"/>
      <c r="BB949" s="271"/>
      <c r="BC949" s="271"/>
      <c r="BD949" s="271"/>
      <c r="BE949" s="271"/>
      <c r="BF949" s="271"/>
      <c r="BG949" s="271"/>
      <c r="BH949" s="235">
        <f t="shared" si="491"/>
        <v>15000000</v>
      </c>
      <c r="BI949" s="271"/>
      <c r="BJ949" s="271"/>
      <c r="BK949" s="271"/>
      <c r="BL949" s="271">
        <v>30000000</v>
      </c>
      <c r="BM949" s="271"/>
      <c r="BN949" s="271"/>
      <c r="BO949" s="271"/>
      <c r="BP949" s="271"/>
      <c r="BQ949" s="271"/>
      <c r="BR949" s="271"/>
      <c r="BS949" s="271"/>
      <c r="BT949" s="271"/>
      <c r="BU949" s="271"/>
      <c r="BV949" s="271"/>
      <c r="BW949" s="271"/>
      <c r="BX949" s="235">
        <f t="shared" si="492"/>
        <v>30000000</v>
      </c>
      <c r="BY949" s="271"/>
      <c r="BZ949" s="271"/>
      <c r="CA949" s="271"/>
      <c r="CB949" s="271">
        <v>30000000</v>
      </c>
      <c r="CC949" s="271"/>
      <c r="CD949" s="271"/>
      <c r="CE949" s="271"/>
      <c r="CF949" s="271"/>
      <c r="CG949" s="271"/>
      <c r="CH949" s="271"/>
      <c r="CI949" s="271"/>
      <c r="CJ949" s="271"/>
      <c r="CK949" s="271"/>
      <c r="CL949" s="271"/>
      <c r="CM949" s="271"/>
      <c r="CN949" s="235">
        <f t="shared" si="493"/>
        <v>30000000</v>
      </c>
      <c r="CO949" s="271"/>
      <c r="CP949" s="271"/>
      <c r="CQ949" s="271"/>
      <c r="CR949" s="271"/>
      <c r="CS949" s="271"/>
      <c r="CT949" s="271"/>
      <c r="CU949" s="271"/>
      <c r="CV949" s="271"/>
      <c r="CW949" s="271"/>
      <c r="CX949" s="271"/>
      <c r="CY949" s="271"/>
      <c r="CZ949" s="271"/>
      <c r="DA949" s="271"/>
      <c r="DB949" s="271"/>
      <c r="DC949" s="271"/>
      <c r="DD949" s="234">
        <f t="shared" si="494"/>
        <v>0</v>
      </c>
      <c r="DE949" s="244">
        <f t="shared" si="496"/>
        <v>75000000</v>
      </c>
    </row>
    <row r="950" spans="1:110" s="98" customFormat="1" ht="119.1" customHeight="1">
      <c r="A950" s="120" t="s">
        <v>1250</v>
      </c>
      <c r="B950" s="281" t="s">
        <v>440</v>
      </c>
      <c r="C950" s="281" t="s">
        <v>2024</v>
      </c>
      <c r="D950" s="281">
        <v>86</v>
      </c>
      <c r="E950" s="281" t="s">
        <v>2701</v>
      </c>
      <c r="F950" s="282" t="s">
        <v>2031</v>
      </c>
      <c r="G950" s="281" t="s">
        <v>3238</v>
      </c>
      <c r="H950" s="281">
        <v>102</v>
      </c>
      <c r="I950" s="281" t="s">
        <v>2026</v>
      </c>
      <c r="J950" s="281" t="s">
        <v>683</v>
      </c>
      <c r="K950" s="281">
        <v>73</v>
      </c>
      <c r="L950" s="281" t="s">
        <v>2027</v>
      </c>
      <c r="M950" s="281" t="s">
        <v>2038</v>
      </c>
      <c r="N950" s="281" t="s">
        <v>2039</v>
      </c>
      <c r="O950" s="281" t="s">
        <v>458</v>
      </c>
      <c r="P950" s="283">
        <v>834</v>
      </c>
      <c r="Q950" s="281" t="s">
        <v>3783</v>
      </c>
      <c r="R950" s="281" t="s">
        <v>2045</v>
      </c>
      <c r="S950" s="281" t="s">
        <v>683</v>
      </c>
      <c r="T950" s="281">
        <v>0</v>
      </c>
      <c r="U950" s="275"/>
      <c r="V950" s="275"/>
      <c r="W950" s="225">
        <v>0</v>
      </c>
      <c r="X950" s="275"/>
      <c r="Y950" s="275"/>
      <c r="Z950" s="275">
        <v>1</v>
      </c>
      <c r="AA950" s="275">
        <v>1</v>
      </c>
      <c r="AB950" s="225">
        <v>2</v>
      </c>
      <c r="AC950" s="275"/>
      <c r="AD950" s="275"/>
      <c r="AE950" s="275">
        <v>1</v>
      </c>
      <c r="AF950" s="275">
        <v>1</v>
      </c>
      <c r="AG950" s="225">
        <v>2</v>
      </c>
      <c r="AH950" s="275"/>
      <c r="AI950" s="275">
        <v>1</v>
      </c>
      <c r="AJ950" s="275"/>
      <c r="AK950" s="275"/>
      <c r="AL950" s="225">
        <v>1</v>
      </c>
      <c r="AM950" s="119">
        <v>5</v>
      </c>
      <c r="AN950" s="120" t="s">
        <v>685</v>
      </c>
      <c r="AO950" s="120" t="s">
        <v>1212</v>
      </c>
      <c r="AP950" s="120" t="s">
        <v>1229</v>
      </c>
      <c r="AQ950" s="120" t="s">
        <v>1207</v>
      </c>
      <c r="AR950" s="120" t="s">
        <v>951</v>
      </c>
      <c r="AS950" s="276"/>
      <c r="AT950" s="276"/>
      <c r="AU950" s="276"/>
      <c r="AV950" s="276"/>
      <c r="AW950" s="276"/>
      <c r="AX950" s="276"/>
      <c r="AY950" s="276"/>
      <c r="AZ950" s="276"/>
      <c r="BA950" s="276"/>
      <c r="BB950" s="276"/>
      <c r="BC950" s="276"/>
      <c r="BD950" s="276"/>
      <c r="BE950" s="276"/>
      <c r="BF950" s="276"/>
      <c r="BG950" s="276"/>
      <c r="BH950" s="236">
        <f t="shared" si="491"/>
        <v>0</v>
      </c>
      <c r="BI950" s="276"/>
      <c r="BJ950" s="276"/>
      <c r="BK950" s="276"/>
      <c r="BL950" s="276">
        <v>24000000</v>
      </c>
      <c r="BM950" s="276"/>
      <c r="BN950" s="276"/>
      <c r="BO950" s="276"/>
      <c r="BP950" s="276"/>
      <c r="BQ950" s="276"/>
      <c r="BR950" s="276"/>
      <c r="BS950" s="276"/>
      <c r="BT950" s="276"/>
      <c r="BU950" s="276"/>
      <c r="BV950" s="276"/>
      <c r="BW950" s="276"/>
      <c r="BX950" s="236">
        <f t="shared" si="492"/>
        <v>24000000</v>
      </c>
      <c r="BY950" s="276"/>
      <c r="BZ950" s="276"/>
      <c r="CA950" s="276"/>
      <c r="CB950" s="276">
        <v>24000000</v>
      </c>
      <c r="CC950" s="276"/>
      <c r="CD950" s="276"/>
      <c r="CE950" s="276"/>
      <c r="CF950" s="276"/>
      <c r="CG950" s="276"/>
      <c r="CH950" s="276"/>
      <c r="CI950" s="276"/>
      <c r="CJ950" s="276"/>
      <c r="CK950" s="276"/>
      <c r="CL950" s="276"/>
      <c r="CM950" s="276"/>
      <c r="CN950" s="236">
        <f t="shared" si="493"/>
        <v>24000000</v>
      </c>
      <c r="CO950" s="276"/>
      <c r="CP950" s="276"/>
      <c r="CQ950" s="276"/>
      <c r="CR950" s="276">
        <v>12000000</v>
      </c>
      <c r="CS950" s="276"/>
      <c r="CT950" s="276"/>
      <c r="CU950" s="276"/>
      <c r="CV950" s="276"/>
      <c r="CW950" s="276"/>
      <c r="CX950" s="276"/>
      <c r="CY950" s="276"/>
      <c r="CZ950" s="276"/>
      <c r="DA950" s="276"/>
      <c r="DB950" s="276"/>
      <c r="DC950" s="276"/>
      <c r="DD950" s="240">
        <f t="shared" si="494"/>
        <v>12000000</v>
      </c>
      <c r="DE950" s="245">
        <f t="shared" si="496"/>
        <v>60000000</v>
      </c>
    </row>
    <row r="951" spans="1:110" ht="65.099999999999994" customHeight="1">
      <c r="A951" s="134" t="s">
        <v>1250</v>
      </c>
      <c r="B951" s="134" t="s">
        <v>440</v>
      </c>
      <c r="C951" s="134" t="s">
        <v>2024</v>
      </c>
      <c r="D951" s="134">
        <v>86</v>
      </c>
      <c r="E951" s="134" t="s">
        <v>2701</v>
      </c>
      <c r="F951" s="135"/>
      <c r="G951" s="136"/>
      <c r="H951" s="137"/>
      <c r="I951" s="137"/>
      <c r="J951" s="137"/>
      <c r="K951" s="138"/>
      <c r="L951" s="137"/>
      <c r="M951" s="137"/>
      <c r="N951" s="137"/>
      <c r="O951" s="137"/>
      <c r="P951" s="137"/>
      <c r="Q951" s="136"/>
      <c r="R951" s="139"/>
      <c r="S951" s="137"/>
      <c r="T951" s="137"/>
      <c r="U951" s="140"/>
      <c r="V951" s="140"/>
      <c r="W951" s="138"/>
      <c r="X951" s="140"/>
      <c r="Y951" s="140"/>
      <c r="Z951" s="140"/>
      <c r="AA951" s="140"/>
      <c r="AB951" s="138"/>
      <c r="AC951" s="140"/>
      <c r="AD951" s="140"/>
      <c r="AE951" s="140"/>
      <c r="AF951" s="140"/>
      <c r="AG951" s="138"/>
      <c r="AH951" s="140"/>
      <c r="AI951" s="140"/>
      <c r="AJ951" s="140"/>
      <c r="AK951" s="140"/>
      <c r="AL951" s="138"/>
      <c r="AM951" s="141"/>
      <c r="AN951" s="142"/>
      <c r="AO951" s="142"/>
      <c r="AP951" s="143"/>
      <c r="AQ951" s="143"/>
      <c r="AR951" s="144"/>
      <c r="AS951" s="132">
        <f>SUM(AS938:AS950)</f>
        <v>0</v>
      </c>
      <c r="AT951" s="132">
        <f t="shared" ref="AT951:DE951" si="497">SUM(AT938:AT950)</f>
        <v>0</v>
      </c>
      <c r="AU951" s="132">
        <f t="shared" si="497"/>
        <v>0</v>
      </c>
      <c r="AV951" s="132">
        <f t="shared" si="497"/>
        <v>4000000000</v>
      </c>
      <c r="AW951" s="132">
        <f t="shared" si="497"/>
        <v>0</v>
      </c>
      <c r="AX951" s="132">
        <f t="shared" si="497"/>
        <v>0</v>
      </c>
      <c r="AY951" s="132">
        <f t="shared" si="497"/>
        <v>0</v>
      </c>
      <c r="AZ951" s="132">
        <f t="shared" si="497"/>
        <v>0</v>
      </c>
      <c r="BA951" s="132">
        <f t="shared" si="497"/>
        <v>0</v>
      </c>
      <c r="BB951" s="132">
        <f t="shared" si="497"/>
        <v>0</v>
      </c>
      <c r="BC951" s="132">
        <f t="shared" si="497"/>
        <v>0</v>
      </c>
      <c r="BD951" s="132">
        <f t="shared" si="497"/>
        <v>0</v>
      </c>
      <c r="BE951" s="132">
        <f t="shared" si="497"/>
        <v>0</v>
      </c>
      <c r="BF951" s="132">
        <f t="shared" si="497"/>
        <v>0</v>
      </c>
      <c r="BG951" s="132">
        <f t="shared" si="497"/>
        <v>0</v>
      </c>
      <c r="BH951" s="133">
        <f>IF(OR(AND(BH938=0,W938&lt;&gt;0),AND(BH939=0,W939&lt;&gt;0),AND(BH940=0,W940&lt;&gt;0),AND(BH941=0,W941&lt;&gt;0),AND(BH942=0,W942&lt;&gt;0),AND(BH943=0,W943&lt;&gt;0),AND(BH944=0,W944&lt;&gt;0),AND(BH945=0,W945&lt;&gt;0),AND(BH946=0,W946&lt;&gt;0),AND(BH947=0,W947&lt;&gt;0),AND(BH948=0,W948&lt;&gt;0),AND(BH949=0,W949&lt;&gt;0),AND(BH950=0,W950&lt;&gt;0)),"NO DEBEN QUEDAR CELDAS EN ROJO",SUM(BH938:BH950))</f>
        <v>4000000000</v>
      </c>
      <c r="BI951" s="132">
        <f t="shared" si="497"/>
        <v>0</v>
      </c>
      <c r="BJ951" s="132">
        <f t="shared" si="497"/>
        <v>0</v>
      </c>
      <c r="BK951" s="132">
        <f t="shared" si="497"/>
        <v>0</v>
      </c>
      <c r="BL951" s="132">
        <f t="shared" si="497"/>
        <v>4200000000</v>
      </c>
      <c r="BM951" s="132">
        <f t="shared" si="497"/>
        <v>600000000</v>
      </c>
      <c r="BN951" s="132">
        <f t="shared" si="497"/>
        <v>0</v>
      </c>
      <c r="BO951" s="132">
        <f t="shared" si="497"/>
        <v>0</v>
      </c>
      <c r="BP951" s="132">
        <f t="shared" si="497"/>
        <v>0</v>
      </c>
      <c r="BQ951" s="132">
        <f t="shared" si="497"/>
        <v>0</v>
      </c>
      <c r="BR951" s="132">
        <f t="shared" si="497"/>
        <v>0</v>
      </c>
      <c r="BS951" s="132">
        <f t="shared" si="497"/>
        <v>0</v>
      </c>
      <c r="BT951" s="132">
        <f t="shared" si="497"/>
        <v>0</v>
      </c>
      <c r="BU951" s="132">
        <f t="shared" si="497"/>
        <v>0</v>
      </c>
      <c r="BV951" s="132">
        <f t="shared" si="497"/>
        <v>0</v>
      </c>
      <c r="BW951" s="132">
        <f t="shared" si="497"/>
        <v>0</v>
      </c>
      <c r="BX951" s="133">
        <f>IF(OR(AND(BX938=0,AB938&lt;&gt;0),AND(BX939=0,AB939&lt;&gt;0),AND(BX940=0,AB940&lt;&gt;0),AND(BX941=0,AB941&lt;&gt;0),AND(BX942=0,AB942&lt;&gt;0),AND(BX943=0,AB943&lt;&gt;0),AND(BX944=0,AB944&lt;&gt;0),AND(BX945=0,AB945&lt;&gt;0),AND(BX946=0,AB946&lt;&gt;0),AND(BX947=0,AB947&lt;&gt;0),AND(BX948=0,AB948&lt;&gt;0),AND(BX949=0,AB949&lt;&gt;0),AND(BX950=0,AB950&lt;&gt;0)),"NO DEBEN QUEDAR CELDAS EN ROJO",SUM(BX938:BX950))</f>
        <v>4800000000</v>
      </c>
      <c r="BY951" s="132">
        <f t="shared" si="497"/>
        <v>0</v>
      </c>
      <c r="BZ951" s="132">
        <f t="shared" si="497"/>
        <v>0</v>
      </c>
      <c r="CA951" s="132">
        <f t="shared" si="497"/>
        <v>0</v>
      </c>
      <c r="CB951" s="132">
        <f t="shared" si="497"/>
        <v>4410000000</v>
      </c>
      <c r="CC951" s="132">
        <f t="shared" si="497"/>
        <v>630000000</v>
      </c>
      <c r="CD951" s="132">
        <f t="shared" si="497"/>
        <v>0</v>
      </c>
      <c r="CE951" s="132">
        <f t="shared" si="497"/>
        <v>0</v>
      </c>
      <c r="CF951" s="132">
        <f t="shared" si="497"/>
        <v>0</v>
      </c>
      <c r="CG951" s="132">
        <f t="shared" si="497"/>
        <v>0</v>
      </c>
      <c r="CH951" s="132">
        <f t="shared" si="497"/>
        <v>0</v>
      </c>
      <c r="CI951" s="132">
        <f t="shared" si="497"/>
        <v>0</v>
      </c>
      <c r="CJ951" s="132">
        <f t="shared" si="497"/>
        <v>0</v>
      </c>
      <c r="CK951" s="132">
        <f t="shared" si="497"/>
        <v>0</v>
      </c>
      <c r="CL951" s="132">
        <f t="shared" si="497"/>
        <v>0</v>
      </c>
      <c r="CM951" s="132">
        <f t="shared" si="497"/>
        <v>0</v>
      </c>
      <c r="CN951" s="133">
        <f>IF(OR(AND(CN938=0,AG938&lt;&gt;0),AND(CN939=0,AG939&lt;&gt;0),AND(CN940=0,AG940&lt;&gt;0),AND(CN941=0,AG941&lt;&gt;0),AND(CN942=0,AG942&lt;&gt;0),AND(CN943=0,AG943&lt;&gt;0),AND(CN944=0,AG944&lt;&gt;0),AND(CN945=0,AG945&lt;&gt;0),AND(CN946=0,AG946&lt;&gt;0),AND(CN947=0,AG947&lt;&gt;0),AND(CN948=0,AG948&lt;&gt;0),AND(CN949=0,AG949&lt;&gt;0),AND(CN950=0,AG950&lt;&gt;0)),"NO DEBEN QUEDAR CELDAS EN ROJO",SUM(CN938:CN950))</f>
        <v>5040000000</v>
      </c>
      <c r="CO951" s="132">
        <f t="shared" si="497"/>
        <v>0</v>
      </c>
      <c r="CP951" s="132">
        <f t="shared" si="497"/>
        <v>0</v>
      </c>
      <c r="CQ951" s="132">
        <f t="shared" si="497"/>
        <v>0</v>
      </c>
      <c r="CR951" s="132">
        <f t="shared" si="497"/>
        <v>4520000000</v>
      </c>
      <c r="CS951" s="132">
        <f t="shared" si="497"/>
        <v>661500000</v>
      </c>
      <c r="CT951" s="132">
        <f t="shared" si="497"/>
        <v>0</v>
      </c>
      <c r="CU951" s="132">
        <f t="shared" si="497"/>
        <v>0</v>
      </c>
      <c r="CV951" s="132">
        <f t="shared" si="497"/>
        <v>0</v>
      </c>
      <c r="CW951" s="132">
        <f t="shared" si="497"/>
        <v>0</v>
      </c>
      <c r="CX951" s="132">
        <f t="shared" si="497"/>
        <v>0</v>
      </c>
      <c r="CY951" s="132">
        <f t="shared" si="497"/>
        <v>0</v>
      </c>
      <c r="CZ951" s="132">
        <f t="shared" si="497"/>
        <v>0</v>
      </c>
      <c r="DA951" s="132">
        <f t="shared" si="497"/>
        <v>0</v>
      </c>
      <c r="DB951" s="132">
        <f t="shared" si="497"/>
        <v>0</v>
      </c>
      <c r="DC951" s="132">
        <f t="shared" si="497"/>
        <v>0</v>
      </c>
      <c r="DD951" s="133">
        <f>IF(OR(AND(DD938=0,AL938&lt;&gt;0),AND(DD939=0,AL939&lt;&gt;0),AND(DD940=0,AL940&lt;&gt;0),AND(DD941=0,AL941&lt;&gt;0),AND(DD942=0,AL942&lt;&gt;0),AND(DD943=0,AL943&lt;&gt;0),AND(DD944=0,AL944&lt;&gt;0),AND(DD945=0,AL945&lt;&gt;0),AND(DD946=0,AL946&lt;&gt;0),AND(DD947=0,AL947&lt;&gt;0),AND(DD948=0,AL948&lt;&gt;0),AND(DD949=0,AL949&lt;&gt;0),AND(DD950=0,AL950&lt;&gt;0)),"NO DEBEN QUEDAR CELDAS EN ROJO",SUM(DD938:DD950))</f>
        <v>5181500000</v>
      </c>
      <c r="DE951" s="133">
        <f t="shared" si="497"/>
        <v>19021500000</v>
      </c>
      <c r="DF951" s="101"/>
    </row>
    <row r="952" spans="1:110" s="98" customFormat="1" ht="119.1" customHeight="1">
      <c r="A952" s="103" t="s">
        <v>1240</v>
      </c>
      <c r="B952" s="103" t="s">
        <v>440</v>
      </c>
      <c r="C952" s="103" t="s">
        <v>2024</v>
      </c>
      <c r="D952" s="103">
        <v>87</v>
      </c>
      <c r="E952" s="103" t="s">
        <v>2046</v>
      </c>
      <c r="F952" s="278" t="s">
        <v>2047</v>
      </c>
      <c r="G952" s="103" t="s">
        <v>3864</v>
      </c>
      <c r="H952" s="103">
        <v>103</v>
      </c>
      <c r="I952" s="103" t="s">
        <v>459</v>
      </c>
      <c r="J952" s="103" t="s">
        <v>683</v>
      </c>
      <c r="K952" s="103">
        <v>0</v>
      </c>
      <c r="L952" s="103">
        <v>2</v>
      </c>
      <c r="M952" s="103" t="s">
        <v>2048</v>
      </c>
      <c r="N952" s="103" t="s">
        <v>2049</v>
      </c>
      <c r="O952" s="103" t="s">
        <v>460</v>
      </c>
      <c r="P952" s="283">
        <v>835</v>
      </c>
      <c r="Q952" s="103" t="s">
        <v>3865</v>
      </c>
      <c r="R952" s="103" t="s">
        <v>461</v>
      </c>
      <c r="S952" s="103" t="s">
        <v>683</v>
      </c>
      <c r="T952" s="103">
        <v>0</v>
      </c>
      <c r="U952" s="267"/>
      <c r="V952" s="267"/>
      <c r="W952" s="224">
        <v>0</v>
      </c>
      <c r="X952" s="267"/>
      <c r="Y952" s="267"/>
      <c r="Z952" s="267"/>
      <c r="AA952" s="267"/>
      <c r="AB952" s="224">
        <v>0</v>
      </c>
      <c r="AC952" s="267"/>
      <c r="AD952" s="267">
        <v>1</v>
      </c>
      <c r="AE952" s="267"/>
      <c r="AF952" s="267"/>
      <c r="AG952" s="224">
        <v>1</v>
      </c>
      <c r="AH952" s="267"/>
      <c r="AI952" s="267"/>
      <c r="AJ952" s="267"/>
      <c r="AK952" s="267"/>
      <c r="AL952" s="224">
        <v>0</v>
      </c>
      <c r="AM952" s="102">
        <v>1</v>
      </c>
      <c r="AN952" s="103" t="s">
        <v>685</v>
      </c>
      <c r="AO952" s="103" t="s">
        <v>622</v>
      </c>
      <c r="AP952" s="103" t="s">
        <v>1222</v>
      </c>
      <c r="AQ952" s="103" t="s">
        <v>1207</v>
      </c>
      <c r="AR952" s="103" t="s">
        <v>946</v>
      </c>
      <c r="AS952" s="268"/>
      <c r="AT952" s="268"/>
      <c r="AU952" s="268"/>
      <c r="AV952" s="268"/>
      <c r="AW952" s="268"/>
      <c r="AX952" s="268"/>
      <c r="AY952" s="268"/>
      <c r="AZ952" s="268"/>
      <c r="BA952" s="268"/>
      <c r="BB952" s="268"/>
      <c r="BC952" s="268"/>
      <c r="BD952" s="268"/>
      <c r="BE952" s="268"/>
      <c r="BF952" s="268"/>
      <c r="BG952" s="268"/>
      <c r="BH952" s="234">
        <v>0</v>
      </c>
      <c r="BI952" s="268"/>
      <c r="BJ952" s="268"/>
      <c r="BK952" s="268"/>
      <c r="BL952" s="268"/>
      <c r="BM952" s="268"/>
      <c r="BN952" s="268"/>
      <c r="BO952" s="268"/>
      <c r="BP952" s="268"/>
      <c r="BQ952" s="268"/>
      <c r="BR952" s="268"/>
      <c r="BS952" s="268"/>
      <c r="BT952" s="268"/>
      <c r="BU952" s="268"/>
      <c r="BV952" s="268"/>
      <c r="BW952" s="268"/>
      <c r="BX952" s="234">
        <v>0</v>
      </c>
      <c r="BY952" s="268"/>
      <c r="BZ952" s="268"/>
      <c r="CA952" s="268"/>
      <c r="CB952" s="268"/>
      <c r="CC952" s="268"/>
      <c r="CD952" s="268"/>
      <c r="CE952" s="268"/>
      <c r="CF952" s="268"/>
      <c r="CG952" s="268"/>
      <c r="CH952" s="268"/>
      <c r="CI952" s="268"/>
      <c r="CJ952" s="268"/>
      <c r="CK952" s="268"/>
      <c r="CL952" s="268"/>
      <c r="CM952" s="268">
        <v>500000000</v>
      </c>
      <c r="CN952" s="234">
        <v>500000000</v>
      </c>
      <c r="CO952" s="268"/>
      <c r="CP952" s="268"/>
      <c r="CQ952" s="268"/>
      <c r="CR952" s="268"/>
      <c r="CS952" s="268"/>
      <c r="CT952" s="268"/>
      <c r="CU952" s="268"/>
      <c r="CV952" s="268"/>
      <c r="CW952" s="268"/>
      <c r="CX952" s="268"/>
      <c r="CY952" s="268"/>
      <c r="CZ952" s="268"/>
      <c r="DA952" s="268"/>
      <c r="DB952" s="268"/>
      <c r="DC952" s="268"/>
      <c r="DD952" s="234">
        <v>0</v>
      </c>
      <c r="DE952" s="243">
        <v>500000000</v>
      </c>
    </row>
    <row r="953" spans="1:110" s="98" customFormat="1" ht="119.1" customHeight="1">
      <c r="A953" s="103" t="s">
        <v>1240</v>
      </c>
      <c r="B953" s="279" t="s">
        <v>440</v>
      </c>
      <c r="C953" s="279" t="s">
        <v>2024</v>
      </c>
      <c r="D953" s="279">
        <v>87</v>
      </c>
      <c r="E953" s="279" t="s">
        <v>2046</v>
      </c>
      <c r="F953" s="280" t="s">
        <v>2047</v>
      </c>
      <c r="G953" s="279" t="s">
        <v>3864</v>
      </c>
      <c r="H953" s="279">
        <v>103</v>
      </c>
      <c r="I953" s="279" t="s">
        <v>459</v>
      </c>
      <c r="J953" s="279" t="s">
        <v>683</v>
      </c>
      <c r="K953" s="279">
        <v>0</v>
      </c>
      <c r="L953" s="279">
        <v>2</v>
      </c>
      <c r="M953" s="279" t="s">
        <v>2048</v>
      </c>
      <c r="N953" s="279" t="s">
        <v>2049</v>
      </c>
      <c r="O953" s="279" t="s">
        <v>460</v>
      </c>
      <c r="P953" s="283">
        <v>836</v>
      </c>
      <c r="Q953" s="279" t="s">
        <v>3866</v>
      </c>
      <c r="R953" s="279" t="s">
        <v>2050</v>
      </c>
      <c r="S953" s="279" t="s">
        <v>683</v>
      </c>
      <c r="T953" s="279">
        <v>0</v>
      </c>
      <c r="U953" s="267"/>
      <c r="V953" s="267"/>
      <c r="W953" s="224">
        <v>0</v>
      </c>
      <c r="X953" s="267"/>
      <c r="Y953" s="267"/>
      <c r="Z953" s="267"/>
      <c r="AA953" s="267"/>
      <c r="AB953" s="224">
        <v>0</v>
      </c>
      <c r="AC953" s="267">
        <v>1</v>
      </c>
      <c r="AD953" s="267">
        <v>2</v>
      </c>
      <c r="AE953" s="267"/>
      <c r="AF953" s="267"/>
      <c r="AG953" s="224">
        <v>3</v>
      </c>
      <c r="AH953" s="267"/>
      <c r="AI953" s="267"/>
      <c r="AJ953" s="267"/>
      <c r="AK953" s="267"/>
      <c r="AL953" s="224">
        <v>0</v>
      </c>
      <c r="AM953" s="104">
        <v>3</v>
      </c>
      <c r="AN953" s="103" t="s">
        <v>685</v>
      </c>
      <c r="AO953" s="103" t="s">
        <v>622</v>
      </c>
      <c r="AP953" s="103" t="s">
        <v>1222</v>
      </c>
      <c r="AQ953" s="103" t="s">
        <v>1207</v>
      </c>
      <c r="AR953" s="103" t="s">
        <v>946</v>
      </c>
      <c r="AS953" s="271"/>
      <c r="AT953" s="271"/>
      <c r="AU953" s="271"/>
      <c r="AV953" s="271"/>
      <c r="AW953" s="271"/>
      <c r="AX953" s="271"/>
      <c r="AY953" s="271"/>
      <c r="AZ953" s="271"/>
      <c r="BA953" s="271"/>
      <c r="BB953" s="271"/>
      <c r="BC953" s="271"/>
      <c r="BD953" s="271"/>
      <c r="BE953" s="271"/>
      <c r="BF953" s="271"/>
      <c r="BG953" s="271"/>
      <c r="BH953" s="235">
        <v>0</v>
      </c>
      <c r="BI953" s="271"/>
      <c r="BJ953" s="271"/>
      <c r="BK953" s="271"/>
      <c r="BL953" s="271"/>
      <c r="BM953" s="271"/>
      <c r="BN953" s="271"/>
      <c r="BO953" s="271"/>
      <c r="BP953" s="271"/>
      <c r="BQ953" s="271"/>
      <c r="BR953" s="271"/>
      <c r="BS953" s="271"/>
      <c r="BT953" s="271"/>
      <c r="BU953" s="271"/>
      <c r="BV953" s="271"/>
      <c r="BW953" s="271"/>
      <c r="BX953" s="235">
        <v>0</v>
      </c>
      <c r="BY953" s="271"/>
      <c r="BZ953" s="271"/>
      <c r="CA953" s="271"/>
      <c r="CB953" s="271"/>
      <c r="CC953" s="271"/>
      <c r="CD953" s="271"/>
      <c r="CE953" s="271"/>
      <c r="CF953" s="271"/>
      <c r="CG953" s="271"/>
      <c r="CH953" s="271"/>
      <c r="CI953" s="271"/>
      <c r="CJ953" s="271"/>
      <c r="CK953" s="271"/>
      <c r="CL953" s="271"/>
      <c r="CM953" s="271">
        <v>100000000</v>
      </c>
      <c r="CN953" s="235">
        <v>100000000</v>
      </c>
      <c r="CO953" s="271"/>
      <c r="CP953" s="271"/>
      <c r="CQ953" s="271"/>
      <c r="CR953" s="271"/>
      <c r="CS953" s="271"/>
      <c r="CT953" s="271"/>
      <c r="CU953" s="271"/>
      <c r="CV953" s="271"/>
      <c r="CW953" s="271"/>
      <c r="CX953" s="271"/>
      <c r="CY953" s="271"/>
      <c r="CZ953" s="271"/>
      <c r="DA953" s="271"/>
      <c r="DB953" s="271"/>
      <c r="DC953" s="271"/>
      <c r="DD953" s="234">
        <v>0</v>
      </c>
      <c r="DE953" s="244">
        <v>100000000</v>
      </c>
    </row>
    <row r="954" spans="1:110" s="98" customFormat="1" ht="119.1" customHeight="1">
      <c r="A954" s="120" t="s">
        <v>1240</v>
      </c>
      <c r="B954" s="281" t="s">
        <v>440</v>
      </c>
      <c r="C954" s="281" t="s">
        <v>2024</v>
      </c>
      <c r="D954" s="281">
        <v>87</v>
      </c>
      <c r="E954" s="281" t="s">
        <v>2046</v>
      </c>
      <c r="F954" s="282" t="s">
        <v>2047</v>
      </c>
      <c r="G954" s="281" t="s">
        <v>3864</v>
      </c>
      <c r="H954" s="281">
        <v>103</v>
      </c>
      <c r="I954" s="281" t="s">
        <v>459</v>
      </c>
      <c r="J954" s="281" t="s">
        <v>683</v>
      </c>
      <c r="K954" s="281">
        <v>0</v>
      </c>
      <c r="L954" s="281">
        <v>2</v>
      </c>
      <c r="M954" s="281" t="s">
        <v>2048</v>
      </c>
      <c r="N954" s="281" t="s">
        <v>2049</v>
      </c>
      <c r="O954" s="281" t="s">
        <v>460</v>
      </c>
      <c r="P954" s="284">
        <v>837</v>
      </c>
      <c r="Q954" s="281" t="s">
        <v>3867</v>
      </c>
      <c r="R954" s="281" t="s">
        <v>462</v>
      </c>
      <c r="S954" s="281" t="s">
        <v>683</v>
      </c>
      <c r="T954" s="281">
        <v>0</v>
      </c>
      <c r="U954" s="275"/>
      <c r="V954" s="275"/>
      <c r="W954" s="225">
        <v>0</v>
      </c>
      <c r="X954" s="275"/>
      <c r="Y954" s="275"/>
      <c r="Z954" s="275"/>
      <c r="AA954" s="275"/>
      <c r="AB954" s="225">
        <v>0</v>
      </c>
      <c r="AC954" s="275"/>
      <c r="AD954" s="275">
        <v>3</v>
      </c>
      <c r="AE954" s="275"/>
      <c r="AF954" s="275"/>
      <c r="AG954" s="225">
        <v>3</v>
      </c>
      <c r="AH954" s="275"/>
      <c r="AI954" s="275"/>
      <c r="AJ954" s="275"/>
      <c r="AK954" s="275"/>
      <c r="AL954" s="225">
        <v>0</v>
      </c>
      <c r="AM954" s="119">
        <v>3</v>
      </c>
      <c r="AN954" s="120" t="s">
        <v>685</v>
      </c>
      <c r="AO954" s="120" t="s">
        <v>622</v>
      </c>
      <c r="AP954" s="120" t="s">
        <v>1222</v>
      </c>
      <c r="AQ954" s="120" t="s">
        <v>1207</v>
      </c>
      <c r="AR954" s="120" t="s">
        <v>946</v>
      </c>
      <c r="AS954" s="276"/>
      <c r="AT954" s="276"/>
      <c r="AU954" s="276"/>
      <c r="AV954" s="276"/>
      <c r="AW954" s="276"/>
      <c r="AX954" s="276"/>
      <c r="AY954" s="276"/>
      <c r="AZ954" s="276"/>
      <c r="BA954" s="276"/>
      <c r="BB954" s="276"/>
      <c r="BC954" s="276"/>
      <c r="BD954" s="276"/>
      <c r="BE954" s="276"/>
      <c r="BF954" s="276"/>
      <c r="BG954" s="276"/>
      <c r="BH954" s="236">
        <v>0</v>
      </c>
      <c r="BI954" s="276"/>
      <c r="BJ954" s="276"/>
      <c r="BK954" s="276"/>
      <c r="BL954" s="276"/>
      <c r="BM954" s="276"/>
      <c r="BN954" s="276"/>
      <c r="BO954" s="276"/>
      <c r="BP954" s="276"/>
      <c r="BQ954" s="276"/>
      <c r="BR954" s="276"/>
      <c r="BS954" s="276"/>
      <c r="BT954" s="276"/>
      <c r="BU954" s="276"/>
      <c r="BV954" s="276"/>
      <c r="BW954" s="276"/>
      <c r="BX954" s="236">
        <v>0</v>
      </c>
      <c r="BY954" s="276"/>
      <c r="BZ954" s="276"/>
      <c r="CA954" s="276"/>
      <c r="CB954" s="276"/>
      <c r="CC954" s="276"/>
      <c r="CD954" s="276"/>
      <c r="CE954" s="276"/>
      <c r="CF954" s="276"/>
      <c r="CG954" s="276"/>
      <c r="CH954" s="276"/>
      <c r="CI954" s="276"/>
      <c r="CJ954" s="276"/>
      <c r="CK954" s="276"/>
      <c r="CL954" s="276"/>
      <c r="CM954" s="276">
        <v>4400000000</v>
      </c>
      <c r="CN954" s="236">
        <v>4400000000</v>
      </c>
      <c r="CO954" s="276"/>
      <c r="CP954" s="276"/>
      <c r="CQ954" s="276"/>
      <c r="CR954" s="276"/>
      <c r="CS954" s="276"/>
      <c r="CT954" s="276"/>
      <c r="CU954" s="276"/>
      <c r="CV954" s="276"/>
      <c r="CW954" s="276"/>
      <c r="CX954" s="276"/>
      <c r="CY954" s="276"/>
      <c r="CZ954" s="276"/>
      <c r="DA954" s="276"/>
      <c r="DB954" s="276"/>
      <c r="DC954" s="276"/>
      <c r="DD954" s="240">
        <v>0</v>
      </c>
      <c r="DE954" s="245">
        <v>4400000000</v>
      </c>
    </row>
    <row r="955" spans="1:110" ht="65.099999999999994" customHeight="1">
      <c r="A955" s="118" t="s">
        <v>1240</v>
      </c>
      <c r="B955" s="118" t="s">
        <v>440</v>
      </c>
      <c r="C955" s="118" t="s">
        <v>2024</v>
      </c>
      <c r="D955" s="159">
        <v>87</v>
      </c>
      <c r="E955" s="159" t="s">
        <v>2046</v>
      </c>
      <c r="F955" s="149"/>
      <c r="G955" s="150"/>
      <c r="H955" s="151"/>
      <c r="I955" s="151"/>
      <c r="J955" s="151"/>
      <c r="K955" s="152"/>
      <c r="L955" s="151"/>
      <c r="M955" s="151"/>
      <c r="N955" s="151"/>
      <c r="O955" s="151"/>
      <c r="P955" s="151"/>
      <c r="Q955" s="150"/>
      <c r="R955" s="153"/>
      <c r="S955" s="151"/>
      <c r="T955" s="151"/>
      <c r="U955" s="154"/>
      <c r="V955" s="154"/>
      <c r="W955" s="152"/>
      <c r="X955" s="154"/>
      <c r="Y955" s="154"/>
      <c r="Z955" s="154"/>
      <c r="AA955" s="154"/>
      <c r="AB955" s="152"/>
      <c r="AC955" s="154"/>
      <c r="AD955" s="154"/>
      <c r="AE955" s="154"/>
      <c r="AF955" s="154"/>
      <c r="AG955" s="152"/>
      <c r="AH955" s="154"/>
      <c r="AI955" s="154"/>
      <c r="AJ955" s="154"/>
      <c r="AK955" s="154"/>
      <c r="AL955" s="152"/>
      <c r="AM955" s="155"/>
      <c r="AN955" s="156"/>
      <c r="AO955" s="156"/>
      <c r="AP955" s="157"/>
      <c r="AQ955" s="157"/>
      <c r="AR955" s="158"/>
      <c r="AS955" s="132">
        <f>SUM(AS952:AS954)</f>
        <v>0</v>
      </c>
      <c r="AT955" s="132">
        <f t="shared" ref="AT955:DE955" si="498">SUM(AT952:AT954)</f>
        <v>0</v>
      </c>
      <c r="AU955" s="132">
        <f t="shared" si="498"/>
        <v>0</v>
      </c>
      <c r="AV955" s="132">
        <f t="shared" si="498"/>
        <v>0</v>
      </c>
      <c r="AW955" s="132">
        <f t="shared" si="498"/>
        <v>0</v>
      </c>
      <c r="AX955" s="132">
        <f t="shared" si="498"/>
        <v>0</v>
      </c>
      <c r="AY955" s="132">
        <f t="shared" si="498"/>
        <v>0</v>
      </c>
      <c r="AZ955" s="132">
        <f t="shared" si="498"/>
        <v>0</v>
      </c>
      <c r="BA955" s="132">
        <f t="shared" si="498"/>
        <v>0</v>
      </c>
      <c r="BB955" s="132">
        <f t="shared" si="498"/>
        <v>0</v>
      </c>
      <c r="BC955" s="132">
        <f t="shared" si="498"/>
        <v>0</v>
      </c>
      <c r="BD955" s="132">
        <f t="shared" si="498"/>
        <v>0</v>
      </c>
      <c r="BE955" s="132">
        <f t="shared" si="498"/>
        <v>0</v>
      </c>
      <c r="BF955" s="132">
        <f t="shared" si="498"/>
        <v>0</v>
      </c>
      <c r="BG955" s="132">
        <f t="shared" si="498"/>
        <v>0</v>
      </c>
      <c r="BH955" s="132">
        <f>IF(OR(AND(BH952=0,W952&lt;&gt;0),AND(BH953=0,W953&lt;&gt;0),AND(BH954=0,W954&lt;&gt;0)),"NO DEBEN QUEDAR CELDAS EN ROJO",SUM(BH952:BH954))</f>
        <v>0</v>
      </c>
      <c r="BI955" s="132">
        <f t="shared" si="498"/>
        <v>0</v>
      </c>
      <c r="BJ955" s="132">
        <f t="shared" si="498"/>
        <v>0</v>
      </c>
      <c r="BK955" s="132">
        <f t="shared" si="498"/>
        <v>0</v>
      </c>
      <c r="BL955" s="132">
        <f t="shared" si="498"/>
        <v>0</v>
      </c>
      <c r="BM955" s="132">
        <f t="shared" si="498"/>
        <v>0</v>
      </c>
      <c r="BN955" s="132">
        <f t="shared" si="498"/>
        <v>0</v>
      </c>
      <c r="BO955" s="132">
        <f t="shared" si="498"/>
        <v>0</v>
      </c>
      <c r="BP955" s="132">
        <f t="shared" si="498"/>
        <v>0</v>
      </c>
      <c r="BQ955" s="132">
        <f t="shared" si="498"/>
        <v>0</v>
      </c>
      <c r="BR955" s="132">
        <f t="shared" si="498"/>
        <v>0</v>
      </c>
      <c r="BS955" s="132">
        <f t="shared" si="498"/>
        <v>0</v>
      </c>
      <c r="BT955" s="132">
        <f t="shared" si="498"/>
        <v>0</v>
      </c>
      <c r="BU955" s="132">
        <f t="shared" si="498"/>
        <v>0</v>
      </c>
      <c r="BV955" s="132">
        <f t="shared" si="498"/>
        <v>0</v>
      </c>
      <c r="BW955" s="132">
        <f t="shared" si="498"/>
        <v>0</v>
      </c>
      <c r="BX955" s="132">
        <f>IF(OR(AND(BX952=0,AB952&lt;&gt;0),AND(BX953=0,AB953&lt;&gt;0),AND(BX954=0,AB954&lt;&gt;0)),"NO DEBEN QUEDAR CELDAS EN ROJO",SUM(BX952:BX954))</f>
        <v>0</v>
      </c>
      <c r="BY955" s="132">
        <f t="shared" si="498"/>
        <v>0</v>
      </c>
      <c r="BZ955" s="132">
        <f t="shared" si="498"/>
        <v>0</v>
      </c>
      <c r="CA955" s="132">
        <f t="shared" si="498"/>
        <v>0</v>
      </c>
      <c r="CB955" s="132">
        <f t="shared" si="498"/>
        <v>0</v>
      </c>
      <c r="CC955" s="132">
        <f t="shared" si="498"/>
        <v>0</v>
      </c>
      <c r="CD955" s="132">
        <f t="shared" si="498"/>
        <v>0</v>
      </c>
      <c r="CE955" s="132">
        <f t="shared" si="498"/>
        <v>0</v>
      </c>
      <c r="CF955" s="132">
        <f t="shared" si="498"/>
        <v>0</v>
      </c>
      <c r="CG955" s="132">
        <f t="shared" si="498"/>
        <v>0</v>
      </c>
      <c r="CH955" s="132">
        <f t="shared" si="498"/>
        <v>0</v>
      </c>
      <c r="CI955" s="132">
        <f t="shared" si="498"/>
        <v>0</v>
      </c>
      <c r="CJ955" s="132">
        <f t="shared" si="498"/>
        <v>0</v>
      </c>
      <c r="CK955" s="132">
        <f t="shared" si="498"/>
        <v>0</v>
      </c>
      <c r="CL955" s="132">
        <f t="shared" si="498"/>
        <v>0</v>
      </c>
      <c r="CM955" s="132">
        <f t="shared" si="498"/>
        <v>5000000000</v>
      </c>
      <c r="CN955" s="132">
        <f>IF(OR(AND(CN952=0,AG952&lt;&gt;0),AND(CN953=0,AG953&lt;&gt;0),AND(CN954=0,AG954&lt;&gt;0)),"NO DEBEN QUEDAR CELDAS EN ROJO",SUM(CN952:CN954))</f>
        <v>5000000000</v>
      </c>
      <c r="CO955" s="132">
        <f t="shared" si="498"/>
        <v>0</v>
      </c>
      <c r="CP955" s="132">
        <f t="shared" si="498"/>
        <v>0</v>
      </c>
      <c r="CQ955" s="132">
        <f t="shared" si="498"/>
        <v>0</v>
      </c>
      <c r="CR955" s="132">
        <f t="shared" si="498"/>
        <v>0</v>
      </c>
      <c r="CS955" s="132">
        <f t="shared" si="498"/>
        <v>0</v>
      </c>
      <c r="CT955" s="132">
        <f t="shared" si="498"/>
        <v>0</v>
      </c>
      <c r="CU955" s="132">
        <f t="shared" si="498"/>
        <v>0</v>
      </c>
      <c r="CV955" s="132">
        <f t="shared" si="498"/>
        <v>0</v>
      </c>
      <c r="CW955" s="132">
        <f t="shared" si="498"/>
        <v>0</v>
      </c>
      <c r="CX955" s="132">
        <f t="shared" si="498"/>
        <v>0</v>
      </c>
      <c r="CY955" s="132">
        <f t="shared" si="498"/>
        <v>0</v>
      </c>
      <c r="CZ955" s="132">
        <f t="shared" si="498"/>
        <v>0</v>
      </c>
      <c r="DA955" s="132">
        <f t="shared" si="498"/>
        <v>0</v>
      </c>
      <c r="DB955" s="132">
        <f t="shared" si="498"/>
        <v>0</v>
      </c>
      <c r="DC955" s="132">
        <f t="shared" si="498"/>
        <v>0</v>
      </c>
      <c r="DD955" s="132">
        <f>IF(OR(AND(DD952=0,AL952&lt;&gt;0),AND(DD953=0,AL953&lt;&gt;0),AND(DD954=0,AL954&lt;&gt;0)),"NO DEBEN QUEDAR CELDAS EN ROJO",SUM(DD952:DD954))</f>
        <v>0</v>
      </c>
      <c r="DE955" s="132">
        <f t="shared" si="498"/>
        <v>5000000000</v>
      </c>
      <c r="DF955" s="101"/>
    </row>
    <row r="956" spans="1:110" s="117" customFormat="1" ht="55.05" customHeight="1" thickBot="1">
      <c r="A956" s="127"/>
      <c r="B956" s="126" t="s">
        <v>440</v>
      </c>
      <c r="C956" s="146" t="s">
        <v>2024</v>
      </c>
      <c r="D956" s="170"/>
      <c r="E956" s="171"/>
      <c r="F956" s="172"/>
      <c r="G956" s="173"/>
      <c r="H956" s="171"/>
      <c r="I956" s="171"/>
      <c r="J956" s="171"/>
      <c r="K956" s="171"/>
      <c r="L956" s="171"/>
      <c r="M956" s="171"/>
      <c r="N956" s="171"/>
      <c r="O956" s="171"/>
      <c r="P956" s="171"/>
      <c r="Q956" s="173"/>
      <c r="R956" s="174"/>
      <c r="S956" s="171"/>
      <c r="T956" s="171"/>
      <c r="U956" s="175"/>
      <c r="V956" s="175"/>
      <c r="W956" s="176"/>
      <c r="X956" s="175"/>
      <c r="Y956" s="175"/>
      <c r="Z956" s="175"/>
      <c r="AA956" s="175"/>
      <c r="AB956" s="176"/>
      <c r="AC956" s="175"/>
      <c r="AD956" s="175"/>
      <c r="AE956" s="175"/>
      <c r="AF956" s="175"/>
      <c r="AG956" s="176"/>
      <c r="AH956" s="175"/>
      <c r="AI956" s="175"/>
      <c r="AJ956" s="175"/>
      <c r="AK956" s="175"/>
      <c r="AL956" s="176"/>
      <c r="AM956" s="177"/>
      <c r="AN956" s="178"/>
      <c r="AO956" s="178"/>
      <c r="AP956" s="173"/>
      <c r="AQ956" s="173"/>
      <c r="AR956" s="179"/>
      <c r="AS956" s="147">
        <f>SUM(AS955+AS951)</f>
        <v>0</v>
      </c>
      <c r="AT956" s="130">
        <f t="shared" ref="AT956:DE956" si="499">SUM(AT955+AT951)</f>
        <v>0</v>
      </c>
      <c r="AU956" s="130">
        <f t="shared" si="499"/>
        <v>0</v>
      </c>
      <c r="AV956" s="130">
        <f t="shared" si="499"/>
        <v>4000000000</v>
      </c>
      <c r="AW956" s="130">
        <f t="shared" si="499"/>
        <v>0</v>
      </c>
      <c r="AX956" s="130">
        <f t="shared" si="499"/>
        <v>0</v>
      </c>
      <c r="AY956" s="130">
        <f t="shared" si="499"/>
        <v>0</v>
      </c>
      <c r="AZ956" s="130">
        <f t="shared" si="499"/>
        <v>0</v>
      </c>
      <c r="BA956" s="130">
        <f t="shared" si="499"/>
        <v>0</v>
      </c>
      <c r="BB956" s="130">
        <f t="shared" si="499"/>
        <v>0</v>
      </c>
      <c r="BC956" s="130">
        <f t="shared" si="499"/>
        <v>0</v>
      </c>
      <c r="BD956" s="130">
        <f t="shared" si="499"/>
        <v>0</v>
      </c>
      <c r="BE956" s="130">
        <f t="shared" si="499"/>
        <v>0</v>
      </c>
      <c r="BF956" s="130">
        <f t="shared" si="499"/>
        <v>0</v>
      </c>
      <c r="BG956" s="130">
        <f t="shared" si="499"/>
        <v>0</v>
      </c>
      <c r="BH956" s="130">
        <f t="shared" si="499"/>
        <v>4000000000</v>
      </c>
      <c r="BI956" s="130">
        <f t="shared" si="499"/>
        <v>0</v>
      </c>
      <c r="BJ956" s="130">
        <f t="shared" si="499"/>
        <v>0</v>
      </c>
      <c r="BK956" s="130">
        <f t="shared" si="499"/>
        <v>0</v>
      </c>
      <c r="BL956" s="130">
        <f t="shared" si="499"/>
        <v>4200000000</v>
      </c>
      <c r="BM956" s="130">
        <f t="shared" si="499"/>
        <v>600000000</v>
      </c>
      <c r="BN956" s="130">
        <f t="shared" si="499"/>
        <v>0</v>
      </c>
      <c r="BO956" s="130">
        <f t="shared" si="499"/>
        <v>0</v>
      </c>
      <c r="BP956" s="130">
        <f t="shared" si="499"/>
        <v>0</v>
      </c>
      <c r="BQ956" s="130">
        <f t="shared" si="499"/>
        <v>0</v>
      </c>
      <c r="BR956" s="130">
        <f t="shared" si="499"/>
        <v>0</v>
      </c>
      <c r="BS956" s="130">
        <f t="shared" si="499"/>
        <v>0</v>
      </c>
      <c r="BT956" s="130">
        <f t="shared" si="499"/>
        <v>0</v>
      </c>
      <c r="BU956" s="130">
        <f t="shared" si="499"/>
        <v>0</v>
      </c>
      <c r="BV956" s="130">
        <f t="shared" si="499"/>
        <v>0</v>
      </c>
      <c r="BW956" s="130">
        <f t="shared" si="499"/>
        <v>0</v>
      </c>
      <c r="BX956" s="130">
        <f t="shared" si="499"/>
        <v>4800000000</v>
      </c>
      <c r="BY956" s="130">
        <f t="shared" si="499"/>
        <v>0</v>
      </c>
      <c r="BZ956" s="130">
        <f t="shared" si="499"/>
        <v>0</v>
      </c>
      <c r="CA956" s="130">
        <f t="shared" si="499"/>
        <v>0</v>
      </c>
      <c r="CB956" s="130">
        <f t="shared" si="499"/>
        <v>4410000000</v>
      </c>
      <c r="CC956" s="130">
        <f t="shared" si="499"/>
        <v>630000000</v>
      </c>
      <c r="CD956" s="130">
        <f t="shared" si="499"/>
        <v>0</v>
      </c>
      <c r="CE956" s="130">
        <f t="shared" si="499"/>
        <v>0</v>
      </c>
      <c r="CF956" s="130">
        <f t="shared" si="499"/>
        <v>0</v>
      </c>
      <c r="CG956" s="130">
        <f t="shared" si="499"/>
        <v>0</v>
      </c>
      <c r="CH956" s="130">
        <f t="shared" si="499"/>
        <v>0</v>
      </c>
      <c r="CI956" s="130">
        <f t="shared" si="499"/>
        <v>0</v>
      </c>
      <c r="CJ956" s="130">
        <f t="shared" si="499"/>
        <v>0</v>
      </c>
      <c r="CK956" s="130">
        <f t="shared" si="499"/>
        <v>0</v>
      </c>
      <c r="CL956" s="130">
        <f t="shared" si="499"/>
        <v>0</v>
      </c>
      <c r="CM956" s="130">
        <f t="shared" si="499"/>
        <v>5000000000</v>
      </c>
      <c r="CN956" s="130">
        <f t="shared" si="499"/>
        <v>10040000000</v>
      </c>
      <c r="CO956" s="130">
        <f t="shared" si="499"/>
        <v>0</v>
      </c>
      <c r="CP956" s="130">
        <f t="shared" si="499"/>
        <v>0</v>
      </c>
      <c r="CQ956" s="130">
        <f t="shared" si="499"/>
        <v>0</v>
      </c>
      <c r="CR956" s="130">
        <f t="shared" si="499"/>
        <v>4520000000</v>
      </c>
      <c r="CS956" s="130">
        <f t="shared" si="499"/>
        <v>661500000</v>
      </c>
      <c r="CT956" s="130">
        <f t="shared" si="499"/>
        <v>0</v>
      </c>
      <c r="CU956" s="130">
        <f t="shared" si="499"/>
        <v>0</v>
      </c>
      <c r="CV956" s="130">
        <f t="shared" si="499"/>
        <v>0</v>
      </c>
      <c r="CW956" s="130">
        <f t="shared" si="499"/>
        <v>0</v>
      </c>
      <c r="CX956" s="130">
        <f t="shared" si="499"/>
        <v>0</v>
      </c>
      <c r="CY956" s="130">
        <f t="shared" si="499"/>
        <v>0</v>
      </c>
      <c r="CZ956" s="130">
        <f t="shared" si="499"/>
        <v>0</v>
      </c>
      <c r="DA956" s="130">
        <f t="shared" si="499"/>
        <v>0</v>
      </c>
      <c r="DB956" s="130">
        <f t="shared" si="499"/>
        <v>0</v>
      </c>
      <c r="DC956" s="130">
        <f t="shared" si="499"/>
        <v>0</v>
      </c>
      <c r="DD956" s="130">
        <f t="shared" si="499"/>
        <v>5181500000</v>
      </c>
      <c r="DE956" s="130">
        <f t="shared" si="499"/>
        <v>24021500000</v>
      </c>
    </row>
    <row r="957" spans="1:110" s="46" customFormat="1" ht="51" customHeight="1" thickBot="1">
      <c r="A957" s="671" t="s">
        <v>440</v>
      </c>
      <c r="B957" s="672"/>
      <c r="C957" s="672"/>
      <c r="D957" s="180"/>
      <c r="E957" s="181"/>
      <c r="F957" s="182"/>
      <c r="G957" s="183"/>
      <c r="H957" s="181"/>
      <c r="I957" s="181"/>
      <c r="J957" s="181"/>
      <c r="K957" s="181"/>
      <c r="L957" s="181"/>
      <c r="M957" s="181"/>
      <c r="N957" s="181"/>
      <c r="O957" s="181"/>
      <c r="P957" s="184"/>
      <c r="Q957" s="183"/>
      <c r="R957" s="181"/>
      <c r="S957" s="181"/>
      <c r="T957" s="181"/>
      <c r="U957" s="185"/>
      <c r="V957" s="185"/>
      <c r="W957" s="186"/>
      <c r="X957" s="185"/>
      <c r="Y957" s="185"/>
      <c r="Z957" s="185"/>
      <c r="AA957" s="185"/>
      <c r="AB957" s="186"/>
      <c r="AC957" s="185"/>
      <c r="AD957" s="185"/>
      <c r="AE957" s="185"/>
      <c r="AF957" s="185"/>
      <c r="AG957" s="187"/>
      <c r="AH957" s="185"/>
      <c r="AI957" s="185"/>
      <c r="AJ957" s="185"/>
      <c r="AK957" s="185"/>
      <c r="AL957" s="187"/>
      <c r="AM957" s="188"/>
      <c r="AN957" s="189"/>
      <c r="AO957" s="189"/>
      <c r="AP957" s="190"/>
      <c r="AQ957" s="190"/>
      <c r="AR957" s="191"/>
      <c r="AS957" s="203">
        <f>SUM(AS956+AS937)</f>
        <v>0</v>
      </c>
      <c r="AT957" s="204">
        <f t="shared" ref="AT957:DD957" si="500">SUM(AT956+AT937)</f>
        <v>93783792889</v>
      </c>
      <c r="AU957" s="204">
        <f t="shared" si="500"/>
        <v>0</v>
      </c>
      <c r="AV957" s="204">
        <f t="shared" si="500"/>
        <v>4000000000</v>
      </c>
      <c r="AW957" s="204">
        <f t="shared" si="500"/>
        <v>8516119873</v>
      </c>
      <c r="AX957" s="204">
        <f t="shared" si="500"/>
        <v>0</v>
      </c>
      <c r="AY957" s="204">
        <f t="shared" si="500"/>
        <v>0</v>
      </c>
      <c r="AZ957" s="204">
        <f t="shared" si="500"/>
        <v>0</v>
      </c>
      <c r="BA957" s="204">
        <f t="shared" si="500"/>
        <v>0</v>
      </c>
      <c r="BB957" s="204">
        <f t="shared" si="500"/>
        <v>0</v>
      </c>
      <c r="BC957" s="204">
        <f t="shared" si="500"/>
        <v>0</v>
      </c>
      <c r="BD957" s="204">
        <f t="shared" si="500"/>
        <v>0</v>
      </c>
      <c r="BE957" s="204">
        <f t="shared" si="500"/>
        <v>0</v>
      </c>
      <c r="BF957" s="204">
        <f t="shared" si="500"/>
        <v>0</v>
      </c>
      <c r="BG957" s="204">
        <f t="shared" si="500"/>
        <v>0</v>
      </c>
      <c r="BH957" s="204">
        <f t="shared" si="500"/>
        <v>106299912762</v>
      </c>
      <c r="BI957" s="204">
        <f t="shared" si="500"/>
        <v>0</v>
      </c>
      <c r="BJ957" s="204">
        <f t="shared" si="500"/>
        <v>0</v>
      </c>
      <c r="BK957" s="204">
        <f t="shared" si="500"/>
        <v>0</v>
      </c>
      <c r="BL957" s="204">
        <f t="shared" si="500"/>
        <v>4200000000</v>
      </c>
      <c r="BM957" s="204">
        <f t="shared" si="500"/>
        <v>10090000000</v>
      </c>
      <c r="BN957" s="204">
        <f t="shared" si="500"/>
        <v>0</v>
      </c>
      <c r="BO957" s="204">
        <f t="shared" si="500"/>
        <v>0</v>
      </c>
      <c r="BP957" s="204">
        <f t="shared" si="500"/>
        <v>0</v>
      </c>
      <c r="BQ957" s="204">
        <f t="shared" si="500"/>
        <v>0</v>
      </c>
      <c r="BR957" s="204">
        <f t="shared" si="500"/>
        <v>0</v>
      </c>
      <c r="BS957" s="204">
        <f t="shared" si="500"/>
        <v>0</v>
      </c>
      <c r="BT957" s="204">
        <f t="shared" si="500"/>
        <v>0</v>
      </c>
      <c r="BU957" s="204">
        <f t="shared" si="500"/>
        <v>0</v>
      </c>
      <c r="BV957" s="204">
        <f t="shared" si="500"/>
        <v>0</v>
      </c>
      <c r="BW957" s="204">
        <f t="shared" si="500"/>
        <v>17996284738</v>
      </c>
      <c r="BX957" s="204">
        <f t="shared" si="500"/>
        <v>32286284738</v>
      </c>
      <c r="BY957" s="204">
        <f t="shared" si="500"/>
        <v>0</v>
      </c>
      <c r="BZ957" s="204">
        <f t="shared" si="500"/>
        <v>25000000000</v>
      </c>
      <c r="CA957" s="204">
        <f t="shared" si="500"/>
        <v>25000000000</v>
      </c>
      <c r="CB957" s="204">
        <f t="shared" si="500"/>
        <v>4410000000</v>
      </c>
      <c r="CC957" s="204">
        <f t="shared" si="500"/>
        <v>10429700000</v>
      </c>
      <c r="CD957" s="204">
        <f t="shared" si="500"/>
        <v>0</v>
      </c>
      <c r="CE957" s="204">
        <f t="shared" si="500"/>
        <v>0</v>
      </c>
      <c r="CF957" s="204">
        <f t="shared" si="500"/>
        <v>0</v>
      </c>
      <c r="CG957" s="204">
        <f t="shared" si="500"/>
        <v>0</v>
      </c>
      <c r="CH957" s="204">
        <f t="shared" si="500"/>
        <v>0</v>
      </c>
      <c r="CI957" s="204">
        <f t="shared" si="500"/>
        <v>0</v>
      </c>
      <c r="CJ957" s="204">
        <f t="shared" si="500"/>
        <v>0</v>
      </c>
      <c r="CK957" s="204">
        <f t="shared" si="500"/>
        <v>0</v>
      </c>
      <c r="CL957" s="204">
        <f t="shared" si="500"/>
        <v>0</v>
      </c>
      <c r="CM957" s="204">
        <f t="shared" si="500"/>
        <v>21472121105.189102</v>
      </c>
      <c r="CN957" s="204">
        <f t="shared" si="500"/>
        <v>86311821105.189102</v>
      </c>
      <c r="CO957" s="204">
        <f t="shared" si="500"/>
        <v>0</v>
      </c>
      <c r="CP957" s="204">
        <f t="shared" si="500"/>
        <v>0</v>
      </c>
      <c r="CQ957" s="204">
        <f t="shared" si="500"/>
        <v>0</v>
      </c>
      <c r="CR957" s="204">
        <f t="shared" si="500"/>
        <v>4520000000</v>
      </c>
      <c r="CS957" s="204">
        <f t="shared" si="500"/>
        <v>10866313000</v>
      </c>
      <c r="CT957" s="204">
        <f t="shared" si="500"/>
        <v>0</v>
      </c>
      <c r="CU957" s="204">
        <f t="shared" si="500"/>
        <v>0</v>
      </c>
      <c r="CV957" s="204">
        <f t="shared" si="500"/>
        <v>0</v>
      </c>
      <c r="CW957" s="204">
        <f t="shared" si="500"/>
        <v>0</v>
      </c>
      <c r="CX957" s="204">
        <f t="shared" si="500"/>
        <v>0</v>
      </c>
      <c r="CY957" s="204">
        <f t="shared" si="500"/>
        <v>0</v>
      </c>
      <c r="CZ957" s="204">
        <f t="shared" si="500"/>
        <v>0</v>
      </c>
      <c r="DA957" s="204">
        <f t="shared" si="500"/>
        <v>0</v>
      </c>
      <c r="DB957" s="204">
        <f t="shared" si="500"/>
        <v>0</v>
      </c>
      <c r="DC957" s="204">
        <f t="shared" si="500"/>
        <v>18528607495.48267</v>
      </c>
      <c r="DD957" s="204">
        <f t="shared" si="500"/>
        <v>33914920495.48267</v>
      </c>
      <c r="DE957" s="205">
        <f>SUM(DE956+DE937)</f>
        <v>258812939100.67175</v>
      </c>
    </row>
    <row r="958" spans="1:110" s="98" customFormat="1" ht="119.1" customHeight="1">
      <c r="A958" s="103" t="s">
        <v>1240</v>
      </c>
      <c r="B958" s="103" t="s">
        <v>2051</v>
      </c>
      <c r="C958" s="103" t="s">
        <v>2052</v>
      </c>
      <c r="D958" s="103">
        <v>88</v>
      </c>
      <c r="E958" s="103" t="s">
        <v>2053</v>
      </c>
      <c r="F958" s="278" t="s">
        <v>463</v>
      </c>
      <c r="G958" s="103" t="s">
        <v>3868</v>
      </c>
      <c r="H958" s="103">
        <v>104</v>
      </c>
      <c r="I958" s="103" t="s">
        <v>2054</v>
      </c>
      <c r="J958" s="103" t="s">
        <v>683</v>
      </c>
      <c r="K958" s="103">
        <v>123</v>
      </c>
      <c r="L958" s="103">
        <v>123</v>
      </c>
      <c r="M958" s="103" t="s">
        <v>2055</v>
      </c>
      <c r="N958" s="103" t="s">
        <v>2056</v>
      </c>
      <c r="O958" s="103" t="s">
        <v>464</v>
      </c>
      <c r="P958" s="283">
        <v>838</v>
      </c>
      <c r="Q958" s="103" t="s">
        <v>3924</v>
      </c>
      <c r="R958" s="103" t="s">
        <v>465</v>
      </c>
      <c r="S958" s="103" t="s">
        <v>683</v>
      </c>
      <c r="T958" s="103">
        <v>4</v>
      </c>
      <c r="U958" s="267"/>
      <c r="V958" s="267">
        <v>1</v>
      </c>
      <c r="W958" s="224">
        <v>1</v>
      </c>
      <c r="X958" s="267"/>
      <c r="Y958" s="267"/>
      <c r="Z958" s="267"/>
      <c r="AA958" s="267">
        <v>1</v>
      </c>
      <c r="AB958" s="224">
        <v>1</v>
      </c>
      <c r="AC958" s="267"/>
      <c r="AD958" s="267"/>
      <c r="AE958" s="267"/>
      <c r="AF958" s="267">
        <v>1</v>
      </c>
      <c r="AG958" s="224">
        <v>1</v>
      </c>
      <c r="AH958" s="267"/>
      <c r="AI958" s="267"/>
      <c r="AJ958" s="267"/>
      <c r="AK958" s="267">
        <v>1</v>
      </c>
      <c r="AL958" s="224">
        <v>1</v>
      </c>
      <c r="AM958" s="102">
        <v>4</v>
      </c>
      <c r="AN958" s="103" t="s">
        <v>685</v>
      </c>
      <c r="AO958" s="103" t="s">
        <v>1212</v>
      </c>
      <c r="AP958" s="103" t="s">
        <v>1229</v>
      </c>
      <c r="AQ958" s="103" t="s">
        <v>1207</v>
      </c>
      <c r="AR958" s="103" t="s">
        <v>951</v>
      </c>
      <c r="AS958" s="268"/>
      <c r="AT958" s="268"/>
      <c r="AU958" s="268"/>
      <c r="AV958" s="268"/>
      <c r="AW958" s="268">
        <v>15000000</v>
      </c>
      <c r="AX958" s="268"/>
      <c r="AY958" s="268"/>
      <c r="AZ958" s="268"/>
      <c r="BA958" s="268"/>
      <c r="BB958" s="268"/>
      <c r="BC958" s="268"/>
      <c r="BD958" s="268"/>
      <c r="BE958" s="268"/>
      <c r="BF958" s="268"/>
      <c r="BG958" s="268"/>
      <c r="BH958" s="234">
        <v>15000000</v>
      </c>
      <c r="BI958" s="268"/>
      <c r="BJ958" s="268"/>
      <c r="BK958" s="268"/>
      <c r="BL958" s="268"/>
      <c r="BM958" s="268">
        <v>70000000</v>
      </c>
      <c r="BN958" s="268"/>
      <c r="BO958" s="268"/>
      <c r="BP958" s="268"/>
      <c r="BQ958" s="268"/>
      <c r="BR958" s="268"/>
      <c r="BS958" s="268"/>
      <c r="BT958" s="268"/>
      <c r="BU958" s="268"/>
      <c r="BV958" s="268"/>
      <c r="BW958" s="268"/>
      <c r="BX958" s="234">
        <v>70000000</v>
      </c>
      <c r="BY958" s="268"/>
      <c r="BZ958" s="268"/>
      <c r="CA958" s="268"/>
      <c r="CB958" s="268"/>
      <c r="CC958" s="268">
        <v>38400000</v>
      </c>
      <c r="CD958" s="268"/>
      <c r="CE958" s="268"/>
      <c r="CF958" s="268"/>
      <c r="CG958" s="268"/>
      <c r="CH958" s="268"/>
      <c r="CI958" s="268"/>
      <c r="CJ958" s="268"/>
      <c r="CK958" s="268"/>
      <c r="CL958" s="268"/>
      <c r="CM958" s="268"/>
      <c r="CN958" s="234">
        <v>38400000</v>
      </c>
      <c r="CO958" s="268"/>
      <c r="CP958" s="268"/>
      <c r="CQ958" s="268"/>
      <c r="CR958" s="268"/>
      <c r="CS958" s="268">
        <v>60000000</v>
      </c>
      <c r="CT958" s="268"/>
      <c r="CU958" s="268"/>
      <c r="CV958" s="268"/>
      <c r="CW958" s="268"/>
      <c r="CX958" s="268"/>
      <c r="CY958" s="268"/>
      <c r="CZ958" s="268"/>
      <c r="DA958" s="268"/>
      <c r="DB958" s="268"/>
      <c r="DC958" s="268"/>
      <c r="DD958" s="234">
        <v>60000000</v>
      </c>
      <c r="DE958" s="243">
        <v>183400000</v>
      </c>
    </row>
    <row r="959" spans="1:110" s="98" customFormat="1" ht="119.1" customHeight="1">
      <c r="A959" s="103" t="s">
        <v>1240</v>
      </c>
      <c r="B959" s="279" t="s">
        <v>2051</v>
      </c>
      <c r="C959" s="279" t="s">
        <v>2052</v>
      </c>
      <c r="D959" s="279">
        <v>88</v>
      </c>
      <c r="E959" s="279" t="s">
        <v>2053</v>
      </c>
      <c r="F959" s="280" t="s">
        <v>463</v>
      </c>
      <c r="G959" s="279" t="s">
        <v>3868</v>
      </c>
      <c r="H959" s="279">
        <v>104</v>
      </c>
      <c r="I959" s="279" t="s">
        <v>2054</v>
      </c>
      <c r="J959" s="279" t="s">
        <v>683</v>
      </c>
      <c r="K959" s="279">
        <v>123</v>
      </c>
      <c r="L959" s="279">
        <v>123</v>
      </c>
      <c r="M959" s="279" t="s">
        <v>2055</v>
      </c>
      <c r="N959" s="279" t="s">
        <v>2056</v>
      </c>
      <c r="O959" s="279" t="s">
        <v>464</v>
      </c>
      <c r="P959" s="283">
        <v>839</v>
      </c>
      <c r="Q959" s="279" t="s">
        <v>3869</v>
      </c>
      <c r="R959" s="279" t="s">
        <v>466</v>
      </c>
      <c r="S959" s="279" t="s">
        <v>683</v>
      </c>
      <c r="T959" s="279">
        <v>173</v>
      </c>
      <c r="U959" s="267"/>
      <c r="V959" s="267">
        <v>10</v>
      </c>
      <c r="W959" s="224">
        <v>10</v>
      </c>
      <c r="X959" s="267">
        <v>20</v>
      </c>
      <c r="Y959" s="267">
        <v>20</v>
      </c>
      <c r="Z959" s="267">
        <v>20</v>
      </c>
      <c r="AA959" s="267">
        <v>10</v>
      </c>
      <c r="AB959" s="224">
        <v>70</v>
      </c>
      <c r="AC959" s="267">
        <v>20</v>
      </c>
      <c r="AD959" s="267">
        <v>20</v>
      </c>
      <c r="AE959" s="267">
        <v>20</v>
      </c>
      <c r="AF959" s="267">
        <v>10</v>
      </c>
      <c r="AG959" s="224">
        <v>70</v>
      </c>
      <c r="AH959" s="267">
        <v>20</v>
      </c>
      <c r="AI959" s="267">
        <v>20</v>
      </c>
      <c r="AJ959" s="267">
        <v>20</v>
      </c>
      <c r="AK959" s="267">
        <v>90</v>
      </c>
      <c r="AL959" s="224">
        <v>150</v>
      </c>
      <c r="AM959" s="104">
        <v>300</v>
      </c>
      <c r="AN959" s="103" t="s">
        <v>685</v>
      </c>
      <c r="AO959" s="103" t="s">
        <v>1212</v>
      </c>
      <c r="AP959" s="103" t="s">
        <v>1229</v>
      </c>
      <c r="AQ959" s="103" t="s">
        <v>1207</v>
      </c>
      <c r="AR959" s="103" t="s">
        <v>951</v>
      </c>
      <c r="AS959" s="271"/>
      <c r="AT959" s="271"/>
      <c r="AU959" s="271"/>
      <c r="AV959" s="271"/>
      <c r="AW959" s="271">
        <v>16601261</v>
      </c>
      <c r="AX959" s="271"/>
      <c r="AY959" s="271"/>
      <c r="AZ959" s="271"/>
      <c r="BA959" s="271"/>
      <c r="BB959" s="271"/>
      <c r="BC959" s="271"/>
      <c r="BD959" s="271"/>
      <c r="BE959" s="271"/>
      <c r="BF959" s="271"/>
      <c r="BG959" s="271"/>
      <c r="BH959" s="235">
        <v>16601261</v>
      </c>
      <c r="BI959" s="271"/>
      <c r="BJ959" s="271"/>
      <c r="BK959" s="271"/>
      <c r="BL959" s="271"/>
      <c r="BM959" s="271">
        <v>69600000</v>
      </c>
      <c r="BN959" s="271"/>
      <c r="BO959" s="271"/>
      <c r="BP959" s="271"/>
      <c r="BQ959" s="271"/>
      <c r="BR959" s="271"/>
      <c r="BS959" s="271"/>
      <c r="BT959" s="271"/>
      <c r="BU959" s="271"/>
      <c r="BV959" s="271"/>
      <c r="BW959" s="271"/>
      <c r="BX959" s="235">
        <v>69600000</v>
      </c>
      <c r="BY959" s="271"/>
      <c r="BZ959" s="271"/>
      <c r="CA959" s="271"/>
      <c r="CB959" s="271"/>
      <c r="CC959" s="271">
        <v>100000000</v>
      </c>
      <c r="CD959" s="271"/>
      <c r="CE959" s="271"/>
      <c r="CF959" s="271"/>
      <c r="CG959" s="271"/>
      <c r="CH959" s="271"/>
      <c r="CI959" s="271"/>
      <c r="CJ959" s="271"/>
      <c r="CK959" s="271"/>
      <c r="CL959" s="271"/>
      <c r="CM959" s="271"/>
      <c r="CN959" s="235">
        <v>100000000</v>
      </c>
      <c r="CO959" s="271"/>
      <c r="CP959" s="271"/>
      <c r="CQ959" s="271"/>
      <c r="CR959" s="271"/>
      <c r="CS959" s="271">
        <v>96000000</v>
      </c>
      <c r="CT959" s="271"/>
      <c r="CU959" s="271"/>
      <c r="CV959" s="271"/>
      <c r="CW959" s="271"/>
      <c r="CX959" s="271"/>
      <c r="CY959" s="271"/>
      <c r="CZ959" s="271"/>
      <c r="DA959" s="271"/>
      <c r="DB959" s="271"/>
      <c r="DC959" s="271"/>
      <c r="DD959" s="234">
        <v>96000000</v>
      </c>
      <c r="DE959" s="244">
        <v>282201261</v>
      </c>
    </row>
    <row r="960" spans="1:110" s="98" customFormat="1" ht="119.1" customHeight="1">
      <c r="A960" s="103" t="s">
        <v>1240</v>
      </c>
      <c r="B960" s="279" t="s">
        <v>2051</v>
      </c>
      <c r="C960" s="279" t="s">
        <v>2052</v>
      </c>
      <c r="D960" s="279">
        <v>88</v>
      </c>
      <c r="E960" s="279" t="s">
        <v>2053</v>
      </c>
      <c r="F960" s="280" t="s">
        <v>463</v>
      </c>
      <c r="G960" s="279" t="s">
        <v>3868</v>
      </c>
      <c r="H960" s="279">
        <v>104</v>
      </c>
      <c r="I960" s="279" t="s">
        <v>2054</v>
      </c>
      <c r="J960" s="279" t="s">
        <v>683</v>
      </c>
      <c r="K960" s="279">
        <v>123</v>
      </c>
      <c r="L960" s="279">
        <v>123</v>
      </c>
      <c r="M960" s="279" t="s">
        <v>2055</v>
      </c>
      <c r="N960" s="279" t="s">
        <v>2056</v>
      </c>
      <c r="O960" s="279" t="s">
        <v>464</v>
      </c>
      <c r="P960" s="283">
        <v>840</v>
      </c>
      <c r="Q960" s="279" t="s">
        <v>3925</v>
      </c>
      <c r="R960" s="279" t="s">
        <v>467</v>
      </c>
      <c r="S960" s="279" t="s">
        <v>683</v>
      </c>
      <c r="T960" s="279">
        <v>4</v>
      </c>
      <c r="U960" s="267"/>
      <c r="V960" s="267">
        <v>1</v>
      </c>
      <c r="W960" s="224">
        <v>1</v>
      </c>
      <c r="X960" s="267"/>
      <c r="Y960" s="267">
        <v>1</v>
      </c>
      <c r="Z960" s="267"/>
      <c r="AA960" s="267"/>
      <c r="AB960" s="224">
        <v>1</v>
      </c>
      <c r="AC960" s="267"/>
      <c r="AD960" s="267">
        <v>1</v>
      </c>
      <c r="AE960" s="267"/>
      <c r="AF960" s="267"/>
      <c r="AG960" s="224">
        <v>1</v>
      </c>
      <c r="AH960" s="267"/>
      <c r="AI960" s="267">
        <v>1</v>
      </c>
      <c r="AJ960" s="267"/>
      <c r="AK960" s="267"/>
      <c r="AL960" s="224">
        <v>1</v>
      </c>
      <c r="AM960" s="104">
        <v>4</v>
      </c>
      <c r="AN960" s="103" t="s">
        <v>685</v>
      </c>
      <c r="AO960" s="103" t="s">
        <v>1212</v>
      </c>
      <c r="AP960" s="103" t="s">
        <v>1229</v>
      </c>
      <c r="AQ960" s="103" t="s">
        <v>1207</v>
      </c>
      <c r="AR960" s="103" t="s">
        <v>951</v>
      </c>
      <c r="AS960" s="271"/>
      <c r="AT960" s="271"/>
      <c r="AU960" s="271"/>
      <c r="AV960" s="271"/>
      <c r="AW960" s="271">
        <v>1000000</v>
      </c>
      <c r="AX960" s="271"/>
      <c r="AY960" s="271"/>
      <c r="AZ960" s="271"/>
      <c r="BA960" s="271"/>
      <c r="BB960" s="271"/>
      <c r="BC960" s="271"/>
      <c r="BD960" s="271"/>
      <c r="BE960" s="271"/>
      <c r="BF960" s="271"/>
      <c r="BG960" s="271"/>
      <c r="BH960" s="235">
        <v>1000000</v>
      </c>
      <c r="BI960" s="271"/>
      <c r="BJ960" s="271"/>
      <c r="BK960" s="271"/>
      <c r="BL960" s="271"/>
      <c r="BM960" s="271">
        <v>10000000</v>
      </c>
      <c r="BN960" s="271"/>
      <c r="BO960" s="271"/>
      <c r="BP960" s="271"/>
      <c r="BQ960" s="271"/>
      <c r="BR960" s="271"/>
      <c r="BS960" s="271"/>
      <c r="BT960" s="271"/>
      <c r="BU960" s="271"/>
      <c r="BV960" s="271"/>
      <c r="BW960" s="271"/>
      <c r="BX960" s="235">
        <v>10000000</v>
      </c>
      <c r="BY960" s="271"/>
      <c r="BZ960" s="271"/>
      <c r="CA960" s="271"/>
      <c r="CB960" s="271"/>
      <c r="CC960" s="271">
        <v>15000000</v>
      </c>
      <c r="CD960" s="271"/>
      <c r="CE960" s="271"/>
      <c r="CF960" s="271"/>
      <c r="CG960" s="271"/>
      <c r="CH960" s="271"/>
      <c r="CI960" s="271"/>
      <c r="CJ960" s="271"/>
      <c r="CK960" s="271"/>
      <c r="CL960" s="271"/>
      <c r="CM960" s="271"/>
      <c r="CN960" s="235">
        <v>15000000</v>
      </c>
      <c r="CO960" s="271"/>
      <c r="CP960" s="271"/>
      <c r="CQ960" s="271"/>
      <c r="CR960" s="271"/>
      <c r="CS960" s="271">
        <v>18000000</v>
      </c>
      <c r="CT960" s="271"/>
      <c r="CU960" s="271"/>
      <c r="CV960" s="271"/>
      <c r="CW960" s="271"/>
      <c r="CX960" s="271"/>
      <c r="CY960" s="271"/>
      <c r="CZ960" s="271"/>
      <c r="DA960" s="271"/>
      <c r="DB960" s="271"/>
      <c r="DC960" s="271"/>
      <c r="DD960" s="234">
        <v>18000000</v>
      </c>
      <c r="DE960" s="244">
        <v>44000000</v>
      </c>
    </row>
    <row r="961" spans="1:110" s="98" customFormat="1" ht="119.1" customHeight="1">
      <c r="A961" s="103" t="s">
        <v>1240</v>
      </c>
      <c r="B961" s="279" t="s">
        <v>2051</v>
      </c>
      <c r="C961" s="279" t="s">
        <v>2052</v>
      </c>
      <c r="D961" s="279">
        <v>88</v>
      </c>
      <c r="E961" s="279" t="s">
        <v>2053</v>
      </c>
      <c r="F961" s="280" t="s">
        <v>463</v>
      </c>
      <c r="G961" s="279" t="s">
        <v>3868</v>
      </c>
      <c r="H961" s="279">
        <v>104</v>
      </c>
      <c r="I961" s="279" t="s">
        <v>2054</v>
      </c>
      <c r="J961" s="279" t="s">
        <v>683</v>
      </c>
      <c r="K961" s="279">
        <v>123</v>
      </c>
      <c r="L961" s="279">
        <v>123</v>
      </c>
      <c r="M961" s="279" t="s">
        <v>2055</v>
      </c>
      <c r="N961" s="279" t="s">
        <v>2056</v>
      </c>
      <c r="O961" s="279" t="s">
        <v>464</v>
      </c>
      <c r="P961" s="283">
        <v>841</v>
      </c>
      <c r="Q961" s="279" t="s">
        <v>3870</v>
      </c>
      <c r="R961" s="279" t="s">
        <v>468</v>
      </c>
      <c r="S961" s="279" t="s">
        <v>683</v>
      </c>
      <c r="T961" s="279">
        <v>4</v>
      </c>
      <c r="U961" s="267"/>
      <c r="V961" s="267">
        <v>1</v>
      </c>
      <c r="W961" s="224">
        <v>1</v>
      </c>
      <c r="X961" s="267"/>
      <c r="Y961" s="267"/>
      <c r="Z961" s="267"/>
      <c r="AA961" s="267">
        <v>1</v>
      </c>
      <c r="AB961" s="224">
        <v>1</v>
      </c>
      <c r="AC961" s="267"/>
      <c r="AD961" s="267"/>
      <c r="AE961" s="267"/>
      <c r="AF961" s="267">
        <v>1</v>
      </c>
      <c r="AG961" s="224">
        <v>1</v>
      </c>
      <c r="AH961" s="267"/>
      <c r="AI961" s="267"/>
      <c r="AJ961" s="267"/>
      <c r="AK961" s="267">
        <v>1</v>
      </c>
      <c r="AL961" s="224">
        <v>1</v>
      </c>
      <c r="AM961" s="104">
        <v>4</v>
      </c>
      <c r="AN961" s="103" t="s">
        <v>685</v>
      </c>
      <c r="AO961" s="103" t="s">
        <v>1212</v>
      </c>
      <c r="AP961" s="103" t="s">
        <v>1229</v>
      </c>
      <c r="AQ961" s="103" t="s">
        <v>1207</v>
      </c>
      <c r="AR961" s="103" t="s">
        <v>951</v>
      </c>
      <c r="AS961" s="271"/>
      <c r="AT961" s="271"/>
      <c r="AU961" s="271"/>
      <c r="AV961" s="271"/>
      <c r="AW961" s="271">
        <v>15000000</v>
      </c>
      <c r="AX961" s="271"/>
      <c r="AY961" s="271"/>
      <c r="AZ961" s="271"/>
      <c r="BA961" s="271"/>
      <c r="BB961" s="271"/>
      <c r="BC961" s="271"/>
      <c r="BD961" s="271"/>
      <c r="BE961" s="271"/>
      <c r="BF961" s="271"/>
      <c r="BG961" s="271"/>
      <c r="BH961" s="235">
        <v>15000000</v>
      </c>
      <c r="BI961" s="271"/>
      <c r="BJ961" s="271"/>
      <c r="BK961" s="271"/>
      <c r="BL961" s="271"/>
      <c r="BM961" s="271">
        <v>64811514</v>
      </c>
      <c r="BN961" s="271"/>
      <c r="BO961" s="271"/>
      <c r="BP961" s="271"/>
      <c r="BQ961" s="271"/>
      <c r="BR961" s="271"/>
      <c r="BS961" s="271"/>
      <c r="BT961" s="271"/>
      <c r="BU961" s="271"/>
      <c r="BV961" s="271"/>
      <c r="BW961" s="271"/>
      <c r="BX961" s="235">
        <v>64811514</v>
      </c>
      <c r="BY961" s="271"/>
      <c r="BZ961" s="271"/>
      <c r="CA961" s="271"/>
      <c r="CB961" s="271"/>
      <c r="CC961" s="271">
        <v>81475000</v>
      </c>
      <c r="CD961" s="271"/>
      <c r="CE961" s="271"/>
      <c r="CF961" s="271"/>
      <c r="CG961" s="271"/>
      <c r="CH961" s="271"/>
      <c r="CI961" s="271"/>
      <c r="CJ961" s="271"/>
      <c r="CK961" s="271"/>
      <c r="CL961" s="271"/>
      <c r="CM961" s="271"/>
      <c r="CN961" s="235">
        <v>81475000</v>
      </c>
      <c r="CO961" s="271"/>
      <c r="CP961" s="271"/>
      <c r="CQ961" s="271"/>
      <c r="CR961" s="271"/>
      <c r="CS961" s="271">
        <v>117987817</v>
      </c>
      <c r="CT961" s="271"/>
      <c r="CU961" s="271"/>
      <c r="CV961" s="271"/>
      <c r="CW961" s="271"/>
      <c r="CX961" s="271"/>
      <c r="CY961" s="271"/>
      <c r="CZ961" s="271"/>
      <c r="DA961" s="271"/>
      <c r="DB961" s="271"/>
      <c r="DC961" s="271"/>
      <c r="DD961" s="234">
        <v>117987817</v>
      </c>
      <c r="DE961" s="244">
        <v>279274331</v>
      </c>
    </row>
    <row r="962" spans="1:110" s="98" customFormat="1" ht="119.1" customHeight="1">
      <c r="A962" s="103" t="s">
        <v>1240</v>
      </c>
      <c r="B962" s="279" t="s">
        <v>2051</v>
      </c>
      <c r="C962" s="279" t="s">
        <v>2052</v>
      </c>
      <c r="D962" s="279">
        <v>88</v>
      </c>
      <c r="E962" s="279" t="s">
        <v>2053</v>
      </c>
      <c r="F962" s="280" t="s">
        <v>463</v>
      </c>
      <c r="G962" s="279" t="s">
        <v>3871</v>
      </c>
      <c r="H962" s="279">
        <v>105</v>
      </c>
      <c r="I962" s="279" t="s">
        <v>469</v>
      </c>
      <c r="J962" s="279" t="s">
        <v>683</v>
      </c>
      <c r="K962" s="279">
        <v>0</v>
      </c>
      <c r="L962" s="279">
        <v>123</v>
      </c>
      <c r="M962" s="279" t="s">
        <v>2057</v>
      </c>
      <c r="N962" s="279" t="s">
        <v>2058</v>
      </c>
      <c r="O962" s="279" t="s">
        <v>2059</v>
      </c>
      <c r="P962" s="283">
        <v>842</v>
      </c>
      <c r="Q962" s="279" t="s">
        <v>3926</v>
      </c>
      <c r="R962" s="279" t="s">
        <v>2060</v>
      </c>
      <c r="S962" s="279" t="s">
        <v>683</v>
      </c>
      <c r="T962" s="279">
        <v>105</v>
      </c>
      <c r="U962" s="267">
        <v>2</v>
      </c>
      <c r="V962" s="267">
        <v>5</v>
      </c>
      <c r="W962" s="224">
        <v>7</v>
      </c>
      <c r="X962" s="267"/>
      <c r="Y962" s="267">
        <v>5</v>
      </c>
      <c r="Z962" s="267">
        <v>5</v>
      </c>
      <c r="AA962" s="267"/>
      <c r="AB962" s="224">
        <v>10</v>
      </c>
      <c r="AC962" s="267"/>
      <c r="AD962" s="267"/>
      <c r="AE962" s="267"/>
      <c r="AF962" s="267"/>
      <c r="AG962" s="224">
        <v>0</v>
      </c>
      <c r="AH962" s="267"/>
      <c r="AI962" s="267"/>
      <c r="AJ962" s="267"/>
      <c r="AK962" s="267"/>
      <c r="AL962" s="224">
        <v>0</v>
      </c>
      <c r="AM962" s="104">
        <v>17</v>
      </c>
      <c r="AN962" s="103" t="s">
        <v>685</v>
      </c>
      <c r="AO962" s="103" t="s">
        <v>1212</v>
      </c>
      <c r="AP962" s="103" t="s">
        <v>1229</v>
      </c>
      <c r="AQ962" s="103" t="s">
        <v>1199</v>
      </c>
      <c r="AR962" s="103" t="s">
        <v>936</v>
      </c>
      <c r="AS962" s="271"/>
      <c r="AT962" s="271"/>
      <c r="AU962" s="271"/>
      <c r="AV962" s="271"/>
      <c r="AW962" s="271">
        <v>9520252</v>
      </c>
      <c r="AX962" s="271"/>
      <c r="AY962" s="271"/>
      <c r="AZ962" s="271"/>
      <c r="BA962" s="271"/>
      <c r="BB962" s="271"/>
      <c r="BC962" s="271"/>
      <c r="BD962" s="271"/>
      <c r="BE962" s="271"/>
      <c r="BF962" s="271"/>
      <c r="BG962" s="271"/>
      <c r="BH962" s="235">
        <v>9520252</v>
      </c>
      <c r="BI962" s="271"/>
      <c r="BJ962" s="271"/>
      <c r="BK962" s="271"/>
      <c r="BL962" s="271"/>
      <c r="BM962" s="271">
        <v>42762302</v>
      </c>
      <c r="BN962" s="271"/>
      <c r="BO962" s="271"/>
      <c r="BP962" s="271"/>
      <c r="BQ962" s="271"/>
      <c r="BR962" s="271"/>
      <c r="BS962" s="271"/>
      <c r="BT962" s="271"/>
      <c r="BU962" s="271"/>
      <c r="BV962" s="271"/>
      <c r="BW962" s="271"/>
      <c r="BX962" s="235">
        <v>42762302</v>
      </c>
      <c r="BY962" s="271"/>
      <c r="BZ962" s="271"/>
      <c r="CA962" s="271"/>
      <c r="CB962" s="271"/>
      <c r="CC962" s="271">
        <v>0</v>
      </c>
      <c r="CD962" s="271"/>
      <c r="CE962" s="271"/>
      <c r="CF962" s="271"/>
      <c r="CG962" s="271"/>
      <c r="CH962" s="271"/>
      <c r="CI962" s="271"/>
      <c r="CJ962" s="271"/>
      <c r="CK962" s="271"/>
      <c r="CL962" s="271"/>
      <c r="CM962" s="271"/>
      <c r="CN962" s="235">
        <v>0</v>
      </c>
      <c r="CO962" s="271"/>
      <c r="CP962" s="271"/>
      <c r="CQ962" s="271"/>
      <c r="CR962" s="271"/>
      <c r="CS962" s="271">
        <v>0</v>
      </c>
      <c r="CT962" s="271"/>
      <c r="CU962" s="271"/>
      <c r="CV962" s="271"/>
      <c r="CW962" s="271"/>
      <c r="CX962" s="271"/>
      <c r="CY962" s="271"/>
      <c r="CZ962" s="271"/>
      <c r="DA962" s="271"/>
      <c r="DB962" s="271"/>
      <c r="DC962" s="271"/>
      <c r="DD962" s="234">
        <v>0</v>
      </c>
      <c r="DE962" s="244">
        <v>52282554</v>
      </c>
    </row>
    <row r="963" spans="1:110" s="98" customFormat="1" ht="119.1" customHeight="1">
      <c r="A963" s="103" t="s">
        <v>1240</v>
      </c>
      <c r="B963" s="279" t="s">
        <v>2051</v>
      </c>
      <c r="C963" s="279" t="s">
        <v>2052</v>
      </c>
      <c r="D963" s="279">
        <v>88</v>
      </c>
      <c r="E963" s="279" t="s">
        <v>2053</v>
      </c>
      <c r="F963" s="280" t="s">
        <v>463</v>
      </c>
      <c r="G963" s="279" t="s">
        <v>3871</v>
      </c>
      <c r="H963" s="279">
        <v>105</v>
      </c>
      <c r="I963" s="279" t="s">
        <v>469</v>
      </c>
      <c r="J963" s="279" t="s">
        <v>683</v>
      </c>
      <c r="K963" s="279">
        <v>0</v>
      </c>
      <c r="L963" s="279">
        <v>123</v>
      </c>
      <c r="M963" s="279" t="s">
        <v>2057</v>
      </c>
      <c r="N963" s="279" t="s">
        <v>2058</v>
      </c>
      <c r="O963" s="279" t="s">
        <v>2059</v>
      </c>
      <c r="P963" s="283">
        <v>843</v>
      </c>
      <c r="Q963" s="279" t="s">
        <v>3927</v>
      </c>
      <c r="R963" s="279" t="s">
        <v>2061</v>
      </c>
      <c r="S963" s="279" t="s">
        <v>683</v>
      </c>
      <c r="T963" s="279">
        <v>0</v>
      </c>
      <c r="U963" s="267">
        <v>10</v>
      </c>
      <c r="V963" s="267">
        <v>10</v>
      </c>
      <c r="W963" s="224">
        <v>20</v>
      </c>
      <c r="X963" s="267">
        <v>8</v>
      </c>
      <c r="Y963" s="267">
        <v>8</v>
      </c>
      <c r="Z963" s="267">
        <v>8</v>
      </c>
      <c r="AA963" s="267">
        <v>10</v>
      </c>
      <c r="AB963" s="224">
        <v>34</v>
      </c>
      <c r="AC963" s="267">
        <v>8</v>
      </c>
      <c r="AD963" s="267">
        <v>8</v>
      </c>
      <c r="AE963" s="267">
        <v>8</v>
      </c>
      <c r="AF963" s="267">
        <v>10</v>
      </c>
      <c r="AG963" s="224">
        <v>34</v>
      </c>
      <c r="AH963" s="267">
        <v>10</v>
      </c>
      <c r="AI963" s="267">
        <v>10</v>
      </c>
      <c r="AJ963" s="267">
        <v>10</v>
      </c>
      <c r="AK963" s="267">
        <v>5</v>
      </c>
      <c r="AL963" s="224">
        <v>35</v>
      </c>
      <c r="AM963" s="104">
        <v>123</v>
      </c>
      <c r="AN963" s="103" t="s">
        <v>685</v>
      </c>
      <c r="AO963" s="103" t="s">
        <v>1212</v>
      </c>
      <c r="AP963" s="103" t="s">
        <v>1229</v>
      </c>
      <c r="AQ963" s="103" t="s">
        <v>1199</v>
      </c>
      <c r="AR963" s="103" t="s">
        <v>936</v>
      </c>
      <c r="AS963" s="271"/>
      <c r="AT963" s="271"/>
      <c r="AU963" s="271"/>
      <c r="AV963" s="271"/>
      <c r="AW963" s="271">
        <v>9520252</v>
      </c>
      <c r="AX963" s="271"/>
      <c r="AY963" s="271"/>
      <c r="AZ963" s="271"/>
      <c r="BA963" s="271"/>
      <c r="BB963" s="271"/>
      <c r="BC963" s="271"/>
      <c r="BD963" s="271"/>
      <c r="BE963" s="271"/>
      <c r="BF963" s="271"/>
      <c r="BG963" s="271"/>
      <c r="BH963" s="235">
        <v>9520252</v>
      </c>
      <c r="BI963" s="271"/>
      <c r="BJ963" s="271"/>
      <c r="BK963" s="271"/>
      <c r="BL963" s="271"/>
      <c r="BM963" s="271">
        <v>42762302</v>
      </c>
      <c r="BN963" s="271"/>
      <c r="BO963" s="271"/>
      <c r="BP963" s="271"/>
      <c r="BQ963" s="271"/>
      <c r="BR963" s="271"/>
      <c r="BS963" s="271"/>
      <c r="BT963" s="271"/>
      <c r="BU963" s="271"/>
      <c r="BV963" s="271"/>
      <c r="BW963" s="271"/>
      <c r="BX963" s="235">
        <v>42762302</v>
      </c>
      <c r="BY963" s="271"/>
      <c r="BZ963" s="271"/>
      <c r="CA963" s="271"/>
      <c r="CB963" s="271"/>
      <c r="CC963" s="271">
        <v>58718750</v>
      </c>
      <c r="CD963" s="271"/>
      <c r="CE963" s="271"/>
      <c r="CF963" s="271"/>
      <c r="CG963" s="271"/>
      <c r="CH963" s="271"/>
      <c r="CI963" s="271"/>
      <c r="CJ963" s="271"/>
      <c r="CK963" s="271"/>
      <c r="CL963" s="271"/>
      <c r="CM963" s="271"/>
      <c r="CN963" s="235">
        <v>58718750</v>
      </c>
      <c r="CO963" s="271"/>
      <c r="CP963" s="271"/>
      <c r="CQ963" s="271"/>
      <c r="CR963" s="271"/>
      <c r="CS963" s="271">
        <v>72996954</v>
      </c>
      <c r="CT963" s="271"/>
      <c r="CU963" s="271"/>
      <c r="CV963" s="271"/>
      <c r="CW963" s="271"/>
      <c r="CX963" s="271"/>
      <c r="CY963" s="271"/>
      <c r="CZ963" s="271"/>
      <c r="DA963" s="271"/>
      <c r="DB963" s="271"/>
      <c r="DC963" s="271"/>
      <c r="DD963" s="234">
        <v>72996954</v>
      </c>
      <c r="DE963" s="244">
        <v>183998258</v>
      </c>
    </row>
    <row r="964" spans="1:110" s="98" customFormat="1" ht="119.1" customHeight="1">
      <c r="A964" s="103" t="s">
        <v>1240</v>
      </c>
      <c r="B964" s="279" t="s">
        <v>2051</v>
      </c>
      <c r="C964" s="279" t="s">
        <v>2052</v>
      </c>
      <c r="D964" s="279">
        <v>88</v>
      </c>
      <c r="E964" s="279" t="s">
        <v>2053</v>
      </c>
      <c r="F964" s="280" t="s">
        <v>463</v>
      </c>
      <c r="G964" s="279" t="s">
        <v>3871</v>
      </c>
      <c r="H964" s="279">
        <v>105</v>
      </c>
      <c r="I964" s="279" t="s">
        <v>469</v>
      </c>
      <c r="J964" s="279" t="s">
        <v>683</v>
      </c>
      <c r="K964" s="279">
        <v>0</v>
      </c>
      <c r="L964" s="279">
        <v>123</v>
      </c>
      <c r="M964" s="279" t="s">
        <v>2057</v>
      </c>
      <c r="N964" s="279" t="s">
        <v>2058</v>
      </c>
      <c r="O964" s="279" t="s">
        <v>2059</v>
      </c>
      <c r="P964" s="283">
        <v>844</v>
      </c>
      <c r="Q964" s="279" t="s">
        <v>3928</v>
      </c>
      <c r="R964" s="279" t="s">
        <v>2062</v>
      </c>
      <c r="S964" s="279" t="s">
        <v>683</v>
      </c>
      <c r="T964" s="279">
        <v>0</v>
      </c>
      <c r="U964" s="267">
        <v>3</v>
      </c>
      <c r="V964" s="267">
        <v>10</v>
      </c>
      <c r="W964" s="224">
        <v>13</v>
      </c>
      <c r="X964" s="267">
        <v>10</v>
      </c>
      <c r="Y964" s="267">
        <v>10</v>
      </c>
      <c r="Z964" s="267">
        <v>10</v>
      </c>
      <c r="AA964" s="267">
        <v>10</v>
      </c>
      <c r="AB964" s="224">
        <v>40</v>
      </c>
      <c r="AC964" s="267">
        <v>10</v>
      </c>
      <c r="AD964" s="267">
        <v>10</v>
      </c>
      <c r="AE964" s="267">
        <v>10</v>
      </c>
      <c r="AF964" s="267">
        <v>10</v>
      </c>
      <c r="AG964" s="224">
        <v>40</v>
      </c>
      <c r="AH964" s="267">
        <v>10</v>
      </c>
      <c r="AI964" s="267">
        <v>10</v>
      </c>
      <c r="AJ964" s="267">
        <v>10</v>
      </c>
      <c r="AK964" s="267"/>
      <c r="AL964" s="224">
        <v>30</v>
      </c>
      <c r="AM964" s="104">
        <v>123</v>
      </c>
      <c r="AN964" s="103" t="s">
        <v>685</v>
      </c>
      <c r="AO964" s="103" t="s">
        <v>1212</v>
      </c>
      <c r="AP964" s="103" t="s">
        <v>1229</v>
      </c>
      <c r="AQ964" s="103" t="s">
        <v>1199</v>
      </c>
      <c r="AR964" s="103" t="s">
        <v>946</v>
      </c>
      <c r="AS964" s="271"/>
      <c r="AT964" s="271"/>
      <c r="AU964" s="271"/>
      <c r="AV964" s="271"/>
      <c r="AW964" s="271">
        <v>9520252</v>
      </c>
      <c r="AX964" s="271"/>
      <c r="AY964" s="271"/>
      <c r="AZ964" s="271"/>
      <c r="BA964" s="271"/>
      <c r="BB964" s="271"/>
      <c r="BC964" s="271"/>
      <c r="BD964" s="271"/>
      <c r="BE964" s="271"/>
      <c r="BF964" s="271"/>
      <c r="BG964" s="271"/>
      <c r="BH964" s="235">
        <v>9520252</v>
      </c>
      <c r="BI964" s="271"/>
      <c r="BJ964" s="271"/>
      <c r="BK964" s="271"/>
      <c r="BL964" s="271"/>
      <c r="BM964" s="271">
        <v>42762302</v>
      </c>
      <c r="BN964" s="271"/>
      <c r="BO964" s="271"/>
      <c r="BP964" s="271"/>
      <c r="BQ964" s="271"/>
      <c r="BR964" s="271"/>
      <c r="BS964" s="271"/>
      <c r="BT964" s="271"/>
      <c r="BU964" s="271"/>
      <c r="BV964" s="271"/>
      <c r="BW964" s="271"/>
      <c r="BX964" s="235">
        <v>42762302</v>
      </c>
      <c r="BY964" s="271"/>
      <c r="BZ964" s="271"/>
      <c r="CA964" s="271"/>
      <c r="CB964" s="271"/>
      <c r="CC964" s="271">
        <v>58718750</v>
      </c>
      <c r="CD964" s="271"/>
      <c r="CE964" s="271"/>
      <c r="CF964" s="271"/>
      <c r="CG964" s="271"/>
      <c r="CH964" s="271"/>
      <c r="CI964" s="271"/>
      <c r="CJ964" s="271"/>
      <c r="CK964" s="271"/>
      <c r="CL964" s="271"/>
      <c r="CM964" s="271"/>
      <c r="CN964" s="235">
        <v>58718750</v>
      </c>
      <c r="CO964" s="271"/>
      <c r="CP964" s="271"/>
      <c r="CQ964" s="271"/>
      <c r="CR964" s="271"/>
      <c r="CS964" s="271">
        <v>72996954</v>
      </c>
      <c r="CT964" s="271"/>
      <c r="CU964" s="271"/>
      <c r="CV964" s="271"/>
      <c r="CW964" s="271"/>
      <c r="CX964" s="271"/>
      <c r="CY964" s="271"/>
      <c r="CZ964" s="271"/>
      <c r="DA964" s="271"/>
      <c r="DB964" s="271"/>
      <c r="DC964" s="271"/>
      <c r="DD964" s="234">
        <v>72996954</v>
      </c>
      <c r="DE964" s="244">
        <v>183998258</v>
      </c>
    </row>
    <row r="965" spans="1:110" s="98" customFormat="1" ht="119.1" customHeight="1">
      <c r="A965" s="103" t="s">
        <v>1240</v>
      </c>
      <c r="B965" s="279" t="s">
        <v>2051</v>
      </c>
      <c r="C965" s="279" t="s">
        <v>2052</v>
      </c>
      <c r="D965" s="279">
        <v>88</v>
      </c>
      <c r="E965" s="279" t="s">
        <v>2053</v>
      </c>
      <c r="F965" s="280" t="s">
        <v>463</v>
      </c>
      <c r="G965" s="279" t="s">
        <v>3871</v>
      </c>
      <c r="H965" s="279">
        <v>105</v>
      </c>
      <c r="I965" s="279" t="s">
        <v>469</v>
      </c>
      <c r="J965" s="279" t="s">
        <v>683</v>
      </c>
      <c r="K965" s="279">
        <v>0</v>
      </c>
      <c r="L965" s="279">
        <v>123</v>
      </c>
      <c r="M965" s="279" t="s">
        <v>2057</v>
      </c>
      <c r="N965" s="279" t="s">
        <v>2058</v>
      </c>
      <c r="O965" s="279" t="s">
        <v>2059</v>
      </c>
      <c r="P965" s="283">
        <v>845</v>
      </c>
      <c r="Q965" s="279" t="s">
        <v>3929</v>
      </c>
      <c r="R965" s="279" t="s">
        <v>2063</v>
      </c>
      <c r="S965" s="279" t="s">
        <v>683</v>
      </c>
      <c r="T965" s="279">
        <v>0</v>
      </c>
      <c r="U965" s="267"/>
      <c r="V965" s="267">
        <v>0.5</v>
      </c>
      <c r="W965" s="224">
        <v>0.5</v>
      </c>
      <c r="X965" s="267"/>
      <c r="Y965" s="267"/>
      <c r="Z965" s="267">
        <v>4.5</v>
      </c>
      <c r="AA965" s="267"/>
      <c r="AB965" s="224">
        <v>4.5</v>
      </c>
      <c r="AC965" s="267"/>
      <c r="AD965" s="267"/>
      <c r="AE965" s="267">
        <v>5</v>
      </c>
      <c r="AF965" s="267"/>
      <c r="AG965" s="224">
        <v>5</v>
      </c>
      <c r="AH965" s="267"/>
      <c r="AI965" s="267">
        <v>5</v>
      </c>
      <c r="AJ965" s="267"/>
      <c r="AK965" s="267"/>
      <c r="AL965" s="224">
        <v>5</v>
      </c>
      <c r="AM965" s="104">
        <v>15</v>
      </c>
      <c r="AN965" s="103" t="s">
        <v>685</v>
      </c>
      <c r="AO965" s="103" t="s">
        <v>1212</v>
      </c>
      <c r="AP965" s="103" t="s">
        <v>1229</v>
      </c>
      <c r="AQ965" s="103" t="s">
        <v>1199</v>
      </c>
      <c r="AR965" s="103" t="s">
        <v>946</v>
      </c>
      <c r="AS965" s="271"/>
      <c r="AT965" s="271"/>
      <c r="AU965" s="271"/>
      <c r="AV965" s="271"/>
      <c r="AW965" s="271">
        <v>9520252</v>
      </c>
      <c r="AX965" s="271"/>
      <c r="AY965" s="271"/>
      <c r="AZ965" s="271"/>
      <c r="BA965" s="271"/>
      <c r="BB965" s="271"/>
      <c r="BC965" s="271"/>
      <c r="BD965" s="271"/>
      <c r="BE965" s="271"/>
      <c r="BF965" s="271"/>
      <c r="BG965" s="271"/>
      <c r="BH965" s="235">
        <v>9520252</v>
      </c>
      <c r="BI965" s="271"/>
      <c r="BJ965" s="271"/>
      <c r="BK965" s="271"/>
      <c r="BL965" s="271"/>
      <c r="BM965" s="271">
        <v>42162307</v>
      </c>
      <c r="BN965" s="271"/>
      <c r="BO965" s="271"/>
      <c r="BP965" s="271"/>
      <c r="BQ965" s="271"/>
      <c r="BR965" s="271"/>
      <c r="BS965" s="271"/>
      <c r="BT965" s="271"/>
      <c r="BU965" s="271"/>
      <c r="BV965" s="271"/>
      <c r="BW965" s="271"/>
      <c r="BX965" s="235">
        <v>42162307</v>
      </c>
      <c r="BY965" s="271"/>
      <c r="BZ965" s="271"/>
      <c r="CA965" s="271"/>
      <c r="CB965" s="271"/>
      <c r="CC965" s="271">
        <v>58718750</v>
      </c>
      <c r="CD965" s="271"/>
      <c r="CE965" s="271"/>
      <c r="CF965" s="271"/>
      <c r="CG965" s="271"/>
      <c r="CH965" s="271"/>
      <c r="CI965" s="271"/>
      <c r="CJ965" s="271"/>
      <c r="CK965" s="271"/>
      <c r="CL965" s="271"/>
      <c r="CM965" s="271"/>
      <c r="CN965" s="235">
        <v>58718750</v>
      </c>
      <c r="CO965" s="271"/>
      <c r="CP965" s="271"/>
      <c r="CQ965" s="271"/>
      <c r="CR965" s="271"/>
      <c r="CS965" s="271">
        <v>72996954</v>
      </c>
      <c r="CT965" s="271"/>
      <c r="CU965" s="271"/>
      <c r="CV965" s="271"/>
      <c r="CW965" s="271"/>
      <c r="CX965" s="271"/>
      <c r="CY965" s="271"/>
      <c r="CZ965" s="271"/>
      <c r="DA965" s="271"/>
      <c r="DB965" s="271"/>
      <c r="DC965" s="271"/>
      <c r="DD965" s="234">
        <v>72996954</v>
      </c>
      <c r="DE965" s="244">
        <v>183398263</v>
      </c>
    </row>
    <row r="966" spans="1:110" s="98" customFormat="1" ht="119.1" customHeight="1">
      <c r="A966" s="120" t="s">
        <v>1240</v>
      </c>
      <c r="B966" s="281" t="s">
        <v>2051</v>
      </c>
      <c r="C966" s="281" t="s">
        <v>2052</v>
      </c>
      <c r="D966" s="281">
        <v>88</v>
      </c>
      <c r="E966" s="281" t="s">
        <v>2053</v>
      </c>
      <c r="F966" s="282" t="s">
        <v>463</v>
      </c>
      <c r="G966" s="281" t="s">
        <v>3871</v>
      </c>
      <c r="H966" s="281">
        <v>105</v>
      </c>
      <c r="I966" s="281" t="s">
        <v>469</v>
      </c>
      <c r="J966" s="281" t="s">
        <v>683</v>
      </c>
      <c r="K966" s="281">
        <v>0</v>
      </c>
      <c r="L966" s="281">
        <v>123</v>
      </c>
      <c r="M966" s="281" t="s">
        <v>2057</v>
      </c>
      <c r="N966" s="281" t="s">
        <v>2058</v>
      </c>
      <c r="O966" s="281" t="s">
        <v>2059</v>
      </c>
      <c r="P966" s="283">
        <v>846</v>
      </c>
      <c r="Q966" s="281" t="s">
        <v>3930</v>
      </c>
      <c r="R966" s="281" t="s">
        <v>2064</v>
      </c>
      <c r="S966" s="281" t="s">
        <v>683</v>
      </c>
      <c r="T966" s="281">
        <v>0</v>
      </c>
      <c r="U966" s="275"/>
      <c r="V966" s="275">
        <v>0.5</v>
      </c>
      <c r="W966" s="225">
        <v>0.5</v>
      </c>
      <c r="X966" s="275"/>
      <c r="Y966" s="275">
        <v>1.5</v>
      </c>
      <c r="Z966" s="275">
        <v>2</v>
      </c>
      <c r="AA966" s="275"/>
      <c r="AB966" s="225">
        <v>3.5</v>
      </c>
      <c r="AC966" s="275"/>
      <c r="AD966" s="275">
        <v>2</v>
      </c>
      <c r="AE966" s="275">
        <v>2</v>
      </c>
      <c r="AF966" s="275"/>
      <c r="AG966" s="225">
        <v>4</v>
      </c>
      <c r="AH966" s="275">
        <v>2</v>
      </c>
      <c r="AI966" s="275"/>
      <c r="AJ966" s="275"/>
      <c r="AK966" s="275"/>
      <c r="AL966" s="225">
        <v>2</v>
      </c>
      <c r="AM966" s="119">
        <v>10</v>
      </c>
      <c r="AN966" s="120" t="s">
        <v>685</v>
      </c>
      <c r="AO966" s="120" t="s">
        <v>1212</v>
      </c>
      <c r="AP966" s="120" t="s">
        <v>1229</v>
      </c>
      <c r="AQ966" s="120" t="s">
        <v>1199</v>
      </c>
      <c r="AR966" s="120" t="s">
        <v>946</v>
      </c>
      <c r="AS966" s="276"/>
      <c r="AT966" s="276"/>
      <c r="AU966" s="276"/>
      <c r="AV966" s="276"/>
      <c r="AW966" s="276">
        <v>9520254.25</v>
      </c>
      <c r="AX966" s="276"/>
      <c r="AY966" s="276"/>
      <c r="AZ966" s="276"/>
      <c r="BA966" s="276"/>
      <c r="BB966" s="276"/>
      <c r="BC966" s="276"/>
      <c r="BD966" s="276"/>
      <c r="BE966" s="276"/>
      <c r="BF966" s="276"/>
      <c r="BG966" s="276"/>
      <c r="BH966" s="236">
        <v>9520254.25</v>
      </c>
      <c r="BI966" s="276"/>
      <c r="BJ966" s="276"/>
      <c r="BK966" s="276"/>
      <c r="BL966" s="276"/>
      <c r="BM966" s="276">
        <v>42762302</v>
      </c>
      <c r="BN966" s="276"/>
      <c r="BO966" s="276"/>
      <c r="BP966" s="276"/>
      <c r="BQ966" s="276"/>
      <c r="BR966" s="276"/>
      <c r="BS966" s="276"/>
      <c r="BT966" s="276"/>
      <c r="BU966" s="276"/>
      <c r="BV966" s="276"/>
      <c r="BW966" s="276"/>
      <c r="BX966" s="236">
        <v>42762302</v>
      </c>
      <c r="BY966" s="276"/>
      <c r="BZ966" s="276"/>
      <c r="CA966" s="276"/>
      <c r="CB966" s="276"/>
      <c r="CC966" s="276">
        <v>58718750</v>
      </c>
      <c r="CD966" s="276"/>
      <c r="CE966" s="276"/>
      <c r="CF966" s="276"/>
      <c r="CG966" s="276"/>
      <c r="CH966" s="276"/>
      <c r="CI966" s="276"/>
      <c r="CJ966" s="276"/>
      <c r="CK966" s="276"/>
      <c r="CL966" s="276"/>
      <c r="CM966" s="276"/>
      <c r="CN966" s="236">
        <v>58718750</v>
      </c>
      <c r="CO966" s="276"/>
      <c r="CP966" s="276"/>
      <c r="CQ966" s="276"/>
      <c r="CR966" s="276"/>
      <c r="CS966" s="276">
        <v>72996957.5</v>
      </c>
      <c r="CT966" s="276"/>
      <c r="CU966" s="276"/>
      <c r="CV966" s="276"/>
      <c r="CW966" s="276"/>
      <c r="CX966" s="276"/>
      <c r="CY966" s="276"/>
      <c r="CZ966" s="276"/>
      <c r="DA966" s="276"/>
      <c r="DB966" s="276"/>
      <c r="DC966" s="276"/>
      <c r="DD966" s="240">
        <v>72996957.5</v>
      </c>
      <c r="DE966" s="245">
        <v>183998263.75</v>
      </c>
    </row>
    <row r="967" spans="1:110" ht="65.099999999999994" customHeight="1">
      <c r="A967" s="118" t="s">
        <v>1240</v>
      </c>
      <c r="B967" s="118" t="s">
        <v>2051</v>
      </c>
      <c r="C967" s="118" t="s">
        <v>2052</v>
      </c>
      <c r="D967" s="118">
        <v>88</v>
      </c>
      <c r="E967" s="118" t="s">
        <v>2053</v>
      </c>
      <c r="F967" s="135"/>
      <c r="G967" s="136"/>
      <c r="H967" s="137"/>
      <c r="I967" s="137"/>
      <c r="J967" s="137"/>
      <c r="K967" s="138"/>
      <c r="L967" s="137"/>
      <c r="M967" s="137"/>
      <c r="N967" s="137"/>
      <c r="O967" s="137"/>
      <c r="P967" s="137"/>
      <c r="Q967" s="136"/>
      <c r="R967" s="139"/>
      <c r="S967" s="137"/>
      <c r="T967" s="137"/>
      <c r="U967" s="140"/>
      <c r="V967" s="140"/>
      <c r="W967" s="138"/>
      <c r="X967" s="140"/>
      <c r="Y967" s="140"/>
      <c r="Z967" s="140"/>
      <c r="AA967" s="140"/>
      <c r="AB967" s="138"/>
      <c r="AC967" s="140"/>
      <c r="AD967" s="140"/>
      <c r="AE967" s="140"/>
      <c r="AF967" s="140"/>
      <c r="AG967" s="138"/>
      <c r="AH967" s="140"/>
      <c r="AI967" s="140"/>
      <c r="AJ967" s="140"/>
      <c r="AK967" s="140"/>
      <c r="AL967" s="138"/>
      <c r="AM967" s="141"/>
      <c r="AN967" s="142"/>
      <c r="AO967" s="142"/>
      <c r="AP967" s="143"/>
      <c r="AQ967" s="143"/>
      <c r="AR967" s="144"/>
      <c r="AS967" s="132">
        <f>SUM(AS958:AS966)</f>
        <v>0</v>
      </c>
      <c r="AT967" s="132">
        <f t="shared" ref="AT967:DE967" si="501">SUM(AT958:AT966)</f>
        <v>0</v>
      </c>
      <c r="AU967" s="132">
        <f t="shared" si="501"/>
        <v>0</v>
      </c>
      <c r="AV967" s="132">
        <f t="shared" si="501"/>
        <v>0</v>
      </c>
      <c r="AW967" s="132">
        <f t="shared" si="501"/>
        <v>95202523.25</v>
      </c>
      <c r="AX967" s="132">
        <f t="shared" si="501"/>
        <v>0</v>
      </c>
      <c r="AY967" s="132">
        <f t="shared" si="501"/>
        <v>0</v>
      </c>
      <c r="AZ967" s="132">
        <f t="shared" si="501"/>
        <v>0</v>
      </c>
      <c r="BA967" s="132">
        <f t="shared" si="501"/>
        <v>0</v>
      </c>
      <c r="BB967" s="132">
        <f t="shared" si="501"/>
        <v>0</v>
      </c>
      <c r="BC967" s="132">
        <f t="shared" si="501"/>
        <v>0</v>
      </c>
      <c r="BD967" s="132">
        <f t="shared" si="501"/>
        <v>0</v>
      </c>
      <c r="BE967" s="132">
        <f t="shared" si="501"/>
        <v>0</v>
      </c>
      <c r="BF967" s="132">
        <f t="shared" si="501"/>
        <v>0</v>
      </c>
      <c r="BG967" s="132">
        <f t="shared" si="501"/>
        <v>0</v>
      </c>
      <c r="BH967" s="132">
        <f>IF(OR(AND(BH958=0,W958&lt;&gt;0),AND(BH959=0,W959&lt;&gt;0),AND(BH960=0,W960&lt;&gt;0),AND(BH961=0,W961&lt;&gt;0),AND(BH962=0,W962&lt;&gt;0),AND(BH963=0,W963&lt;&gt;0),AND(BH964=0,W964&lt;&gt;0),AND(BH965=0,W965&lt;&gt;0),AND(BH966=0,W966&lt;&gt;0)),"NO DEBEN QUEDAR CELDAS EN ROJO",SUM(BH958:BH966))</f>
        <v>95202523.25</v>
      </c>
      <c r="BI967" s="132">
        <f t="shared" si="501"/>
        <v>0</v>
      </c>
      <c r="BJ967" s="132">
        <f t="shared" si="501"/>
        <v>0</v>
      </c>
      <c r="BK967" s="132">
        <f t="shared" si="501"/>
        <v>0</v>
      </c>
      <c r="BL967" s="132">
        <f t="shared" si="501"/>
        <v>0</v>
      </c>
      <c r="BM967" s="132">
        <f t="shared" si="501"/>
        <v>427623029</v>
      </c>
      <c r="BN967" s="132">
        <f t="shared" si="501"/>
        <v>0</v>
      </c>
      <c r="BO967" s="132">
        <f t="shared" si="501"/>
        <v>0</v>
      </c>
      <c r="BP967" s="132">
        <f t="shared" si="501"/>
        <v>0</v>
      </c>
      <c r="BQ967" s="132">
        <f t="shared" si="501"/>
        <v>0</v>
      </c>
      <c r="BR967" s="132">
        <f t="shared" si="501"/>
        <v>0</v>
      </c>
      <c r="BS967" s="132">
        <f t="shared" si="501"/>
        <v>0</v>
      </c>
      <c r="BT967" s="132">
        <f t="shared" si="501"/>
        <v>0</v>
      </c>
      <c r="BU967" s="132">
        <f t="shared" si="501"/>
        <v>0</v>
      </c>
      <c r="BV967" s="132">
        <f t="shared" si="501"/>
        <v>0</v>
      </c>
      <c r="BW967" s="132">
        <f t="shared" si="501"/>
        <v>0</v>
      </c>
      <c r="BX967" s="132">
        <f>IF(OR(AND(BX958=0,AB958&lt;&gt;0),AND(BX959=0,AB959&lt;&gt;0),AND(BX960=0,AB960&lt;&gt;0),AND(BX961=0,AB961&lt;&gt;0),AND(BX962=0,AB962&lt;&gt;0),AND(BX963=0,AB963&lt;&gt;0),AND(BX964=0,AB964&lt;&gt;0),AND(BX965=0,AB965&lt;&gt;0),AND(BX966=0,AB966&lt;&gt;0)),"NO DEBEN QUEDAR CELDAS EN ROJO",SUM(BX958:BX966))</f>
        <v>427623029</v>
      </c>
      <c r="BY967" s="132">
        <f t="shared" si="501"/>
        <v>0</v>
      </c>
      <c r="BZ967" s="132">
        <f t="shared" si="501"/>
        <v>0</v>
      </c>
      <c r="CA967" s="132">
        <f t="shared" si="501"/>
        <v>0</v>
      </c>
      <c r="CB967" s="132">
        <f t="shared" si="501"/>
        <v>0</v>
      </c>
      <c r="CC967" s="132">
        <f t="shared" si="501"/>
        <v>469750000</v>
      </c>
      <c r="CD967" s="132">
        <f t="shared" si="501"/>
        <v>0</v>
      </c>
      <c r="CE967" s="132">
        <f t="shared" si="501"/>
        <v>0</v>
      </c>
      <c r="CF967" s="132">
        <f t="shared" si="501"/>
        <v>0</v>
      </c>
      <c r="CG967" s="132">
        <f t="shared" si="501"/>
        <v>0</v>
      </c>
      <c r="CH967" s="132">
        <f t="shared" si="501"/>
        <v>0</v>
      </c>
      <c r="CI967" s="132">
        <f t="shared" si="501"/>
        <v>0</v>
      </c>
      <c r="CJ967" s="132">
        <f t="shared" si="501"/>
        <v>0</v>
      </c>
      <c r="CK967" s="132">
        <f t="shared" si="501"/>
        <v>0</v>
      </c>
      <c r="CL967" s="132">
        <f t="shared" si="501"/>
        <v>0</v>
      </c>
      <c r="CM967" s="132">
        <f t="shared" si="501"/>
        <v>0</v>
      </c>
      <c r="CN967" s="132">
        <f>IF(OR(AND(CN958=0,AG958&lt;&gt;0),AND(CN959=0,AG959&lt;&gt;0),AND(CN960=0,AG960&lt;&gt;0),AND(CN961=0,AG961&lt;&gt;0),AND(CN962=0,AG962&lt;&gt;0),AND(CN963=0,AG963&lt;&gt;0),AND(CN964=0,AG964&lt;&gt;0),AND(CN965=0,AG965&lt;&gt;0),AND(CN966=0,AG966&lt;&gt;0)),"NO DEBEN QUEDAR CELDAS EN ROJO",SUM(CN958:CN966))</f>
        <v>469750000</v>
      </c>
      <c r="CO967" s="132">
        <f t="shared" si="501"/>
        <v>0</v>
      </c>
      <c r="CP967" s="132">
        <f t="shared" si="501"/>
        <v>0</v>
      </c>
      <c r="CQ967" s="132">
        <f t="shared" si="501"/>
        <v>0</v>
      </c>
      <c r="CR967" s="132">
        <f t="shared" si="501"/>
        <v>0</v>
      </c>
      <c r="CS967" s="132">
        <f t="shared" si="501"/>
        <v>583975636.5</v>
      </c>
      <c r="CT967" s="132">
        <f t="shared" si="501"/>
        <v>0</v>
      </c>
      <c r="CU967" s="132">
        <f t="shared" si="501"/>
        <v>0</v>
      </c>
      <c r="CV967" s="132">
        <f t="shared" si="501"/>
        <v>0</v>
      </c>
      <c r="CW967" s="132">
        <f t="shared" si="501"/>
        <v>0</v>
      </c>
      <c r="CX967" s="132">
        <f t="shared" si="501"/>
        <v>0</v>
      </c>
      <c r="CY967" s="132">
        <f t="shared" si="501"/>
        <v>0</v>
      </c>
      <c r="CZ967" s="132">
        <f t="shared" si="501"/>
        <v>0</v>
      </c>
      <c r="DA967" s="132">
        <f t="shared" si="501"/>
        <v>0</v>
      </c>
      <c r="DB967" s="132">
        <f t="shared" si="501"/>
        <v>0</v>
      </c>
      <c r="DC967" s="132">
        <f t="shared" si="501"/>
        <v>0</v>
      </c>
      <c r="DD967" s="132">
        <f>IF(OR(AND(DD958=0,AL958&lt;&gt;0),AND(DD959=0,AL959&lt;&gt;0),AND(DD960=0,AL960&lt;&gt;0),AND(DD961=0,AL961&lt;&gt;0),AND(DD962=0,AL962&lt;&gt;0),AND(DD963=0,AL963&lt;&gt;0),AND(DD964=0,AL964&lt;&gt;0),AND(DD965=0,AL965&lt;&gt;0),AND(DD966=0,AL966&lt;&gt;0)),"NO DEBEN QUEDAR CELDAS EN ROJO",SUM(DD958:DD966))</f>
        <v>583975636.5</v>
      </c>
      <c r="DE967" s="132">
        <f t="shared" si="501"/>
        <v>1576551188.75</v>
      </c>
      <c r="DF967" s="101"/>
    </row>
    <row r="968" spans="1:110" s="98" customFormat="1" ht="119.1" customHeight="1">
      <c r="A968" s="103" t="s">
        <v>1240</v>
      </c>
      <c r="B968" s="103" t="s">
        <v>2051</v>
      </c>
      <c r="C968" s="103" t="s">
        <v>2052</v>
      </c>
      <c r="D968" s="103">
        <v>89</v>
      </c>
      <c r="E968" s="103" t="s">
        <v>2065</v>
      </c>
      <c r="F968" s="278" t="s">
        <v>2066</v>
      </c>
      <c r="G968" s="103" t="s">
        <v>3872</v>
      </c>
      <c r="H968" s="103">
        <v>106</v>
      </c>
      <c r="I968" s="103" t="s">
        <v>2067</v>
      </c>
      <c r="J968" s="103" t="s">
        <v>677</v>
      </c>
      <c r="K968" s="103">
        <v>0</v>
      </c>
      <c r="L968" s="103">
        <v>100</v>
      </c>
      <c r="M968" s="103" t="s">
        <v>2068</v>
      </c>
      <c r="N968" s="103" t="s">
        <v>2069</v>
      </c>
      <c r="O968" s="103" t="s">
        <v>2070</v>
      </c>
      <c r="P968" s="283">
        <v>847</v>
      </c>
      <c r="Q968" s="103" t="s">
        <v>3873</v>
      </c>
      <c r="R968" s="103" t="s">
        <v>2071</v>
      </c>
      <c r="S968" s="103" t="s">
        <v>683</v>
      </c>
      <c r="T968" s="103">
        <v>1</v>
      </c>
      <c r="U968" s="267"/>
      <c r="V968" s="267">
        <v>1</v>
      </c>
      <c r="W968" s="224">
        <v>1</v>
      </c>
      <c r="X968" s="267"/>
      <c r="Y968" s="267"/>
      <c r="Z968" s="267"/>
      <c r="AA968" s="267">
        <v>1</v>
      </c>
      <c r="AB968" s="224">
        <v>1</v>
      </c>
      <c r="AC968" s="267"/>
      <c r="AD968" s="267"/>
      <c r="AE968" s="267"/>
      <c r="AF968" s="267">
        <v>1</v>
      </c>
      <c r="AG968" s="224">
        <v>1</v>
      </c>
      <c r="AH968" s="267"/>
      <c r="AI968" s="267"/>
      <c r="AJ968" s="267"/>
      <c r="AK968" s="267">
        <v>1</v>
      </c>
      <c r="AL968" s="224">
        <v>1</v>
      </c>
      <c r="AM968" s="102">
        <v>1</v>
      </c>
      <c r="AN968" s="103" t="s">
        <v>686</v>
      </c>
      <c r="AO968" s="103" t="s">
        <v>621</v>
      </c>
      <c r="AP968" s="103" t="s">
        <v>1225</v>
      </c>
      <c r="AQ968" s="103" t="s">
        <v>1207</v>
      </c>
      <c r="AR968" s="103" t="s">
        <v>951</v>
      </c>
      <c r="AS968" s="268"/>
      <c r="AT968" s="268"/>
      <c r="AU968" s="268"/>
      <c r="AV968" s="268"/>
      <c r="AW968" s="268">
        <v>23800631</v>
      </c>
      <c r="AX968" s="268"/>
      <c r="AY968" s="268"/>
      <c r="AZ968" s="268"/>
      <c r="BA968" s="268"/>
      <c r="BB968" s="268"/>
      <c r="BC968" s="268"/>
      <c r="BD968" s="268"/>
      <c r="BE968" s="268"/>
      <c r="BF968" s="268"/>
      <c r="BG968" s="268"/>
      <c r="BH968" s="234">
        <v>23800631</v>
      </c>
      <c r="BI968" s="268"/>
      <c r="BJ968" s="268"/>
      <c r="BK968" s="268"/>
      <c r="BL968" s="268"/>
      <c r="BM968" s="268">
        <v>44000000</v>
      </c>
      <c r="BN968" s="268"/>
      <c r="BO968" s="268"/>
      <c r="BP968" s="268"/>
      <c r="BQ968" s="268"/>
      <c r="BR968" s="268"/>
      <c r="BS968" s="268"/>
      <c r="BT968" s="268"/>
      <c r="BU968" s="268"/>
      <c r="BV968" s="268"/>
      <c r="BW968" s="268"/>
      <c r="BX968" s="234">
        <v>44000000</v>
      </c>
      <c r="BY968" s="268"/>
      <c r="BZ968" s="268"/>
      <c r="CA968" s="268"/>
      <c r="CB968" s="268"/>
      <c r="CC968" s="268">
        <v>75000000</v>
      </c>
      <c r="CD968" s="268"/>
      <c r="CE968" s="268"/>
      <c r="CF968" s="268"/>
      <c r="CG968" s="268"/>
      <c r="CH968" s="268"/>
      <c r="CI968" s="268"/>
      <c r="CJ968" s="268"/>
      <c r="CK968" s="268"/>
      <c r="CL968" s="268"/>
      <c r="CM968" s="268"/>
      <c r="CN968" s="234">
        <v>75000000</v>
      </c>
      <c r="CO968" s="268"/>
      <c r="CP968" s="268"/>
      <c r="CQ968" s="268"/>
      <c r="CR968" s="268"/>
      <c r="CS968" s="268">
        <v>80000000</v>
      </c>
      <c r="CT968" s="268"/>
      <c r="CU968" s="268"/>
      <c r="CV968" s="268"/>
      <c r="CW968" s="268"/>
      <c r="CX968" s="268"/>
      <c r="CY968" s="268"/>
      <c r="CZ968" s="268"/>
      <c r="DA968" s="268"/>
      <c r="DB968" s="268"/>
      <c r="DC968" s="268"/>
      <c r="DD968" s="234">
        <v>80000000</v>
      </c>
      <c r="DE968" s="243">
        <v>222800631</v>
      </c>
    </row>
    <row r="969" spans="1:110" s="98" customFormat="1" ht="119.1" customHeight="1">
      <c r="A969" s="103" t="s">
        <v>1240</v>
      </c>
      <c r="B969" s="279" t="s">
        <v>2051</v>
      </c>
      <c r="C969" s="279" t="s">
        <v>2052</v>
      </c>
      <c r="D969" s="279">
        <v>89</v>
      </c>
      <c r="E969" s="279" t="s">
        <v>2065</v>
      </c>
      <c r="F969" s="280" t="s">
        <v>2066</v>
      </c>
      <c r="G969" s="279" t="s">
        <v>3872</v>
      </c>
      <c r="H969" s="279">
        <v>106</v>
      </c>
      <c r="I969" s="279" t="s">
        <v>2067</v>
      </c>
      <c r="J969" s="279" t="s">
        <v>677</v>
      </c>
      <c r="K969" s="279">
        <v>0</v>
      </c>
      <c r="L969" s="279">
        <v>100</v>
      </c>
      <c r="M969" s="279" t="s">
        <v>2068</v>
      </c>
      <c r="N969" s="279" t="s">
        <v>2069</v>
      </c>
      <c r="O969" s="279" t="s">
        <v>2070</v>
      </c>
      <c r="P969" s="283">
        <v>848</v>
      </c>
      <c r="Q969" s="279" t="s">
        <v>3874</v>
      </c>
      <c r="R969" s="279" t="s">
        <v>470</v>
      </c>
      <c r="S969" s="279" t="s">
        <v>683</v>
      </c>
      <c r="T969" s="279">
        <v>0</v>
      </c>
      <c r="U969" s="267"/>
      <c r="V969" s="267"/>
      <c r="W969" s="224">
        <v>0</v>
      </c>
      <c r="X969" s="267"/>
      <c r="Y969" s="267">
        <v>1</v>
      </c>
      <c r="Z969" s="267"/>
      <c r="AA969" s="267">
        <v>1</v>
      </c>
      <c r="AB969" s="224">
        <v>2</v>
      </c>
      <c r="AC969" s="267"/>
      <c r="AD969" s="267"/>
      <c r="AE969" s="267">
        <v>1</v>
      </c>
      <c r="AF969" s="267"/>
      <c r="AG969" s="224">
        <v>1</v>
      </c>
      <c r="AH969" s="267"/>
      <c r="AI969" s="267"/>
      <c r="AJ969" s="267">
        <v>1</v>
      </c>
      <c r="AK969" s="267"/>
      <c r="AL969" s="224">
        <v>1</v>
      </c>
      <c r="AM969" s="104">
        <v>4</v>
      </c>
      <c r="AN969" s="103" t="s">
        <v>685</v>
      </c>
      <c r="AO969" s="103" t="s">
        <v>621</v>
      </c>
      <c r="AP969" s="103" t="s">
        <v>1225</v>
      </c>
      <c r="AQ969" s="103" t="s">
        <v>1207</v>
      </c>
      <c r="AR969" s="103" t="s">
        <v>951</v>
      </c>
      <c r="AS969" s="271"/>
      <c r="AT969" s="271"/>
      <c r="AU969" s="271"/>
      <c r="AV969" s="271"/>
      <c r="AW969" s="271"/>
      <c r="AX969" s="271"/>
      <c r="AY969" s="271"/>
      <c r="AZ969" s="271"/>
      <c r="BA969" s="271"/>
      <c r="BB969" s="271"/>
      <c r="BC969" s="271"/>
      <c r="BD969" s="271"/>
      <c r="BE969" s="271"/>
      <c r="BF969" s="271"/>
      <c r="BG969" s="271"/>
      <c r="BH969" s="235">
        <v>0</v>
      </c>
      <c r="BI969" s="271"/>
      <c r="BJ969" s="271"/>
      <c r="BK969" s="271"/>
      <c r="BL969" s="271"/>
      <c r="BM969" s="271">
        <v>57000000</v>
      </c>
      <c r="BN969" s="271"/>
      <c r="BO969" s="271"/>
      <c r="BP969" s="271"/>
      <c r="BQ969" s="271"/>
      <c r="BR969" s="271"/>
      <c r="BS969" s="271"/>
      <c r="BT969" s="271"/>
      <c r="BU969" s="271"/>
      <c r="BV969" s="271"/>
      <c r="BW969" s="271"/>
      <c r="BX969" s="235">
        <v>57000000</v>
      </c>
      <c r="BY969" s="271"/>
      <c r="BZ969" s="271"/>
      <c r="CA969" s="271"/>
      <c r="CB969" s="271"/>
      <c r="CC969" s="271">
        <v>10000000</v>
      </c>
      <c r="CD969" s="271"/>
      <c r="CE969" s="271"/>
      <c r="CF969" s="271"/>
      <c r="CG969" s="271"/>
      <c r="CH969" s="271"/>
      <c r="CI969" s="271"/>
      <c r="CJ969" s="271"/>
      <c r="CK969" s="271"/>
      <c r="CL969" s="271"/>
      <c r="CM969" s="271"/>
      <c r="CN969" s="235">
        <v>10000000</v>
      </c>
      <c r="CO969" s="271"/>
      <c r="CP969" s="271"/>
      <c r="CQ969" s="271"/>
      <c r="CR969" s="271"/>
      <c r="CS969" s="271">
        <v>12000000</v>
      </c>
      <c r="CT969" s="271"/>
      <c r="CU969" s="271"/>
      <c r="CV969" s="271"/>
      <c r="CW969" s="271"/>
      <c r="CX969" s="271"/>
      <c r="CY969" s="271"/>
      <c r="CZ969" s="271"/>
      <c r="DA969" s="271"/>
      <c r="DB969" s="271"/>
      <c r="DC969" s="271"/>
      <c r="DD969" s="234">
        <v>12000000</v>
      </c>
      <c r="DE969" s="244">
        <v>79000000</v>
      </c>
    </row>
    <row r="970" spans="1:110" s="98" customFormat="1" ht="119.1" customHeight="1">
      <c r="A970" s="103" t="s">
        <v>1240</v>
      </c>
      <c r="B970" s="279" t="s">
        <v>2051</v>
      </c>
      <c r="C970" s="279" t="s">
        <v>2052</v>
      </c>
      <c r="D970" s="279">
        <v>89</v>
      </c>
      <c r="E970" s="279" t="s">
        <v>2065</v>
      </c>
      <c r="F970" s="280" t="s">
        <v>2066</v>
      </c>
      <c r="G970" s="279" t="s">
        <v>3872</v>
      </c>
      <c r="H970" s="279">
        <v>106</v>
      </c>
      <c r="I970" s="279" t="s">
        <v>2067</v>
      </c>
      <c r="J970" s="279" t="s">
        <v>677</v>
      </c>
      <c r="K970" s="279">
        <v>0</v>
      </c>
      <c r="L970" s="279">
        <v>100</v>
      </c>
      <c r="M970" s="279" t="s">
        <v>2068</v>
      </c>
      <c r="N970" s="279" t="s">
        <v>2069</v>
      </c>
      <c r="O970" s="279" t="s">
        <v>2070</v>
      </c>
      <c r="P970" s="283">
        <v>849</v>
      </c>
      <c r="Q970" s="279" t="s">
        <v>3875</v>
      </c>
      <c r="R970" s="279" t="s">
        <v>471</v>
      </c>
      <c r="S970" s="279" t="s">
        <v>683</v>
      </c>
      <c r="T970" s="279">
        <v>1</v>
      </c>
      <c r="U970" s="267"/>
      <c r="V970" s="267"/>
      <c r="W970" s="224">
        <v>0</v>
      </c>
      <c r="X970" s="267"/>
      <c r="Y970" s="267"/>
      <c r="Z970" s="267"/>
      <c r="AA970" s="267">
        <v>1</v>
      </c>
      <c r="AB970" s="224">
        <v>1</v>
      </c>
      <c r="AC970" s="267"/>
      <c r="AD970" s="267"/>
      <c r="AE970" s="267">
        <v>1</v>
      </c>
      <c r="AF970" s="267"/>
      <c r="AG970" s="224">
        <v>1</v>
      </c>
      <c r="AH970" s="267">
        <v>1</v>
      </c>
      <c r="AI970" s="267"/>
      <c r="AJ970" s="267"/>
      <c r="AK970" s="267">
        <v>1</v>
      </c>
      <c r="AL970" s="224">
        <v>2</v>
      </c>
      <c r="AM970" s="104">
        <v>4</v>
      </c>
      <c r="AN970" s="103" t="s">
        <v>685</v>
      </c>
      <c r="AO970" s="103" t="s">
        <v>621</v>
      </c>
      <c r="AP970" s="103" t="s">
        <v>1225</v>
      </c>
      <c r="AQ970" s="103" t="s">
        <v>1207</v>
      </c>
      <c r="AR970" s="103" t="s">
        <v>951</v>
      </c>
      <c r="AS970" s="271"/>
      <c r="AT970" s="271"/>
      <c r="AU970" s="271"/>
      <c r="AV970" s="271"/>
      <c r="AW970" s="271"/>
      <c r="AX970" s="271"/>
      <c r="AY970" s="271"/>
      <c r="AZ970" s="271"/>
      <c r="BA970" s="271"/>
      <c r="BB970" s="271"/>
      <c r="BC970" s="271"/>
      <c r="BD970" s="271"/>
      <c r="BE970" s="271"/>
      <c r="BF970" s="271"/>
      <c r="BG970" s="271"/>
      <c r="BH970" s="235">
        <v>0</v>
      </c>
      <c r="BI970" s="271"/>
      <c r="BJ970" s="271"/>
      <c r="BK970" s="271"/>
      <c r="BL970" s="271"/>
      <c r="BM970" s="271">
        <v>25905757</v>
      </c>
      <c r="BN970" s="271"/>
      <c r="BO970" s="271"/>
      <c r="BP970" s="271"/>
      <c r="BQ970" s="271"/>
      <c r="BR970" s="271"/>
      <c r="BS970" s="271"/>
      <c r="BT970" s="271"/>
      <c r="BU970" s="271"/>
      <c r="BV970" s="271"/>
      <c r="BW970" s="271"/>
      <c r="BX970" s="235">
        <v>25905757</v>
      </c>
      <c r="BY970" s="271"/>
      <c r="BZ970" s="271"/>
      <c r="CA970" s="271"/>
      <c r="CB970" s="271"/>
      <c r="CC970" s="271">
        <v>32437500</v>
      </c>
      <c r="CD970" s="271"/>
      <c r="CE970" s="271"/>
      <c r="CF970" s="271"/>
      <c r="CG970" s="271"/>
      <c r="CH970" s="271"/>
      <c r="CI970" s="271"/>
      <c r="CJ970" s="271"/>
      <c r="CK970" s="271"/>
      <c r="CL970" s="271"/>
      <c r="CM970" s="271"/>
      <c r="CN970" s="235">
        <v>32437500</v>
      </c>
      <c r="CO970" s="271"/>
      <c r="CP970" s="271"/>
      <c r="CQ970" s="271"/>
      <c r="CR970" s="271"/>
      <c r="CS970" s="271">
        <v>53993909.5</v>
      </c>
      <c r="CT970" s="271"/>
      <c r="CU970" s="271"/>
      <c r="CV970" s="271"/>
      <c r="CW970" s="271"/>
      <c r="CX970" s="271"/>
      <c r="CY970" s="271"/>
      <c r="CZ970" s="271"/>
      <c r="DA970" s="271"/>
      <c r="DB970" s="271"/>
      <c r="DC970" s="271"/>
      <c r="DD970" s="234">
        <v>53993909.5</v>
      </c>
      <c r="DE970" s="244">
        <v>112337166.5</v>
      </c>
    </row>
    <row r="971" spans="1:110" s="98" customFormat="1" ht="119.1" customHeight="1">
      <c r="A971" s="103" t="s">
        <v>1240</v>
      </c>
      <c r="B971" s="279" t="s">
        <v>2051</v>
      </c>
      <c r="C971" s="279" t="s">
        <v>2052</v>
      </c>
      <c r="D971" s="279">
        <v>89</v>
      </c>
      <c r="E971" s="279" t="s">
        <v>2065</v>
      </c>
      <c r="F971" s="280" t="s">
        <v>2066</v>
      </c>
      <c r="G971" s="279" t="s">
        <v>3872</v>
      </c>
      <c r="H971" s="279">
        <v>106</v>
      </c>
      <c r="I971" s="279" t="s">
        <v>2067</v>
      </c>
      <c r="J971" s="279" t="s">
        <v>677</v>
      </c>
      <c r="K971" s="279">
        <v>0</v>
      </c>
      <c r="L971" s="279">
        <v>100</v>
      </c>
      <c r="M971" s="279" t="s">
        <v>2072</v>
      </c>
      <c r="N971" s="279" t="s">
        <v>2073</v>
      </c>
      <c r="O971" s="279" t="s">
        <v>2074</v>
      </c>
      <c r="P971" s="283">
        <v>850</v>
      </c>
      <c r="Q971" s="279" t="s">
        <v>3931</v>
      </c>
      <c r="R971" s="279" t="s">
        <v>2075</v>
      </c>
      <c r="S971" s="279" t="s">
        <v>683</v>
      </c>
      <c r="T971" s="279">
        <v>16</v>
      </c>
      <c r="U971" s="267"/>
      <c r="V971" s="267">
        <v>1</v>
      </c>
      <c r="W971" s="224">
        <v>1</v>
      </c>
      <c r="X971" s="267"/>
      <c r="Y971" s="267"/>
      <c r="Z971" s="267"/>
      <c r="AA971" s="267">
        <v>1</v>
      </c>
      <c r="AB971" s="224">
        <v>1</v>
      </c>
      <c r="AC971" s="267"/>
      <c r="AD971" s="267"/>
      <c r="AE971" s="267"/>
      <c r="AF971" s="267">
        <v>1</v>
      </c>
      <c r="AG971" s="224">
        <v>1</v>
      </c>
      <c r="AH971" s="267"/>
      <c r="AI971" s="267"/>
      <c r="AJ971" s="267"/>
      <c r="AK971" s="267">
        <v>1</v>
      </c>
      <c r="AL971" s="224">
        <v>1</v>
      </c>
      <c r="AM971" s="104">
        <v>4</v>
      </c>
      <c r="AN971" s="103" t="s">
        <v>685</v>
      </c>
      <c r="AO971" s="103" t="s">
        <v>1212</v>
      </c>
      <c r="AP971" s="103" t="s">
        <v>1229</v>
      </c>
      <c r="AQ971" s="103" t="s">
        <v>1199</v>
      </c>
      <c r="AR971" s="103" t="s">
        <v>943</v>
      </c>
      <c r="AS971" s="271"/>
      <c r="AT971" s="271"/>
      <c r="AU971" s="271"/>
      <c r="AV971" s="271"/>
      <c r="AW971" s="271">
        <v>6500315</v>
      </c>
      <c r="AX971" s="271"/>
      <c r="AY971" s="271"/>
      <c r="AZ971" s="271"/>
      <c r="BA971" s="271"/>
      <c r="BB971" s="271"/>
      <c r="BC971" s="271"/>
      <c r="BD971" s="271"/>
      <c r="BE971" s="271"/>
      <c r="BF971" s="271"/>
      <c r="BG971" s="271"/>
      <c r="BH971" s="235">
        <v>6500315</v>
      </c>
      <c r="BI971" s="271"/>
      <c r="BJ971" s="271"/>
      <c r="BK971" s="271"/>
      <c r="BL971" s="271"/>
      <c r="BM971" s="271">
        <v>17193333</v>
      </c>
      <c r="BN971" s="271"/>
      <c r="BO971" s="271"/>
      <c r="BP971" s="271"/>
      <c r="BQ971" s="271"/>
      <c r="BR971" s="271"/>
      <c r="BS971" s="271"/>
      <c r="BT971" s="271"/>
      <c r="BU971" s="271"/>
      <c r="BV971" s="271"/>
      <c r="BW971" s="271"/>
      <c r="BX971" s="235">
        <v>17193333</v>
      </c>
      <c r="BY971" s="271"/>
      <c r="BZ971" s="271"/>
      <c r="CA971" s="271"/>
      <c r="CB971" s="271"/>
      <c r="CC971" s="271">
        <v>28193333</v>
      </c>
      <c r="CD971" s="271"/>
      <c r="CE971" s="271"/>
      <c r="CF971" s="271"/>
      <c r="CG971" s="271"/>
      <c r="CH971" s="271"/>
      <c r="CI971" s="271"/>
      <c r="CJ971" s="271"/>
      <c r="CK971" s="271"/>
      <c r="CL971" s="271"/>
      <c r="CM971" s="271"/>
      <c r="CN971" s="235">
        <v>28193333</v>
      </c>
      <c r="CO971" s="271"/>
      <c r="CP971" s="271"/>
      <c r="CQ971" s="271"/>
      <c r="CR971" s="271"/>
      <c r="CS971" s="271">
        <v>43333333</v>
      </c>
      <c r="CT971" s="271"/>
      <c r="CU971" s="271"/>
      <c r="CV971" s="271"/>
      <c r="CW971" s="271"/>
      <c r="CX971" s="271"/>
      <c r="CY971" s="271"/>
      <c r="CZ971" s="271"/>
      <c r="DA971" s="271"/>
      <c r="DB971" s="271"/>
      <c r="DC971" s="271"/>
      <c r="DD971" s="234">
        <v>43333333</v>
      </c>
      <c r="DE971" s="244">
        <v>95220314</v>
      </c>
    </row>
    <row r="972" spans="1:110" s="98" customFormat="1" ht="119.1" customHeight="1">
      <c r="A972" s="103" t="s">
        <v>1240</v>
      </c>
      <c r="B972" s="279" t="s">
        <v>2051</v>
      </c>
      <c r="C972" s="279" t="s">
        <v>2052</v>
      </c>
      <c r="D972" s="279">
        <v>89</v>
      </c>
      <c r="E972" s="279" t="s">
        <v>2065</v>
      </c>
      <c r="F972" s="280" t="s">
        <v>2066</v>
      </c>
      <c r="G972" s="279" t="s">
        <v>3872</v>
      </c>
      <c r="H972" s="279">
        <v>106</v>
      </c>
      <c r="I972" s="279" t="s">
        <v>2067</v>
      </c>
      <c r="J972" s="279" t="s">
        <v>677</v>
      </c>
      <c r="K972" s="279">
        <v>0</v>
      </c>
      <c r="L972" s="279">
        <v>100</v>
      </c>
      <c r="M972" s="279" t="s">
        <v>2072</v>
      </c>
      <c r="N972" s="279" t="s">
        <v>2073</v>
      </c>
      <c r="O972" s="279" t="s">
        <v>2074</v>
      </c>
      <c r="P972" s="283">
        <v>851</v>
      </c>
      <c r="Q972" s="279" t="s">
        <v>3876</v>
      </c>
      <c r="R972" s="279" t="s">
        <v>2076</v>
      </c>
      <c r="S972" s="279" t="s">
        <v>677</v>
      </c>
      <c r="T972" s="279">
        <v>20</v>
      </c>
      <c r="U972" s="267">
        <v>10</v>
      </c>
      <c r="V972" s="267">
        <v>10</v>
      </c>
      <c r="W972" s="224">
        <v>20</v>
      </c>
      <c r="X972" s="267">
        <v>10</v>
      </c>
      <c r="Y972" s="267">
        <v>10</v>
      </c>
      <c r="Z972" s="267"/>
      <c r="AA972" s="267"/>
      <c r="AB972" s="224">
        <v>20</v>
      </c>
      <c r="AC972" s="267"/>
      <c r="AD972" s="267">
        <v>10</v>
      </c>
      <c r="AE972" s="267">
        <v>10</v>
      </c>
      <c r="AF972" s="267"/>
      <c r="AG972" s="224">
        <v>20</v>
      </c>
      <c r="AH972" s="267">
        <v>10</v>
      </c>
      <c r="AI972" s="267">
        <v>10</v>
      </c>
      <c r="AJ972" s="267"/>
      <c r="AK972" s="267"/>
      <c r="AL972" s="224">
        <v>20</v>
      </c>
      <c r="AM972" s="104">
        <v>20</v>
      </c>
      <c r="AN972" s="103" t="s">
        <v>686</v>
      </c>
      <c r="AO972" s="103" t="s">
        <v>1212</v>
      </c>
      <c r="AP972" s="103" t="s">
        <v>1229</v>
      </c>
      <c r="AQ972" s="103" t="s">
        <v>1199</v>
      </c>
      <c r="AR972" s="103" t="s">
        <v>943</v>
      </c>
      <c r="AS972" s="271"/>
      <c r="AT972" s="271"/>
      <c r="AU972" s="271"/>
      <c r="AV972" s="271"/>
      <c r="AW972" s="271">
        <v>6500315</v>
      </c>
      <c r="AX972" s="271"/>
      <c r="AY972" s="271"/>
      <c r="AZ972" s="271"/>
      <c r="BA972" s="271"/>
      <c r="BB972" s="271"/>
      <c r="BC972" s="271"/>
      <c r="BD972" s="271"/>
      <c r="BE972" s="271"/>
      <c r="BF972" s="271"/>
      <c r="BG972" s="271"/>
      <c r="BH972" s="235">
        <v>6500315</v>
      </c>
      <c r="BI972" s="271"/>
      <c r="BJ972" s="271"/>
      <c r="BK972" s="271"/>
      <c r="BL972" s="271"/>
      <c r="BM972" s="271">
        <v>17193333</v>
      </c>
      <c r="BN972" s="271"/>
      <c r="BO972" s="271"/>
      <c r="BP972" s="271"/>
      <c r="BQ972" s="271"/>
      <c r="BR972" s="271"/>
      <c r="BS972" s="271"/>
      <c r="BT972" s="271"/>
      <c r="BU972" s="271"/>
      <c r="BV972" s="271"/>
      <c r="BW972" s="271"/>
      <c r="BX972" s="235">
        <v>17193333</v>
      </c>
      <c r="BY972" s="271"/>
      <c r="BZ972" s="271"/>
      <c r="CA972" s="271"/>
      <c r="CB972" s="271"/>
      <c r="CC972" s="271">
        <v>28193333</v>
      </c>
      <c r="CD972" s="271"/>
      <c r="CE972" s="271"/>
      <c r="CF972" s="271"/>
      <c r="CG972" s="271"/>
      <c r="CH972" s="271"/>
      <c r="CI972" s="271"/>
      <c r="CJ972" s="271"/>
      <c r="CK972" s="271"/>
      <c r="CL972" s="271"/>
      <c r="CM972" s="271"/>
      <c r="CN972" s="235">
        <v>28193333</v>
      </c>
      <c r="CO972" s="271"/>
      <c r="CP972" s="271"/>
      <c r="CQ972" s="271"/>
      <c r="CR972" s="271"/>
      <c r="CS972" s="271">
        <v>43333333</v>
      </c>
      <c r="CT972" s="271"/>
      <c r="CU972" s="271"/>
      <c r="CV972" s="271"/>
      <c r="CW972" s="271"/>
      <c r="CX972" s="271"/>
      <c r="CY972" s="271"/>
      <c r="CZ972" s="271"/>
      <c r="DA972" s="271"/>
      <c r="DB972" s="271"/>
      <c r="DC972" s="271"/>
      <c r="DD972" s="234">
        <v>43333333</v>
      </c>
      <c r="DE972" s="244">
        <v>95220314</v>
      </c>
    </row>
    <row r="973" spans="1:110" s="98" customFormat="1" ht="119.1" customHeight="1">
      <c r="A973" s="103" t="s">
        <v>1240</v>
      </c>
      <c r="B973" s="279" t="s">
        <v>2051</v>
      </c>
      <c r="C973" s="279" t="s">
        <v>2052</v>
      </c>
      <c r="D973" s="279">
        <v>89</v>
      </c>
      <c r="E973" s="279" t="s">
        <v>2065</v>
      </c>
      <c r="F973" s="280" t="s">
        <v>2066</v>
      </c>
      <c r="G973" s="279" t="s">
        <v>3872</v>
      </c>
      <c r="H973" s="279">
        <v>106</v>
      </c>
      <c r="I973" s="279" t="s">
        <v>2067</v>
      </c>
      <c r="J973" s="279" t="s">
        <v>677</v>
      </c>
      <c r="K973" s="279">
        <v>0</v>
      </c>
      <c r="L973" s="279">
        <v>100</v>
      </c>
      <c r="M973" s="279" t="s">
        <v>2072</v>
      </c>
      <c r="N973" s="279" t="s">
        <v>2073</v>
      </c>
      <c r="O973" s="279" t="s">
        <v>2074</v>
      </c>
      <c r="P973" s="283">
        <v>852</v>
      </c>
      <c r="Q973" s="279" t="s">
        <v>3932</v>
      </c>
      <c r="R973" s="279" t="s">
        <v>2076</v>
      </c>
      <c r="S973" s="279" t="s">
        <v>677</v>
      </c>
      <c r="T973" s="279">
        <v>20</v>
      </c>
      <c r="U973" s="267"/>
      <c r="V973" s="267">
        <v>5</v>
      </c>
      <c r="W973" s="224">
        <v>5</v>
      </c>
      <c r="X973" s="267"/>
      <c r="Y973" s="267">
        <v>5</v>
      </c>
      <c r="Z973" s="267">
        <v>5</v>
      </c>
      <c r="AA973" s="267">
        <v>10</v>
      </c>
      <c r="AB973" s="224">
        <v>20</v>
      </c>
      <c r="AC973" s="267">
        <v>5</v>
      </c>
      <c r="AD973" s="267"/>
      <c r="AE973" s="267"/>
      <c r="AF973" s="267">
        <v>10</v>
      </c>
      <c r="AG973" s="224">
        <v>15</v>
      </c>
      <c r="AH973" s="267"/>
      <c r="AI973" s="267">
        <v>10</v>
      </c>
      <c r="AJ973" s="267">
        <v>10</v>
      </c>
      <c r="AK973" s="267"/>
      <c r="AL973" s="224">
        <v>20</v>
      </c>
      <c r="AM973" s="104">
        <v>60</v>
      </c>
      <c r="AN973" s="103" t="s">
        <v>685</v>
      </c>
      <c r="AO973" s="103" t="s">
        <v>1212</v>
      </c>
      <c r="AP973" s="103" t="s">
        <v>1229</v>
      </c>
      <c r="AQ973" s="103" t="s">
        <v>1199</v>
      </c>
      <c r="AR973" s="103" t="s">
        <v>943</v>
      </c>
      <c r="AS973" s="271"/>
      <c r="AT973" s="271"/>
      <c r="AU973" s="271"/>
      <c r="AV973" s="271"/>
      <c r="AW973" s="271">
        <v>6500315</v>
      </c>
      <c r="AX973" s="271"/>
      <c r="AY973" s="271"/>
      <c r="AZ973" s="271"/>
      <c r="BA973" s="271"/>
      <c r="BB973" s="271"/>
      <c r="BC973" s="271"/>
      <c r="BD973" s="271"/>
      <c r="BE973" s="271"/>
      <c r="BF973" s="271"/>
      <c r="BG973" s="271"/>
      <c r="BH973" s="235">
        <v>6500315</v>
      </c>
      <c r="BI973" s="271"/>
      <c r="BJ973" s="271"/>
      <c r="BK973" s="271"/>
      <c r="BL973" s="271"/>
      <c r="BM973" s="271">
        <v>17193333</v>
      </c>
      <c r="BN973" s="271"/>
      <c r="BO973" s="271"/>
      <c r="BP973" s="271"/>
      <c r="BQ973" s="271"/>
      <c r="BR973" s="271"/>
      <c r="BS973" s="271"/>
      <c r="BT973" s="271"/>
      <c r="BU973" s="271"/>
      <c r="BV973" s="271"/>
      <c r="BW973" s="271"/>
      <c r="BX973" s="235">
        <v>17193333</v>
      </c>
      <c r="BY973" s="271"/>
      <c r="BZ973" s="271"/>
      <c r="CA973" s="271"/>
      <c r="CB973" s="271"/>
      <c r="CC973" s="271">
        <v>28193333</v>
      </c>
      <c r="CD973" s="271"/>
      <c r="CE973" s="271"/>
      <c r="CF973" s="271"/>
      <c r="CG973" s="271"/>
      <c r="CH973" s="271"/>
      <c r="CI973" s="271"/>
      <c r="CJ973" s="271"/>
      <c r="CK973" s="271"/>
      <c r="CL973" s="271"/>
      <c r="CM973" s="271"/>
      <c r="CN973" s="235">
        <v>28193333</v>
      </c>
      <c r="CO973" s="271"/>
      <c r="CP973" s="271"/>
      <c r="CQ973" s="271"/>
      <c r="CR973" s="271"/>
      <c r="CS973" s="271">
        <v>43333333</v>
      </c>
      <c r="CT973" s="271"/>
      <c r="CU973" s="271"/>
      <c r="CV973" s="271"/>
      <c r="CW973" s="271"/>
      <c r="CX973" s="271"/>
      <c r="CY973" s="271"/>
      <c r="CZ973" s="271"/>
      <c r="DA973" s="271"/>
      <c r="DB973" s="271"/>
      <c r="DC973" s="271"/>
      <c r="DD973" s="234">
        <v>43333333</v>
      </c>
      <c r="DE973" s="244">
        <v>95220314</v>
      </c>
    </row>
    <row r="974" spans="1:110" s="98" customFormat="1" ht="119.1" customHeight="1">
      <c r="A974" s="103" t="s">
        <v>1240</v>
      </c>
      <c r="B974" s="279" t="s">
        <v>2051</v>
      </c>
      <c r="C974" s="279" t="s">
        <v>2052</v>
      </c>
      <c r="D974" s="279">
        <v>89</v>
      </c>
      <c r="E974" s="279" t="s">
        <v>2065</v>
      </c>
      <c r="F974" s="280" t="s">
        <v>2066</v>
      </c>
      <c r="G974" s="279" t="s">
        <v>3872</v>
      </c>
      <c r="H974" s="279">
        <v>106</v>
      </c>
      <c r="I974" s="279" t="s">
        <v>2067</v>
      </c>
      <c r="J974" s="279" t="s">
        <v>677</v>
      </c>
      <c r="K974" s="279">
        <v>0</v>
      </c>
      <c r="L974" s="279">
        <v>100</v>
      </c>
      <c r="M974" s="279" t="s">
        <v>2077</v>
      </c>
      <c r="N974" s="279" t="s">
        <v>2078</v>
      </c>
      <c r="O974" s="279" t="s">
        <v>472</v>
      </c>
      <c r="P974" s="283">
        <v>853</v>
      </c>
      <c r="Q974" s="279" t="s">
        <v>3877</v>
      </c>
      <c r="R974" s="279" t="s">
        <v>473</v>
      </c>
      <c r="S974" s="279" t="s">
        <v>683</v>
      </c>
      <c r="T974" s="279">
        <v>0</v>
      </c>
      <c r="U974" s="267"/>
      <c r="V974" s="267">
        <v>1</v>
      </c>
      <c r="W974" s="224">
        <v>1</v>
      </c>
      <c r="X974" s="267"/>
      <c r="Y974" s="267"/>
      <c r="Z974" s="267">
        <v>1</v>
      </c>
      <c r="AA974" s="267"/>
      <c r="AB974" s="224">
        <v>1</v>
      </c>
      <c r="AC974" s="267"/>
      <c r="AD974" s="267"/>
      <c r="AE974" s="267">
        <v>1</v>
      </c>
      <c r="AF974" s="267"/>
      <c r="AG974" s="224">
        <v>1</v>
      </c>
      <c r="AH974" s="267"/>
      <c r="AI974" s="267"/>
      <c r="AJ974" s="267">
        <v>1</v>
      </c>
      <c r="AK974" s="267"/>
      <c r="AL974" s="224">
        <v>1</v>
      </c>
      <c r="AM974" s="104">
        <v>4</v>
      </c>
      <c r="AN974" s="103" t="s">
        <v>685</v>
      </c>
      <c r="AO974" s="103" t="s">
        <v>1212</v>
      </c>
      <c r="AP974" s="103" t="s">
        <v>1229</v>
      </c>
      <c r="AQ974" s="103" t="s">
        <v>1199</v>
      </c>
      <c r="AR974" s="103" t="s">
        <v>944</v>
      </c>
      <c r="AS974" s="271"/>
      <c r="AT974" s="271"/>
      <c r="AU974" s="271"/>
      <c r="AV974" s="271"/>
      <c r="AW974" s="271">
        <v>32400000</v>
      </c>
      <c r="AX974" s="271"/>
      <c r="AY974" s="271"/>
      <c r="AZ974" s="271"/>
      <c r="BA974" s="271"/>
      <c r="BB974" s="271"/>
      <c r="BC974" s="271"/>
      <c r="BD974" s="271"/>
      <c r="BE974" s="271"/>
      <c r="BF974" s="271"/>
      <c r="BG974" s="271"/>
      <c r="BH974" s="235">
        <v>32400000</v>
      </c>
      <c r="BI974" s="271"/>
      <c r="BJ974" s="271"/>
      <c r="BK974" s="271"/>
      <c r="BL974" s="271"/>
      <c r="BM974" s="271">
        <v>209622000</v>
      </c>
      <c r="BN974" s="271"/>
      <c r="BO974" s="271"/>
      <c r="BP974" s="271"/>
      <c r="BQ974" s="271"/>
      <c r="BR974" s="271"/>
      <c r="BS974" s="271"/>
      <c r="BT974" s="271"/>
      <c r="BU974" s="271"/>
      <c r="BV974" s="271"/>
      <c r="BW974" s="271"/>
      <c r="BX974" s="235">
        <v>209622000</v>
      </c>
      <c r="BY974" s="271"/>
      <c r="BZ974" s="271"/>
      <c r="CA974" s="271"/>
      <c r="CB974" s="271"/>
      <c r="CC974" s="271">
        <v>229845110</v>
      </c>
      <c r="CD974" s="271"/>
      <c r="CE974" s="271"/>
      <c r="CF974" s="271"/>
      <c r="CG974" s="271"/>
      <c r="CH974" s="271"/>
      <c r="CI974" s="271"/>
      <c r="CJ974" s="271"/>
      <c r="CK974" s="271"/>
      <c r="CL974" s="271"/>
      <c r="CM974" s="271"/>
      <c r="CN974" s="235">
        <v>229845110</v>
      </c>
      <c r="CO974" s="271"/>
      <c r="CP974" s="271"/>
      <c r="CQ974" s="271"/>
      <c r="CR974" s="271"/>
      <c r="CS974" s="271">
        <v>282167051</v>
      </c>
      <c r="CT974" s="271"/>
      <c r="CU974" s="271"/>
      <c r="CV974" s="271"/>
      <c r="CW974" s="271"/>
      <c r="CX974" s="271"/>
      <c r="CY974" s="271"/>
      <c r="CZ974" s="271"/>
      <c r="DA974" s="271"/>
      <c r="DB974" s="271"/>
      <c r="DC974" s="271"/>
      <c r="DD974" s="234">
        <v>282167051</v>
      </c>
      <c r="DE974" s="244">
        <v>754034161</v>
      </c>
    </row>
    <row r="975" spans="1:110" s="98" customFormat="1" ht="119.1" customHeight="1">
      <c r="A975" s="103" t="s">
        <v>1240</v>
      </c>
      <c r="B975" s="279" t="s">
        <v>2051</v>
      </c>
      <c r="C975" s="279" t="s">
        <v>2052</v>
      </c>
      <c r="D975" s="279">
        <v>89</v>
      </c>
      <c r="E975" s="279" t="s">
        <v>2065</v>
      </c>
      <c r="F975" s="280" t="s">
        <v>2066</v>
      </c>
      <c r="G975" s="279" t="s">
        <v>3872</v>
      </c>
      <c r="H975" s="279">
        <v>106</v>
      </c>
      <c r="I975" s="279" t="s">
        <v>2067</v>
      </c>
      <c r="J975" s="279" t="s">
        <v>677</v>
      </c>
      <c r="K975" s="279">
        <v>0</v>
      </c>
      <c r="L975" s="279">
        <v>100</v>
      </c>
      <c r="M975" s="279" t="s">
        <v>2079</v>
      </c>
      <c r="N975" s="279" t="s">
        <v>2080</v>
      </c>
      <c r="O975" s="279" t="s">
        <v>474</v>
      </c>
      <c r="P975" s="283">
        <v>854</v>
      </c>
      <c r="Q975" s="279" t="s">
        <v>3878</v>
      </c>
      <c r="R975" s="279" t="s">
        <v>2081</v>
      </c>
      <c r="S975" s="279" t="s">
        <v>683</v>
      </c>
      <c r="T975" s="279">
        <v>1</v>
      </c>
      <c r="U975" s="267"/>
      <c r="V975" s="267">
        <v>1</v>
      </c>
      <c r="W975" s="224">
        <v>1</v>
      </c>
      <c r="X975" s="267"/>
      <c r="Y975" s="267">
        <v>1</v>
      </c>
      <c r="Z975" s="267"/>
      <c r="AA975" s="267"/>
      <c r="AB975" s="224">
        <v>1</v>
      </c>
      <c r="AC975" s="267"/>
      <c r="AD975" s="267">
        <v>1</v>
      </c>
      <c r="AE975" s="267"/>
      <c r="AF975" s="267"/>
      <c r="AG975" s="224">
        <v>1</v>
      </c>
      <c r="AH975" s="267">
        <v>1</v>
      </c>
      <c r="AI975" s="267"/>
      <c r="AJ975" s="267"/>
      <c r="AK975" s="267"/>
      <c r="AL975" s="224">
        <v>1</v>
      </c>
      <c r="AM975" s="104">
        <v>1</v>
      </c>
      <c r="AN975" s="103" t="s">
        <v>686</v>
      </c>
      <c r="AO975" s="103" t="s">
        <v>1212</v>
      </c>
      <c r="AP975" s="103" t="s">
        <v>1229</v>
      </c>
      <c r="AQ975" s="103" t="s">
        <v>1199</v>
      </c>
      <c r="AR975" s="103" t="s">
        <v>944</v>
      </c>
      <c r="AS975" s="271"/>
      <c r="AT975" s="271"/>
      <c r="AU975" s="271"/>
      <c r="AV975" s="271"/>
      <c r="AW975" s="271">
        <v>6500315</v>
      </c>
      <c r="AX975" s="271"/>
      <c r="AY975" s="271"/>
      <c r="AZ975" s="271"/>
      <c r="BA975" s="271"/>
      <c r="BB975" s="271"/>
      <c r="BC975" s="271"/>
      <c r="BD975" s="271"/>
      <c r="BE975" s="271"/>
      <c r="BF975" s="271"/>
      <c r="BG975" s="271"/>
      <c r="BH975" s="235">
        <v>6500315</v>
      </c>
      <c r="BI975" s="271"/>
      <c r="BJ975" s="271"/>
      <c r="BK975" s="271"/>
      <c r="BL975" s="271"/>
      <c r="BM975" s="271">
        <v>13171757</v>
      </c>
      <c r="BN975" s="271"/>
      <c r="BO975" s="271"/>
      <c r="BP975" s="271"/>
      <c r="BQ975" s="271"/>
      <c r="BR975" s="271"/>
      <c r="BS975" s="271"/>
      <c r="BT975" s="271"/>
      <c r="BU975" s="271"/>
      <c r="BV975" s="271"/>
      <c r="BW975" s="271"/>
      <c r="BX975" s="235">
        <v>13171757</v>
      </c>
      <c r="BY975" s="271"/>
      <c r="BZ975" s="271"/>
      <c r="CA975" s="271"/>
      <c r="CB975" s="271"/>
      <c r="CC975" s="271">
        <v>12629130</v>
      </c>
      <c r="CD975" s="271"/>
      <c r="CE975" s="271"/>
      <c r="CF975" s="271"/>
      <c r="CG975" s="271"/>
      <c r="CH975" s="271"/>
      <c r="CI975" s="271"/>
      <c r="CJ975" s="271"/>
      <c r="CK975" s="271"/>
      <c r="CL975" s="271"/>
      <c r="CM975" s="271"/>
      <c r="CN975" s="235">
        <v>12629130</v>
      </c>
      <c r="CO975" s="271"/>
      <c r="CP975" s="271"/>
      <c r="CQ975" s="271"/>
      <c r="CR975" s="271"/>
      <c r="CS975" s="271">
        <v>8604892</v>
      </c>
      <c r="CT975" s="271"/>
      <c r="CU975" s="271"/>
      <c r="CV975" s="271"/>
      <c r="CW975" s="271"/>
      <c r="CX975" s="271"/>
      <c r="CY975" s="271"/>
      <c r="CZ975" s="271"/>
      <c r="DA975" s="271"/>
      <c r="DB975" s="271"/>
      <c r="DC975" s="271"/>
      <c r="DD975" s="234">
        <v>8604892</v>
      </c>
      <c r="DE975" s="244">
        <v>40906094</v>
      </c>
    </row>
    <row r="976" spans="1:110" s="98" customFormat="1" ht="119.1" customHeight="1">
      <c r="A976" s="103" t="s">
        <v>1240</v>
      </c>
      <c r="B976" s="279" t="s">
        <v>2051</v>
      </c>
      <c r="C976" s="279" t="s">
        <v>2052</v>
      </c>
      <c r="D976" s="279">
        <v>89</v>
      </c>
      <c r="E976" s="279" t="s">
        <v>2065</v>
      </c>
      <c r="F976" s="280" t="s">
        <v>2066</v>
      </c>
      <c r="G976" s="279" t="s">
        <v>3872</v>
      </c>
      <c r="H976" s="279">
        <v>106</v>
      </c>
      <c r="I976" s="279" t="s">
        <v>2067</v>
      </c>
      <c r="J976" s="279" t="s">
        <v>677</v>
      </c>
      <c r="K976" s="279">
        <v>0</v>
      </c>
      <c r="L976" s="279">
        <v>100</v>
      </c>
      <c r="M976" s="279" t="s">
        <v>2079</v>
      </c>
      <c r="N976" s="279" t="s">
        <v>2080</v>
      </c>
      <c r="O976" s="279" t="s">
        <v>474</v>
      </c>
      <c r="P976" s="283">
        <v>855</v>
      </c>
      <c r="Q976" s="279" t="s">
        <v>3879</v>
      </c>
      <c r="R976" s="279" t="s">
        <v>475</v>
      </c>
      <c r="S976" s="279" t="s">
        <v>683</v>
      </c>
      <c r="T976" s="279">
        <v>245</v>
      </c>
      <c r="U976" s="267">
        <v>120</v>
      </c>
      <c r="V976" s="267">
        <v>125</v>
      </c>
      <c r="W976" s="224">
        <v>245</v>
      </c>
      <c r="X976" s="267">
        <v>120</v>
      </c>
      <c r="Y976" s="267"/>
      <c r="Z976" s="267"/>
      <c r="AA976" s="267">
        <v>125</v>
      </c>
      <c r="AB976" s="224">
        <v>245</v>
      </c>
      <c r="AC976" s="267">
        <v>120</v>
      </c>
      <c r="AD976" s="267"/>
      <c r="AE976" s="267"/>
      <c r="AF976" s="267">
        <v>125</v>
      </c>
      <c r="AG976" s="224">
        <v>245</v>
      </c>
      <c r="AH976" s="267">
        <v>120</v>
      </c>
      <c r="AI976" s="267"/>
      <c r="AJ976" s="267"/>
      <c r="AK976" s="267">
        <v>125</v>
      </c>
      <c r="AL976" s="224">
        <v>245</v>
      </c>
      <c r="AM976" s="104">
        <v>245</v>
      </c>
      <c r="AN976" s="103" t="s">
        <v>686</v>
      </c>
      <c r="AO976" s="103" t="s">
        <v>1212</v>
      </c>
      <c r="AP976" s="103" t="s">
        <v>1229</v>
      </c>
      <c r="AQ976" s="103" t="s">
        <v>1199</v>
      </c>
      <c r="AR976" s="103" t="s">
        <v>944</v>
      </c>
      <c r="AS976" s="271"/>
      <c r="AT976" s="271"/>
      <c r="AU976" s="271"/>
      <c r="AV976" s="271"/>
      <c r="AW976" s="271">
        <v>6500315</v>
      </c>
      <c r="AX976" s="271"/>
      <c r="AY976" s="271"/>
      <c r="AZ976" s="271"/>
      <c r="BA976" s="271"/>
      <c r="BB976" s="271"/>
      <c r="BC976" s="271"/>
      <c r="BD976" s="271"/>
      <c r="BE976" s="271"/>
      <c r="BF976" s="271"/>
      <c r="BG976" s="271"/>
      <c r="BH976" s="235">
        <v>6500315</v>
      </c>
      <c r="BI976" s="271"/>
      <c r="BJ976" s="271"/>
      <c r="BK976" s="271"/>
      <c r="BL976" s="271"/>
      <c r="BM976" s="271">
        <v>13171757</v>
      </c>
      <c r="BN976" s="271"/>
      <c r="BO976" s="271"/>
      <c r="BP976" s="271"/>
      <c r="BQ976" s="271"/>
      <c r="BR976" s="271"/>
      <c r="BS976" s="271"/>
      <c r="BT976" s="271"/>
      <c r="BU976" s="271"/>
      <c r="BV976" s="271"/>
      <c r="BW976" s="271"/>
      <c r="BX976" s="235">
        <v>13171757</v>
      </c>
      <c r="BY976" s="271"/>
      <c r="BZ976" s="271"/>
      <c r="CA976" s="271"/>
      <c r="CB976" s="271"/>
      <c r="CC976" s="271">
        <v>12629130</v>
      </c>
      <c r="CD976" s="271"/>
      <c r="CE976" s="271"/>
      <c r="CF976" s="271"/>
      <c r="CG976" s="271"/>
      <c r="CH976" s="271"/>
      <c r="CI976" s="271"/>
      <c r="CJ976" s="271"/>
      <c r="CK976" s="271"/>
      <c r="CL976" s="271"/>
      <c r="CM976" s="271"/>
      <c r="CN976" s="235">
        <v>12629130</v>
      </c>
      <c r="CO976" s="271"/>
      <c r="CP976" s="271"/>
      <c r="CQ976" s="271"/>
      <c r="CR976" s="271"/>
      <c r="CS976" s="271">
        <v>8604892</v>
      </c>
      <c r="CT976" s="271"/>
      <c r="CU976" s="271"/>
      <c r="CV976" s="271"/>
      <c r="CW976" s="271"/>
      <c r="CX976" s="271"/>
      <c r="CY976" s="271"/>
      <c r="CZ976" s="271"/>
      <c r="DA976" s="271"/>
      <c r="DB976" s="271"/>
      <c r="DC976" s="271"/>
      <c r="DD976" s="234">
        <v>8604892</v>
      </c>
      <c r="DE976" s="244">
        <v>40906094</v>
      </c>
    </row>
    <row r="977" spans="1:109" s="98" customFormat="1" ht="119.1" customHeight="1">
      <c r="A977" s="120" t="s">
        <v>1240</v>
      </c>
      <c r="B977" s="281" t="s">
        <v>2051</v>
      </c>
      <c r="C977" s="281" t="s">
        <v>2052</v>
      </c>
      <c r="D977" s="281">
        <v>89</v>
      </c>
      <c r="E977" s="281" t="s">
        <v>2065</v>
      </c>
      <c r="F977" s="282" t="s">
        <v>2066</v>
      </c>
      <c r="G977" s="281" t="s">
        <v>3872</v>
      </c>
      <c r="H977" s="281">
        <v>106</v>
      </c>
      <c r="I977" s="281" t="s">
        <v>2067</v>
      </c>
      <c r="J977" s="281" t="s">
        <v>677</v>
      </c>
      <c r="K977" s="281">
        <v>0</v>
      </c>
      <c r="L977" s="281">
        <v>100</v>
      </c>
      <c r="M977" s="281" t="s">
        <v>2079</v>
      </c>
      <c r="N977" s="281" t="s">
        <v>2080</v>
      </c>
      <c r="O977" s="281" t="s">
        <v>474</v>
      </c>
      <c r="P977" s="283">
        <v>856</v>
      </c>
      <c r="Q977" s="281" t="s">
        <v>3880</v>
      </c>
      <c r="R977" s="281" t="s">
        <v>475</v>
      </c>
      <c r="S977" s="281" t="s">
        <v>683</v>
      </c>
      <c r="T977" s="281">
        <v>245</v>
      </c>
      <c r="U977" s="275">
        <v>50</v>
      </c>
      <c r="V977" s="275">
        <v>50</v>
      </c>
      <c r="W977" s="225">
        <v>100</v>
      </c>
      <c r="X977" s="275">
        <v>60</v>
      </c>
      <c r="Y977" s="275">
        <v>60</v>
      </c>
      <c r="Z977" s="275">
        <v>60</v>
      </c>
      <c r="AA977" s="275">
        <v>60</v>
      </c>
      <c r="AB977" s="225">
        <v>240</v>
      </c>
      <c r="AC977" s="275">
        <v>60</v>
      </c>
      <c r="AD977" s="275">
        <v>60</v>
      </c>
      <c r="AE977" s="275">
        <v>60</v>
      </c>
      <c r="AF977" s="275">
        <v>60</v>
      </c>
      <c r="AG977" s="225">
        <v>240</v>
      </c>
      <c r="AH977" s="275">
        <v>60</v>
      </c>
      <c r="AI977" s="275">
        <v>60</v>
      </c>
      <c r="AJ977" s="275">
        <v>60</v>
      </c>
      <c r="AK977" s="275">
        <v>60</v>
      </c>
      <c r="AL977" s="225">
        <v>240</v>
      </c>
      <c r="AM977" s="119">
        <v>820</v>
      </c>
      <c r="AN977" s="120" t="s">
        <v>685</v>
      </c>
      <c r="AO977" s="120" t="s">
        <v>1212</v>
      </c>
      <c r="AP977" s="120" t="s">
        <v>1229</v>
      </c>
      <c r="AQ977" s="120" t="s">
        <v>1199</v>
      </c>
      <c r="AR977" s="120" t="s">
        <v>944</v>
      </c>
      <c r="AS977" s="276"/>
      <c r="AT977" s="276"/>
      <c r="AU977" s="276"/>
      <c r="AV977" s="276"/>
      <c r="AW977" s="276">
        <v>6500317.25</v>
      </c>
      <c r="AX977" s="276"/>
      <c r="AY977" s="276"/>
      <c r="AZ977" s="276"/>
      <c r="BA977" s="276"/>
      <c r="BB977" s="276"/>
      <c r="BC977" s="276"/>
      <c r="BD977" s="276"/>
      <c r="BE977" s="276"/>
      <c r="BF977" s="276"/>
      <c r="BG977" s="276"/>
      <c r="BH977" s="236">
        <v>6500317.25</v>
      </c>
      <c r="BI977" s="276"/>
      <c r="BJ977" s="276"/>
      <c r="BK977" s="276"/>
      <c r="BL977" s="276"/>
      <c r="BM977" s="276">
        <v>13171759</v>
      </c>
      <c r="BN977" s="276"/>
      <c r="BO977" s="276"/>
      <c r="BP977" s="276"/>
      <c r="BQ977" s="276"/>
      <c r="BR977" s="276"/>
      <c r="BS977" s="276"/>
      <c r="BT977" s="276"/>
      <c r="BU977" s="276"/>
      <c r="BV977" s="276"/>
      <c r="BW977" s="276"/>
      <c r="BX977" s="236">
        <v>13171759</v>
      </c>
      <c r="BY977" s="276"/>
      <c r="BZ977" s="276"/>
      <c r="CA977" s="276"/>
      <c r="CB977" s="276"/>
      <c r="CC977" s="276">
        <v>12629131</v>
      </c>
      <c r="CD977" s="276"/>
      <c r="CE977" s="276"/>
      <c r="CF977" s="276"/>
      <c r="CG977" s="276"/>
      <c r="CH977" s="276"/>
      <c r="CI977" s="276"/>
      <c r="CJ977" s="276"/>
      <c r="CK977" s="276"/>
      <c r="CL977" s="276"/>
      <c r="CM977" s="276"/>
      <c r="CN977" s="236">
        <v>12629131</v>
      </c>
      <c r="CO977" s="276"/>
      <c r="CP977" s="276"/>
      <c r="CQ977" s="276"/>
      <c r="CR977" s="276"/>
      <c r="CS977" s="276">
        <v>8604893</v>
      </c>
      <c r="CT977" s="276"/>
      <c r="CU977" s="276"/>
      <c r="CV977" s="276"/>
      <c r="CW977" s="276"/>
      <c r="CX977" s="276"/>
      <c r="CY977" s="276"/>
      <c r="CZ977" s="276"/>
      <c r="DA977" s="276"/>
      <c r="DB977" s="276"/>
      <c r="DC977" s="276"/>
      <c r="DD977" s="240">
        <v>8604893</v>
      </c>
      <c r="DE977" s="245">
        <v>40906100.25</v>
      </c>
    </row>
    <row r="978" spans="1:109" s="101" customFormat="1" ht="65.099999999999994" customHeight="1">
      <c r="A978" s="159" t="s">
        <v>1240</v>
      </c>
      <c r="B978" s="159" t="s">
        <v>2051</v>
      </c>
      <c r="C978" s="159" t="s">
        <v>2052</v>
      </c>
      <c r="D978" s="159">
        <v>89</v>
      </c>
      <c r="E978" s="159" t="s">
        <v>2065</v>
      </c>
      <c r="F978" s="149"/>
      <c r="G978" s="150"/>
      <c r="H978" s="151"/>
      <c r="I978" s="151"/>
      <c r="J978" s="151"/>
      <c r="K978" s="152"/>
      <c r="L978" s="151"/>
      <c r="M978" s="151"/>
      <c r="N978" s="151"/>
      <c r="O978" s="151"/>
      <c r="P978" s="151"/>
      <c r="Q978" s="150"/>
      <c r="R978" s="153"/>
      <c r="S978" s="151"/>
      <c r="T978" s="151"/>
      <c r="U978" s="154"/>
      <c r="V978" s="154"/>
      <c r="W978" s="152"/>
      <c r="X978" s="154"/>
      <c r="Y978" s="154"/>
      <c r="Z978" s="154"/>
      <c r="AA978" s="154"/>
      <c r="AB978" s="152"/>
      <c r="AC978" s="154"/>
      <c r="AD978" s="154"/>
      <c r="AE978" s="154"/>
      <c r="AF978" s="154"/>
      <c r="AG978" s="152"/>
      <c r="AH978" s="154"/>
      <c r="AI978" s="154"/>
      <c r="AJ978" s="154"/>
      <c r="AK978" s="154"/>
      <c r="AL978" s="152"/>
      <c r="AM978" s="155"/>
      <c r="AN978" s="156"/>
      <c r="AO978" s="156"/>
      <c r="AP978" s="157"/>
      <c r="AQ978" s="157"/>
      <c r="AR978" s="158"/>
      <c r="AS978" s="206">
        <f>SUM(AS968:AS977)</f>
        <v>0</v>
      </c>
      <c r="AT978" s="206">
        <f t="shared" ref="AT978:DE978" si="502">SUM(AT968:AT977)</f>
        <v>0</v>
      </c>
      <c r="AU978" s="206">
        <f t="shared" si="502"/>
        <v>0</v>
      </c>
      <c r="AV978" s="206">
        <f t="shared" si="502"/>
        <v>0</v>
      </c>
      <c r="AW978" s="206">
        <f t="shared" si="502"/>
        <v>95202523.25</v>
      </c>
      <c r="AX978" s="206">
        <f t="shared" si="502"/>
        <v>0</v>
      </c>
      <c r="AY978" s="206">
        <f t="shared" si="502"/>
        <v>0</v>
      </c>
      <c r="AZ978" s="206">
        <f t="shared" si="502"/>
        <v>0</v>
      </c>
      <c r="BA978" s="206">
        <f t="shared" si="502"/>
        <v>0</v>
      </c>
      <c r="BB978" s="206">
        <f t="shared" si="502"/>
        <v>0</v>
      </c>
      <c r="BC978" s="206">
        <f t="shared" si="502"/>
        <v>0</v>
      </c>
      <c r="BD978" s="206">
        <f t="shared" si="502"/>
        <v>0</v>
      </c>
      <c r="BE978" s="206">
        <f t="shared" si="502"/>
        <v>0</v>
      </c>
      <c r="BF978" s="206">
        <f t="shared" si="502"/>
        <v>0</v>
      </c>
      <c r="BG978" s="206">
        <f t="shared" si="502"/>
        <v>0</v>
      </c>
      <c r="BH978" s="206">
        <f>IF(OR(AND(BH968=0,W968&lt;&gt;0),AND(BH969=0,W969&lt;&gt;0),AND(BH970=0,W970&lt;&gt;0),AND(BH971=0,W971&lt;&gt;0),AND(BH972=0,W972&lt;&gt;0),AND(BH973=0,W973&lt;&gt;0),AND(BH974=0,W974&lt;&gt;0),AND(BH975=0,W975&lt;&gt;0),AND(BH976=0,W976&lt;&gt;0),AND(BH977=0,W977&lt;&gt;0)),"NO DEBEN QUEDAR CELDAS EN ROJO",SUM(BH968:BH977))</f>
        <v>95202523.25</v>
      </c>
      <c r="BI978" s="206">
        <f t="shared" si="502"/>
        <v>0</v>
      </c>
      <c r="BJ978" s="206">
        <f t="shared" si="502"/>
        <v>0</v>
      </c>
      <c r="BK978" s="206">
        <f t="shared" si="502"/>
        <v>0</v>
      </c>
      <c r="BL978" s="206">
        <f t="shared" si="502"/>
        <v>0</v>
      </c>
      <c r="BM978" s="206">
        <f t="shared" si="502"/>
        <v>427623029</v>
      </c>
      <c r="BN978" s="206">
        <f t="shared" si="502"/>
        <v>0</v>
      </c>
      <c r="BO978" s="206">
        <f t="shared" si="502"/>
        <v>0</v>
      </c>
      <c r="BP978" s="206">
        <f t="shared" si="502"/>
        <v>0</v>
      </c>
      <c r="BQ978" s="206">
        <f t="shared" si="502"/>
        <v>0</v>
      </c>
      <c r="BR978" s="206">
        <f t="shared" si="502"/>
        <v>0</v>
      </c>
      <c r="BS978" s="206">
        <f t="shared" si="502"/>
        <v>0</v>
      </c>
      <c r="BT978" s="206">
        <f t="shared" si="502"/>
        <v>0</v>
      </c>
      <c r="BU978" s="206">
        <f t="shared" si="502"/>
        <v>0</v>
      </c>
      <c r="BV978" s="206">
        <f t="shared" si="502"/>
        <v>0</v>
      </c>
      <c r="BW978" s="206">
        <f t="shared" si="502"/>
        <v>0</v>
      </c>
      <c r="BX978" s="206">
        <f>IF(OR(AND(BX968=0,AB968&lt;&gt;0),AND(BX969=0,AB969&lt;&gt;0),AND(BX970=0,AB970&lt;&gt;0),AND(BX971=0,AB971&lt;&gt;0),AND(BX972=0,AB972&lt;&gt;0),AND(BX973=0,AB973&lt;&gt;0),AND(BX974=0,AB974&lt;&gt;0),AND(BX975=0,AB975&lt;&gt;0),AND(BX976=0,AB976&lt;&gt;0),AND(BX977=0,AB977&lt;&gt;0)),"NO DEBEN QUEDAR CELDAS EN ROJO",SUM(BX968:BX977))</f>
        <v>427623029</v>
      </c>
      <c r="BY978" s="206">
        <f t="shared" si="502"/>
        <v>0</v>
      </c>
      <c r="BZ978" s="206">
        <f t="shared" si="502"/>
        <v>0</v>
      </c>
      <c r="CA978" s="206">
        <f t="shared" si="502"/>
        <v>0</v>
      </c>
      <c r="CB978" s="206">
        <f t="shared" si="502"/>
        <v>0</v>
      </c>
      <c r="CC978" s="206">
        <f t="shared" si="502"/>
        <v>469750000</v>
      </c>
      <c r="CD978" s="206">
        <f t="shared" si="502"/>
        <v>0</v>
      </c>
      <c r="CE978" s="206">
        <f t="shared" si="502"/>
        <v>0</v>
      </c>
      <c r="CF978" s="206">
        <f t="shared" si="502"/>
        <v>0</v>
      </c>
      <c r="CG978" s="206">
        <f t="shared" si="502"/>
        <v>0</v>
      </c>
      <c r="CH978" s="206">
        <f t="shared" si="502"/>
        <v>0</v>
      </c>
      <c r="CI978" s="206">
        <f t="shared" si="502"/>
        <v>0</v>
      </c>
      <c r="CJ978" s="206">
        <f t="shared" si="502"/>
        <v>0</v>
      </c>
      <c r="CK978" s="206">
        <f t="shared" si="502"/>
        <v>0</v>
      </c>
      <c r="CL978" s="206">
        <f t="shared" si="502"/>
        <v>0</v>
      </c>
      <c r="CM978" s="206">
        <f t="shared" si="502"/>
        <v>0</v>
      </c>
      <c r="CN978" s="206">
        <f>IF(OR(AND(CN968=0,AG968&lt;&gt;0),AND(CN969=0,AG969&lt;&gt;0),AND(CN970=0,AG970&lt;&gt;0),AND(CN971=0,AG971&lt;&gt;0),AND(CN972=0,AG972&lt;&gt;0),AND(CN973=0,AG973&lt;&gt;0),AND(CN974=0,AG974&lt;&gt;0),AND(CN975=0,AG975&lt;&gt;0),AND(CN976=0,AG976&lt;&gt;0),AND(CN977=0,AG977&lt;&gt;0)),"NO DEBEN QUEDAR CELDAS EN ROJO",SUM(CN968:CN977))</f>
        <v>469750000</v>
      </c>
      <c r="CO978" s="206">
        <f t="shared" si="502"/>
        <v>0</v>
      </c>
      <c r="CP978" s="206">
        <f t="shared" si="502"/>
        <v>0</v>
      </c>
      <c r="CQ978" s="206">
        <f t="shared" si="502"/>
        <v>0</v>
      </c>
      <c r="CR978" s="206">
        <f t="shared" si="502"/>
        <v>0</v>
      </c>
      <c r="CS978" s="206">
        <f t="shared" si="502"/>
        <v>583975636.5</v>
      </c>
      <c r="CT978" s="206">
        <f t="shared" si="502"/>
        <v>0</v>
      </c>
      <c r="CU978" s="206">
        <f t="shared" si="502"/>
        <v>0</v>
      </c>
      <c r="CV978" s="206">
        <f t="shared" si="502"/>
        <v>0</v>
      </c>
      <c r="CW978" s="206">
        <f t="shared" si="502"/>
        <v>0</v>
      </c>
      <c r="CX978" s="206">
        <f t="shared" si="502"/>
        <v>0</v>
      </c>
      <c r="CY978" s="206">
        <f t="shared" si="502"/>
        <v>0</v>
      </c>
      <c r="CZ978" s="206">
        <f>SUM(CZ968:CZ977)</f>
        <v>0</v>
      </c>
      <c r="DA978" s="206">
        <f t="shared" si="502"/>
        <v>0</v>
      </c>
      <c r="DB978" s="206">
        <f t="shared" si="502"/>
        <v>0</v>
      </c>
      <c r="DC978" s="206">
        <f t="shared" si="502"/>
        <v>0</v>
      </c>
      <c r="DD978" s="206">
        <f>IF(OR(AND(DD968=0,AL968&lt;&gt;0),AND(DD969=0,AL969&lt;&gt;0),AND(DD970=0,AL970&lt;&gt;0),AND(DD971=0,AL971&lt;&gt;0),AND(DD972=0,AL972&lt;&gt;0),AND(DD973=0,AL973&lt;&gt;0),AND(DD974=0,AL974&lt;&gt;0),AND(DD975=0,AL975&lt;&gt;0),AND(DD976=0,AL976&lt;&gt;0),AND(DD977=0,AL977&lt;&gt;0)),"NO DEBEN QUEDAR CELDAS EN ROJO",SUM(DD968:DD977))</f>
        <v>583975636.5</v>
      </c>
      <c r="DE978" s="206">
        <f t="shared" si="502"/>
        <v>1576551188.75</v>
      </c>
    </row>
    <row r="979" spans="1:109" s="99" customFormat="1" ht="94.05" customHeight="1">
      <c r="A979" s="198" t="s">
        <v>1240</v>
      </c>
      <c r="B979" s="198" t="s">
        <v>2051</v>
      </c>
      <c r="C979" s="198" t="s">
        <v>2052</v>
      </c>
      <c r="D979" s="198">
        <v>90</v>
      </c>
      <c r="E979" s="198" t="s">
        <v>2082</v>
      </c>
      <c r="F979" s="308" t="s">
        <v>476</v>
      </c>
      <c r="G979" s="198" t="s">
        <v>3881</v>
      </c>
      <c r="H979" s="198">
        <v>107</v>
      </c>
      <c r="I979" s="198" t="s">
        <v>2083</v>
      </c>
      <c r="J979" s="198" t="s">
        <v>677</v>
      </c>
      <c r="K979" s="198">
        <v>75.400000000000006</v>
      </c>
      <c r="L979" s="198" t="s">
        <v>2084</v>
      </c>
      <c r="M979" s="198" t="s">
        <v>2085</v>
      </c>
      <c r="N979" s="198" t="s">
        <v>2086</v>
      </c>
      <c r="O979" s="198" t="s">
        <v>2087</v>
      </c>
      <c r="P979" s="309">
        <v>857</v>
      </c>
      <c r="Q979" s="198" t="s">
        <v>3882</v>
      </c>
      <c r="R979" s="198" t="s">
        <v>2088</v>
      </c>
      <c r="S979" s="198" t="s">
        <v>683</v>
      </c>
      <c r="T979" s="198">
        <v>0</v>
      </c>
      <c r="U979" s="310"/>
      <c r="V979" s="310"/>
      <c r="W979" s="227">
        <v>0</v>
      </c>
      <c r="X979" s="310"/>
      <c r="Y979" s="310"/>
      <c r="Z979" s="310"/>
      <c r="AA979" s="310"/>
      <c r="AB979" s="227">
        <v>0</v>
      </c>
      <c r="AC979" s="310"/>
      <c r="AD979" s="310">
        <v>1</v>
      </c>
      <c r="AE979" s="310"/>
      <c r="AF979" s="310"/>
      <c r="AG979" s="227">
        <v>1</v>
      </c>
      <c r="AH979" s="310"/>
      <c r="AI979" s="310">
        <v>1</v>
      </c>
      <c r="AJ979" s="310"/>
      <c r="AK979" s="310"/>
      <c r="AL979" s="227">
        <v>1</v>
      </c>
      <c r="AM979" s="197">
        <v>2</v>
      </c>
      <c r="AN979" s="198" t="s">
        <v>685</v>
      </c>
      <c r="AO979" s="198" t="s">
        <v>1212</v>
      </c>
      <c r="AP979" s="198" t="s">
        <v>1229</v>
      </c>
      <c r="AQ979" s="198" t="s">
        <v>1199</v>
      </c>
      <c r="AR979" s="198" t="s">
        <v>951</v>
      </c>
      <c r="AS979" s="311"/>
      <c r="AT979" s="311"/>
      <c r="AU979" s="311"/>
      <c r="AV979" s="311"/>
      <c r="AW979" s="311"/>
      <c r="AX979" s="311"/>
      <c r="AY979" s="311"/>
      <c r="AZ979" s="311"/>
      <c r="BA979" s="311"/>
      <c r="BB979" s="311"/>
      <c r="BC979" s="311"/>
      <c r="BD979" s="311"/>
      <c r="BE979" s="311"/>
      <c r="BF979" s="311"/>
      <c r="BG979" s="311"/>
      <c r="BH979" s="239">
        <v>0</v>
      </c>
      <c r="BI979" s="311"/>
      <c r="BJ979" s="311"/>
      <c r="BK979" s="311"/>
      <c r="BL979" s="311"/>
      <c r="BM979" s="311"/>
      <c r="BN979" s="311"/>
      <c r="BO979" s="311"/>
      <c r="BP979" s="311"/>
      <c r="BQ979" s="311"/>
      <c r="BR979" s="311"/>
      <c r="BS979" s="311"/>
      <c r="BT979" s="311"/>
      <c r="BU979" s="311"/>
      <c r="BV979" s="311"/>
      <c r="BW979" s="311"/>
      <c r="BX979" s="239">
        <v>0</v>
      </c>
      <c r="BY979" s="311"/>
      <c r="BZ979" s="311"/>
      <c r="CA979" s="311"/>
      <c r="CB979" s="311"/>
      <c r="CC979" s="311">
        <v>15000000</v>
      </c>
      <c r="CD979" s="311"/>
      <c r="CE979" s="311"/>
      <c r="CF979" s="311"/>
      <c r="CG979" s="311"/>
      <c r="CH979" s="311"/>
      <c r="CI979" s="311"/>
      <c r="CJ979" s="311"/>
      <c r="CK979" s="311"/>
      <c r="CL979" s="311"/>
      <c r="CM979" s="311"/>
      <c r="CN979" s="239">
        <v>15000000</v>
      </c>
      <c r="CO979" s="311"/>
      <c r="CP979" s="311"/>
      <c r="CQ979" s="311"/>
      <c r="CR979" s="311"/>
      <c r="CS979" s="311">
        <v>16365450</v>
      </c>
      <c r="CT979" s="311"/>
      <c r="CU979" s="311"/>
      <c r="CV979" s="311"/>
      <c r="CW979" s="311"/>
      <c r="CX979" s="311"/>
      <c r="CY979" s="311"/>
      <c r="CZ979" s="311"/>
      <c r="DA979" s="311"/>
      <c r="DB979" s="311"/>
      <c r="DC979" s="311"/>
      <c r="DD979" s="239">
        <v>16365450</v>
      </c>
      <c r="DE979" s="248">
        <v>31365450</v>
      </c>
    </row>
    <row r="980" spans="1:109" s="99" customFormat="1" ht="94.05" customHeight="1">
      <c r="A980" s="198" t="s">
        <v>1240</v>
      </c>
      <c r="B980" s="198" t="s">
        <v>2051</v>
      </c>
      <c r="C980" s="198" t="s">
        <v>2052</v>
      </c>
      <c r="D980" s="198">
        <v>90</v>
      </c>
      <c r="E980" s="198" t="s">
        <v>2082</v>
      </c>
      <c r="F980" s="308" t="s">
        <v>476</v>
      </c>
      <c r="G980" s="198" t="s">
        <v>3881</v>
      </c>
      <c r="H980" s="198">
        <v>107</v>
      </c>
      <c r="I980" s="198" t="s">
        <v>2083</v>
      </c>
      <c r="J980" s="198" t="s">
        <v>677</v>
      </c>
      <c r="K980" s="198">
        <v>75.400000000000006</v>
      </c>
      <c r="L980" s="198" t="s">
        <v>2084</v>
      </c>
      <c r="M980" s="198" t="s">
        <v>2085</v>
      </c>
      <c r="N980" s="198" t="s">
        <v>2086</v>
      </c>
      <c r="O980" s="198" t="s">
        <v>2087</v>
      </c>
      <c r="P980" s="309">
        <v>858</v>
      </c>
      <c r="Q980" s="198" t="s">
        <v>3883</v>
      </c>
      <c r="R980" s="198" t="s">
        <v>3884</v>
      </c>
      <c r="S980" s="198" t="s">
        <v>683</v>
      </c>
      <c r="T980" s="198">
        <v>2</v>
      </c>
      <c r="U980" s="310"/>
      <c r="V980" s="310">
        <v>1</v>
      </c>
      <c r="W980" s="227">
        <v>1</v>
      </c>
      <c r="X980" s="310"/>
      <c r="Y980" s="310"/>
      <c r="Z980" s="310"/>
      <c r="AA980" s="310">
        <v>1</v>
      </c>
      <c r="AB980" s="227">
        <v>1</v>
      </c>
      <c r="AC980" s="310"/>
      <c r="AD980" s="310"/>
      <c r="AE980" s="310"/>
      <c r="AF980" s="310">
        <v>1</v>
      </c>
      <c r="AG980" s="227">
        <v>1</v>
      </c>
      <c r="AH980" s="310"/>
      <c r="AI980" s="310"/>
      <c r="AJ980" s="310"/>
      <c r="AK980" s="310">
        <v>1</v>
      </c>
      <c r="AL980" s="227">
        <v>1</v>
      </c>
      <c r="AM980" s="197">
        <v>4</v>
      </c>
      <c r="AN980" s="198" t="s">
        <v>685</v>
      </c>
      <c r="AO980" s="198" t="s">
        <v>1212</v>
      </c>
      <c r="AP980" s="198" t="s">
        <v>1229</v>
      </c>
      <c r="AQ980" s="198" t="s">
        <v>1199</v>
      </c>
      <c r="AR980" s="198" t="s">
        <v>951</v>
      </c>
      <c r="AS980" s="311"/>
      <c r="AT980" s="311"/>
      <c r="AU980" s="311"/>
      <c r="AV980" s="311"/>
      <c r="AW980" s="311">
        <v>3357000</v>
      </c>
      <c r="AX980" s="311"/>
      <c r="AY980" s="311"/>
      <c r="AZ980" s="311"/>
      <c r="BA980" s="311"/>
      <c r="BB980" s="311"/>
      <c r="BC980" s="311"/>
      <c r="BD980" s="311"/>
      <c r="BE980" s="311"/>
      <c r="BF980" s="311"/>
      <c r="BG980" s="311"/>
      <c r="BH980" s="239">
        <v>3357000</v>
      </c>
      <c r="BI980" s="311"/>
      <c r="BJ980" s="311"/>
      <c r="BK980" s="311"/>
      <c r="BL980" s="311"/>
      <c r="BM980" s="311">
        <v>3357000</v>
      </c>
      <c r="BN980" s="311"/>
      <c r="BO980" s="311"/>
      <c r="BP980" s="311"/>
      <c r="BQ980" s="311"/>
      <c r="BR980" s="311"/>
      <c r="BS980" s="311"/>
      <c r="BT980" s="311"/>
      <c r="BU980" s="311"/>
      <c r="BV980" s="311"/>
      <c r="BW980" s="311"/>
      <c r="BX980" s="239">
        <v>3357000</v>
      </c>
      <c r="BY980" s="311"/>
      <c r="BZ980" s="311"/>
      <c r="CA980" s="311"/>
      <c r="CB980" s="311"/>
      <c r="CC980" s="311">
        <v>3357000</v>
      </c>
      <c r="CD980" s="311"/>
      <c r="CE980" s="311"/>
      <c r="CF980" s="311"/>
      <c r="CG980" s="311"/>
      <c r="CH980" s="311"/>
      <c r="CI980" s="311"/>
      <c r="CJ980" s="311"/>
      <c r="CK980" s="311"/>
      <c r="CL980" s="311"/>
      <c r="CM980" s="311"/>
      <c r="CN980" s="239">
        <v>3357000</v>
      </c>
      <c r="CO980" s="311"/>
      <c r="CP980" s="311"/>
      <c r="CQ980" s="311"/>
      <c r="CR980" s="311"/>
      <c r="CS980" s="311">
        <v>3357000</v>
      </c>
      <c r="CT980" s="311"/>
      <c r="CU980" s="311"/>
      <c r="CV980" s="311"/>
      <c r="CW980" s="311"/>
      <c r="CX980" s="311"/>
      <c r="CY980" s="311"/>
      <c r="CZ980" s="311"/>
      <c r="DA980" s="311"/>
      <c r="DB980" s="311"/>
      <c r="DC980" s="311"/>
      <c r="DD980" s="239">
        <v>3357000</v>
      </c>
      <c r="DE980" s="248">
        <v>13428000</v>
      </c>
    </row>
    <row r="981" spans="1:109" s="99" customFormat="1" ht="94.05" customHeight="1">
      <c r="A981" s="198" t="s">
        <v>1240</v>
      </c>
      <c r="B981" s="198" t="s">
        <v>2051</v>
      </c>
      <c r="C981" s="198" t="s">
        <v>2052</v>
      </c>
      <c r="D981" s="198">
        <v>90</v>
      </c>
      <c r="E981" s="198" t="s">
        <v>2082</v>
      </c>
      <c r="F981" s="308" t="s">
        <v>476</v>
      </c>
      <c r="G981" s="198" t="s">
        <v>3881</v>
      </c>
      <c r="H981" s="198">
        <v>107</v>
      </c>
      <c r="I981" s="198" t="s">
        <v>2083</v>
      </c>
      <c r="J981" s="198" t="s">
        <v>677</v>
      </c>
      <c r="K981" s="198">
        <v>75.400000000000006</v>
      </c>
      <c r="L981" s="198" t="s">
        <v>2084</v>
      </c>
      <c r="M981" s="198" t="s">
        <v>2085</v>
      </c>
      <c r="N981" s="198" t="s">
        <v>2086</v>
      </c>
      <c r="O981" s="198" t="s">
        <v>2087</v>
      </c>
      <c r="P981" s="309">
        <v>859</v>
      </c>
      <c r="Q981" s="198" t="s">
        <v>3885</v>
      </c>
      <c r="R981" s="198" t="s">
        <v>3886</v>
      </c>
      <c r="S981" s="198" t="s">
        <v>683</v>
      </c>
      <c r="T981" s="198">
        <v>18</v>
      </c>
      <c r="U981" s="310"/>
      <c r="V981" s="310">
        <v>18</v>
      </c>
      <c r="W981" s="227">
        <v>18</v>
      </c>
      <c r="X981" s="310"/>
      <c r="Y981" s="310"/>
      <c r="Z981" s="310"/>
      <c r="AA981" s="310">
        <v>18</v>
      </c>
      <c r="AB981" s="227">
        <v>18</v>
      </c>
      <c r="AC981" s="310"/>
      <c r="AD981" s="310"/>
      <c r="AE981" s="310"/>
      <c r="AF981" s="310">
        <v>18</v>
      </c>
      <c r="AG981" s="227">
        <v>18</v>
      </c>
      <c r="AH981" s="310"/>
      <c r="AI981" s="310"/>
      <c r="AJ981" s="310"/>
      <c r="AK981" s="310">
        <v>18</v>
      </c>
      <c r="AL981" s="227">
        <v>18</v>
      </c>
      <c r="AM981" s="197">
        <v>18</v>
      </c>
      <c r="AN981" s="198" t="s">
        <v>686</v>
      </c>
      <c r="AO981" s="198" t="s">
        <v>1212</v>
      </c>
      <c r="AP981" s="198" t="s">
        <v>1229</v>
      </c>
      <c r="AQ981" s="198" t="s">
        <v>1199</v>
      </c>
      <c r="AR981" s="198" t="s">
        <v>951</v>
      </c>
      <c r="AS981" s="311"/>
      <c r="AT981" s="311"/>
      <c r="AU981" s="311"/>
      <c r="AV981" s="311"/>
      <c r="AW981" s="311">
        <v>88488523.25</v>
      </c>
      <c r="AX981" s="311"/>
      <c r="AY981" s="311"/>
      <c r="AZ981" s="311"/>
      <c r="BA981" s="311"/>
      <c r="BB981" s="311"/>
      <c r="BC981" s="311"/>
      <c r="BD981" s="311"/>
      <c r="BE981" s="311"/>
      <c r="BF981" s="311"/>
      <c r="BG981" s="311"/>
      <c r="BH981" s="239">
        <v>88488523.25</v>
      </c>
      <c r="BI981" s="311"/>
      <c r="BJ981" s="311"/>
      <c r="BK981" s="311"/>
      <c r="BL981" s="311"/>
      <c r="BM981" s="311">
        <v>424266029</v>
      </c>
      <c r="BN981" s="311"/>
      <c r="BO981" s="311"/>
      <c r="BP981" s="311"/>
      <c r="BQ981" s="311"/>
      <c r="BR981" s="311"/>
      <c r="BS981" s="311"/>
      <c r="BT981" s="311"/>
      <c r="BU981" s="311"/>
      <c r="BV981" s="311"/>
      <c r="BW981" s="311"/>
      <c r="BX981" s="239">
        <v>424266029</v>
      </c>
      <c r="BY981" s="311"/>
      <c r="BZ981" s="311"/>
      <c r="CA981" s="311"/>
      <c r="CB981" s="311"/>
      <c r="CC981" s="311">
        <v>451393000</v>
      </c>
      <c r="CD981" s="311"/>
      <c r="CE981" s="311"/>
      <c r="CF981" s="311"/>
      <c r="CG981" s="311"/>
      <c r="CH981" s="311"/>
      <c r="CI981" s="311"/>
      <c r="CJ981" s="311"/>
      <c r="CK981" s="311"/>
      <c r="CL981" s="311"/>
      <c r="CM981" s="311"/>
      <c r="CN981" s="239">
        <v>451393000</v>
      </c>
      <c r="CO981" s="311"/>
      <c r="CP981" s="311"/>
      <c r="CQ981" s="311"/>
      <c r="CR981" s="311"/>
      <c r="CS981" s="311">
        <v>564253186.5</v>
      </c>
      <c r="CT981" s="311"/>
      <c r="CU981" s="311"/>
      <c r="CV981" s="311"/>
      <c r="CW981" s="311"/>
      <c r="CX981" s="311"/>
      <c r="CY981" s="311"/>
      <c r="CZ981" s="311"/>
      <c r="DA981" s="311"/>
      <c r="DB981" s="311"/>
      <c r="DC981" s="311"/>
      <c r="DD981" s="239">
        <v>564253186.5</v>
      </c>
      <c r="DE981" s="248">
        <v>1528400738.75</v>
      </c>
    </row>
    <row r="982" spans="1:109" s="99" customFormat="1" ht="94.05" customHeight="1">
      <c r="A982" s="198" t="s">
        <v>1240</v>
      </c>
      <c r="B982" s="198" t="s">
        <v>2051</v>
      </c>
      <c r="C982" s="198" t="s">
        <v>2052</v>
      </c>
      <c r="D982" s="198">
        <v>90</v>
      </c>
      <c r="E982" s="198" t="s">
        <v>2082</v>
      </c>
      <c r="F982" s="308" t="s">
        <v>476</v>
      </c>
      <c r="G982" s="198" t="s">
        <v>3881</v>
      </c>
      <c r="H982" s="198">
        <v>107</v>
      </c>
      <c r="I982" s="198" t="s">
        <v>2083</v>
      </c>
      <c r="J982" s="198" t="s">
        <v>677</v>
      </c>
      <c r="K982" s="198">
        <v>75.400000000000006</v>
      </c>
      <c r="L982" s="198" t="s">
        <v>2084</v>
      </c>
      <c r="M982" s="198" t="s">
        <v>2085</v>
      </c>
      <c r="N982" s="198" t="s">
        <v>2086</v>
      </c>
      <c r="O982" s="198" t="s">
        <v>2087</v>
      </c>
      <c r="P982" s="309">
        <v>860</v>
      </c>
      <c r="Q982" s="198" t="s">
        <v>3887</v>
      </c>
      <c r="R982" s="198" t="s">
        <v>3888</v>
      </c>
      <c r="S982" s="198" t="s">
        <v>683</v>
      </c>
      <c r="T982" s="198">
        <v>0</v>
      </c>
      <c r="U982" s="310">
        <v>37</v>
      </c>
      <c r="V982" s="310"/>
      <c r="W982" s="227">
        <v>37</v>
      </c>
      <c r="X982" s="310"/>
      <c r="Y982" s="310"/>
      <c r="Z982" s="310"/>
      <c r="AA982" s="310"/>
      <c r="AB982" s="227">
        <v>0</v>
      </c>
      <c r="AC982" s="310"/>
      <c r="AD982" s="310"/>
      <c r="AE982" s="310"/>
      <c r="AF982" s="310"/>
      <c r="AG982" s="227">
        <v>0</v>
      </c>
      <c r="AH982" s="310"/>
      <c r="AI982" s="310"/>
      <c r="AJ982" s="310"/>
      <c r="AK982" s="310"/>
      <c r="AL982" s="227">
        <v>0</v>
      </c>
      <c r="AM982" s="197">
        <v>37</v>
      </c>
      <c r="AN982" s="198" t="s">
        <v>685</v>
      </c>
      <c r="AO982" s="198" t="s">
        <v>1212</v>
      </c>
      <c r="AP982" s="198" t="s">
        <v>1229</v>
      </c>
      <c r="AQ982" s="198" t="s">
        <v>1199</v>
      </c>
      <c r="AR982" s="198" t="s">
        <v>951</v>
      </c>
      <c r="AS982" s="311"/>
      <c r="AT982" s="311"/>
      <c r="AU982" s="311"/>
      <c r="AV982" s="311"/>
      <c r="AW982" s="311">
        <v>3357000</v>
      </c>
      <c r="AX982" s="311"/>
      <c r="AY982" s="311"/>
      <c r="AZ982" s="311"/>
      <c r="BA982" s="311"/>
      <c r="BB982" s="311"/>
      <c r="BC982" s="311"/>
      <c r="BD982" s="311"/>
      <c r="BE982" s="311"/>
      <c r="BF982" s="311"/>
      <c r="BG982" s="311"/>
      <c r="BH982" s="239">
        <v>3357000</v>
      </c>
      <c r="BI982" s="311"/>
      <c r="BJ982" s="311"/>
      <c r="BK982" s="311"/>
      <c r="BL982" s="311"/>
      <c r="BM982" s="311"/>
      <c r="BN982" s="311"/>
      <c r="BO982" s="311"/>
      <c r="BP982" s="311"/>
      <c r="BQ982" s="311"/>
      <c r="BR982" s="311"/>
      <c r="BS982" s="311"/>
      <c r="BT982" s="311"/>
      <c r="BU982" s="311"/>
      <c r="BV982" s="311"/>
      <c r="BW982" s="311"/>
      <c r="BX982" s="239">
        <v>0</v>
      </c>
      <c r="BY982" s="311"/>
      <c r="BZ982" s="311"/>
      <c r="CA982" s="311"/>
      <c r="CB982" s="311"/>
      <c r="CC982" s="311"/>
      <c r="CD982" s="311"/>
      <c r="CE982" s="311"/>
      <c r="CF982" s="311"/>
      <c r="CG982" s="311"/>
      <c r="CH982" s="311"/>
      <c r="CI982" s="311"/>
      <c r="CJ982" s="311"/>
      <c r="CK982" s="311"/>
      <c r="CL982" s="311"/>
      <c r="CM982" s="311"/>
      <c r="CN982" s="239">
        <v>0</v>
      </c>
      <c r="CO982" s="311"/>
      <c r="CP982" s="311"/>
      <c r="CQ982" s="311"/>
      <c r="CR982" s="311"/>
      <c r="CS982" s="311"/>
      <c r="CT982" s="311"/>
      <c r="CU982" s="311"/>
      <c r="CV982" s="311"/>
      <c r="CW982" s="311"/>
      <c r="CX982" s="311"/>
      <c r="CY982" s="311"/>
      <c r="CZ982" s="311"/>
      <c r="DA982" s="311"/>
      <c r="DB982" s="311"/>
      <c r="DC982" s="311"/>
      <c r="DD982" s="239">
        <v>0</v>
      </c>
      <c r="DE982" s="248">
        <v>3357000</v>
      </c>
    </row>
    <row r="983" spans="1:109" s="101" customFormat="1" ht="65.099999999999994" customHeight="1">
      <c r="A983" s="118" t="s">
        <v>1240</v>
      </c>
      <c r="B983" s="118" t="s">
        <v>2051</v>
      </c>
      <c r="C983" s="118" t="s">
        <v>2052</v>
      </c>
      <c r="D983" s="118">
        <v>90</v>
      </c>
      <c r="E983" s="118" t="s">
        <v>2082</v>
      </c>
      <c r="F983" s="135"/>
      <c r="G983" s="136"/>
      <c r="H983" s="137"/>
      <c r="I983" s="137"/>
      <c r="J983" s="137"/>
      <c r="K983" s="138"/>
      <c r="L983" s="137"/>
      <c r="M983" s="137"/>
      <c r="N983" s="137"/>
      <c r="O983" s="137"/>
      <c r="P983" s="137"/>
      <c r="Q983" s="136"/>
      <c r="R983" s="139"/>
      <c r="S983" s="137"/>
      <c r="T983" s="137"/>
      <c r="U983" s="140"/>
      <c r="V983" s="140"/>
      <c r="W983" s="138"/>
      <c r="X983" s="140"/>
      <c r="Y983" s="140"/>
      <c r="Z983" s="140"/>
      <c r="AA983" s="140"/>
      <c r="AB983" s="138"/>
      <c r="AC983" s="140"/>
      <c r="AD983" s="140"/>
      <c r="AE983" s="140"/>
      <c r="AF983" s="140"/>
      <c r="AG983" s="138"/>
      <c r="AH983" s="140"/>
      <c r="AI983" s="140"/>
      <c r="AJ983" s="140"/>
      <c r="AK983" s="140"/>
      <c r="AL983" s="138"/>
      <c r="AM983" s="141"/>
      <c r="AN983" s="142"/>
      <c r="AO983" s="142"/>
      <c r="AP983" s="143"/>
      <c r="AQ983" s="143"/>
      <c r="AR983" s="144"/>
      <c r="AS983" s="132">
        <f>SUM(AS979:AS982)</f>
        <v>0</v>
      </c>
      <c r="AT983" s="132">
        <f t="shared" ref="AT983:DC983" si="503">SUM(AT979:AT982)</f>
        <v>0</v>
      </c>
      <c r="AU983" s="132">
        <f t="shared" si="503"/>
        <v>0</v>
      </c>
      <c r="AV983" s="132">
        <f t="shared" si="503"/>
        <v>0</v>
      </c>
      <c r="AW983" s="132">
        <f t="shared" si="503"/>
        <v>95202523.25</v>
      </c>
      <c r="AX983" s="132">
        <f t="shared" si="503"/>
        <v>0</v>
      </c>
      <c r="AY983" s="132">
        <f t="shared" si="503"/>
        <v>0</v>
      </c>
      <c r="AZ983" s="132">
        <f t="shared" si="503"/>
        <v>0</v>
      </c>
      <c r="BA983" s="132">
        <f t="shared" si="503"/>
        <v>0</v>
      </c>
      <c r="BB983" s="132">
        <f t="shared" si="503"/>
        <v>0</v>
      </c>
      <c r="BC983" s="132">
        <f t="shared" si="503"/>
        <v>0</v>
      </c>
      <c r="BD983" s="132">
        <f t="shared" si="503"/>
        <v>0</v>
      </c>
      <c r="BE983" s="132">
        <f t="shared" si="503"/>
        <v>0</v>
      </c>
      <c r="BF983" s="132">
        <f t="shared" si="503"/>
        <v>0</v>
      </c>
      <c r="BG983" s="132">
        <f t="shared" si="503"/>
        <v>0</v>
      </c>
      <c r="BH983" s="132">
        <f>IF(OR(AND(BH979=0,W979&lt;&gt;0),AND(BH980=0,W980&lt;&gt;0),AND(BH981=0,W981&lt;&gt;0),AND(BH982=0,W982&lt;&gt;0)),"NO DEBEN QUEDAR CELDAS EN ROJO",SUM(BH979:BH982))</f>
        <v>95202523.25</v>
      </c>
      <c r="BI983" s="132">
        <f t="shared" si="503"/>
        <v>0</v>
      </c>
      <c r="BJ983" s="132">
        <f t="shared" si="503"/>
        <v>0</v>
      </c>
      <c r="BK983" s="132">
        <f t="shared" si="503"/>
        <v>0</v>
      </c>
      <c r="BL983" s="132">
        <f t="shared" si="503"/>
        <v>0</v>
      </c>
      <c r="BM983" s="132">
        <f t="shared" si="503"/>
        <v>427623029</v>
      </c>
      <c r="BN983" s="132">
        <f t="shared" si="503"/>
        <v>0</v>
      </c>
      <c r="BO983" s="132">
        <f t="shared" si="503"/>
        <v>0</v>
      </c>
      <c r="BP983" s="132">
        <f t="shared" si="503"/>
        <v>0</v>
      </c>
      <c r="BQ983" s="132">
        <f t="shared" si="503"/>
        <v>0</v>
      </c>
      <c r="BR983" s="132">
        <f t="shared" si="503"/>
        <v>0</v>
      </c>
      <c r="BS983" s="132">
        <f t="shared" si="503"/>
        <v>0</v>
      </c>
      <c r="BT983" s="132">
        <f t="shared" si="503"/>
        <v>0</v>
      </c>
      <c r="BU983" s="132">
        <f t="shared" si="503"/>
        <v>0</v>
      </c>
      <c r="BV983" s="132">
        <f t="shared" si="503"/>
        <v>0</v>
      </c>
      <c r="BW983" s="132">
        <f t="shared" si="503"/>
        <v>0</v>
      </c>
      <c r="BX983" s="132">
        <f>IF(OR(AND(BX979=0,AB979&lt;&gt;0),AND(BX980=0,AB980&lt;&gt;0),AND(BX981=0,AB981&lt;&gt;0),AND(BX982=0,AB982&lt;&gt;0)),"NO DEBEN QUEDAR CELDAS EN ROJO",SUM(BX979:BX982))</f>
        <v>427623029</v>
      </c>
      <c r="BY983" s="132">
        <f t="shared" si="503"/>
        <v>0</v>
      </c>
      <c r="BZ983" s="132">
        <f t="shared" si="503"/>
        <v>0</v>
      </c>
      <c r="CA983" s="132">
        <f t="shared" si="503"/>
        <v>0</v>
      </c>
      <c r="CB983" s="132">
        <f t="shared" si="503"/>
        <v>0</v>
      </c>
      <c r="CC983" s="132">
        <f t="shared" si="503"/>
        <v>469750000</v>
      </c>
      <c r="CD983" s="132">
        <f t="shared" si="503"/>
        <v>0</v>
      </c>
      <c r="CE983" s="132">
        <f t="shared" si="503"/>
        <v>0</v>
      </c>
      <c r="CF983" s="132">
        <f t="shared" si="503"/>
        <v>0</v>
      </c>
      <c r="CG983" s="132">
        <f t="shared" si="503"/>
        <v>0</v>
      </c>
      <c r="CH983" s="132">
        <f t="shared" si="503"/>
        <v>0</v>
      </c>
      <c r="CI983" s="132">
        <f t="shared" si="503"/>
        <v>0</v>
      </c>
      <c r="CJ983" s="132">
        <f t="shared" si="503"/>
        <v>0</v>
      </c>
      <c r="CK983" s="132">
        <f t="shared" si="503"/>
        <v>0</v>
      </c>
      <c r="CL983" s="132">
        <f t="shared" si="503"/>
        <v>0</v>
      </c>
      <c r="CM983" s="132">
        <f t="shared" si="503"/>
        <v>0</v>
      </c>
      <c r="CN983" s="132">
        <f>IF(OR(AND(CN979=0,AG979&lt;&gt;0),AND(CN980=0,AG980&lt;&gt;0),AND(CN981=0,AG981&lt;&gt;0),AND(CN982=0,AG982&lt;&gt;0)),"NO DEBEN QUEDAR CELDAS EN ROJO",SUM(CN979:CN982))</f>
        <v>469750000</v>
      </c>
      <c r="CO983" s="132">
        <f t="shared" si="503"/>
        <v>0</v>
      </c>
      <c r="CP983" s="132">
        <f t="shared" si="503"/>
        <v>0</v>
      </c>
      <c r="CQ983" s="132">
        <f t="shared" si="503"/>
        <v>0</v>
      </c>
      <c r="CR983" s="132">
        <f t="shared" si="503"/>
        <v>0</v>
      </c>
      <c r="CS983" s="132">
        <f t="shared" si="503"/>
        <v>583975636.5</v>
      </c>
      <c r="CT983" s="132">
        <f t="shared" si="503"/>
        <v>0</v>
      </c>
      <c r="CU983" s="132">
        <f t="shared" si="503"/>
        <v>0</v>
      </c>
      <c r="CV983" s="132">
        <f t="shared" si="503"/>
        <v>0</v>
      </c>
      <c r="CW983" s="132">
        <f t="shared" si="503"/>
        <v>0</v>
      </c>
      <c r="CX983" s="132">
        <f t="shared" si="503"/>
        <v>0</v>
      </c>
      <c r="CY983" s="132">
        <f t="shared" si="503"/>
        <v>0</v>
      </c>
      <c r="CZ983" s="132">
        <f t="shared" si="503"/>
        <v>0</v>
      </c>
      <c r="DA983" s="132">
        <f t="shared" si="503"/>
        <v>0</v>
      </c>
      <c r="DB983" s="132">
        <f t="shared" si="503"/>
        <v>0</v>
      </c>
      <c r="DC983" s="132">
        <f t="shared" si="503"/>
        <v>0</v>
      </c>
      <c r="DD983" s="132">
        <f>IF(OR(AND(DD979=0,AL979&lt;&gt;0),AND(DD980=0,AL980&lt;&gt;0),AND(DD981=0,AL981&lt;&gt;0),AND(DD982=0,AL982&lt;&gt;0)),"NO DEBEN QUEDAR CELDAS EN ROJO",SUM(DD979:DD982))</f>
        <v>583975636.5</v>
      </c>
      <c r="DE983" s="132">
        <f>SUM(DE979:DE982)</f>
        <v>1576551188.75</v>
      </c>
    </row>
    <row r="984" spans="1:109" s="99" customFormat="1" ht="119.1" customHeight="1">
      <c r="A984" s="103" t="s">
        <v>1251</v>
      </c>
      <c r="B984" s="103" t="s">
        <v>2051</v>
      </c>
      <c r="C984" s="103" t="s">
        <v>2052</v>
      </c>
      <c r="D984" s="103">
        <v>91</v>
      </c>
      <c r="E984" s="103" t="s">
        <v>2089</v>
      </c>
      <c r="F984" s="278" t="s">
        <v>477</v>
      </c>
      <c r="G984" s="103" t="s">
        <v>2955</v>
      </c>
      <c r="H984" s="103">
        <v>108</v>
      </c>
      <c r="I984" s="103" t="s">
        <v>478</v>
      </c>
      <c r="J984" s="103" t="s">
        <v>677</v>
      </c>
      <c r="K984" s="103">
        <v>50</v>
      </c>
      <c r="L984" s="266" t="s">
        <v>3221</v>
      </c>
      <c r="M984" s="103" t="s">
        <v>2090</v>
      </c>
      <c r="N984" s="103" t="s">
        <v>2091</v>
      </c>
      <c r="O984" s="103" t="s">
        <v>479</v>
      </c>
      <c r="P984" s="283">
        <v>861</v>
      </c>
      <c r="Q984" s="312" t="s">
        <v>3240</v>
      </c>
      <c r="R984" s="103" t="s">
        <v>2092</v>
      </c>
      <c r="S984" s="103" t="s">
        <v>683</v>
      </c>
      <c r="T984" s="103">
        <v>8</v>
      </c>
      <c r="U984" s="267"/>
      <c r="V984" s="267">
        <v>8</v>
      </c>
      <c r="W984" s="224">
        <v>8</v>
      </c>
      <c r="X984" s="267"/>
      <c r="Y984" s="267"/>
      <c r="Z984" s="267"/>
      <c r="AA984" s="267">
        <v>8</v>
      </c>
      <c r="AB984" s="224">
        <v>8</v>
      </c>
      <c r="AC984" s="267"/>
      <c r="AD984" s="267"/>
      <c r="AE984" s="267"/>
      <c r="AF984" s="267">
        <v>8</v>
      </c>
      <c r="AG984" s="224">
        <v>8</v>
      </c>
      <c r="AH984" s="267"/>
      <c r="AI984" s="267"/>
      <c r="AJ984" s="267"/>
      <c r="AK984" s="267">
        <v>8</v>
      </c>
      <c r="AL984" s="224">
        <v>8</v>
      </c>
      <c r="AM984" s="102">
        <v>8</v>
      </c>
      <c r="AN984" s="103" t="s">
        <v>686</v>
      </c>
      <c r="AO984" s="103" t="s">
        <v>1212</v>
      </c>
      <c r="AP984" s="103" t="s">
        <v>1229</v>
      </c>
      <c r="AQ984" s="103" t="s">
        <v>1207</v>
      </c>
      <c r="AR984" s="103" t="s">
        <v>951</v>
      </c>
      <c r="AS984" s="268"/>
      <c r="AT984" s="268"/>
      <c r="AU984" s="268"/>
      <c r="AV984" s="268"/>
      <c r="AW984" s="268">
        <v>700000000</v>
      </c>
      <c r="AX984" s="268"/>
      <c r="AY984" s="268"/>
      <c r="AZ984" s="268"/>
      <c r="BA984" s="268"/>
      <c r="BB984" s="268"/>
      <c r="BC984" s="268"/>
      <c r="BD984" s="268"/>
      <c r="BE984" s="268"/>
      <c r="BF984" s="268"/>
      <c r="BG984" s="268"/>
      <c r="BH984" s="234">
        <f t="shared" ref="BH984:BH1007" si="504">IF(W984=0,0,BG984+BF984+BE984+BD984+BC984+BB984+BA984+AZ984+AY984+AX984+AW984+AV984+AU984+AT984+AS984)</f>
        <v>700000000</v>
      </c>
      <c r="BI984" s="268"/>
      <c r="BJ984" s="268"/>
      <c r="BK984" s="268"/>
      <c r="BL984" s="268"/>
      <c r="BM984" s="268">
        <v>650000000</v>
      </c>
      <c r="BN984" s="268"/>
      <c r="BO984" s="268"/>
      <c r="BP984" s="268"/>
      <c r="BQ984" s="268"/>
      <c r="BR984" s="268"/>
      <c r="BS984" s="268"/>
      <c r="BT984" s="268"/>
      <c r="BU984" s="268"/>
      <c r="BV984" s="268"/>
      <c r="BW984" s="268"/>
      <c r="BX984" s="234">
        <f t="shared" ref="BX984:BX1007" si="505">IF(AB984=0,0,BI984+BJ984+BK984+BL984+BM984+BN984+BO984+BP984+BQ984+BR984+BS984+BT984+BU984+BV984+BW984)</f>
        <v>650000000</v>
      </c>
      <c r="BY984" s="268"/>
      <c r="BZ984" s="268"/>
      <c r="CA984" s="268"/>
      <c r="CB984" s="268"/>
      <c r="CC984" s="268">
        <v>700000000</v>
      </c>
      <c r="CD984" s="268"/>
      <c r="CE984" s="268"/>
      <c r="CF984" s="268"/>
      <c r="CG984" s="268"/>
      <c r="CH984" s="268"/>
      <c r="CI984" s="268"/>
      <c r="CJ984" s="268"/>
      <c r="CK984" s="268"/>
      <c r="CL984" s="268"/>
      <c r="CM984" s="268"/>
      <c r="CN984" s="234">
        <f t="shared" ref="CN984:CN1007" si="506">IF(AG984=0,0,(BY984+BZ984+CA984+CB984+CC984+CD984+CE984+CF984+CG984+CH984+CI984+CJ984+CK984+CL984+CM984))</f>
        <v>700000000</v>
      </c>
      <c r="CO984" s="268"/>
      <c r="CP984" s="268"/>
      <c r="CQ984" s="268"/>
      <c r="CR984" s="268"/>
      <c r="CS984" s="268">
        <v>750000000</v>
      </c>
      <c r="CT984" s="268"/>
      <c r="CU984" s="268"/>
      <c r="CV984" s="268"/>
      <c r="CW984" s="268"/>
      <c r="CX984" s="268"/>
      <c r="CY984" s="268"/>
      <c r="CZ984" s="268"/>
      <c r="DA984" s="268"/>
      <c r="DB984" s="268"/>
      <c r="DC984" s="268"/>
      <c r="DD984" s="234">
        <f t="shared" ref="DD984:DD1007" si="507">IF(AL984=0,0,(CO984+CP984+CQ984+CR984+CS984+CT984+CU984+CV984+CW984+CX984+CY984+CZ984+DA984+DB984+DC984))</f>
        <v>750000000</v>
      </c>
      <c r="DE984" s="243">
        <f t="shared" ref="DE984:DE998" si="508">SUM(DD984+CN984+BX984+BH984)</f>
        <v>2800000000</v>
      </c>
    </row>
    <row r="985" spans="1:109" s="99" customFormat="1" ht="119.1" customHeight="1">
      <c r="A985" s="103" t="s">
        <v>1251</v>
      </c>
      <c r="B985" s="279" t="s">
        <v>2051</v>
      </c>
      <c r="C985" s="279" t="s">
        <v>2052</v>
      </c>
      <c r="D985" s="279">
        <v>91</v>
      </c>
      <c r="E985" s="279" t="s">
        <v>2089</v>
      </c>
      <c r="F985" s="280" t="s">
        <v>477</v>
      </c>
      <c r="G985" s="279" t="s">
        <v>2955</v>
      </c>
      <c r="H985" s="279">
        <v>108</v>
      </c>
      <c r="I985" s="279" t="s">
        <v>478</v>
      </c>
      <c r="J985" s="279" t="s">
        <v>677</v>
      </c>
      <c r="K985" s="279">
        <v>50</v>
      </c>
      <c r="L985" s="270" t="s">
        <v>3221</v>
      </c>
      <c r="M985" s="279" t="s">
        <v>2090</v>
      </c>
      <c r="N985" s="279" t="s">
        <v>2091</v>
      </c>
      <c r="O985" s="279" t="s">
        <v>479</v>
      </c>
      <c r="P985" s="283">
        <v>862</v>
      </c>
      <c r="Q985" s="279" t="s">
        <v>3792</v>
      </c>
      <c r="R985" s="279" t="s">
        <v>2092</v>
      </c>
      <c r="S985" s="279" t="s">
        <v>683</v>
      </c>
      <c r="T985" s="279">
        <v>8</v>
      </c>
      <c r="U985" s="267"/>
      <c r="V985" s="267">
        <v>1</v>
      </c>
      <c r="W985" s="224">
        <v>1</v>
      </c>
      <c r="X985" s="267"/>
      <c r="Y985" s="267"/>
      <c r="Z985" s="267"/>
      <c r="AA985" s="267">
        <v>3</v>
      </c>
      <c r="AB985" s="224">
        <v>3</v>
      </c>
      <c r="AC985" s="267"/>
      <c r="AD985" s="267"/>
      <c r="AE985" s="267"/>
      <c r="AF985" s="267">
        <v>3</v>
      </c>
      <c r="AG985" s="224">
        <v>3</v>
      </c>
      <c r="AH985" s="267"/>
      <c r="AI985" s="267"/>
      <c r="AJ985" s="267"/>
      <c r="AK985" s="267">
        <v>3</v>
      </c>
      <c r="AL985" s="224">
        <v>3</v>
      </c>
      <c r="AM985" s="104">
        <v>10</v>
      </c>
      <c r="AN985" s="103" t="s">
        <v>685</v>
      </c>
      <c r="AO985" s="103" t="s">
        <v>1212</v>
      </c>
      <c r="AP985" s="103" t="s">
        <v>1229</v>
      </c>
      <c r="AQ985" s="103" t="s">
        <v>1207</v>
      </c>
      <c r="AR985" s="103" t="s">
        <v>951</v>
      </c>
      <c r="AS985" s="271"/>
      <c r="AT985" s="271"/>
      <c r="AU985" s="271"/>
      <c r="AV985" s="271"/>
      <c r="AW985" s="271">
        <v>429000000</v>
      </c>
      <c r="AX985" s="271"/>
      <c r="AY985" s="271"/>
      <c r="AZ985" s="271"/>
      <c r="BA985" s="271"/>
      <c r="BB985" s="271"/>
      <c r="BC985" s="271"/>
      <c r="BD985" s="271"/>
      <c r="BE985" s="271"/>
      <c r="BF985" s="271"/>
      <c r="BG985" s="271"/>
      <c r="BH985" s="235">
        <f t="shared" si="504"/>
        <v>429000000</v>
      </c>
      <c r="BI985" s="271"/>
      <c r="BJ985" s="271"/>
      <c r="BK985" s="271"/>
      <c r="BL985" s="271"/>
      <c r="BM985" s="271">
        <v>450000000</v>
      </c>
      <c r="BN985" s="271"/>
      <c r="BO985" s="271"/>
      <c r="BP985" s="271"/>
      <c r="BQ985" s="271"/>
      <c r="BR985" s="271"/>
      <c r="BS985" s="271"/>
      <c r="BT985" s="271"/>
      <c r="BU985" s="271"/>
      <c r="BV985" s="271"/>
      <c r="BW985" s="271"/>
      <c r="BX985" s="235">
        <f t="shared" si="505"/>
        <v>450000000</v>
      </c>
      <c r="BY985" s="271"/>
      <c r="BZ985" s="271"/>
      <c r="CA985" s="271"/>
      <c r="CB985" s="271"/>
      <c r="CC985" s="271">
        <v>450000000</v>
      </c>
      <c r="CD985" s="271"/>
      <c r="CE985" s="271"/>
      <c r="CF985" s="271"/>
      <c r="CG985" s="271"/>
      <c r="CH985" s="271"/>
      <c r="CI985" s="271"/>
      <c r="CJ985" s="271"/>
      <c r="CK985" s="271"/>
      <c r="CL985" s="271"/>
      <c r="CM985" s="271"/>
      <c r="CN985" s="235">
        <f t="shared" si="506"/>
        <v>450000000</v>
      </c>
      <c r="CO985" s="271"/>
      <c r="CP985" s="271"/>
      <c r="CQ985" s="271"/>
      <c r="CR985" s="271"/>
      <c r="CS985" s="271">
        <v>700000000</v>
      </c>
      <c r="CT985" s="271"/>
      <c r="CU985" s="271"/>
      <c r="CV985" s="271"/>
      <c r="CW985" s="271"/>
      <c r="CX985" s="271"/>
      <c r="CY985" s="271"/>
      <c r="CZ985" s="271"/>
      <c r="DA985" s="271"/>
      <c r="DB985" s="271"/>
      <c r="DC985" s="271"/>
      <c r="DD985" s="234">
        <f t="shared" si="507"/>
        <v>700000000</v>
      </c>
      <c r="DE985" s="244">
        <f t="shared" si="508"/>
        <v>2029000000</v>
      </c>
    </row>
    <row r="986" spans="1:109" s="99" customFormat="1" ht="119.1" customHeight="1">
      <c r="A986" s="103" t="s">
        <v>1251</v>
      </c>
      <c r="B986" s="279" t="s">
        <v>2051</v>
      </c>
      <c r="C986" s="279" t="s">
        <v>2052</v>
      </c>
      <c r="D986" s="279">
        <v>91</v>
      </c>
      <c r="E986" s="279" t="s">
        <v>2089</v>
      </c>
      <c r="F986" s="280" t="s">
        <v>477</v>
      </c>
      <c r="G986" s="279" t="s">
        <v>2955</v>
      </c>
      <c r="H986" s="279">
        <v>108</v>
      </c>
      <c r="I986" s="279" t="s">
        <v>478</v>
      </c>
      <c r="J986" s="279" t="s">
        <v>677</v>
      </c>
      <c r="K986" s="279">
        <v>50</v>
      </c>
      <c r="L986" s="270" t="s">
        <v>3221</v>
      </c>
      <c r="M986" s="279" t="s">
        <v>2090</v>
      </c>
      <c r="N986" s="279" t="s">
        <v>2091</v>
      </c>
      <c r="O986" s="279" t="s">
        <v>479</v>
      </c>
      <c r="P986" s="283">
        <v>863</v>
      </c>
      <c r="Q986" s="279" t="s">
        <v>2956</v>
      </c>
      <c r="R986" s="279" t="s">
        <v>2093</v>
      </c>
      <c r="S986" s="279" t="s">
        <v>683</v>
      </c>
      <c r="T986" s="279">
        <v>168</v>
      </c>
      <c r="U986" s="267">
        <v>168</v>
      </c>
      <c r="V986" s="267">
        <v>168</v>
      </c>
      <c r="W986" s="224">
        <v>168</v>
      </c>
      <c r="X986" s="267">
        <v>168</v>
      </c>
      <c r="Y986" s="267">
        <v>168</v>
      </c>
      <c r="Z986" s="267">
        <v>168</v>
      </c>
      <c r="AA986" s="267">
        <v>168</v>
      </c>
      <c r="AB986" s="224">
        <v>168</v>
      </c>
      <c r="AC986" s="267">
        <v>168</v>
      </c>
      <c r="AD986" s="267">
        <v>168</v>
      </c>
      <c r="AE986" s="267">
        <v>168</v>
      </c>
      <c r="AF986" s="267">
        <v>168</v>
      </c>
      <c r="AG986" s="224">
        <v>168</v>
      </c>
      <c r="AH986" s="267">
        <v>168</v>
      </c>
      <c r="AI986" s="267">
        <v>168</v>
      </c>
      <c r="AJ986" s="267">
        <v>168</v>
      </c>
      <c r="AK986" s="267">
        <v>168</v>
      </c>
      <c r="AL986" s="224">
        <v>168</v>
      </c>
      <c r="AM986" s="104">
        <v>168</v>
      </c>
      <c r="AN986" s="103" t="s">
        <v>686</v>
      </c>
      <c r="AO986" s="103" t="s">
        <v>1212</v>
      </c>
      <c r="AP986" s="103" t="s">
        <v>1229</v>
      </c>
      <c r="AQ986" s="103" t="s">
        <v>1207</v>
      </c>
      <c r="AR986" s="103" t="s">
        <v>951</v>
      </c>
      <c r="AS986" s="271"/>
      <c r="AT986" s="271"/>
      <c r="AU986" s="271"/>
      <c r="AV986" s="271"/>
      <c r="AW986" s="271">
        <v>300000000</v>
      </c>
      <c r="AX986" s="271"/>
      <c r="AY986" s="271"/>
      <c r="AZ986" s="271"/>
      <c r="BA986" s="271"/>
      <c r="BB986" s="271"/>
      <c r="BC986" s="271"/>
      <c r="BD986" s="271"/>
      <c r="BE986" s="271"/>
      <c r="BF986" s="271"/>
      <c r="BG986" s="271"/>
      <c r="BH986" s="235">
        <f t="shared" si="504"/>
        <v>300000000</v>
      </c>
      <c r="BI986" s="271"/>
      <c r="BJ986" s="271"/>
      <c r="BK986" s="271"/>
      <c r="BL986" s="271"/>
      <c r="BM986" s="271">
        <v>300000000</v>
      </c>
      <c r="BN986" s="271"/>
      <c r="BO986" s="271"/>
      <c r="BP986" s="271"/>
      <c r="BQ986" s="271"/>
      <c r="BR986" s="271"/>
      <c r="BS986" s="271"/>
      <c r="BT986" s="271"/>
      <c r="BU986" s="271"/>
      <c r="BV986" s="271"/>
      <c r="BW986" s="271"/>
      <c r="BX986" s="235">
        <f t="shared" si="505"/>
        <v>300000000</v>
      </c>
      <c r="BY986" s="271"/>
      <c r="BZ986" s="271"/>
      <c r="CA986" s="271"/>
      <c r="CB986" s="271"/>
      <c r="CC986" s="271">
        <v>400000000</v>
      </c>
      <c r="CD986" s="271"/>
      <c r="CE986" s="271"/>
      <c r="CF986" s="271"/>
      <c r="CG986" s="271"/>
      <c r="CH986" s="271"/>
      <c r="CI986" s="271"/>
      <c r="CJ986" s="271"/>
      <c r="CK986" s="271"/>
      <c r="CL986" s="271"/>
      <c r="CM986" s="271"/>
      <c r="CN986" s="235">
        <f t="shared" si="506"/>
        <v>400000000</v>
      </c>
      <c r="CO986" s="271"/>
      <c r="CP986" s="271"/>
      <c r="CQ986" s="271"/>
      <c r="CR986" s="271"/>
      <c r="CS986" s="271">
        <v>400000000</v>
      </c>
      <c r="CT986" s="271"/>
      <c r="CU986" s="271"/>
      <c r="CV986" s="271"/>
      <c r="CW986" s="271"/>
      <c r="CX986" s="271"/>
      <c r="CY986" s="271"/>
      <c r="CZ986" s="271"/>
      <c r="DA986" s="271"/>
      <c r="DB986" s="271"/>
      <c r="DC986" s="271"/>
      <c r="DD986" s="234">
        <f t="shared" si="507"/>
        <v>400000000</v>
      </c>
      <c r="DE986" s="244">
        <f t="shared" ref="DE986" si="509">SUM(DD986+CN986+BX986+BH986)</f>
        <v>1400000000</v>
      </c>
    </row>
    <row r="987" spans="1:109" s="99" customFormat="1" ht="119.1" customHeight="1">
      <c r="A987" s="103" t="s">
        <v>1251</v>
      </c>
      <c r="B987" s="279" t="s">
        <v>2051</v>
      </c>
      <c r="C987" s="279" t="s">
        <v>2052</v>
      </c>
      <c r="D987" s="279">
        <v>91</v>
      </c>
      <c r="E987" s="279" t="s">
        <v>2089</v>
      </c>
      <c r="F987" s="280" t="s">
        <v>477</v>
      </c>
      <c r="G987" s="279" t="s">
        <v>2955</v>
      </c>
      <c r="H987" s="279">
        <v>108</v>
      </c>
      <c r="I987" s="279" t="s">
        <v>478</v>
      </c>
      <c r="J987" s="279" t="s">
        <v>677</v>
      </c>
      <c r="K987" s="279">
        <v>50</v>
      </c>
      <c r="L987" s="270" t="s">
        <v>3221</v>
      </c>
      <c r="M987" s="279" t="s">
        <v>2090</v>
      </c>
      <c r="N987" s="279" t="s">
        <v>2091</v>
      </c>
      <c r="O987" s="279" t="s">
        <v>479</v>
      </c>
      <c r="P987" s="283">
        <v>864</v>
      </c>
      <c r="Q987" s="279" t="s">
        <v>3241</v>
      </c>
      <c r="R987" s="279" t="s">
        <v>2093</v>
      </c>
      <c r="S987" s="279" t="s">
        <v>683</v>
      </c>
      <c r="T987" s="279">
        <v>168</v>
      </c>
      <c r="U987" s="267"/>
      <c r="V987" s="267">
        <v>1</v>
      </c>
      <c r="W987" s="224">
        <v>1</v>
      </c>
      <c r="X987" s="267">
        <v>1</v>
      </c>
      <c r="Y987" s="267">
        <v>1</v>
      </c>
      <c r="Z987" s="267">
        <v>1</v>
      </c>
      <c r="AA987" s="267"/>
      <c r="AB987" s="224">
        <v>3</v>
      </c>
      <c r="AC987" s="267"/>
      <c r="AD987" s="267">
        <v>2</v>
      </c>
      <c r="AE987" s="267"/>
      <c r="AF987" s="267">
        <v>1</v>
      </c>
      <c r="AG987" s="224">
        <v>3</v>
      </c>
      <c r="AH987" s="267">
        <v>1</v>
      </c>
      <c r="AI987" s="267">
        <v>1</v>
      </c>
      <c r="AJ987" s="267">
        <v>1</v>
      </c>
      <c r="AK987" s="267"/>
      <c r="AL987" s="224">
        <v>3</v>
      </c>
      <c r="AM987" s="104">
        <v>10</v>
      </c>
      <c r="AN987" s="103" t="s">
        <v>685</v>
      </c>
      <c r="AO987" s="103" t="s">
        <v>1212</v>
      </c>
      <c r="AP987" s="103" t="s">
        <v>1229</v>
      </c>
      <c r="AQ987" s="103" t="s">
        <v>1207</v>
      </c>
      <c r="AR987" s="103" t="s">
        <v>951</v>
      </c>
      <c r="AS987" s="271"/>
      <c r="AT987" s="271"/>
      <c r="AU987" s="271"/>
      <c r="AV987" s="271"/>
      <c r="AW987" s="271">
        <v>100000000</v>
      </c>
      <c r="AX987" s="271"/>
      <c r="AY987" s="271"/>
      <c r="AZ987" s="271"/>
      <c r="BA987" s="271"/>
      <c r="BB987" s="271"/>
      <c r="BC987" s="271"/>
      <c r="BD987" s="271"/>
      <c r="BE987" s="271"/>
      <c r="BF987" s="271"/>
      <c r="BG987" s="271"/>
      <c r="BH987" s="235">
        <f t="shared" si="504"/>
        <v>100000000</v>
      </c>
      <c r="BI987" s="271"/>
      <c r="BJ987" s="271"/>
      <c r="BK987" s="271"/>
      <c r="BL987" s="271"/>
      <c r="BM987" s="271">
        <v>300000000</v>
      </c>
      <c r="BN987" s="271"/>
      <c r="BO987" s="271"/>
      <c r="BP987" s="271"/>
      <c r="BQ987" s="271"/>
      <c r="BR987" s="271"/>
      <c r="BS987" s="271"/>
      <c r="BT987" s="271"/>
      <c r="BU987" s="271"/>
      <c r="BV987" s="271"/>
      <c r="BW987" s="271"/>
      <c r="BX987" s="235">
        <f t="shared" si="505"/>
        <v>300000000</v>
      </c>
      <c r="BY987" s="271"/>
      <c r="BZ987" s="271"/>
      <c r="CA987" s="271"/>
      <c r="CB987" s="271"/>
      <c r="CC987" s="271">
        <v>400000000</v>
      </c>
      <c r="CD987" s="271"/>
      <c r="CE987" s="271"/>
      <c r="CF987" s="271"/>
      <c r="CG987" s="271"/>
      <c r="CH987" s="271"/>
      <c r="CI987" s="271"/>
      <c r="CJ987" s="271"/>
      <c r="CK987" s="271"/>
      <c r="CL987" s="271"/>
      <c r="CM987" s="271"/>
      <c r="CN987" s="235">
        <f t="shared" si="506"/>
        <v>400000000</v>
      </c>
      <c r="CO987" s="271"/>
      <c r="CP987" s="271"/>
      <c r="CQ987" s="271"/>
      <c r="CR987" s="271"/>
      <c r="CS987" s="271">
        <v>450000000</v>
      </c>
      <c r="CT987" s="271"/>
      <c r="CU987" s="271"/>
      <c r="CV987" s="271"/>
      <c r="CW987" s="271"/>
      <c r="CX987" s="271"/>
      <c r="CY987" s="271"/>
      <c r="CZ987" s="271"/>
      <c r="DA987" s="271"/>
      <c r="DB987" s="271"/>
      <c r="DC987" s="271"/>
      <c r="DD987" s="234">
        <f t="shared" si="507"/>
        <v>450000000</v>
      </c>
      <c r="DE987" s="244">
        <f t="shared" si="508"/>
        <v>1250000000</v>
      </c>
    </row>
    <row r="988" spans="1:109" s="99" customFormat="1" ht="119.1" customHeight="1">
      <c r="A988" s="103" t="s">
        <v>1251</v>
      </c>
      <c r="B988" s="279" t="s">
        <v>2051</v>
      </c>
      <c r="C988" s="279" t="s">
        <v>2052</v>
      </c>
      <c r="D988" s="279">
        <v>91</v>
      </c>
      <c r="E988" s="279" t="s">
        <v>2089</v>
      </c>
      <c r="F988" s="280" t="s">
        <v>477</v>
      </c>
      <c r="G988" s="279" t="s">
        <v>2955</v>
      </c>
      <c r="H988" s="279">
        <v>108</v>
      </c>
      <c r="I988" s="279" t="s">
        <v>478</v>
      </c>
      <c r="J988" s="279" t="s">
        <v>677</v>
      </c>
      <c r="K988" s="279">
        <v>50</v>
      </c>
      <c r="L988" s="270" t="s">
        <v>3221</v>
      </c>
      <c r="M988" s="279" t="s">
        <v>2090</v>
      </c>
      <c r="N988" s="279" t="s">
        <v>2091</v>
      </c>
      <c r="O988" s="279" t="s">
        <v>479</v>
      </c>
      <c r="P988" s="283">
        <v>865</v>
      </c>
      <c r="Q988" s="279" t="s">
        <v>3793</v>
      </c>
      <c r="R988" s="279" t="s">
        <v>2094</v>
      </c>
      <c r="S988" s="279" t="s">
        <v>683</v>
      </c>
      <c r="T988" s="279">
        <v>0</v>
      </c>
      <c r="U988" s="267"/>
      <c r="V988" s="267">
        <v>0.05</v>
      </c>
      <c r="W988" s="224">
        <v>0.05</v>
      </c>
      <c r="X988" s="267"/>
      <c r="Y988" s="267"/>
      <c r="Z988" s="267"/>
      <c r="AA988" s="267">
        <v>0.2</v>
      </c>
      <c r="AB988" s="224">
        <v>0.2</v>
      </c>
      <c r="AC988" s="267"/>
      <c r="AD988" s="267"/>
      <c r="AE988" s="267"/>
      <c r="AF988" s="267">
        <v>0.3</v>
      </c>
      <c r="AG988" s="224">
        <v>0.3</v>
      </c>
      <c r="AH988" s="267"/>
      <c r="AI988" s="267"/>
      <c r="AJ988" s="267"/>
      <c r="AK988" s="267">
        <v>0.45</v>
      </c>
      <c r="AL988" s="224">
        <v>0.45</v>
      </c>
      <c r="AM988" s="104">
        <v>1</v>
      </c>
      <c r="AN988" s="103" t="s">
        <v>685</v>
      </c>
      <c r="AO988" s="103" t="s">
        <v>1212</v>
      </c>
      <c r="AP988" s="103" t="s">
        <v>1229</v>
      </c>
      <c r="AQ988" s="103" t="s">
        <v>1207</v>
      </c>
      <c r="AR988" s="103" t="s">
        <v>951</v>
      </c>
      <c r="AS988" s="271"/>
      <c r="AT988" s="271"/>
      <c r="AU988" s="271"/>
      <c r="AV988" s="271"/>
      <c r="AW988" s="271">
        <v>200000000</v>
      </c>
      <c r="AX988" s="271"/>
      <c r="AY988" s="271"/>
      <c r="AZ988" s="271"/>
      <c r="BA988" s="271"/>
      <c r="BB988" s="271"/>
      <c r="BC988" s="271"/>
      <c r="BD988" s="271"/>
      <c r="BE988" s="271"/>
      <c r="BF988" s="271"/>
      <c r="BG988" s="271"/>
      <c r="BH988" s="235">
        <f t="shared" si="504"/>
        <v>200000000</v>
      </c>
      <c r="BI988" s="271"/>
      <c r="BJ988" s="271"/>
      <c r="BK988" s="271"/>
      <c r="BL988" s="271"/>
      <c r="BM988" s="271">
        <v>200000000</v>
      </c>
      <c r="BN988" s="271"/>
      <c r="BO988" s="271"/>
      <c r="BP988" s="271"/>
      <c r="BQ988" s="271"/>
      <c r="BR988" s="271"/>
      <c r="BS988" s="271"/>
      <c r="BT988" s="271"/>
      <c r="BU988" s="271"/>
      <c r="BV988" s="271"/>
      <c r="BW988" s="271"/>
      <c r="BX988" s="235">
        <f t="shared" si="505"/>
        <v>200000000</v>
      </c>
      <c r="BY988" s="271"/>
      <c r="BZ988" s="271"/>
      <c r="CA988" s="271"/>
      <c r="CB988" s="271"/>
      <c r="CC988" s="271"/>
      <c r="CD988" s="271"/>
      <c r="CE988" s="271"/>
      <c r="CF988" s="271"/>
      <c r="CG988" s="271"/>
      <c r="CH988" s="271"/>
      <c r="CI988" s="271"/>
      <c r="CJ988" s="271"/>
      <c r="CK988" s="271"/>
      <c r="CL988" s="271"/>
      <c r="CM988" s="271">
        <v>4000000000</v>
      </c>
      <c r="CN988" s="235">
        <f t="shared" si="506"/>
        <v>4000000000</v>
      </c>
      <c r="CO988" s="271"/>
      <c r="CP988" s="271"/>
      <c r="CQ988" s="271"/>
      <c r="CR988" s="271"/>
      <c r="CS988" s="271">
        <v>400000000</v>
      </c>
      <c r="CT988" s="271"/>
      <c r="CU988" s="271"/>
      <c r="CV988" s="271"/>
      <c r="CW988" s="271"/>
      <c r="CX988" s="271"/>
      <c r="CY988" s="271"/>
      <c r="CZ988" s="271"/>
      <c r="DA988" s="271"/>
      <c r="DB988" s="271"/>
      <c r="DC988" s="271"/>
      <c r="DD988" s="234">
        <f t="shared" si="507"/>
        <v>400000000</v>
      </c>
      <c r="DE988" s="244">
        <f t="shared" si="508"/>
        <v>4800000000</v>
      </c>
    </row>
    <row r="989" spans="1:109" s="99" customFormat="1" ht="119.1" customHeight="1">
      <c r="A989" s="103" t="s">
        <v>1251</v>
      </c>
      <c r="B989" s="279" t="s">
        <v>2051</v>
      </c>
      <c r="C989" s="279" t="s">
        <v>2052</v>
      </c>
      <c r="D989" s="279">
        <v>91</v>
      </c>
      <c r="E989" s="279" t="s">
        <v>2089</v>
      </c>
      <c r="F989" s="280" t="s">
        <v>477</v>
      </c>
      <c r="G989" s="279" t="s">
        <v>2955</v>
      </c>
      <c r="H989" s="279">
        <v>108</v>
      </c>
      <c r="I989" s="279" t="s">
        <v>478</v>
      </c>
      <c r="J989" s="279" t="s">
        <v>677</v>
      </c>
      <c r="K989" s="279">
        <v>50</v>
      </c>
      <c r="L989" s="270" t="s">
        <v>3221</v>
      </c>
      <c r="M989" s="279" t="s">
        <v>2090</v>
      </c>
      <c r="N989" s="279" t="s">
        <v>2091</v>
      </c>
      <c r="O989" s="279" t="s">
        <v>479</v>
      </c>
      <c r="P989" s="283">
        <v>866</v>
      </c>
      <c r="Q989" s="279" t="s">
        <v>3794</v>
      </c>
      <c r="R989" s="279" t="s">
        <v>2095</v>
      </c>
      <c r="S989" s="279" t="s">
        <v>683</v>
      </c>
      <c r="T989" s="279">
        <v>0</v>
      </c>
      <c r="U989" s="267"/>
      <c r="V989" s="267">
        <v>0.05</v>
      </c>
      <c r="W989" s="224">
        <v>0.05</v>
      </c>
      <c r="X989" s="267"/>
      <c r="Y989" s="267">
        <v>0.2</v>
      </c>
      <c r="Z989" s="267"/>
      <c r="AA989" s="267"/>
      <c r="AB989" s="224">
        <v>0.2</v>
      </c>
      <c r="AC989" s="267"/>
      <c r="AD989" s="267"/>
      <c r="AE989" s="267"/>
      <c r="AF989" s="267">
        <v>0.35</v>
      </c>
      <c r="AG989" s="224">
        <v>0.35</v>
      </c>
      <c r="AH989" s="267"/>
      <c r="AI989" s="267"/>
      <c r="AJ989" s="267">
        <v>0.4</v>
      </c>
      <c r="AK989" s="267"/>
      <c r="AL989" s="224">
        <v>0.4</v>
      </c>
      <c r="AM989" s="104">
        <v>1</v>
      </c>
      <c r="AN989" s="103" t="s">
        <v>685</v>
      </c>
      <c r="AO989" s="103" t="s">
        <v>1212</v>
      </c>
      <c r="AP989" s="103" t="s">
        <v>1229</v>
      </c>
      <c r="AQ989" s="103" t="s">
        <v>1207</v>
      </c>
      <c r="AR989" s="103" t="s">
        <v>951</v>
      </c>
      <c r="AS989" s="271"/>
      <c r="AT989" s="271"/>
      <c r="AU989" s="271"/>
      <c r="AV989" s="271"/>
      <c r="AW989" s="271">
        <v>50000000</v>
      </c>
      <c r="AX989" s="271"/>
      <c r="AY989" s="271"/>
      <c r="AZ989" s="271"/>
      <c r="BA989" s="271"/>
      <c r="BB989" s="271"/>
      <c r="BC989" s="271"/>
      <c r="BD989" s="271"/>
      <c r="BE989" s="271"/>
      <c r="BF989" s="271"/>
      <c r="BG989" s="271"/>
      <c r="BH989" s="235">
        <f t="shared" si="504"/>
        <v>50000000</v>
      </c>
      <c r="BI989" s="271"/>
      <c r="BJ989" s="271"/>
      <c r="BK989" s="271"/>
      <c r="BL989" s="271"/>
      <c r="BM989" s="271">
        <v>300000000</v>
      </c>
      <c r="BN989" s="271"/>
      <c r="BO989" s="271"/>
      <c r="BP989" s="271"/>
      <c r="BQ989" s="271"/>
      <c r="BR989" s="271"/>
      <c r="BS989" s="271"/>
      <c r="BT989" s="271"/>
      <c r="BU989" s="271"/>
      <c r="BV989" s="271"/>
      <c r="BW989" s="271"/>
      <c r="BX989" s="235">
        <f t="shared" si="505"/>
        <v>300000000</v>
      </c>
      <c r="BY989" s="271"/>
      <c r="BZ989" s="271"/>
      <c r="CA989" s="271"/>
      <c r="CB989" s="271"/>
      <c r="CC989" s="271">
        <v>400000000</v>
      </c>
      <c r="CD989" s="271"/>
      <c r="CE989" s="271"/>
      <c r="CF989" s="271"/>
      <c r="CG989" s="271"/>
      <c r="CH989" s="271"/>
      <c r="CI989" s="271"/>
      <c r="CJ989" s="271"/>
      <c r="CK989" s="271"/>
      <c r="CL989" s="271"/>
      <c r="CM989" s="271"/>
      <c r="CN989" s="235">
        <f t="shared" si="506"/>
        <v>400000000</v>
      </c>
      <c r="CO989" s="271"/>
      <c r="CP989" s="271"/>
      <c r="CQ989" s="271"/>
      <c r="CR989" s="271"/>
      <c r="CS989" s="271">
        <v>400000000</v>
      </c>
      <c r="CT989" s="271"/>
      <c r="CU989" s="271"/>
      <c r="CV989" s="271"/>
      <c r="CW989" s="271"/>
      <c r="CX989" s="271"/>
      <c r="CY989" s="271"/>
      <c r="CZ989" s="271"/>
      <c r="DA989" s="271"/>
      <c r="DB989" s="271"/>
      <c r="DC989" s="271"/>
      <c r="DD989" s="234">
        <f t="shared" si="507"/>
        <v>400000000</v>
      </c>
      <c r="DE989" s="244">
        <f t="shared" si="508"/>
        <v>1150000000</v>
      </c>
    </row>
    <row r="990" spans="1:109" s="99" customFormat="1" ht="119.1" customHeight="1">
      <c r="A990" s="103" t="s">
        <v>1251</v>
      </c>
      <c r="B990" s="279" t="s">
        <v>2051</v>
      </c>
      <c r="C990" s="279" t="s">
        <v>2052</v>
      </c>
      <c r="D990" s="279">
        <v>91</v>
      </c>
      <c r="E990" s="279" t="s">
        <v>2089</v>
      </c>
      <c r="F990" s="280" t="s">
        <v>477</v>
      </c>
      <c r="G990" s="279" t="s">
        <v>2955</v>
      </c>
      <c r="H990" s="279">
        <v>108</v>
      </c>
      <c r="I990" s="279" t="s">
        <v>478</v>
      </c>
      <c r="J990" s="279" t="s">
        <v>677</v>
      </c>
      <c r="K990" s="279">
        <v>50</v>
      </c>
      <c r="L990" s="270" t="s">
        <v>3221</v>
      </c>
      <c r="M990" s="279" t="s">
        <v>2096</v>
      </c>
      <c r="N990" s="279" t="s">
        <v>2097</v>
      </c>
      <c r="O990" s="279" t="s">
        <v>480</v>
      </c>
      <c r="P990" s="283">
        <v>867</v>
      </c>
      <c r="Q990" s="279" t="s">
        <v>3795</v>
      </c>
      <c r="R990" s="279" t="s">
        <v>481</v>
      </c>
      <c r="S990" s="279" t="s">
        <v>683</v>
      </c>
      <c r="T990" s="279">
        <v>12</v>
      </c>
      <c r="U990" s="267"/>
      <c r="V990" s="267"/>
      <c r="W990" s="224">
        <v>0</v>
      </c>
      <c r="X990" s="267">
        <v>1</v>
      </c>
      <c r="Y990" s="267">
        <v>1</v>
      </c>
      <c r="Z990" s="267">
        <v>1</v>
      </c>
      <c r="AA990" s="267">
        <v>1</v>
      </c>
      <c r="AB990" s="224">
        <v>4</v>
      </c>
      <c r="AC990" s="267">
        <v>1</v>
      </c>
      <c r="AD990" s="267">
        <v>1</v>
      </c>
      <c r="AE990" s="267">
        <v>1</v>
      </c>
      <c r="AF990" s="267">
        <v>1</v>
      </c>
      <c r="AG990" s="224">
        <v>4</v>
      </c>
      <c r="AH990" s="267">
        <v>1</v>
      </c>
      <c r="AI990" s="267">
        <v>1</v>
      </c>
      <c r="AJ990" s="267">
        <v>1</v>
      </c>
      <c r="AK990" s="267">
        <v>1</v>
      </c>
      <c r="AL990" s="224">
        <v>4</v>
      </c>
      <c r="AM990" s="104">
        <v>12</v>
      </c>
      <c r="AN990" s="103" t="s">
        <v>685</v>
      </c>
      <c r="AO990" s="103" t="s">
        <v>1212</v>
      </c>
      <c r="AP990" s="103" t="s">
        <v>1229</v>
      </c>
      <c r="AQ990" s="103" t="s">
        <v>1207</v>
      </c>
      <c r="AR990" s="103" t="s">
        <v>951</v>
      </c>
      <c r="AS990" s="271"/>
      <c r="AT990" s="271"/>
      <c r="AU990" s="271"/>
      <c r="AV990" s="271"/>
      <c r="AW990" s="271"/>
      <c r="AX990" s="271"/>
      <c r="AY990" s="271"/>
      <c r="AZ990" s="271"/>
      <c r="BA990" s="271"/>
      <c r="BB990" s="271"/>
      <c r="BC990" s="271"/>
      <c r="BD990" s="271"/>
      <c r="BE990" s="271"/>
      <c r="BF990" s="271"/>
      <c r="BG990" s="271"/>
      <c r="BH990" s="235">
        <f t="shared" si="504"/>
        <v>0</v>
      </c>
      <c r="BI990" s="271"/>
      <c r="BJ990" s="271"/>
      <c r="BK990" s="271"/>
      <c r="BL990" s="271"/>
      <c r="BM990" s="271">
        <v>450000000</v>
      </c>
      <c r="BN990" s="271"/>
      <c r="BO990" s="271"/>
      <c r="BP990" s="271"/>
      <c r="BQ990" s="271"/>
      <c r="BR990" s="271"/>
      <c r="BS990" s="271"/>
      <c r="BT990" s="271"/>
      <c r="BU990" s="271"/>
      <c r="BV990" s="271"/>
      <c r="BW990" s="271"/>
      <c r="BX990" s="235">
        <f t="shared" si="505"/>
        <v>450000000</v>
      </c>
      <c r="BY990" s="271"/>
      <c r="BZ990" s="271"/>
      <c r="CA990" s="271"/>
      <c r="CB990" s="271"/>
      <c r="CC990" s="271">
        <v>551774736</v>
      </c>
      <c r="CD990" s="271"/>
      <c r="CE990" s="271"/>
      <c r="CF990" s="271"/>
      <c r="CG990" s="271"/>
      <c r="CH990" s="271"/>
      <c r="CI990" s="271"/>
      <c r="CJ990" s="271"/>
      <c r="CK990" s="271"/>
      <c r="CL990" s="271"/>
      <c r="CM990" s="271"/>
      <c r="CN990" s="235">
        <f t="shared" si="506"/>
        <v>551774736</v>
      </c>
      <c r="CO990" s="271"/>
      <c r="CP990" s="271"/>
      <c r="CQ990" s="271"/>
      <c r="CR990" s="271"/>
      <c r="CS990" s="271">
        <v>500000000</v>
      </c>
      <c r="CT990" s="271"/>
      <c r="CU990" s="271"/>
      <c r="CV990" s="271"/>
      <c r="CW990" s="271"/>
      <c r="CX990" s="271"/>
      <c r="CY990" s="271"/>
      <c r="CZ990" s="271"/>
      <c r="DA990" s="271"/>
      <c r="DB990" s="271"/>
      <c r="DC990" s="271"/>
      <c r="DD990" s="234">
        <f t="shared" si="507"/>
        <v>500000000</v>
      </c>
      <c r="DE990" s="244">
        <f t="shared" si="508"/>
        <v>1501774736</v>
      </c>
    </row>
    <row r="991" spans="1:109" s="99" customFormat="1" ht="119.1" customHeight="1">
      <c r="A991" s="103" t="s">
        <v>1251</v>
      </c>
      <c r="B991" s="279" t="s">
        <v>2051</v>
      </c>
      <c r="C991" s="279" t="s">
        <v>2052</v>
      </c>
      <c r="D991" s="279">
        <v>91</v>
      </c>
      <c r="E991" s="279" t="s">
        <v>2089</v>
      </c>
      <c r="F991" s="280" t="s">
        <v>477</v>
      </c>
      <c r="G991" s="279" t="s">
        <v>2955</v>
      </c>
      <c r="H991" s="279">
        <v>108</v>
      </c>
      <c r="I991" s="279" t="s">
        <v>478</v>
      </c>
      <c r="J991" s="279" t="s">
        <v>677</v>
      </c>
      <c r="K991" s="279">
        <v>50</v>
      </c>
      <c r="L991" s="270" t="s">
        <v>3221</v>
      </c>
      <c r="M991" s="279" t="s">
        <v>2096</v>
      </c>
      <c r="N991" s="279" t="s">
        <v>2097</v>
      </c>
      <c r="O991" s="279" t="s">
        <v>480</v>
      </c>
      <c r="P991" s="283">
        <v>868</v>
      </c>
      <c r="Q991" s="279" t="s">
        <v>2957</v>
      </c>
      <c r="R991" s="279" t="s">
        <v>482</v>
      </c>
      <c r="S991" s="279" t="s">
        <v>683</v>
      </c>
      <c r="T991" s="279">
        <v>1</v>
      </c>
      <c r="U991" s="267">
        <v>0.1</v>
      </c>
      <c r="V991" s="267">
        <v>0.4</v>
      </c>
      <c r="W991" s="224">
        <v>0.5</v>
      </c>
      <c r="X991" s="267"/>
      <c r="Y991" s="267">
        <v>0.2</v>
      </c>
      <c r="Z991" s="267">
        <v>0.2</v>
      </c>
      <c r="AA991" s="267">
        <v>0.1</v>
      </c>
      <c r="AB991" s="224">
        <v>0.5</v>
      </c>
      <c r="AC991" s="267">
        <v>0.1</v>
      </c>
      <c r="AD991" s="267">
        <v>0.1</v>
      </c>
      <c r="AE991" s="267">
        <v>0.2</v>
      </c>
      <c r="AF991" s="267">
        <v>0.1</v>
      </c>
      <c r="AG991" s="224">
        <v>0.5</v>
      </c>
      <c r="AH991" s="267">
        <v>0.1</v>
      </c>
      <c r="AI991" s="267">
        <v>0.1</v>
      </c>
      <c r="AJ991" s="267">
        <v>0.2</v>
      </c>
      <c r="AK991" s="267">
        <v>0.1</v>
      </c>
      <c r="AL991" s="224">
        <v>0.5</v>
      </c>
      <c r="AM991" s="104">
        <v>2</v>
      </c>
      <c r="AN991" s="103" t="s">
        <v>685</v>
      </c>
      <c r="AO991" s="103" t="s">
        <v>1212</v>
      </c>
      <c r="AP991" s="103" t="s">
        <v>1229</v>
      </c>
      <c r="AQ991" s="103" t="s">
        <v>1207</v>
      </c>
      <c r="AR991" s="103" t="s">
        <v>951</v>
      </c>
      <c r="AS991" s="271"/>
      <c r="AT991" s="271"/>
      <c r="AU991" s="271"/>
      <c r="AV991" s="271"/>
      <c r="AW991" s="271">
        <v>600000000</v>
      </c>
      <c r="AX991" s="271"/>
      <c r="AY991" s="271"/>
      <c r="AZ991" s="271"/>
      <c r="BA991" s="271"/>
      <c r="BB991" s="271"/>
      <c r="BC991" s="271"/>
      <c r="BD991" s="271"/>
      <c r="BE991" s="271"/>
      <c r="BF991" s="271"/>
      <c r="BG991" s="271"/>
      <c r="BH991" s="235">
        <f t="shared" si="504"/>
        <v>600000000</v>
      </c>
      <c r="BI991" s="271"/>
      <c r="BJ991" s="271"/>
      <c r="BK991" s="271"/>
      <c r="BL991" s="271"/>
      <c r="BM991" s="271">
        <v>100000000</v>
      </c>
      <c r="BN991" s="271"/>
      <c r="BO991" s="271"/>
      <c r="BP991" s="271"/>
      <c r="BQ991" s="271"/>
      <c r="BR991" s="271"/>
      <c r="BS991" s="271"/>
      <c r="BT991" s="271"/>
      <c r="BU991" s="271"/>
      <c r="BV991" s="271"/>
      <c r="BW991" s="271"/>
      <c r="BX991" s="235">
        <f t="shared" si="505"/>
        <v>100000000</v>
      </c>
      <c r="BY991" s="271"/>
      <c r="BZ991" s="271"/>
      <c r="CA991" s="271"/>
      <c r="CB991" s="271"/>
      <c r="CC991" s="271">
        <v>100000000</v>
      </c>
      <c r="CD991" s="271"/>
      <c r="CE991" s="271"/>
      <c r="CF991" s="271"/>
      <c r="CG991" s="271"/>
      <c r="CH991" s="271"/>
      <c r="CI991" s="271"/>
      <c r="CJ991" s="271"/>
      <c r="CK991" s="271"/>
      <c r="CL991" s="271"/>
      <c r="CM991" s="271"/>
      <c r="CN991" s="235">
        <f t="shared" si="506"/>
        <v>100000000</v>
      </c>
      <c r="CO991" s="271"/>
      <c r="CP991" s="271"/>
      <c r="CQ991" s="271"/>
      <c r="CR991" s="271"/>
      <c r="CS991" s="271">
        <v>313171304.87447</v>
      </c>
      <c r="CT991" s="271"/>
      <c r="CU991" s="271"/>
      <c r="CV991" s="271"/>
      <c r="CW991" s="271"/>
      <c r="CX991" s="271"/>
      <c r="CY991" s="271"/>
      <c r="CZ991" s="271"/>
      <c r="DA991" s="271"/>
      <c r="DB991" s="271"/>
      <c r="DC991" s="271"/>
      <c r="DD991" s="234">
        <f t="shared" si="507"/>
        <v>313171304.87447</v>
      </c>
      <c r="DE991" s="244">
        <f t="shared" si="508"/>
        <v>1113171304.87447</v>
      </c>
    </row>
    <row r="992" spans="1:109" s="99" customFormat="1" ht="119.1" customHeight="1">
      <c r="A992" s="103" t="s">
        <v>1251</v>
      </c>
      <c r="B992" s="279" t="s">
        <v>2051</v>
      </c>
      <c r="C992" s="279" t="s">
        <v>2052</v>
      </c>
      <c r="D992" s="279">
        <v>91</v>
      </c>
      <c r="E992" s="279" t="s">
        <v>2089</v>
      </c>
      <c r="F992" s="280" t="s">
        <v>477</v>
      </c>
      <c r="G992" s="279" t="s">
        <v>2958</v>
      </c>
      <c r="H992" s="279">
        <v>109</v>
      </c>
      <c r="I992" s="279" t="s">
        <v>483</v>
      </c>
      <c r="J992" s="279" t="s">
        <v>683</v>
      </c>
      <c r="K992" s="279">
        <v>0</v>
      </c>
      <c r="L992" s="279">
        <v>232</v>
      </c>
      <c r="M992" s="279" t="s">
        <v>2098</v>
      </c>
      <c r="N992" s="279" t="s">
        <v>2099</v>
      </c>
      <c r="O992" s="279" t="s">
        <v>484</v>
      </c>
      <c r="P992" s="283">
        <v>869</v>
      </c>
      <c r="Q992" s="279" t="s">
        <v>3796</v>
      </c>
      <c r="R992" s="279" t="s">
        <v>485</v>
      </c>
      <c r="S992" s="279" t="s">
        <v>683</v>
      </c>
      <c r="T992" s="279">
        <v>2</v>
      </c>
      <c r="U992" s="267">
        <v>2</v>
      </c>
      <c r="V992" s="267">
        <v>2</v>
      </c>
      <c r="W992" s="224">
        <v>2</v>
      </c>
      <c r="X992" s="267">
        <v>2</v>
      </c>
      <c r="Y992" s="267">
        <v>2</v>
      </c>
      <c r="Z992" s="267">
        <v>2</v>
      </c>
      <c r="AA992" s="267">
        <v>2</v>
      </c>
      <c r="AB992" s="224">
        <v>2</v>
      </c>
      <c r="AC992" s="267">
        <v>2</v>
      </c>
      <c r="AD992" s="267">
        <v>2</v>
      </c>
      <c r="AE992" s="267">
        <v>2</v>
      </c>
      <c r="AF992" s="267">
        <v>2</v>
      </c>
      <c r="AG992" s="224">
        <v>2</v>
      </c>
      <c r="AH992" s="267">
        <v>2</v>
      </c>
      <c r="AI992" s="267">
        <v>2</v>
      </c>
      <c r="AJ992" s="267">
        <v>2</v>
      </c>
      <c r="AK992" s="267">
        <v>2</v>
      </c>
      <c r="AL992" s="224">
        <v>2</v>
      </c>
      <c r="AM992" s="104">
        <v>2</v>
      </c>
      <c r="AN992" s="103" t="s">
        <v>686</v>
      </c>
      <c r="AO992" s="103" t="s">
        <v>1212</v>
      </c>
      <c r="AP992" s="103" t="s">
        <v>1229</v>
      </c>
      <c r="AQ992" s="103" t="s">
        <v>1207</v>
      </c>
      <c r="AR992" s="103" t="s">
        <v>951</v>
      </c>
      <c r="AS992" s="271"/>
      <c r="AT992" s="271"/>
      <c r="AU992" s="271"/>
      <c r="AV992" s="271"/>
      <c r="AW992" s="271">
        <v>20000000</v>
      </c>
      <c r="AX992" s="271"/>
      <c r="AY992" s="271"/>
      <c r="AZ992" s="271"/>
      <c r="BA992" s="271"/>
      <c r="BB992" s="271"/>
      <c r="BC992" s="271"/>
      <c r="BD992" s="271"/>
      <c r="BE992" s="271"/>
      <c r="BF992" s="271"/>
      <c r="BG992" s="271"/>
      <c r="BH992" s="235">
        <f t="shared" si="504"/>
        <v>20000000</v>
      </c>
      <c r="BI992" s="271"/>
      <c r="BJ992" s="271"/>
      <c r="BK992" s="271"/>
      <c r="BL992" s="271"/>
      <c r="BM992" s="271">
        <v>5000000</v>
      </c>
      <c r="BN992" s="271"/>
      <c r="BO992" s="271"/>
      <c r="BP992" s="271"/>
      <c r="BQ992" s="271"/>
      <c r="BR992" s="271"/>
      <c r="BS992" s="271"/>
      <c r="BT992" s="271"/>
      <c r="BU992" s="271"/>
      <c r="BV992" s="271"/>
      <c r="BW992" s="271"/>
      <c r="BX992" s="235">
        <f t="shared" si="505"/>
        <v>5000000</v>
      </c>
      <c r="BY992" s="271"/>
      <c r="BZ992" s="271"/>
      <c r="CA992" s="271"/>
      <c r="CB992" s="271"/>
      <c r="CC992" s="271">
        <v>5000000</v>
      </c>
      <c r="CD992" s="271"/>
      <c r="CE992" s="271"/>
      <c r="CF992" s="271"/>
      <c r="CG992" s="271"/>
      <c r="CH992" s="271"/>
      <c r="CI992" s="271"/>
      <c r="CJ992" s="271"/>
      <c r="CK992" s="271"/>
      <c r="CL992" s="271"/>
      <c r="CM992" s="271"/>
      <c r="CN992" s="235">
        <f t="shared" si="506"/>
        <v>5000000</v>
      </c>
      <c r="CO992" s="271"/>
      <c r="CP992" s="271"/>
      <c r="CQ992" s="271"/>
      <c r="CR992" s="271"/>
      <c r="CS992" s="271">
        <v>5000000</v>
      </c>
      <c r="CT992" s="271"/>
      <c r="CU992" s="271"/>
      <c r="CV992" s="271"/>
      <c r="CW992" s="271"/>
      <c r="CX992" s="271"/>
      <c r="CY992" s="271"/>
      <c r="CZ992" s="271"/>
      <c r="DA992" s="271"/>
      <c r="DB992" s="271"/>
      <c r="DC992" s="271"/>
      <c r="DD992" s="234">
        <f t="shared" si="507"/>
        <v>5000000</v>
      </c>
      <c r="DE992" s="244">
        <f t="shared" si="508"/>
        <v>35000000</v>
      </c>
    </row>
    <row r="993" spans="1:109" s="99" customFormat="1" ht="119.1" customHeight="1">
      <c r="A993" s="103" t="s">
        <v>1251</v>
      </c>
      <c r="B993" s="279" t="s">
        <v>2051</v>
      </c>
      <c r="C993" s="279" t="s">
        <v>2052</v>
      </c>
      <c r="D993" s="279">
        <v>91</v>
      </c>
      <c r="E993" s="279" t="s">
        <v>2089</v>
      </c>
      <c r="F993" s="280" t="s">
        <v>477</v>
      </c>
      <c r="G993" s="279" t="s">
        <v>2958</v>
      </c>
      <c r="H993" s="279">
        <v>109</v>
      </c>
      <c r="I993" s="279" t="s">
        <v>483</v>
      </c>
      <c r="J993" s="279" t="s">
        <v>683</v>
      </c>
      <c r="K993" s="279">
        <v>0</v>
      </c>
      <c r="L993" s="279">
        <v>232</v>
      </c>
      <c r="M993" s="279" t="s">
        <v>2098</v>
      </c>
      <c r="N993" s="279" t="s">
        <v>2099</v>
      </c>
      <c r="O993" s="279" t="s">
        <v>484</v>
      </c>
      <c r="P993" s="283">
        <v>870</v>
      </c>
      <c r="Q993" s="279" t="s">
        <v>2959</v>
      </c>
      <c r="R993" s="279" t="s">
        <v>485</v>
      </c>
      <c r="S993" s="279" t="s">
        <v>683</v>
      </c>
      <c r="T993" s="279">
        <v>2</v>
      </c>
      <c r="U993" s="267"/>
      <c r="V993" s="267">
        <v>0.5</v>
      </c>
      <c r="W993" s="224">
        <v>0.5</v>
      </c>
      <c r="X993" s="267"/>
      <c r="Y993" s="267">
        <v>0.5</v>
      </c>
      <c r="Z993" s="267">
        <v>0.5</v>
      </c>
      <c r="AA993" s="267">
        <v>0.5</v>
      </c>
      <c r="AB993" s="224">
        <v>1.5</v>
      </c>
      <c r="AC993" s="267"/>
      <c r="AD993" s="267">
        <v>0.5</v>
      </c>
      <c r="AE993" s="267">
        <v>0.25</v>
      </c>
      <c r="AF993" s="267"/>
      <c r="AG993" s="224">
        <v>0.75</v>
      </c>
      <c r="AH993" s="267">
        <v>0.25</v>
      </c>
      <c r="AI993" s="267"/>
      <c r="AJ993" s="267"/>
      <c r="AK993" s="267"/>
      <c r="AL993" s="224">
        <v>0.25</v>
      </c>
      <c r="AM993" s="104">
        <v>3</v>
      </c>
      <c r="AN993" s="103" t="s">
        <v>685</v>
      </c>
      <c r="AO993" s="103" t="s">
        <v>1212</v>
      </c>
      <c r="AP993" s="103" t="s">
        <v>1229</v>
      </c>
      <c r="AQ993" s="103" t="s">
        <v>1207</v>
      </c>
      <c r="AR993" s="103" t="s">
        <v>951</v>
      </c>
      <c r="AS993" s="271"/>
      <c r="AT993" s="271"/>
      <c r="AU993" s="271"/>
      <c r="AV993" s="271"/>
      <c r="AW993" s="271">
        <v>38000000</v>
      </c>
      <c r="AX993" s="271"/>
      <c r="AY993" s="271"/>
      <c r="AZ993" s="271"/>
      <c r="BA993" s="271"/>
      <c r="BB993" s="271"/>
      <c r="BC993" s="271"/>
      <c r="BD993" s="271"/>
      <c r="BE993" s="271"/>
      <c r="BF993" s="271"/>
      <c r="BG993" s="271"/>
      <c r="BH993" s="235">
        <f t="shared" si="504"/>
        <v>38000000</v>
      </c>
      <c r="BI993" s="271"/>
      <c r="BJ993" s="271"/>
      <c r="BK993" s="271"/>
      <c r="BL993" s="271"/>
      <c r="BM993" s="271">
        <v>85000000</v>
      </c>
      <c r="BN993" s="271"/>
      <c r="BO993" s="271"/>
      <c r="BP993" s="271"/>
      <c r="BQ993" s="271"/>
      <c r="BR993" s="271"/>
      <c r="BS993" s="271"/>
      <c r="BT993" s="271"/>
      <c r="BU993" s="271"/>
      <c r="BV993" s="271"/>
      <c r="BW993" s="271"/>
      <c r="BX993" s="235">
        <f t="shared" si="505"/>
        <v>85000000</v>
      </c>
      <c r="BY993" s="271"/>
      <c r="BZ993" s="271"/>
      <c r="CA993" s="271"/>
      <c r="CB993" s="271"/>
      <c r="CC993" s="271">
        <v>105000000</v>
      </c>
      <c r="CD993" s="271"/>
      <c r="CE993" s="271"/>
      <c r="CF993" s="271"/>
      <c r="CG993" s="271"/>
      <c r="CH993" s="271"/>
      <c r="CI993" s="271"/>
      <c r="CJ993" s="271"/>
      <c r="CK993" s="271"/>
      <c r="CL993" s="271"/>
      <c r="CM993" s="271"/>
      <c r="CN993" s="235">
        <f t="shared" si="506"/>
        <v>105000000</v>
      </c>
      <c r="CO993" s="271"/>
      <c r="CP993" s="271"/>
      <c r="CQ993" s="271"/>
      <c r="CR993" s="271"/>
      <c r="CS993" s="271">
        <v>55000000</v>
      </c>
      <c r="CT993" s="271"/>
      <c r="CU993" s="271"/>
      <c r="CV993" s="271"/>
      <c r="CW993" s="271"/>
      <c r="CX993" s="271"/>
      <c r="CY993" s="271"/>
      <c r="CZ993" s="271"/>
      <c r="DA993" s="271"/>
      <c r="DB993" s="271"/>
      <c r="DC993" s="271"/>
      <c r="DD993" s="234">
        <f t="shared" si="507"/>
        <v>55000000</v>
      </c>
      <c r="DE993" s="244">
        <f t="shared" si="508"/>
        <v>283000000</v>
      </c>
    </row>
    <row r="994" spans="1:109" s="99" customFormat="1" ht="119.1" customHeight="1">
      <c r="A994" s="103" t="s">
        <v>1251</v>
      </c>
      <c r="B994" s="279" t="s">
        <v>2051</v>
      </c>
      <c r="C994" s="279" t="s">
        <v>2052</v>
      </c>
      <c r="D994" s="279">
        <v>91</v>
      </c>
      <c r="E994" s="279" t="s">
        <v>2089</v>
      </c>
      <c r="F994" s="280" t="s">
        <v>477</v>
      </c>
      <c r="G994" s="279" t="s">
        <v>2958</v>
      </c>
      <c r="H994" s="279">
        <v>109</v>
      </c>
      <c r="I994" s="279" t="s">
        <v>483</v>
      </c>
      <c r="J994" s="279" t="s">
        <v>683</v>
      </c>
      <c r="K994" s="279">
        <v>0</v>
      </c>
      <c r="L994" s="279">
        <v>232</v>
      </c>
      <c r="M994" s="279" t="s">
        <v>2098</v>
      </c>
      <c r="N994" s="279" t="s">
        <v>2099</v>
      </c>
      <c r="O994" s="279" t="s">
        <v>484</v>
      </c>
      <c r="P994" s="283">
        <v>871</v>
      </c>
      <c r="Q994" s="279" t="s">
        <v>2960</v>
      </c>
      <c r="R994" s="279" t="s">
        <v>486</v>
      </c>
      <c r="S994" s="279" t="s">
        <v>683</v>
      </c>
      <c r="T994" s="279">
        <v>0</v>
      </c>
      <c r="U994" s="267"/>
      <c r="V994" s="267">
        <v>1</v>
      </c>
      <c r="W994" s="224">
        <v>1</v>
      </c>
      <c r="X994" s="267"/>
      <c r="Y994" s="267">
        <v>1</v>
      </c>
      <c r="Z994" s="267">
        <v>1</v>
      </c>
      <c r="AA994" s="267">
        <v>1</v>
      </c>
      <c r="AB994" s="224">
        <v>3</v>
      </c>
      <c r="AC994" s="267"/>
      <c r="AD994" s="267">
        <v>1</v>
      </c>
      <c r="AE994" s="267"/>
      <c r="AF994" s="267">
        <v>1</v>
      </c>
      <c r="AG994" s="224">
        <v>2</v>
      </c>
      <c r="AH994" s="267">
        <v>1</v>
      </c>
      <c r="AI994" s="267"/>
      <c r="AJ994" s="267">
        <v>1</v>
      </c>
      <c r="AK994" s="267"/>
      <c r="AL994" s="224">
        <v>2</v>
      </c>
      <c r="AM994" s="104">
        <v>8</v>
      </c>
      <c r="AN994" s="103" t="s">
        <v>685</v>
      </c>
      <c r="AO994" s="103" t="s">
        <v>1212</v>
      </c>
      <c r="AP994" s="103" t="s">
        <v>1229</v>
      </c>
      <c r="AQ994" s="103" t="s">
        <v>1207</v>
      </c>
      <c r="AR994" s="103" t="s">
        <v>951</v>
      </c>
      <c r="AS994" s="271"/>
      <c r="AT994" s="271"/>
      <c r="AU994" s="271"/>
      <c r="AV994" s="271"/>
      <c r="AW994" s="271">
        <v>50000000</v>
      </c>
      <c r="AX994" s="271"/>
      <c r="AY994" s="271"/>
      <c r="AZ994" s="271"/>
      <c r="BA994" s="271"/>
      <c r="BB994" s="271"/>
      <c r="BC994" s="271"/>
      <c r="BD994" s="271"/>
      <c r="BE994" s="271"/>
      <c r="BF994" s="271"/>
      <c r="BG994" s="271"/>
      <c r="BH994" s="235">
        <f t="shared" si="504"/>
        <v>50000000</v>
      </c>
      <c r="BI994" s="271"/>
      <c r="BJ994" s="271"/>
      <c r="BK994" s="271"/>
      <c r="BL994" s="271"/>
      <c r="BM994" s="271">
        <v>30000000</v>
      </c>
      <c r="BN994" s="271"/>
      <c r="BO994" s="271"/>
      <c r="BP994" s="271"/>
      <c r="BQ994" s="271"/>
      <c r="BR994" s="271"/>
      <c r="BS994" s="271"/>
      <c r="BT994" s="271"/>
      <c r="BU994" s="271"/>
      <c r="BV994" s="271"/>
      <c r="BW994" s="271"/>
      <c r="BX994" s="235">
        <f t="shared" si="505"/>
        <v>30000000</v>
      </c>
      <c r="BY994" s="271"/>
      <c r="BZ994" s="271"/>
      <c r="CA994" s="271"/>
      <c r="CB994" s="271"/>
      <c r="CC994" s="271">
        <v>230000000</v>
      </c>
      <c r="CD994" s="271"/>
      <c r="CE994" s="271"/>
      <c r="CF994" s="271"/>
      <c r="CG994" s="271"/>
      <c r="CH994" s="271"/>
      <c r="CI994" s="271"/>
      <c r="CJ994" s="271"/>
      <c r="CK994" s="271"/>
      <c r="CL994" s="271"/>
      <c r="CM994" s="271"/>
      <c r="CN994" s="235">
        <f t="shared" si="506"/>
        <v>230000000</v>
      </c>
      <c r="CO994" s="271"/>
      <c r="CP994" s="271"/>
      <c r="CQ994" s="271"/>
      <c r="CR994" s="271"/>
      <c r="CS994" s="271">
        <v>25000000</v>
      </c>
      <c r="CT994" s="271"/>
      <c r="CU994" s="271"/>
      <c r="CV994" s="271"/>
      <c r="CW994" s="271"/>
      <c r="CX994" s="271"/>
      <c r="CY994" s="271"/>
      <c r="CZ994" s="271"/>
      <c r="DA994" s="271"/>
      <c r="DB994" s="271"/>
      <c r="DC994" s="271"/>
      <c r="DD994" s="234">
        <f t="shared" si="507"/>
        <v>25000000</v>
      </c>
      <c r="DE994" s="244">
        <f t="shared" si="508"/>
        <v>335000000</v>
      </c>
    </row>
    <row r="995" spans="1:109" s="99" customFormat="1" ht="119.1" customHeight="1">
      <c r="A995" s="103" t="s">
        <v>1251</v>
      </c>
      <c r="B995" s="279" t="s">
        <v>2051</v>
      </c>
      <c r="C995" s="279" t="s">
        <v>2052</v>
      </c>
      <c r="D995" s="279">
        <v>91</v>
      </c>
      <c r="E995" s="279" t="s">
        <v>2089</v>
      </c>
      <c r="F995" s="280" t="s">
        <v>477</v>
      </c>
      <c r="G995" s="279" t="s">
        <v>2958</v>
      </c>
      <c r="H995" s="279">
        <v>109</v>
      </c>
      <c r="I995" s="279" t="s">
        <v>483</v>
      </c>
      <c r="J995" s="279" t="s">
        <v>683</v>
      </c>
      <c r="K995" s="279">
        <v>0</v>
      </c>
      <c r="L995" s="279">
        <v>232</v>
      </c>
      <c r="M995" s="279" t="s">
        <v>2098</v>
      </c>
      <c r="N995" s="279" t="s">
        <v>2099</v>
      </c>
      <c r="O995" s="279" t="s">
        <v>484</v>
      </c>
      <c r="P995" s="283">
        <v>872</v>
      </c>
      <c r="Q995" s="279" t="s">
        <v>3797</v>
      </c>
      <c r="R995" s="279" t="s">
        <v>487</v>
      </c>
      <c r="S995" s="279" t="s">
        <v>683</v>
      </c>
      <c r="T995" s="279">
        <v>0</v>
      </c>
      <c r="U995" s="267"/>
      <c r="V995" s="267">
        <v>30</v>
      </c>
      <c r="W995" s="224">
        <v>30</v>
      </c>
      <c r="X995" s="267"/>
      <c r="Y995" s="267"/>
      <c r="Z995" s="267">
        <v>35</v>
      </c>
      <c r="AA995" s="267"/>
      <c r="AB995" s="224">
        <v>35</v>
      </c>
      <c r="AC995" s="267"/>
      <c r="AD995" s="267"/>
      <c r="AE995" s="267">
        <v>38</v>
      </c>
      <c r="AF995" s="267"/>
      <c r="AG995" s="224">
        <v>38</v>
      </c>
      <c r="AH995" s="267"/>
      <c r="AI995" s="267">
        <v>20</v>
      </c>
      <c r="AJ995" s="267"/>
      <c r="AK995" s="267"/>
      <c r="AL995" s="224">
        <v>20</v>
      </c>
      <c r="AM995" s="104">
        <v>123</v>
      </c>
      <c r="AN995" s="103" t="s">
        <v>685</v>
      </c>
      <c r="AO995" s="103" t="s">
        <v>1212</v>
      </c>
      <c r="AP995" s="103" t="s">
        <v>1229</v>
      </c>
      <c r="AQ995" s="103" t="s">
        <v>1207</v>
      </c>
      <c r="AR995" s="103" t="s">
        <v>951</v>
      </c>
      <c r="AS995" s="271"/>
      <c r="AT995" s="271"/>
      <c r="AU995" s="271"/>
      <c r="AV995" s="271"/>
      <c r="AW995" s="271">
        <v>30000000</v>
      </c>
      <c r="AX995" s="271"/>
      <c r="AY995" s="271"/>
      <c r="AZ995" s="271"/>
      <c r="BA995" s="271"/>
      <c r="BB995" s="271"/>
      <c r="BC995" s="271"/>
      <c r="BD995" s="271"/>
      <c r="BE995" s="271"/>
      <c r="BF995" s="271"/>
      <c r="BG995" s="271"/>
      <c r="BH995" s="235">
        <f t="shared" si="504"/>
        <v>30000000</v>
      </c>
      <c r="BI995" s="271"/>
      <c r="BJ995" s="271"/>
      <c r="BK995" s="271"/>
      <c r="BL995" s="271"/>
      <c r="BM995" s="271">
        <v>65000000</v>
      </c>
      <c r="BN995" s="271"/>
      <c r="BO995" s="271"/>
      <c r="BP995" s="271"/>
      <c r="BQ995" s="271"/>
      <c r="BR995" s="271"/>
      <c r="BS995" s="271"/>
      <c r="BT995" s="271"/>
      <c r="BU995" s="271"/>
      <c r="BV995" s="271"/>
      <c r="BW995" s="271"/>
      <c r="BX995" s="235">
        <f t="shared" si="505"/>
        <v>65000000</v>
      </c>
      <c r="BY995" s="271"/>
      <c r="BZ995" s="271"/>
      <c r="CA995" s="271"/>
      <c r="CB995" s="271"/>
      <c r="CC995" s="271">
        <v>65000000</v>
      </c>
      <c r="CD995" s="271"/>
      <c r="CE995" s="271"/>
      <c r="CF995" s="271"/>
      <c r="CG995" s="271"/>
      <c r="CH995" s="271"/>
      <c r="CI995" s="271"/>
      <c r="CJ995" s="271"/>
      <c r="CK995" s="271"/>
      <c r="CL995" s="271"/>
      <c r="CM995" s="271"/>
      <c r="CN995" s="235">
        <f t="shared" si="506"/>
        <v>65000000</v>
      </c>
      <c r="CO995" s="271"/>
      <c r="CP995" s="271"/>
      <c r="CQ995" s="271"/>
      <c r="CR995" s="271"/>
      <c r="CS995" s="271">
        <v>55000000</v>
      </c>
      <c r="CT995" s="271"/>
      <c r="CU995" s="271"/>
      <c r="CV995" s="271"/>
      <c r="CW995" s="271"/>
      <c r="CX995" s="271"/>
      <c r="CY995" s="271"/>
      <c r="CZ995" s="271"/>
      <c r="DA995" s="271"/>
      <c r="DB995" s="271"/>
      <c r="DC995" s="271"/>
      <c r="DD995" s="234">
        <f t="shared" si="507"/>
        <v>55000000</v>
      </c>
      <c r="DE995" s="244">
        <f t="shared" si="508"/>
        <v>215000000</v>
      </c>
    </row>
    <row r="996" spans="1:109" s="99" customFormat="1" ht="119.1" customHeight="1">
      <c r="A996" s="103" t="s">
        <v>1251</v>
      </c>
      <c r="B996" s="279" t="s">
        <v>2051</v>
      </c>
      <c r="C996" s="279" t="s">
        <v>2052</v>
      </c>
      <c r="D996" s="279">
        <v>91</v>
      </c>
      <c r="E996" s="279" t="s">
        <v>2089</v>
      </c>
      <c r="F996" s="280" t="s">
        <v>477</v>
      </c>
      <c r="G996" s="279" t="s">
        <v>2958</v>
      </c>
      <c r="H996" s="279">
        <v>109</v>
      </c>
      <c r="I996" s="279" t="s">
        <v>483</v>
      </c>
      <c r="J996" s="279" t="s">
        <v>683</v>
      </c>
      <c r="K996" s="279">
        <v>0</v>
      </c>
      <c r="L996" s="279">
        <v>232</v>
      </c>
      <c r="M996" s="279" t="s">
        <v>2100</v>
      </c>
      <c r="N996" s="279" t="s">
        <v>2101</v>
      </c>
      <c r="O996" s="279" t="s">
        <v>488</v>
      </c>
      <c r="P996" s="283">
        <v>873</v>
      </c>
      <c r="Q996" s="279" t="s">
        <v>2961</v>
      </c>
      <c r="R996" s="279" t="s">
        <v>489</v>
      </c>
      <c r="S996" s="279" t="s">
        <v>683</v>
      </c>
      <c r="T996" s="279">
        <v>0</v>
      </c>
      <c r="U996" s="267"/>
      <c r="V996" s="267">
        <v>0.25</v>
      </c>
      <c r="W996" s="224">
        <v>0.25</v>
      </c>
      <c r="X996" s="267"/>
      <c r="Y996" s="267">
        <v>0.25</v>
      </c>
      <c r="Z996" s="267"/>
      <c r="AA996" s="267"/>
      <c r="AB996" s="224">
        <v>0.25</v>
      </c>
      <c r="AC996" s="267"/>
      <c r="AD996" s="267">
        <v>0.25</v>
      </c>
      <c r="AE996" s="267"/>
      <c r="AF996" s="267"/>
      <c r="AG996" s="224">
        <v>0.25</v>
      </c>
      <c r="AH996" s="267"/>
      <c r="AI996" s="267">
        <v>0.25</v>
      </c>
      <c r="AJ996" s="267"/>
      <c r="AK996" s="267"/>
      <c r="AL996" s="224">
        <v>0.25</v>
      </c>
      <c r="AM996" s="104">
        <v>1</v>
      </c>
      <c r="AN996" s="103" t="s">
        <v>685</v>
      </c>
      <c r="AO996" s="103" t="s">
        <v>1212</v>
      </c>
      <c r="AP996" s="103" t="s">
        <v>1229</v>
      </c>
      <c r="AQ996" s="103" t="s">
        <v>1207</v>
      </c>
      <c r="AR996" s="103" t="s">
        <v>951</v>
      </c>
      <c r="AS996" s="271"/>
      <c r="AT996" s="271"/>
      <c r="AU996" s="271"/>
      <c r="AV996" s="271"/>
      <c r="AW996" s="271">
        <v>120000000</v>
      </c>
      <c r="AX996" s="271"/>
      <c r="AY996" s="271"/>
      <c r="AZ996" s="271"/>
      <c r="BA996" s="271"/>
      <c r="BB996" s="271"/>
      <c r="BC996" s="271"/>
      <c r="BD996" s="271"/>
      <c r="BE996" s="271"/>
      <c r="BF996" s="271"/>
      <c r="BG996" s="271"/>
      <c r="BH996" s="235">
        <f t="shared" si="504"/>
        <v>120000000</v>
      </c>
      <c r="BI996" s="271"/>
      <c r="BJ996" s="271"/>
      <c r="BK996" s="271"/>
      <c r="BL996" s="271"/>
      <c r="BM996" s="271">
        <v>120000000</v>
      </c>
      <c r="BN996" s="271"/>
      <c r="BO996" s="271"/>
      <c r="BP996" s="271"/>
      <c r="BQ996" s="271"/>
      <c r="BR996" s="271"/>
      <c r="BS996" s="271"/>
      <c r="BT996" s="271"/>
      <c r="BU996" s="271"/>
      <c r="BV996" s="271"/>
      <c r="BW996" s="271"/>
      <c r="BX996" s="235">
        <f t="shared" si="505"/>
        <v>120000000</v>
      </c>
      <c r="BY996" s="271"/>
      <c r="BZ996" s="271"/>
      <c r="CA996" s="271"/>
      <c r="CB996" s="271"/>
      <c r="CC996" s="271">
        <v>120000000</v>
      </c>
      <c r="CD996" s="271"/>
      <c r="CE996" s="271"/>
      <c r="CF996" s="271"/>
      <c r="CG996" s="271"/>
      <c r="CH996" s="271"/>
      <c r="CI996" s="271"/>
      <c r="CJ996" s="271"/>
      <c r="CK996" s="271"/>
      <c r="CL996" s="271"/>
      <c r="CM996" s="271"/>
      <c r="CN996" s="235">
        <f t="shared" si="506"/>
        <v>120000000</v>
      </c>
      <c r="CO996" s="271"/>
      <c r="CP996" s="271"/>
      <c r="CQ996" s="271"/>
      <c r="CR996" s="271"/>
      <c r="CS996" s="271">
        <v>120000000</v>
      </c>
      <c r="CT996" s="271"/>
      <c r="CU996" s="271"/>
      <c r="CV996" s="271"/>
      <c r="CW996" s="271"/>
      <c r="CX996" s="271"/>
      <c r="CY996" s="271"/>
      <c r="CZ996" s="271"/>
      <c r="DA996" s="271"/>
      <c r="DB996" s="271"/>
      <c r="DC996" s="271"/>
      <c r="DD996" s="234">
        <f t="shared" si="507"/>
        <v>120000000</v>
      </c>
      <c r="DE996" s="244">
        <f t="shared" si="508"/>
        <v>480000000</v>
      </c>
    </row>
    <row r="997" spans="1:109" s="99" customFormat="1" ht="119.1" customHeight="1">
      <c r="A997" s="103" t="s">
        <v>1251</v>
      </c>
      <c r="B997" s="279" t="s">
        <v>2051</v>
      </c>
      <c r="C997" s="279" t="s">
        <v>2052</v>
      </c>
      <c r="D997" s="279">
        <v>91</v>
      </c>
      <c r="E997" s="279" t="s">
        <v>2089</v>
      </c>
      <c r="F997" s="280" t="s">
        <v>477</v>
      </c>
      <c r="G997" s="279" t="s">
        <v>2958</v>
      </c>
      <c r="H997" s="279">
        <v>109</v>
      </c>
      <c r="I997" s="279" t="s">
        <v>483</v>
      </c>
      <c r="J997" s="279" t="s">
        <v>683</v>
      </c>
      <c r="K997" s="279">
        <v>0</v>
      </c>
      <c r="L997" s="279">
        <v>232</v>
      </c>
      <c r="M997" s="279" t="s">
        <v>2100</v>
      </c>
      <c r="N997" s="279" t="s">
        <v>2101</v>
      </c>
      <c r="O997" s="279" t="s">
        <v>488</v>
      </c>
      <c r="P997" s="283">
        <v>874</v>
      </c>
      <c r="Q997" s="279" t="s">
        <v>3242</v>
      </c>
      <c r="R997" s="279" t="s">
        <v>2102</v>
      </c>
      <c r="S997" s="279" t="s">
        <v>683</v>
      </c>
      <c r="T997" s="279">
        <v>0</v>
      </c>
      <c r="U997" s="267"/>
      <c r="V997" s="267">
        <v>1</v>
      </c>
      <c r="W997" s="224">
        <v>1</v>
      </c>
      <c r="X997" s="267"/>
      <c r="Y997" s="267"/>
      <c r="Z997" s="267"/>
      <c r="AA997" s="267">
        <v>1</v>
      </c>
      <c r="AB997" s="224">
        <v>1</v>
      </c>
      <c r="AC997" s="267"/>
      <c r="AD997" s="267"/>
      <c r="AE997" s="267"/>
      <c r="AF997" s="267">
        <v>1</v>
      </c>
      <c r="AG997" s="224">
        <v>1</v>
      </c>
      <c r="AH997" s="267"/>
      <c r="AI997" s="267"/>
      <c r="AJ997" s="267">
        <v>1</v>
      </c>
      <c r="AK997" s="267"/>
      <c r="AL997" s="224">
        <v>1</v>
      </c>
      <c r="AM997" s="104">
        <v>4</v>
      </c>
      <c r="AN997" s="103" t="s">
        <v>685</v>
      </c>
      <c r="AO997" s="103" t="s">
        <v>1212</v>
      </c>
      <c r="AP997" s="103" t="s">
        <v>1229</v>
      </c>
      <c r="AQ997" s="103" t="s">
        <v>1207</v>
      </c>
      <c r="AR997" s="103" t="s">
        <v>951</v>
      </c>
      <c r="AS997" s="271"/>
      <c r="AT997" s="271"/>
      <c r="AU997" s="271"/>
      <c r="AV997" s="271"/>
      <c r="AW997" s="271">
        <v>400000000</v>
      </c>
      <c r="AX997" s="271"/>
      <c r="AY997" s="271"/>
      <c r="AZ997" s="271"/>
      <c r="BA997" s="271"/>
      <c r="BB997" s="271"/>
      <c r="BC997" s="271"/>
      <c r="BD997" s="271"/>
      <c r="BE997" s="271"/>
      <c r="BF997" s="271"/>
      <c r="BG997" s="271"/>
      <c r="BH997" s="235">
        <f t="shared" si="504"/>
        <v>400000000</v>
      </c>
      <c r="BI997" s="271"/>
      <c r="BJ997" s="271"/>
      <c r="BK997" s="271"/>
      <c r="BL997" s="271"/>
      <c r="BM997" s="271">
        <v>400000000</v>
      </c>
      <c r="BN997" s="271"/>
      <c r="BO997" s="271"/>
      <c r="BP997" s="271"/>
      <c r="BQ997" s="271"/>
      <c r="BR997" s="271"/>
      <c r="BS997" s="271"/>
      <c r="BT997" s="271"/>
      <c r="BU997" s="271"/>
      <c r="BV997" s="271"/>
      <c r="BW997" s="271"/>
      <c r="BX997" s="235">
        <f t="shared" si="505"/>
        <v>400000000</v>
      </c>
      <c r="BY997" s="271"/>
      <c r="BZ997" s="271"/>
      <c r="CA997" s="271"/>
      <c r="CB997" s="271"/>
      <c r="CC997" s="271">
        <v>500000000</v>
      </c>
      <c r="CD997" s="271"/>
      <c r="CE997" s="271"/>
      <c r="CF997" s="271"/>
      <c r="CG997" s="271"/>
      <c r="CH997" s="271"/>
      <c r="CI997" s="271"/>
      <c r="CJ997" s="271"/>
      <c r="CK997" s="271"/>
      <c r="CL997" s="271"/>
      <c r="CM997" s="271"/>
      <c r="CN997" s="235">
        <f t="shared" si="506"/>
        <v>500000000</v>
      </c>
      <c r="CO997" s="271"/>
      <c r="CP997" s="271"/>
      <c r="CQ997" s="271"/>
      <c r="CR997" s="271"/>
      <c r="CS997" s="271">
        <v>500000000</v>
      </c>
      <c r="CT997" s="271"/>
      <c r="CU997" s="271"/>
      <c r="CV997" s="271"/>
      <c r="CW997" s="271"/>
      <c r="CX997" s="271"/>
      <c r="CY997" s="271"/>
      <c r="CZ997" s="271"/>
      <c r="DA997" s="271"/>
      <c r="DB997" s="271"/>
      <c r="DC997" s="271"/>
      <c r="DD997" s="234">
        <f t="shared" si="507"/>
        <v>500000000</v>
      </c>
      <c r="DE997" s="244">
        <f t="shared" si="508"/>
        <v>1800000000</v>
      </c>
    </row>
    <row r="998" spans="1:109" s="99" customFormat="1" ht="119.1" customHeight="1">
      <c r="A998" s="103" t="s">
        <v>1251</v>
      </c>
      <c r="B998" s="279" t="s">
        <v>2051</v>
      </c>
      <c r="C998" s="279" t="s">
        <v>2052</v>
      </c>
      <c r="D998" s="279">
        <v>91</v>
      </c>
      <c r="E998" s="279" t="s">
        <v>2089</v>
      </c>
      <c r="F998" s="280" t="s">
        <v>477</v>
      </c>
      <c r="G998" s="279" t="s">
        <v>2958</v>
      </c>
      <c r="H998" s="279">
        <v>109</v>
      </c>
      <c r="I998" s="279" t="s">
        <v>483</v>
      </c>
      <c r="J998" s="279" t="s">
        <v>683</v>
      </c>
      <c r="K998" s="279">
        <v>0</v>
      </c>
      <c r="L998" s="279">
        <v>232</v>
      </c>
      <c r="M998" s="279" t="s">
        <v>2100</v>
      </c>
      <c r="N998" s="279" t="s">
        <v>2101</v>
      </c>
      <c r="O998" s="279" t="s">
        <v>488</v>
      </c>
      <c r="P998" s="283">
        <v>875</v>
      </c>
      <c r="Q998" s="279" t="s">
        <v>2962</v>
      </c>
      <c r="R998" s="279" t="s">
        <v>490</v>
      </c>
      <c r="S998" s="279" t="s">
        <v>683</v>
      </c>
      <c r="T998" s="279">
        <v>50</v>
      </c>
      <c r="U998" s="267"/>
      <c r="V998" s="267">
        <v>10</v>
      </c>
      <c r="W998" s="224">
        <v>10</v>
      </c>
      <c r="X998" s="267"/>
      <c r="Y998" s="267">
        <v>5</v>
      </c>
      <c r="Z998" s="267">
        <v>10</v>
      </c>
      <c r="AA998" s="267">
        <v>5</v>
      </c>
      <c r="AB998" s="224">
        <v>20</v>
      </c>
      <c r="AC998" s="267"/>
      <c r="AD998" s="267">
        <v>5</v>
      </c>
      <c r="AE998" s="267">
        <v>10</v>
      </c>
      <c r="AF998" s="267">
        <v>5</v>
      </c>
      <c r="AG998" s="224">
        <v>20</v>
      </c>
      <c r="AH998" s="267"/>
      <c r="AI998" s="267">
        <v>10</v>
      </c>
      <c r="AJ998" s="267">
        <v>10</v>
      </c>
      <c r="AK998" s="267"/>
      <c r="AL998" s="224">
        <v>20</v>
      </c>
      <c r="AM998" s="104">
        <v>70</v>
      </c>
      <c r="AN998" s="103" t="s">
        <v>685</v>
      </c>
      <c r="AO998" s="103" t="s">
        <v>1212</v>
      </c>
      <c r="AP998" s="103" t="s">
        <v>1229</v>
      </c>
      <c r="AQ998" s="103" t="s">
        <v>1207</v>
      </c>
      <c r="AR998" s="103" t="s">
        <v>951</v>
      </c>
      <c r="AS998" s="271"/>
      <c r="AT998" s="271"/>
      <c r="AU998" s="271"/>
      <c r="AV998" s="271"/>
      <c r="AW998" s="271">
        <v>25000000</v>
      </c>
      <c r="AX998" s="271"/>
      <c r="AY998" s="271"/>
      <c r="AZ998" s="271"/>
      <c r="BA998" s="271"/>
      <c r="BB998" s="271"/>
      <c r="BC998" s="271"/>
      <c r="BD998" s="271"/>
      <c r="BE998" s="271"/>
      <c r="BF998" s="271"/>
      <c r="BG998" s="271"/>
      <c r="BH998" s="235">
        <f t="shared" si="504"/>
        <v>25000000</v>
      </c>
      <c r="BI998" s="271"/>
      <c r="BJ998" s="271"/>
      <c r="BK998" s="271"/>
      <c r="BL998" s="271"/>
      <c r="BM998" s="271">
        <v>45000000</v>
      </c>
      <c r="BN998" s="271"/>
      <c r="BO998" s="271"/>
      <c r="BP998" s="271"/>
      <c r="BQ998" s="271"/>
      <c r="BR998" s="271"/>
      <c r="BS998" s="271"/>
      <c r="BT998" s="271"/>
      <c r="BU998" s="271"/>
      <c r="BV998" s="271"/>
      <c r="BW998" s="271"/>
      <c r="BX998" s="235">
        <f t="shared" si="505"/>
        <v>45000000</v>
      </c>
      <c r="BY998" s="271"/>
      <c r="BZ998" s="271"/>
      <c r="CA998" s="271"/>
      <c r="CB998" s="271"/>
      <c r="CC998" s="271">
        <v>50000000</v>
      </c>
      <c r="CD998" s="271"/>
      <c r="CE998" s="271"/>
      <c r="CF998" s="271"/>
      <c r="CG998" s="271"/>
      <c r="CH998" s="271"/>
      <c r="CI998" s="271"/>
      <c r="CJ998" s="271"/>
      <c r="CK998" s="271"/>
      <c r="CL998" s="271"/>
      <c r="CM998" s="271"/>
      <c r="CN998" s="235">
        <f t="shared" si="506"/>
        <v>50000000</v>
      </c>
      <c r="CO998" s="271"/>
      <c r="CP998" s="271"/>
      <c r="CQ998" s="271"/>
      <c r="CR998" s="271"/>
      <c r="CS998" s="271">
        <v>45000000</v>
      </c>
      <c r="CT998" s="271"/>
      <c r="CU998" s="271"/>
      <c r="CV998" s="271"/>
      <c r="CW998" s="271"/>
      <c r="CX998" s="271"/>
      <c r="CY998" s="271"/>
      <c r="CZ998" s="271"/>
      <c r="DA998" s="271"/>
      <c r="DB998" s="271"/>
      <c r="DC998" s="271"/>
      <c r="DD998" s="234">
        <f t="shared" si="507"/>
        <v>45000000</v>
      </c>
      <c r="DE998" s="244">
        <f t="shared" si="508"/>
        <v>165000000</v>
      </c>
    </row>
    <row r="999" spans="1:109" s="99" customFormat="1" ht="119.1" customHeight="1">
      <c r="A999" s="103" t="s">
        <v>1251</v>
      </c>
      <c r="B999" s="279" t="s">
        <v>2051</v>
      </c>
      <c r="C999" s="279" t="s">
        <v>2052</v>
      </c>
      <c r="D999" s="279">
        <v>91</v>
      </c>
      <c r="E999" s="279" t="s">
        <v>2089</v>
      </c>
      <c r="F999" s="280" t="s">
        <v>477</v>
      </c>
      <c r="G999" s="279" t="s">
        <v>2958</v>
      </c>
      <c r="H999" s="279">
        <v>109</v>
      </c>
      <c r="I999" s="279" t="s">
        <v>483</v>
      </c>
      <c r="J999" s="279" t="s">
        <v>683</v>
      </c>
      <c r="K999" s="279">
        <v>0</v>
      </c>
      <c r="L999" s="279">
        <v>232</v>
      </c>
      <c r="M999" s="279" t="s">
        <v>2103</v>
      </c>
      <c r="N999" s="279" t="s">
        <v>2104</v>
      </c>
      <c r="O999" s="279" t="s">
        <v>2105</v>
      </c>
      <c r="P999" s="283">
        <v>876</v>
      </c>
      <c r="Q999" s="279" t="s">
        <v>3798</v>
      </c>
      <c r="R999" s="279" t="s">
        <v>491</v>
      </c>
      <c r="S999" s="279" t="s">
        <v>683</v>
      </c>
      <c r="T999" s="279">
        <v>0</v>
      </c>
      <c r="U999" s="267"/>
      <c r="V999" s="267">
        <v>0.25</v>
      </c>
      <c r="W999" s="224">
        <v>0.25</v>
      </c>
      <c r="X999" s="267"/>
      <c r="Y999" s="267">
        <v>0.25</v>
      </c>
      <c r="Z999" s="267">
        <v>0.25</v>
      </c>
      <c r="AA999" s="267">
        <v>0.25</v>
      </c>
      <c r="AB999" s="224">
        <v>0.75</v>
      </c>
      <c r="AC999" s="267"/>
      <c r="AD999" s="267">
        <v>0.25</v>
      </c>
      <c r="AE999" s="267">
        <v>0.25</v>
      </c>
      <c r="AF999" s="267">
        <v>0.25</v>
      </c>
      <c r="AG999" s="224">
        <v>0.75</v>
      </c>
      <c r="AH999" s="267"/>
      <c r="AI999" s="267">
        <v>0.25</v>
      </c>
      <c r="AJ999" s="267"/>
      <c r="AK999" s="267"/>
      <c r="AL999" s="224">
        <v>0.25</v>
      </c>
      <c r="AM999" s="104">
        <v>2</v>
      </c>
      <c r="AN999" s="103" t="s">
        <v>685</v>
      </c>
      <c r="AO999" s="103" t="s">
        <v>1212</v>
      </c>
      <c r="AP999" s="103" t="s">
        <v>1229</v>
      </c>
      <c r="AQ999" s="103" t="s">
        <v>1207</v>
      </c>
      <c r="AR999" s="103" t="s">
        <v>943</v>
      </c>
      <c r="AS999" s="271"/>
      <c r="AT999" s="271"/>
      <c r="AU999" s="271"/>
      <c r="AV999" s="271"/>
      <c r="AW999" s="271">
        <v>50000000</v>
      </c>
      <c r="AX999" s="271"/>
      <c r="AY999" s="271"/>
      <c r="AZ999" s="271"/>
      <c r="BA999" s="271"/>
      <c r="BB999" s="271"/>
      <c r="BC999" s="271"/>
      <c r="BD999" s="271"/>
      <c r="BE999" s="271"/>
      <c r="BF999" s="271"/>
      <c r="BG999" s="271"/>
      <c r="BH999" s="235">
        <f t="shared" si="504"/>
        <v>50000000</v>
      </c>
      <c r="BI999" s="271"/>
      <c r="BJ999" s="271"/>
      <c r="BK999" s="271"/>
      <c r="BL999" s="271"/>
      <c r="BM999" s="271">
        <v>50000000</v>
      </c>
      <c r="BN999" s="271"/>
      <c r="BO999" s="271"/>
      <c r="BP999" s="271"/>
      <c r="BQ999" s="271"/>
      <c r="BR999" s="271"/>
      <c r="BS999" s="271"/>
      <c r="BT999" s="271"/>
      <c r="BU999" s="271"/>
      <c r="BV999" s="271"/>
      <c r="BW999" s="271"/>
      <c r="BX999" s="235">
        <f t="shared" si="505"/>
        <v>50000000</v>
      </c>
      <c r="BY999" s="271"/>
      <c r="BZ999" s="271"/>
      <c r="CA999" s="271"/>
      <c r="CB999" s="271"/>
      <c r="CC999" s="271">
        <v>50000000</v>
      </c>
      <c r="CD999" s="271"/>
      <c r="CE999" s="271"/>
      <c r="CF999" s="271"/>
      <c r="CG999" s="271"/>
      <c r="CH999" s="271"/>
      <c r="CI999" s="271"/>
      <c r="CJ999" s="271"/>
      <c r="CK999" s="271"/>
      <c r="CL999" s="271"/>
      <c r="CM999" s="271"/>
      <c r="CN999" s="235">
        <f t="shared" si="506"/>
        <v>50000000</v>
      </c>
      <c r="CO999" s="271"/>
      <c r="CP999" s="271"/>
      <c r="CQ999" s="271"/>
      <c r="CR999" s="271"/>
      <c r="CS999" s="271">
        <v>25000000</v>
      </c>
      <c r="CT999" s="271"/>
      <c r="CU999" s="271"/>
      <c r="CV999" s="271"/>
      <c r="CW999" s="271"/>
      <c r="CX999" s="271"/>
      <c r="CY999" s="271"/>
      <c r="CZ999" s="271"/>
      <c r="DA999" s="271"/>
      <c r="DB999" s="271"/>
      <c r="DC999" s="271"/>
      <c r="DD999" s="234">
        <f t="shared" si="507"/>
        <v>25000000</v>
      </c>
      <c r="DE999" s="244">
        <f t="shared" ref="DE999:DE1007" si="510">SUM(DD999+CN999+BX999+BH999)</f>
        <v>175000000</v>
      </c>
    </row>
    <row r="1000" spans="1:109" s="99" customFormat="1" ht="119.1" customHeight="1">
      <c r="A1000" s="103" t="s">
        <v>1251</v>
      </c>
      <c r="B1000" s="279" t="s">
        <v>2051</v>
      </c>
      <c r="C1000" s="279" t="s">
        <v>2052</v>
      </c>
      <c r="D1000" s="279">
        <v>91</v>
      </c>
      <c r="E1000" s="279" t="s">
        <v>2089</v>
      </c>
      <c r="F1000" s="280" t="s">
        <v>477</v>
      </c>
      <c r="G1000" s="279" t="s">
        <v>2958</v>
      </c>
      <c r="H1000" s="279">
        <v>109</v>
      </c>
      <c r="I1000" s="279" t="s">
        <v>483</v>
      </c>
      <c r="J1000" s="279" t="s">
        <v>683</v>
      </c>
      <c r="K1000" s="279">
        <v>0</v>
      </c>
      <c r="L1000" s="279">
        <v>232</v>
      </c>
      <c r="M1000" s="279" t="s">
        <v>2103</v>
      </c>
      <c r="N1000" s="279" t="s">
        <v>2104</v>
      </c>
      <c r="O1000" s="279" t="s">
        <v>2105</v>
      </c>
      <c r="P1000" s="283">
        <v>877</v>
      </c>
      <c r="Q1000" s="279" t="s">
        <v>3243</v>
      </c>
      <c r="R1000" s="279" t="s">
        <v>492</v>
      </c>
      <c r="S1000" s="279" t="s">
        <v>683</v>
      </c>
      <c r="T1000" s="279">
        <v>0</v>
      </c>
      <c r="U1000" s="267"/>
      <c r="V1000" s="267">
        <v>1</v>
      </c>
      <c r="W1000" s="224">
        <v>1</v>
      </c>
      <c r="X1000" s="267"/>
      <c r="Y1000" s="267">
        <v>0.5</v>
      </c>
      <c r="Z1000" s="267"/>
      <c r="AA1000" s="267">
        <v>0.5</v>
      </c>
      <c r="AB1000" s="224">
        <v>1</v>
      </c>
      <c r="AC1000" s="267"/>
      <c r="AD1000" s="267">
        <v>0.25</v>
      </c>
      <c r="AE1000" s="267">
        <v>0.25</v>
      </c>
      <c r="AF1000" s="267">
        <v>0.25</v>
      </c>
      <c r="AG1000" s="224">
        <v>0.75</v>
      </c>
      <c r="AH1000" s="267"/>
      <c r="AI1000" s="267">
        <v>0.25</v>
      </c>
      <c r="AJ1000" s="267"/>
      <c r="AK1000" s="267"/>
      <c r="AL1000" s="224">
        <v>0.25</v>
      </c>
      <c r="AM1000" s="104">
        <v>3</v>
      </c>
      <c r="AN1000" s="103" t="s">
        <v>685</v>
      </c>
      <c r="AO1000" s="103" t="s">
        <v>1212</v>
      </c>
      <c r="AP1000" s="103" t="s">
        <v>1229</v>
      </c>
      <c r="AQ1000" s="103" t="s">
        <v>1207</v>
      </c>
      <c r="AR1000" s="103" t="s">
        <v>943</v>
      </c>
      <c r="AS1000" s="271"/>
      <c r="AT1000" s="271"/>
      <c r="AU1000" s="271"/>
      <c r="AV1000" s="271"/>
      <c r="AW1000" s="271">
        <v>80000000</v>
      </c>
      <c r="AX1000" s="271"/>
      <c r="AY1000" s="271"/>
      <c r="AZ1000" s="271"/>
      <c r="BA1000" s="271"/>
      <c r="BB1000" s="271"/>
      <c r="BC1000" s="271"/>
      <c r="BD1000" s="271"/>
      <c r="BE1000" s="271"/>
      <c r="BF1000" s="271"/>
      <c r="BG1000" s="271"/>
      <c r="BH1000" s="235">
        <f t="shared" si="504"/>
        <v>80000000</v>
      </c>
      <c r="BI1000" s="271"/>
      <c r="BJ1000" s="271"/>
      <c r="BK1000" s="271"/>
      <c r="BL1000" s="271"/>
      <c r="BM1000" s="271">
        <v>150000000</v>
      </c>
      <c r="BN1000" s="271"/>
      <c r="BO1000" s="271"/>
      <c r="BP1000" s="271"/>
      <c r="BQ1000" s="271"/>
      <c r="BR1000" s="271"/>
      <c r="BS1000" s="271"/>
      <c r="BT1000" s="271"/>
      <c r="BU1000" s="271"/>
      <c r="BV1000" s="271"/>
      <c r="BW1000" s="271"/>
      <c r="BX1000" s="235">
        <f t="shared" si="505"/>
        <v>150000000</v>
      </c>
      <c r="BY1000" s="271"/>
      <c r="BZ1000" s="271"/>
      <c r="CA1000" s="271"/>
      <c r="CB1000" s="271"/>
      <c r="CC1000" s="271">
        <v>150000000</v>
      </c>
      <c r="CD1000" s="271"/>
      <c r="CE1000" s="271"/>
      <c r="CF1000" s="271"/>
      <c r="CG1000" s="271"/>
      <c r="CH1000" s="271"/>
      <c r="CI1000" s="271"/>
      <c r="CJ1000" s="271"/>
      <c r="CK1000" s="271"/>
      <c r="CL1000" s="271"/>
      <c r="CM1000" s="271"/>
      <c r="CN1000" s="235">
        <f t="shared" si="506"/>
        <v>150000000</v>
      </c>
      <c r="CO1000" s="271"/>
      <c r="CP1000" s="271"/>
      <c r="CQ1000" s="271"/>
      <c r="CR1000" s="271"/>
      <c r="CS1000" s="271">
        <v>80000000</v>
      </c>
      <c r="CT1000" s="271"/>
      <c r="CU1000" s="271"/>
      <c r="CV1000" s="271"/>
      <c r="CW1000" s="271"/>
      <c r="CX1000" s="271"/>
      <c r="CY1000" s="271"/>
      <c r="CZ1000" s="271"/>
      <c r="DA1000" s="271"/>
      <c r="DB1000" s="271"/>
      <c r="DC1000" s="271"/>
      <c r="DD1000" s="234">
        <f t="shared" si="507"/>
        <v>80000000</v>
      </c>
      <c r="DE1000" s="244">
        <f t="shared" si="510"/>
        <v>460000000</v>
      </c>
    </row>
    <row r="1001" spans="1:109" s="99" customFormat="1" ht="119.1" customHeight="1">
      <c r="A1001" s="103" t="s">
        <v>1251</v>
      </c>
      <c r="B1001" s="279" t="s">
        <v>2051</v>
      </c>
      <c r="C1001" s="279" t="s">
        <v>2052</v>
      </c>
      <c r="D1001" s="279">
        <v>91</v>
      </c>
      <c r="E1001" s="279" t="s">
        <v>2089</v>
      </c>
      <c r="F1001" s="280" t="s">
        <v>477</v>
      </c>
      <c r="G1001" s="279" t="s">
        <v>2958</v>
      </c>
      <c r="H1001" s="279">
        <v>109</v>
      </c>
      <c r="I1001" s="279" t="s">
        <v>483</v>
      </c>
      <c r="J1001" s="279" t="s">
        <v>683</v>
      </c>
      <c r="K1001" s="279">
        <v>0</v>
      </c>
      <c r="L1001" s="279">
        <v>232</v>
      </c>
      <c r="M1001" s="279" t="s">
        <v>2103</v>
      </c>
      <c r="N1001" s="279" t="s">
        <v>2104</v>
      </c>
      <c r="O1001" s="279" t="s">
        <v>2105</v>
      </c>
      <c r="P1001" s="283">
        <v>878</v>
      </c>
      <c r="Q1001" s="279" t="s">
        <v>3244</v>
      </c>
      <c r="R1001" s="279" t="s">
        <v>2106</v>
      </c>
      <c r="S1001" s="279" t="s">
        <v>677</v>
      </c>
      <c r="T1001" s="279">
        <v>73.400000000000006</v>
      </c>
      <c r="U1001" s="267">
        <v>36.700000000000003</v>
      </c>
      <c r="V1001" s="267">
        <v>36.700000000000003</v>
      </c>
      <c r="W1001" s="224">
        <v>73.400000000000006</v>
      </c>
      <c r="X1001" s="267">
        <v>18.350000000000001</v>
      </c>
      <c r="Y1001" s="267">
        <v>18.350000000000001</v>
      </c>
      <c r="Z1001" s="267">
        <v>18.350000000000001</v>
      </c>
      <c r="AA1001" s="267">
        <v>18.350000000000001</v>
      </c>
      <c r="AB1001" s="224">
        <v>73.400000000000006</v>
      </c>
      <c r="AC1001" s="267">
        <v>18.350000000000001</v>
      </c>
      <c r="AD1001" s="267">
        <v>18.350000000000001</v>
      </c>
      <c r="AE1001" s="267">
        <v>18.350000000000001</v>
      </c>
      <c r="AF1001" s="267">
        <v>18.350000000000001</v>
      </c>
      <c r="AG1001" s="224">
        <v>73.400000000000006</v>
      </c>
      <c r="AH1001" s="267">
        <v>18.350000000000001</v>
      </c>
      <c r="AI1001" s="267">
        <v>18.350000000000001</v>
      </c>
      <c r="AJ1001" s="267">
        <v>18.350000000000001</v>
      </c>
      <c r="AK1001" s="267">
        <v>18.350000000000001</v>
      </c>
      <c r="AL1001" s="224">
        <v>73.400000000000006</v>
      </c>
      <c r="AM1001" s="106">
        <v>73.400000000000006</v>
      </c>
      <c r="AN1001" s="103" t="s">
        <v>686</v>
      </c>
      <c r="AO1001" s="103" t="s">
        <v>1212</v>
      </c>
      <c r="AP1001" s="103" t="s">
        <v>1229</v>
      </c>
      <c r="AQ1001" s="103" t="s">
        <v>1207</v>
      </c>
      <c r="AR1001" s="103" t="s">
        <v>943</v>
      </c>
      <c r="AS1001" s="271"/>
      <c r="AT1001" s="271"/>
      <c r="AU1001" s="271"/>
      <c r="AV1001" s="271"/>
      <c r="AW1001" s="271">
        <v>400000000</v>
      </c>
      <c r="AX1001" s="271"/>
      <c r="AY1001" s="271"/>
      <c r="AZ1001" s="271"/>
      <c r="BA1001" s="271"/>
      <c r="BB1001" s="271"/>
      <c r="BC1001" s="271"/>
      <c r="BD1001" s="271"/>
      <c r="BE1001" s="271"/>
      <c r="BF1001" s="271"/>
      <c r="BG1001" s="271"/>
      <c r="BH1001" s="235">
        <f t="shared" si="504"/>
        <v>400000000</v>
      </c>
      <c r="BI1001" s="271"/>
      <c r="BJ1001" s="271"/>
      <c r="BK1001" s="271"/>
      <c r="BL1001" s="271"/>
      <c r="BM1001" s="271">
        <v>508260890</v>
      </c>
      <c r="BN1001" s="271"/>
      <c r="BO1001" s="271"/>
      <c r="BP1001" s="271"/>
      <c r="BQ1001" s="271"/>
      <c r="BR1001" s="271"/>
      <c r="BS1001" s="271"/>
      <c r="BT1001" s="271"/>
      <c r="BU1001" s="271"/>
      <c r="BV1001" s="271"/>
      <c r="BW1001" s="271"/>
      <c r="BX1001" s="235">
        <f t="shared" si="505"/>
        <v>508260890</v>
      </c>
      <c r="BY1001" s="271"/>
      <c r="BZ1001" s="271"/>
      <c r="CA1001" s="271"/>
      <c r="CB1001" s="271"/>
      <c r="CC1001" s="271">
        <v>800000000</v>
      </c>
      <c r="CD1001" s="271"/>
      <c r="CE1001" s="271"/>
      <c r="CF1001" s="271"/>
      <c r="CG1001" s="271"/>
      <c r="CH1001" s="271"/>
      <c r="CI1001" s="271"/>
      <c r="CJ1001" s="271"/>
      <c r="CK1001" s="271"/>
      <c r="CL1001" s="271"/>
      <c r="CM1001" s="271"/>
      <c r="CN1001" s="235">
        <f t="shared" si="506"/>
        <v>800000000</v>
      </c>
      <c r="CO1001" s="271"/>
      <c r="CP1001" s="271"/>
      <c r="CQ1001" s="271"/>
      <c r="CR1001" s="271"/>
      <c r="CS1001" s="271">
        <v>800000000</v>
      </c>
      <c r="CT1001" s="271"/>
      <c r="CU1001" s="271"/>
      <c r="CV1001" s="271"/>
      <c r="CW1001" s="271"/>
      <c r="CX1001" s="271"/>
      <c r="CY1001" s="271"/>
      <c r="CZ1001" s="271"/>
      <c r="DA1001" s="271"/>
      <c r="DB1001" s="271"/>
      <c r="DC1001" s="271"/>
      <c r="DD1001" s="234">
        <f t="shared" si="507"/>
        <v>800000000</v>
      </c>
      <c r="DE1001" s="244">
        <f t="shared" si="510"/>
        <v>2508260890</v>
      </c>
    </row>
    <row r="1002" spans="1:109" s="99" customFormat="1" ht="119.1" customHeight="1">
      <c r="A1002" s="103" t="s">
        <v>1251</v>
      </c>
      <c r="B1002" s="279" t="s">
        <v>2051</v>
      </c>
      <c r="C1002" s="279" t="s">
        <v>2052</v>
      </c>
      <c r="D1002" s="279">
        <v>91</v>
      </c>
      <c r="E1002" s="279" t="s">
        <v>2089</v>
      </c>
      <c r="F1002" s="280" t="s">
        <v>477</v>
      </c>
      <c r="G1002" s="279" t="s">
        <v>2958</v>
      </c>
      <c r="H1002" s="279">
        <v>109</v>
      </c>
      <c r="I1002" s="279" t="s">
        <v>483</v>
      </c>
      <c r="J1002" s="279" t="s">
        <v>683</v>
      </c>
      <c r="K1002" s="279">
        <v>0</v>
      </c>
      <c r="L1002" s="279">
        <v>232</v>
      </c>
      <c r="M1002" s="279" t="s">
        <v>2103</v>
      </c>
      <c r="N1002" s="279" t="s">
        <v>2104</v>
      </c>
      <c r="O1002" s="279" t="s">
        <v>2105</v>
      </c>
      <c r="P1002" s="283">
        <v>879</v>
      </c>
      <c r="Q1002" s="279" t="s">
        <v>2963</v>
      </c>
      <c r="R1002" s="279" t="s">
        <v>2106</v>
      </c>
      <c r="S1002" s="279" t="s">
        <v>677</v>
      </c>
      <c r="T1002" s="279">
        <v>73.400000000000006</v>
      </c>
      <c r="U1002" s="267">
        <v>1.25</v>
      </c>
      <c r="V1002" s="267">
        <v>1.25</v>
      </c>
      <c r="W1002" s="224">
        <v>2.5</v>
      </c>
      <c r="X1002" s="267"/>
      <c r="Y1002" s="267">
        <v>1.25</v>
      </c>
      <c r="Z1002" s="267"/>
      <c r="AA1002" s="267">
        <v>1.25</v>
      </c>
      <c r="AB1002" s="224">
        <v>2.5</v>
      </c>
      <c r="AC1002" s="267"/>
      <c r="AD1002" s="267">
        <v>1.25</v>
      </c>
      <c r="AE1002" s="267"/>
      <c r="AF1002" s="267">
        <v>1.25</v>
      </c>
      <c r="AG1002" s="224">
        <v>2.5</v>
      </c>
      <c r="AH1002" s="267"/>
      <c r="AI1002" s="267">
        <v>1.25</v>
      </c>
      <c r="AJ1002" s="267"/>
      <c r="AK1002" s="267">
        <v>1.25</v>
      </c>
      <c r="AL1002" s="224">
        <v>2.5</v>
      </c>
      <c r="AM1002" s="104">
        <v>10</v>
      </c>
      <c r="AN1002" s="103" t="s">
        <v>685</v>
      </c>
      <c r="AO1002" s="103" t="s">
        <v>1212</v>
      </c>
      <c r="AP1002" s="103" t="s">
        <v>1229</v>
      </c>
      <c r="AQ1002" s="103" t="s">
        <v>1207</v>
      </c>
      <c r="AR1002" s="103" t="s">
        <v>943</v>
      </c>
      <c r="AS1002" s="271"/>
      <c r="AT1002" s="271"/>
      <c r="AU1002" s="271"/>
      <c r="AV1002" s="271"/>
      <c r="AW1002" s="271">
        <v>50000000</v>
      </c>
      <c r="AX1002" s="271"/>
      <c r="AY1002" s="271"/>
      <c r="AZ1002" s="271"/>
      <c r="BA1002" s="271"/>
      <c r="BB1002" s="271"/>
      <c r="BC1002" s="271"/>
      <c r="BD1002" s="271"/>
      <c r="BE1002" s="271"/>
      <c r="BF1002" s="271"/>
      <c r="BG1002" s="271"/>
      <c r="BH1002" s="235">
        <f t="shared" si="504"/>
        <v>50000000</v>
      </c>
      <c r="BI1002" s="271"/>
      <c r="BJ1002" s="271"/>
      <c r="BK1002" s="271"/>
      <c r="BL1002" s="271"/>
      <c r="BM1002" s="271">
        <v>300000000</v>
      </c>
      <c r="BN1002" s="271"/>
      <c r="BO1002" s="271"/>
      <c r="BP1002" s="271"/>
      <c r="BQ1002" s="271"/>
      <c r="BR1002" s="271"/>
      <c r="BS1002" s="271"/>
      <c r="BT1002" s="271"/>
      <c r="BU1002" s="271"/>
      <c r="BV1002" s="271"/>
      <c r="BW1002" s="271"/>
      <c r="BX1002" s="235">
        <f t="shared" si="505"/>
        <v>300000000</v>
      </c>
      <c r="BY1002" s="271"/>
      <c r="BZ1002" s="271"/>
      <c r="CA1002" s="271"/>
      <c r="CB1002" s="271"/>
      <c r="CC1002" s="271">
        <v>400000000</v>
      </c>
      <c r="CD1002" s="271"/>
      <c r="CE1002" s="271"/>
      <c r="CF1002" s="271"/>
      <c r="CG1002" s="271"/>
      <c r="CH1002" s="271"/>
      <c r="CI1002" s="271"/>
      <c r="CJ1002" s="271"/>
      <c r="CK1002" s="271"/>
      <c r="CL1002" s="271"/>
      <c r="CM1002" s="271"/>
      <c r="CN1002" s="235">
        <f t="shared" si="506"/>
        <v>400000000</v>
      </c>
      <c r="CO1002" s="271"/>
      <c r="CP1002" s="271"/>
      <c r="CQ1002" s="271"/>
      <c r="CR1002" s="271"/>
      <c r="CS1002" s="271">
        <v>550000000</v>
      </c>
      <c r="CT1002" s="271"/>
      <c r="CU1002" s="271"/>
      <c r="CV1002" s="271"/>
      <c r="CW1002" s="271"/>
      <c r="CX1002" s="271"/>
      <c r="CY1002" s="271"/>
      <c r="CZ1002" s="271"/>
      <c r="DA1002" s="271"/>
      <c r="DB1002" s="271"/>
      <c r="DC1002" s="271"/>
      <c r="DD1002" s="234">
        <f t="shared" si="507"/>
        <v>550000000</v>
      </c>
      <c r="DE1002" s="244">
        <f t="shared" si="510"/>
        <v>1300000000</v>
      </c>
    </row>
    <row r="1003" spans="1:109" s="99" customFormat="1" ht="119.1" customHeight="1">
      <c r="A1003" s="103" t="s">
        <v>1251</v>
      </c>
      <c r="B1003" s="279" t="s">
        <v>2051</v>
      </c>
      <c r="C1003" s="279" t="s">
        <v>2052</v>
      </c>
      <c r="D1003" s="279">
        <v>91</v>
      </c>
      <c r="E1003" s="279" t="s">
        <v>2089</v>
      </c>
      <c r="F1003" s="280" t="s">
        <v>477</v>
      </c>
      <c r="G1003" s="279" t="s">
        <v>2958</v>
      </c>
      <c r="H1003" s="279">
        <v>109</v>
      </c>
      <c r="I1003" s="279" t="s">
        <v>483</v>
      </c>
      <c r="J1003" s="279" t="s">
        <v>683</v>
      </c>
      <c r="K1003" s="279">
        <v>0</v>
      </c>
      <c r="L1003" s="279">
        <v>232</v>
      </c>
      <c r="M1003" s="279" t="s">
        <v>2107</v>
      </c>
      <c r="N1003" s="279" t="s">
        <v>493</v>
      </c>
      <c r="O1003" s="279" t="s">
        <v>2108</v>
      </c>
      <c r="P1003" s="283">
        <v>880</v>
      </c>
      <c r="Q1003" s="279" t="s">
        <v>2964</v>
      </c>
      <c r="R1003" s="279" t="s">
        <v>494</v>
      </c>
      <c r="S1003" s="279" t="s">
        <v>683</v>
      </c>
      <c r="T1003" s="279">
        <v>3</v>
      </c>
      <c r="U1003" s="267">
        <v>0.5</v>
      </c>
      <c r="V1003" s="267">
        <v>2.5</v>
      </c>
      <c r="W1003" s="224">
        <v>3</v>
      </c>
      <c r="X1003" s="267">
        <v>0.3</v>
      </c>
      <c r="Y1003" s="267">
        <v>0.3</v>
      </c>
      <c r="Z1003" s="267">
        <v>0.3</v>
      </c>
      <c r="AA1003" s="267">
        <v>2.1</v>
      </c>
      <c r="AB1003" s="224">
        <v>3</v>
      </c>
      <c r="AC1003" s="267">
        <v>0.3</v>
      </c>
      <c r="AD1003" s="267">
        <v>0.3</v>
      </c>
      <c r="AE1003" s="267">
        <v>0.3</v>
      </c>
      <c r="AF1003" s="267">
        <v>2.1</v>
      </c>
      <c r="AG1003" s="224">
        <v>3</v>
      </c>
      <c r="AH1003" s="267">
        <v>0.3</v>
      </c>
      <c r="AI1003" s="267">
        <v>0.3</v>
      </c>
      <c r="AJ1003" s="267">
        <v>0.3</v>
      </c>
      <c r="AK1003" s="267">
        <v>2.1</v>
      </c>
      <c r="AL1003" s="224">
        <v>3</v>
      </c>
      <c r="AM1003" s="104">
        <v>3</v>
      </c>
      <c r="AN1003" s="103" t="s">
        <v>686</v>
      </c>
      <c r="AO1003" s="103" t="s">
        <v>1212</v>
      </c>
      <c r="AP1003" s="103" t="s">
        <v>1229</v>
      </c>
      <c r="AQ1003" s="103" t="s">
        <v>1207</v>
      </c>
      <c r="AR1003" s="103" t="s">
        <v>943</v>
      </c>
      <c r="AS1003" s="271"/>
      <c r="AT1003" s="271"/>
      <c r="AU1003" s="271"/>
      <c r="AV1003" s="271"/>
      <c r="AW1003" s="271">
        <v>90000000</v>
      </c>
      <c r="AX1003" s="271"/>
      <c r="AY1003" s="271"/>
      <c r="AZ1003" s="271"/>
      <c r="BA1003" s="271"/>
      <c r="BB1003" s="271"/>
      <c r="BC1003" s="271"/>
      <c r="BD1003" s="271"/>
      <c r="BE1003" s="271"/>
      <c r="BF1003" s="271"/>
      <c r="BG1003" s="271"/>
      <c r="BH1003" s="235">
        <f t="shared" si="504"/>
        <v>90000000</v>
      </c>
      <c r="BI1003" s="271"/>
      <c r="BJ1003" s="271"/>
      <c r="BK1003" s="271"/>
      <c r="BL1003" s="271"/>
      <c r="BM1003" s="271">
        <v>78000000</v>
      </c>
      <c r="BN1003" s="271"/>
      <c r="BO1003" s="271"/>
      <c r="BP1003" s="271"/>
      <c r="BQ1003" s="271"/>
      <c r="BR1003" s="271"/>
      <c r="BS1003" s="271"/>
      <c r="BT1003" s="271"/>
      <c r="BU1003" s="271"/>
      <c r="BV1003" s="271"/>
      <c r="BW1003" s="271"/>
      <c r="BX1003" s="235">
        <f t="shared" si="505"/>
        <v>78000000</v>
      </c>
      <c r="BY1003" s="271"/>
      <c r="BZ1003" s="271"/>
      <c r="CA1003" s="271"/>
      <c r="CB1003" s="271"/>
      <c r="CC1003" s="271">
        <v>83500000</v>
      </c>
      <c r="CD1003" s="271"/>
      <c r="CE1003" s="271"/>
      <c r="CF1003" s="271"/>
      <c r="CG1003" s="271"/>
      <c r="CH1003" s="271"/>
      <c r="CI1003" s="271"/>
      <c r="CJ1003" s="271"/>
      <c r="CK1003" s="271"/>
      <c r="CL1003" s="271"/>
      <c r="CM1003" s="271"/>
      <c r="CN1003" s="235">
        <f t="shared" si="506"/>
        <v>83500000</v>
      </c>
      <c r="CO1003" s="271"/>
      <c r="CP1003" s="271"/>
      <c r="CQ1003" s="271"/>
      <c r="CR1003" s="271"/>
      <c r="CS1003" s="271">
        <v>43400000</v>
      </c>
      <c r="CT1003" s="271"/>
      <c r="CU1003" s="271"/>
      <c r="CV1003" s="271"/>
      <c r="CW1003" s="271"/>
      <c r="CX1003" s="271"/>
      <c r="CY1003" s="271"/>
      <c r="CZ1003" s="271"/>
      <c r="DA1003" s="271"/>
      <c r="DB1003" s="271"/>
      <c r="DC1003" s="271"/>
      <c r="DD1003" s="234">
        <f t="shared" si="507"/>
        <v>43400000</v>
      </c>
      <c r="DE1003" s="244">
        <f t="shared" si="510"/>
        <v>294900000</v>
      </c>
    </row>
    <row r="1004" spans="1:109" s="99" customFormat="1" ht="119.1" customHeight="1">
      <c r="A1004" s="103" t="s">
        <v>1251</v>
      </c>
      <c r="B1004" s="279" t="s">
        <v>2051</v>
      </c>
      <c r="C1004" s="279" t="s">
        <v>2052</v>
      </c>
      <c r="D1004" s="279">
        <v>91</v>
      </c>
      <c r="E1004" s="279" t="s">
        <v>2089</v>
      </c>
      <c r="F1004" s="280" t="s">
        <v>477</v>
      </c>
      <c r="G1004" s="279" t="s">
        <v>2958</v>
      </c>
      <c r="H1004" s="279">
        <v>109</v>
      </c>
      <c r="I1004" s="279" t="s">
        <v>483</v>
      </c>
      <c r="J1004" s="279" t="s">
        <v>683</v>
      </c>
      <c r="K1004" s="279">
        <v>0</v>
      </c>
      <c r="L1004" s="279">
        <v>232</v>
      </c>
      <c r="M1004" s="279" t="s">
        <v>2107</v>
      </c>
      <c r="N1004" s="279" t="s">
        <v>493</v>
      </c>
      <c r="O1004" s="279" t="s">
        <v>2108</v>
      </c>
      <c r="P1004" s="283">
        <v>881</v>
      </c>
      <c r="Q1004" s="279" t="s">
        <v>2965</v>
      </c>
      <c r="R1004" s="279" t="s">
        <v>494</v>
      </c>
      <c r="S1004" s="279" t="s">
        <v>683</v>
      </c>
      <c r="T1004" s="279">
        <v>3</v>
      </c>
      <c r="U1004" s="267">
        <v>0.6</v>
      </c>
      <c r="V1004" s="267">
        <v>0.4</v>
      </c>
      <c r="W1004" s="224">
        <v>1</v>
      </c>
      <c r="X1004" s="267">
        <v>0.3</v>
      </c>
      <c r="Y1004" s="267">
        <v>0.3</v>
      </c>
      <c r="Z1004" s="267">
        <v>0.3</v>
      </c>
      <c r="AA1004" s="267">
        <v>1.1000000000000001</v>
      </c>
      <c r="AB1004" s="224">
        <v>2</v>
      </c>
      <c r="AC1004" s="267">
        <v>0.1</v>
      </c>
      <c r="AD1004" s="267">
        <v>0.2</v>
      </c>
      <c r="AE1004" s="267">
        <v>0.2</v>
      </c>
      <c r="AF1004" s="267">
        <v>0.5</v>
      </c>
      <c r="AG1004" s="224">
        <v>1</v>
      </c>
      <c r="AH1004" s="267">
        <v>0.1</v>
      </c>
      <c r="AI1004" s="267">
        <v>0.2</v>
      </c>
      <c r="AJ1004" s="267">
        <v>0.2</v>
      </c>
      <c r="AK1004" s="267">
        <v>0.5</v>
      </c>
      <c r="AL1004" s="224">
        <v>1</v>
      </c>
      <c r="AM1004" s="104">
        <v>5</v>
      </c>
      <c r="AN1004" s="103" t="s">
        <v>685</v>
      </c>
      <c r="AO1004" s="103" t="s">
        <v>1212</v>
      </c>
      <c r="AP1004" s="103" t="s">
        <v>1229</v>
      </c>
      <c r="AQ1004" s="103" t="s">
        <v>1207</v>
      </c>
      <c r="AR1004" s="103" t="s">
        <v>943</v>
      </c>
      <c r="AS1004" s="271"/>
      <c r="AT1004" s="271"/>
      <c r="AU1004" s="271"/>
      <c r="AV1004" s="271"/>
      <c r="AW1004" s="271">
        <v>134000000</v>
      </c>
      <c r="AX1004" s="271"/>
      <c r="AY1004" s="271"/>
      <c r="AZ1004" s="271"/>
      <c r="BA1004" s="271"/>
      <c r="BB1004" s="271"/>
      <c r="BC1004" s="271"/>
      <c r="BD1004" s="271"/>
      <c r="BE1004" s="271"/>
      <c r="BF1004" s="271"/>
      <c r="BG1004" s="271"/>
      <c r="BH1004" s="235">
        <f t="shared" si="504"/>
        <v>134000000</v>
      </c>
      <c r="BI1004" s="271"/>
      <c r="BJ1004" s="271"/>
      <c r="BK1004" s="271"/>
      <c r="BL1004" s="271"/>
      <c r="BM1004" s="271">
        <v>176000000</v>
      </c>
      <c r="BN1004" s="271"/>
      <c r="BO1004" s="271"/>
      <c r="BP1004" s="271"/>
      <c r="BQ1004" s="271"/>
      <c r="BR1004" s="271"/>
      <c r="BS1004" s="271"/>
      <c r="BT1004" s="271"/>
      <c r="BU1004" s="271"/>
      <c r="BV1004" s="271"/>
      <c r="BW1004" s="271"/>
      <c r="BX1004" s="235">
        <f t="shared" si="505"/>
        <v>176000000</v>
      </c>
      <c r="BY1004" s="271"/>
      <c r="BZ1004" s="271"/>
      <c r="CA1004" s="271"/>
      <c r="CB1004" s="271"/>
      <c r="CC1004" s="271">
        <v>138000000</v>
      </c>
      <c r="CD1004" s="271"/>
      <c r="CE1004" s="271"/>
      <c r="CF1004" s="271"/>
      <c r="CG1004" s="271"/>
      <c r="CH1004" s="271"/>
      <c r="CI1004" s="271"/>
      <c r="CJ1004" s="271"/>
      <c r="CK1004" s="271"/>
      <c r="CL1004" s="271"/>
      <c r="CM1004" s="271"/>
      <c r="CN1004" s="235">
        <f t="shared" si="506"/>
        <v>138000000</v>
      </c>
      <c r="CO1004" s="271"/>
      <c r="CP1004" s="271"/>
      <c r="CQ1004" s="271"/>
      <c r="CR1004" s="271"/>
      <c r="CS1004" s="271">
        <v>130500000</v>
      </c>
      <c r="CT1004" s="271"/>
      <c r="CU1004" s="271"/>
      <c r="CV1004" s="271"/>
      <c r="CW1004" s="271"/>
      <c r="CX1004" s="271"/>
      <c r="CY1004" s="271"/>
      <c r="CZ1004" s="271"/>
      <c r="DA1004" s="271"/>
      <c r="DB1004" s="271"/>
      <c r="DC1004" s="271"/>
      <c r="DD1004" s="234">
        <f t="shared" si="507"/>
        <v>130500000</v>
      </c>
      <c r="DE1004" s="244">
        <f t="shared" si="510"/>
        <v>578500000</v>
      </c>
    </row>
    <row r="1005" spans="1:109" s="99" customFormat="1" ht="119.1" customHeight="1">
      <c r="A1005" s="103" t="s">
        <v>1251</v>
      </c>
      <c r="B1005" s="279" t="s">
        <v>2051</v>
      </c>
      <c r="C1005" s="279" t="s">
        <v>2052</v>
      </c>
      <c r="D1005" s="279">
        <v>91</v>
      </c>
      <c r="E1005" s="279" t="s">
        <v>2089</v>
      </c>
      <c r="F1005" s="280" t="s">
        <v>477</v>
      </c>
      <c r="G1005" s="279" t="s">
        <v>2958</v>
      </c>
      <c r="H1005" s="279">
        <v>109</v>
      </c>
      <c r="I1005" s="279" t="s">
        <v>483</v>
      </c>
      <c r="J1005" s="279" t="s">
        <v>683</v>
      </c>
      <c r="K1005" s="279">
        <v>0</v>
      </c>
      <c r="L1005" s="279">
        <v>232</v>
      </c>
      <c r="M1005" s="279" t="s">
        <v>2107</v>
      </c>
      <c r="N1005" s="279" t="s">
        <v>493</v>
      </c>
      <c r="O1005" s="279" t="s">
        <v>2108</v>
      </c>
      <c r="P1005" s="283">
        <v>882</v>
      </c>
      <c r="Q1005" s="279" t="s">
        <v>3245</v>
      </c>
      <c r="R1005" s="279" t="s">
        <v>2109</v>
      </c>
      <c r="S1005" s="279" t="s">
        <v>683</v>
      </c>
      <c r="T1005" s="279">
        <v>0</v>
      </c>
      <c r="U1005" s="267">
        <v>0.1</v>
      </c>
      <c r="V1005" s="267">
        <v>0.1</v>
      </c>
      <c r="W1005" s="224">
        <v>0.2</v>
      </c>
      <c r="X1005" s="267">
        <v>0.1</v>
      </c>
      <c r="Y1005" s="267">
        <v>0.1</v>
      </c>
      <c r="Z1005" s="267">
        <v>0.2</v>
      </c>
      <c r="AA1005" s="267">
        <v>0.2</v>
      </c>
      <c r="AB1005" s="224">
        <v>0.60000000000000009</v>
      </c>
      <c r="AC1005" s="267">
        <v>0.02</v>
      </c>
      <c r="AD1005" s="267">
        <v>0.02</v>
      </c>
      <c r="AE1005" s="267">
        <v>0.04</v>
      </c>
      <c r="AF1005" s="267">
        <v>0.02</v>
      </c>
      <c r="AG1005" s="224">
        <v>0.1</v>
      </c>
      <c r="AH1005" s="267">
        <v>0.02</v>
      </c>
      <c r="AI1005" s="267">
        <v>0.02</v>
      </c>
      <c r="AJ1005" s="267">
        <v>0.04</v>
      </c>
      <c r="AK1005" s="267">
        <v>0.02</v>
      </c>
      <c r="AL1005" s="224">
        <v>0.1</v>
      </c>
      <c r="AM1005" s="104">
        <v>1</v>
      </c>
      <c r="AN1005" s="103" t="s">
        <v>685</v>
      </c>
      <c r="AO1005" s="103" t="s">
        <v>1212</v>
      </c>
      <c r="AP1005" s="103" t="s">
        <v>1229</v>
      </c>
      <c r="AQ1005" s="103" t="s">
        <v>1207</v>
      </c>
      <c r="AR1005" s="103" t="s">
        <v>943</v>
      </c>
      <c r="AS1005" s="271"/>
      <c r="AT1005" s="271"/>
      <c r="AU1005" s="271"/>
      <c r="AV1005" s="271"/>
      <c r="AW1005" s="271">
        <v>50000000</v>
      </c>
      <c r="AX1005" s="271"/>
      <c r="AY1005" s="271"/>
      <c r="AZ1005" s="271"/>
      <c r="BA1005" s="271"/>
      <c r="BB1005" s="271"/>
      <c r="BC1005" s="271"/>
      <c r="BD1005" s="271"/>
      <c r="BE1005" s="271"/>
      <c r="BF1005" s="271"/>
      <c r="BG1005" s="271"/>
      <c r="BH1005" s="235">
        <f t="shared" si="504"/>
        <v>50000000</v>
      </c>
      <c r="BI1005" s="271"/>
      <c r="BJ1005" s="271"/>
      <c r="BK1005" s="271"/>
      <c r="BL1005" s="271"/>
      <c r="BM1005" s="271">
        <v>25200000</v>
      </c>
      <c r="BN1005" s="271"/>
      <c r="BO1005" s="271"/>
      <c r="BP1005" s="271"/>
      <c r="BQ1005" s="271"/>
      <c r="BR1005" s="271"/>
      <c r="BS1005" s="271"/>
      <c r="BT1005" s="271"/>
      <c r="BU1005" s="271"/>
      <c r="BV1005" s="271"/>
      <c r="BW1005" s="271"/>
      <c r="BX1005" s="235">
        <f t="shared" si="505"/>
        <v>25200000</v>
      </c>
      <c r="BY1005" s="271"/>
      <c r="BZ1005" s="271"/>
      <c r="CA1005" s="271"/>
      <c r="CB1005" s="271"/>
      <c r="CC1005" s="271">
        <v>27000000</v>
      </c>
      <c r="CD1005" s="271"/>
      <c r="CE1005" s="271"/>
      <c r="CF1005" s="271"/>
      <c r="CG1005" s="271"/>
      <c r="CH1005" s="271"/>
      <c r="CI1005" s="271"/>
      <c r="CJ1005" s="271"/>
      <c r="CK1005" s="271"/>
      <c r="CL1005" s="271"/>
      <c r="CM1005" s="271"/>
      <c r="CN1005" s="235">
        <f t="shared" si="506"/>
        <v>27000000</v>
      </c>
      <c r="CO1005" s="271"/>
      <c r="CP1005" s="271"/>
      <c r="CQ1005" s="271"/>
      <c r="CR1005" s="271"/>
      <c r="CS1005" s="271">
        <v>29000000</v>
      </c>
      <c r="CT1005" s="271"/>
      <c r="CU1005" s="271"/>
      <c r="CV1005" s="271"/>
      <c r="CW1005" s="271"/>
      <c r="CX1005" s="271"/>
      <c r="CY1005" s="271"/>
      <c r="CZ1005" s="271"/>
      <c r="DA1005" s="271"/>
      <c r="DB1005" s="271"/>
      <c r="DC1005" s="271"/>
      <c r="DD1005" s="234">
        <f t="shared" si="507"/>
        <v>29000000</v>
      </c>
      <c r="DE1005" s="244">
        <f t="shared" si="510"/>
        <v>131200000</v>
      </c>
    </row>
    <row r="1006" spans="1:109" s="99" customFormat="1" ht="119.1" customHeight="1">
      <c r="A1006" s="103" t="s">
        <v>1251</v>
      </c>
      <c r="B1006" s="279" t="s">
        <v>2051</v>
      </c>
      <c r="C1006" s="279" t="s">
        <v>2052</v>
      </c>
      <c r="D1006" s="279">
        <v>91</v>
      </c>
      <c r="E1006" s="279" t="s">
        <v>2089</v>
      </c>
      <c r="F1006" s="280" t="s">
        <v>477</v>
      </c>
      <c r="G1006" s="279" t="s">
        <v>2958</v>
      </c>
      <c r="H1006" s="279">
        <v>109</v>
      </c>
      <c r="I1006" s="279" t="s">
        <v>483</v>
      </c>
      <c r="J1006" s="279" t="s">
        <v>683</v>
      </c>
      <c r="K1006" s="279">
        <v>0</v>
      </c>
      <c r="L1006" s="279">
        <v>232</v>
      </c>
      <c r="M1006" s="279" t="s">
        <v>2107</v>
      </c>
      <c r="N1006" s="279" t="s">
        <v>493</v>
      </c>
      <c r="O1006" s="279" t="s">
        <v>2108</v>
      </c>
      <c r="P1006" s="283">
        <v>883</v>
      </c>
      <c r="Q1006" s="279" t="s">
        <v>2966</v>
      </c>
      <c r="R1006" s="279" t="s">
        <v>495</v>
      </c>
      <c r="S1006" s="279" t="s">
        <v>683</v>
      </c>
      <c r="T1006" s="279">
        <v>1</v>
      </c>
      <c r="U1006" s="267">
        <v>0.7</v>
      </c>
      <c r="V1006" s="267">
        <v>0.3</v>
      </c>
      <c r="W1006" s="224">
        <v>1</v>
      </c>
      <c r="X1006" s="267">
        <v>0.1</v>
      </c>
      <c r="Y1006" s="267">
        <v>0.2</v>
      </c>
      <c r="Z1006" s="267">
        <v>0.2</v>
      </c>
      <c r="AA1006" s="267">
        <v>0.5</v>
      </c>
      <c r="AB1006" s="224">
        <v>1</v>
      </c>
      <c r="AC1006" s="267">
        <v>0.1</v>
      </c>
      <c r="AD1006" s="267">
        <v>0.2</v>
      </c>
      <c r="AE1006" s="267">
        <v>0.2</v>
      </c>
      <c r="AF1006" s="267">
        <v>0.5</v>
      </c>
      <c r="AG1006" s="224">
        <v>1</v>
      </c>
      <c r="AH1006" s="267">
        <v>0.1</v>
      </c>
      <c r="AI1006" s="267">
        <v>0.2</v>
      </c>
      <c r="AJ1006" s="267">
        <v>0.2</v>
      </c>
      <c r="AK1006" s="267">
        <v>0.5</v>
      </c>
      <c r="AL1006" s="224">
        <v>1</v>
      </c>
      <c r="AM1006" s="104">
        <v>1</v>
      </c>
      <c r="AN1006" s="103" t="s">
        <v>686</v>
      </c>
      <c r="AO1006" s="103" t="s">
        <v>1212</v>
      </c>
      <c r="AP1006" s="103" t="s">
        <v>1229</v>
      </c>
      <c r="AQ1006" s="103" t="s">
        <v>1207</v>
      </c>
      <c r="AR1006" s="103" t="s">
        <v>943</v>
      </c>
      <c r="AS1006" s="271"/>
      <c r="AT1006" s="271"/>
      <c r="AU1006" s="271"/>
      <c r="AV1006" s="271"/>
      <c r="AW1006" s="271">
        <v>45000000</v>
      </c>
      <c r="AX1006" s="271"/>
      <c r="AY1006" s="271"/>
      <c r="AZ1006" s="271"/>
      <c r="BA1006" s="271"/>
      <c r="BB1006" s="271"/>
      <c r="BC1006" s="271"/>
      <c r="BD1006" s="271"/>
      <c r="BE1006" s="271"/>
      <c r="BF1006" s="271"/>
      <c r="BG1006" s="271"/>
      <c r="BH1006" s="235">
        <f t="shared" si="504"/>
        <v>45000000</v>
      </c>
      <c r="BI1006" s="271"/>
      <c r="BJ1006" s="271"/>
      <c r="BK1006" s="271"/>
      <c r="BL1006" s="271"/>
      <c r="BM1006" s="271">
        <v>48000000</v>
      </c>
      <c r="BN1006" s="271"/>
      <c r="BO1006" s="271"/>
      <c r="BP1006" s="271"/>
      <c r="BQ1006" s="271"/>
      <c r="BR1006" s="271"/>
      <c r="BS1006" s="271"/>
      <c r="BT1006" s="271"/>
      <c r="BU1006" s="271"/>
      <c r="BV1006" s="271"/>
      <c r="BW1006" s="271"/>
      <c r="BX1006" s="235">
        <f t="shared" si="505"/>
        <v>48000000</v>
      </c>
      <c r="BY1006" s="271"/>
      <c r="BZ1006" s="271"/>
      <c r="CA1006" s="271"/>
      <c r="CB1006" s="271"/>
      <c r="CC1006" s="271">
        <v>53000000</v>
      </c>
      <c r="CD1006" s="271"/>
      <c r="CE1006" s="271"/>
      <c r="CF1006" s="271"/>
      <c r="CG1006" s="271"/>
      <c r="CH1006" s="271"/>
      <c r="CI1006" s="271"/>
      <c r="CJ1006" s="271"/>
      <c r="CK1006" s="271"/>
      <c r="CL1006" s="271"/>
      <c r="CM1006" s="271"/>
      <c r="CN1006" s="235">
        <f t="shared" si="506"/>
        <v>53000000</v>
      </c>
      <c r="CO1006" s="271"/>
      <c r="CP1006" s="271"/>
      <c r="CQ1006" s="271"/>
      <c r="CR1006" s="271"/>
      <c r="CS1006" s="271">
        <v>57000000</v>
      </c>
      <c r="CT1006" s="271"/>
      <c r="CU1006" s="271"/>
      <c r="CV1006" s="271"/>
      <c r="CW1006" s="271"/>
      <c r="CX1006" s="271"/>
      <c r="CY1006" s="271"/>
      <c r="CZ1006" s="271"/>
      <c r="DA1006" s="271"/>
      <c r="DB1006" s="271"/>
      <c r="DC1006" s="271"/>
      <c r="DD1006" s="234">
        <f t="shared" si="507"/>
        <v>57000000</v>
      </c>
      <c r="DE1006" s="244">
        <f t="shared" si="510"/>
        <v>203000000</v>
      </c>
    </row>
    <row r="1007" spans="1:109" s="99" customFormat="1" ht="119.1" customHeight="1">
      <c r="A1007" s="120" t="s">
        <v>1251</v>
      </c>
      <c r="B1007" s="281" t="s">
        <v>2051</v>
      </c>
      <c r="C1007" s="281" t="s">
        <v>2052</v>
      </c>
      <c r="D1007" s="281">
        <v>91</v>
      </c>
      <c r="E1007" s="281" t="s">
        <v>2089</v>
      </c>
      <c r="F1007" s="282" t="s">
        <v>477</v>
      </c>
      <c r="G1007" s="281" t="s">
        <v>2958</v>
      </c>
      <c r="H1007" s="281">
        <v>109</v>
      </c>
      <c r="I1007" s="281" t="s">
        <v>483</v>
      </c>
      <c r="J1007" s="281" t="s">
        <v>683</v>
      </c>
      <c r="K1007" s="281">
        <v>0</v>
      </c>
      <c r="L1007" s="281">
        <v>232</v>
      </c>
      <c r="M1007" s="281" t="s">
        <v>2107</v>
      </c>
      <c r="N1007" s="281" t="s">
        <v>493</v>
      </c>
      <c r="O1007" s="281" t="s">
        <v>2108</v>
      </c>
      <c r="P1007" s="283">
        <v>884</v>
      </c>
      <c r="Q1007" s="281" t="s">
        <v>2967</v>
      </c>
      <c r="R1007" s="281" t="s">
        <v>495</v>
      </c>
      <c r="S1007" s="281" t="s">
        <v>683</v>
      </c>
      <c r="T1007" s="281">
        <v>1</v>
      </c>
      <c r="U1007" s="275">
        <v>0.4</v>
      </c>
      <c r="V1007" s="275">
        <v>0.6</v>
      </c>
      <c r="W1007" s="225">
        <v>1</v>
      </c>
      <c r="X1007" s="275">
        <v>0.2</v>
      </c>
      <c r="Y1007" s="275">
        <v>0.2</v>
      </c>
      <c r="Z1007" s="275">
        <v>0.4</v>
      </c>
      <c r="AA1007" s="275">
        <v>1.2</v>
      </c>
      <c r="AB1007" s="225">
        <v>2</v>
      </c>
      <c r="AC1007" s="275">
        <v>0.2</v>
      </c>
      <c r="AD1007" s="275">
        <v>0.2</v>
      </c>
      <c r="AE1007" s="275">
        <v>0.4</v>
      </c>
      <c r="AF1007" s="275">
        <v>1.2</v>
      </c>
      <c r="AG1007" s="225">
        <v>2</v>
      </c>
      <c r="AH1007" s="275">
        <v>0.2</v>
      </c>
      <c r="AI1007" s="275">
        <v>0.2</v>
      </c>
      <c r="AJ1007" s="275">
        <v>0.4</v>
      </c>
      <c r="AK1007" s="275">
        <v>1.2</v>
      </c>
      <c r="AL1007" s="225">
        <v>2</v>
      </c>
      <c r="AM1007" s="119">
        <v>7</v>
      </c>
      <c r="AN1007" s="120" t="s">
        <v>685</v>
      </c>
      <c r="AO1007" s="120" t="s">
        <v>1212</v>
      </c>
      <c r="AP1007" s="120" t="s">
        <v>1229</v>
      </c>
      <c r="AQ1007" s="120" t="s">
        <v>1207</v>
      </c>
      <c r="AR1007" s="120" t="s">
        <v>943</v>
      </c>
      <c r="AS1007" s="276"/>
      <c r="AT1007" s="276"/>
      <c r="AU1007" s="276"/>
      <c r="AV1007" s="276"/>
      <c r="AW1007" s="276">
        <v>139000000</v>
      </c>
      <c r="AX1007" s="276"/>
      <c r="AY1007" s="276"/>
      <c r="AZ1007" s="276"/>
      <c r="BA1007" s="276"/>
      <c r="BB1007" s="276"/>
      <c r="BC1007" s="276"/>
      <c r="BD1007" s="276"/>
      <c r="BE1007" s="276"/>
      <c r="BF1007" s="276"/>
      <c r="BG1007" s="276"/>
      <c r="BH1007" s="236">
        <f t="shared" si="504"/>
        <v>139000000</v>
      </c>
      <c r="BI1007" s="276"/>
      <c r="BJ1007" s="276"/>
      <c r="BK1007" s="276"/>
      <c r="BL1007" s="276"/>
      <c r="BM1007" s="276">
        <v>200000000.46461999</v>
      </c>
      <c r="BN1007" s="276"/>
      <c r="BO1007" s="276"/>
      <c r="BP1007" s="276"/>
      <c r="BQ1007" s="276"/>
      <c r="BR1007" s="276"/>
      <c r="BS1007" s="276"/>
      <c r="BT1007" s="276"/>
      <c r="BU1007" s="276"/>
      <c r="BV1007" s="276"/>
      <c r="BW1007" s="276"/>
      <c r="BX1007" s="236">
        <f t="shared" si="505"/>
        <v>200000000.46461999</v>
      </c>
      <c r="BY1007" s="276"/>
      <c r="BZ1007" s="276"/>
      <c r="CA1007" s="276"/>
      <c r="CB1007" s="276"/>
      <c r="CC1007" s="276">
        <v>178500000.10128999</v>
      </c>
      <c r="CD1007" s="276"/>
      <c r="CE1007" s="276"/>
      <c r="CF1007" s="276"/>
      <c r="CG1007" s="276"/>
      <c r="CH1007" s="276"/>
      <c r="CI1007" s="276"/>
      <c r="CJ1007" s="276"/>
      <c r="CK1007" s="276"/>
      <c r="CL1007" s="276"/>
      <c r="CM1007" s="276"/>
      <c r="CN1007" s="236">
        <f t="shared" si="506"/>
        <v>178500000.10128999</v>
      </c>
      <c r="CO1007" s="276"/>
      <c r="CP1007" s="276"/>
      <c r="CQ1007" s="276"/>
      <c r="CR1007" s="276"/>
      <c r="CS1007" s="276">
        <v>138500000</v>
      </c>
      <c r="CT1007" s="276"/>
      <c r="CU1007" s="276"/>
      <c r="CV1007" s="276"/>
      <c r="CW1007" s="276"/>
      <c r="CX1007" s="276"/>
      <c r="CY1007" s="276"/>
      <c r="CZ1007" s="276"/>
      <c r="DA1007" s="276"/>
      <c r="DB1007" s="276"/>
      <c r="DC1007" s="276"/>
      <c r="DD1007" s="240">
        <f t="shared" si="507"/>
        <v>138500000</v>
      </c>
      <c r="DE1007" s="245">
        <f t="shared" si="510"/>
        <v>656000000.56590998</v>
      </c>
    </row>
    <row r="1008" spans="1:109" s="46" customFormat="1" ht="65.099999999999994" customHeight="1">
      <c r="A1008" s="134" t="s">
        <v>1251</v>
      </c>
      <c r="B1008" s="134" t="s">
        <v>2051</v>
      </c>
      <c r="C1008" s="134" t="s">
        <v>2052</v>
      </c>
      <c r="D1008" s="134">
        <v>91</v>
      </c>
      <c r="E1008" s="134" t="s">
        <v>2089</v>
      </c>
      <c r="F1008" s="135"/>
      <c r="G1008" s="136"/>
      <c r="H1008" s="137"/>
      <c r="I1008" s="137"/>
      <c r="J1008" s="137"/>
      <c r="K1008" s="138"/>
      <c r="L1008" s="137"/>
      <c r="M1008" s="137"/>
      <c r="N1008" s="137"/>
      <c r="O1008" s="137"/>
      <c r="P1008" s="137"/>
      <c r="Q1008" s="136"/>
      <c r="R1008" s="139"/>
      <c r="S1008" s="137"/>
      <c r="T1008" s="137"/>
      <c r="U1008" s="140"/>
      <c r="V1008" s="140"/>
      <c r="W1008" s="138"/>
      <c r="X1008" s="140"/>
      <c r="Y1008" s="140"/>
      <c r="Z1008" s="140"/>
      <c r="AA1008" s="140"/>
      <c r="AB1008" s="138"/>
      <c r="AC1008" s="140"/>
      <c r="AD1008" s="140"/>
      <c r="AE1008" s="140"/>
      <c r="AF1008" s="140"/>
      <c r="AG1008" s="138"/>
      <c r="AH1008" s="140"/>
      <c r="AI1008" s="140"/>
      <c r="AJ1008" s="140"/>
      <c r="AK1008" s="140"/>
      <c r="AL1008" s="138"/>
      <c r="AM1008" s="141"/>
      <c r="AN1008" s="142"/>
      <c r="AO1008" s="142"/>
      <c r="AP1008" s="143"/>
      <c r="AQ1008" s="143"/>
      <c r="AR1008" s="144"/>
      <c r="AS1008" s="132">
        <f t="shared" ref="AS1008:BG1008" si="511">SUM(AS984:AS1007)</f>
        <v>0</v>
      </c>
      <c r="AT1008" s="132">
        <f t="shared" si="511"/>
        <v>0</v>
      </c>
      <c r="AU1008" s="132">
        <f t="shared" si="511"/>
        <v>0</v>
      </c>
      <c r="AV1008" s="132">
        <f t="shared" si="511"/>
        <v>0</v>
      </c>
      <c r="AW1008" s="132">
        <f t="shared" si="511"/>
        <v>4100000000</v>
      </c>
      <c r="AX1008" s="132">
        <f t="shared" si="511"/>
        <v>0</v>
      </c>
      <c r="AY1008" s="132">
        <f t="shared" si="511"/>
        <v>0</v>
      </c>
      <c r="AZ1008" s="132">
        <f t="shared" si="511"/>
        <v>0</v>
      </c>
      <c r="BA1008" s="132">
        <f t="shared" si="511"/>
        <v>0</v>
      </c>
      <c r="BB1008" s="132">
        <f t="shared" si="511"/>
        <v>0</v>
      </c>
      <c r="BC1008" s="132">
        <f t="shared" si="511"/>
        <v>0</v>
      </c>
      <c r="BD1008" s="132">
        <f t="shared" si="511"/>
        <v>0</v>
      </c>
      <c r="BE1008" s="132">
        <f t="shared" si="511"/>
        <v>0</v>
      </c>
      <c r="BF1008" s="132">
        <f t="shared" si="511"/>
        <v>0</v>
      </c>
      <c r="BG1008" s="132">
        <f t="shared" si="511"/>
        <v>0</v>
      </c>
      <c r="BH1008" s="133">
        <f>IF(OR(AND(BH984=0,W984&lt;&gt;0),AND(BH985=0,W985&lt;&gt;0),AND(BH986=0,W986&lt;&gt;0),AND(BH987=0,W987&lt;&gt;0),AND(BH988=0,W988&lt;&gt;0),AND(BH989=0,W989&lt;&gt;0),AND(BH991=0,W991&lt;&gt;0),AND(BH992=0,W992&lt;&gt;0),AND(BH993=0,W993&lt;&gt;0),AND(BH994=0,W994&lt;&gt;0),AND(BH995=0,W995&lt;&gt;0),AND(BH996=0,W996&lt;&gt;0),AND(BH997=0,W997&lt;&gt;0),AND(BH998=0,W998&lt;&gt;0),AND(BH999=0,W999&lt;&gt;0),AND(BH1000=0,W1000&lt;&gt;0),AND(BH1001=0,W1001&lt;&gt;0),AND(BH1002=0,W1002&lt;&gt;0),AND(BH1003=0,W1003&lt;&gt;0),AND(BH1004=0,W1004&lt;&gt;0),AND(BH1005=0,W1005&lt;&gt;0),AND(BH1006=0,W1006&lt;&gt;0),AND(BH1007=0,W1007&lt;&gt;0)),"NO DEBEN QUEDAR CELDAS EN ROJO",SUM(BH984:BH1007))</f>
        <v>4100000000</v>
      </c>
      <c r="BI1008" s="132">
        <f t="shared" ref="BI1008:BW1008" si="512">SUM(BI984:BI1007)</f>
        <v>0</v>
      </c>
      <c r="BJ1008" s="132">
        <f t="shared" si="512"/>
        <v>0</v>
      </c>
      <c r="BK1008" s="132">
        <f t="shared" si="512"/>
        <v>0</v>
      </c>
      <c r="BL1008" s="132">
        <f t="shared" si="512"/>
        <v>0</v>
      </c>
      <c r="BM1008" s="132">
        <f t="shared" si="512"/>
        <v>5035460890.4646196</v>
      </c>
      <c r="BN1008" s="132">
        <f t="shared" si="512"/>
        <v>0</v>
      </c>
      <c r="BO1008" s="132">
        <f t="shared" si="512"/>
        <v>0</v>
      </c>
      <c r="BP1008" s="132">
        <f t="shared" si="512"/>
        <v>0</v>
      </c>
      <c r="BQ1008" s="132">
        <f t="shared" si="512"/>
        <v>0</v>
      </c>
      <c r="BR1008" s="132">
        <f t="shared" si="512"/>
        <v>0</v>
      </c>
      <c r="BS1008" s="132">
        <f t="shared" si="512"/>
        <v>0</v>
      </c>
      <c r="BT1008" s="132">
        <f t="shared" si="512"/>
        <v>0</v>
      </c>
      <c r="BU1008" s="132">
        <f t="shared" si="512"/>
        <v>0</v>
      </c>
      <c r="BV1008" s="132">
        <f t="shared" si="512"/>
        <v>0</v>
      </c>
      <c r="BW1008" s="132">
        <f t="shared" si="512"/>
        <v>0</v>
      </c>
      <c r="BX1008" s="133">
        <f>IF(OR(AND(BX984=0,AB984&lt;&gt;0),AND(BX985=0,AB985&lt;&gt;0),AND(BX986=0,AB986&lt;&gt;0),AND(BX987=0,AB987&lt;&gt;0),AND(BX988=0,AB988&lt;&gt;0),AND(BX989=0,AB989&lt;&gt;0),AND(BX991=0,AB991&lt;&gt;0),AND(BX992=0,AB992&lt;&gt;0),AND(BX993=0,AB993&lt;&gt;0),AND(BX994=0,AB994&lt;&gt;0),AND(BX995=0,AB995&lt;&gt;0),AND(BX996=0,AB996&lt;&gt;0),AND(BX997=0,AB997&lt;&gt;0),AND(BX998=0,AB998&lt;&gt;0),AND(BX999=0,AB999&lt;&gt;0),AND(BX1000=0,AB1000&lt;&gt;0),AND(BX1001=0,AB1001&lt;&gt;0),AND(BX1002=0,AB1002&lt;&gt;0),AND(BX1003=0,AB1003&lt;&gt;0),AND(BX1004=0,AB1004&lt;&gt;0),AND(BX1005=0,AB1005&lt;&gt;0),AND(BX1006=0,AB1006&lt;&gt;0),AND(BX1007=0,AB1007&lt;&gt;0)),"NO DEBEN QUEDAR CELDAS EN ROJO",SUM(BX984:BX1007))</f>
        <v>5035460890.4646196</v>
      </c>
      <c r="BY1008" s="132">
        <f t="shared" ref="BY1008:CM1008" si="513">SUM(BY984:BY1007)</f>
        <v>0</v>
      </c>
      <c r="BZ1008" s="132">
        <f t="shared" si="513"/>
        <v>0</v>
      </c>
      <c r="CA1008" s="132">
        <f t="shared" si="513"/>
        <v>0</v>
      </c>
      <c r="CB1008" s="132">
        <f t="shared" si="513"/>
        <v>0</v>
      </c>
      <c r="CC1008" s="132">
        <f t="shared" si="513"/>
        <v>5956774736.1012897</v>
      </c>
      <c r="CD1008" s="132">
        <f t="shared" si="513"/>
        <v>0</v>
      </c>
      <c r="CE1008" s="132">
        <f t="shared" si="513"/>
        <v>0</v>
      </c>
      <c r="CF1008" s="132">
        <f t="shared" si="513"/>
        <v>0</v>
      </c>
      <c r="CG1008" s="132">
        <f t="shared" si="513"/>
        <v>0</v>
      </c>
      <c r="CH1008" s="132">
        <f t="shared" si="513"/>
        <v>0</v>
      </c>
      <c r="CI1008" s="132">
        <f t="shared" si="513"/>
        <v>0</v>
      </c>
      <c r="CJ1008" s="132">
        <f t="shared" si="513"/>
        <v>0</v>
      </c>
      <c r="CK1008" s="132">
        <f t="shared" si="513"/>
        <v>0</v>
      </c>
      <c r="CL1008" s="132">
        <f t="shared" si="513"/>
        <v>0</v>
      </c>
      <c r="CM1008" s="132">
        <f t="shared" si="513"/>
        <v>4000000000</v>
      </c>
      <c r="CN1008" s="133">
        <f>IF(OR(AND(CN984=0,AG984&lt;&gt;0),AND(CN985=0,AG985&lt;&gt;0),AND(CN986=0,AG986&lt;&gt;0),AND(CN987=0,AG987&lt;&gt;0),AND(CN988=0,AG988&lt;&gt;0),AND(CN989=0,AG989&lt;&gt;0),AND(CN991=0,AG991&lt;&gt;0),AND(CN992=0,AG992&lt;&gt;0),AND(CN993=0,AG993&lt;&gt;0),AND(CN994=0,AG994&lt;&gt;0),AND(CN995=0,AG995&lt;&gt;0),AND(CN996=0,AG996&lt;&gt;0),AND(CN997=0,AG997&lt;&gt;0),AND(CN998=0,AG998&lt;&gt;0),AND(CN999=0,AG999&lt;&gt;0),AND(CN1000=0,AG1000&lt;&gt;0),AND(CN1001=0,AG1001&lt;&gt;0),AND(CN1002=0,AG1002&lt;&gt;0),AND(CN1003=0,AG1003&lt;&gt;0),AND(CN1004=0,AG1004&lt;&gt;0),AND(CN1005=0,AG1005&lt;&gt;0),AND(CN1006=0,AG1006&lt;&gt;0),AND(CN1007=0,AG1007&lt;&gt;0)),"NO DEBEN QUEDAR CELDAS EN ROJO",SUM(CN984:CN1007))</f>
        <v>9956774736.1012897</v>
      </c>
      <c r="CO1008" s="132">
        <f t="shared" ref="CO1008:DC1008" si="514">SUM(CO984:CO1007)</f>
        <v>0</v>
      </c>
      <c r="CP1008" s="132">
        <f t="shared" si="514"/>
        <v>0</v>
      </c>
      <c r="CQ1008" s="132">
        <f t="shared" si="514"/>
        <v>0</v>
      </c>
      <c r="CR1008" s="132">
        <f t="shared" si="514"/>
        <v>0</v>
      </c>
      <c r="CS1008" s="132">
        <f t="shared" si="514"/>
        <v>6571571304.8744698</v>
      </c>
      <c r="CT1008" s="132">
        <f t="shared" si="514"/>
        <v>0</v>
      </c>
      <c r="CU1008" s="132">
        <f t="shared" si="514"/>
        <v>0</v>
      </c>
      <c r="CV1008" s="132">
        <f t="shared" si="514"/>
        <v>0</v>
      </c>
      <c r="CW1008" s="132">
        <f t="shared" si="514"/>
        <v>0</v>
      </c>
      <c r="CX1008" s="132">
        <f t="shared" si="514"/>
        <v>0</v>
      </c>
      <c r="CY1008" s="132">
        <f t="shared" si="514"/>
        <v>0</v>
      </c>
      <c r="CZ1008" s="132">
        <f t="shared" si="514"/>
        <v>0</v>
      </c>
      <c r="DA1008" s="132">
        <f t="shared" si="514"/>
        <v>0</v>
      </c>
      <c r="DB1008" s="132">
        <f t="shared" si="514"/>
        <v>0</v>
      </c>
      <c r="DC1008" s="132">
        <f t="shared" si="514"/>
        <v>0</v>
      </c>
      <c r="DD1008" s="133">
        <f>IF(OR(AND(DD984=0,AL984&lt;&gt;0),AND(DD985=0,AL985&lt;&gt;0),AND(DD986=0,AL986&lt;&gt;0),AND(DD987=0,AL987&lt;&gt;0),AND(DD988=0,AL988&lt;&gt;0),AND(DD989=0,AL989&lt;&gt;0),AND(DD991=0,AL991&lt;&gt;0),AND(DD992=0,AL992&lt;&gt;0),AND(DD993=0,AL993&lt;&gt;0),AND(DD994=0,AL994&lt;&gt;0),AND(DD995=0,AL995&lt;&gt;0),AND(DD996=0,AL996&lt;&gt;0),AND(DD997=0,AL997&lt;&gt;0),AND(DD998=0,AL998&lt;&gt;0),AND(DD999=0,AL999&lt;&gt;0),AND(DD1000=0,AL1000&lt;&gt;0),AND(DD1001=0,AL1001&lt;&gt;0),AND(DD1002=0,AL1002&lt;&gt;0),AND(DD1003=0,AL1003&lt;&gt;0),AND(DD1004=0,AL1004&lt;&gt;0),AND(DD1005=0,AL1005&lt;&gt;0),AND(DD1006=0,AL1006&lt;&gt;0),AND(DD1007=0,AL1007&lt;&gt;0)),"NO DEBEN QUEDAR CELDAS EN ROJO",SUM(DD984:DD1007))</f>
        <v>6571571304.8744698</v>
      </c>
      <c r="DE1008" s="133">
        <f>SUM(DE984:DE1007)</f>
        <v>25663806931.44038</v>
      </c>
    </row>
    <row r="1009" spans="1:110" s="98" customFormat="1" ht="119.1" customHeight="1">
      <c r="A1009" s="103" t="s">
        <v>1252</v>
      </c>
      <c r="B1009" s="103" t="s">
        <v>2051</v>
      </c>
      <c r="C1009" s="103" t="s">
        <v>2052</v>
      </c>
      <c r="D1009" s="103">
        <v>92</v>
      </c>
      <c r="E1009" s="103" t="s">
        <v>2110</v>
      </c>
      <c r="F1009" s="278" t="s">
        <v>496</v>
      </c>
      <c r="G1009" s="103" t="s">
        <v>3269</v>
      </c>
      <c r="H1009" s="103">
        <v>110</v>
      </c>
      <c r="I1009" s="103" t="s">
        <v>497</v>
      </c>
      <c r="J1009" s="103" t="s">
        <v>677</v>
      </c>
      <c r="K1009" s="103">
        <v>62</v>
      </c>
      <c r="L1009" s="103" t="s">
        <v>3784</v>
      </c>
      <c r="M1009" s="103" t="s">
        <v>2111</v>
      </c>
      <c r="N1009" s="103" t="s">
        <v>2112</v>
      </c>
      <c r="O1009" s="103" t="s">
        <v>2113</v>
      </c>
      <c r="P1009" s="283">
        <v>885</v>
      </c>
      <c r="Q1009" s="103" t="s">
        <v>3246</v>
      </c>
      <c r="R1009" s="103" t="s">
        <v>498</v>
      </c>
      <c r="S1009" s="103" t="s">
        <v>677</v>
      </c>
      <c r="T1009" s="103">
        <v>80</v>
      </c>
      <c r="U1009" s="267">
        <v>80</v>
      </c>
      <c r="V1009" s="267">
        <v>80</v>
      </c>
      <c r="W1009" s="224">
        <v>80</v>
      </c>
      <c r="X1009" s="267">
        <v>80</v>
      </c>
      <c r="Y1009" s="267">
        <v>80</v>
      </c>
      <c r="Z1009" s="267">
        <v>80</v>
      </c>
      <c r="AA1009" s="267">
        <v>80</v>
      </c>
      <c r="AB1009" s="224">
        <v>80</v>
      </c>
      <c r="AC1009" s="267">
        <v>80</v>
      </c>
      <c r="AD1009" s="267">
        <v>80</v>
      </c>
      <c r="AE1009" s="267">
        <v>80</v>
      </c>
      <c r="AF1009" s="267">
        <v>80</v>
      </c>
      <c r="AG1009" s="224">
        <v>80</v>
      </c>
      <c r="AH1009" s="267">
        <v>80</v>
      </c>
      <c r="AI1009" s="267">
        <v>80</v>
      </c>
      <c r="AJ1009" s="267">
        <v>80</v>
      </c>
      <c r="AK1009" s="267">
        <v>80</v>
      </c>
      <c r="AL1009" s="224">
        <v>80</v>
      </c>
      <c r="AM1009" s="102">
        <v>80</v>
      </c>
      <c r="AN1009" s="103" t="s">
        <v>686</v>
      </c>
      <c r="AO1009" s="103" t="s">
        <v>1212</v>
      </c>
      <c r="AP1009" s="103" t="s">
        <v>1229</v>
      </c>
      <c r="AQ1009" s="103" t="s">
        <v>1207</v>
      </c>
      <c r="AR1009" s="103" t="s">
        <v>951</v>
      </c>
      <c r="AS1009" s="268"/>
      <c r="AT1009" s="268"/>
      <c r="AU1009" s="268"/>
      <c r="AV1009" s="268"/>
      <c r="AW1009" s="268">
        <v>685000000</v>
      </c>
      <c r="AX1009" s="268"/>
      <c r="AY1009" s="268"/>
      <c r="AZ1009" s="268"/>
      <c r="BA1009" s="268"/>
      <c r="BB1009" s="268"/>
      <c r="BC1009" s="268"/>
      <c r="BD1009" s="268"/>
      <c r="BE1009" s="268"/>
      <c r="BF1009" s="268"/>
      <c r="BG1009" s="268"/>
      <c r="BH1009" s="234">
        <f t="shared" ref="BH1009:BH1014" si="515">IF(W1009=0,0,BG1009+BF1009+BE1009+BD1009+BC1009+BB1009+BA1009+AZ1009+AY1009+AX1009+AW1009+AV1009+AU1009+AT1009+AS1009)</f>
        <v>685000000</v>
      </c>
      <c r="BI1009" s="268"/>
      <c r="BJ1009" s="268"/>
      <c r="BK1009" s="268"/>
      <c r="BL1009" s="268"/>
      <c r="BM1009" s="268">
        <v>900000000</v>
      </c>
      <c r="BN1009" s="268"/>
      <c r="BO1009" s="268"/>
      <c r="BP1009" s="268"/>
      <c r="BQ1009" s="268"/>
      <c r="BR1009" s="268"/>
      <c r="BS1009" s="268"/>
      <c r="BT1009" s="268"/>
      <c r="BU1009" s="268"/>
      <c r="BV1009" s="268"/>
      <c r="BW1009" s="268"/>
      <c r="BX1009" s="234">
        <f t="shared" ref="BX1009:BX1014" si="516">IF(AB1009=0,0,BI1009+BJ1009+BK1009+BL1009+BM1009+BN1009+BO1009+BP1009+BQ1009+BR1009+BS1009+BT1009+BU1009+BV1009+BW1009)</f>
        <v>900000000</v>
      </c>
      <c r="BY1009" s="268"/>
      <c r="BZ1009" s="268"/>
      <c r="CA1009" s="268"/>
      <c r="CB1009" s="268"/>
      <c r="CC1009" s="268">
        <v>1000000000</v>
      </c>
      <c r="CD1009" s="268"/>
      <c r="CE1009" s="268"/>
      <c r="CF1009" s="268"/>
      <c r="CG1009" s="268"/>
      <c r="CH1009" s="268"/>
      <c r="CI1009" s="268"/>
      <c r="CJ1009" s="268"/>
      <c r="CK1009" s="268"/>
      <c r="CL1009" s="268"/>
      <c r="CM1009" s="268"/>
      <c r="CN1009" s="234">
        <f t="shared" ref="CN1009:CN1014" si="517">IF(AG1009=0,0,(BY1009+BZ1009+CA1009+CB1009+CC1009+CD1009+CE1009+CF1009+CG1009+CH1009+CI1009+CJ1009+CK1009+CL1009+CM1009))</f>
        <v>1000000000</v>
      </c>
      <c r="CO1009" s="268"/>
      <c r="CP1009" s="268"/>
      <c r="CQ1009" s="268"/>
      <c r="CR1009" s="268"/>
      <c r="CS1009" s="268">
        <v>1100000000</v>
      </c>
      <c r="CT1009" s="268"/>
      <c r="CU1009" s="268"/>
      <c r="CV1009" s="268"/>
      <c r="CW1009" s="268"/>
      <c r="CX1009" s="268"/>
      <c r="CY1009" s="268"/>
      <c r="CZ1009" s="268"/>
      <c r="DA1009" s="268"/>
      <c r="DB1009" s="268"/>
      <c r="DC1009" s="268"/>
      <c r="DD1009" s="234">
        <f t="shared" ref="DD1009:DD1014" si="518">IF(AL1009=0,0,(CO1009+CP1009+CQ1009+CR1009+CS1009+CT1009+CU1009+CV1009+CW1009+CX1009+CY1009+CZ1009+DA1009+DB1009+DC1009))</f>
        <v>1100000000</v>
      </c>
      <c r="DE1009" s="243">
        <f t="shared" ref="DE1009:DE1014" si="519">SUM(DD1009+CN1009+BX1009+BH1009)</f>
        <v>3685000000</v>
      </c>
    </row>
    <row r="1010" spans="1:110" s="98" customFormat="1" ht="119.1" customHeight="1">
      <c r="A1010" s="103" t="s">
        <v>1252</v>
      </c>
      <c r="B1010" s="279" t="s">
        <v>2051</v>
      </c>
      <c r="C1010" s="279" t="s">
        <v>2052</v>
      </c>
      <c r="D1010" s="279">
        <v>92</v>
      </c>
      <c r="E1010" s="279" t="s">
        <v>2110</v>
      </c>
      <c r="F1010" s="280" t="s">
        <v>496</v>
      </c>
      <c r="G1010" s="279" t="s">
        <v>3269</v>
      </c>
      <c r="H1010" s="279">
        <v>110</v>
      </c>
      <c r="I1010" s="279" t="s">
        <v>497</v>
      </c>
      <c r="J1010" s="279" t="s">
        <v>677</v>
      </c>
      <c r="K1010" s="279">
        <v>62</v>
      </c>
      <c r="L1010" s="279" t="s">
        <v>3784</v>
      </c>
      <c r="M1010" s="279" t="s">
        <v>2111</v>
      </c>
      <c r="N1010" s="279" t="s">
        <v>2112</v>
      </c>
      <c r="O1010" s="279" t="s">
        <v>2113</v>
      </c>
      <c r="P1010" s="283">
        <v>886</v>
      </c>
      <c r="Q1010" s="279" t="s">
        <v>3247</v>
      </c>
      <c r="R1010" s="279" t="s">
        <v>498</v>
      </c>
      <c r="S1010" s="279" t="s">
        <v>677</v>
      </c>
      <c r="T1010" s="279">
        <v>80</v>
      </c>
      <c r="U1010" s="267">
        <v>0.5</v>
      </c>
      <c r="V1010" s="267">
        <v>0.5</v>
      </c>
      <c r="W1010" s="224">
        <v>1</v>
      </c>
      <c r="X1010" s="267">
        <v>0.25</v>
      </c>
      <c r="Y1010" s="267">
        <v>0.25</v>
      </c>
      <c r="Z1010" s="267">
        <v>0.25</v>
      </c>
      <c r="AA1010" s="267">
        <v>0.25</v>
      </c>
      <c r="AB1010" s="224">
        <v>1</v>
      </c>
      <c r="AC1010" s="267">
        <v>0.25</v>
      </c>
      <c r="AD1010" s="267">
        <v>0.25</v>
      </c>
      <c r="AE1010" s="267">
        <v>0.25</v>
      </c>
      <c r="AF1010" s="267">
        <v>0.25</v>
      </c>
      <c r="AG1010" s="224">
        <v>1</v>
      </c>
      <c r="AH1010" s="267">
        <v>0.25</v>
      </c>
      <c r="AI1010" s="267">
        <v>0.25</v>
      </c>
      <c r="AJ1010" s="267">
        <v>0.25</v>
      </c>
      <c r="AK1010" s="267">
        <v>0.25</v>
      </c>
      <c r="AL1010" s="224">
        <v>1</v>
      </c>
      <c r="AM1010" s="104">
        <v>4</v>
      </c>
      <c r="AN1010" s="103" t="s">
        <v>685</v>
      </c>
      <c r="AO1010" s="103" t="s">
        <v>1212</v>
      </c>
      <c r="AP1010" s="103" t="s">
        <v>1229</v>
      </c>
      <c r="AQ1010" s="103" t="s">
        <v>1207</v>
      </c>
      <c r="AR1010" s="103" t="s">
        <v>951</v>
      </c>
      <c r="AS1010" s="271"/>
      <c r="AT1010" s="271"/>
      <c r="AU1010" s="271"/>
      <c r="AV1010" s="271"/>
      <c r="AW1010" s="271">
        <v>685000000</v>
      </c>
      <c r="AX1010" s="271"/>
      <c r="AY1010" s="271"/>
      <c r="AZ1010" s="271"/>
      <c r="BA1010" s="271"/>
      <c r="BB1010" s="271"/>
      <c r="BC1010" s="271"/>
      <c r="BD1010" s="271"/>
      <c r="BE1010" s="271"/>
      <c r="BF1010" s="271"/>
      <c r="BG1010" s="271"/>
      <c r="BH1010" s="235">
        <f t="shared" si="515"/>
        <v>685000000</v>
      </c>
      <c r="BI1010" s="271"/>
      <c r="BJ1010" s="271"/>
      <c r="BK1010" s="271"/>
      <c r="BL1010" s="271"/>
      <c r="BM1010" s="271">
        <v>900000000</v>
      </c>
      <c r="BN1010" s="271"/>
      <c r="BO1010" s="271"/>
      <c r="BP1010" s="271"/>
      <c r="BQ1010" s="271"/>
      <c r="BR1010" s="271"/>
      <c r="BS1010" s="271"/>
      <c r="BT1010" s="271"/>
      <c r="BU1010" s="271"/>
      <c r="BV1010" s="271"/>
      <c r="BW1010" s="271"/>
      <c r="BX1010" s="235">
        <f t="shared" si="516"/>
        <v>900000000</v>
      </c>
      <c r="BY1010" s="271"/>
      <c r="BZ1010" s="271"/>
      <c r="CA1010" s="271"/>
      <c r="CB1010" s="271"/>
      <c r="CC1010" s="271">
        <v>1000000000</v>
      </c>
      <c r="CD1010" s="271"/>
      <c r="CE1010" s="271"/>
      <c r="CF1010" s="271"/>
      <c r="CG1010" s="271"/>
      <c r="CH1010" s="271"/>
      <c r="CI1010" s="271"/>
      <c r="CJ1010" s="271"/>
      <c r="CK1010" s="271"/>
      <c r="CL1010" s="271"/>
      <c r="CM1010" s="271"/>
      <c r="CN1010" s="235">
        <f t="shared" si="517"/>
        <v>1000000000</v>
      </c>
      <c r="CO1010" s="271"/>
      <c r="CP1010" s="271"/>
      <c r="CQ1010" s="271"/>
      <c r="CR1010" s="271"/>
      <c r="CS1010" s="271">
        <v>1100000000</v>
      </c>
      <c r="CT1010" s="271"/>
      <c r="CU1010" s="271"/>
      <c r="CV1010" s="271"/>
      <c r="CW1010" s="271"/>
      <c r="CX1010" s="271"/>
      <c r="CY1010" s="271"/>
      <c r="CZ1010" s="271"/>
      <c r="DA1010" s="271"/>
      <c r="DB1010" s="271"/>
      <c r="DC1010" s="271"/>
      <c r="DD1010" s="234">
        <f t="shared" si="518"/>
        <v>1100000000</v>
      </c>
      <c r="DE1010" s="244">
        <f t="shared" si="519"/>
        <v>3685000000</v>
      </c>
    </row>
    <row r="1011" spans="1:110" s="98" customFormat="1" ht="119.1" customHeight="1">
      <c r="A1011" s="103" t="s">
        <v>1252</v>
      </c>
      <c r="B1011" s="279" t="s">
        <v>2051</v>
      </c>
      <c r="C1011" s="279" t="s">
        <v>2052</v>
      </c>
      <c r="D1011" s="279">
        <v>92</v>
      </c>
      <c r="E1011" s="279" t="s">
        <v>2110</v>
      </c>
      <c r="F1011" s="280" t="s">
        <v>496</v>
      </c>
      <c r="G1011" s="279" t="s">
        <v>3269</v>
      </c>
      <c r="H1011" s="279">
        <v>110</v>
      </c>
      <c r="I1011" s="279" t="s">
        <v>497</v>
      </c>
      <c r="J1011" s="279" t="s">
        <v>677</v>
      </c>
      <c r="K1011" s="279">
        <v>62</v>
      </c>
      <c r="L1011" s="279" t="s">
        <v>3784</v>
      </c>
      <c r="M1011" s="279" t="s">
        <v>2114</v>
      </c>
      <c r="N1011" s="279" t="s">
        <v>2115</v>
      </c>
      <c r="O1011" s="279" t="s">
        <v>499</v>
      </c>
      <c r="P1011" s="283">
        <v>887</v>
      </c>
      <c r="Q1011" s="279" t="s">
        <v>2908</v>
      </c>
      <c r="R1011" s="279" t="s">
        <v>500</v>
      </c>
      <c r="S1011" s="279" t="s">
        <v>677</v>
      </c>
      <c r="T1011" s="279">
        <v>75</v>
      </c>
      <c r="U1011" s="267">
        <v>75</v>
      </c>
      <c r="V1011" s="267">
        <v>75</v>
      </c>
      <c r="W1011" s="224">
        <v>75</v>
      </c>
      <c r="X1011" s="267">
        <v>75</v>
      </c>
      <c r="Y1011" s="267">
        <v>75</v>
      </c>
      <c r="Z1011" s="267">
        <v>75</v>
      </c>
      <c r="AA1011" s="267">
        <v>75</v>
      </c>
      <c r="AB1011" s="224">
        <v>75</v>
      </c>
      <c r="AC1011" s="267">
        <v>75</v>
      </c>
      <c r="AD1011" s="267">
        <v>75</v>
      </c>
      <c r="AE1011" s="267">
        <v>75</v>
      </c>
      <c r="AF1011" s="267">
        <v>75</v>
      </c>
      <c r="AG1011" s="224">
        <v>75</v>
      </c>
      <c r="AH1011" s="267">
        <v>75</v>
      </c>
      <c r="AI1011" s="267">
        <v>75</v>
      </c>
      <c r="AJ1011" s="267">
        <v>75</v>
      </c>
      <c r="AK1011" s="267">
        <v>75</v>
      </c>
      <c r="AL1011" s="224">
        <v>75</v>
      </c>
      <c r="AM1011" s="104">
        <v>75</v>
      </c>
      <c r="AN1011" s="103" t="s">
        <v>686</v>
      </c>
      <c r="AO1011" s="103" t="s">
        <v>1212</v>
      </c>
      <c r="AP1011" s="103" t="s">
        <v>1229</v>
      </c>
      <c r="AQ1011" s="103" t="s">
        <v>1207</v>
      </c>
      <c r="AR1011" s="103" t="s">
        <v>951</v>
      </c>
      <c r="AS1011" s="271"/>
      <c r="AT1011" s="271"/>
      <c r="AU1011" s="271"/>
      <c r="AV1011" s="271"/>
      <c r="AW1011" s="271">
        <v>1815000000</v>
      </c>
      <c r="AX1011" s="271"/>
      <c r="AY1011" s="271"/>
      <c r="AZ1011" s="271"/>
      <c r="BA1011" s="271"/>
      <c r="BB1011" s="271"/>
      <c r="BC1011" s="271"/>
      <c r="BD1011" s="271"/>
      <c r="BE1011" s="271"/>
      <c r="BF1011" s="271"/>
      <c r="BG1011" s="271"/>
      <c r="BH1011" s="235">
        <f t="shared" si="515"/>
        <v>1815000000</v>
      </c>
      <c r="BI1011" s="271"/>
      <c r="BJ1011" s="271"/>
      <c r="BK1011" s="271"/>
      <c r="BL1011" s="271"/>
      <c r="BM1011" s="271">
        <v>2332414326</v>
      </c>
      <c r="BN1011" s="271"/>
      <c r="BO1011" s="271"/>
      <c r="BP1011" s="271"/>
      <c r="BQ1011" s="271"/>
      <c r="BR1011" s="271"/>
      <c r="BS1011" s="271"/>
      <c r="BT1011" s="271"/>
      <c r="BU1011" s="271"/>
      <c r="BV1011" s="271"/>
      <c r="BW1011" s="271"/>
      <c r="BX1011" s="235">
        <f t="shared" si="516"/>
        <v>2332414326</v>
      </c>
      <c r="BY1011" s="271"/>
      <c r="BZ1011" s="271"/>
      <c r="CA1011" s="271"/>
      <c r="CB1011" s="271"/>
      <c r="CC1011" s="271">
        <v>2699225179.5</v>
      </c>
      <c r="CD1011" s="271"/>
      <c r="CE1011" s="271"/>
      <c r="CF1011" s="271"/>
      <c r="CG1011" s="271"/>
      <c r="CH1011" s="271"/>
      <c r="CI1011" s="271"/>
      <c r="CJ1011" s="271"/>
      <c r="CK1011" s="271"/>
      <c r="CL1011" s="271"/>
      <c r="CM1011" s="271"/>
      <c r="CN1011" s="235">
        <f t="shared" si="517"/>
        <v>2699225179.5</v>
      </c>
      <c r="CO1011" s="271"/>
      <c r="CP1011" s="271"/>
      <c r="CQ1011" s="271"/>
      <c r="CR1011" s="271"/>
      <c r="CS1011" s="271">
        <v>2929673425.5</v>
      </c>
      <c r="CT1011" s="271"/>
      <c r="CU1011" s="271"/>
      <c r="CV1011" s="271"/>
      <c r="CW1011" s="271"/>
      <c r="CX1011" s="271"/>
      <c r="CY1011" s="271"/>
      <c r="CZ1011" s="271"/>
      <c r="DA1011" s="271"/>
      <c r="DB1011" s="271"/>
      <c r="DC1011" s="271"/>
      <c r="DD1011" s="234">
        <f t="shared" si="518"/>
        <v>2929673425.5</v>
      </c>
      <c r="DE1011" s="244">
        <f t="shared" si="519"/>
        <v>9776312931</v>
      </c>
    </row>
    <row r="1012" spans="1:110" s="98" customFormat="1" ht="119.1" customHeight="1">
      <c r="A1012" s="103" t="s">
        <v>1252</v>
      </c>
      <c r="B1012" s="279" t="s">
        <v>2051</v>
      </c>
      <c r="C1012" s="279" t="s">
        <v>2052</v>
      </c>
      <c r="D1012" s="279">
        <v>92</v>
      </c>
      <c r="E1012" s="279" t="s">
        <v>2110</v>
      </c>
      <c r="F1012" s="280" t="s">
        <v>496</v>
      </c>
      <c r="G1012" s="279" t="s">
        <v>3269</v>
      </c>
      <c r="H1012" s="279">
        <v>110</v>
      </c>
      <c r="I1012" s="279" t="s">
        <v>497</v>
      </c>
      <c r="J1012" s="279" t="s">
        <v>677</v>
      </c>
      <c r="K1012" s="279">
        <v>62</v>
      </c>
      <c r="L1012" s="279" t="s">
        <v>3784</v>
      </c>
      <c r="M1012" s="279" t="s">
        <v>2114</v>
      </c>
      <c r="N1012" s="279" t="s">
        <v>2115</v>
      </c>
      <c r="O1012" s="279" t="s">
        <v>499</v>
      </c>
      <c r="P1012" s="283">
        <v>888</v>
      </c>
      <c r="Q1012" s="279" t="s">
        <v>2909</v>
      </c>
      <c r="R1012" s="279" t="s">
        <v>500</v>
      </c>
      <c r="S1012" s="279" t="s">
        <v>677</v>
      </c>
      <c r="T1012" s="279">
        <v>75</v>
      </c>
      <c r="U1012" s="267">
        <v>1</v>
      </c>
      <c r="V1012" s="267">
        <v>1</v>
      </c>
      <c r="W1012" s="224">
        <v>2</v>
      </c>
      <c r="X1012" s="267">
        <v>0.5</v>
      </c>
      <c r="Y1012" s="267">
        <v>0.5</v>
      </c>
      <c r="Z1012" s="267">
        <v>0.5</v>
      </c>
      <c r="AA1012" s="267">
        <v>0.5</v>
      </c>
      <c r="AB1012" s="224">
        <v>2</v>
      </c>
      <c r="AC1012" s="267">
        <v>0.5</v>
      </c>
      <c r="AD1012" s="267">
        <v>0.5</v>
      </c>
      <c r="AE1012" s="267">
        <v>0.5</v>
      </c>
      <c r="AF1012" s="267">
        <v>0.5</v>
      </c>
      <c r="AG1012" s="224">
        <v>2</v>
      </c>
      <c r="AH1012" s="267">
        <v>0.5</v>
      </c>
      <c r="AI1012" s="267">
        <v>0.5</v>
      </c>
      <c r="AJ1012" s="267">
        <v>0.5</v>
      </c>
      <c r="AK1012" s="267">
        <v>0.5</v>
      </c>
      <c r="AL1012" s="224">
        <v>2</v>
      </c>
      <c r="AM1012" s="104">
        <v>8</v>
      </c>
      <c r="AN1012" s="103" t="s">
        <v>685</v>
      </c>
      <c r="AO1012" s="103" t="s">
        <v>1212</v>
      </c>
      <c r="AP1012" s="103" t="s">
        <v>1229</v>
      </c>
      <c r="AQ1012" s="103" t="s">
        <v>1207</v>
      </c>
      <c r="AR1012" s="103" t="s">
        <v>951</v>
      </c>
      <c r="AS1012" s="271"/>
      <c r="AT1012" s="271"/>
      <c r="AU1012" s="271"/>
      <c r="AV1012" s="271"/>
      <c r="AW1012" s="271">
        <v>1815000000</v>
      </c>
      <c r="AX1012" s="271"/>
      <c r="AY1012" s="271"/>
      <c r="AZ1012" s="271"/>
      <c r="BA1012" s="271"/>
      <c r="BB1012" s="271"/>
      <c r="BC1012" s="271"/>
      <c r="BD1012" s="271"/>
      <c r="BE1012" s="271"/>
      <c r="BF1012" s="271"/>
      <c r="BG1012" s="271"/>
      <c r="BH1012" s="235">
        <f t="shared" si="515"/>
        <v>1815000000</v>
      </c>
      <c r="BI1012" s="271"/>
      <c r="BJ1012" s="271"/>
      <c r="BK1012" s="271"/>
      <c r="BL1012" s="271"/>
      <c r="BM1012" s="271">
        <v>2332414326</v>
      </c>
      <c r="BN1012" s="271"/>
      <c r="BO1012" s="271"/>
      <c r="BP1012" s="271"/>
      <c r="BQ1012" s="271"/>
      <c r="BR1012" s="271"/>
      <c r="BS1012" s="271"/>
      <c r="BT1012" s="271"/>
      <c r="BU1012" s="271"/>
      <c r="BV1012" s="271"/>
      <c r="BW1012" s="271"/>
      <c r="BX1012" s="235">
        <f t="shared" si="516"/>
        <v>2332414326</v>
      </c>
      <c r="BY1012" s="271"/>
      <c r="BZ1012" s="271"/>
      <c r="CA1012" s="271"/>
      <c r="CB1012" s="271"/>
      <c r="CC1012" s="271">
        <v>2699225179.5</v>
      </c>
      <c r="CD1012" s="271"/>
      <c r="CE1012" s="271"/>
      <c r="CF1012" s="271"/>
      <c r="CG1012" s="271"/>
      <c r="CH1012" s="271"/>
      <c r="CI1012" s="271"/>
      <c r="CJ1012" s="271"/>
      <c r="CK1012" s="271"/>
      <c r="CL1012" s="271"/>
      <c r="CM1012" s="271"/>
      <c r="CN1012" s="235">
        <f t="shared" si="517"/>
        <v>2699225179.5</v>
      </c>
      <c r="CO1012" s="271"/>
      <c r="CP1012" s="271"/>
      <c r="CQ1012" s="271"/>
      <c r="CR1012" s="271"/>
      <c r="CS1012" s="271">
        <v>2929673425.5</v>
      </c>
      <c r="CT1012" s="271"/>
      <c r="CU1012" s="271"/>
      <c r="CV1012" s="271"/>
      <c r="CW1012" s="271"/>
      <c r="CX1012" s="271"/>
      <c r="CY1012" s="271"/>
      <c r="CZ1012" s="271"/>
      <c r="DA1012" s="271"/>
      <c r="DB1012" s="271"/>
      <c r="DC1012" s="271"/>
      <c r="DD1012" s="234">
        <f t="shared" si="518"/>
        <v>2929673425.5</v>
      </c>
      <c r="DE1012" s="244">
        <f t="shared" si="519"/>
        <v>9776312931</v>
      </c>
    </row>
    <row r="1013" spans="1:110" s="98" customFormat="1" ht="119.1" customHeight="1">
      <c r="A1013" s="103" t="s">
        <v>1252</v>
      </c>
      <c r="B1013" s="279" t="s">
        <v>2051</v>
      </c>
      <c r="C1013" s="279" t="s">
        <v>2052</v>
      </c>
      <c r="D1013" s="279">
        <v>92</v>
      </c>
      <c r="E1013" s="279" t="s">
        <v>2110</v>
      </c>
      <c r="F1013" s="280" t="s">
        <v>496</v>
      </c>
      <c r="G1013" s="279" t="s">
        <v>3269</v>
      </c>
      <c r="H1013" s="279">
        <v>110</v>
      </c>
      <c r="I1013" s="279" t="s">
        <v>497</v>
      </c>
      <c r="J1013" s="279" t="s">
        <v>677</v>
      </c>
      <c r="K1013" s="279">
        <v>62</v>
      </c>
      <c r="L1013" s="279" t="s">
        <v>3784</v>
      </c>
      <c r="M1013" s="279" t="s">
        <v>2116</v>
      </c>
      <c r="N1013" s="279" t="s">
        <v>2117</v>
      </c>
      <c r="O1013" s="279" t="s">
        <v>2118</v>
      </c>
      <c r="P1013" s="283">
        <v>889</v>
      </c>
      <c r="Q1013" s="279" t="s">
        <v>3248</v>
      </c>
      <c r="R1013" s="279" t="s">
        <v>2119</v>
      </c>
      <c r="S1013" s="279" t="s">
        <v>677</v>
      </c>
      <c r="T1013" s="279">
        <v>35</v>
      </c>
      <c r="U1013" s="267">
        <v>35</v>
      </c>
      <c r="V1013" s="267">
        <v>35</v>
      </c>
      <c r="W1013" s="224">
        <v>35</v>
      </c>
      <c r="X1013" s="267">
        <v>35</v>
      </c>
      <c r="Y1013" s="267">
        <v>35</v>
      </c>
      <c r="Z1013" s="267">
        <v>35</v>
      </c>
      <c r="AA1013" s="267">
        <v>35</v>
      </c>
      <c r="AB1013" s="224">
        <v>35</v>
      </c>
      <c r="AC1013" s="267">
        <v>35</v>
      </c>
      <c r="AD1013" s="267">
        <v>35</v>
      </c>
      <c r="AE1013" s="267">
        <v>35</v>
      </c>
      <c r="AF1013" s="267">
        <v>35</v>
      </c>
      <c r="AG1013" s="224">
        <v>35</v>
      </c>
      <c r="AH1013" s="267">
        <v>35</v>
      </c>
      <c r="AI1013" s="267">
        <v>35</v>
      </c>
      <c r="AJ1013" s="267">
        <v>35</v>
      </c>
      <c r="AK1013" s="267">
        <v>35</v>
      </c>
      <c r="AL1013" s="224">
        <v>35</v>
      </c>
      <c r="AM1013" s="104">
        <v>35</v>
      </c>
      <c r="AN1013" s="103" t="s">
        <v>686</v>
      </c>
      <c r="AO1013" s="103" t="s">
        <v>1212</v>
      </c>
      <c r="AP1013" s="103" t="s">
        <v>1229</v>
      </c>
      <c r="AQ1013" s="103" t="s">
        <v>1207</v>
      </c>
      <c r="AR1013" s="103" t="s">
        <v>951</v>
      </c>
      <c r="AS1013" s="271"/>
      <c r="AT1013" s="271"/>
      <c r="AU1013" s="271"/>
      <c r="AV1013" s="271"/>
      <c r="AW1013" s="271">
        <v>200000000</v>
      </c>
      <c r="AX1013" s="271"/>
      <c r="AY1013" s="271"/>
      <c r="AZ1013" s="271"/>
      <c r="BA1013" s="271"/>
      <c r="BB1013" s="271"/>
      <c r="BC1013" s="271"/>
      <c r="BD1013" s="271"/>
      <c r="BE1013" s="271"/>
      <c r="BF1013" s="271"/>
      <c r="BG1013" s="271"/>
      <c r="BH1013" s="235">
        <f t="shared" si="515"/>
        <v>200000000</v>
      </c>
      <c r="BI1013" s="271"/>
      <c r="BJ1013" s="271"/>
      <c r="BK1013" s="271"/>
      <c r="BL1013" s="271"/>
      <c r="BM1013" s="271">
        <v>450000000</v>
      </c>
      <c r="BN1013" s="271"/>
      <c r="BO1013" s="271"/>
      <c r="BP1013" s="271"/>
      <c r="BQ1013" s="271"/>
      <c r="BR1013" s="271"/>
      <c r="BS1013" s="271"/>
      <c r="BT1013" s="271"/>
      <c r="BU1013" s="271"/>
      <c r="BV1013" s="271"/>
      <c r="BW1013" s="271"/>
      <c r="BX1013" s="235">
        <f t="shared" si="516"/>
        <v>450000000</v>
      </c>
      <c r="BY1013" s="271"/>
      <c r="BZ1013" s="271"/>
      <c r="CA1013" s="271"/>
      <c r="CB1013" s="271"/>
      <c r="CC1013" s="271">
        <v>460000000</v>
      </c>
      <c r="CD1013" s="271"/>
      <c r="CE1013" s="271"/>
      <c r="CF1013" s="271"/>
      <c r="CG1013" s="271"/>
      <c r="CH1013" s="271"/>
      <c r="CI1013" s="271"/>
      <c r="CJ1013" s="271"/>
      <c r="CK1013" s="271"/>
      <c r="CL1013" s="271"/>
      <c r="CM1013" s="271"/>
      <c r="CN1013" s="235">
        <f t="shared" si="517"/>
        <v>460000000</v>
      </c>
      <c r="CO1013" s="271"/>
      <c r="CP1013" s="271"/>
      <c r="CQ1013" s="271"/>
      <c r="CR1013" s="271"/>
      <c r="CS1013" s="271">
        <v>475000000</v>
      </c>
      <c r="CT1013" s="271"/>
      <c r="CU1013" s="271"/>
      <c r="CV1013" s="271"/>
      <c r="CW1013" s="271"/>
      <c r="CX1013" s="271"/>
      <c r="CY1013" s="271"/>
      <c r="CZ1013" s="271"/>
      <c r="DA1013" s="271"/>
      <c r="DB1013" s="271"/>
      <c r="DC1013" s="271"/>
      <c r="DD1013" s="234">
        <f t="shared" si="518"/>
        <v>475000000</v>
      </c>
      <c r="DE1013" s="244">
        <f t="shared" si="519"/>
        <v>1585000000</v>
      </c>
    </row>
    <row r="1014" spans="1:110" s="98" customFormat="1" ht="119.1" customHeight="1">
      <c r="A1014" s="120" t="s">
        <v>1252</v>
      </c>
      <c r="B1014" s="281" t="s">
        <v>2051</v>
      </c>
      <c r="C1014" s="281" t="s">
        <v>2052</v>
      </c>
      <c r="D1014" s="281">
        <v>92</v>
      </c>
      <c r="E1014" s="281" t="s">
        <v>2110</v>
      </c>
      <c r="F1014" s="282" t="s">
        <v>496</v>
      </c>
      <c r="G1014" s="281" t="s">
        <v>3269</v>
      </c>
      <c r="H1014" s="281">
        <v>110</v>
      </c>
      <c r="I1014" s="281" t="s">
        <v>497</v>
      </c>
      <c r="J1014" s="281" t="s">
        <v>677</v>
      </c>
      <c r="K1014" s="281">
        <v>62</v>
      </c>
      <c r="L1014" s="281" t="s">
        <v>3784</v>
      </c>
      <c r="M1014" s="281" t="s">
        <v>2116</v>
      </c>
      <c r="N1014" s="281" t="s">
        <v>2117</v>
      </c>
      <c r="O1014" s="281" t="s">
        <v>2118</v>
      </c>
      <c r="P1014" s="283">
        <v>890</v>
      </c>
      <c r="Q1014" s="281" t="s">
        <v>3249</v>
      </c>
      <c r="R1014" s="281" t="s">
        <v>2119</v>
      </c>
      <c r="S1014" s="281" t="s">
        <v>677</v>
      </c>
      <c r="T1014" s="281">
        <v>35</v>
      </c>
      <c r="U1014" s="275">
        <v>6</v>
      </c>
      <c r="V1014" s="275">
        <v>6.5</v>
      </c>
      <c r="W1014" s="225">
        <v>12.5</v>
      </c>
      <c r="X1014" s="275">
        <v>3.125</v>
      </c>
      <c r="Y1014" s="275">
        <v>3.125</v>
      </c>
      <c r="Z1014" s="275">
        <v>3.125</v>
      </c>
      <c r="AA1014" s="275">
        <v>3.125</v>
      </c>
      <c r="AB1014" s="225">
        <v>12.5</v>
      </c>
      <c r="AC1014" s="275">
        <v>3.125</v>
      </c>
      <c r="AD1014" s="275">
        <v>3.125</v>
      </c>
      <c r="AE1014" s="275">
        <v>3.125</v>
      </c>
      <c r="AF1014" s="275">
        <v>3.125</v>
      </c>
      <c r="AG1014" s="225">
        <v>12.5</v>
      </c>
      <c r="AH1014" s="275">
        <v>3.125</v>
      </c>
      <c r="AI1014" s="275">
        <v>3.125</v>
      </c>
      <c r="AJ1014" s="275">
        <v>3.125</v>
      </c>
      <c r="AK1014" s="275">
        <v>3.125</v>
      </c>
      <c r="AL1014" s="225">
        <v>12.5</v>
      </c>
      <c r="AM1014" s="119">
        <v>50</v>
      </c>
      <c r="AN1014" s="120" t="s">
        <v>685</v>
      </c>
      <c r="AO1014" s="120" t="s">
        <v>1212</v>
      </c>
      <c r="AP1014" s="120" t="s">
        <v>1229</v>
      </c>
      <c r="AQ1014" s="120" t="s">
        <v>1207</v>
      </c>
      <c r="AR1014" s="120" t="s">
        <v>951</v>
      </c>
      <c r="AS1014" s="276"/>
      <c r="AT1014" s="276"/>
      <c r="AU1014" s="276"/>
      <c r="AV1014" s="276"/>
      <c r="AW1014" s="276">
        <v>200000000</v>
      </c>
      <c r="AX1014" s="276"/>
      <c r="AY1014" s="276"/>
      <c r="AZ1014" s="276"/>
      <c r="BA1014" s="276"/>
      <c r="BB1014" s="276"/>
      <c r="BC1014" s="276"/>
      <c r="BD1014" s="276"/>
      <c r="BE1014" s="276"/>
      <c r="BF1014" s="276"/>
      <c r="BG1014" s="276"/>
      <c r="BH1014" s="236">
        <f t="shared" si="515"/>
        <v>200000000</v>
      </c>
      <c r="BI1014" s="276"/>
      <c r="BJ1014" s="276"/>
      <c r="BK1014" s="276"/>
      <c r="BL1014" s="276"/>
      <c r="BM1014" s="276">
        <v>450000000</v>
      </c>
      <c r="BN1014" s="276"/>
      <c r="BO1014" s="276"/>
      <c r="BP1014" s="276"/>
      <c r="BQ1014" s="276"/>
      <c r="BR1014" s="276"/>
      <c r="BS1014" s="276"/>
      <c r="BT1014" s="276"/>
      <c r="BU1014" s="276"/>
      <c r="BV1014" s="276"/>
      <c r="BW1014" s="276"/>
      <c r="BX1014" s="236">
        <f t="shared" si="516"/>
        <v>450000000</v>
      </c>
      <c r="BY1014" s="276"/>
      <c r="BZ1014" s="276"/>
      <c r="CA1014" s="276"/>
      <c r="CB1014" s="276"/>
      <c r="CC1014" s="276">
        <v>460000000</v>
      </c>
      <c r="CD1014" s="276"/>
      <c r="CE1014" s="276"/>
      <c r="CF1014" s="276"/>
      <c r="CG1014" s="276"/>
      <c r="CH1014" s="276"/>
      <c r="CI1014" s="276"/>
      <c r="CJ1014" s="276"/>
      <c r="CK1014" s="276"/>
      <c r="CL1014" s="276"/>
      <c r="CM1014" s="276"/>
      <c r="CN1014" s="236">
        <f t="shared" si="517"/>
        <v>460000000</v>
      </c>
      <c r="CO1014" s="276"/>
      <c r="CP1014" s="276"/>
      <c r="CQ1014" s="276"/>
      <c r="CR1014" s="276"/>
      <c r="CS1014" s="276">
        <v>475000000</v>
      </c>
      <c r="CT1014" s="276"/>
      <c r="CU1014" s="276"/>
      <c r="CV1014" s="276"/>
      <c r="CW1014" s="276"/>
      <c r="CX1014" s="276"/>
      <c r="CY1014" s="276"/>
      <c r="CZ1014" s="276"/>
      <c r="DA1014" s="276"/>
      <c r="DB1014" s="276"/>
      <c r="DC1014" s="276"/>
      <c r="DD1014" s="240">
        <f t="shared" si="518"/>
        <v>475000000</v>
      </c>
      <c r="DE1014" s="245">
        <f t="shared" si="519"/>
        <v>1585000000</v>
      </c>
    </row>
    <row r="1015" spans="1:110" ht="65.099999999999994" customHeight="1">
      <c r="A1015" s="134" t="s">
        <v>1252</v>
      </c>
      <c r="B1015" s="134" t="s">
        <v>2051</v>
      </c>
      <c r="C1015" s="134" t="s">
        <v>2052</v>
      </c>
      <c r="D1015" s="134">
        <v>92</v>
      </c>
      <c r="E1015" s="134" t="s">
        <v>2110</v>
      </c>
      <c r="F1015" s="135"/>
      <c r="G1015" s="136"/>
      <c r="H1015" s="137"/>
      <c r="I1015" s="137"/>
      <c r="J1015" s="137"/>
      <c r="K1015" s="138"/>
      <c r="L1015" s="137"/>
      <c r="M1015" s="137"/>
      <c r="N1015" s="137"/>
      <c r="O1015" s="137"/>
      <c r="P1015" s="137"/>
      <c r="Q1015" s="136"/>
      <c r="R1015" s="139"/>
      <c r="S1015" s="137"/>
      <c r="T1015" s="137"/>
      <c r="U1015" s="140"/>
      <c r="V1015" s="140"/>
      <c r="W1015" s="138"/>
      <c r="X1015" s="140"/>
      <c r="Y1015" s="140"/>
      <c r="Z1015" s="140"/>
      <c r="AA1015" s="140"/>
      <c r="AB1015" s="138"/>
      <c r="AC1015" s="140"/>
      <c r="AD1015" s="140"/>
      <c r="AE1015" s="140"/>
      <c r="AF1015" s="140"/>
      <c r="AG1015" s="138"/>
      <c r="AH1015" s="140"/>
      <c r="AI1015" s="140"/>
      <c r="AJ1015" s="140"/>
      <c r="AK1015" s="140"/>
      <c r="AL1015" s="138"/>
      <c r="AM1015" s="141"/>
      <c r="AN1015" s="142"/>
      <c r="AO1015" s="142"/>
      <c r="AP1015" s="143"/>
      <c r="AQ1015" s="143"/>
      <c r="AR1015" s="144"/>
      <c r="AS1015" s="132">
        <f>SUM(AS1009:AS1014)</f>
        <v>0</v>
      </c>
      <c r="AT1015" s="132">
        <f t="shared" ref="AT1015:DE1015" si="520">SUM(AT1009:AT1014)</f>
        <v>0</v>
      </c>
      <c r="AU1015" s="132">
        <f t="shared" si="520"/>
        <v>0</v>
      </c>
      <c r="AV1015" s="132">
        <f t="shared" si="520"/>
        <v>0</v>
      </c>
      <c r="AW1015" s="132">
        <f t="shared" si="520"/>
        <v>5400000000</v>
      </c>
      <c r="AX1015" s="132">
        <f t="shared" si="520"/>
        <v>0</v>
      </c>
      <c r="AY1015" s="132">
        <f t="shared" si="520"/>
        <v>0</v>
      </c>
      <c r="AZ1015" s="132">
        <f t="shared" si="520"/>
        <v>0</v>
      </c>
      <c r="BA1015" s="132">
        <f t="shared" si="520"/>
        <v>0</v>
      </c>
      <c r="BB1015" s="132">
        <f t="shared" si="520"/>
        <v>0</v>
      </c>
      <c r="BC1015" s="132">
        <f t="shared" si="520"/>
        <v>0</v>
      </c>
      <c r="BD1015" s="132">
        <f t="shared" si="520"/>
        <v>0</v>
      </c>
      <c r="BE1015" s="132">
        <f t="shared" si="520"/>
        <v>0</v>
      </c>
      <c r="BF1015" s="132">
        <f t="shared" si="520"/>
        <v>0</v>
      </c>
      <c r="BG1015" s="132">
        <f t="shared" si="520"/>
        <v>0</v>
      </c>
      <c r="BH1015" s="133">
        <f>IF(OR(AND(BH1009=0,W1009&lt;&gt;0),AND(BH1010=0,W1010&lt;&gt;0),AND(BH1011=0,W1011&lt;&gt;0),AND(BH1012=0,W1012&lt;&gt;0),AND(BH1013=0,W1013&lt;&gt;0),AND(BH1014=0,W1014&lt;&gt;0)),"NO DEBEN QUEDAR CELDAS EN ROJO",SUM(BH1009:BH1014))</f>
        <v>5400000000</v>
      </c>
      <c r="BI1015" s="132">
        <f t="shared" si="520"/>
        <v>0</v>
      </c>
      <c r="BJ1015" s="132">
        <f t="shared" si="520"/>
        <v>0</v>
      </c>
      <c r="BK1015" s="132">
        <f t="shared" si="520"/>
        <v>0</v>
      </c>
      <c r="BL1015" s="132">
        <f t="shared" si="520"/>
        <v>0</v>
      </c>
      <c r="BM1015" s="132">
        <f t="shared" si="520"/>
        <v>7364828652</v>
      </c>
      <c r="BN1015" s="132">
        <f t="shared" si="520"/>
        <v>0</v>
      </c>
      <c r="BO1015" s="132">
        <f t="shared" si="520"/>
        <v>0</v>
      </c>
      <c r="BP1015" s="132">
        <f t="shared" si="520"/>
        <v>0</v>
      </c>
      <c r="BQ1015" s="132">
        <f t="shared" si="520"/>
        <v>0</v>
      </c>
      <c r="BR1015" s="132">
        <f t="shared" si="520"/>
        <v>0</v>
      </c>
      <c r="BS1015" s="132">
        <f t="shared" si="520"/>
        <v>0</v>
      </c>
      <c r="BT1015" s="132">
        <f t="shared" si="520"/>
        <v>0</v>
      </c>
      <c r="BU1015" s="132">
        <f t="shared" si="520"/>
        <v>0</v>
      </c>
      <c r="BV1015" s="132">
        <f t="shared" si="520"/>
        <v>0</v>
      </c>
      <c r="BW1015" s="132">
        <f t="shared" si="520"/>
        <v>0</v>
      </c>
      <c r="BX1015" s="133">
        <f>IF(OR(AND(BX1009=0,AB1009&lt;&gt;0),AND(BX1010=0,AB1010&lt;&gt;0),AND(BX1011=0,AB1011&lt;&gt;0),AND(BX1012=0,AB1012&lt;&gt;0),AND(BX1013=0,AB1013&lt;&gt;0),AND(BX1014=0,AB1014&lt;&gt;0)),"NO DEBEN QUEDAR CELDAS EN ROJO",SUM(BX1009:BX1014))</f>
        <v>7364828652</v>
      </c>
      <c r="BY1015" s="132">
        <f t="shared" si="520"/>
        <v>0</v>
      </c>
      <c r="BZ1015" s="132">
        <f t="shared" si="520"/>
        <v>0</v>
      </c>
      <c r="CA1015" s="132">
        <f t="shared" si="520"/>
        <v>0</v>
      </c>
      <c r="CB1015" s="132">
        <f t="shared" si="520"/>
        <v>0</v>
      </c>
      <c r="CC1015" s="132">
        <f t="shared" si="520"/>
        <v>8318450359</v>
      </c>
      <c r="CD1015" s="132">
        <f t="shared" si="520"/>
        <v>0</v>
      </c>
      <c r="CE1015" s="132">
        <f t="shared" si="520"/>
        <v>0</v>
      </c>
      <c r="CF1015" s="132">
        <f t="shared" si="520"/>
        <v>0</v>
      </c>
      <c r="CG1015" s="132">
        <f t="shared" si="520"/>
        <v>0</v>
      </c>
      <c r="CH1015" s="132">
        <f t="shared" si="520"/>
        <v>0</v>
      </c>
      <c r="CI1015" s="132">
        <f t="shared" si="520"/>
        <v>0</v>
      </c>
      <c r="CJ1015" s="132">
        <f t="shared" si="520"/>
        <v>0</v>
      </c>
      <c r="CK1015" s="132">
        <f t="shared" si="520"/>
        <v>0</v>
      </c>
      <c r="CL1015" s="132">
        <f t="shared" si="520"/>
        <v>0</v>
      </c>
      <c r="CM1015" s="132">
        <f t="shared" si="520"/>
        <v>0</v>
      </c>
      <c r="CN1015" s="133">
        <f>IF(OR(AND(CN1009=0,AG1009&lt;&gt;0),AND(CN1010=0,AG1010&lt;&gt;0),AND(CN1011=0,AG1011&lt;&gt;0),AND(CN1012=0,AG1012&lt;&gt;0),AND(CN1013=0,AG1013&lt;&gt;0),AND(CN1014=0,AG1014&lt;&gt;0)),"NO DEBEN QUEDAR CELDAS EN ROJO",SUM(CN1009:CN1014))</f>
        <v>8318450359</v>
      </c>
      <c r="CO1015" s="132">
        <f t="shared" si="520"/>
        <v>0</v>
      </c>
      <c r="CP1015" s="132">
        <f t="shared" si="520"/>
        <v>0</v>
      </c>
      <c r="CQ1015" s="132">
        <f t="shared" si="520"/>
        <v>0</v>
      </c>
      <c r="CR1015" s="132">
        <f t="shared" si="520"/>
        <v>0</v>
      </c>
      <c r="CS1015" s="132">
        <f t="shared" si="520"/>
        <v>9009346851</v>
      </c>
      <c r="CT1015" s="132">
        <f t="shared" si="520"/>
        <v>0</v>
      </c>
      <c r="CU1015" s="132">
        <f t="shared" si="520"/>
        <v>0</v>
      </c>
      <c r="CV1015" s="132">
        <f t="shared" si="520"/>
        <v>0</v>
      </c>
      <c r="CW1015" s="132">
        <f t="shared" si="520"/>
        <v>0</v>
      </c>
      <c r="CX1015" s="132">
        <f t="shared" si="520"/>
        <v>0</v>
      </c>
      <c r="CY1015" s="132">
        <f t="shared" si="520"/>
        <v>0</v>
      </c>
      <c r="CZ1015" s="132">
        <f t="shared" si="520"/>
        <v>0</v>
      </c>
      <c r="DA1015" s="132">
        <f t="shared" si="520"/>
        <v>0</v>
      </c>
      <c r="DB1015" s="132">
        <f t="shared" si="520"/>
        <v>0</v>
      </c>
      <c r="DC1015" s="132">
        <f t="shared" si="520"/>
        <v>0</v>
      </c>
      <c r="DD1015" s="133">
        <f>IF(OR(AND(DD1009=0,AL1009&lt;&gt;0),AND(DD1010=0,AL1010&lt;&gt;0),AND(DD1011=0,AL1011&lt;&gt;0),AND(DD1012=0,AL1012&lt;&gt;0),AND(DD1013=0,AL1013&lt;&gt;0),AND(DD1014=0,AL1014&lt;&gt;0)),"NO DEBEN QUEDAR CELDAS EN ROJO",SUM(DD1009:DD1014))</f>
        <v>9009346851</v>
      </c>
      <c r="DE1015" s="133">
        <f t="shared" si="520"/>
        <v>30092625862</v>
      </c>
      <c r="DF1015" s="101"/>
    </row>
    <row r="1016" spans="1:110" s="99" customFormat="1" ht="119.1" customHeight="1">
      <c r="A1016" s="103" t="s">
        <v>1253</v>
      </c>
      <c r="B1016" s="103" t="s">
        <v>2051</v>
      </c>
      <c r="C1016" s="103" t="s">
        <v>2052</v>
      </c>
      <c r="D1016" s="103">
        <v>93</v>
      </c>
      <c r="E1016" s="103" t="s">
        <v>2120</v>
      </c>
      <c r="F1016" s="278" t="s">
        <v>2121</v>
      </c>
      <c r="G1016" s="103" t="s">
        <v>3270</v>
      </c>
      <c r="H1016" s="103">
        <v>111</v>
      </c>
      <c r="I1016" s="103" t="s">
        <v>2122</v>
      </c>
      <c r="J1016" s="103" t="s">
        <v>677</v>
      </c>
      <c r="K1016" s="103">
        <v>94</v>
      </c>
      <c r="L1016" s="103" t="s">
        <v>3785</v>
      </c>
      <c r="M1016" s="103" t="s">
        <v>2123</v>
      </c>
      <c r="N1016" s="103" t="s">
        <v>2124</v>
      </c>
      <c r="O1016" s="103" t="s">
        <v>501</v>
      </c>
      <c r="P1016" s="283">
        <v>891</v>
      </c>
      <c r="Q1016" s="103" t="s">
        <v>3250</v>
      </c>
      <c r="R1016" s="103" t="s">
        <v>2125</v>
      </c>
      <c r="S1016" s="103" t="s">
        <v>677</v>
      </c>
      <c r="T1016" s="103">
        <v>0</v>
      </c>
      <c r="U1016" s="267">
        <v>0.5</v>
      </c>
      <c r="V1016" s="267">
        <v>0.5</v>
      </c>
      <c r="W1016" s="224">
        <v>1</v>
      </c>
      <c r="X1016" s="267">
        <v>0.25</v>
      </c>
      <c r="Y1016" s="267">
        <v>0.25</v>
      </c>
      <c r="Z1016" s="267">
        <v>0.25</v>
      </c>
      <c r="AA1016" s="267">
        <v>0.25</v>
      </c>
      <c r="AB1016" s="224">
        <v>1</v>
      </c>
      <c r="AC1016" s="267">
        <v>0.25</v>
      </c>
      <c r="AD1016" s="267">
        <v>0.25</v>
      </c>
      <c r="AE1016" s="267">
        <v>0.25</v>
      </c>
      <c r="AF1016" s="267">
        <v>0.25</v>
      </c>
      <c r="AG1016" s="224">
        <v>1</v>
      </c>
      <c r="AH1016" s="267">
        <v>0.25</v>
      </c>
      <c r="AI1016" s="267">
        <v>0.25</v>
      </c>
      <c r="AJ1016" s="267">
        <v>0.25</v>
      </c>
      <c r="AK1016" s="267">
        <v>0.25</v>
      </c>
      <c r="AL1016" s="224">
        <v>1</v>
      </c>
      <c r="AM1016" s="102">
        <v>4</v>
      </c>
      <c r="AN1016" s="103" t="s">
        <v>685</v>
      </c>
      <c r="AO1016" s="103" t="s">
        <v>1212</v>
      </c>
      <c r="AP1016" s="103" t="s">
        <v>1229</v>
      </c>
      <c r="AQ1016" s="103" t="s">
        <v>1207</v>
      </c>
      <c r="AR1016" s="103" t="s">
        <v>951</v>
      </c>
      <c r="AS1016" s="268"/>
      <c r="AT1016" s="268"/>
      <c r="AU1016" s="268"/>
      <c r="AV1016" s="268"/>
      <c r="AW1016" s="268">
        <v>1750000000</v>
      </c>
      <c r="AX1016" s="268"/>
      <c r="AY1016" s="268"/>
      <c r="AZ1016" s="268"/>
      <c r="BA1016" s="268"/>
      <c r="BB1016" s="268"/>
      <c r="BC1016" s="268"/>
      <c r="BD1016" s="268"/>
      <c r="BE1016" s="268"/>
      <c r="BF1016" s="268"/>
      <c r="BG1016" s="268"/>
      <c r="BH1016" s="234">
        <f>IF(W1016=0,0,BG1016+BF1016+BE1016+BD1016+BC1016+BB1016+BA1016+AZ1016+AY1016+AX1016+AW1016+AV1016+AU1016+AT1016+AS1016)</f>
        <v>1750000000</v>
      </c>
      <c r="BI1016" s="268"/>
      <c r="BJ1016" s="268"/>
      <c r="BK1016" s="268"/>
      <c r="BL1016" s="268"/>
      <c r="BM1016" s="268">
        <v>2149282087</v>
      </c>
      <c r="BN1016" s="268"/>
      <c r="BO1016" s="268"/>
      <c r="BP1016" s="268"/>
      <c r="BQ1016" s="268"/>
      <c r="BR1016" s="268"/>
      <c r="BS1016" s="268"/>
      <c r="BT1016" s="268"/>
      <c r="BU1016" s="268"/>
      <c r="BV1016" s="268"/>
      <c r="BW1016" s="268"/>
      <c r="BX1016" s="234">
        <f>IF(AB1016=0,0,BI1016+BJ1016+BK1016+BL1016+BM1016+BN1016+BO1016+BP1016+BQ1016+BR1016+BS1016+BT1016+BU1016+BV1016+BW1016)</f>
        <v>2149282087</v>
      </c>
      <c r="BY1016" s="268"/>
      <c r="BZ1016" s="268"/>
      <c r="CA1016" s="268"/>
      <c r="CB1016" s="268"/>
      <c r="CC1016" s="268">
        <v>2542525802</v>
      </c>
      <c r="CD1016" s="268"/>
      <c r="CE1016" s="268"/>
      <c r="CF1016" s="268"/>
      <c r="CG1016" s="268"/>
      <c r="CH1016" s="268"/>
      <c r="CI1016" s="268"/>
      <c r="CJ1016" s="268"/>
      <c r="CK1016" s="268"/>
      <c r="CL1016" s="268"/>
      <c r="CM1016" s="268"/>
      <c r="CN1016" s="234">
        <f>IF(AG1016=0,0,(BY1016+BZ1016+CA1016+CB1016+CC1016+CD1016+CE1016+CF1016+CG1016+CH1016+CI1016+CJ1016+CK1016+CL1016+CM1016))</f>
        <v>2542525802</v>
      </c>
      <c r="CO1016" s="268"/>
      <c r="CP1016" s="268"/>
      <c r="CQ1016" s="268"/>
      <c r="CR1016" s="268"/>
      <c r="CS1016" s="268">
        <v>2804938972</v>
      </c>
      <c r="CT1016" s="268"/>
      <c r="CU1016" s="268"/>
      <c r="CV1016" s="268"/>
      <c r="CW1016" s="268"/>
      <c r="CX1016" s="268"/>
      <c r="CY1016" s="268"/>
      <c r="CZ1016" s="268"/>
      <c r="DA1016" s="268"/>
      <c r="DB1016" s="268"/>
      <c r="DC1016" s="268"/>
      <c r="DD1016" s="234">
        <f>IF(AL1016=0,0,(CO1016+CP1016+CQ1016+CR1016+CS1016+CT1016+CU1016+CV1016+CW1016+CX1016+CY1016+CZ1016+DA1016+DB1016+DC1016))</f>
        <v>2804938972</v>
      </c>
      <c r="DE1016" s="243">
        <f t="shared" ref="DE1016:DE1019" si="521">SUM(DD1016+CN1016+BX1016+BH1016)</f>
        <v>9246746861</v>
      </c>
    </row>
    <row r="1017" spans="1:110" s="99" customFormat="1" ht="119.1" customHeight="1">
      <c r="A1017" s="103" t="s">
        <v>1253</v>
      </c>
      <c r="B1017" s="279" t="s">
        <v>2051</v>
      </c>
      <c r="C1017" s="279" t="s">
        <v>2052</v>
      </c>
      <c r="D1017" s="279">
        <v>93</v>
      </c>
      <c r="E1017" s="279" t="s">
        <v>2120</v>
      </c>
      <c r="F1017" s="280" t="s">
        <v>2121</v>
      </c>
      <c r="G1017" s="279" t="s">
        <v>3270</v>
      </c>
      <c r="H1017" s="279">
        <v>111</v>
      </c>
      <c r="I1017" s="279" t="s">
        <v>2122</v>
      </c>
      <c r="J1017" s="279" t="s">
        <v>677</v>
      </c>
      <c r="K1017" s="279">
        <v>94</v>
      </c>
      <c r="L1017" s="279" t="s">
        <v>3785</v>
      </c>
      <c r="M1017" s="279" t="s">
        <v>2123</v>
      </c>
      <c r="N1017" s="279" t="s">
        <v>2124</v>
      </c>
      <c r="O1017" s="279" t="s">
        <v>501</v>
      </c>
      <c r="P1017" s="283">
        <v>892</v>
      </c>
      <c r="Q1017" s="279" t="s">
        <v>3251</v>
      </c>
      <c r="R1017" s="279" t="s">
        <v>2126</v>
      </c>
      <c r="S1017" s="279" t="s">
        <v>683</v>
      </c>
      <c r="T1017" s="279">
        <v>0</v>
      </c>
      <c r="U1017" s="267">
        <v>0.1</v>
      </c>
      <c r="V1017" s="267">
        <v>0.1</v>
      </c>
      <c r="W1017" s="224">
        <v>0.2</v>
      </c>
      <c r="X1017" s="267">
        <v>0.1</v>
      </c>
      <c r="Y1017" s="267">
        <v>0.1</v>
      </c>
      <c r="Z1017" s="267">
        <v>0.1</v>
      </c>
      <c r="AA1017" s="267">
        <v>0.1</v>
      </c>
      <c r="AB1017" s="224">
        <v>0.4</v>
      </c>
      <c r="AC1017" s="267">
        <v>0.1</v>
      </c>
      <c r="AD1017" s="267">
        <v>0.05</v>
      </c>
      <c r="AE1017" s="267">
        <v>0.05</v>
      </c>
      <c r="AF1017" s="267">
        <v>0.05</v>
      </c>
      <c r="AG1017" s="224">
        <v>0.25</v>
      </c>
      <c r="AH1017" s="267">
        <v>0.05</v>
      </c>
      <c r="AI1017" s="267">
        <v>0.05</v>
      </c>
      <c r="AJ1017" s="267">
        <v>0.05</v>
      </c>
      <c r="AK1017" s="267"/>
      <c r="AL1017" s="224">
        <v>0.15000000000000002</v>
      </c>
      <c r="AM1017" s="104">
        <v>1</v>
      </c>
      <c r="AN1017" s="103" t="s">
        <v>685</v>
      </c>
      <c r="AO1017" s="103" t="s">
        <v>1212</v>
      </c>
      <c r="AP1017" s="103" t="s">
        <v>1229</v>
      </c>
      <c r="AQ1017" s="103" t="s">
        <v>1207</v>
      </c>
      <c r="AR1017" s="103" t="s">
        <v>951</v>
      </c>
      <c r="AS1017" s="271"/>
      <c r="AT1017" s="271"/>
      <c r="AU1017" s="271"/>
      <c r="AV1017" s="271"/>
      <c r="AW1017" s="271">
        <v>450000000</v>
      </c>
      <c r="AX1017" s="271"/>
      <c r="AY1017" s="271"/>
      <c r="AZ1017" s="271"/>
      <c r="BA1017" s="271"/>
      <c r="BB1017" s="271"/>
      <c r="BC1017" s="271"/>
      <c r="BD1017" s="271"/>
      <c r="BE1017" s="271"/>
      <c r="BF1017" s="271"/>
      <c r="BG1017" s="271"/>
      <c r="BH1017" s="235">
        <f>IF(W1017=0,0,BG1017+BF1017+BE1017+BD1017+BC1017+BB1017+BA1017+AZ1017+AY1017+AX1017+AW1017+AV1017+AU1017+AT1017+AS1017)</f>
        <v>450000000</v>
      </c>
      <c r="BI1017" s="271"/>
      <c r="BJ1017" s="271"/>
      <c r="BK1017" s="271"/>
      <c r="BL1017" s="271"/>
      <c r="BM1017" s="271">
        <v>564080597</v>
      </c>
      <c r="BN1017" s="271"/>
      <c r="BO1017" s="271"/>
      <c r="BP1017" s="271"/>
      <c r="BQ1017" s="271"/>
      <c r="BR1017" s="271"/>
      <c r="BS1017" s="271"/>
      <c r="BT1017" s="271"/>
      <c r="BU1017" s="271"/>
      <c r="BV1017" s="271"/>
      <c r="BW1017" s="271"/>
      <c r="BX1017" s="235">
        <f>IF(AB1017=0,0,BI1017+BJ1017+BK1017+BL1017+BM1017+BN1017+BO1017+BP1017+BQ1017+BR1017+BS1017+BT1017+BU1017+BV1017+BW1017)</f>
        <v>564080597</v>
      </c>
      <c r="BY1017" s="271"/>
      <c r="BZ1017" s="271"/>
      <c r="CA1017" s="271"/>
      <c r="CB1017" s="271"/>
      <c r="CC1017" s="271">
        <v>676435943</v>
      </c>
      <c r="CD1017" s="271"/>
      <c r="CE1017" s="271"/>
      <c r="CF1017" s="271"/>
      <c r="CG1017" s="271"/>
      <c r="CH1017" s="271"/>
      <c r="CI1017" s="271"/>
      <c r="CJ1017" s="271"/>
      <c r="CK1017" s="271"/>
      <c r="CL1017" s="271"/>
      <c r="CM1017" s="271"/>
      <c r="CN1017" s="235">
        <f>IF(AG1017=0,0,(BY1017+BZ1017+CA1017+CB1017+CC1017+CD1017+CE1017+CF1017+CG1017+CH1017+CI1017+CJ1017+CK1017+CL1017+CM1017))</f>
        <v>676435943</v>
      </c>
      <c r="CO1017" s="271"/>
      <c r="CP1017" s="271"/>
      <c r="CQ1017" s="271"/>
      <c r="CR1017" s="271"/>
      <c r="CS1017" s="271">
        <v>751411135</v>
      </c>
      <c r="CT1017" s="271"/>
      <c r="CU1017" s="271"/>
      <c r="CV1017" s="271"/>
      <c r="CW1017" s="271"/>
      <c r="CX1017" s="271"/>
      <c r="CY1017" s="271"/>
      <c r="CZ1017" s="271"/>
      <c r="DA1017" s="271"/>
      <c r="DB1017" s="271"/>
      <c r="DC1017" s="271"/>
      <c r="DD1017" s="234">
        <f>IF(AL1017=0,0,(CO1017+CP1017+CQ1017+CR1017+CS1017+CT1017+CU1017+CV1017+CW1017+CX1017+CY1017+CZ1017+DA1017+DB1017+DC1017))</f>
        <v>751411135</v>
      </c>
      <c r="DE1017" s="244">
        <f t="shared" si="521"/>
        <v>2441927675</v>
      </c>
    </row>
    <row r="1018" spans="1:110" s="99" customFormat="1" ht="119.1" customHeight="1">
      <c r="A1018" s="103" t="s">
        <v>1253</v>
      </c>
      <c r="B1018" s="279" t="s">
        <v>2051</v>
      </c>
      <c r="C1018" s="279" t="s">
        <v>2052</v>
      </c>
      <c r="D1018" s="279">
        <v>93</v>
      </c>
      <c r="E1018" s="279" t="s">
        <v>2120</v>
      </c>
      <c r="F1018" s="280" t="s">
        <v>2121</v>
      </c>
      <c r="G1018" s="279" t="s">
        <v>3270</v>
      </c>
      <c r="H1018" s="279">
        <v>111</v>
      </c>
      <c r="I1018" s="279" t="s">
        <v>2122</v>
      </c>
      <c r="J1018" s="279" t="s">
        <v>677</v>
      </c>
      <c r="K1018" s="279">
        <v>94</v>
      </c>
      <c r="L1018" s="279" t="s">
        <v>3785</v>
      </c>
      <c r="M1018" s="279" t="s">
        <v>2123</v>
      </c>
      <c r="N1018" s="279" t="s">
        <v>2124</v>
      </c>
      <c r="O1018" s="279" t="s">
        <v>501</v>
      </c>
      <c r="P1018" s="283">
        <v>893</v>
      </c>
      <c r="Q1018" s="279" t="s">
        <v>3252</v>
      </c>
      <c r="R1018" s="279" t="s">
        <v>2127</v>
      </c>
      <c r="S1018" s="279" t="s">
        <v>677</v>
      </c>
      <c r="T1018" s="279">
        <v>30</v>
      </c>
      <c r="U1018" s="267">
        <v>30</v>
      </c>
      <c r="V1018" s="267">
        <v>30</v>
      </c>
      <c r="W1018" s="224">
        <v>30</v>
      </c>
      <c r="X1018" s="267">
        <v>30</v>
      </c>
      <c r="Y1018" s="267">
        <v>30</v>
      </c>
      <c r="Z1018" s="267">
        <v>30</v>
      </c>
      <c r="AA1018" s="267">
        <v>30</v>
      </c>
      <c r="AB1018" s="224">
        <v>30</v>
      </c>
      <c r="AC1018" s="267">
        <v>30</v>
      </c>
      <c r="AD1018" s="267">
        <v>30</v>
      </c>
      <c r="AE1018" s="267">
        <v>30</v>
      </c>
      <c r="AF1018" s="267">
        <v>30</v>
      </c>
      <c r="AG1018" s="224">
        <v>30</v>
      </c>
      <c r="AH1018" s="267">
        <v>30</v>
      </c>
      <c r="AI1018" s="267">
        <v>30</v>
      </c>
      <c r="AJ1018" s="267">
        <v>30</v>
      </c>
      <c r="AK1018" s="267">
        <v>30</v>
      </c>
      <c r="AL1018" s="224">
        <v>30</v>
      </c>
      <c r="AM1018" s="104">
        <v>30</v>
      </c>
      <c r="AN1018" s="103" t="s">
        <v>686</v>
      </c>
      <c r="AO1018" s="103" t="s">
        <v>1212</v>
      </c>
      <c r="AP1018" s="103" t="s">
        <v>1229</v>
      </c>
      <c r="AQ1018" s="103" t="s">
        <v>1207</v>
      </c>
      <c r="AR1018" s="103" t="s">
        <v>951</v>
      </c>
      <c r="AS1018" s="271"/>
      <c r="AT1018" s="271"/>
      <c r="AU1018" s="271"/>
      <c r="AV1018" s="271"/>
      <c r="AW1018" s="271">
        <v>50000000</v>
      </c>
      <c r="AX1018" s="271"/>
      <c r="AY1018" s="271"/>
      <c r="AZ1018" s="271"/>
      <c r="BA1018" s="271"/>
      <c r="BB1018" s="271"/>
      <c r="BC1018" s="271"/>
      <c r="BD1018" s="271"/>
      <c r="BE1018" s="271"/>
      <c r="BF1018" s="271"/>
      <c r="BG1018" s="271"/>
      <c r="BH1018" s="235">
        <f>IF(W1018=0,0,BG1018+BF1018+BE1018+BD1018+BC1018+BB1018+BA1018+AZ1018+AY1018+AX1018+AW1018+AV1018+AU1018+AT1018+AS1018)</f>
        <v>50000000</v>
      </c>
      <c r="BI1018" s="271"/>
      <c r="BJ1018" s="271"/>
      <c r="BK1018" s="271"/>
      <c r="BL1018" s="271"/>
      <c r="BM1018" s="271">
        <v>50000000</v>
      </c>
      <c r="BN1018" s="271"/>
      <c r="BO1018" s="271"/>
      <c r="BP1018" s="271"/>
      <c r="BQ1018" s="271"/>
      <c r="BR1018" s="271"/>
      <c r="BS1018" s="271"/>
      <c r="BT1018" s="271"/>
      <c r="BU1018" s="271"/>
      <c r="BV1018" s="271"/>
      <c r="BW1018" s="271"/>
      <c r="BX1018" s="235">
        <f>IF(AB1018=0,0,BI1018+BJ1018+BK1018+BL1018+BM1018+BN1018+BO1018+BP1018+BQ1018+BR1018+BS1018+BT1018+BU1018+BV1018+BW1018)</f>
        <v>50000000</v>
      </c>
      <c r="BY1018" s="271"/>
      <c r="BZ1018" s="271"/>
      <c r="CA1018" s="271"/>
      <c r="CB1018" s="271"/>
      <c r="CC1018" s="271">
        <v>50000000</v>
      </c>
      <c r="CD1018" s="271"/>
      <c r="CE1018" s="271"/>
      <c r="CF1018" s="271"/>
      <c r="CG1018" s="271"/>
      <c r="CH1018" s="271"/>
      <c r="CI1018" s="271"/>
      <c r="CJ1018" s="271"/>
      <c r="CK1018" s="271"/>
      <c r="CL1018" s="271"/>
      <c r="CM1018" s="271"/>
      <c r="CN1018" s="235">
        <f>IF(AG1018=0,0,(BY1018+BZ1018+CA1018+CB1018+CC1018+CD1018+CE1018+CF1018+CG1018+CH1018+CI1018+CJ1018+CK1018+CL1018+CM1018))</f>
        <v>50000000</v>
      </c>
      <c r="CO1018" s="271"/>
      <c r="CP1018" s="271"/>
      <c r="CQ1018" s="271"/>
      <c r="CR1018" s="271"/>
      <c r="CS1018" s="271">
        <v>50000000</v>
      </c>
      <c r="CT1018" s="271"/>
      <c r="CU1018" s="271"/>
      <c r="CV1018" s="271"/>
      <c r="CW1018" s="271"/>
      <c r="CX1018" s="271"/>
      <c r="CY1018" s="271"/>
      <c r="CZ1018" s="271"/>
      <c r="DA1018" s="271"/>
      <c r="DB1018" s="271"/>
      <c r="DC1018" s="271"/>
      <c r="DD1018" s="234">
        <f>IF(AL1018=0,0,(CO1018+CP1018+CQ1018+CR1018+CS1018+CT1018+CU1018+CV1018+CW1018+CX1018+CY1018+CZ1018+DA1018+DB1018+DC1018))</f>
        <v>50000000</v>
      </c>
      <c r="DE1018" s="244">
        <f t="shared" si="521"/>
        <v>200000000</v>
      </c>
    </row>
    <row r="1019" spans="1:110" s="99" customFormat="1" ht="119.1" customHeight="1">
      <c r="A1019" s="120" t="s">
        <v>1253</v>
      </c>
      <c r="B1019" s="281" t="s">
        <v>2051</v>
      </c>
      <c r="C1019" s="281" t="s">
        <v>2052</v>
      </c>
      <c r="D1019" s="281">
        <v>93</v>
      </c>
      <c r="E1019" s="281" t="s">
        <v>2120</v>
      </c>
      <c r="F1019" s="282" t="s">
        <v>2121</v>
      </c>
      <c r="G1019" s="281" t="s">
        <v>3270</v>
      </c>
      <c r="H1019" s="281">
        <v>111</v>
      </c>
      <c r="I1019" s="281" t="s">
        <v>2122</v>
      </c>
      <c r="J1019" s="281" t="s">
        <v>677</v>
      </c>
      <c r="K1019" s="281">
        <v>94</v>
      </c>
      <c r="L1019" s="281" t="s">
        <v>3785</v>
      </c>
      <c r="M1019" s="281" t="s">
        <v>2123</v>
      </c>
      <c r="N1019" s="281" t="s">
        <v>2124</v>
      </c>
      <c r="O1019" s="281" t="s">
        <v>501</v>
      </c>
      <c r="P1019" s="283">
        <v>894</v>
      </c>
      <c r="Q1019" s="281" t="s">
        <v>3253</v>
      </c>
      <c r="R1019" s="281" t="s">
        <v>2127</v>
      </c>
      <c r="S1019" s="281" t="s">
        <v>677</v>
      </c>
      <c r="T1019" s="281">
        <v>30</v>
      </c>
      <c r="U1019" s="275">
        <v>2.5</v>
      </c>
      <c r="V1019" s="275">
        <v>5</v>
      </c>
      <c r="W1019" s="225">
        <v>7.5</v>
      </c>
      <c r="X1019" s="275">
        <v>5</v>
      </c>
      <c r="Y1019" s="275">
        <v>5</v>
      </c>
      <c r="Z1019" s="275">
        <v>5</v>
      </c>
      <c r="AA1019" s="275">
        <v>5</v>
      </c>
      <c r="AB1019" s="225">
        <v>20</v>
      </c>
      <c r="AC1019" s="275">
        <v>5</v>
      </c>
      <c r="AD1019" s="275">
        <v>5</v>
      </c>
      <c r="AE1019" s="275">
        <v>5</v>
      </c>
      <c r="AF1019" s="275">
        <v>2.5</v>
      </c>
      <c r="AG1019" s="225">
        <v>17.5</v>
      </c>
      <c r="AH1019" s="275">
        <v>2.5</v>
      </c>
      <c r="AI1019" s="275">
        <v>2.5</v>
      </c>
      <c r="AJ1019" s="275">
        <v>2.5</v>
      </c>
      <c r="AK1019" s="275">
        <v>2.5</v>
      </c>
      <c r="AL1019" s="225">
        <v>10</v>
      </c>
      <c r="AM1019" s="119">
        <v>55</v>
      </c>
      <c r="AN1019" s="120" t="s">
        <v>685</v>
      </c>
      <c r="AO1019" s="120" t="s">
        <v>1212</v>
      </c>
      <c r="AP1019" s="120" t="s">
        <v>1229</v>
      </c>
      <c r="AQ1019" s="120" t="s">
        <v>1207</v>
      </c>
      <c r="AR1019" s="120" t="s">
        <v>951</v>
      </c>
      <c r="AS1019" s="276"/>
      <c r="AT1019" s="276"/>
      <c r="AU1019" s="276"/>
      <c r="AV1019" s="276"/>
      <c r="AW1019" s="276">
        <v>250000000</v>
      </c>
      <c r="AX1019" s="276"/>
      <c r="AY1019" s="276"/>
      <c r="AZ1019" s="276"/>
      <c r="BA1019" s="276"/>
      <c r="BB1019" s="276"/>
      <c r="BC1019" s="276"/>
      <c r="BD1019" s="276"/>
      <c r="BE1019" s="276"/>
      <c r="BF1019" s="276"/>
      <c r="BG1019" s="276"/>
      <c r="BH1019" s="236">
        <f>IF(W1019=0,0,BG1019+BF1019+BE1019+BD1019+BC1019+BB1019+BA1019+AZ1019+AY1019+AX1019+AW1019+AV1019+AU1019+AT1019+AS1019)</f>
        <v>250000000</v>
      </c>
      <c r="BI1019" s="276"/>
      <c r="BJ1019" s="276"/>
      <c r="BK1019" s="276"/>
      <c r="BL1019" s="276"/>
      <c r="BM1019" s="276">
        <v>307040298</v>
      </c>
      <c r="BN1019" s="276"/>
      <c r="BO1019" s="276"/>
      <c r="BP1019" s="276"/>
      <c r="BQ1019" s="276"/>
      <c r="BR1019" s="276"/>
      <c r="BS1019" s="276"/>
      <c r="BT1019" s="276"/>
      <c r="BU1019" s="276"/>
      <c r="BV1019" s="276"/>
      <c r="BW1019" s="276"/>
      <c r="BX1019" s="236">
        <f>IF(AB1019=0,0,BI1019+BJ1019+BK1019+BL1019+BM1019+BN1019+BO1019+BP1019+BQ1019+BR1019+BS1019+BT1019+BU1019+BV1019+BW1019)</f>
        <v>307040298</v>
      </c>
      <c r="BY1019" s="276"/>
      <c r="BZ1019" s="276"/>
      <c r="CA1019" s="276"/>
      <c r="CB1019" s="276"/>
      <c r="CC1019" s="276">
        <v>363217972</v>
      </c>
      <c r="CD1019" s="276"/>
      <c r="CE1019" s="276"/>
      <c r="CF1019" s="276"/>
      <c r="CG1019" s="276"/>
      <c r="CH1019" s="276"/>
      <c r="CI1019" s="276"/>
      <c r="CJ1019" s="276"/>
      <c r="CK1019" s="276"/>
      <c r="CL1019" s="276"/>
      <c r="CM1019" s="276"/>
      <c r="CN1019" s="236">
        <f>IF(AG1019=0,0,(BY1019+BZ1019+CA1019+CB1019+CC1019+CD1019+CE1019+CF1019+CG1019+CH1019+CI1019+CJ1019+CK1019+CL1019+CM1019))</f>
        <v>363217972</v>
      </c>
      <c r="CO1019" s="276"/>
      <c r="CP1019" s="276"/>
      <c r="CQ1019" s="276"/>
      <c r="CR1019" s="276"/>
      <c r="CS1019" s="276">
        <v>400705567</v>
      </c>
      <c r="CT1019" s="276"/>
      <c r="CU1019" s="276"/>
      <c r="CV1019" s="276"/>
      <c r="CW1019" s="276"/>
      <c r="CX1019" s="276"/>
      <c r="CY1019" s="276"/>
      <c r="CZ1019" s="276"/>
      <c r="DA1019" s="276"/>
      <c r="DB1019" s="276"/>
      <c r="DC1019" s="276"/>
      <c r="DD1019" s="240">
        <f>IF(AL1019=0,0,(CO1019+CP1019+CQ1019+CR1019+CS1019+CT1019+CU1019+CV1019+CW1019+CX1019+CY1019+CZ1019+DA1019+DB1019+DC1019))</f>
        <v>400705567</v>
      </c>
      <c r="DE1019" s="245">
        <f t="shared" si="521"/>
        <v>1320963837</v>
      </c>
    </row>
    <row r="1020" spans="1:110" s="46" customFormat="1" ht="65.099999999999994" customHeight="1">
      <c r="A1020" s="134" t="s">
        <v>1253</v>
      </c>
      <c r="B1020" s="134" t="s">
        <v>2051</v>
      </c>
      <c r="C1020" s="134" t="s">
        <v>2052</v>
      </c>
      <c r="D1020" s="134">
        <v>93</v>
      </c>
      <c r="E1020" s="134" t="s">
        <v>2120</v>
      </c>
      <c r="F1020" s="135"/>
      <c r="G1020" s="136"/>
      <c r="H1020" s="137"/>
      <c r="I1020" s="137"/>
      <c r="J1020" s="137"/>
      <c r="K1020" s="138"/>
      <c r="L1020" s="137"/>
      <c r="M1020" s="137"/>
      <c r="N1020" s="137"/>
      <c r="O1020" s="137"/>
      <c r="P1020" s="137"/>
      <c r="Q1020" s="136"/>
      <c r="R1020" s="139"/>
      <c r="S1020" s="137"/>
      <c r="T1020" s="137"/>
      <c r="U1020" s="140"/>
      <c r="V1020" s="140"/>
      <c r="W1020" s="138"/>
      <c r="X1020" s="140"/>
      <c r="Y1020" s="140"/>
      <c r="Z1020" s="140"/>
      <c r="AA1020" s="140"/>
      <c r="AB1020" s="138"/>
      <c r="AC1020" s="140"/>
      <c r="AD1020" s="140"/>
      <c r="AE1020" s="140"/>
      <c r="AF1020" s="140"/>
      <c r="AG1020" s="138"/>
      <c r="AH1020" s="140"/>
      <c r="AI1020" s="140"/>
      <c r="AJ1020" s="140"/>
      <c r="AK1020" s="140"/>
      <c r="AL1020" s="138"/>
      <c r="AM1020" s="141"/>
      <c r="AN1020" s="142"/>
      <c r="AO1020" s="142"/>
      <c r="AP1020" s="143"/>
      <c r="AQ1020" s="143"/>
      <c r="AR1020" s="144"/>
      <c r="AS1020" s="132">
        <f>SUM(AS1016:AS1019)</f>
        <v>0</v>
      </c>
      <c r="AT1020" s="132">
        <f t="shared" ref="AT1020:DE1020" si="522">SUM(AT1016:AT1019)</f>
        <v>0</v>
      </c>
      <c r="AU1020" s="132">
        <f t="shared" si="522"/>
        <v>0</v>
      </c>
      <c r="AV1020" s="132">
        <f t="shared" si="522"/>
        <v>0</v>
      </c>
      <c r="AW1020" s="132">
        <f t="shared" si="522"/>
        <v>2500000000</v>
      </c>
      <c r="AX1020" s="132">
        <f t="shared" si="522"/>
        <v>0</v>
      </c>
      <c r="AY1020" s="132">
        <f t="shared" si="522"/>
        <v>0</v>
      </c>
      <c r="AZ1020" s="132">
        <f t="shared" si="522"/>
        <v>0</v>
      </c>
      <c r="BA1020" s="132">
        <f t="shared" si="522"/>
        <v>0</v>
      </c>
      <c r="BB1020" s="132">
        <f t="shared" si="522"/>
        <v>0</v>
      </c>
      <c r="BC1020" s="132">
        <f t="shared" si="522"/>
        <v>0</v>
      </c>
      <c r="BD1020" s="132">
        <f t="shared" si="522"/>
        <v>0</v>
      </c>
      <c r="BE1020" s="132">
        <f t="shared" si="522"/>
        <v>0</v>
      </c>
      <c r="BF1020" s="132">
        <f t="shared" si="522"/>
        <v>0</v>
      </c>
      <c r="BG1020" s="132">
        <f t="shared" si="522"/>
        <v>0</v>
      </c>
      <c r="BH1020" s="133">
        <f>IF(OR(AND(BH1016=0,W1016&lt;&gt;0),AND(BH1017=0,W1017&lt;&gt;0),AND(BH1018=0,W1018&lt;&gt;0),AND(BH1019=0,W1019&lt;&gt;0)),"NO DEBEN QUEDAR CELDAS EN ROJO",SUM(BH1016:BH1019))</f>
        <v>2500000000</v>
      </c>
      <c r="BI1020" s="132">
        <f t="shared" si="522"/>
        <v>0</v>
      </c>
      <c r="BJ1020" s="132">
        <f t="shared" si="522"/>
        <v>0</v>
      </c>
      <c r="BK1020" s="132">
        <f t="shared" si="522"/>
        <v>0</v>
      </c>
      <c r="BL1020" s="132">
        <f t="shared" si="522"/>
        <v>0</v>
      </c>
      <c r="BM1020" s="132">
        <f t="shared" si="522"/>
        <v>3070402982</v>
      </c>
      <c r="BN1020" s="132">
        <f t="shared" si="522"/>
        <v>0</v>
      </c>
      <c r="BO1020" s="132">
        <f t="shared" si="522"/>
        <v>0</v>
      </c>
      <c r="BP1020" s="132">
        <f t="shared" si="522"/>
        <v>0</v>
      </c>
      <c r="BQ1020" s="132">
        <f t="shared" si="522"/>
        <v>0</v>
      </c>
      <c r="BR1020" s="132">
        <f t="shared" si="522"/>
        <v>0</v>
      </c>
      <c r="BS1020" s="132">
        <f t="shared" si="522"/>
        <v>0</v>
      </c>
      <c r="BT1020" s="132">
        <f t="shared" si="522"/>
        <v>0</v>
      </c>
      <c r="BU1020" s="132">
        <f t="shared" si="522"/>
        <v>0</v>
      </c>
      <c r="BV1020" s="132">
        <f t="shared" si="522"/>
        <v>0</v>
      </c>
      <c r="BW1020" s="132">
        <f t="shared" si="522"/>
        <v>0</v>
      </c>
      <c r="BX1020" s="133">
        <f>IF(OR(AND(BX1016=0,AB1016&lt;&gt;0),AND(BX1017=0,AB1017&lt;&gt;0),AND(BX1018=0,AB1018&lt;&gt;0),AND(BX1019=0,AB1019&lt;&gt;0)),"NO DEBEN QUEDAR CELDAS EN ROJO",SUM(BX1016:BX1019))</f>
        <v>3070402982</v>
      </c>
      <c r="BY1020" s="132">
        <f t="shared" si="522"/>
        <v>0</v>
      </c>
      <c r="BZ1020" s="132">
        <f t="shared" si="522"/>
        <v>0</v>
      </c>
      <c r="CA1020" s="132">
        <f t="shared" si="522"/>
        <v>0</v>
      </c>
      <c r="CB1020" s="132">
        <f t="shared" si="522"/>
        <v>0</v>
      </c>
      <c r="CC1020" s="132">
        <f t="shared" si="522"/>
        <v>3632179717</v>
      </c>
      <c r="CD1020" s="132">
        <f t="shared" si="522"/>
        <v>0</v>
      </c>
      <c r="CE1020" s="132">
        <f t="shared" si="522"/>
        <v>0</v>
      </c>
      <c r="CF1020" s="132">
        <f t="shared" si="522"/>
        <v>0</v>
      </c>
      <c r="CG1020" s="132">
        <f t="shared" si="522"/>
        <v>0</v>
      </c>
      <c r="CH1020" s="132">
        <f t="shared" si="522"/>
        <v>0</v>
      </c>
      <c r="CI1020" s="132">
        <f t="shared" si="522"/>
        <v>0</v>
      </c>
      <c r="CJ1020" s="132">
        <f t="shared" si="522"/>
        <v>0</v>
      </c>
      <c r="CK1020" s="132">
        <f t="shared" si="522"/>
        <v>0</v>
      </c>
      <c r="CL1020" s="132">
        <f t="shared" si="522"/>
        <v>0</v>
      </c>
      <c r="CM1020" s="132">
        <f t="shared" si="522"/>
        <v>0</v>
      </c>
      <c r="CN1020" s="133">
        <f>IF(OR(AND(CN1016=0,AG1016&lt;&gt;0),AND(CN1017=0,AG1017&lt;&gt;0),AND(CN1018=0,AG1018&lt;&gt;0),AND(CN1019=0,AG1019&lt;&gt;0)),"NO DEBEN QUEDAR CELDAS EN ROJO",SUM(CN1016:CN1019))</f>
        <v>3632179717</v>
      </c>
      <c r="CO1020" s="132">
        <f t="shared" si="522"/>
        <v>0</v>
      </c>
      <c r="CP1020" s="132">
        <f t="shared" si="522"/>
        <v>0</v>
      </c>
      <c r="CQ1020" s="132">
        <f t="shared" si="522"/>
        <v>0</v>
      </c>
      <c r="CR1020" s="132">
        <f t="shared" si="522"/>
        <v>0</v>
      </c>
      <c r="CS1020" s="132">
        <f t="shared" si="522"/>
        <v>4007055674</v>
      </c>
      <c r="CT1020" s="132">
        <f t="shared" si="522"/>
        <v>0</v>
      </c>
      <c r="CU1020" s="132">
        <f t="shared" si="522"/>
        <v>0</v>
      </c>
      <c r="CV1020" s="132">
        <f t="shared" si="522"/>
        <v>0</v>
      </c>
      <c r="CW1020" s="132">
        <f t="shared" si="522"/>
        <v>0</v>
      </c>
      <c r="CX1020" s="132">
        <f t="shared" si="522"/>
        <v>0</v>
      </c>
      <c r="CY1020" s="132">
        <f t="shared" si="522"/>
        <v>0</v>
      </c>
      <c r="CZ1020" s="132">
        <f t="shared" si="522"/>
        <v>0</v>
      </c>
      <c r="DA1020" s="132">
        <f t="shared" si="522"/>
        <v>0</v>
      </c>
      <c r="DB1020" s="132">
        <f t="shared" si="522"/>
        <v>0</v>
      </c>
      <c r="DC1020" s="132">
        <f t="shared" si="522"/>
        <v>0</v>
      </c>
      <c r="DD1020" s="133">
        <f>IF(OR(AND(DD1016=0,AL1016&lt;&gt;0),AND(DD1017=0,AL1017&lt;&gt;0),AND(DD1018=0,AL1018&lt;&gt;0),AND(DD1019=0,AL1019&lt;&gt;0)),"NO DEBEN QUEDAR CELDAS EN ROJO",SUM(DD1016:DD1019))</f>
        <v>4007055674</v>
      </c>
      <c r="DE1020" s="133">
        <f t="shared" si="522"/>
        <v>13209638373</v>
      </c>
    </row>
    <row r="1021" spans="1:110" s="98" customFormat="1" ht="119.1" customHeight="1">
      <c r="A1021" s="103" t="s">
        <v>1237</v>
      </c>
      <c r="B1021" s="103" t="s">
        <v>2051</v>
      </c>
      <c r="C1021" s="103" t="s">
        <v>2052</v>
      </c>
      <c r="D1021" s="103">
        <v>94</v>
      </c>
      <c r="E1021" s="103" t="s">
        <v>2128</v>
      </c>
      <c r="F1021" s="278" t="s">
        <v>2129</v>
      </c>
      <c r="G1021" s="103" t="s">
        <v>2834</v>
      </c>
      <c r="H1021" s="103">
        <v>112</v>
      </c>
      <c r="I1021" s="103" t="s">
        <v>2130</v>
      </c>
      <c r="J1021" s="103" t="s">
        <v>683</v>
      </c>
      <c r="K1021" s="103">
        <v>0</v>
      </c>
      <c r="L1021" s="103">
        <v>2</v>
      </c>
      <c r="M1021" s="103" t="s">
        <v>2131</v>
      </c>
      <c r="N1021" s="103" t="s">
        <v>2132</v>
      </c>
      <c r="O1021" s="103" t="s">
        <v>2133</v>
      </c>
      <c r="P1021" s="283">
        <v>895</v>
      </c>
      <c r="Q1021" s="103" t="s">
        <v>2835</v>
      </c>
      <c r="R1021" s="103" t="s">
        <v>2134</v>
      </c>
      <c r="S1021" s="103" t="s">
        <v>683</v>
      </c>
      <c r="T1021" s="103">
        <v>84</v>
      </c>
      <c r="U1021" s="267"/>
      <c r="V1021" s="267"/>
      <c r="W1021" s="224">
        <v>0</v>
      </c>
      <c r="X1021" s="267"/>
      <c r="Y1021" s="267">
        <v>40</v>
      </c>
      <c r="Z1021" s="267"/>
      <c r="AA1021" s="267"/>
      <c r="AB1021" s="224">
        <v>40</v>
      </c>
      <c r="AC1021" s="267"/>
      <c r="AD1021" s="267">
        <v>40</v>
      </c>
      <c r="AE1021" s="267"/>
      <c r="AF1021" s="267"/>
      <c r="AG1021" s="224">
        <v>40</v>
      </c>
      <c r="AH1021" s="267"/>
      <c r="AI1021" s="267">
        <v>40</v>
      </c>
      <c r="AJ1021" s="267"/>
      <c r="AK1021" s="267"/>
      <c r="AL1021" s="224">
        <v>40</v>
      </c>
      <c r="AM1021" s="102">
        <v>120</v>
      </c>
      <c r="AN1021" s="103" t="s">
        <v>685</v>
      </c>
      <c r="AO1021" s="103" t="s">
        <v>626</v>
      </c>
      <c r="AP1021" s="103" t="s">
        <v>1228</v>
      </c>
      <c r="AQ1021" s="103" t="s">
        <v>1199</v>
      </c>
      <c r="AR1021" s="103" t="s">
        <v>945</v>
      </c>
      <c r="AS1021" s="268"/>
      <c r="AT1021" s="268"/>
      <c r="AU1021" s="268"/>
      <c r="AV1021" s="268"/>
      <c r="AW1021" s="268"/>
      <c r="AX1021" s="268"/>
      <c r="AY1021" s="268"/>
      <c r="AZ1021" s="268"/>
      <c r="BA1021" s="268"/>
      <c r="BB1021" s="268"/>
      <c r="BC1021" s="268"/>
      <c r="BD1021" s="268"/>
      <c r="BE1021" s="268"/>
      <c r="BF1021" s="268"/>
      <c r="BG1021" s="268"/>
      <c r="BH1021" s="234">
        <f t="shared" ref="BH1021:BH1028" si="523">IF(W1021=0,0,BG1021+BF1021+BE1021+BD1021+BC1021+BB1021+BA1021+AZ1021+AY1021+AX1021+AW1021+AV1021+AU1021+AT1021+AS1021)</f>
        <v>0</v>
      </c>
      <c r="BI1021" s="268"/>
      <c r="BJ1021" s="268"/>
      <c r="BK1021" s="268"/>
      <c r="BL1021" s="268"/>
      <c r="BM1021" s="268">
        <v>1000000000</v>
      </c>
      <c r="BN1021" s="268"/>
      <c r="BO1021" s="268"/>
      <c r="BP1021" s="268"/>
      <c r="BQ1021" s="268"/>
      <c r="BR1021" s="268"/>
      <c r="BS1021" s="268"/>
      <c r="BT1021" s="268"/>
      <c r="BU1021" s="268"/>
      <c r="BV1021" s="268"/>
      <c r="BW1021" s="268"/>
      <c r="BX1021" s="234">
        <f t="shared" ref="BX1021:BX1028" si="524">IF(AB1021=0,0,BI1021+BJ1021+BK1021+BL1021+BM1021+BN1021+BO1021+BP1021+BQ1021+BR1021+BS1021+BT1021+BU1021+BV1021+BW1021)</f>
        <v>1000000000</v>
      </c>
      <c r="BY1021" s="268"/>
      <c r="BZ1021" s="268"/>
      <c r="CA1021" s="268"/>
      <c r="CB1021" s="268"/>
      <c r="CC1021" s="268">
        <v>1000000000</v>
      </c>
      <c r="CD1021" s="268"/>
      <c r="CE1021" s="268"/>
      <c r="CF1021" s="268"/>
      <c r="CG1021" s="268"/>
      <c r="CH1021" s="268"/>
      <c r="CI1021" s="268"/>
      <c r="CJ1021" s="268"/>
      <c r="CK1021" s="268"/>
      <c r="CL1021" s="268"/>
      <c r="CM1021" s="268"/>
      <c r="CN1021" s="234">
        <f t="shared" ref="CN1021:CN1028" si="525">IF(AG1021=0,0,(BY1021+BZ1021+CA1021+CB1021+CC1021+CD1021+CE1021+CF1021+CG1021+CH1021+CI1021+CJ1021+CK1021+CL1021+CM1021))</f>
        <v>1000000000</v>
      </c>
      <c r="CO1021" s="268"/>
      <c r="CP1021" s="268"/>
      <c r="CQ1021" s="268"/>
      <c r="CR1021" s="268"/>
      <c r="CS1021" s="268">
        <v>1000000000</v>
      </c>
      <c r="CT1021" s="268"/>
      <c r="CU1021" s="268"/>
      <c r="CV1021" s="268"/>
      <c r="CW1021" s="268"/>
      <c r="CX1021" s="268"/>
      <c r="CY1021" s="268"/>
      <c r="CZ1021" s="268"/>
      <c r="DA1021" s="268"/>
      <c r="DB1021" s="268"/>
      <c r="DC1021" s="268"/>
      <c r="DD1021" s="234">
        <f t="shared" ref="DD1021:DD1028" si="526">IF(AL1021=0,0,(CO1021+CP1021+CQ1021+CR1021+CS1021+CT1021+CU1021+CV1021+CW1021+CX1021+CY1021+CZ1021+DA1021+DB1021+DC1021))</f>
        <v>1000000000</v>
      </c>
      <c r="DE1021" s="243">
        <f t="shared" ref="DE1021:DE1028" si="527">SUM(DD1021+CN1021+BX1021+BH1021)</f>
        <v>3000000000</v>
      </c>
    </row>
    <row r="1022" spans="1:110" s="98" customFormat="1" ht="119.1" customHeight="1">
      <c r="A1022" s="103" t="s">
        <v>1237</v>
      </c>
      <c r="B1022" s="279" t="s">
        <v>2051</v>
      </c>
      <c r="C1022" s="279" t="s">
        <v>2052</v>
      </c>
      <c r="D1022" s="279">
        <v>94</v>
      </c>
      <c r="E1022" s="279" t="s">
        <v>2128</v>
      </c>
      <c r="F1022" s="280" t="s">
        <v>2129</v>
      </c>
      <c r="G1022" s="279" t="s">
        <v>2834</v>
      </c>
      <c r="H1022" s="279">
        <v>112</v>
      </c>
      <c r="I1022" s="279" t="s">
        <v>2130</v>
      </c>
      <c r="J1022" s="279" t="s">
        <v>683</v>
      </c>
      <c r="K1022" s="279">
        <v>0</v>
      </c>
      <c r="L1022" s="279">
        <v>2</v>
      </c>
      <c r="M1022" s="279" t="s">
        <v>2131</v>
      </c>
      <c r="N1022" s="279" t="s">
        <v>2132</v>
      </c>
      <c r="O1022" s="279" t="s">
        <v>2133</v>
      </c>
      <c r="P1022" s="283">
        <v>896</v>
      </c>
      <c r="Q1022" s="279" t="s">
        <v>2836</v>
      </c>
      <c r="R1022" s="279" t="s">
        <v>2135</v>
      </c>
      <c r="S1022" s="279" t="s">
        <v>683</v>
      </c>
      <c r="T1022" s="279">
        <v>0</v>
      </c>
      <c r="U1022" s="267"/>
      <c r="V1022" s="267"/>
      <c r="W1022" s="224">
        <v>0</v>
      </c>
      <c r="X1022" s="267"/>
      <c r="Y1022" s="267"/>
      <c r="Z1022" s="267"/>
      <c r="AA1022" s="267"/>
      <c r="AB1022" s="224">
        <v>0</v>
      </c>
      <c r="AC1022" s="267">
        <v>0.25</v>
      </c>
      <c r="AD1022" s="267">
        <v>0.25</v>
      </c>
      <c r="AE1022" s="267">
        <v>0.25</v>
      </c>
      <c r="AF1022" s="267">
        <v>0.25</v>
      </c>
      <c r="AG1022" s="224">
        <v>1</v>
      </c>
      <c r="AH1022" s="267"/>
      <c r="AI1022" s="267"/>
      <c r="AJ1022" s="267"/>
      <c r="AK1022" s="267"/>
      <c r="AL1022" s="224">
        <v>0</v>
      </c>
      <c r="AM1022" s="104">
        <v>1</v>
      </c>
      <c r="AN1022" s="103" t="s">
        <v>685</v>
      </c>
      <c r="AO1022" s="103" t="s">
        <v>626</v>
      </c>
      <c r="AP1022" s="103" t="s">
        <v>1228</v>
      </c>
      <c r="AQ1022" s="103" t="s">
        <v>1199</v>
      </c>
      <c r="AR1022" s="103" t="s">
        <v>945</v>
      </c>
      <c r="AS1022" s="271"/>
      <c r="AT1022" s="271"/>
      <c r="AU1022" s="271"/>
      <c r="AV1022" s="271"/>
      <c r="AW1022" s="271"/>
      <c r="AX1022" s="271"/>
      <c r="AY1022" s="271"/>
      <c r="AZ1022" s="271"/>
      <c r="BA1022" s="271"/>
      <c r="BB1022" s="271"/>
      <c r="BC1022" s="271"/>
      <c r="BD1022" s="271"/>
      <c r="BE1022" s="271"/>
      <c r="BF1022" s="271"/>
      <c r="BG1022" s="271"/>
      <c r="BH1022" s="235">
        <f t="shared" si="523"/>
        <v>0</v>
      </c>
      <c r="BI1022" s="271"/>
      <c r="BJ1022" s="271"/>
      <c r="BK1022" s="271"/>
      <c r="BL1022" s="271"/>
      <c r="BM1022" s="271"/>
      <c r="BN1022" s="271"/>
      <c r="BO1022" s="271"/>
      <c r="BP1022" s="271"/>
      <c r="BQ1022" s="271"/>
      <c r="BR1022" s="271"/>
      <c r="BS1022" s="271"/>
      <c r="BT1022" s="271"/>
      <c r="BU1022" s="271"/>
      <c r="BV1022" s="271"/>
      <c r="BW1022" s="271"/>
      <c r="BX1022" s="235">
        <f t="shared" si="524"/>
        <v>0</v>
      </c>
      <c r="BY1022" s="271"/>
      <c r="BZ1022" s="271"/>
      <c r="CA1022" s="271"/>
      <c r="CB1022" s="271"/>
      <c r="CC1022" s="271">
        <v>80000000</v>
      </c>
      <c r="CD1022" s="271"/>
      <c r="CE1022" s="271"/>
      <c r="CF1022" s="271"/>
      <c r="CG1022" s="271"/>
      <c r="CH1022" s="271"/>
      <c r="CI1022" s="271"/>
      <c r="CJ1022" s="271"/>
      <c r="CK1022" s="271"/>
      <c r="CL1022" s="271"/>
      <c r="CM1022" s="271"/>
      <c r="CN1022" s="235">
        <f t="shared" si="525"/>
        <v>80000000</v>
      </c>
      <c r="CO1022" s="271"/>
      <c r="CP1022" s="271"/>
      <c r="CQ1022" s="271"/>
      <c r="CR1022" s="271"/>
      <c r="CS1022" s="271"/>
      <c r="CT1022" s="271"/>
      <c r="CU1022" s="271"/>
      <c r="CV1022" s="271"/>
      <c r="CW1022" s="271"/>
      <c r="CX1022" s="271"/>
      <c r="CY1022" s="271"/>
      <c r="CZ1022" s="271"/>
      <c r="DA1022" s="271"/>
      <c r="DB1022" s="271"/>
      <c r="DC1022" s="271"/>
      <c r="DD1022" s="234">
        <f t="shared" si="526"/>
        <v>0</v>
      </c>
      <c r="DE1022" s="244">
        <f t="shared" si="527"/>
        <v>80000000</v>
      </c>
    </row>
    <row r="1023" spans="1:110" s="98" customFormat="1" ht="119.1" customHeight="1">
      <c r="A1023" s="103" t="s">
        <v>1237</v>
      </c>
      <c r="B1023" s="279" t="s">
        <v>2051</v>
      </c>
      <c r="C1023" s="279" t="s">
        <v>2052</v>
      </c>
      <c r="D1023" s="279">
        <v>94</v>
      </c>
      <c r="E1023" s="279" t="s">
        <v>2128</v>
      </c>
      <c r="F1023" s="280" t="s">
        <v>2129</v>
      </c>
      <c r="G1023" s="279" t="s">
        <v>2834</v>
      </c>
      <c r="H1023" s="279">
        <v>112</v>
      </c>
      <c r="I1023" s="279" t="s">
        <v>2130</v>
      </c>
      <c r="J1023" s="279" t="s">
        <v>683</v>
      </c>
      <c r="K1023" s="279">
        <v>0</v>
      </c>
      <c r="L1023" s="279">
        <v>2</v>
      </c>
      <c r="M1023" s="279" t="s">
        <v>2131</v>
      </c>
      <c r="N1023" s="279" t="s">
        <v>2132</v>
      </c>
      <c r="O1023" s="279" t="s">
        <v>2133</v>
      </c>
      <c r="P1023" s="283">
        <v>897</v>
      </c>
      <c r="Q1023" s="279" t="s">
        <v>2837</v>
      </c>
      <c r="R1023" s="279" t="s">
        <v>502</v>
      </c>
      <c r="S1023" s="279" t="s">
        <v>683</v>
      </c>
      <c r="T1023" s="279">
        <v>0</v>
      </c>
      <c r="U1023" s="267">
        <v>12</v>
      </c>
      <c r="V1023" s="267"/>
      <c r="W1023" s="224">
        <v>12</v>
      </c>
      <c r="X1023" s="267">
        <v>20</v>
      </c>
      <c r="Y1023" s="267">
        <v>7</v>
      </c>
      <c r="Z1023" s="267">
        <v>6</v>
      </c>
      <c r="AA1023" s="267">
        <v>6</v>
      </c>
      <c r="AB1023" s="224">
        <v>39</v>
      </c>
      <c r="AC1023" s="267">
        <v>6</v>
      </c>
      <c r="AD1023" s="267">
        <v>6</v>
      </c>
      <c r="AE1023" s="267">
        <v>6</v>
      </c>
      <c r="AF1023" s="267">
        <v>6</v>
      </c>
      <c r="AG1023" s="224">
        <v>24</v>
      </c>
      <c r="AH1023" s="267">
        <v>7</v>
      </c>
      <c r="AI1023" s="267">
        <v>6</v>
      </c>
      <c r="AJ1023" s="267">
        <v>6</v>
      </c>
      <c r="AK1023" s="267">
        <v>6</v>
      </c>
      <c r="AL1023" s="224">
        <v>25</v>
      </c>
      <c r="AM1023" s="104">
        <v>100</v>
      </c>
      <c r="AN1023" s="103" t="s">
        <v>685</v>
      </c>
      <c r="AO1023" s="103" t="s">
        <v>626</v>
      </c>
      <c r="AP1023" s="103" t="s">
        <v>1228</v>
      </c>
      <c r="AQ1023" s="103" t="s">
        <v>1199</v>
      </c>
      <c r="AR1023" s="103" t="s">
        <v>945</v>
      </c>
      <c r="AS1023" s="271"/>
      <c r="AT1023" s="271"/>
      <c r="AU1023" s="271"/>
      <c r="AV1023" s="271"/>
      <c r="AW1023" s="271">
        <v>84640000</v>
      </c>
      <c r="AX1023" s="271"/>
      <c r="AY1023" s="271"/>
      <c r="AZ1023" s="271"/>
      <c r="BA1023" s="271"/>
      <c r="BB1023" s="271"/>
      <c r="BC1023" s="271"/>
      <c r="BD1023" s="271"/>
      <c r="BE1023" s="271"/>
      <c r="BF1023" s="271"/>
      <c r="BG1023" s="271"/>
      <c r="BH1023" s="235">
        <f t="shared" si="523"/>
        <v>84640000</v>
      </c>
      <c r="BI1023" s="271"/>
      <c r="BJ1023" s="271"/>
      <c r="BK1023" s="271"/>
      <c r="BL1023" s="271"/>
      <c r="BM1023" s="271">
        <v>80000000</v>
      </c>
      <c r="BN1023" s="271"/>
      <c r="BO1023" s="271"/>
      <c r="BP1023" s="271"/>
      <c r="BQ1023" s="271"/>
      <c r="BR1023" s="271"/>
      <c r="BS1023" s="271"/>
      <c r="BT1023" s="271"/>
      <c r="BU1023" s="271"/>
      <c r="BV1023" s="271"/>
      <c r="BW1023" s="271"/>
      <c r="BX1023" s="235">
        <f t="shared" si="524"/>
        <v>80000000</v>
      </c>
      <c r="BY1023" s="271"/>
      <c r="BZ1023" s="271"/>
      <c r="CA1023" s="271"/>
      <c r="CB1023" s="271"/>
      <c r="CC1023" s="271">
        <v>91116608</v>
      </c>
      <c r="CD1023" s="271"/>
      <c r="CE1023" s="271"/>
      <c r="CF1023" s="271"/>
      <c r="CG1023" s="271"/>
      <c r="CH1023" s="271"/>
      <c r="CI1023" s="271"/>
      <c r="CJ1023" s="271"/>
      <c r="CK1023" s="271"/>
      <c r="CL1023" s="271"/>
      <c r="CM1023" s="271"/>
      <c r="CN1023" s="235">
        <f t="shared" si="525"/>
        <v>91116608</v>
      </c>
      <c r="CO1023" s="271"/>
      <c r="CP1023" s="271"/>
      <c r="CQ1023" s="271"/>
      <c r="CR1023" s="271"/>
      <c r="CS1023" s="271">
        <v>93353016</v>
      </c>
      <c r="CT1023" s="271"/>
      <c r="CU1023" s="271"/>
      <c r="CV1023" s="271"/>
      <c r="CW1023" s="271"/>
      <c r="CX1023" s="271"/>
      <c r="CY1023" s="271"/>
      <c r="CZ1023" s="271"/>
      <c r="DA1023" s="271"/>
      <c r="DB1023" s="271"/>
      <c r="DC1023" s="271"/>
      <c r="DD1023" s="234">
        <f t="shared" si="526"/>
        <v>93353016</v>
      </c>
      <c r="DE1023" s="244">
        <f t="shared" si="527"/>
        <v>349109624</v>
      </c>
    </row>
    <row r="1024" spans="1:110" s="98" customFormat="1" ht="119.1" customHeight="1">
      <c r="A1024" s="103" t="s">
        <v>1237</v>
      </c>
      <c r="B1024" s="279" t="s">
        <v>2051</v>
      </c>
      <c r="C1024" s="279" t="s">
        <v>2052</v>
      </c>
      <c r="D1024" s="279">
        <v>94</v>
      </c>
      <c r="E1024" s="279" t="s">
        <v>2128</v>
      </c>
      <c r="F1024" s="280" t="s">
        <v>2129</v>
      </c>
      <c r="G1024" s="279" t="s">
        <v>2834</v>
      </c>
      <c r="H1024" s="279">
        <v>112</v>
      </c>
      <c r="I1024" s="279" t="s">
        <v>2130</v>
      </c>
      <c r="J1024" s="279" t="s">
        <v>683</v>
      </c>
      <c r="K1024" s="279">
        <v>0</v>
      </c>
      <c r="L1024" s="279">
        <v>2</v>
      </c>
      <c r="M1024" s="279" t="s">
        <v>2136</v>
      </c>
      <c r="N1024" s="279" t="s">
        <v>2137</v>
      </c>
      <c r="O1024" s="279" t="s">
        <v>2138</v>
      </c>
      <c r="P1024" s="283">
        <v>898</v>
      </c>
      <c r="Q1024" s="279" t="s">
        <v>2838</v>
      </c>
      <c r="R1024" s="279" t="s">
        <v>503</v>
      </c>
      <c r="S1024" s="279" t="s">
        <v>683</v>
      </c>
      <c r="T1024" s="279">
        <v>4</v>
      </c>
      <c r="U1024" s="267"/>
      <c r="V1024" s="267">
        <v>1</v>
      </c>
      <c r="W1024" s="224">
        <v>1</v>
      </c>
      <c r="X1024" s="267"/>
      <c r="Y1024" s="267"/>
      <c r="Z1024" s="267"/>
      <c r="AA1024" s="267">
        <v>1</v>
      </c>
      <c r="AB1024" s="224">
        <v>1</v>
      </c>
      <c r="AC1024" s="267"/>
      <c r="AD1024" s="267"/>
      <c r="AE1024" s="267"/>
      <c r="AF1024" s="267">
        <v>1</v>
      </c>
      <c r="AG1024" s="224">
        <v>1</v>
      </c>
      <c r="AH1024" s="267"/>
      <c r="AI1024" s="267"/>
      <c r="AJ1024" s="267"/>
      <c r="AK1024" s="267">
        <v>1</v>
      </c>
      <c r="AL1024" s="224">
        <v>1</v>
      </c>
      <c r="AM1024" s="104">
        <v>4</v>
      </c>
      <c r="AN1024" s="103" t="s">
        <v>685</v>
      </c>
      <c r="AO1024" s="103" t="s">
        <v>626</v>
      </c>
      <c r="AP1024" s="103" t="s">
        <v>1228</v>
      </c>
      <c r="AQ1024" s="103" t="s">
        <v>1199</v>
      </c>
      <c r="AR1024" s="103" t="s">
        <v>945</v>
      </c>
      <c r="AS1024" s="271"/>
      <c r="AT1024" s="271"/>
      <c r="AU1024" s="271"/>
      <c r="AV1024" s="271"/>
      <c r="AW1024" s="271">
        <v>249112000</v>
      </c>
      <c r="AX1024" s="271"/>
      <c r="AY1024" s="271"/>
      <c r="AZ1024" s="271"/>
      <c r="BA1024" s="271"/>
      <c r="BB1024" s="271"/>
      <c r="BC1024" s="271"/>
      <c r="BD1024" s="271"/>
      <c r="BE1024" s="271"/>
      <c r="BF1024" s="271"/>
      <c r="BG1024" s="271"/>
      <c r="BH1024" s="235">
        <f t="shared" si="523"/>
        <v>249112000</v>
      </c>
      <c r="BI1024" s="271"/>
      <c r="BJ1024" s="271"/>
      <c r="BK1024" s="271"/>
      <c r="BL1024" s="271"/>
      <c r="BM1024" s="271">
        <v>100000000</v>
      </c>
      <c r="BN1024" s="271"/>
      <c r="BO1024" s="271"/>
      <c r="BP1024" s="271"/>
      <c r="BQ1024" s="271"/>
      <c r="BR1024" s="271"/>
      <c r="BS1024" s="271"/>
      <c r="BT1024" s="271"/>
      <c r="BU1024" s="271"/>
      <c r="BV1024" s="271"/>
      <c r="BW1024" s="271"/>
      <c r="BX1024" s="235">
        <f t="shared" si="524"/>
        <v>100000000</v>
      </c>
      <c r="BY1024" s="271"/>
      <c r="BZ1024" s="271"/>
      <c r="CA1024" s="271"/>
      <c r="CB1024" s="271"/>
      <c r="CC1024" s="271">
        <v>100000000</v>
      </c>
      <c r="CD1024" s="271"/>
      <c r="CE1024" s="271"/>
      <c r="CF1024" s="271"/>
      <c r="CG1024" s="271"/>
      <c r="CH1024" s="271"/>
      <c r="CI1024" s="271"/>
      <c r="CJ1024" s="271"/>
      <c r="CK1024" s="271"/>
      <c r="CL1024" s="271"/>
      <c r="CM1024" s="271"/>
      <c r="CN1024" s="235">
        <f t="shared" si="525"/>
        <v>100000000</v>
      </c>
      <c r="CO1024" s="271"/>
      <c r="CP1024" s="271"/>
      <c r="CQ1024" s="271"/>
      <c r="CR1024" s="271"/>
      <c r="CS1024" s="271">
        <v>100000000</v>
      </c>
      <c r="CT1024" s="271"/>
      <c r="CU1024" s="271"/>
      <c r="CV1024" s="271"/>
      <c r="CW1024" s="271"/>
      <c r="CX1024" s="271"/>
      <c r="CY1024" s="271"/>
      <c r="CZ1024" s="271"/>
      <c r="DA1024" s="271"/>
      <c r="DB1024" s="271"/>
      <c r="DC1024" s="271"/>
      <c r="DD1024" s="234">
        <f t="shared" si="526"/>
        <v>100000000</v>
      </c>
      <c r="DE1024" s="244">
        <f t="shared" si="527"/>
        <v>549112000</v>
      </c>
    </row>
    <row r="1025" spans="1:110" s="98" customFormat="1" ht="119.1" customHeight="1">
      <c r="A1025" s="103" t="s">
        <v>1237</v>
      </c>
      <c r="B1025" s="279" t="s">
        <v>2051</v>
      </c>
      <c r="C1025" s="279" t="s">
        <v>2052</v>
      </c>
      <c r="D1025" s="279">
        <v>94</v>
      </c>
      <c r="E1025" s="279" t="s">
        <v>2128</v>
      </c>
      <c r="F1025" s="280" t="s">
        <v>2129</v>
      </c>
      <c r="G1025" s="279" t="s">
        <v>2834</v>
      </c>
      <c r="H1025" s="279">
        <v>112</v>
      </c>
      <c r="I1025" s="279" t="s">
        <v>2130</v>
      </c>
      <c r="J1025" s="279" t="s">
        <v>683</v>
      </c>
      <c r="K1025" s="279">
        <v>0</v>
      </c>
      <c r="L1025" s="279">
        <v>2</v>
      </c>
      <c r="M1025" s="279" t="s">
        <v>2136</v>
      </c>
      <c r="N1025" s="279" t="s">
        <v>2137</v>
      </c>
      <c r="O1025" s="279" t="s">
        <v>2138</v>
      </c>
      <c r="P1025" s="283">
        <v>899</v>
      </c>
      <c r="Q1025" s="279" t="s">
        <v>3799</v>
      </c>
      <c r="R1025" s="279" t="s">
        <v>504</v>
      </c>
      <c r="S1025" s="279" t="s">
        <v>683</v>
      </c>
      <c r="T1025" s="279">
        <v>2663</v>
      </c>
      <c r="U1025" s="267">
        <v>2663</v>
      </c>
      <c r="V1025" s="267"/>
      <c r="W1025" s="224">
        <v>2663</v>
      </c>
      <c r="X1025" s="267"/>
      <c r="Y1025" s="267"/>
      <c r="Z1025" s="267"/>
      <c r="AA1025" s="267"/>
      <c r="AB1025" s="224">
        <v>0</v>
      </c>
      <c r="AC1025" s="267"/>
      <c r="AD1025" s="267"/>
      <c r="AE1025" s="267"/>
      <c r="AF1025" s="267"/>
      <c r="AG1025" s="224">
        <v>0</v>
      </c>
      <c r="AH1025" s="267"/>
      <c r="AI1025" s="267"/>
      <c r="AJ1025" s="267"/>
      <c r="AK1025" s="267"/>
      <c r="AL1025" s="224">
        <v>0</v>
      </c>
      <c r="AM1025" s="104">
        <v>2663</v>
      </c>
      <c r="AN1025" s="103" t="s">
        <v>685</v>
      </c>
      <c r="AO1025" s="103" t="s">
        <v>626</v>
      </c>
      <c r="AP1025" s="103" t="s">
        <v>1228</v>
      </c>
      <c r="AQ1025" s="103" t="s">
        <v>1199</v>
      </c>
      <c r="AR1025" s="103" t="s">
        <v>945</v>
      </c>
      <c r="AS1025" s="271"/>
      <c r="AT1025" s="271"/>
      <c r="AU1025" s="271"/>
      <c r="AV1025" s="271"/>
      <c r="AW1025" s="271">
        <v>140000000</v>
      </c>
      <c r="AX1025" s="271"/>
      <c r="AY1025" s="271"/>
      <c r="AZ1025" s="271"/>
      <c r="BA1025" s="271"/>
      <c r="BB1025" s="271"/>
      <c r="BC1025" s="271"/>
      <c r="BD1025" s="271"/>
      <c r="BE1025" s="271"/>
      <c r="BF1025" s="271"/>
      <c r="BG1025" s="271"/>
      <c r="BH1025" s="235">
        <f t="shared" si="523"/>
        <v>140000000</v>
      </c>
      <c r="BI1025" s="271"/>
      <c r="BJ1025" s="271"/>
      <c r="BK1025" s="271"/>
      <c r="BL1025" s="271"/>
      <c r="BM1025" s="271"/>
      <c r="BN1025" s="271"/>
      <c r="BO1025" s="271"/>
      <c r="BP1025" s="271"/>
      <c r="BQ1025" s="271"/>
      <c r="BR1025" s="271"/>
      <c r="BS1025" s="271"/>
      <c r="BT1025" s="271"/>
      <c r="BU1025" s="271"/>
      <c r="BV1025" s="271"/>
      <c r="BW1025" s="271"/>
      <c r="BX1025" s="235">
        <f t="shared" si="524"/>
        <v>0</v>
      </c>
      <c r="BY1025" s="271"/>
      <c r="BZ1025" s="271"/>
      <c r="CA1025" s="271"/>
      <c r="CB1025" s="271"/>
      <c r="CC1025" s="271"/>
      <c r="CD1025" s="271"/>
      <c r="CE1025" s="271"/>
      <c r="CF1025" s="271"/>
      <c r="CG1025" s="271"/>
      <c r="CH1025" s="271"/>
      <c r="CI1025" s="271"/>
      <c r="CJ1025" s="271"/>
      <c r="CK1025" s="271"/>
      <c r="CL1025" s="271"/>
      <c r="CM1025" s="271"/>
      <c r="CN1025" s="235">
        <f t="shared" si="525"/>
        <v>0</v>
      </c>
      <c r="CO1025" s="271"/>
      <c r="CP1025" s="271"/>
      <c r="CQ1025" s="271"/>
      <c r="CR1025" s="271"/>
      <c r="CS1025" s="271"/>
      <c r="CT1025" s="271"/>
      <c r="CU1025" s="271"/>
      <c r="CV1025" s="271"/>
      <c r="CW1025" s="271"/>
      <c r="CX1025" s="271"/>
      <c r="CY1025" s="271"/>
      <c r="CZ1025" s="271"/>
      <c r="DA1025" s="271"/>
      <c r="DB1025" s="271"/>
      <c r="DC1025" s="271"/>
      <c r="DD1025" s="234">
        <f t="shared" si="526"/>
        <v>0</v>
      </c>
      <c r="DE1025" s="244">
        <f t="shared" si="527"/>
        <v>140000000</v>
      </c>
    </row>
    <row r="1026" spans="1:110" s="98" customFormat="1" ht="119.1" customHeight="1">
      <c r="A1026" s="103" t="s">
        <v>1237</v>
      </c>
      <c r="B1026" s="279" t="s">
        <v>2051</v>
      </c>
      <c r="C1026" s="279" t="s">
        <v>2052</v>
      </c>
      <c r="D1026" s="279">
        <v>94</v>
      </c>
      <c r="E1026" s="279" t="s">
        <v>2128</v>
      </c>
      <c r="F1026" s="280" t="s">
        <v>2129</v>
      </c>
      <c r="G1026" s="279" t="s">
        <v>2834</v>
      </c>
      <c r="H1026" s="279">
        <v>112</v>
      </c>
      <c r="I1026" s="279" t="s">
        <v>2130</v>
      </c>
      <c r="J1026" s="279" t="s">
        <v>683</v>
      </c>
      <c r="K1026" s="279">
        <v>0</v>
      </c>
      <c r="L1026" s="279">
        <v>2</v>
      </c>
      <c r="M1026" s="279" t="s">
        <v>2139</v>
      </c>
      <c r="N1026" s="279" t="s">
        <v>2140</v>
      </c>
      <c r="O1026" s="279" t="s">
        <v>2141</v>
      </c>
      <c r="P1026" s="283">
        <v>900</v>
      </c>
      <c r="Q1026" s="279" t="s">
        <v>2839</v>
      </c>
      <c r="R1026" s="279" t="s">
        <v>2142</v>
      </c>
      <c r="S1026" s="279" t="s">
        <v>683</v>
      </c>
      <c r="T1026" s="279">
        <v>0</v>
      </c>
      <c r="U1026" s="267"/>
      <c r="V1026" s="267"/>
      <c r="W1026" s="224">
        <v>0</v>
      </c>
      <c r="X1026" s="267">
        <v>1</v>
      </c>
      <c r="Y1026" s="267">
        <v>1</v>
      </c>
      <c r="Z1026" s="267">
        <v>1</v>
      </c>
      <c r="AA1026" s="267">
        <v>1</v>
      </c>
      <c r="AB1026" s="224">
        <v>4</v>
      </c>
      <c r="AC1026" s="267">
        <v>1</v>
      </c>
      <c r="AD1026" s="267">
        <v>2</v>
      </c>
      <c r="AE1026" s="267">
        <v>1</v>
      </c>
      <c r="AF1026" s="267">
        <v>1</v>
      </c>
      <c r="AG1026" s="224">
        <v>5</v>
      </c>
      <c r="AH1026" s="267">
        <v>1</v>
      </c>
      <c r="AI1026" s="267">
        <v>1</v>
      </c>
      <c r="AJ1026" s="267">
        <v>1</v>
      </c>
      <c r="AK1026" s="267">
        <v>1</v>
      </c>
      <c r="AL1026" s="224">
        <v>4</v>
      </c>
      <c r="AM1026" s="104">
        <v>13</v>
      </c>
      <c r="AN1026" s="103" t="s">
        <v>685</v>
      </c>
      <c r="AO1026" s="103" t="s">
        <v>626</v>
      </c>
      <c r="AP1026" s="103" t="s">
        <v>1228</v>
      </c>
      <c r="AQ1026" s="103" t="s">
        <v>1199</v>
      </c>
      <c r="AR1026" s="103" t="s">
        <v>945</v>
      </c>
      <c r="AS1026" s="271"/>
      <c r="AT1026" s="271"/>
      <c r="AU1026" s="271"/>
      <c r="AV1026" s="271"/>
      <c r="AW1026" s="271"/>
      <c r="AX1026" s="271"/>
      <c r="AY1026" s="271"/>
      <c r="AZ1026" s="271"/>
      <c r="BA1026" s="271"/>
      <c r="BB1026" s="271"/>
      <c r="BC1026" s="271"/>
      <c r="BD1026" s="271"/>
      <c r="BE1026" s="271"/>
      <c r="BF1026" s="271"/>
      <c r="BG1026" s="271"/>
      <c r="BH1026" s="235">
        <f t="shared" si="523"/>
        <v>0</v>
      </c>
      <c r="BI1026" s="271"/>
      <c r="BJ1026" s="271"/>
      <c r="BK1026" s="271"/>
      <c r="BL1026" s="271"/>
      <c r="BM1026" s="271">
        <v>156107733.72775</v>
      </c>
      <c r="BN1026" s="271"/>
      <c r="BO1026" s="271"/>
      <c r="BP1026" s="271"/>
      <c r="BQ1026" s="271"/>
      <c r="BR1026" s="271"/>
      <c r="BS1026" s="271"/>
      <c r="BT1026" s="271"/>
      <c r="BU1026" s="271"/>
      <c r="BV1026" s="271"/>
      <c r="BW1026" s="271"/>
      <c r="BX1026" s="235">
        <f t="shared" si="524"/>
        <v>156107733.72775</v>
      </c>
      <c r="BY1026" s="271"/>
      <c r="BZ1026" s="271"/>
      <c r="CA1026" s="271"/>
      <c r="CB1026" s="271"/>
      <c r="CC1026" s="271">
        <v>90228162</v>
      </c>
      <c r="CD1026" s="271"/>
      <c r="CE1026" s="271"/>
      <c r="CF1026" s="271"/>
      <c r="CG1026" s="271"/>
      <c r="CH1026" s="271"/>
      <c r="CI1026" s="271"/>
      <c r="CJ1026" s="271"/>
      <c r="CK1026" s="271"/>
      <c r="CL1026" s="271"/>
      <c r="CM1026" s="271"/>
      <c r="CN1026" s="235">
        <f t="shared" si="525"/>
        <v>90228162</v>
      </c>
      <c r="CO1026" s="271"/>
      <c r="CP1026" s="271"/>
      <c r="CQ1026" s="271"/>
      <c r="CR1026" s="271"/>
      <c r="CS1026" s="271">
        <v>14576829.68895</v>
      </c>
      <c r="CT1026" s="271"/>
      <c r="CU1026" s="271"/>
      <c r="CV1026" s="271"/>
      <c r="CW1026" s="271"/>
      <c r="CX1026" s="271"/>
      <c r="CY1026" s="271"/>
      <c r="CZ1026" s="271"/>
      <c r="DA1026" s="271"/>
      <c r="DB1026" s="271"/>
      <c r="DC1026" s="271"/>
      <c r="DD1026" s="234">
        <f t="shared" si="526"/>
        <v>14576829.68895</v>
      </c>
      <c r="DE1026" s="244">
        <f t="shared" si="527"/>
        <v>260912725.41670001</v>
      </c>
    </row>
    <row r="1027" spans="1:110" s="98" customFormat="1" ht="119.1" customHeight="1">
      <c r="A1027" s="103" t="s">
        <v>1237</v>
      </c>
      <c r="B1027" s="279" t="s">
        <v>2051</v>
      </c>
      <c r="C1027" s="279" t="s">
        <v>2052</v>
      </c>
      <c r="D1027" s="279">
        <v>94</v>
      </c>
      <c r="E1027" s="279" t="s">
        <v>2128</v>
      </c>
      <c r="F1027" s="280" t="s">
        <v>2129</v>
      </c>
      <c r="G1027" s="279" t="s">
        <v>2834</v>
      </c>
      <c r="H1027" s="279">
        <v>112</v>
      </c>
      <c r="I1027" s="279" t="s">
        <v>2130</v>
      </c>
      <c r="J1027" s="279" t="s">
        <v>683</v>
      </c>
      <c r="K1027" s="279">
        <v>0</v>
      </c>
      <c r="L1027" s="279">
        <v>2</v>
      </c>
      <c r="M1027" s="279" t="s">
        <v>2143</v>
      </c>
      <c r="N1027" s="279" t="s">
        <v>2144</v>
      </c>
      <c r="O1027" s="279" t="s">
        <v>2145</v>
      </c>
      <c r="P1027" s="283">
        <v>901</v>
      </c>
      <c r="Q1027" s="279" t="s">
        <v>2840</v>
      </c>
      <c r="R1027" s="279" t="s">
        <v>505</v>
      </c>
      <c r="S1027" s="279" t="s">
        <v>683</v>
      </c>
      <c r="T1027" s="279">
        <v>0</v>
      </c>
      <c r="U1027" s="267"/>
      <c r="V1027" s="267"/>
      <c r="W1027" s="224">
        <v>0</v>
      </c>
      <c r="X1027" s="267"/>
      <c r="Y1027" s="267"/>
      <c r="Z1027" s="267"/>
      <c r="AA1027" s="267"/>
      <c r="AB1027" s="224">
        <v>0</v>
      </c>
      <c r="AC1027" s="267"/>
      <c r="AD1027" s="267">
        <v>1</v>
      </c>
      <c r="AE1027" s="267"/>
      <c r="AF1027" s="267"/>
      <c r="AG1027" s="224">
        <v>1</v>
      </c>
      <c r="AH1027" s="267"/>
      <c r="AI1027" s="267"/>
      <c r="AJ1027" s="267"/>
      <c r="AK1027" s="267"/>
      <c r="AL1027" s="224">
        <v>0</v>
      </c>
      <c r="AM1027" s="104">
        <v>1</v>
      </c>
      <c r="AN1027" s="103" t="s">
        <v>685</v>
      </c>
      <c r="AO1027" s="103" t="s">
        <v>626</v>
      </c>
      <c r="AP1027" s="103" t="s">
        <v>1228</v>
      </c>
      <c r="AQ1027" s="103" t="s">
        <v>1199</v>
      </c>
      <c r="AR1027" s="103" t="s">
        <v>945</v>
      </c>
      <c r="AS1027" s="271"/>
      <c r="AT1027" s="271"/>
      <c r="AU1027" s="271"/>
      <c r="AV1027" s="271"/>
      <c r="AW1027" s="271"/>
      <c r="AX1027" s="271"/>
      <c r="AY1027" s="271"/>
      <c r="AZ1027" s="271"/>
      <c r="BA1027" s="271"/>
      <c r="BB1027" s="271"/>
      <c r="BC1027" s="271"/>
      <c r="BD1027" s="271"/>
      <c r="BE1027" s="271"/>
      <c r="BF1027" s="271"/>
      <c r="BG1027" s="271"/>
      <c r="BH1027" s="235">
        <f t="shared" si="523"/>
        <v>0</v>
      </c>
      <c r="BI1027" s="271"/>
      <c r="BJ1027" s="271"/>
      <c r="BK1027" s="271"/>
      <c r="BL1027" s="271"/>
      <c r="BM1027" s="271"/>
      <c r="BN1027" s="271"/>
      <c r="BO1027" s="271"/>
      <c r="BP1027" s="271"/>
      <c r="BQ1027" s="271"/>
      <c r="BR1027" s="271"/>
      <c r="BS1027" s="271"/>
      <c r="BT1027" s="271"/>
      <c r="BU1027" s="271"/>
      <c r="BV1027" s="271"/>
      <c r="BW1027" s="271"/>
      <c r="BX1027" s="235">
        <f t="shared" si="524"/>
        <v>0</v>
      </c>
      <c r="BY1027" s="271"/>
      <c r="BZ1027" s="271"/>
      <c r="CA1027" s="271"/>
      <c r="CB1027" s="271"/>
      <c r="CC1027" s="271">
        <v>143568953.06237999</v>
      </c>
      <c r="CD1027" s="271"/>
      <c r="CE1027" s="271"/>
      <c r="CF1027" s="271"/>
      <c r="CG1027" s="271"/>
      <c r="CH1027" s="271"/>
      <c r="CI1027" s="271"/>
      <c r="CJ1027" s="271"/>
      <c r="CK1027" s="271"/>
      <c r="CL1027" s="271"/>
      <c r="CM1027" s="271"/>
      <c r="CN1027" s="235">
        <f t="shared" si="525"/>
        <v>143568953.06237999</v>
      </c>
      <c r="CO1027" s="271"/>
      <c r="CP1027" s="271"/>
      <c r="CQ1027" s="271"/>
      <c r="CR1027" s="271"/>
      <c r="CS1027" s="271"/>
      <c r="CT1027" s="271"/>
      <c r="CU1027" s="271"/>
      <c r="CV1027" s="271"/>
      <c r="CW1027" s="271"/>
      <c r="CX1027" s="271"/>
      <c r="CY1027" s="271"/>
      <c r="CZ1027" s="271"/>
      <c r="DA1027" s="271"/>
      <c r="DB1027" s="271"/>
      <c r="DC1027" s="271"/>
      <c r="DD1027" s="234">
        <f t="shared" si="526"/>
        <v>0</v>
      </c>
      <c r="DE1027" s="244">
        <f t="shared" si="527"/>
        <v>143568953.06237999</v>
      </c>
    </row>
    <row r="1028" spans="1:110" s="98" customFormat="1" ht="119.1" customHeight="1">
      <c r="A1028" s="120" t="s">
        <v>1237</v>
      </c>
      <c r="B1028" s="281" t="s">
        <v>2051</v>
      </c>
      <c r="C1028" s="281" t="s">
        <v>2052</v>
      </c>
      <c r="D1028" s="281">
        <v>94</v>
      </c>
      <c r="E1028" s="281" t="s">
        <v>2128</v>
      </c>
      <c r="F1028" s="282" t="s">
        <v>2129</v>
      </c>
      <c r="G1028" s="281" t="s">
        <v>2834</v>
      </c>
      <c r="H1028" s="281">
        <v>112</v>
      </c>
      <c r="I1028" s="281" t="s">
        <v>2130</v>
      </c>
      <c r="J1028" s="281" t="s">
        <v>683</v>
      </c>
      <c r="K1028" s="281">
        <v>0</v>
      </c>
      <c r="L1028" s="281">
        <v>2</v>
      </c>
      <c r="M1028" s="281" t="s">
        <v>2143</v>
      </c>
      <c r="N1028" s="281" t="s">
        <v>2144</v>
      </c>
      <c r="O1028" s="281" t="s">
        <v>2145</v>
      </c>
      <c r="P1028" s="283">
        <v>902</v>
      </c>
      <c r="Q1028" s="281" t="s">
        <v>2841</v>
      </c>
      <c r="R1028" s="281" t="s">
        <v>506</v>
      </c>
      <c r="S1028" s="281" t="s">
        <v>683</v>
      </c>
      <c r="T1028" s="281">
        <v>1</v>
      </c>
      <c r="U1028" s="275"/>
      <c r="V1028" s="275"/>
      <c r="W1028" s="225">
        <v>0</v>
      </c>
      <c r="X1028" s="275"/>
      <c r="Y1028" s="275"/>
      <c r="Z1028" s="275"/>
      <c r="AA1028" s="275"/>
      <c r="AB1028" s="225">
        <v>0</v>
      </c>
      <c r="AC1028" s="275"/>
      <c r="AD1028" s="275"/>
      <c r="AE1028" s="275"/>
      <c r="AF1028" s="275"/>
      <c r="AG1028" s="225">
        <v>0</v>
      </c>
      <c r="AH1028" s="275">
        <v>1</v>
      </c>
      <c r="AI1028" s="275"/>
      <c r="AJ1028" s="275"/>
      <c r="AK1028" s="275"/>
      <c r="AL1028" s="225">
        <v>1</v>
      </c>
      <c r="AM1028" s="119">
        <v>1</v>
      </c>
      <c r="AN1028" s="120" t="s">
        <v>686</v>
      </c>
      <c r="AO1028" s="120" t="s">
        <v>626</v>
      </c>
      <c r="AP1028" s="120" t="s">
        <v>1228</v>
      </c>
      <c r="AQ1028" s="120" t="s">
        <v>1199</v>
      </c>
      <c r="AR1028" s="120" t="s">
        <v>945</v>
      </c>
      <c r="AS1028" s="276"/>
      <c r="AT1028" s="276"/>
      <c r="AU1028" s="276"/>
      <c r="AV1028" s="276"/>
      <c r="AW1028" s="276"/>
      <c r="AX1028" s="276"/>
      <c r="AY1028" s="276"/>
      <c r="AZ1028" s="276"/>
      <c r="BA1028" s="276"/>
      <c r="BB1028" s="276"/>
      <c r="BC1028" s="276"/>
      <c r="BD1028" s="276"/>
      <c r="BE1028" s="276"/>
      <c r="BF1028" s="276"/>
      <c r="BG1028" s="276"/>
      <c r="BH1028" s="236">
        <f t="shared" si="523"/>
        <v>0</v>
      </c>
      <c r="BI1028" s="276"/>
      <c r="BJ1028" s="276"/>
      <c r="BK1028" s="276"/>
      <c r="BL1028" s="276"/>
      <c r="BM1028" s="276"/>
      <c r="BN1028" s="276"/>
      <c r="BO1028" s="276"/>
      <c r="BP1028" s="276"/>
      <c r="BQ1028" s="276"/>
      <c r="BR1028" s="276"/>
      <c r="BS1028" s="276"/>
      <c r="BT1028" s="276"/>
      <c r="BU1028" s="276"/>
      <c r="BV1028" s="276"/>
      <c r="BW1028" s="276"/>
      <c r="BX1028" s="236">
        <f t="shared" si="524"/>
        <v>0</v>
      </c>
      <c r="BY1028" s="276"/>
      <c r="BZ1028" s="276"/>
      <c r="CA1028" s="276"/>
      <c r="CB1028" s="276"/>
      <c r="CC1028" s="276"/>
      <c r="CD1028" s="276"/>
      <c r="CE1028" s="276"/>
      <c r="CF1028" s="276"/>
      <c r="CG1028" s="276"/>
      <c r="CH1028" s="276"/>
      <c r="CI1028" s="276"/>
      <c r="CJ1028" s="276"/>
      <c r="CK1028" s="276"/>
      <c r="CL1028" s="276"/>
      <c r="CM1028" s="276"/>
      <c r="CN1028" s="236">
        <f t="shared" si="525"/>
        <v>0</v>
      </c>
      <c r="CO1028" s="276"/>
      <c r="CP1028" s="276"/>
      <c r="CQ1028" s="276"/>
      <c r="CR1028" s="276"/>
      <c r="CS1028" s="276">
        <v>400000000</v>
      </c>
      <c r="CT1028" s="276"/>
      <c r="CU1028" s="276"/>
      <c r="CV1028" s="276"/>
      <c r="CW1028" s="276"/>
      <c r="CX1028" s="276"/>
      <c r="CY1028" s="276"/>
      <c r="CZ1028" s="276"/>
      <c r="DA1028" s="276"/>
      <c r="DB1028" s="276"/>
      <c r="DC1028" s="276"/>
      <c r="DD1028" s="240">
        <f t="shared" si="526"/>
        <v>400000000</v>
      </c>
      <c r="DE1028" s="245">
        <f t="shared" si="527"/>
        <v>400000000</v>
      </c>
    </row>
    <row r="1029" spans="1:110" ht="65.099999999999994" customHeight="1">
      <c r="A1029" s="118" t="s">
        <v>1237</v>
      </c>
      <c r="B1029" s="118" t="s">
        <v>2051</v>
      </c>
      <c r="C1029" s="118" t="s">
        <v>2052</v>
      </c>
      <c r="D1029" s="118">
        <v>94</v>
      </c>
      <c r="E1029" s="118" t="s">
        <v>2128</v>
      </c>
      <c r="F1029" s="135"/>
      <c r="G1029" s="136"/>
      <c r="H1029" s="137"/>
      <c r="I1029" s="137"/>
      <c r="J1029" s="137"/>
      <c r="K1029" s="138"/>
      <c r="L1029" s="137"/>
      <c r="M1029" s="137"/>
      <c r="N1029" s="137"/>
      <c r="O1029" s="137"/>
      <c r="P1029" s="137"/>
      <c r="Q1029" s="136"/>
      <c r="R1029" s="139"/>
      <c r="S1029" s="137"/>
      <c r="T1029" s="137"/>
      <c r="U1029" s="140"/>
      <c r="V1029" s="140"/>
      <c r="W1029" s="138"/>
      <c r="X1029" s="140"/>
      <c r="Y1029" s="140"/>
      <c r="Z1029" s="140"/>
      <c r="AA1029" s="140"/>
      <c r="AB1029" s="138"/>
      <c r="AC1029" s="140"/>
      <c r="AD1029" s="140"/>
      <c r="AE1029" s="140"/>
      <c r="AF1029" s="140"/>
      <c r="AG1029" s="138"/>
      <c r="AH1029" s="140"/>
      <c r="AI1029" s="140"/>
      <c r="AJ1029" s="140"/>
      <c r="AK1029" s="140"/>
      <c r="AL1029" s="138"/>
      <c r="AM1029" s="141"/>
      <c r="AN1029" s="142"/>
      <c r="AO1029" s="142"/>
      <c r="AP1029" s="143"/>
      <c r="AQ1029" s="143"/>
      <c r="AR1029" s="144"/>
      <c r="AS1029" s="132">
        <f>SUM(AS1021:AS1028)</f>
        <v>0</v>
      </c>
      <c r="AT1029" s="132">
        <f t="shared" ref="AT1029:DE1029" si="528">SUM(AT1021:AT1028)</f>
        <v>0</v>
      </c>
      <c r="AU1029" s="132">
        <f t="shared" si="528"/>
        <v>0</v>
      </c>
      <c r="AV1029" s="132">
        <f t="shared" si="528"/>
        <v>0</v>
      </c>
      <c r="AW1029" s="132">
        <f t="shared" si="528"/>
        <v>473752000</v>
      </c>
      <c r="AX1029" s="132">
        <f t="shared" si="528"/>
        <v>0</v>
      </c>
      <c r="AY1029" s="132">
        <f t="shared" si="528"/>
        <v>0</v>
      </c>
      <c r="AZ1029" s="132">
        <f t="shared" si="528"/>
        <v>0</v>
      </c>
      <c r="BA1029" s="132">
        <f t="shared" si="528"/>
        <v>0</v>
      </c>
      <c r="BB1029" s="132">
        <f t="shared" si="528"/>
        <v>0</v>
      </c>
      <c r="BC1029" s="132">
        <f t="shared" si="528"/>
        <v>0</v>
      </c>
      <c r="BD1029" s="132">
        <f t="shared" si="528"/>
        <v>0</v>
      </c>
      <c r="BE1029" s="132">
        <f t="shared" si="528"/>
        <v>0</v>
      </c>
      <c r="BF1029" s="132">
        <f t="shared" si="528"/>
        <v>0</v>
      </c>
      <c r="BG1029" s="132">
        <f t="shared" si="528"/>
        <v>0</v>
      </c>
      <c r="BH1029" s="132">
        <f>IF(OR(AND(BH1021=0,W1021&lt;&gt;0),AND(BH1022=0,W1022&lt;&gt;0),AND(BH1023=0,W1023&lt;&gt;0),AND(BH1024=0,W1024&lt;&gt;0),AND(BH1025=0,W1025&lt;&gt;0),AND(BH1026=0,W1026&lt;&gt;0),AND(BH1027=0,W1027&lt;&gt;0),AND(BH1028=0,W1028&lt;&gt;0)),"NO DEBEN QUEDAR CELDAS EN ROJO",SUM(BH1021:BH1028))</f>
        <v>473752000</v>
      </c>
      <c r="BI1029" s="132">
        <f t="shared" si="528"/>
        <v>0</v>
      </c>
      <c r="BJ1029" s="132">
        <f t="shared" si="528"/>
        <v>0</v>
      </c>
      <c r="BK1029" s="132">
        <f t="shared" si="528"/>
        <v>0</v>
      </c>
      <c r="BL1029" s="132">
        <f t="shared" si="528"/>
        <v>0</v>
      </c>
      <c r="BM1029" s="132">
        <f t="shared" si="528"/>
        <v>1336107733.7277501</v>
      </c>
      <c r="BN1029" s="132">
        <f t="shared" si="528"/>
        <v>0</v>
      </c>
      <c r="BO1029" s="132">
        <f t="shared" si="528"/>
        <v>0</v>
      </c>
      <c r="BP1029" s="132">
        <f t="shared" si="528"/>
        <v>0</v>
      </c>
      <c r="BQ1029" s="132">
        <f t="shared" si="528"/>
        <v>0</v>
      </c>
      <c r="BR1029" s="132">
        <f t="shared" si="528"/>
        <v>0</v>
      </c>
      <c r="BS1029" s="132">
        <f t="shared" si="528"/>
        <v>0</v>
      </c>
      <c r="BT1029" s="132">
        <f t="shared" si="528"/>
        <v>0</v>
      </c>
      <c r="BU1029" s="132">
        <f t="shared" si="528"/>
        <v>0</v>
      </c>
      <c r="BV1029" s="132">
        <f t="shared" si="528"/>
        <v>0</v>
      </c>
      <c r="BW1029" s="132">
        <f t="shared" si="528"/>
        <v>0</v>
      </c>
      <c r="BX1029" s="132">
        <f>IF(OR(AND(BX1021=0,AB1021&lt;&gt;0),AND(BX1022=0,AB1022&lt;&gt;0),AND(BX1023=0,AB1023&lt;&gt;0),AND(BX1024=0,AB1024&lt;&gt;0),AND(BX1025=0,AB1025&lt;&gt;0),AND(BX1026=0,AB1026&lt;&gt;0),AND(BX1027=0,AB1027&lt;&gt;0),AND(BX1028=0,AB1028&lt;&gt;0)),"NO DEBEN QUEDAR CELDAS EN ROJO",SUM(BX1021:BX1028))</f>
        <v>1336107733.7277501</v>
      </c>
      <c r="BY1029" s="132">
        <f t="shared" si="528"/>
        <v>0</v>
      </c>
      <c r="BZ1029" s="132">
        <f t="shared" si="528"/>
        <v>0</v>
      </c>
      <c r="CA1029" s="132">
        <f t="shared" si="528"/>
        <v>0</v>
      </c>
      <c r="CB1029" s="132">
        <f t="shared" si="528"/>
        <v>0</v>
      </c>
      <c r="CC1029" s="132">
        <f t="shared" si="528"/>
        <v>1504913723.0623801</v>
      </c>
      <c r="CD1029" s="132">
        <f t="shared" si="528"/>
        <v>0</v>
      </c>
      <c r="CE1029" s="132">
        <f t="shared" si="528"/>
        <v>0</v>
      </c>
      <c r="CF1029" s="132">
        <f t="shared" si="528"/>
        <v>0</v>
      </c>
      <c r="CG1029" s="132">
        <f t="shared" si="528"/>
        <v>0</v>
      </c>
      <c r="CH1029" s="132">
        <f t="shared" si="528"/>
        <v>0</v>
      </c>
      <c r="CI1029" s="132">
        <f t="shared" si="528"/>
        <v>0</v>
      </c>
      <c r="CJ1029" s="132">
        <f t="shared" si="528"/>
        <v>0</v>
      </c>
      <c r="CK1029" s="132">
        <f t="shared" si="528"/>
        <v>0</v>
      </c>
      <c r="CL1029" s="132">
        <f t="shared" si="528"/>
        <v>0</v>
      </c>
      <c r="CM1029" s="132">
        <f t="shared" si="528"/>
        <v>0</v>
      </c>
      <c r="CN1029" s="132">
        <f>IF(OR(AND(CN1021=0,AG1021&lt;&gt;0),AND(CN1022=0,AG1022&lt;&gt;0),AND(CN1023=0,AG1023&lt;&gt;0),AND(CN1024=0,AG1024&lt;&gt;0),AND(CN1025=0,AG1025&lt;&gt;0),AND(CN1026=0,AG1026&lt;&gt;0),AND(CN1027=0,AG1027&lt;&gt;0),AND(CN1028=0,AG1028&lt;&gt;0)),"NO DEBEN QUEDAR CELDAS EN ROJO",SUM(CN1021:CN1028))</f>
        <v>1504913723.0623801</v>
      </c>
      <c r="CO1029" s="132">
        <f t="shared" si="528"/>
        <v>0</v>
      </c>
      <c r="CP1029" s="132">
        <f t="shared" si="528"/>
        <v>0</v>
      </c>
      <c r="CQ1029" s="132">
        <f t="shared" si="528"/>
        <v>0</v>
      </c>
      <c r="CR1029" s="132">
        <f t="shared" si="528"/>
        <v>0</v>
      </c>
      <c r="CS1029" s="132">
        <f t="shared" si="528"/>
        <v>1607929845.6889501</v>
      </c>
      <c r="CT1029" s="132">
        <f t="shared" si="528"/>
        <v>0</v>
      </c>
      <c r="CU1029" s="132">
        <f t="shared" si="528"/>
        <v>0</v>
      </c>
      <c r="CV1029" s="132">
        <f t="shared" si="528"/>
        <v>0</v>
      </c>
      <c r="CW1029" s="132">
        <f t="shared" si="528"/>
        <v>0</v>
      </c>
      <c r="CX1029" s="132">
        <f t="shared" si="528"/>
        <v>0</v>
      </c>
      <c r="CY1029" s="132">
        <f t="shared" si="528"/>
        <v>0</v>
      </c>
      <c r="CZ1029" s="132">
        <f t="shared" si="528"/>
        <v>0</v>
      </c>
      <c r="DA1029" s="132">
        <f t="shared" si="528"/>
        <v>0</v>
      </c>
      <c r="DB1029" s="132">
        <f t="shared" si="528"/>
        <v>0</v>
      </c>
      <c r="DC1029" s="132">
        <f t="shared" si="528"/>
        <v>0</v>
      </c>
      <c r="DD1029" s="132">
        <f>IF(OR(AND(DD1021=0,AL1021&lt;&gt;0),AND(DD1022=0,AL1022&lt;&gt;0),AND(DD1023=0,AL1023&lt;&gt;0),AND(DD1024=0,AL1024&lt;&gt;0),AND(DD1025=0,AL1025&lt;&gt;0),AND(DD1026=0,AL1026&lt;&gt;0),AND(DD1027=0,AL1027&lt;&gt;0),AND(DD1028=0,AL1028&lt;&gt;0)),"NO DEBEN QUEDAR CELDAS EN ROJO",SUM(DD1021:DD1028))</f>
        <v>1607929845.6889501</v>
      </c>
      <c r="DE1029" s="132">
        <f t="shared" si="528"/>
        <v>4922703302.4790802</v>
      </c>
      <c r="DF1029" s="101"/>
    </row>
    <row r="1030" spans="1:110" s="98" customFormat="1" ht="139.05000000000001" customHeight="1">
      <c r="A1030" s="103" t="s">
        <v>1237</v>
      </c>
      <c r="B1030" s="103" t="s">
        <v>2051</v>
      </c>
      <c r="C1030" s="103" t="s">
        <v>2052</v>
      </c>
      <c r="D1030" s="103">
        <v>95</v>
      </c>
      <c r="E1030" s="103" t="s">
        <v>2146</v>
      </c>
      <c r="F1030" s="278" t="s">
        <v>2147</v>
      </c>
      <c r="G1030" s="103" t="s">
        <v>3222</v>
      </c>
      <c r="H1030" s="103">
        <v>113</v>
      </c>
      <c r="I1030" s="103" t="s">
        <v>507</v>
      </c>
      <c r="J1030" s="103" t="s">
        <v>683</v>
      </c>
      <c r="K1030" s="103">
        <v>0</v>
      </c>
      <c r="L1030" s="103">
        <v>10</v>
      </c>
      <c r="M1030" s="103" t="s">
        <v>2148</v>
      </c>
      <c r="N1030" s="103" t="s">
        <v>2149</v>
      </c>
      <c r="O1030" s="103" t="s">
        <v>2150</v>
      </c>
      <c r="P1030" s="283">
        <v>903</v>
      </c>
      <c r="Q1030" s="103" t="s">
        <v>2842</v>
      </c>
      <c r="R1030" s="103" t="s">
        <v>508</v>
      </c>
      <c r="S1030" s="103" t="s">
        <v>683</v>
      </c>
      <c r="T1030" s="103">
        <v>0</v>
      </c>
      <c r="U1030" s="267"/>
      <c r="V1030" s="267"/>
      <c r="W1030" s="224">
        <v>0</v>
      </c>
      <c r="X1030" s="267">
        <v>1</v>
      </c>
      <c r="Y1030" s="267">
        <v>1</v>
      </c>
      <c r="Z1030" s="267">
        <v>1</v>
      </c>
      <c r="AA1030" s="267">
        <v>1</v>
      </c>
      <c r="AB1030" s="224">
        <v>4</v>
      </c>
      <c r="AC1030" s="267">
        <v>1</v>
      </c>
      <c r="AD1030" s="267">
        <v>1</v>
      </c>
      <c r="AE1030" s="267">
        <v>1</v>
      </c>
      <c r="AF1030" s="267">
        <v>1</v>
      </c>
      <c r="AG1030" s="224">
        <v>4</v>
      </c>
      <c r="AH1030" s="267">
        <v>1</v>
      </c>
      <c r="AI1030" s="267">
        <v>1</v>
      </c>
      <c r="AJ1030" s="267"/>
      <c r="AK1030" s="267"/>
      <c r="AL1030" s="224">
        <v>2</v>
      </c>
      <c r="AM1030" s="102">
        <v>10</v>
      </c>
      <c r="AN1030" s="103" t="s">
        <v>685</v>
      </c>
      <c r="AO1030" s="103" t="s">
        <v>626</v>
      </c>
      <c r="AP1030" s="103" t="s">
        <v>1228</v>
      </c>
      <c r="AQ1030" s="103" t="s">
        <v>1199</v>
      </c>
      <c r="AR1030" s="103" t="s">
        <v>945</v>
      </c>
      <c r="AS1030" s="268"/>
      <c r="AT1030" s="268"/>
      <c r="AU1030" s="268"/>
      <c r="AV1030" s="268"/>
      <c r="AW1030" s="268"/>
      <c r="AX1030" s="268"/>
      <c r="AY1030" s="268"/>
      <c r="AZ1030" s="268"/>
      <c r="BA1030" s="268"/>
      <c r="BB1030" s="268"/>
      <c r="BC1030" s="268"/>
      <c r="BD1030" s="268"/>
      <c r="BE1030" s="268"/>
      <c r="BF1030" s="268"/>
      <c r="BG1030" s="268"/>
      <c r="BH1030" s="234">
        <f>IF(W1030=0,0,BG1030+BF1030+BE1030+BD1030+BC1030+BB1030+BA1030+AZ1030+AY1030+AX1030+AW1030+AV1030+AU1030+AT1030+AS1030)</f>
        <v>0</v>
      </c>
      <c r="BI1030" s="268"/>
      <c r="BJ1030" s="268"/>
      <c r="BK1030" s="268"/>
      <c r="BL1030" s="268"/>
      <c r="BM1030" s="268">
        <v>31854350</v>
      </c>
      <c r="BN1030" s="268"/>
      <c r="BO1030" s="268"/>
      <c r="BP1030" s="268"/>
      <c r="BQ1030" s="268"/>
      <c r="BR1030" s="268"/>
      <c r="BS1030" s="268"/>
      <c r="BT1030" s="268"/>
      <c r="BU1030" s="268"/>
      <c r="BV1030" s="268"/>
      <c r="BW1030" s="268"/>
      <c r="BX1030" s="234">
        <f>IF(AB1030=0,0,BI1030+BJ1030+BK1030+BL1030+BM1030+BN1030+BO1030+BP1030+BQ1030+BR1030+BS1030+BT1030+BU1030+BV1030+BW1030)</f>
        <v>31854350</v>
      </c>
      <c r="BY1030" s="268"/>
      <c r="BZ1030" s="268"/>
      <c r="CA1030" s="268"/>
      <c r="CB1030" s="268"/>
      <c r="CC1030" s="268">
        <v>25175300</v>
      </c>
      <c r="CD1030" s="268"/>
      <c r="CE1030" s="268"/>
      <c r="CF1030" s="268"/>
      <c r="CG1030" s="268"/>
      <c r="CH1030" s="268"/>
      <c r="CI1030" s="268"/>
      <c r="CJ1030" s="268"/>
      <c r="CK1030" s="268"/>
      <c r="CL1030" s="268"/>
      <c r="CM1030" s="268"/>
      <c r="CN1030" s="234">
        <f>IF(AG1030=0,0,(BY1030+BZ1030+CA1030+CB1030+CC1030+CD1030+CE1030+CF1030+CG1030+CH1030+CI1030+CJ1030+CK1030+CL1030+CM1030))</f>
        <v>25175300</v>
      </c>
      <c r="CO1030" s="268"/>
      <c r="CP1030" s="268"/>
      <c r="CQ1030" s="268"/>
      <c r="CR1030" s="268"/>
      <c r="CS1030" s="268">
        <v>25175300</v>
      </c>
      <c r="CT1030" s="268"/>
      <c r="CU1030" s="268"/>
      <c r="CV1030" s="268"/>
      <c r="CW1030" s="268"/>
      <c r="CX1030" s="268"/>
      <c r="CY1030" s="268"/>
      <c r="CZ1030" s="268"/>
      <c r="DA1030" s="268"/>
      <c r="DB1030" s="268"/>
      <c r="DC1030" s="268"/>
      <c r="DD1030" s="234">
        <f>IF(AL1030=0,0,(CO1030+CP1030+CQ1030+CR1030+CS1030+CT1030+CU1030+CV1030+CW1030+CX1030+CY1030+CZ1030+DA1030+DB1030+DC1030))</f>
        <v>25175300</v>
      </c>
      <c r="DE1030" s="243">
        <f t="shared" ref="DE1030:DE1031" si="529">SUM(DD1030+CN1030+BX1030+BH1030)</f>
        <v>82204950</v>
      </c>
    </row>
    <row r="1031" spans="1:110" s="98" customFormat="1" ht="139.05000000000001" customHeight="1">
      <c r="A1031" s="120" t="s">
        <v>1237</v>
      </c>
      <c r="B1031" s="281" t="s">
        <v>2051</v>
      </c>
      <c r="C1031" s="281" t="s">
        <v>2052</v>
      </c>
      <c r="D1031" s="281">
        <v>95</v>
      </c>
      <c r="E1031" s="281" t="s">
        <v>2146</v>
      </c>
      <c r="F1031" s="282" t="s">
        <v>2147</v>
      </c>
      <c r="G1031" s="281" t="s">
        <v>3222</v>
      </c>
      <c r="H1031" s="281">
        <v>113</v>
      </c>
      <c r="I1031" s="281" t="s">
        <v>507</v>
      </c>
      <c r="J1031" s="281" t="s">
        <v>683</v>
      </c>
      <c r="K1031" s="281">
        <v>0</v>
      </c>
      <c r="L1031" s="281">
        <v>10</v>
      </c>
      <c r="M1031" s="281" t="s">
        <v>2148</v>
      </c>
      <c r="N1031" s="281" t="s">
        <v>2149</v>
      </c>
      <c r="O1031" s="281" t="s">
        <v>2150</v>
      </c>
      <c r="P1031" s="284">
        <v>904</v>
      </c>
      <c r="Q1031" s="281" t="s">
        <v>2843</v>
      </c>
      <c r="R1031" s="281" t="s">
        <v>2151</v>
      </c>
      <c r="S1031" s="281" t="s">
        <v>683</v>
      </c>
      <c r="T1031" s="281">
        <v>0</v>
      </c>
      <c r="U1031" s="275"/>
      <c r="V1031" s="275">
        <v>1</v>
      </c>
      <c r="W1031" s="225">
        <v>1</v>
      </c>
      <c r="X1031" s="275">
        <v>3</v>
      </c>
      <c r="Y1031" s="275">
        <v>3</v>
      </c>
      <c r="Z1031" s="275">
        <v>3</v>
      </c>
      <c r="AA1031" s="275">
        <v>4</v>
      </c>
      <c r="AB1031" s="225">
        <v>13</v>
      </c>
      <c r="AC1031" s="275">
        <v>3</v>
      </c>
      <c r="AD1031" s="275">
        <v>3</v>
      </c>
      <c r="AE1031" s="275">
        <v>4</v>
      </c>
      <c r="AF1031" s="275">
        <v>3</v>
      </c>
      <c r="AG1031" s="225">
        <v>13</v>
      </c>
      <c r="AH1031" s="275">
        <v>4</v>
      </c>
      <c r="AI1031" s="275">
        <v>3</v>
      </c>
      <c r="AJ1031" s="275">
        <v>3</v>
      </c>
      <c r="AK1031" s="275">
        <v>3</v>
      </c>
      <c r="AL1031" s="225">
        <v>13</v>
      </c>
      <c r="AM1031" s="119">
        <v>40</v>
      </c>
      <c r="AN1031" s="120" t="s">
        <v>685</v>
      </c>
      <c r="AO1031" s="120" t="s">
        <v>626</v>
      </c>
      <c r="AP1031" s="120" t="s">
        <v>1228</v>
      </c>
      <c r="AQ1031" s="120" t="s">
        <v>1199</v>
      </c>
      <c r="AR1031" s="120" t="s">
        <v>945</v>
      </c>
      <c r="AS1031" s="276"/>
      <c r="AT1031" s="276"/>
      <c r="AU1031" s="276"/>
      <c r="AV1031" s="276"/>
      <c r="AW1031" s="276">
        <v>50888000</v>
      </c>
      <c r="AX1031" s="276"/>
      <c r="AY1031" s="276"/>
      <c r="AZ1031" s="276"/>
      <c r="BA1031" s="276"/>
      <c r="BB1031" s="276"/>
      <c r="BC1031" s="276"/>
      <c r="BD1031" s="276"/>
      <c r="BE1031" s="276"/>
      <c r="BF1031" s="276"/>
      <c r="BG1031" s="276"/>
      <c r="BH1031" s="236">
        <f>IF(W1031=0,0,BG1031+BF1031+BE1031+BD1031+BC1031+BB1031+BA1031+AZ1031+AY1031+AX1031+AW1031+AV1031+AU1031+AT1031+AS1031)</f>
        <v>50888000</v>
      </c>
      <c r="BI1031" s="276"/>
      <c r="BJ1031" s="276"/>
      <c r="BK1031" s="276"/>
      <c r="BL1031" s="276"/>
      <c r="BM1031" s="276">
        <v>133581000</v>
      </c>
      <c r="BN1031" s="276"/>
      <c r="BO1031" s="276"/>
      <c r="BP1031" s="276"/>
      <c r="BQ1031" s="276"/>
      <c r="BR1031" s="276"/>
      <c r="BS1031" s="276"/>
      <c r="BT1031" s="276"/>
      <c r="BU1031" s="276"/>
      <c r="BV1031" s="276"/>
      <c r="BW1031" s="276"/>
      <c r="BX1031" s="236">
        <f>IF(AB1031=0,0,BI1031+BJ1031+BK1031+BL1031+BM1031+BN1031+BO1031+BP1031+BQ1031+BR1031+BS1031+BT1031+BU1031+BV1031+BW1031)</f>
        <v>133581000</v>
      </c>
      <c r="BY1031" s="276"/>
      <c r="BZ1031" s="276"/>
      <c r="CA1031" s="276"/>
      <c r="CB1031" s="276"/>
      <c r="CC1031" s="276">
        <v>147273052</v>
      </c>
      <c r="CD1031" s="276"/>
      <c r="CE1031" s="276"/>
      <c r="CF1031" s="276"/>
      <c r="CG1031" s="276"/>
      <c r="CH1031" s="276"/>
      <c r="CI1031" s="276"/>
      <c r="CJ1031" s="276"/>
      <c r="CK1031" s="276"/>
      <c r="CL1031" s="276"/>
      <c r="CM1031" s="276"/>
      <c r="CN1031" s="236">
        <f>IF(AG1031=0,0,(BY1031+BZ1031+CA1031+CB1031+CC1031+CD1031+CE1031+CF1031+CG1031+CH1031+CI1031+CJ1031+CK1031+CL1031+CM1031))</f>
        <v>147273052</v>
      </c>
      <c r="CO1031" s="276"/>
      <c r="CP1031" s="276"/>
      <c r="CQ1031" s="276"/>
      <c r="CR1031" s="276"/>
      <c r="CS1031" s="276">
        <v>158756300</v>
      </c>
      <c r="CT1031" s="276"/>
      <c r="CU1031" s="276"/>
      <c r="CV1031" s="276"/>
      <c r="CW1031" s="276"/>
      <c r="CX1031" s="276"/>
      <c r="CY1031" s="276"/>
      <c r="CZ1031" s="276"/>
      <c r="DA1031" s="276"/>
      <c r="DB1031" s="276"/>
      <c r="DC1031" s="276"/>
      <c r="DD1031" s="240">
        <f>IF(AL1031=0,0,(CO1031+CP1031+CQ1031+CR1031+CS1031+CT1031+CU1031+CV1031+CW1031+CX1031+CY1031+CZ1031+DA1031+DB1031+DC1031))</f>
        <v>158756300</v>
      </c>
      <c r="DE1031" s="245">
        <f t="shared" si="529"/>
        <v>490498352</v>
      </c>
    </row>
    <row r="1032" spans="1:110" ht="65.099999999999994" customHeight="1">
      <c r="A1032" s="118" t="s">
        <v>1237</v>
      </c>
      <c r="B1032" s="118" t="s">
        <v>2051</v>
      </c>
      <c r="C1032" s="118" t="s">
        <v>2052</v>
      </c>
      <c r="D1032" s="118">
        <v>95</v>
      </c>
      <c r="E1032" s="118" t="s">
        <v>2146</v>
      </c>
      <c r="F1032" s="135"/>
      <c r="G1032" s="136"/>
      <c r="H1032" s="137"/>
      <c r="I1032" s="137"/>
      <c r="J1032" s="137"/>
      <c r="K1032" s="138"/>
      <c r="L1032" s="137"/>
      <c r="M1032" s="137"/>
      <c r="N1032" s="137"/>
      <c r="O1032" s="137"/>
      <c r="P1032" s="137"/>
      <c r="Q1032" s="136"/>
      <c r="R1032" s="139"/>
      <c r="S1032" s="137"/>
      <c r="T1032" s="137"/>
      <c r="U1032" s="140"/>
      <c r="V1032" s="140"/>
      <c r="W1032" s="138"/>
      <c r="X1032" s="140"/>
      <c r="Y1032" s="140"/>
      <c r="Z1032" s="140"/>
      <c r="AA1032" s="140"/>
      <c r="AB1032" s="138"/>
      <c r="AC1032" s="140"/>
      <c r="AD1032" s="140"/>
      <c r="AE1032" s="140"/>
      <c r="AF1032" s="140"/>
      <c r="AG1032" s="138"/>
      <c r="AH1032" s="140"/>
      <c r="AI1032" s="140"/>
      <c r="AJ1032" s="140"/>
      <c r="AK1032" s="140"/>
      <c r="AL1032" s="138"/>
      <c r="AM1032" s="141"/>
      <c r="AN1032" s="142"/>
      <c r="AO1032" s="142"/>
      <c r="AP1032" s="143"/>
      <c r="AQ1032" s="143"/>
      <c r="AR1032" s="144"/>
      <c r="AS1032" s="132">
        <f>SUM(AS1030:AS1031)</f>
        <v>0</v>
      </c>
      <c r="AT1032" s="132">
        <f t="shared" ref="AT1032:DE1032" si="530">SUM(AT1030:AT1031)</f>
        <v>0</v>
      </c>
      <c r="AU1032" s="132">
        <f t="shared" si="530"/>
        <v>0</v>
      </c>
      <c r="AV1032" s="132">
        <f t="shared" si="530"/>
        <v>0</v>
      </c>
      <c r="AW1032" s="132">
        <f t="shared" si="530"/>
        <v>50888000</v>
      </c>
      <c r="AX1032" s="132">
        <f t="shared" si="530"/>
        <v>0</v>
      </c>
      <c r="AY1032" s="132">
        <f t="shared" si="530"/>
        <v>0</v>
      </c>
      <c r="AZ1032" s="132">
        <f t="shared" si="530"/>
        <v>0</v>
      </c>
      <c r="BA1032" s="132">
        <f t="shared" si="530"/>
        <v>0</v>
      </c>
      <c r="BB1032" s="132">
        <f t="shared" si="530"/>
        <v>0</v>
      </c>
      <c r="BC1032" s="132">
        <f t="shared" si="530"/>
        <v>0</v>
      </c>
      <c r="BD1032" s="132">
        <f t="shared" si="530"/>
        <v>0</v>
      </c>
      <c r="BE1032" s="132">
        <f t="shared" si="530"/>
        <v>0</v>
      </c>
      <c r="BF1032" s="132">
        <f t="shared" si="530"/>
        <v>0</v>
      </c>
      <c r="BG1032" s="132">
        <f t="shared" si="530"/>
        <v>0</v>
      </c>
      <c r="BH1032" s="132">
        <f>IF(OR(AND(BH1030=0,W1030&lt;&gt;0),AND(BH1031=0,W1031&lt;&gt;0)),"NO DEBEN QUEDAR CELDAS EN ROJO",SUM(BH1030:BH1031))</f>
        <v>50888000</v>
      </c>
      <c r="BI1032" s="132">
        <f t="shared" si="530"/>
        <v>0</v>
      </c>
      <c r="BJ1032" s="132">
        <f t="shared" si="530"/>
        <v>0</v>
      </c>
      <c r="BK1032" s="132">
        <f t="shared" si="530"/>
        <v>0</v>
      </c>
      <c r="BL1032" s="132">
        <f t="shared" si="530"/>
        <v>0</v>
      </c>
      <c r="BM1032" s="132">
        <f t="shared" si="530"/>
        <v>165435350</v>
      </c>
      <c r="BN1032" s="132">
        <f t="shared" si="530"/>
        <v>0</v>
      </c>
      <c r="BO1032" s="132">
        <f t="shared" si="530"/>
        <v>0</v>
      </c>
      <c r="BP1032" s="132">
        <f t="shared" si="530"/>
        <v>0</v>
      </c>
      <c r="BQ1032" s="132">
        <f t="shared" si="530"/>
        <v>0</v>
      </c>
      <c r="BR1032" s="132">
        <f t="shared" si="530"/>
        <v>0</v>
      </c>
      <c r="BS1032" s="132">
        <f t="shared" si="530"/>
        <v>0</v>
      </c>
      <c r="BT1032" s="132">
        <f t="shared" si="530"/>
        <v>0</v>
      </c>
      <c r="BU1032" s="132">
        <f t="shared" si="530"/>
        <v>0</v>
      </c>
      <c r="BV1032" s="132">
        <f t="shared" si="530"/>
        <v>0</v>
      </c>
      <c r="BW1032" s="132">
        <f t="shared" si="530"/>
        <v>0</v>
      </c>
      <c r="BX1032" s="132">
        <f>IF(OR(AND(BX1030=0,AB1030&lt;&gt;0),AND(BX1031=0,AB1031&lt;&gt;0)),"NO DEBEN QUEDAR CELDAS EN ROJO",SUM(BX1030:BX1031))</f>
        <v>165435350</v>
      </c>
      <c r="BY1032" s="132">
        <f t="shared" si="530"/>
        <v>0</v>
      </c>
      <c r="BZ1032" s="132">
        <f t="shared" si="530"/>
        <v>0</v>
      </c>
      <c r="CA1032" s="132">
        <f t="shared" si="530"/>
        <v>0</v>
      </c>
      <c r="CB1032" s="132">
        <f t="shared" si="530"/>
        <v>0</v>
      </c>
      <c r="CC1032" s="132">
        <f t="shared" si="530"/>
        <v>172448352</v>
      </c>
      <c r="CD1032" s="132">
        <f t="shared" si="530"/>
        <v>0</v>
      </c>
      <c r="CE1032" s="132">
        <f t="shared" si="530"/>
        <v>0</v>
      </c>
      <c r="CF1032" s="132">
        <f t="shared" si="530"/>
        <v>0</v>
      </c>
      <c r="CG1032" s="132">
        <f t="shared" si="530"/>
        <v>0</v>
      </c>
      <c r="CH1032" s="132">
        <f t="shared" si="530"/>
        <v>0</v>
      </c>
      <c r="CI1032" s="132">
        <f t="shared" si="530"/>
        <v>0</v>
      </c>
      <c r="CJ1032" s="132">
        <f t="shared" si="530"/>
        <v>0</v>
      </c>
      <c r="CK1032" s="132">
        <f t="shared" si="530"/>
        <v>0</v>
      </c>
      <c r="CL1032" s="132">
        <f t="shared" si="530"/>
        <v>0</v>
      </c>
      <c r="CM1032" s="132">
        <f t="shared" si="530"/>
        <v>0</v>
      </c>
      <c r="CN1032" s="132">
        <f>IF(OR(AND(CN1030=0,AG1030&lt;&gt;0),AND(CN1031=0,AG1031&lt;&gt;0)),"NO DEBEN QUEDAR CELDAS EN ROJO",SUM(CN1030:CN1031))</f>
        <v>172448352</v>
      </c>
      <c r="CO1032" s="132">
        <f t="shared" si="530"/>
        <v>0</v>
      </c>
      <c r="CP1032" s="132">
        <f t="shared" si="530"/>
        <v>0</v>
      </c>
      <c r="CQ1032" s="132">
        <f t="shared" si="530"/>
        <v>0</v>
      </c>
      <c r="CR1032" s="132">
        <f t="shared" si="530"/>
        <v>0</v>
      </c>
      <c r="CS1032" s="132">
        <f t="shared" si="530"/>
        <v>183931600</v>
      </c>
      <c r="CT1032" s="132">
        <f t="shared" si="530"/>
        <v>0</v>
      </c>
      <c r="CU1032" s="132">
        <f t="shared" si="530"/>
        <v>0</v>
      </c>
      <c r="CV1032" s="132">
        <f t="shared" si="530"/>
        <v>0</v>
      </c>
      <c r="CW1032" s="132">
        <f t="shared" si="530"/>
        <v>0</v>
      </c>
      <c r="CX1032" s="132">
        <f t="shared" si="530"/>
        <v>0</v>
      </c>
      <c r="CY1032" s="132">
        <f t="shared" si="530"/>
        <v>0</v>
      </c>
      <c r="CZ1032" s="132">
        <f t="shared" si="530"/>
        <v>0</v>
      </c>
      <c r="DA1032" s="132">
        <f t="shared" si="530"/>
        <v>0</v>
      </c>
      <c r="DB1032" s="132">
        <f t="shared" si="530"/>
        <v>0</v>
      </c>
      <c r="DC1032" s="132">
        <f t="shared" si="530"/>
        <v>0</v>
      </c>
      <c r="DD1032" s="132">
        <f>IF(OR(AND(DD1030=0,AL1030&lt;&gt;0),AND(DD1031=0,AL1031&lt;&gt;0)),"NO DEBEN QUEDAR CELDAS EN ROJO",SUM(DD1030:DD1031))</f>
        <v>183931600</v>
      </c>
      <c r="DE1032" s="132">
        <f t="shared" si="530"/>
        <v>572703302</v>
      </c>
      <c r="DF1032" s="101"/>
    </row>
    <row r="1033" spans="1:110" s="98" customFormat="1" ht="119.1" customHeight="1">
      <c r="A1033" s="103" t="s">
        <v>1237</v>
      </c>
      <c r="B1033" s="103" t="s">
        <v>2051</v>
      </c>
      <c r="C1033" s="103" t="s">
        <v>2052</v>
      </c>
      <c r="D1033" s="103">
        <v>96</v>
      </c>
      <c r="E1033" s="103" t="s">
        <v>2152</v>
      </c>
      <c r="F1033" s="278" t="s">
        <v>2153</v>
      </c>
      <c r="G1033" s="103" t="s">
        <v>3271</v>
      </c>
      <c r="H1033" s="103">
        <v>114</v>
      </c>
      <c r="I1033" s="103" t="s">
        <v>2154</v>
      </c>
      <c r="J1033" s="103" t="s">
        <v>677</v>
      </c>
      <c r="K1033" s="103">
        <v>100</v>
      </c>
      <c r="L1033" s="103">
        <v>100</v>
      </c>
      <c r="M1033" s="103" t="s">
        <v>2155</v>
      </c>
      <c r="N1033" s="103" t="s">
        <v>2156</v>
      </c>
      <c r="O1033" s="103" t="s">
        <v>509</v>
      </c>
      <c r="P1033" s="283">
        <v>905</v>
      </c>
      <c r="Q1033" s="103" t="s">
        <v>2844</v>
      </c>
      <c r="R1033" s="103" t="s">
        <v>2157</v>
      </c>
      <c r="S1033" s="103" t="s">
        <v>683</v>
      </c>
      <c r="T1033" s="103">
        <v>0</v>
      </c>
      <c r="U1033" s="267">
        <v>24</v>
      </c>
      <c r="V1033" s="267"/>
      <c r="W1033" s="224">
        <v>24</v>
      </c>
      <c r="X1033" s="267">
        <v>2</v>
      </c>
      <c r="Y1033" s="267">
        <v>3</v>
      </c>
      <c r="Z1033" s="267">
        <v>2</v>
      </c>
      <c r="AA1033" s="267">
        <v>2</v>
      </c>
      <c r="AB1033" s="224">
        <v>9</v>
      </c>
      <c r="AC1033" s="267">
        <v>2</v>
      </c>
      <c r="AD1033" s="267">
        <v>2</v>
      </c>
      <c r="AE1033" s="267">
        <v>3</v>
      </c>
      <c r="AF1033" s="267">
        <v>2</v>
      </c>
      <c r="AG1033" s="224">
        <v>9</v>
      </c>
      <c r="AH1033" s="267">
        <v>2</v>
      </c>
      <c r="AI1033" s="267">
        <v>2</v>
      </c>
      <c r="AJ1033" s="267">
        <v>2</v>
      </c>
      <c r="AK1033" s="267">
        <v>2</v>
      </c>
      <c r="AL1033" s="224">
        <v>8</v>
      </c>
      <c r="AM1033" s="102">
        <v>50</v>
      </c>
      <c r="AN1033" s="103" t="s">
        <v>685</v>
      </c>
      <c r="AO1033" s="103" t="s">
        <v>1212</v>
      </c>
      <c r="AP1033" s="103" t="s">
        <v>1229</v>
      </c>
      <c r="AQ1033" s="103" t="s">
        <v>1199</v>
      </c>
      <c r="AR1033" s="103" t="s">
        <v>945</v>
      </c>
      <c r="AS1033" s="268"/>
      <c r="AT1033" s="268"/>
      <c r="AU1033" s="268"/>
      <c r="AV1033" s="268"/>
      <c r="AW1033" s="268">
        <v>10000000</v>
      </c>
      <c r="AX1033" s="268"/>
      <c r="AY1033" s="268"/>
      <c r="AZ1033" s="268"/>
      <c r="BA1033" s="268"/>
      <c r="BB1033" s="268"/>
      <c r="BC1033" s="268"/>
      <c r="BD1033" s="268"/>
      <c r="BE1033" s="268"/>
      <c r="BF1033" s="268"/>
      <c r="BG1033" s="268"/>
      <c r="BH1033" s="234">
        <f>IF(W1033=0,0,BG1033+BF1033+BE1033+BD1033+BC1033+BB1033+BA1033+AZ1033+AY1033+AX1033+AW1033+AV1033+AU1033+AT1033+AS1033)</f>
        <v>10000000</v>
      </c>
      <c r="BI1033" s="268"/>
      <c r="BJ1033" s="268"/>
      <c r="BK1033" s="268"/>
      <c r="BL1033" s="268"/>
      <c r="BM1033" s="268">
        <v>50234438.299999997</v>
      </c>
      <c r="BN1033" s="268"/>
      <c r="BO1033" s="268"/>
      <c r="BP1033" s="268"/>
      <c r="BQ1033" s="268"/>
      <c r="BR1033" s="268"/>
      <c r="BS1033" s="268"/>
      <c r="BT1033" s="268"/>
      <c r="BU1033" s="268"/>
      <c r="BV1033" s="268"/>
      <c r="BW1033" s="268"/>
      <c r="BX1033" s="234">
        <f>IF(AB1033=0,0,BI1033+BJ1033+BK1033+BL1033+BM1033+BN1033+BO1033+BP1033+BQ1033+BR1033+BS1033+BT1033+BU1033+BV1033+BW1033)</f>
        <v>50234438.299999997</v>
      </c>
      <c r="BY1033" s="268"/>
      <c r="BZ1033" s="268"/>
      <c r="CA1033" s="268"/>
      <c r="CB1033" s="268"/>
      <c r="CC1033" s="268">
        <v>34124644.299999997</v>
      </c>
      <c r="CD1033" s="268"/>
      <c r="CE1033" s="268"/>
      <c r="CF1033" s="268"/>
      <c r="CG1033" s="268"/>
      <c r="CH1033" s="268"/>
      <c r="CI1033" s="268"/>
      <c r="CJ1033" s="268"/>
      <c r="CK1033" s="268"/>
      <c r="CL1033" s="268"/>
      <c r="CM1033" s="268"/>
      <c r="CN1033" s="234">
        <f>IF(AG1033=0,0,(BY1033+BZ1033+CA1033+CB1033+CC1033+CD1033+CE1033+CF1033+CG1033+CH1033+CI1033+CJ1033+CK1033+CL1033+CM1033))</f>
        <v>34124644.299999997</v>
      </c>
      <c r="CO1033" s="268"/>
      <c r="CP1033" s="268"/>
      <c r="CQ1033" s="268"/>
      <c r="CR1033" s="268"/>
      <c r="CS1033" s="268">
        <v>32648513.5</v>
      </c>
      <c r="CT1033" s="268"/>
      <c r="CU1033" s="268"/>
      <c r="CV1033" s="268"/>
      <c r="CW1033" s="268"/>
      <c r="CX1033" s="268"/>
      <c r="CY1033" s="268"/>
      <c r="CZ1033" s="268"/>
      <c r="DA1033" s="268"/>
      <c r="DB1033" s="268"/>
      <c r="DC1033" s="268"/>
      <c r="DD1033" s="234">
        <f>IF(AL1033=0,0,(CO1033+CP1033+CQ1033+CR1033+CS1033+CT1033+CU1033+CV1033+CW1033+CX1033+CY1033+CZ1033+DA1033+DB1033+DC1033))</f>
        <v>32648513.5</v>
      </c>
      <c r="DE1033" s="243">
        <f t="shared" ref="DE1033" si="531">SUM(DD1033+CN1033+BX1033+BH1033)</f>
        <v>127007596.09999999</v>
      </c>
    </row>
    <row r="1034" spans="1:110" s="98" customFormat="1" ht="119.1" customHeight="1">
      <c r="A1034" s="120" t="s">
        <v>1237</v>
      </c>
      <c r="B1034" s="281" t="s">
        <v>2051</v>
      </c>
      <c r="C1034" s="281" t="s">
        <v>2052</v>
      </c>
      <c r="D1034" s="281">
        <v>96</v>
      </c>
      <c r="E1034" s="281" t="s">
        <v>2152</v>
      </c>
      <c r="F1034" s="282" t="s">
        <v>2153</v>
      </c>
      <c r="G1034" s="281" t="s">
        <v>3271</v>
      </c>
      <c r="H1034" s="281">
        <v>114</v>
      </c>
      <c r="I1034" s="281" t="s">
        <v>2154</v>
      </c>
      <c r="J1034" s="281" t="s">
        <v>677</v>
      </c>
      <c r="K1034" s="281">
        <v>100</v>
      </c>
      <c r="L1034" s="281">
        <v>100</v>
      </c>
      <c r="M1034" s="281" t="s">
        <v>2155</v>
      </c>
      <c r="N1034" s="281" t="s">
        <v>2156</v>
      </c>
      <c r="O1034" s="281" t="s">
        <v>509</v>
      </c>
      <c r="P1034" s="284">
        <v>906</v>
      </c>
      <c r="Q1034" s="281" t="s">
        <v>3800</v>
      </c>
      <c r="R1034" s="281" t="s">
        <v>2693</v>
      </c>
      <c r="S1034" s="281" t="s">
        <v>677</v>
      </c>
      <c r="T1034" s="281">
        <v>100</v>
      </c>
      <c r="U1034" s="275">
        <v>100</v>
      </c>
      <c r="V1034" s="275">
        <v>100</v>
      </c>
      <c r="W1034" s="225">
        <v>100</v>
      </c>
      <c r="X1034" s="275">
        <v>100</v>
      </c>
      <c r="Y1034" s="275">
        <v>100</v>
      </c>
      <c r="Z1034" s="275">
        <v>100</v>
      </c>
      <c r="AA1034" s="275">
        <v>100</v>
      </c>
      <c r="AB1034" s="225">
        <v>100</v>
      </c>
      <c r="AC1034" s="275">
        <v>100</v>
      </c>
      <c r="AD1034" s="275">
        <v>100</v>
      </c>
      <c r="AE1034" s="275">
        <v>100</v>
      </c>
      <c r="AF1034" s="275">
        <v>100</v>
      </c>
      <c r="AG1034" s="225">
        <v>100</v>
      </c>
      <c r="AH1034" s="275">
        <v>100</v>
      </c>
      <c r="AI1034" s="275">
        <v>100</v>
      </c>
      <c r="AJ1034" s="275">
        <v>100</v>
      </c>
      <c r="AK1034" s="275">
        <v>100</v>
      </c>
      <c r="AL1034" s="225">
        <v>100</v>
      </c>
      <c r="AM1034" s="119">
        <v>100</v>
      </c>
      <c r="AN1034" s="120" t="s">
        <v>686</v>
      </c>
      <c r="AO1034" s="120" t="s">
        <v>1212</v>
      </c>
      <c r="AP1034" s="120" t="s">
        <v>1229</v>
      </c>
      <c r="AQ1034" s="120" t="s">
        <v>1199</v>
      </c>
      <c r="AR1034" s="120" t="s">
        <v>945</v>
      </c>
      <c r="AS1034" s="276"/>
      <c r="AT1034" s="276"/>
      <c r="AU1034" s="276"/>
      <c r="AV1034" s="276"/>
      <c r="AW1034" s="276">
        <v>55360000</v>
      </c>
      <c r="AX1034" s="276"/>
      <c r="AY1034" s="276"/>
      <c r="AZ1034" s="276"/>
      <c r="BA1034" s="276"/>
      <c r="BB1034" s="276"/>
      <c r="BC1034" s="276"/>
      <c r="BD1034" s="276"/>
      <c r="BE1034" s="276"/>
      <c r="BF1034" s="276"/>
      <c r="BG1034" s="276"/>
      <c r="BH1034" s="236">
        <f>IF(W1034=0,0,BG1034+BF1034+BE1034+BD1034+BC1034+BB1034+BA1034+AZ1034+AY1034+AX1034+AW1034+AV1034+AU1034+AT1034+AS1034)</f>
        <v>55360000</v>
      </c>
      <c r="BI1034" s="276"/>
      <c r="BJ1034" s="276"/>
      <c r="BK1034" s="276"/>
      <c r="BL1034" s="276"/>
      <c r="BM1034" s="276">
        <v>155031281</v>
      </c>
      <c r="BN1034" s="276"/>
      <c r="BO1034" s="276"/>
      <c r="BP1034" s="276"/>
      <c r="BQ1034" s="276"/>
      <c r="BR1034" s="276"/>
      <c r="BS1034" s="276"/>
      <c r="BT1034" s="276"/>
      <c r="BU1034" s="276"/>
      <c r="BV1034" s="276"/>
      <c r="BW1034" s="276"/>
      <c r="BX1034" s="236">
        <f>IF(AB1034=0,0,BI1034+BJ1034+BK1034+BL1034+BM1034+BN1034+BO1034+BP1034+BQ1034+BR1034+BS1034+BT1034+BU1034+BV1034+BW1034)</f>
        <v>155031281</v>
      </c>
      <c r="BY1034" s="276"/>
      <c r="BZ1034" s="276"/>
      <c r="CA1034" s="276"/>
      <c r="CB1034" s="276"/>
      <c r="CC1034" s="276">
        <v>180148500</v>
      </c>
      <c r="CD1034" s="276"/>
      <c r="CE1034" s="276"/>
      <c r="CF1034" s="276"/>
      <c r="CG1034" s="276"/>
      <c r="CH1034" s="276"/>
      <c r="CI1034" s="276"/>
      <c r="CJ1034" s="276"/>
      <c r="CK1034" s="276"/>
      <c r="CL1034" s="276"/>
      <c r="CM1034" s="276"/>
      <c r="CN1034" s="236">
        <f>IF(AG1034=0,0,(BY1034+BZ1034+CA1034+CB1034+CC1034+CD1034+CE1034+CF1034+CG1034+CH1034+CI1034+CJ1034+CK1034+CL1034+CM1034))</f>
        <v>180148500</v>
      </c>
      <c r="CO1034" s="276"/>
      <c r="CP1034" s="276"/>
      <c r="CQ1034" s="276"/>
      <c r="CR1034" s="276"/>
      <c r="CS1034" s="276">
        <v>189155925</v>
      </c>
      <c r="CT1034" s="276"/>
      <c r="CU1034" s="276"/>
      <c r="CV1034" s="276"/>
      <c r="CW1034" s="276"/>
      <c r="CX1034" s="276"/>
      <c r="CY1034" s="276"/>
      <c r="CZ1034" s="276"/>
      <c r="DA1034" s="276"/>
      <c r="DB1034" s="276"/>
      <c r="DC1034" s="276"/>
      <c r="DD1034" s="240">
        <f>IF(AL1034=0,0,(CO1034+CP1034+CQ1034+CR1034+CS1034+CT1034+CU1034+CV1034+CW1034+CX1034+CY1034+CZ1034+DA1034+DB1034+DC1034))</f>
        <v>189155925</v>
      </c>
      <c r="DE1034" s="245">
        <f t="shared" ref="DE1034" si="532">SUM(DD1034+CN1034+BX1034+BH1034)</f>
        <v>579695706</v>
      </c>
    </row>
    <row r="1035" spans="1:110" ht="65.099999999999994" customHeight="1">
      <c r="A1035" s="118" t="s">
        <v>1237</v>
      </c>
      <c r="B1035" s="118" t="s">
        <v>2051</v>
      </c>
      <c r="C1035" s="118" t="s">
        <v>2052</v>
      </c>
      <c r="D1035" s="118">
        <v>96</v>
      </c>
      <c r="E1035" s="118" t="s">
        <v>2152</v>
      </c>
      <c r="F1035" s="135"/>
      <c r="G1035" s="136"/>
      <c r="H1035" s="137"/>
      <c r="I1035" s="137"/>
      <c r="J1035" s="137"/>
      <c r="K1035" s="138"/>
      <c r="L1035" s="137"/>
      <c r="M1035" s="137"/>
      <c r="N1035" s="137"/>
      <c r="O1035" s="137"/>
      <c r="P1035" s="137"/>
      <c r="Q1035" s="136"/>
      <c r="R1035" s="139"/>
      <c r="S1035" s="137"/>
      <c r="T1035" s="137"/>
      <c r="U1035" s="140"/>
      <c r="V1035" s="140"/>
      <c r="W1035" s="138"/>
      <c r="X1035" s="140"/>
      <c r="Y1035" s="140"/>
      <c r="Z1035" s="140"/>
      <c r="AA1035" s="140"/>
      <c r="AB1035" s="138"/>
      <c r="AC1035" s="140"/>
      <c r="AD1035" s="140"/>
      <c r="AE1035" s="140"/>
      <c r="AF1035" s="140"/>
      <c r="AG1035" s="138"/>
      <c r="AH1035" s="140"/>
      <c r="AI1035" s="140"/>
      <c r="AJ1035" s="140"/>
      <c r="AK1035" s="140"/>
      <c r="AL1035" s="138"/>
      <c r="AM1035" s="141"/>
      <c r="AN1035" s="142"/>
      <c r="AO1035" s="142"/>
      <c r="AP1035" s="143"/>
      <c r="AQ1035" s="143"/>
      <c r="AR1035" s="144"/>
      <c r="AS1035" s="132">
        <f>SUM(AS1033:AS1034)</f>
        <v>0</v>
      </c>
      <c r="AT1035" s="132">
        <f t="shared" ref="AT1035:DE1035" si="533">SUM(AT1033:AT1034)</f>
        <v>0</v>
      </c>
      <c r="AU1035" s="132">
        <f t="shared" si="533"/>
        <v>0</v>
      </c>
      <c r="AV1035" s="132">
        <f t="shared" si="533"/>
        <v>0</v>
      </c>
      <c r="AW1035" s="132">
        <f t="shared" si="533"/>
        <v>65360000</v>
      </c>
      <c r="AX1035" s="132">
        <f t="shared" si="533"/>
        <v>0</v>
      </c>
      <c r="AY1035" s="132">
        <f t="shared" si="533"/>
        <v>0</v>
      </c>
      <c r="AZ1035" s="132">
        <f t="shared" si="533"/>
        <v>0</v>
      </c>
      <c r="BA1035" s="132">
        <f t="shared" si="533"/>
        <v>0</v>
      </c>
      <c r="BB1035" s="132">
        <f t="shared" si="533"/>
        <v>0</v>
      </c>
      <c r="BC1035" s="132">
        <f t="shared" si="533"/>
        <v>0</v>
      </c>
      <c r="BD1035" s="132">
        <f t="shared" si="533"/>
        <v>0</v>
      </c>
      <c r="BE1035" s="132">
        <f t="shared" si="533"/>
        <v>0</v>
      </c>
      <c r="BF1035" s="132">
        <f t="shared" si="533"/>
        <v>0</v>
      </c>
      <c r="BG1035" s="132">
        <f t="shared" si="533"/>
        <v>0</v>
      </c>
      <c r="BH1035" s="132">
        <f>IF(OR(AND(BH1033=0,W1033&lt;&gt;0),AND(BH1034=0,W1034&lt;&gt;0)),"NO DEBEN QUEDAR CELDAS EN ROJO",SUM(BH1033:BH1034))</f>
        <v>65360000</v>
      </c>
      <c r="BI1035" s="132">
        <f t="shared" si="533"/>
        <v>0</v>
      </c>
      <c r="BJ1035" s="132">
        <f t="shared" si="533"/>
        <v>0</v>
      </c>
      <c r="BK1035" s="132">
        <f t="shared" si="533"/>
        <v>0</v>
      </c>
      <c r="BL1035" s="132">
        <f t="shared" si="533"/>
        <v>0</v>
      </c>
      <c r="BM1035" s="132">
        <f t="shared" si="533"/>
        <v>205265719.30000001</v>
      </c>
      <c r="BN1035" s="132">
        <f t="shared" si="533"/>
        <v>0</v>
      </c>
      <c r="BO1035" s="132">
        <f t="shared" si="533"/>
        <v>0</v>
      </c>
      <c r="BP1035" s="132">
        <f t="shared" si="533"/>
        <v>0</v>
      </c>
      <c r="BQ1035" s="132">
        <f t="shared" si="533"/>
        <v>0</v>
      </c>
      <c r="BR1035" s="132">
        <f t="shared" si="533"/>
        <v>0</v>
      </c>
      <c r="BS1035" s="132">
        <f t="shared" si="533"/>
        <v>0</v>
      </c>
      <c r="BT1035" s="132">
        <f t="shared" si="533"/>
        <v>0</v>
      </c>
      <c r="BU1035" s="132">
        <f t="shared" si="533"/>
        <v>0</v>
      </c>
      <c r="BV1035" s="132">
        <f t="shared" si="533"/>
        <v>0</v>
      </c>
      <c r="BW1035" s="132">
        <f t="shared" si="533"/>
        <v>0</v>
      </c>
      <c r="BX1035" s="132">
        <f>IF(OR(AND(BX1033=0,AB1033&lt;&gt;0),AND(BX1034=0,AB1034&lt;&gt;0)),"NO DEBEN QUEDAR CELDAS EN ROJO",SUM(BX1033:BX1034))</f>
        <v>205265719.30000001</v>
      </c>
      <c r="BY1035" s="132">
        <f t="shared" si="533"/>
        <v>0</v>
      </c>
      <c r="BZ1035" s="132">
        <f t="shared" si="533"/>
        <v>0</v>
      </c>
      <c r="CA1035" s="132">
        <f t="shared" si="533"/>
        <v>0</v>
      </c>
      <c r="CB1035" s="132">
        <f t="shared" si="533"/>
        <v>0</v>
      </c>
      <c r="CC1035" s="132">
        <f t="shared" si="533"/>
        <v>214273144.30000001</v>
      </c>
      <c r="CD1035" s="132">
        <f t="shared" si="533"/>
        <v>0</v>
      </c>
      <c r="CE1035" s="132">
        <f t="shared" si="533"/>
        <v>0</v>
      </c>
      <c r="CF1035" s="132">
        <f t="shared" si="533"/>
        <v>0</v>
      </c>
      <c r="CG1035" s="132">
        <f t="shared" si="533"/>
        <v>0</v>
      </c>
      <c r="CH1035" s="132">
        <f t="shared" si="533"/>
        <v>0</v>
      </c>
      <c r="CI1035" s="132">
        <f t="shared" si="533"/>
        <v>0</v>
      </c>
      <c r="CJ1035" s="132">
        <f t="shared" si="533"/>
        <v>0</v>
      </c>
      <c r="CK1035" s="132">
        <f t="shared" si="533"/>
        <v>0</v>
      </c>
      <c r="CL1035" s="132">
        <f t="shared" si="533"/>
        <v>0</v>
      </c>
      <c r="CM1035" s="132">
        <f t="shared" si="533"/>
        <v>0</v>
      </c>
      <c r="CN1035" s="132">
        <f>IF(OR(AND(CN1033=0,AG1033&lt;&gt;0),AND(CN1034=0,AG1034&lt;&gt;0)),"NO DEBEN QUEDAR CELDAS EN ROJO",SUM(CN1033:CN1034))</f>
        <v>214273144.30000001</v>
      </c>
      <c r="CO1035" s="132">
        <f t="shared" si="533"/>
        <v>0</v>
      </c>
      <c r="CP1035" s="132">
        <f t="shared" si="533"/>
        <v>0</v>
      </c>
      <c r="CQ1035" s="132">
        <f t="shared" si="533"/>
        <v>0</v>
      </c>
      <c r="CR1035" s="132">
        <f t="shared" si="533"/>
        <v>0</v>
      </c>
      <c r="CS1035" s="132">
        <f t="shared" si="533"/>
        <v>221804438.5</v>
      </c>
      <c r="CT1035" s="132">
        <f t="shared" si="533"/>
        <v>0</v>
      </c>
      <c r="CU1035" s="132">
        <f t="shared" si="533"/>
        <v>0</v>
      </c>
      <c r="CV1035" s="132">
        <f t="shared" si="533"/>
        <v>0</v>
      </c>
      <c r="CW1035" s="132">
        <f t="shared" si="533"/>
        <v>0</v>
      </c>
      <c r="CX1035" s="132">
        <f t="shared" si="533"/>
        <v>0</v>
      </c>
      <c r="CY1035" s="132">
        <f t="shared" si="533"/>
        <v>0</v>
      </c>
      <c r="CZ1035" s="132">
        <f t="shared" si="533"/>
        <v>0</v>
      </c>
      <c r="DA1035" s="132">
        <f t="shared" si="533"/>
        <v>0</v>
      </c>
      <c r="DB1035" s="132">
        <f t="shared" si="533"/>
        <v>0</v>
      </c>
      <c r="DC1035" s="132">
        <f t="shared" si="533"/>
        <v>0</v>
      </c>
      <c r="DD1035" s="132">
        <f>IF(OR(AND(DD1033=0,AL1033&lt;&gt;0),AND(DD1034=0,AL1034&lt;&gt;0)),"NO DEBEN QUEDAR CELDAS EN ROJO",SUM(DD1033:DD1034))</f>
        <v>221804438.5</v>
      </c>
      <c r="DE1035" s="132">
        <f t="shared" si="533"/>
        <v>706703302.10000002</v>
      </c>
      <c r="DF1035" s="101"/>
    </row>
    <row r="1036" spans="1:110" s="98" customFormat="1" ht="119.1" customHeight="1">
      <c r="A1036" s="103" t="s">
        <v>1237</v>
      </c>
      <c r="B1036" s="103" t="s">
        <v>2051</v>
      </c>
      <c r="C1036" s="103" t="s">
        <v>2052</v>
      </c>
      <c r="D1036" s="103">
        <v>97</v>
      </c>
      <c r="E1036" s="103" t="s">
        <v>2158</v>
      </c>
      <c r="F1036" s="278" t="s">
        <v>510</v>
      </c>
      <c r="G1036" s="103" t="s">
        <v>2845</v>
      </c>
      <c r="H1036" s="103">
        <v>115</v>
      </c>
      <c r="I1036" s="103" t="s">
        <v>2159</v>
      </c>
      <c r="J1036" s="103" t="s">
        <v>683</v>
      </c>
      <c r="K1036" s="103">
        <v>123</v>
      </c>
      <c r="L1036" s="103">
        <v>123</v>
      </c>
      <c r="M1036" s="103" t="s">
        <v>2160</v>
      </c>
      <c r="N1036" s="103" t="s">
        <v>2161</v>
      </c>
      <c r="O1036" s="103" t="s">
        <v>2162</v>
      </c>
      <c r="P1036" s="283">
        <v>907</v>
      </c>
      <c r="Q1036" s="103" t="s">
        <v>2846</v>
      </c>
      <c r="R1036" s="103" t="s">
        <v>511</v>
      </c>
      <c r="S1036" s="103" t="s">
        <v>683</v>
      </c>
      <c r="T1036" s="103">
        <v>0</v>
      </c>
      <c r="U1036" s="267"/>
      <c r="V1036" s="267"/>
      <c r="W1036" s="224">
        <v>0</v>
      </c>
      <c r="X1036" s="267">
        <v>10</v>
      </c>
      <c r="Y1036" s="267">
        <v>10</v>
      </c>
      <c r="Z1036" s="267">
        <v>10</v>
      </c>
      <c r="AA1036" s="267">
        <v>10</v>
      </c>
      <c r="AB1036" s="224">
        <v>40</v>
      </c>
      <c r="AC1036" s="267">
        <v>10</v>
      </c>
      <c r="AD1036" s="267">
        <v>11</v>
      </c>
      <c r="AE1036" s="267">
        <v>11</v>
      </c>
      <c r="AF1036" s="267">
        <v>10</v>
      </c>
      <c r="AG1036" s="224">
        <v>42</v>
      </c>
      <c r="AH1036" s="267">
        <v>10</v>
      </c>
      <c r="AI1036" s="267">
        <v>10</v>
      </c>
      <c r="AJ1036" s="267">
        <v>11</v>
      </c>
      <c r="AK1036" s="267">
        <v>10</v>
      </c>
      <c r="AL1036" s="224">
        <v>41</v>
      </c>
      <c r="AM1036" s="102">
        <v>123</v>
      </c>
      <c r="AN1036" s="103" t="s">
        <v>685</v>
      </c>
      <c r="AO1036" s="103" t="s">
        <v>1212</v>
      </c>
      <c r="AP1036" s="103" t="s">
        <v>1229</v>
      </c>
      <c r="AQ1036" s="103" t="s">
        <v>1200</v>
      </c>
      <c r="AR1036" s="103" t="s">
        <v>951</v>
      </c>
      <c r="AS1036" s="268"/>
      <c r="AT1036" s="268"/>
      <c r="AU1036" s="268"/>
      <c r="AV1036" s="268"/>
      <c r="AW1036" s="268"/>
      <c r="AX1036" s="268"/>
      <c r="AY1036" s="268"/>
      <c r="AZ1036" s="268"/>
      <c r="BA1036" s="268"/>
      <c r="BB1036" s="268"/>
      <c r="BC1036" s="268"/>
      <c r="BD1036" s="268"/>
      <c r="BE1036" s="268"/>
      <c r="BF1036" s="268"/>
      <c r="BG1036" s="268"/>
      <c r="BH1036" s="234">
        <f>IF(W1036=0,0,BG1036+BF1036+BE1036+BD1036+BC1036+BB1036+BA1036+AZ1036+AY1036+AX1036+AW1036+AV1036+AU1036+AT1036+AS1036)</f>
        <v>0</v>
      </c>
      <c r="BI1036" s="268"/>
      <c r="BJ1036" s="268"/>
      <c r="BK1036" s="268"/>
      <c r="BL1036" s="268"/>
      <c r="BM1036" s="268">
        <v>9736262</v>
      </c>
      <c r="BN1036" s="268"/>
      <c r="BO1036" s="268"/>
      <c r="BP1036" s="268"/>
      <c r="BQ1036" s="268"/>
      <c r="BR1036" s="268"/>
      <c r="BS1036" s="268"/>
      <c r="BT1036" s="268"/>
      <c r="BU1036" s="268"/>
      <c r="BV1036" s="268"/>
      <c r="BW1036" s="268"/>
      <c r="BX1036" s="234">
        <f>IF(AB1036=0,0,BI1036+BJ1036+BK1036+BL1036+BM1036+BN1036+BO1036+BP1036+BQ1036+BR1036+BS1036+BT1036+BU1036+BV1036+BW1036)</f>
        <v>9736262</v>
      </c>
      <c r="BY1036" s="268"/>
      <c r="BZ1036" s="268"/>
      <c r="CA1036" s="268"/>
      <c r="CB1036" s="268"/>
      <c r="CC1036" s="268">
        <v>15087912.75</v>
      </c>
      <c r="CD1036" s="268"/>
      <c r="CE1036" s="268"/>
      <c r="CF1036" s="268"/>
      <c r="CG1036" s="268"/>
      <c r="CH1036" s="268"/>
      <c r="CI1036" s="268"/>
      <c r="CJ1036" s="268"/>
      <c r="CK1036" s="268"/>
      <c r="CL1036" s="268"/>
      <c r="CM1036" s="268"/>
      <c r="CN1036" s="234">
        <f>IF(AG1036=0,0,(BY1036+BZ1036+CA1036+CB1036+CC1036+CD1036+CE1036+CF1036+CG1036+CH1036+CI1036+CJ1036+CK1036+CL1036+CM1036))</f>
        <v>15087912.75</v>
      </c>
      <c r="CO1036" s="268"/>
      <c r="CP1036" s="268"/>
      <c r="CQ1036" s="268"/>
      <c r="CR1036" s="268"/>
      <c r="CS1036" s="268">
        <v>15087912</v>
      </c>
      <c r="CT1036" s="268"/>
      <c r="CU1036" s="268"/>
      <c r="CV1036" s="268"/>
      <c r="CW1036" s="268"/>
      <c r="CX1036" s="268"/>
      <c r="CY1036" s="268"/>
      <c r="CZ1036" s="268"/>
      <c r="DA1036" s="268"/>
      <c r="DB1036" s="268"/>
      <c r="DC1036" s="268"/>
      <c r="DD1036" s="234">
        <f>IF(AL1036=0,0,(CO1036+CP1036+CQ1036+CR1036+CS1036+CT1036+CU1036+CV1036+CW1036+CX1036+CY1036+CZ1036+DA1036+DB1036+DC1036))</f>
        <v>15087912</v>
      </c>
      <c r="DE1036" s="243">
        <f t="shared" ref="DE1036:DE1037" si="534">SUM(DD1036+CN1036+BX1036+BH1036)</f>
        <v>39912086.75</v>
      </c>
    </row>
    <row r="1037" spans="1:110" s="98" customFormat="1" ht="119.1" customHeight="1">
      <c r="A1037" s="120" t="s">
        <v>1237</v>
      </c>
      <c r="B1037" s="281" t="s">
        <v>2051</v>
      </c>
      <c r="C1037" s="281" t="s">
        <v>2052</v>
      </c>
      <c r="D1037" s="281">
        <v>97</v>
      </c>
      <c r="E1037" s="281" t="s">
        <v>2158</v>
      </c>
      <c r="F1037" s="282" t="s">
        <v>510</v>
      </c>
      <c r="G1037" s="281" t="s">
        <v>2845</v>
      </c>
      <c r="H1037" s="281">
        <v>115</v>
      </c>
      <c r="I1037" s="281" t="s">
        <v>2159</v>
      </c>
      <c r="J1037" s="281" t="s">
        <v>683</v>
      </c>
      <c r="K1037" s="281">
        <v>123</v>
      </c>
      <c r="L1037" s="281">
        <v>123</v>
      </c>
      <c r="M1037" s="281" t="s">
        <v>2160</v>
      </c>
      <c r="N1037" s="281" t="s">
        <v>2161</v>
      </c>
      <c r="O1037" s="281" t="s">
        <v>2162</v>
      </c>
      <c r="P1037" s="284">
        <v>908</v>
      </c>
      <c r="Q1037" s="281" t="s">
        <v>2839</v>
      </c>
      <c r="R1037" s="281" t="s">
        <v>512</v>
      </c>
      <c r="S1037" s="281" t="s">
        <v>683</v>
      </c>
      <c r="T1037" s="281">
        <v>0</v>
      </c>
      <c r="U1037" s="275"/>
      <c r="V1037" s="275">
        <v>1</v>
      </c>
      <c r="W1037" s="225">
        <v>1</v>
      </c>
      <c r="X1037" s="275"/>
      <c r="Y1037" s="275">
        <v>1</v>
      </c>
      <c r="Z1037" s="275"/>
      <c r="AA1037" s="275">
        <v>2</v>
      </c>
      <c r="AB1037" s="225">
        <v>3</v>
      </c>
      <c r="AC1037" s="275">
        <v>2</v>
      </c>
      <c r="AD1037" s="275"/>
      <c r="AE1037" s="275">
        <v>2</v>
      </c>
      <c r="AF1037" s="275">
        <v>2</v>
      </c>
      <c r="AG1037" s="225">
        <v>6</v>
      </c>
      <c r="AH1037" s="275">
        <v>2</v>
      </c>
      <c r="AI1037" s="275"/>
      <c r="AJ1037" s="275">
        <v>1</v>
      </c>
      <c r="AK1037" s="275"/>
      <c r="AL1037" s="225">
        <v>3</v>
      </c>
      <c r="AM1037" s="119">
        <v>13</v>
      </c>
      <c r="AN1037" s="120" t="s">
        <v>685</v>
      </c>
      <c r="AO1037" s="120" t="s">
        <v>1212</v>
      </c>
      <c r="AP1037" s="120" t="s">
        <v>1229</v>
      </c>
      <c r="AQ1037" s="120" t="s">
        <v>1200</v>
      </c>
      <c r="AR1037" s="120" t="s">
        <v>951</v>
      </c>
      <c r="AS1037" s="276"/>
      <c r="AT1037" s="276"/>
      <c r="AU1037" s="276"/>
      <c r="AV1037" s="276"/>
      <c r="AW1037" s="276">
        <v>10000000</v>
      </c>
      <c r="AX1037" s="276"/>
      <c r="AY1037" s="276"/>
      <c r="AZ1037" s="276"/>
      <c r="BA1037" s="276"/>
      <c r="BB1037" s="276"/>
      <c r="BC1037" s="276"/>
      <c r="BD1037" s="276"/>
      <c r="BE1037" s="276"/>
      <c r="BF1037" s="276"/>
      <c r="BG1037" s="276"/>
      <c r="BH1037" s="236">
        <f>IF(W1037=0,0,BG1037+BF1037+BE1037+BD1037+BC1037+BB1037+BA1037+AZ1037+AY1037+AX1037+AW1037+AV1037+AU1037+AT1037+AS1037)</f>
        <v>10000000</v>
      </c>
      <c r="BI1037" s="276"/>
      <c r="BJ1037" s="276"/>
      <c r="BK1037" s="276"/>
      <c r="BL1037" s="276"/>
      <c r="BM1037" s="276">
        <v>20351650.75</v>
      </c>
      <c r="BN1037" s="276"/>
      <c r="BO1037" s="276"/>
      <c r="BP1037" s="276"/>
      <c r="BQ1037" s="276"/>
      <c r="BR1037" s="276"/>
      <c r="BS1037" s="276"/>
      <c r="BT1037" s="276"/>
      <c r="BU1037" s="276"/>
      <c r="BV1037" s="276"/>
      <c r="BW1037" s="276"/>
      <c r="BX1037" s="236">
        <f>IF(AB1037=0,0,BI1037+BJ1037+BK1037+BL1037+BM1037+BN1037+BO1037+BP1037+BQ1037+BR1037+BS1037+BT1037+BU1037+BV1037+BW1037)</f>
        <v>20351650.75</v>
      </c>
      <c r="BY1037" s="276"/>
      <c r="BZ1037" s="276"/>
      <c r="CA1037" s="276"/>
      <c r="CB1037" s="276"/>
      <c r="CC1037" s="276">
        <v>15000000</v>
      </c>
      <c r="CD1037" s="276"/>
      <c r="CE1037" s="276"/>
      <c r="CF1037" s="276"/>
      <c r="CG1037" s="276"/>
      <c r="CH1037" s="276"/>
      <c r="CI1037" s="276"/>
      <c r="CJ1037" s="276"/>
      <c r="CK1037" s="276"/>
      <c r="CL1037" s="276"/>
      <c r="CM1037" s="276"/>
      <c r="CN1037" s="236">
        <f>IF(AG1037=0,0,(BY1037+BZ1037+CA1037+CB1037+CC1037+CD1037+CE1037+CF1037+CG1037+CH1037+CI1037+CJ1037+CK1037+CL1037+CM1037))</f>
        <v>15000000</v>
      </c>
      <c r="CO1037" s="276"/>
      <c r="CP1037" s="276"/>
      <c r="CQ1037" s="276"/>
      <c r="CR1037" s="276"/>
      <c r="CS1037" s="276">
        <v>35439564.5</v>
      </c>
      <c r="CT1037" s="276"/>
      <c r="CU1037" s="276"/>
      <c r="CV1037" s="276"/>
      <c r="CW1037" s="276"/>
      <c r="CX1037" s="276"/>
      <c r="CY1037" s="276"/>
      <c r="CZ1037" s="276"/>
      <c r="DA1037" s="276"/>
      <c r="DB1037" s="276"/>
      <c r="DC1037" s="276"/>
      <c r="DD1037" s="240">
        <f>IF(AL1037=0,0,(CO1037+CP1037+CQ1037+CR1037+CS1037+CT1037+CU1037+CV1037+CW1037+CX1037+CY1037+CZ1037+DA1037+DB1037+DC1037))</f>
        <v>35439564.5</v>
      </c>
      <c r="DE1037" s="245">
        <f t="shared" si="534"/>
        <v>80791215.25</v>
      </c>
    </row>
    <row r="1038" spans="1:110" ht="65.099999999999994" customHeight="1">
      <c r="A1038" s="118" t="s">
        <v>1237</v>
      </c>
      <c r="B1038" s="118" t="s">
        <v>2051</v>
      </c>
      <c r="C1038" s="118" t="s">
        <v>2052</v>
      </c>
      <c r="D1038" s="118">
        <v>97</v>
      </c>
      <c r="E1038" s="118" t="s">
        <v>2158</v>
      </c>
      <c r="F1038" s="135"/>
      <c r="G1038" s="136"/>
      <c r="H1038" s="137"/>
      <c r="I1038" s="137"/>
      <c r="J1038" s="137"/>
      <c r="K1038" s="138"/>
      <c r="L1038" s="137"/>
      <c r="M1038" s="137"/>
      <c r="N1038" s="137"/>
      <c r="O1038" s="137"/>
      <c r="P1038" s="137"/>
      <c r="Q1038" s="136"/>
      <c r="R1038" s="139"/>
      <c r="S1038" s="137"/>
      <c r="T1038" s="137"/>
      <c r="U1038" s="140"/>
      <c r="V1038" s="140"/>
      <c r="W1038" s="138"/>
      <c r="X1038" s="140"/>
      <c r="Y1038" s="140"/>
      <c r="Z1038" s="140"/>
      <c r="AA1038" s="140"/>
      <c r="AB1038" s="138"/>
      <c r="AC1038" s="140"/>
      <c r="AD1038" s="140"/>
      <c r="AE1038" s="140"/>
      <c r="AF1038" s="140"/>
      <c r="AG1038" s="138"/>
      <c r="AH1038" s="140"/>
      <c r="AI1038" s="140"/>
      <c r="AJ1038" s="140"/>
      <c r="AK1038" s="140"/>
      <c r="AL1038" s="138"/>
      <c r="AM1038" s="141"/>
      <c r="AN1038" s="142"/>
      <c r="AO1038" s="142"/>
      <c r="AP1038" s="143"/>
      <c r="AQ1038" s="143"/>
      <c r="AR1038" s="144"/>
      <c r="AS1038" s="132">
        <f>SUM(AS1036:AS1037)</f>
        <v>0</v>
      </c>
      <c r="AT1038" s="132">
        <f t="shared" ref="AT1038:DE1038" si="535">SUM(AT1036:AT1037)</f>
        <v>0</v>
      </c>
      <c r="AU1038" s="132">
        <f t="shared" si="535"/>
        <v>0</v>
      </c>
      <c r="AV1038" s="132">
        <f t="shared" si="535"/>
        <v>0</v>
      </c>
      <c r="AW1038" s="132">
        <f t="shared" si="535"/>
        <v>10000000</v>
      </c>
      <c r="AX1038" s="132">
        <f t="shared" si="535"/>
        <v>0</v>
      </c>
      <c r="AY1038" s="132">
        <f t="shared" si="535"/>
        <v>0</v>
      </c>
      <c r="AZ1038" s="132">
        <f t="shared" si="535"/>
        <v>0</v>
      </c>
      <c r="BA1038" s="132">
        <f t="shared" si="535"/>
        <v>0</v>
      </c>
      <c r="BB1038" s="132">
        <f t="shared" si="535"/>
        <v>0</v>
      </c>
      <c r="BC1038" s="132">
        <f t="shared" si="535"/>
        <v>0</v>
      </c>
      <c r="BD1038" s="132">
        <f t="shared" si="535"/>
        <v>0</v>
      </c>
      <c r="BE1038" s="132">
        <f t="shared" si="535"/>
        <v>0</v>
      </c>
      <c r="BF1038" s="132">
        <f t="shared" si="535"/>
        <v>0</v>
      </c>
      <c r="BG1038" s="132">
        <f t="shared" si="535"/>
        <v>0</v>
      </c>
      <c r="BH1038" s="132">
        <f>IF(OR(AND(BH1036=0,W1036&lt;&gt;0),AND(BH1037=0,W1037&lt;&gt;0)),"NO DEBEN QUEDAR CELDAS EN ROJO",SUM(BH1036:BH1037))</f>
        <v>10000000</v>
      </c>
      <c r="BI1038" s="132">
        <f t="shared" si="535"/>
        <v>0</v>
      </c>
      <c r="BJ1038" s="132">
        <f t="shared" si="535"/>
        <v>0</v>
      </c>
      <c r="BK1038" s="132">
        <f t="shared" si="535"/>
        <v>0</v>
      </c>
      <c r="BL1038" s="132">
        <f t="shared" si="535"/>
        <v>0</v>
      </c>
      <c r="BM1038" s="132">
        <f t="shared" si="535"/>
        <v>30087912.75</v>
      </c>
      <c r="BN1038" s="132">
        <f t="shared" si="535"/>
        <v>0</v>
      </c>
      <c r="BO1038" s="132">
        <f t="shared" si="535"/>
        <v>0</v>
      </c>
      <c r="BP1038" s="132">
        <f t="shared" si="535"/>
        <v>0</v>
      </c>
      <c r="BQ1038" s="132">
        <f t="shared" si="535"/>
        <v>0</v>
      </c>
      <c r="BR1038" s="132">
        <f t="shared" si="535"/>
        <v>0</v>
      </c>
      <c r="BS1038" s="132">
        <f t="shared" si="535"/>
        <v>0</v>
      </c>
      <c r="BT1038" s="132">
        <f t="shared" si="535"/>
        <v>0</v>
      </c>
      <c r="BU1038" s="132">
        <f t="shared" si="535"/>
        <v>0</v>
      </c>
      <c r="BV1038" s="132">
        <f t="shared" si="535"/>
        <v>0</v>
      </c>
      <c r="BW1038" s="132">
        <f t="shared" si="535"/>
        <v>0</v>
      </c>
      <c r="BX1038" s="132">
        <f>IF(OR(AND(BX1036=0,AB1036&lt;&gt;0),AND(BX1037=0,AB1037&lt;&gt;0)),"NO DEBEN QUEDAR CELDAS EN ROJO",SUM(BX1036:BX1037))</f>
        <v>30087912.75</v>
      </c>
      <c r="BY1038" s="132">
        <f t="shared" si="535"/>
        <v>0</v>
      </c>
      <c r="BZ1038" s="132">
        <f t="shared" si="535"/>
        <v>0</v>
      </c>
      <c r="CA1038" s="132">
        <f t="shared" si="535"/>
        <v>0</v>
      </c>
      <c r="CB1038" s="132">
        <f t="shared" si="535"/>
        <v>0</v>
      </c>
      <c r="CC1038" s="132">
        <f t="shared" si="535"/>
        <v>30087912.75</v>
      </c>
      <c r="CD1038" s="132">
        <f t="shared" si="535"/>
        <v>0</v>
      </c>
      <c r="CE1038" s="132">
        <f t="shared" si="535"/>
        <v>0</v>
      </c>
      <c r="CF1038" s="132">
        <f t="shared" si="535"/>
        <v>0</v>
      </c>
      <c r="CG1038" s="132">
        <f t="shared" si="535"/>
        <v>0</v>
      </c>
      <c r="CH1038" s="132">
        <f t="shared" si="535"/>
        <v>0</v>
      </c>
      <c r="CI1038" s="132">
        <f t="shared" si="535"/>
        <v>0</v>
      </c>
      <c r="CJ1038" s="132">
        <f t="shared" si="535"/>
        <v>0</v>
      </c>
      <c r="CK1038" s="132">
        <f t="shared" si="535"/>
        <v>0</v>
      </c>
      <c r="CL1038" s="132">
        <f t="shared" si="535"/>
        <v>0</v>
      </c>
      <c r="CM1038" s="132">
        <f t="shared" si="535"/>
        <v>0</v>
      </c>
      <c r="CN1038" s="132">
        <f>IF(OR(AND(CN1036=0,AG1036&lt;&gt;0),AND(CN1037=0,AG1037&lt;&gt;0)),"NO DEBEN QUEDAR CELDAS EN ROJO",SUM(CN1036:CN1037))</f>
        <v>30087912.75</v>
      </c>
      <c r="CO1038" s="132">
        <f t="shared" si="535"/>
        <v>0</v>
      </c>
      <c r="CP1038" s="132">
        <f t="shared" si="535"/>
        <v>0</v>
      </c>
      <c r="CQ1038" s="132">
        <f t="shared" si="535"/>
        <v>0</v>
      </c>
      <c r="CR1038" s="132">
        <f t="shared" si="535"/>
        <v>0</v>
      </c>
      <c r="CS1038" s="132">
        <f t="shared" si="535"/>
        <v>50527476.5</v>
      </c>
      <c r="CT1038" s="132">
        <f t="shared" si="535"/>
        <v>0</v>
      </c>
      <c r="CU1038" s="132">
        <f t="shared" si="535"/>
        <v>0</v>
      </c>
      <c r="CV1038" s="132">
        <f t="shared" si="535"/>
        <v>0</v>
      </c>
      <c r="CW1038" s="132">
        <f t="shared" si="535"/>
        <v>0</v>
      </c>
      <c r="CX1038" s="132">
        <f t="shared" si="535"/>
        <v>0</v>
      </c>
      <c r="CY1038" s="132">
        <f t="shared" si="535"/>
        <v>0</v>
      </c>
      <c r="CZ1038" s="132">
        <f t="shared" si="535"/>
        <v>0</v>
      </c>
      <c r="DA1038" s="132">
        <f t="shared" si="535"/>
        <v>0</v>
      </c>
      <c r="DB1038" s="132">
        <f t="shared" si="535"/>
        <v>0</v>
      </c>
      <c r="DC1038" s="132">
        <f t="shared" si="535"/>
        <v>0</v>
      </c>
      <c r="DD1038" s="132">
        <f>IF(OR(AND(DD1036=0,AL1036&lt;&gt;0),AND(DD1037=0,AL1037&lt;&gt;0)),"NO DEBEN QUEDAR CELDAS EN ROJO",SUM(DD1036:DD1037))</f>
        <v>50527476.5</v>
      </c>
      <c r="DE1038" s="132">
        <f t="shared" si="535"/>
        <v>120703302</v>
      </c>
      <c r="DF1038" s="101"/>
    </row>
    <row r="1039" spans="1:110" s="98" customFormat="1" ht="173.1" customHeight="1">
      <c r="A1039" s="103" t="s">
        <v>1240</v>
      </c>
      <c r="B1039" s="103" t="s">
        <v>2051</v>
      </c>
      <c r="C1039" s="103" t="s">
        <v>2052</v>
      </c>
      <c r="D1039" s="103">
        <v>98</v>
      </c>
      <c r="E1039" s="103" t="s">
        <v>2163</v>
      </c>
      <c r="F1039" s="278" t="s">
        <v>2164</v>
      </c>
      <c r="G1039" s="103" t="s">
        <v>3889</v>
      </c>
      <c r="H1039" s="103">
        <v>116</v>
      </c>
      <c r="I1039" s="103" t="s">
        <v>2165</v>
      </c>
      <c r="J1039" s="103" t="s">
        <v>677</v>
      </c>
      <c r="K1039" s="103">
        <v>30</v>
      </c>
      <c r="L1039" s="103" t="s">
        <v>2166</v>
      </c>
      <c r="M1039" s="103" t="s">
        <v>2167</v>
      </c>
      <c r="N1039" s="103" t="s">
        <v>2168</v>
      </c>
      <c r="O1039" s="103" t="s">
        <v>2169</v>
      </c>
      <c r="P1039" s="283">
        <v>909</v>
      </c>
      <c r="Q1039" s="103" t="s">
        <v>3890</v>
      </c>
      <c r="R1039" s="103" t="s">
        <v>513</v>
      </c>
      <c r="S1039" s="103" t="s">
        <v>683</v>
      </c>
      <c r="T1039" s="103">
        <v>1</v>
      </c>
      <c r="U1039" s="267"/>
      <c r="V1039" s="267"/>
      <c r="W1039" s="224">
        <v>0</v>
      </c>
      <c r="X1039" s="267"/>
      <c r="Y1039" s="267"/>
      <c r="Z1039" s="267"/>
      <c r="AA1039" s="267"/>
      <c r="AB1039" s="224">
        <v>0</v>
      </c>
      <c r="AC1039" s="267"/>
      <c r="AD1039" s="267"/>
      <c r="AE1039" s="267"/>
      <c r="AF1039" s="267"/>
      <c r="AG1039" s="224">
        <v>0</v>
      </c>
      <c r="AH1039" s="267"/>
      <c r="AI1039" s="267"/>
      <c r="AJ1039" s="267"/>
      <c r="AK1039" s="267">
        <v>1</v>
      </c>
      <c r="AL1039" s="224">
        <v>1</v>
      </c>
      <c r="AM1039" s="102">
        <v>1</v>
      </c>
      <c r="AN1039" s="103" t="s">
        <v>685</v>
      </c>
      <c r="AO1039" s="103" t="s">
        <v>1212</v>
      </c>
      <c r="AP1039" s="103" t="s">
        <v>1229</v>
      </c>
      <c r="AQ1039" s="103" t="s">
        <v>1207</v>
      </c>
      <c r="AR1039" s="103" t="s">
        <v>951</v>
      </c>
      <c r="AS1039" s="268"/>
      <c r="AT1039" s="268"/>
      <c r="AU1039" s="268"/>
      <c r="AV1039" s="268"/>
      <c r="AW1039" s="268"/>
      <c r="AX1039" s="268"/>
      <c r="AY1039" s="268"/>
      <c r="AZ1039" s="268"/>
      <c r="BA1039" s="268"/>
      <c r="BB1039" s="268"/>
      <c r="BC1039" s="268"/>
      <c r="BD1039" s="268"/>
      <c r="BE1039" s="268"/>
      <c r="BF1039" s="268"/>
      <c r="BG1039" s="268"/>
      <c r="BH1039" s="234">
        <v>0</v>
      </c>
      <c r="BI1039" s="268"/>
      <c r="BJ1039" s="268"/>
      <c r="BK1039" s="268"/>
      <c r="BL1039" s="268"/>
      <c r="BM1039" s="268"/>
      <c r="BN1039" s="268"/>
      <c r="BO1039" s="268"/>
      <c r="BP1039" s="268"/>
      <c r="BQ1039" s="268"/>
      <c r="BR1039" s="268"/>
      <c r="BS1039" s="268"/>
      <c r="BT1039" s="268"/>
      <c r="BU1039" s="268"/>
      <c r="BV1039" s="268"/>
      <c r="BW1039" s="268"/>
      <c r="BX1039" s="234">
        <v>0</v>
      </c>
      <c r="BY1039" s="268"/>
      <c r="BZ1039" s="268"/>
      <c r="CA1039" s="268"/>
      <c r="CB1039" s="268"/>
      <c r="CC1039" s="268"/>
      <c r="CD1039" s="268"/>
      <c r="CE1039" s="268"/>
      <c r="CF1039" s="268"/>
      <c r="CG1039" s="268"/>
      <c r="CH1039" s="268"/>
      <c r="CI1039" s="268"/>
      <c r="CJ1039" s="268"/>
      <c r="CK1039" s="268"/>
      <c r="CL1039" s="268"/>
      <c r="CM1039" s="268"/>
      <c r="CN1039" s="234">
        <v>0</v>
      </c>
      <c r="CO1039" s="268"/>
      <c r="CP1039" s="268"/>
      <c r="CQ1039" s="268"/>
      <c r="CR1039" s="268"/>
      <c r="CS1039" s="268">
        <v>60000000</v>
      </c>
      <c r="CT1039" s="268"/>
      <c r="CU1039" s="268"/>
      <c r="CV1039" s="268"/>
      <c r="CW1039" s="268"/>
      <c r="CX1039" s="268"/>
      <c r="CY1039" s="268"/>
      <c r="CZ1039" s="268"/>
      <c r="DA1039" s="268"/>
      <c r="DB1039" s="268"/>
      <c r="DC1039" s="268"/>
      <c r="DD1039" s="234">
        <v>60000000</v>
      </c>
      <c r="DE1039" s="243">
        <v>60000000</v>
      </c>
    </row>
    <row r="1040" spans="1:110" s="98" customFormat="1" ht="173.1" customHeight="1">
      <c r="A1040" s="103" t="s">
        <v>1240</v>
      </c>
      <c r="B1040" s="279" t="s">
        <v>2051</v>
      </c>
      <c r="C1040" s="279" t="s">
        <v>2052</v>
      </c>
      <c r="D1040" s="279">
        <v>98</v>
      </c>
      <c r="E1040" s="279" t="s">
        <v>2163</v>
      </c>
      <c r="F1040" s="280" t="s">
        <v>2164</v>
      </c>
      <c r="G1040" s="279" t="s">
        <v>3889</v>
      </c>
      <c r="H1040" s="279">
        <v>116</v>
      </c>
      <c r="I1040" s="279" t="s">
        <v>2165</v>
      </c>
      <c r="J1040" s="279" t="s">
        <v>677</v>
      </c>
      <c r="K1040" s="279">
        <v>30</v>
      </c>
      <c r="L1040" s="279" t="s">
        <v>2166</v>
      </c>
      <c r="M1040" s="279" t="s">
        <v>2167</v>
      </c>
      <c r="N1040" s="279" t="s">
        <v>2168</v>
      </c>
      <c r="O1040" s="279" t="s">
        <v>2169</v>
      </c>
      <c r="P1040" s="283">
        <v>910</v>
      </c>
      <c r="Q1040" s="279" t="s">
        <v>3891</v>
      </c>
      <c r="R1040" s="279" t="s">
        <v>514</v>
      </c>
      <c r="S1040" s="279" t="s">
        <v>683</v>
      </c>
      <c r="T1040" s="279">
        <v>1</v>
      </c>
      <c r="U1040" s="267"/>
      <c r="V1040" s="267">
        <v>1</v>
      </c>
      <c r="W1040" s="224">
        <v>1</v>
      </c>
      <c r="X1040" s="267">
        <v>0.25</v>
      </c>
      <c r="Y1040" s="267">
        <v>0.25</v>
      </c>
      <c r="Z1040" s="267">
        <v>0.25</v>
      </c>
      <c r="AA1040" s="267">
        <v>0.25</v>
      </c>
      <c r="AB1040" s="224">
        <v>1</v>
      </c>
      <c r="AC1040" s="267">
        <v>0.25</v>
      </c>
      <c r="AD1040" s="267">
        <v>0.25</v>
      </c>
      <c r="AE1040" s="267">
        <v>0.25</v>
      </c>
      <c r="AF1040" s="267">
        <v>0.25</v>
      </c>
      <c r="AG1040" s="224">
        <v>1</v>
      </c>
      <c r="AH1040" s="267">
        <v>0.25</v>
      </c>
      <c r="AI1040" s="267">
        <v>0.25</v>
      </c>
      <c r="AJ1040" s="267">
        <v>0.25</v>
      </c>
      <c r="AK1040" s="267">
        <v>0.25</v>
      </c>
      <c r="AL1040" s="224">
        <v>1</v>
      </c>
      <c r="AM1040" s="104">
        <v>1</v>
      </c>
      <c r="AN1040" s="103" t="s">
        <v>686</v>
      </c>
      <c r="AO1040" s="103" t="s">
        <v>1212</v>
      </c>
      <c r="AP1040" s="103" t="s">
        <v>1229</v>
      </c>
      <c r="AQ1040" s="103" t="s">
        <v>1207</v>
      </c>
      <c r="AR1040" s="103" t="s">
        <v>951</v>
      </c>
      <c r="AS1040" s="271"/>
      <c r="AT1040" s="271"/>
      <c r="AU1040" s="271"/>
      <c r="AV1040" s="271"/>
      <c r="AW1040" s="271">
        <v>10000000</v>
      </c>
      <c r="AX1040" s="271"/>
      <c r="AY1040" s="271"/>
      <c r="AZ1040" s="271"/>
      <c r="BA1040" s="271"/>
      <c r="BB1040" s="271"/>
      <c r="BC1040" s="271"/>
      <c r="BD1040" s="271"/>
      <c r="BE1040" s="271"/>
      <c r="BF1040" s="271"/>
      <c r="BG1040" s="271"/>
      <c r="BH1040" s="235">
        <v>10000000</v>
      </c>
      <c r="BI1040" s="271"/>
      <c r="BJ1040" s="271"/>
      <c r="BK1040" s="271"/>
      <c r="BL1040" s="271"/>
      <c r="BM1040" s="271">
        <v>15000000</v>
      </c>
      <c r="BN1040" s="271"/>
      <c r="BO1040" s="271"/>
      <c r="BP1040" s="271"/>
      <c r="BQ1040" s="271"/>
      <c r="BR1040" s="271"/>
      <c r="BS1040" s="271"/>
      <c r="BT1040" s="271"/>
      <c r="BU1040" s="271"/>
      <c r="BV1040" s="271"/>
      <c r="BW1040" s="271"/>
      <c r="BX1040" s="235">
        <v>15000000</v>
      </c>
      <c r="BY1040" s="271"/>
      <c r="BZ1040" s="271"/>
      <c r="CA1040" s="271"/>
      <c r="CB1040" s="271"/>
      <c r="CC1040" s="271">
        <v>15000000</v>
      </c>
      <c r="CD1040" s="271"/>
      <c r="CE1040" s="271"/>
      <c r="CF1040" s="271"/>
      <c r="CG1040" s="271"/>
      <c r="CH1040" s="271"/>
      <c r="CI1040" s="271"/>
      <c r="CJ1040" s="271"/>
      <c r="CK1040" s="271"/>
      <c r="CL1040" s="271"/>
      <c r="CM1040" s="271"/>
      <c r="CN1040" s="235">
        <v>15000000</v>
      </c>
      <c r="CO1040" s="271"/>
      <c r="CP1040" s="271"/>
      <c r="CQ1040" s="271"/>
      <c r="CR1040" s="271"/>
      <c r="CS1040" s="271">
        <v>15000000</v>
      </c>
      <c r="CT1040" s="271"/>
      <c r="CU1040" s="271"/>
      <c r="CV1040" s="271"/>
      <c r="CW1040" s="271"/>
      <c r="CX1040" s="271"/>
      <c r="CY1040" s="271"/>
      <c r="CZ1040" s="271"/>
      <c r="DA1040" s="271"/>
      <c r="DB1040" s="271"/>
      <c r="DC1040" s="271"/>
      <c r="DD1040" s="234">
        <v>15000000</v>
      </c>
      <c r="DE1040" s="244">
        <v>55000000</v>
      </c>
    </row>
    <row r="1041" spans="1:110" s="98" customFormat="1" ht="173.1" customHeight="1">
      <c r="A1041" s="103" t="s">
        <v>1240</v>
      </c>
      <c r="B1041" s="279" t="s">
        <v>2051</v>
      </c>
      <c r="C1041" s="279" t="s">
        <v>2052</v>
      </c>
      <c r="D1041" s="279">
        <v>98</v>
      </c>
      <c r="E1041" s="279" t="s">
        <v>2163</v>
      </c>
      <c r="F1041" s="280" t="s">
        <v>2164</v>
      </c>
      <c r="G1041" s="279" t="s">
        <v>3889</v>
      </c>
      <c r="H1041" s="279">
        <v>116</v>
      </c>
      <c r="I1041" s="279" t="s">
        <v>2165</v>
      </c>
      <c r="J1041" s="279" t="s">
        <v>677</v>
      </c>
      <c r="K1041" s="279">
        <v>30</v>
      </c>
      <c r="L1041" s="279" t="s">
        <v>2166</v>
      </c>
      <c r="M1041" s="279" t="s">
        <v>2167</v>
      </c>
      <c r="N1041" s="279" t="s">
        <v>2168</v>
      </c>
      <c r="O1041" s="279" t="s">
        <v>2169</v>
      </c>
      <c r="P1041" s="283">
        <v>911</v>
      </c>
      <c r="Q1041" s="279" t="s">
        <v>3892</v>
      </c>
      <c r="R1041" s="279" t="s">
        <v>515</v>
      </c>
      <c r="S1041" s="279" t="s">
        <v>683</v>
      </c>
      <c r="T1041" s="279">
        <v>14</v>
      </c>
      <c r="U1041" s="267">
        <v>1</v>
      </c>
      <c r="V1041" s="267">
        <v>1</v>
      </c>
      <c r="W1041" s="224">
        <v>2</v>
      </c>
      <c r="X1041" s="267">
        <v>1</v>
      </c>
      <c r="Y1041" s="267">
        <v>1</v>
      </c>
      <c r="Z1041" s="267">
        <v>1</v>
      </c>
      <c r="AA1041" s="267">
        <v>1</v>
      </c>
      <c r="AB1041" s="224">
        <v>4</v>
      </c>
      <c r="AC1041" s="267">
        <v>1</v>
      </c>
      <c r="AD1041" s="267">
        <v>1</v>
      </c>
      <c r="AE1041" s="267">
        <v>1</v>
      </c>
      <c r="AF1041" s="267">
        <v>1</v>
      </c>
      <c r="AG1041" s="224">
        <v>4</v>
      </c>
      <c r="AH1041" s="267">
        <v>1</v>
      </c>
      <c r="AI1041" s="267">
        <v>1</v>
      </c>
      <c r="AJ1041" s="267">
        <v>1</v>
      </c>
      <c r="AK1041" s="267">
        <v>1</v>
      </c>
      <c r="AL1041" s="224">
        <v>4</v>
      </c>
      <c r="AM1041" s="104">
        <v>14</v>
      </c>
      <c r="AN1041" s="103" t="s">
        <v>685</v>
      </c>
      <c r="AO1041" s="103" t="s">
        <v>1212</v>
      </c>
      <c r="AP1041" s="103" t="s">
        <v>1229</v>
      </c>
      <c r="AQ1041" s="103" t="s">
        <v>1207</v>
      </c>
      <c r="AR1041" s="103" t="s">
        <v>951</v>
      </c>
      <c r="AS1041" s="271"/>
      <c r="AT1041" s="271"/>
      <c r="AU1041" s="271"/>
      <c r="AV1041" s="271"/>
      <c r="AW1041" s="271">
        <v>45000000</v>
      </c>
      <c r="AX1041" s="271"/>
      <c r="AY1041" s="271"/>
      <c r="AZ1041" s="271"/>
      <c r="BA1041" s="271"/>
      <c r="BB1041" s="271"/>
      <c r="BC1041" s="271"/>
      <c r="BD1041" s="271"/>
      <c r="BE1041" s="271"/>
      <c r="BF1041" s="271"/>
      <c r="BG1041" s="271"/>
      <c r="BH1041" s="235">
        <v>45000000</v>
      </c>
      <c r="BI1041" s="271"/>
      <c r="BJ1041" s="271"/>
      <c r="BK1041" s="271"/>
      <c r="BL1041" s="271"/>
      <c r="BM1041" s="271">
        <v>310623029</v>
      </c>
      <c r="BN1041" s="271"/>
      <c r="BO1041" s="271"/>
      <c r="BP1041" s="271"/>
      <c r="BQ1041" s="271"/>
      <c r="BR1041" s="271"/>
      <c r="BS1041" s="271"/>
      <c r="BT1041" s="271"/>
      <c r="BU1041" s="271"/>
      <c r="BV1041" s="271"/>
      <c r="BW1041" s="271"/>
      <c r="BX1041" s="235">
        <v>310623029</v>
      </c>
      <c r="BY1041" s="271"/>
      <c r="BZ1041" s="271"/>
      <c r="CA1041" s="271"/>
      <c r="CB1041" s="271"/>
      <c r="CC1041" s="271">
        <v>346750000</v>
      </c>
      <c r="CD1041" s="271"/>
      <c r="CE1041" s="271"/>
      <c r="CF1041" s="271"/>
      <c r="CG1041" s="271"/>
      <c r="CH1041" s="271"/>
      <c r="CI1041" s="271"/>
      <c r="CJ1041" s="271"/>
      <c r="CK1041" s="271"/>
      <c r="CL1041" s="271"/>
      <c r="CM1041" s="271"/>
      <c r="CN1041" s="235">
        <v>346750000</v>
      </c>
      <c r="CO1041" s="271"/>
      <c r="CP1041" s="271"/>
      <c r="CQ1041" s="271"/>
      <c r="CR1041" s="271"/>
      <c r="CS1041" s="271">
        <v>384475636</v>
      </c>
      <c r="CT1041" s="271"/>
      <c r="CU1041" s="271"/>
      <c r="CV1041" s="271"/>
      <c r="CW1041" s="271"/>
      <c r="CX1041" s="271"/>
      <c r="CY1041" s="271"/>
      <c r="CZ1041" s="271"/>
      <c r="DA1041" s="271"/>
      <c r="DB1041" s="271"/>
      <c r="DC1041" s="271"/>
      <c r="DD1041" s="234">
        <v>384475636</v>
      </c>
      <c r="DE1041" s="244">
        <v>1086848665</v>
      </c>
    </row>
    <row r="1042" spans="1:110" s="98" customFormat="1" ht="173.1" customHeight="1">
      <c r="A1042" s="103" t="s">
        <v>1240</v>
      </c>
      <c r="B1042" s="279" t="s">
        <v>2051</v>
      </c>
      <c r="C1042" s="279" t="s">
        <v>2052</v>
      </c>
      <c r="D1042" s="279">
        <v>98</v>
      </c>
      <c r="E1042" s="279" t="s">
        <v>2163</v>
      </c>
      <c r="F1042" s="280" t="s">
        <v>2164</v>
      </c>
      <c r="G1042" s="279" t="s">
        <v>3889</v>
      </c>
      <c r="H1042" s="279">
        <v>116</v>
      </c>
      <c r="I1042" s="279" t="s">
        <v>2165</v>
      </c>
      <c r="J1042" s="279" t="s">
        <v>677</v>
      </c>
      <c r="K1042" s="279">
        <v>30</v>
      </c>
      <c r="L1042" s="279" t="s">
        <v>2166</v>
      </c>
      <c r="M1042" s="279" t="s">
        <v>2167</v>
      </c>
      <c r="N1042" s="279" t="s">
        <v>2168</v>
      </c>
      <c r="O1042" s="279" t="s">
        <v>2169</v>
      </c>
      <c r="P1042" s="283">
        <v>912</v>
      </c>
      <c r="Q1042" s="279" t="s">
        <v>3893</v>
      </c>
      <c r="R1042" s="279" t="s">
        <v>516</v>
      </c>
      <c r="S1042" s="279" t="s">
        <v>683</v>
      </c>
      <c r="T1042" s="279">
        <v>1</v>
      </c>
      <c r="U1042" s="267"/>
      <c r="V1042" s="267"/>
      <c r="W1042" s="224">
        <v>0</v>
      </c>
      <c r="X1042" s="267"/>
      <c r="Y1042" s="267"/>
      <c r="Z1042" s="267"/>
      <c r="AA1042" s="267"/>
      <c r="AB1042" s="224">
        <v>0</v>
      </c>
      <c r="AC1042" s="267"/>
      <c r="AD1042" s="267"/>
      <c r="AE1042" s="267"/>
      <c r="AF1042" s="267"/>
      <c r="AG1042" s="224">
        <v>0</v>
      </c>
      <c r="AH1042" s="267"/>
      <c r="AI1042" s="267"/>
      <c r="AJ1042" s="267"/>
      <c r="AK1042" s="267">
        <v>1</v>
      </c>
      <c r="AL1042" s="224">
        <v>1</v>
      </c>
      <c r="AM1042" s="104">
        <v>1</v>
      </c>
      <c r="AN1042" s="103" t="s">
        <v>685</v>
      </c>
      <c r="AO1042" s="103" t="s">
        <v>1212</v>
      </c>
      <c r="AP1042" s="103" t="s">
        <v>1229</v>
      </c>
      <c r="AQ1042" s="103" t="s">
        <v>1207</v>
      </c>
      <c r="AR1042" s="103" t="s">
        <v>951</v>
      </c>
      <c r="AS1042" s="271"/>
      <c r="AT1042" s="271"/>
      <c r="AU1042" s="271"/>
      <c r="AV1042" s="271"/>
      <c r="AW1042" s="271"/>
      <c r="AX1042" s="271"/>
      <c r="AY1042" s="271"/>
      <c r="AZ1042" s="271"/>
      <c r="BA1042" s="271"/>
      <c r="BB1042" s="271"/>
      <c r="BC1042" s="271"/>
      <c r="BD1042" s="271"/>
      <c r="BE1042" s="271"/>
      <c r="BF1042" s="271"/>
      <c r="BG1042" s="271"/>
      <c r="BH1042" s="235">
        <v>0</v>
      </c>
      <c r="BI1042" s="271"/>
      <c r="BJ1042" s="271"/>
      <c r="BK1042" s="271"/>
      <c r="BL1042" s="271"/>
      <c r="BM1042" s="271"/>
      <c r="BN1042" s="271"/>
      <c r="BO1042" s="271"/>
      <c r="BP1042" s="271"/>
      <c r="BQ1042" s="271"/>
      <c r="BR1042" s="271"/>
      <c r="BS1042" s="271"/>
      <c r="BT1042" s="271"/>
      <c r="BU1042" s="271"/>
      <c r="BV1042" s="271"/>
      <c r="BW1042" s="271"/>
      <c r="BX1042" s="235">
        <v>0</v>
      </c>
      <c r="BY1042" s="271"/>
      <c r="BZ1042" s="271"/>
      <c r="CA1042" s="271"/>
      <c r="CB1042" s="271"/>
      <c r="CC1042" s="271"/>
      <c r="CD1042" s="271"/>
      <c r="CE1042" s="271"/>
      <c r="CF1042" s="271"/>
      <c r="CG1042" s="271"/>
      <c r="CH1042" s="271"/>
      <c r="CI1042" s="271"/>
      <c r="CJ1042" s="271"/>
      <c r="CK1042" s="271"/>
      <c r="CL1042" s="271"/>
      <c r="CM1042" s="271"/>
      <c r="CN1042" s="235">
        <v>0</v>
      </c>
      <c r="CO1042" s="271"/>
      <c r="CP1042" s="271"/>
      <c r="CQ1042" s="271"/>
      <c r="CR1042" s="271"/>
      <c r="CS1042" s="271">
        <v>20000000.5</v>
      </c>
      <c r="CT1042" s="271"/>
      <c r="CU1042" s="271"/>
      <c r="CV1042" s="271"/>
      <c r="CW1042" s="271"/>
      <c r="CX1042" s="271"/>
      <c r="CY1042" s="271"/>
      <c r="CZ1042" s="271"/>
      <c r="DA1042" s="271"/>
      <c r="DB1042" s="271"/>
      <c r="DC1042" s="271"/>
      <c r="DD1042" s="234">
        <v>20000000.5</v>
      </c>
      <c r="DE1042" s="244">
        <v>20000000.5</v>
      </c>
    </row>
    <row r="1043" spans="1:110" s="98" customFormat="1" ht="173.1" customHeight="1">
      <c r="A1043" s="103" t="s">
        <v>1240</v>
      </c>
      <c r="B1043" s="279" t="s">
        <v>2051</v>
      </c>
      <c r="C1043" s="279" t="s">
        <v>2052</v>
      </c>
      <c r="D1043" s="279">
        <v>98</v>
      </c>
      <c r="E1043" s="279" t="s">
        <v>2163</v>
      </c>
      <c r="F1043" s="280" t="s">
        <v>2164</v>
      </c>
      <c r="G1043" s="279" t="s">
        <v>3889</v>
      </c>
      <c r="H1043" s="279">
        <v>116</v>
      </c>
      <c r="I1043" s="279" t="s">
        <v>2165</v>
      </c>
      <c r="J1043" s="279" t="s">
        <v>677</v>
      </c>
      <c r="K1043" s="279">
        <v>30</v>
      </c>
      <c r="L1043" s="279" t="s">
        <v>2166</v>
      </c>
      <c r="M1043" s="279" t="s">
        <v>2167</v>
      </c>
      <c r="N1043" s="279" t="s">
        <v>2168</v>
      </c>
      <c r="O1043" s="279" t="s">
        <v>2169</v>
      </c>
      <c r="P1043" s="283">
        <v>913</v>
      </c>
      <c r="Q1043" s="279" t="s">
        <v>3894</v>
      </c>
      <c r="R1043" s="279" t="s">
        <v>2170</v>
      </c>
      <c r="S1043" s="279" t="s">
        <v>683</v>
      </c>
      <c r="T1043" s="279">
        <v>5</v>
      </c>
      <c r="U1043" s="267"/>
      <c r="V1043" s="267">
        <v>1</v>
      </c>
      <c r="W1043" s="224">
        <v>1</v>
      </c>
      <c r="X1043" s="267"/>
      <c r="Y1043" s="267">
        <v>1</v>
      </c>
      <c r="Z1043" s="267"/>
      <c r="AA1043" s="267">
        <v>1</v>
      </c>
      <c r="AB1043" s="224">
        <v>2</v>
      </c>
      <c r="AC1043" s="267"/>
      <c r="AD1043" s="267">
        <v>1</v>
      </c>
      <c r="AE1043" s="267"/>
      <c r="AF1043" s="267">
        <v>1</v>
      </c>
      <c r="AG1043" s="224">
        <v>2</v>
      </c>
      <c r="AH1043" s="267"/>
      <c r="AI1043" s="267">
        <v>1</v>
      </c>
      <c r="AJ1043" s="267"/>
      <c r="AK1043" s="267">
        <v>1</v>
      </c>
      <c r="AL1043" s="224">
        <v>2</v>
      </c>
      <c r="AM1043" s="104">
        <v>7</v>
      </c>
      <c r="AN1043" s="103" t="s">
        <v>685</v>
      </c>
      <c r="AO1043" s="103" t="s">
        <v>1212</v>
      </c>
      <c r="AP1043" s="103" t="s">
        <v>1229</v>
      </c>
      <c r="AQ1043" s="103" t="s">
        <v>1207</v>
      </c>
      <c r="AR1043" s="103" t="s">
        <v>951</v>
      </c>
      <c r="AS1043" s="271"/>
      <c r="AT1043" s="271"/>
      <c r="AU1043" s="271"/>
      <c r="AV1043" s="271"/>
      <c r="AW1043" s="271">
        <v>10202523.25</v>
      </c>
      <c r="AX1043" s="271"/>
      <c r="AY1043" s="271"/>
      <c r="AZ1043" s="271"/>
      <c r="BA1043" s="271"/>
      <c r="BB1043" s="271"/>
      <c r="BC1043" s="271"/>
      <c r="BD1043" s="271"/>
      <c r="BE1043" s="271"/>
      <c r="BF1043" s="271"/>
      <c r="BG1043" s="271"/>
      <c r="BH1043" s="235">
        <v>10202523.25</v>
      </c>
      <c r="BI1043" s="271"/>
      <c r="BJ1043" s="271"/>
      <c r="BK1043" s="271"/>
      <c r="BL1043" s="271"/>
      <c r="BM1043" s="271">
        <v>7000000</v>
      </c>
      <c r="BN1043" s="271"/>
      <c r="BO1043" s="271"/>
      <c r="BP1043" s="271"/>
      <c r="BQ1043" s="271"/>
      <c r="BR1043" s="271"/>
      <c r="BS1043" s="271"/>
      <c r="BT1043" s="271"/>
      <c r="BU1043" s="271"/>
      <c r="BV1043" s="271"/>
      <c r="BW1043" s="271"/>
      <c r="BX1043" s="235">
        <v>7000000</v>
      </c>
      <c r="BY1043" s="271"/>
      <c r="BZ1043" s="271"/>
      <c r="CA1043" s="271"/>
      <c r="CB1043" s="271"/>
      <c r="CC1043" s="271">
        <v>8000000</v>
      </c>
      <c r="CD1043" s="271"/>
      <c r="CE1043" s="271"/>
      <c r="CF1043" s="271"/>
      <c r="CG1043" s="271"/>
      <c r="CH1043" s="271"/>
      <c r="CI1043" s="271"/>
      <c r="CJ1043" s="271"/>
      <c r="CK1043" s="271"/>
      <c r="CL1043" s="271"/>
      <c r="CM1043" s="271"/>
      <c r="CN1043" s="235">
        <v>8000000</v>
      </c>
      <c r="CO1043" s="271"/>
      <c r="CP1043" s="271"/>
      <c r="CQ1043" s="271"/>
      <c r="CR1043" s="271"/>
      <c r="CS1043" s="271">
        <v>10000000</v>
      </c>
      <c r="CT1043" s="271"/>
      <c r="CU1043" s="271"/>
      <c r="CV1043" s="271"/>
      <c r="CW1043" s="271"/>
      <c r="CX1043" s="271"/>
      <c r="CY1043" s="271"/>
      <c r="CZ1043" s="271"/>
      <c r="DA1043" s="271"/>
      <c r="DB1043" s="271"/>
      <c r="DC1043" s="271"/>
      <c r="DD1043" s="234">
        <v>10000000</v>
      </c>
      <c r="DE1043" s="244">
        <v>35202523.25</v>
      </c>
    </row>
    <row r="1044" spans="1:110" s="98" customFormat="1" ht="173.1" customHeight="1">
      <c r="A1044" s="103" t="s">
        <v>1240</v>
      </c>
      <c r="B1044" s="279" t="s">
        <v>2051</v>
      </c>
      <c r="C1044" s="279" t="s">
        <v>2052</v>
      </c>
      <c r="D1044" s="279">
        <v>98</v>
      </c>
      <c r="E1044" s="279" t="s">
        <v>2163</v>
      </c>
      <c r="F1044" s="280" t="s">
        <v>2164</v>
      </c>
      <c r="G1044" s="279" t="s">
        <v>3889</v>
      </c>
      <c r="H1044" s="279">
        <v>116</v>
      </c>
      <c r="I1044" s="279" t="s">
        <v>2165</v>
      </c>
      <c r="J1044" s="279" t="s">
        <v>677</v>
      </c>
      <c r="K1044" s="279">
        <v>30</v>
      </c>
      <c r="L1044" s="279" t="s">
        <v>2166</v>
      </c>
      <c r="M1044" s="279" t="s">
        <v>2171</v>
      </c>
      <c r="N1044" s="279" t="s">
        <v>2172</v>
      </c>
      <c r="O1044" s="279" t="s">
        <v>517</v>
      </c>
      <c r="P1044" s="283">
        <v>914</v>
      </c>
      <c r="Q1044" s="279" t="s">
        <v>3895</v>
      </c>
      <c r="R1044" s="279" t="s">
        <v>2173</v>
      </c>
      <c r="S1044" s="279" t="s">
        <v>683</v>
      </c>
      <c r="T1044" s="279">
        <v>0</v>
      </c>
      <c r="U1044" s="267"/>
      <c r="V1044" s="267"/>
      <c r="W1044" s="224">
        <v>0</v>
      </c>
      <c r="X1044" s="267"/>
      <c r="Y1044" s="267"/>
      <c r="Z1044" s="267">
        <v>0.25</v>
      </c>
      <c r="AA1044" s="267"/>
      <c r="AB1044" s="224">
        <v>0.25</v>
      </c>
      <c r="AC1044" s="267"/>
      <c r="AD1044" s="267"/>
      <c r="AE1044" s="267">
        <v>0.25</v>
      </c>
      <c r="AF1044" s="267"/>
      <c r="AG1044" s="224">
        <v>0.25</v>
      </c>
      <c r="AH1044" s="267"/>
      <c r="AI1044" s="267"/>
      <c r="AJ1044" s="267">
        <v>0.25</v>
      </c>
      <c r="AK1044" s="267">
        <v>0.25</v>
      </c>
      <c r="AL1044" s="224">
        <v>0.5</v>
      </c>
      <c r="AM1044" s="104">
        <v>1</v>
      </c>
      <c r="AN1044" s="103" t="s">
        <v>685</v>
      </c>
      <c r="AO1044" s="103" t="s">
        <v>1212</v>
      </c>
      <c r="AP1044" s="103" t="s">
        <v>1229</v>
      </c>
      <c r="AQ1044" s="103" t="s">
        <v>1206</v>
      </c>
      <c r="AR1044" s="103" t="s">
        <v>952</v>
      </c>
      <c r="AS1044" s="271"/>
      <c r="AT1044" s="271"/>
      <c r="AU1044" s="271"/>
      <c r="AV1044" s="271"/>
      <c r="AW1044" s="271"/>
      <c r="AX1044" s="271"/>
      <c r="AY1044" s="271"/>
      <c r="AZ1044" s="271"/>
      <c r="BA1044" s="271"/>
      <c r="BB1044" s="271"/>
      <c r="BC1044" s="271"/>
      <c r="BD1044" s="271"/>
      <c r="BE1044" s="271"/>
      <c r="BF1044" s="271"/>
      <c r="BG1044" s="271"/>
      <c r="BH1044" s="235">
        <v>0</v>
      </c>
      <c r="BI1044" s="271"/>
      <c r="BJ1044" s="271"/>
      <c r="BK1044" s="271"/>
      <c r="BL1044" s="271"/>
      <c r="BM1044" s="271">
        <v>5000000</v>
      </c>
      <c r="BN1044" s="271"/>
      <c r="BO1044" s="271"/>
      <c r="BP1044" s="271"/>
      <c r="BQ1044" s="271"/>
      <c r="BR1044" s="271"/>
      <c r="BS1044" s="271"/>
      <c r="BT1044" s="271"/>
      <c r="BU1044" s="271"/>
      <c r="BV1044" s="271"/>
      <c r="BW1044" s="271"/>
      <c r="BX1044" s="235">
        <v>5000000</v>
      </c>
      <c r="BY1044" s="271"/>
      <c r="BZ1044" s="271"/>
      <c r="CA1044" s="271"/>
      <c r="CB1044" s="271"/>
      <c r="CC1044" s="271">
        <v>5000000</v>
      </c>
      <c r="CD1044" s="271"/>
      <c r="CE1044" s="271"/>
      <c r="CF1044" s="271"/>
      <c r="CG1044" s="271"/>
      <c r="CH1044" s="271"/>
      <c r="CI1044" s="271"/>
      <c r="CJ1044" s="271"/>
      <c r="CK1044" s="271"/>
      <c r="CL1044" s="271"/>
      <c r="CM1044" s="271"/>
      <c r="CN1044" s="235">
        <v>5000000</v>
      </c>
      <c r="CO1044" s="271"/>
      <c r="CP1044" s="271"/>
      <c r="CQ1044" s="271"/>
      <c r="CR1044" s="271"/>
      <c r="CS1044" s="271">
        <v>4500000</v>
      </c>
      <c r="CT1044" s="271"/>
      <c r="CU1044" s="271"/>
      <c r="CV1044" s="271"/>
      <c r="CW1044" s="271"/>
      <c r="CX1044" s="271"/>
      <c r="CY1044" s="271"/>
      <c r="CZ1044" s="271"/>
      <c r="DA1044" s="271"/>
      <c r="DB1044" s="271"/>
      <c r="DC1044" s="271"/>
      <c r="DD1044" s="234">
        <v>4500000</v>
      </c>
      <c r="DE1044" s="244">
        <v>14500000</v>
      </c>
    </row>
    <row r="1045" spans="1:110" s="98" customFormat="1" ht="173.1" customHeight="1">
      <c r="A1045" s="103" t="s">
        <v>1240</v>
      </c>
      <c r="B1045" s="279" t="s">
        <v>2051</v>
      </c>
      <c r="C1045" s="279" t="s">
        <v>2052</v>
      </c>
      <c r="D1045" s="279">
        <v>98</v>
      </c>
      <c r="E1045" s="279" t="s">
        <v>2163</v>
      </c>
      <c r="F1045" s="280" t="s">
        <v>2164</v>
      </c>
      <c r="G1045" s="279" t="s">
        <v>3889</v>
      </c>
      <c r="H1045" s="279">
        <v>116</v>
      </c>
      <c r="I1045" s="279" t="s">
        <v>2165</v>
      </c>
      <c r="J1045" s="279" t="s">
        <v>677</v>
      </c>
      <c r="K1045" s="279">
        <v>30</v>
      </c>
      <c r="L1045" s="279" t="s">
        <v>2166</v>
      </c>
      <c r="M1045" s="279" t="s">
        <v>2171</v>
      </c>
      <c r="N1045" s="279" t="s">
        <v>2172</v>
      </c>
      <c r="O1045" s="279" t="s">
        <v>517</v>
      </c>
      <c r="P1045" s="283">
        <v>915</v>
      </c>
      <c r="Q1045" s="279" t="s">
        <v>3896</v>
      </c>
      <c r="R1045" s="279" t="s">
        <v>2174</v>
      </c>
      <c r="S1045" s="279" t="s">
        <v>683</v>
      </c>
      <c r="T1045" s="279">
        <v>0</v>
      </c>
      <c r="U1045" s="267"/>
      <c r="V1045" s="267">
        <v>5</v>
      </c>
      <c r="W1045" s="224">
        <v>5</v>
      </c>
      <c r="X1045" s="267"/>
      <c r="Y1045" s="267"/>
      <c r="Z1045" s="267">
        <v>5</v>
      </c>
      <c r="AA1045" s="267"/>
      <c r="AB1045" s="224">
        <v>5</v>
      </c>
      <c r="AC1045" s="267"/>
      <c r="AD1045" s="267"/>
      <c r="AE1045" s="267">
        <v>5</v>
      </c>
      <c r="AF1045" s="267"/>
      <c r="AG1045" s="224">
        <v>5</v>
      </c>
      <c r="AH1045" s="267"/>
      <c r="AI1045" s="267"/>
      <c r="AJ1045" s="267">
        <v>5</v>
      </c>
      <c r="AK1045" s="267"/>
      <c r="AL1045" s="224">
        <v>5</v>
      </c>
      <c r="AM1045" s="104">
        <v>20</v>
      </c>
      <c r="AN1045" s="103" t="s">
        <v>685</v>
      </c>
      <c r="AO1045" s="103" t="s">
        <v>1212</v>
      </c>
      <c r="AP1045" s="103" t="s">
        <v>1229</v>
      </c>
      <c r="AQ1045" s="103" t="s">
        <v>1206</v>
      </c>
      <c r="AR1045" s="103" t="s">
        <v>952</v>
      </c>
      <c r="AS1045" s="271"/>
      <c r="AT1045" s="271"/>
      <c r="AU1045" s="271"/>
      <c r="AV1045" s="271"/>
      <c r="AW1045" s="271">
        <v>20000000</v>
      </c>
      <c r="AX1045" s="271"/>
      <c r="AY1045" s="271"/>
      <c r="AZ1045" s="271"/>
      <c r="BA1045" s="271"/>
      <c r="BB1045" s="271"/>
      <c r="BC1045" s="271"/>
      <c r="BD1045" s="271"/>
      <c r="BE1045" s="271"/>
      <c r="BF1045" s="271"/>
      <c r="BG1045" s="271"/>
      <c r="BH1045" s="235">
        <v>20000000</v>
      </c>
      <c r="BI1045" s="271"/>
      <c r="BJ1045" s="271"/>
      <c r="BK1045" s="271"/>
      <c r="BL1045" s="271"/>
      <c r="BM1045" s="271">
        <v>40000000</v>
      </c>
      <c r="BN1045" s="271"/>
      <c r="BO1045" s="271"/>
      <c r="BP1045" s="271"/>
      <c r="BQ1045" s="271"/>
      <c r="BR1045" s="271"/>
      <c r="BS1045" s="271"/>
      <c r="BT1045" s="271"/>
      <c r="BU1045" s="271"/>
      <c r="BV1045" s="271"/>
      <c r="BW1045" s="271"/>
      <c r="BX1045" s="235">
        <v>40000000</v>
      </c>
      <c r="BY1045" s="271"/>
      <c r="BZ1045" s="271"/>
      <c r="CA1045" s="271"/>
      <c r="CB1045" s="271"/>
      <c r="CC1045" s="271">
        <v>45000000</v>
      </c>
      <c r="CD1045" s="271"/>
      <c r="CE1045" s="271"/>
      <c r="CF1045" s="271"/>
      <c r="CG1045" s="271"/>
      <c r="CH1045" s="271"/>
      <c r="CI1045" s="271"/>
      <c r="CJ1045" s="271"/>
      <c r="CK1045" s="271"/>
      <c r="CL1045" s="271"/>
      <c r="CM1045" s="271"/>
      <c r="CN1045" s="235">
        <v>45000000</v>
      </c>
      <c r="CO1045" s="271"/>
      <c r="CP1045" s="271"/>
      <c r="CQ1045" s="271"/>
      <c r="CR1045" s="271"/>
      <c r="CS1045" s="271">
        <v>50000000</v>
      </c>
      <c r="CT1045" s="271"/>
      <c r="CU1045" s="271"/>
      <c r="CV1045" s="271"/>
      <c r="CW1045" s="271"/>
      <c r="CX1045" s="271"/>
      <c r="CY1045" s="271"/>
      <c r="CZ1045" s="271"/>
      <c r="DA1045" s="271"/>
      <c r="DB1045" s="271"/>
      <c r="DC1045" s="271"/>
      <c r="DD1045" s="234">
        <v>50000000</v>
      </c>
      <c r="DE1045" s="244">
        <v>155000000</v>
      </c>
    </row>
    <row r="1046" spans="1:110" s="98" customFormat="1" ht="173.1" customHeight="1">
      <c r="A1046" s="103" t="s">
        <v>1240</v>
      </c>
      <c r="B1046" s="279" t="s">
        <v>2051</v>
      </c>
      <c r="C1046" s="279" t="s">
        <v>2052</v>
      </c>
      <c r="D1046" s="279">
        <v>98</v>
      </c>
      <c r="E1046" s="279" t="s">
        <v>2163</v>
      </c>
      <c r="F1046" s="280" t="s">
        <v>2164</v>
      </c>
      <c r="G1046" s="279" t="s">
        <v>3889</v>
      </c>
      <c r="H1046" s="279">
        <v>116</v>
      </c>
      <c r="I1046" s="279" t="s">
        <v>2165</v>
      </c>
      <c r="J1046" s="279" t="s">
        <v>677</v>
      </c>
      <c r="K1046" s="279">
        <v>30</v>
      </c>
      <c r="L1046" s="279" t="s">
        <v>2166</v>
      </c>
      <c r="M1046" s="279" t="s">
        <v>2171</v>
      </c>
      <c r="N1046" s="279" t="s">
        <v>2172</v>
      </c>
      <c r="O1046" s="279" t="s">
        <v>517</v>
      </c>
      <c r="P1046" s="283">
        <v>916</v>
      </c>
      <c r="Q1046" s="279" t="s">
        <v>3897</v>
      </c>
      <c r="R1046" s="279" t="s">
        <v>2175</v>
      </c>
      <c r="S1046" s="279" t="s">
        <v>683</v>
      </c>
      <c r="T1046" s="279">
        <v>1</v>
      </c>
      <c r="U1046" s="267"/>
      <c r="V1046" s="267">
        <v>1</v>
      </c>
      <c r="W1046" s="224">
        <v>1</v>
      </c>
      <c r="X1046" s="267"/>
      <c r="Y1046" s="267"/>
      <c r="Z1046" s="267"/>
      <c r="AA1046" s="267">
        <v>1</v>
      </c>
      <c r="AB1046" s="224">
        <v>1</v>
      </c>
      <c r="AC1046" s="267"/>
      <c r="AD1046" s="267"/>
      <c r="AE1046" s="267"/>
      <c r="AF1046" s="267">
        <v>1</v>
      </c>
      <c r="AG1046" s="224">
        <v>1</v>
      </c>
      <c r="AH1046" s="267"/>
      <c r="AI1046" s="267"/>
      <c r="AJ1046" s="267"/>
      <c r="AK1046" s="267">
        <v>1</v>
      </c>
      <c r="AL1046" s="224">
        <v>1</v>
      </c>
      <c r="AM1046" s="104">
        <v>1</v>
      </c>
      <c r="AN1046" s="103" t="s">
        <v>686</v>
      </c>
      <c r="AO1046" s="103" t="s">
        <v>1212</v>
      </c>
      <c r="AP1046" s="103" t="s">
        <v>1229</v>
      </c>
      <c r="AQ1046" s="103" t="s">
        <v>1206</v>
      </c>
      <c r="AR1046" s="103" t="s">
        <v>951</v>
      </c>
      <c r="AS1046" s="271"/>
      <c r="AT1046" s="271"/>
      <c r="AU1046" s="271"/>
      <c r="AV1046" s="271"/>
      <c r="AW1046" s="271">
        <v>10000000</v>
      </c>
      <c r="AX1046" s="271"/>
      <c r="AY1046" s="271"/>
      <c r="AZ1046" s="271"/>
      <c r="BA1046" s="271"/>
      <c r="BB1046" s="271"/>
      <c r="BC1046" s="271"/>
      <c r="BD1046" s="271"/>
      <c r="BE1046" s="271"/>
      <c r="BF1046" s="271"/>
      <c r="BG1046" s="271"/>
      <c r="BH1046" s="235">
        <v>10000000</v>
      </c>
      <c r="BI1046" s="271"/>
      <c r="BJ1046" s="271"/>
      <c r="BK1046" s="271"/>
      <c r="BL1046" s="271"/>
      <c r="BM1046" s="271">
        <v>50000000</v>
      </c>
      <c r="BN1046" s="271"/>
      <c r="BO1046" s="271"/>
      <c r="BP1046" s="271"/>
      <c r="BQ1046" s="271"/>
      <c r="BR1046" s="271"/>
      <c r="BS1046" s="271"/>
      <c r="BT1046" s="271"/>
      <c r="BU1046" s="271"/>
      <c r="BV1046" s="271"/>
      <c r="BW1046" s="271"/>
      <c r="BX1046" s="235">
        <v>50000000</v>
      </c>
      <c r="BY1046" s="271"/>
      <c r="BZ1046" s="271"/>
      <c r="CA1046" s="271"/>
      <c r="CB1046" s="271"/>
      <c r="CC1046" s="271">
        <v>50000000</v>
      </c>
      <c r="CD1046" s="271"/>
      <c r="CE1046" s="271"/>
      <c r="CF1046" s="271"/>
      <c r="CG1046" s="271"/>
      <c r="CH1046" s="271"/>
      <c r="CI1046" s="271"/>
      <c r="CJ1046" s="271"/>
      <c r="CK1046" s="271"/>
      <c r="CL1046" s="271"/>
      <c r="CM1046" s="271"/>
      <c r="CN1046" s="235">
        <v>50000000</v>
      </c>
      <c r="CO1046" s="271"/>
      <c r="CP1046" s="271"/>
      <c r="CQ1046" s="271"/>
      <c r="CR1046" s="271"/>
      <c r="CS1046" s="271">
        <v>40000000</v>
      </c>
      <c r="CT1046" s="271"/>
      <c r="CU1046" s="271"/>
      <c r="CV1046" s="271"/>
      <c r="CW1046" s="271"/>
      <c r="CX1046" s="271"/>
      <c r="CY1046" s="271"/>
      <c r="CZ1046" s="271"/>
      <c r="DA1046" s="271"/>
      <c r="DB1046" s="271"/>
      <c r="DC1046" s="271"/>
      <c r="DD1046" s="234">
        <v>40000000</v>
      </c>
      <c r="DE1046" s="244">
        <v>150000000</v>
      </c>
    </row>
    <row r="1047" spans="1:110" s="98" customFormat="1" ht="205.05" customHeight="1">
      <c r="A1047" s="103" t="s">
        <v>1240</v>
      </c>
      <c r="B1047" s="279" t="s">
        <v>2051</v>
      </c>
      <c r="C1047" s="279" t="s">
        <v>2052</v>
      </c>
      <c r="D1047" s="279">
        <v>98</v>
      </c>
      <c r="E1047" s="279" t="s">
        <v>2163</v>
      </c>
      <c r="F1047" s="280" t="s">
        <v>2164</v>
      </c>
      <c r="G1047" s="279" t="s">
        <v>3898</v>
      </c>
      <c r="H1047" s="279">
        <v>117</v>
      </c>
      <c r="I1047" s="279" t="s">
        <v>2176</v>
      </c>
      <c r="J1047" s="279" t="s">
        <v>689</v>
      </c>
      <c r="K1047" s="279">
        <v>64.5</v>
      </c>
      <c r="L1047" s="279" t="s">
        <v>2177</v>
      </c>
      <c r="M1047" s="279" t="s">
        <v>2178</v>
      </c>
      <c r="N1047" s="279" t="s">
        <v>2179</v>
      </c>
      <c r="O1047" s="279" t="s">
        <v>2180</v>
      </c>
      <c r="P1047" s="283">
        <v>917</v>
      </c>
      <c r="Q1047" s="279" t="s">
        <v>3899</v>
      </c>
      <c r="R1047" s="279" t="s">
        <v>2181</v>
      </c>
      <c r="S1047" s="279" t="s">
        <v>683</v>
      </c>
      <c r="T1047" s="279">
        <v>0</v>
      </c>
      <c r="U1047" s="267"/>
      <c r="V1047" s="267">
        <v>23</v>
      </c>
      <c r="W1047" s="224">
        <v>23</v>
      </c>
      <c r="X1047" s="267"/>
      <c r="Y1047" s="267"/>
      <c r="Z1047" s="267"/>
      <c r="AA1047" s="267">
        <v>40</v>
      </c>
      <c r="AB1047" s="224">
        <v>40</v>
      </c>
      <c r="AC1047" s="267"/>
      <c r="AD1047" s="267"/>
      <c r="AE1047" s="267"/>
      <c r="AF1047" s="267">
        <v>40</v>
      </c>
      <c r="AG1047" s="224">
        <v>40</v>
      </c>
      <c r="AH1047" s="267"/>
      <c r="AI1047" s="267"/>
      <c r="AJ1047" s="267"/>
      <c r="AK1047" s="267">
        <v>20</v>
      </c>
      <c r="AL1047" s="224">
        <v>20</v>
      </c>
      <c r="AM1047" s="104">
        <v>123</v>
      </c>
      <c r="AN1047" s="103" t="s">
        <v>685</v>
      </c>
      <c r="AO1047" s="103" t="s">
        <v>1212</v>
      </c>
      <c r="AP1047" s="103" t="s">
        <v>1229</v>
      </c>
      <c r="AQ1047" s="103" t="s">
        <v>1207</v>
      </c>
      <c r="AR1047" s="103" t="s">
        <v>951</v>
      </c>
      <c r="AS1047" s="271"/>
      <c r="AT1047" s="271"/>
      <c r="AU1047" s="271"/>
      <c r="AV1047" s="271"/>
      <c r="AW1047" s="271"/>
      <c r="AX1047" s="271"/>
      <c r="AY1047" s="271"/>
      <c r="AZ1047" s="271"/>
      <c r="BA1047" s="271"/>
      <c r="BB1047" s="271"/>
      <c r="BC1047" s="271"/>
      <c r="BD1047" s="271"/>
      <c r="BE1047" s="271"/>
      <c r="BF1047" s="271"/>
      <c r="BG1047" s="271">
        <v>197321105.09999999</v>
      </c>
      <c r="BH1047" s="235">
        <v>197321105.09999999</v>
      </c>
      <c r="BI1047" s="271"/>
      <c r="BJ1047" s="271"/>
      <c r="BK1047" s="271"/>
      <c r="BL1047" s="271"/>
      <c r="BM1047" s="271"/>
      <c r="BN1047" s="271"/>
      <c r="BO1047" s="271"/>
      <c r="BP1047" s="271"/>
      <c r="BQ1047" s="271"/>
      <c r="BR1047" s="271"/>
      <c r="BS1047" s="271"/>
      <c r="BT1047" s="271"/>
      <c r="BU1047" s="271"/>
      <c r="BV1047" s="271"/>
      <c r="BW1047" s="271">
        <v>53155704</v>
      </c>
      <c r="BX1047" s="235">
        <v>53155704</v>
      </c>
      <c r="BY1047" s="271"/>
      <c r="BZ1047" s="271"/>
      <c r="CA1047" s="271"/>
      <c r="CB1047" s="271"/>
      <c r="CC1047" s="271"/>
      <c r="CD1047" s="271"/>
      <c r="CE1047" s="271"/>
      <c r="CF1047" s="271"/>
      <c r="CG1047" s="271"/>
      <c r="CH1047" s="271"/>
      <c r="CI1047" s="271"/>
      <c r="CJ1047" s="271"/>
      <c r="CK1047" s="271"/>
      <c r="CL1047" s="271"/>
      <c r="CM1047" s="271">
        <v>54750375</v>
      </c>
      <c r="CN1047" s="235">
        <v>54750375</v>
      </c>
      <c r="CO1047" s="271"/>
      <c r="CP1047" s="271"/>
      <c r="CQ1047" s="271"/>
      <c r="CR1047" s="271"/>
      <c r="CS1047" s="271"/>
      <c r="CT1047" s="271"/>
      <c r="CU1047" s="271"/>
      <c r="CV1047" s="271"/>
      <c r="CW1047" s="271"/>
      <c r="CX1047" s="271"/>
      <c r="CY1047" s="271"/>
      <c r="CZ1047" s="271"/>
      <c r="DA1047" s="271"/>
      <c r="DB1047" s="271"/>
      <c r="DC1047" s="271">
        <v>56392886.399999999</v>
      </c>
      <c r="DD1047" s="234">
        <v>56392886.399999999</v>
      </c>
      <c r="DE1047" s="244">
        <v>361620070.5</v>
      </c>
    </row>
    <row r="1048" spans="1:110" s="98" customFormat="1" ht="205.05" customHeight="1">
      <c r="A1048" s="103" t="s">
        <v>1240</v>
      </c>
      <c r="B1048" s="279" t="s">
        <v>2051</v>
      </c>
      <c r="C1048" s="279" t="s">
        <v>2052</v>
      </c>
      <c r="D1048" s="279">
        <v>98</v>
      </c>
      <c r="E1048" s="279" t="s">
        <v>2163</v>
      </c>
      <c r="F1048" s="280" t="s">
        <v>2164</v>
      </c>
      <c r="G1048" s="279" t="s">
        <v>3898</v>
      </c>
      <c r="H1048" s="279">
        <v>117</v>
      </c>
      <c r="I1048" s="279" t="s">
        <v>2176</v>
      </c>
      <c r="J1048" s="279" t="s">
        <v>689</v>
      </c>
      <c r="K1048" s="279">
        <v>64.5</v>
      </c>
      <c r="L1048" s="279" t="s">
        <v>2177</v>
      </c>
      <c r="M1048" s="279" t="s">
        <v>2178</v>
      </c>
      <c r="N1048" s="279" t="s">
        <v>2179</v>
      </c>
      <c r="O1048" s="279" t="s">
        <v>2180</v>
      </c>
      <c r="P1048" s="283">
        <v>918</v>
      </c>
      <c r="Q1048" s="279" t="s">
        <v>3900</v>
      </c>
      <c r="R1048" s="279" t="s">
        <v>518</v>
      </c>
      <c r="S1048" s="279" t="s">
        <v>683</v>
      </c>
      <c r="T1048" s="279">
        <v>0</v>
      </c>
      <c r="U1048" s="267"/>
      <c r="V1048" s="267">
        <v>1</v>
      </c>
      <c r="W1048" s="224">
        <v>1</v>
      </c>
      <c r="X1048" s="267"/>
      <c r="Y1048" s="267"/>
      <c r="Z1048" s="267">
        <v>1</v>
      </c>
      <c r="AA1048" s="267"/>
      <c r="AB1048" s="224">
        <v>1</v>
      </c>
      <c r="AC1048" s="267"/>
      <c r="AD1048" s="267"/>
      <c r="AE1048" s="267">
        <v>1</v>
      </c>
      <c r="AF1048" s="267"/>
      <c r="AG1048" s="224">
        <v>1</v>
      </c>
      <c r="AH1048" s="267"/>
      <c r="AI1048" s="267"/>
      <c r="AJ1048" s="267">
        <v>1</v>
      </c>
      <c r="AK1048" s="267"/>
      <c r="AL1048" s="224">
        <v>1</v>
      </c>
      <c r="AM1048" s="104">
        <v>4</v>
      </c>
      <c r="AN1048" s="103" t="s">
        <v>685</v>
      </c>
      <c r="AO1048" s="103" t="s">
        <v>1212</v>
      </c>
      <c r="AP1048" s="103" t="s">
        <v>1229</v>
      </c>
      <c r="AQ1048" s="103" t="s">
        <v>1207</v>
      </c>
      <c r="AR1048" s="103" t="s">
        <v>951</v>
      </c>
      <c r="AS1048" s="271"/>
      <c r="AT1048" s="271"/>
      <c r="AU1048" s="271"/>
      <c r="AV1048" s="271"/>
      <c r="AW1048" s="271"/>
      <c r="AX1048" s="271"/>
      <c r="AY1048" s="271"/>
      <c r="AZ1048" s="271"/>
      <c r="BA1048" s="271"/>
      <c r="BB1048" s="271"/>
      <c r="BC1048" s="271"/>
      <c r="BD1048" s="271"/>
      <c r="BE1048" s="271"/>
      <c r="BF1048" s="271"/>
      <c r="BG1048" s="271">
        <v>65773701.700000003</v>
      </c>
      <c r="BH1048" s="235">
        <v>65773701.700000003</v>
      </c>
      <c r="BI1048" s="271"/>
      <c r="BJ1048" s="271"/>
      <c r="BK1048" s="271"/>
      <c r="BL1048" s="271"/>
      <c r="BM1048" s="271"/>
      <c r="BN1048" s="271"/>
      <c r="BO1048" s="271"/>
      <c r="BP1048" s="271"/>
      <c r="BQ1048" s="271"/>
      <c r="BR1048" s="271"/>
      <c r="BS1048" s="271"/>
      <c r="BT1048" s="271"/>
      <c r="BU1048" s="271"/>
      <c r="BV1048" s="271"/>
      <c r="BW1048" s="271">
        <v>17718568</v>
      </c>
      <c r="BX1048" s="235">
        <v>17718568</v>
      </c>
      <c r="BY1048" s="271"/>
      <c r="BZ1048" s="271"/>
      <c r="CA1048" s="271"/>
      <c r="CB1048" s="271"/>
      <c r="CC1048" s="271"/>
      <c r="CD1048" s="271"/>
      <c r="CE1048" s="271"/>
      <c r="CF1048" s="271"/>
      <c r="CG1048" s="271"/>
      <c r="CH1048" s="271"/>
      <c r="CI1048" s="271"/>
      <c r="CJ1048" s="271"/>
      <c r="CK1048" s="271"/>
      <c r="CL1048" s="271"/>
      <c r="CM1048" s="271">
        <v>18250125</v>
      </c>
      <c r="CN1048" s="235">
        <v>18250125</v>
      </c>
      <c r="CO1048" s="271"/>
      <c r="CP1048" s="271"/>
      <c r="CQ1048" s="271"/>
      <c r="CR1048" s="271"/>
      <c r="CS1048" s="271"/>
      <c r="CT1048" s="271"/>
      <c r="CU1048" s="271"/>
      <c r="CV1048" s="271"/>
      <c r="CW1048" s="271"/>
      <c r="CX1048" s="271"/>
      <c r="CY1048" s="271"/>
      <c r="CZ1048" s="271"/>
      <c r="DA1048" s="271"/>
      <c r="DB1048" s="271"/>
      <c r="DC1048" s="271">
        <v>18797628.800000001</v>
      </c>
      <c r="DD1048" s="234">
        <v>18797628.800000001</v>
      </c>
      <c r="DE1048" s="244">
        <v>120540023.5</v>
      </c>
    </row>
    <row r="1049" spans="1:110" s="98" customFormat="1" ht="205.05" customHeight="1">
      <c r="A1049" s="103" t="s">
        <v>1240</v>
      </c>
      <c r="B1049" s="279" t="s">
        <v>2051</v>
      </c>
      <c r="C1049" s="279" t="s">
        <v>2052</v>
      </c>
      <c r="D1049" s="279">
        <v>98</v>
      </c>
      <c r="E1049" s="279" t="s">
        <v>2163</v>
      </c>
      <c r="F1049" s="280" t="s">
        <v>2164</v>
      </c>
      <c r="G1049" s="279" t="s">
        <v>3898</v>
      </c>
      <c r="H1049" s="279">
        <v>117</v>
      </c>
      <c r="I1049" s="279" t="s">
        <v>2176</v>
      </c>
      <c r="J1049" s="279" t="s">
        <v>689</v>
      </c>
      <c r="K1049" s="279">
        <v>64.5</v>
      </c>
      <c r="L1049" s="279" t="s">
        <v>2177</v>
      </c>
      <c r="M1049" s="279" t="s">
        <v>2178</v>
      </c>
      <c r="N1049" s="279" t="s">
        <v>2179</v>
      </c>
      <c r="O1049" s="279" t="s">
        <v>2180</v>
      </c>
      <c r="P1049" s="283">
        <v>919</v>
      </c>
      <c r="Q1049" s="279" t="s">
        <v>3901</v>
      </c>
      <c r="R1049" s="279" t="s">
        <v>2182</v>
      </c>
      <c r="S1049" s="279" t="s">
        <v>683</v>
      </c>
      <c r="T1049" s="279">
        <v>0</v>
      </c>
      <c r="U1049" s="267"/>
      <c r="V1049" s="267">
        <v>23</v>
      </c>
      <c r="W1049" s="224">
        <v>23</v>
      </c>
      <c r="X1049" s="267"/>
      <c r="Y1049" s="267"/>
      <c r="Z1049" s="267"/>
      <c r="AA1049" s="267">
        <v>40</v>
      </c>
      <c r="AB1049" s="224">
        <v>40</v>
      </c>
      <c r="AC1049" s="267"/>
      <c r="AD1049" s="267"/>
      <c r="AE1049" s="267"/>
      <c r="AF1049" s="267">
        <v>40</v>
      </c>
      <c r="AG1049" s="224">
        <v>40</v>
      </c>
      <c r="AH1049" s="267"/>
      <c r="AI1049" s="267"/>
      <c r="AJ1049" s="267"/>
      <c r="AK1049" s="267">
        <v>20</v>
      </c>
      <c r="AL1049" s="224">
        <v>20</v>
      </c>
      <c r="AM1049" s="104">
        <v>123</v>
      </c>
      <c r="AN1049" s="103" t="s">
        <v>685</v>
      </c>
      <c r="AO1049" s="103" t="s">
        <v>1212</v>
      </c>
      <c r="AP1049" s="103" t="s">
        <v>1229</v>
      </c>
      <c r="AQ1049" s="103" t="s">
        <v>1207</v>
      </c>
      <c r="AR1049" s="103" t="s">
        <v>951</v>
      </c>
      <c r="AS1049" s="271"/>
      <c r="AT1049" s="271"/>
      <c r="AU1049" s="271"/>
      <c r="AV1049" s="271"/>
      <c r="AW1049" s="271"/>
      <c r="AX1049" s="271"/>
      <c r="AY1049" s="271"/>
      <c r="AZ1049" s="271"/>
      <c r="BA1049" s="271"/>
      <c r="BB1049" s="271"/>
      <c r="BC1049" s="271"/>
      <c r="BD1049" s="271"/>
      <c r="BE1049" s="271"/>
      <c r="BF1049" s="271"/>
      <c r="BG1049" s="271">
        <v>197321105.09999999</v>
      </c>
      <c r="BH1049" s="235">
        <v>197321105.09999999</v>
      </c>
      <c r="BI1049" s="271"/>
      <c r="BJ1049" s="271"/>
      <c r="BK1049" s="271"/>
      <c r="BL1049" s="271"/>
      <c r="BM1049" s="271"/>
      <c r="BN1049" s="271"/>
      <c r="BO1049" s="271"/>
      <c r="BP1049" s="271"/>
      <c r="BQ1049" s="271"/>
      <c r="BR1049" s="271"/>
      <c r="BS1049" s="271"/>
      <c r="BT1049" s="271"/>
      <c r="BU1049" s="271"/>
      <c r="BV1049" s="271"/>
      <c r="BW1049" s="271">
        <v>53155704</v>
      </c>
      <c r="BX1049" s="235">
        <v>53155704</v>
      </c>
      <c r="BY1049" s="271"/>
      <c r="BZ1049" s="271"/>
      <c r="CA1049" s="271"/>
      <c r="CB1049" s="271"/>
      <c r="CC1049" s="271"/>
      <c r="CD1049" s="271"/>
      <c r="CE1049" s="271"/>
      <c r="CF1049" s="271"/>
      <c r="CG1049" s="271"/>
      <c r="CH1049" s="271"/>
      <c r="CI1049" s="271"/>
      <c r="CJ1049" s="271"/>
      <c r="CK1049" s="271"/>
      <c r="CL1049" s="271"/>
      <c r="CM1049" s="271">
        <v>54750375</v>
      </c>
      <c r="CN1049" s="235">
        <v>54750375</v>
      </c>
      <c r="CO1049" s="271"/>
      <c r="CP1049" s="271"/>
      <c r="CQ1049" s="271"/>
      <c r="CR1049" s="271"/>
      <c r="CS1049" s="271"/>
      <c r="CT1049" s="271"/>
      <c r="CU1049" s="271"/>
      <c r="CV1049" s="271"/>
      <c r="CW1049" s="271"/>
      <c r="CX1049" s="271"/>
      <c r="CY1049" s="271"/>
      <c r="CZ1049" s="271"/>
      <c r="DA1049" s="271"/>
      <c r="DB1049" s="271"/>
      <c r="DC1049" s="271">
        <v>56392886.399999999</v>
      </c>
      <c r="DD1049" s="234">
        <v>56392886.399999999</v>
      </c>
      <c r="DE1049" s="244">
        <v>361620070.5</v>
      </c>
    </row>
    <row r="1050" spans="1:110" s="98" customFormat="1" ht="205.05" customHeight="1">
      <c r="A1050" s="120" t="s">
        <v>1240</v>
      </c>
      <c r="B1050" s="281" t="s">
        <v>2051</v>
      </c>
      <c r="C1050" s="281" t="s">
        <v>2052</v>
      </c>
      <c r="D1050" s="281">
        <v>98</v>
      </c>
      <c r="E1050" s="281" t="s">
        <v>2163</v>
      </c>
      <c r="F1050" s="282" t="s">
        <v>2164</v>
      </c>
      <c r="G1050" s="281" t="s">
        <v>3898</v>
      </c>
      <c r="H1050" s="281">
        <v>117</v>
      </c>
      <c r="I1050" s="281" t="s">
        <v>2176</v>
      </c>
      <c r="J1050" s="281" t="s">
        <v>689</v>
      </c>
      <c r="K1050" s="281">
        <v>64.5</v>
      </c>
      <c r="L1050" s="281" t="s">
        <v>2177</v>
      </c>
      <c r="M1050" s="281" t="s">
        <v>2178</v>
      </c>
      <c r="N1050" s="281" t="s">
        <v>2179</v>
      </c>
      <c r="O1050" s="281" t="s">
        <v>2180</v>
      </c>
      <c r="P1050" s="283">
        <v>920</v>
      </c>
      <c r="Q1050" s="281" t="s">
        <v>3902</v>
      </c>
      <c r="R1050" s="281" t="s">
        <v>2183</v>
      </c>
      <c r="S1050" s="281" t="s">
        <v>683</v>
      </c>
      <c r="T1050" s="281">
        <v>0</v>
      </c>
      <c r="U1050" s="275">
        <v>3</v>
      </c>
      <c r="V1050" s="275">
        <v>3</v>
      </c>
      <c r="W1050" s="225">
        <v>6</v>
      </c>
      <c r="X1050" s="275">
        <v>3</v>
      </c>
      <c r="Y1050" s="275">
        <v>3</v>
      </c>
      <c r="Z1050" s="275">
        <v>3</v>
      </c>
      <c r="AA1050" s="275">
        <v>3</v>
      </c>
      <c r="AB1050" s="225">
        <v>12</v>
      </c>
      <c r="AC1050" s="275">
        <v>3</v>
      </c>
      <c r="AD1050" s="275">
        <v>3</v>
      </c>
      <c r="AE1050" s="275">
        <v>3</v>
      </c>
      <c r="AF1050" s="275">
        <v>3</v>
      </c>
      <c r="AG1050" s="225">
        <v>12</v>
      </c>
      <c r="AH1050" s="275">
        <v>3</v>
      </c>
      <c r="AI1050" s="275">
        <v>3</v>
      </c>
      <c r="AJ1050" s="275">
        <v>3</v>
      </c>
      <c r="AK1050" s="275">
        <v>3</v>
      </c>
      <c r="AL1050" s="225">
        <v>12</v>
      </c>
      <c r="AM1050" s="119">
        <v>42</v>
      </c>
      <c r="AN1050" s="120" t="s">
        <v>685</v>
      </c>
      <c r="AO1050" s="120" t="s">
        <v>1212</v>
      </c>
      <c r="AP1050" s="120" t="s">
        <v>1229</v>
      </c>
      <c r="AQ1050" s="120" t="s">
        <v>1207</v>
      </c>
      <c r="AR1050" s="120" t="s">
        <v>951</v>
      </c>
      <c r="AS1050" s="276"/>
      <c r="AT1050" s="276"/>
      <c r="AU1050" s="276"/>
      <c r="AV1050" s="276"/>
      <c r="AW1050" s="276"/>
      <c r="AX1050" s="276"/>
      <c r="AY1050" s="276"/>
      <c r="AZ1050" s="276"/>
      <c r="BA1050" s="276"/>
      <c r="BB1050" s="276"/>
      <c r="BC1050" s="276"/>
      <c r="BD1050" s="276"/>
      <c r="BE1050" s="276"/>
      <c r="BF1050" s="276"/>
      <c r="BG1050" s="276">
        <v>197321105.09999999</v>
      </c>
      <c r="BH1050" s="236">
        <v>197321105.09999999</v>
      </c>
      <c r="BI1050" s="276"/>
      <c r="BJ1050" s="276"/>
      <c r="BK1050" s="276"/>
      <c r="BL1050" s="276"/>
      <c r="BM1050" s="276"/>
      <c r="BN1050" s="276"/>
      <c r="BO1050" s="276"/>
      <c r="BP1050" s="276"/>
      <c r="BQ1050" s="276"/>
      <c r="BR1050" s="276"/>
      <c r="BS1050" s="276"/>
      <c r="BT1050" s="276"/>
      <c r="BU1050" s="276"/>
      <c r="BV1050" s="276"/>
      <c r="BW1050" s="276">
        <v>53155704</v>
      </c>
      <c r="BX1050" s="236">
        <v>53155704</v>
      </c>
      <c r="BY1050" s="276"/>
      <c r="BZ1050" s="276"/>
      <c r="CA1050" s="276"/>
      <c r="CB1050" s="276"/>
      <c r="CC1050" s="276"/>
      <c r="CD1050" s="276"/>
      <c r="CE1050" s="276"/>
      <c r="CF1050" s="276"/>
      <c r="CG1050" s="276"/>
      <c r="CH1050" s="276"/>
      <c r="CI1050" s="276"/>
      <c r="CJ1050" s="276"/>
      <c r="CK1050" s="276"/>
      <c r="CL1050" s="276"/>
      <c r="CM1050" s="276">
        <v>54750375</v>
      </c>
      <c r="CN1050" s="236">
        <v>54750375</v>
      </c>
      <c r="CO1050" s="276"/>
      <c r="CP1050" s="276"/>
      <c r="CQ1050" s="276"/>
      <c r="CR1050" s="276"/>
      <c r="CS1050" s="276"/>
      <c r="CT1050" s="276"/>
      <c r="CU1050" s="276"/>
      <c r="CV1050" s="276"/>
      <c r="CW1050" s="276"/>
      <c r="CX1050" s="276"/>
      <c r="CY1050" s="276"/>
      <c r="CZ1050" s="276"/>
      <c r="DA1050" s="276"/>
      <c r="DB1050" s="276"/>
      <c r="DC1050" s="276">
        <v>56392886.399999999</v>
      </c>
      <c r="DD1050" s="240">
        <v>56392886.399999999</v>
      </c>
      <c r="DE1050" s="245">
        <v>361620070.5</v>
      </c>
    </row>
    <row r="1051" spans="1:110" ht="65.099999999999994" customHeight="1">
      <c r="A1051" s="118" t="s">
        <v>1240</v>
      </c>
      <c r="B1051" s="118" t="s">
        <v>2051</v>
      </c>
      <c r="C1051" s="118" t="s">
        <v>2052</v>
      </c>
      <c r="D1051" s="118">
        <v>98</v>
      </c>
      <c r="E1051" s="118" t="s">
        <v>2163</v>
      </c>
      <c r="F1051" s="135"/>
      <c r="G1051" s="136"/>
      <c r="H1051" s="137"/>
      <c r="I1051" s="137"/>
      <c r="J1051" s="137"/>
      <c r="K1051" s="138"/>
      <c r="L1051" s="137"/>
      <c r="M1051" s="137"/>
      <c r="N1051" s="137"/>
      <c r="O1051" s="137"/>
      <c r="P1051" s="137"/>
      <c r="Q1051" s="136"/>
      <c r="R1051" s="139"/>
      <c r="S1051" s="137"/>
      <c r="T1051" s="137"/>
      <c r="U1051" s="140"/>
      <c r="V1051" s="140"/>
      <c r="W1051" s="138"/>
      <c r="X1051" s="140"/>
      <c r="Y1051" s="140"/>
      <c r="Z1051" s="140"/>
      <c r="AA1051" s="140"/>
      <c r="AB1051" s="138"/>
      <c r="AC1051" s="140"/>
      <c r="AD1051" s="140"/>
      <c r="AE1051" s="140"/>
      <c r="AF1051" s="140"/>
      <c r="AG1051" s="138"/>
      <c r="AH1051" s="140"/>
      <c r="AI1051" s="140"/>
      <c r="AJ1051" s="140"/>
      <c r="AK1051" s="140"/>
      <c r="AL1051" s="138"/>
      <c r="AM1051" s="141"/>
      <c r="AN1051" s="142"/>
      <c r="AO1051" s="142"/>
      <c r="AP1051" s="143"/>
      <c r="AQ1051" s="143"/>
      <c r="AR1051" s="144"/>
      <c r="AS1051" s="132">
        <f>SUM(AS1039:AS1050)</f>
        <v>0</v>
      </c>
      <c r="AT1051" s="132">
        <f t="shared" ref="AT1051:DE1051" si="536">SUM(AT1039:AT1050)</f>
        <v>0</v>
      </c>
      <c r="AU1051" s="132">
        <f t="shared" si="536"/>
        <v>0</v>
      </c>
      <c r="AV1051" s="132">
        <f t="shared" si="536"/>
        <v>0</v>
      </c>
      <c r="AW1051" s="132">
        <f t="shared" si="536"/>
        <v>95202523.25</v>
      </c>
      <c r="AX1051" s="132">
        <f t="shared" si="536"/>
        <v>0</v>
      </c>
      <c r="AY1051" s="132">
        <f t="shared" si="536"/>
        <v>0</v>
      </c>
      <c r="AZ1051" s="132">
        <f t="shared" si="536"/>
        <v>0</v>
      </c>
      <c r="BA1051" s="132">
        <f t="shared" si="536"/>
        <v>0</v>
      </c>
      <c r="BB1051" s="132">
        <f t="shared" si="536"/>
        <v>0</v>
      </c>
      <c r="BC1051" s="132">
        <f t="shared" si="536"/>
        <v>0</v>
      </c>
      <c r="BD1051" s="132">
        <f t="shared" si="536"/>
        <v>0</v>
      </c>
      <c r="BE1051" s="132">
        <f t="shared" si="536"/>
        <v>0</v>
      </c>
      <c r="BF1051" s="132">
        <f t="shared" si="536"/>
        <v>0</v>
      </c>
      <c r="BG1051" s="132">
        <f t="shared" si="536"/>
        <v>657737017</v>
      </c>
      <c r="BH1051" s="132">
        <f>IF(OR(AND(BH1039=0,W1039&lt;&gt;0),AND(BH1040=0,W1040&lt;&gt;0),AND(BH1041=0,W1041&lt;&gt;0),AND(BH1042=0,W1042&lt;&gt;0),AND(BH1043=0,W1043&lt;&gt;0),AND(BH1044=0,W1044&lt;&gt;0),AND(BH1045=0,W1045&lt;&gt;0),AND(BH1046=0,W1046&lt;&gt;0),AND(BH1047=0,W1047&lt;&gt;0),AND(BH1048=0,W1048&lt;&gt;0),AND(BH1049=0,W1049&lt;&gt;0),AND(BH1050=0,W1050&lt;&gt;0)),"NO DEBEN QUEDAR CELDAS EN ROJO",SUM(BH1039:BH1050))</f>
        <v>752939540.25</v>
      </c>
      <c r="BI1051" s="132">
        <f t="shared" si="536"/>
        <v>0</v>
      </c>
      <c r="BJ1051" s="132">
        <f t="shared" si="536"/>
        <v>0</v>
      </c>
      <c r="BK1051" s="132">
        <f t="shared" si="536"/>
        <v>0</v>
      </c>
      <c r="BL1051" s="132">
        <f t="shared" si="536"/>
        <v>0</v>
      </c>
      <c r="BM1051" s="132">
        <f t="shared" si="536"/>
        <v>427623029</v>
      </c>
      <c r="BN1051" s="132">
        <f t="shared" si="536"/>
        <v>0</v>
      </c>
      <c r="BO1051" s="132">
        <f t="shared" si="536"/>
        <v>0</v>
      </c>
      <c r="BP1051" s="132">
        <f t="shared" si="536"/>
        <v>0</v>
      </c>
      <c r="BQ1051" s="132">
        <f t="shared" si="536"/>
        <v>0</v>
      </c>
      <c r="BR1051" s="132">
        <f t="shared" si="536"/>
        <v>0</v>
      </c>
      <c r="BS1051" s="132">
        <f t="shared" si="536"/>
        <v>0</v>
      </c>
      <c r="BT1051" s="132">
        <f t="shared" si="536"/>
        <v>0</v>
      </c>
      <c r="BU1051" s="132">
        <f t="shared" si="536"/>
        <v>0</v>
      </c>
      <c r="BV1051" s="132">
        <f t="shared" si="536"/>
        <v>0</v>
      </c>
      <c r="BW1051" s="132">
        <f t="shared" si="536"/>
        <v>177185680</v>
      </c>
      <c r="BX1051" s="132">
        <f>IF(OR(AND(BX1039=0,AB1039&lt;&gt;0),AND(BX1040=0,AB1040&lt;&gt;0),AND(BX1041=0,AB1041&lt;&gt;0),AND(BX1042=0,AB1042&lt;&gt;0),AND(BX1043=0,AB1043&lt;&gt;0),AND(BX1044=0,AB1044&lt;&gt;0),AND(BX1045=0,AB1045&lt;&gt;0),AND(BX1046=0,AB1046&lt;&gt;0),AND(BX1047=0,AB1047&lt;&gt;0),AND(BX1048=0,AB1048&lt;&gt;0),AND(BX1049=0,AB1049&lt;&gt;0),AND(BX1050=0,AB1050&lt;&gt;0)),"NO DEBEN QUEDAR CELDAS EN ROJO",SUM(BX1039:BX1050))</f>
        <v>604808709</v>
      </c>
      <c r="BY1051" s="132">
        <f t="shared" si="536"/>
        <v>0</v>
      </c>
      <c r="BZ1051" s="132">
        <f t="shared" si="536"/>
        <v>0</v>
      </c>
      <c r="CA1051" s="132">
        <f t="shared" si="536"/>
        <v>0</v>
      </c>
      <c r="CB1051" s="132">
        <f t="shared" si="536"/>
        <v>0</v>
      </c>
      <c r="CC1051" s="132">
        <f t="shared" si="536"/>
        <v>469750000</v>
      </c>
      <c r="CD1051" s="132">
        <f t="shared" si="536"/>
        <v>0</v>
      </c>
      <c r="CE1051" s="132">
        <f t="shared" si="536"/>
        <v>0</v>
      </c>
      <c r="CF1051" s="132">
        <f t="shared" si="536"/>
        <v>0</v>
      </c>
      <c r="CG1051" s="132">
        <f t="shared" si="536"/>
        <v>0</v>
      </c>
      <c r="CH1051" s="132">
        <f t="shared" si="536"/>
        <v>0</v>
      </c>
      <c r="CI1051" s="132">
        <f t="shared" si="536"/>
        <v>0</v>
      </c>
      <c r="CJ1051" s="132">
        <f t="shared" si="536"/>
        <v>0</v>
      </c>
      <c r="CK1051" s="132">
        <f t="shared" si="536"/>
        <v>0</v>
      </c>
      <c r="CL1051" s="132">
        <f t="shared" si="536"/>
        <v>0</v>
      </c>
      <c r="CM1051" s="132">
        <f t="shared" si="536"/>
        <v>182501250</v>
      </c>
      <c r="CN1051" s="132">
        <f>IF(OR(AND(CN1039=0,AG1039&lt;&gt;0),AND(CN1040=0,AG1040&lt;&gt;0),AND(CN1041=0,AG1041&lt;&gt;0),AND(CN1042=0,AG1042&lt;&gt;0),AND(CN1043=0,AG1043&lt;&gt;0),AND(CN1044=0,AG1044&lt;&gt;0),AND(CN1045=0,AG1045&lt;&gt;0),AND(CN1046=0,AG1046&lt;&gt;0),AND(CN1047=0,AG1047&lt;&gt;0),AND(CN1048=0,AG1048&lt;&gt;0),AND(CN1049=0,AG1049&lt;&gt;0),AND(CN1050=0,AG1050&lt;&gt;0)),"NO DEBEN QUEDAR CELDAS EN ROJO",SUM(CN1039:CN1050))</f>
        <v>652251250</v>
      </c>
      <c r="CO1051" s="132">
        <f t="shared" si="536"/>
        <v>0</v>
      </c>
      <c r="CP1051" s="132">
        <f t="shared" si="536"/>
        <v>0</v>
      </c>
      <c r="CQ1051" s="132">
        <f t="shared" si="536"/>
        <v>0</v>
      </c>
      <c r="CR1051" s="132">
        <f t="shared" si="536"/>
        <v>0</v>
      </c>
      <c r="CS1051" s="132">
        <f t="shared" si="536"/>
        <v>583975636.5</v>
      </c>
      <c r="CT1051" s="132">
        <f t="shared" si="536"/>
        <v>0</v>
      </c>
      <c r="CU1051" s="132">
        <f t="shared" si="536"/>
        <v>0</v>
      </c>
      <c r="CV1051" s="132">
        <f t="shared" si="536"/>
        <v>0</v>
      </c>
      <c r="CW1051" s="132">
        <f t="shared" si="536"/>
        <v>0</v>
      </c>
      <c r="CX1051" s="132">
        <f t="shared" si="536"/>
        <v>0</v>
      </c>
      <c r="CY1051" s="132">
        <f t="shared" si="536"/>
        <v>0</v>
      </c>
      <c r="CZ1051" s="132">
        <f t="shared" si="536"/>
        <v>0</v>
      </c>
      <c r="DA1051" s="132">
        <f t="shared" si="536"/>
        <v>0</v>
      </c>
      <c r="DB1051" s="132">
        <f t="shared" si="536"/>
        <v>0</v>
      </c>
      <c r="DC1051" s="132">
        <f t="shared" si="536"/>
        <v>187976288</v>
      </c>
      <c r="DD1051" s="132">
        <f>IF(OR(AND(DD1039=0,AL1039&lt;&gt;0),AND(DD1040=0,AL1040&lt;&gt;0),AND(DD1041=0,AL1041&lt;&gt;0),AND(DD1042=0,AL1042&lt;&gt;0),AND(DD1043=0,AL1043&lt;&gt;0),AND(DD1044=0,AL1044&lt;&gt;0),AND(DD1045=0,AL1045&lt;&gt;0),AND(DD1046=0,AL1046&lt;&gt;0),AND(DD1047=0,AL1047&lt;&gt;0),AND(DD1048=0,AL1048&lt;&gt;0),AND(DD1049=0,AL1049&lt;&gt;0),AND(DD1050=0,AL1050&lt;&gt;0)),"NO DEBEN QUEDAR CELDAS EN ROJO",SUM(DD1039:DD1050))</f>
        <v>771951924.49999988</v>
      </c>
      <c r="DE1051" s="132">
        <f t="shared" si="536"/>
        <v>2781951423.75</v>
      </c>
      <c r="DF1051" s="101"/>
    </row>
    <row r="1052" spans="1:110" s="99" customFormat="1" ht="119.1" customHeight="1">
      <c r="A1052" s="103" t="s">
        <v>1254</v>
      </c>
      <c r="B1052" s="103" t="s">
        <v>2051</v>
      </c>
      <c r="C1052" s="103" t="s">
        <v>2052</v>
      </c>
      <c r="D1052" s="103">
        <v>99</v>
      </c>
      <c r="E1052" s="103" t="s">
        <v>2184</v>
      </c>
      <c r="F1052" s="278" t="s">
        <v>2185</v>
      </c>
      <c r="G1052" s="103" t="s">
        <v>3272</v>
      </c>
      <c r="H1052" s="103">
        <v>118</v>
      </c>
      <c r="I1052" s="103" t="s">
        <v>519</v>
      </c>
      <c r="J1052" s="103" t="s">
        <v>677</v>
      </c>
      <c r="K1052" s="103">
        <v>100</v>
      </c>
      <c r="L1052" s="103">
        <v>100</v>
      </c>
      <c r="M1052" s="103" t="s">
        <v>2186</v>
      </c>
      <c r="N1052" s="103" t="s">
        <v>2187</v>
      </c>
      <c r="O1052" s="103" t="s">
        <v>520</v>
      </c>
      <c r="P1052" s="283">
        <v>921</v>
      </c>
      <c r="Q1052" s="103" t="s">
        <v>2700</v>
      </c>
      <c r="R1052" s="103" t="s">
        <v>2188</v>
      </c>
      <c r="S1052" s="103" t="s">
        <v>683</v>
      </c>
      <c r="T1052" s="103">
        <v>0</v>
      </c>
      <c r="U1052" s="267"/>
      <c r="V1052" s="267"/>
      <c r="W1052" s="224">
        <v>0</v>
      </c>
      <c r="X1052" s="267"/>
      <c r="Y1052" s="267"/>
      <c r="Z1052" s="267"/>
      <c r="AA1052" s="267">
        <v>1</v>
      </c>
      <c r="AB1052" s="224">
        <v>1</v>
      </c>
      <c r="AC1052" s="267"/>
      <c r="AD1052" s="267"/>
      <c r="AE1052" s="267"/>
      <c r="AF1052" s="267"/>
      <c r="AG1052" s="224">
        <v>0</v>
      </c>
      <c r="AH1052" s="267"/>
      <c r="AI1052" s="267"/>
      <c r="AJ1052" s="267"/>
      <c r="AK1052" s="267"/>
      <c r="AL1052" s="224">
        <v>0</v>
      </c>
      <c r="AM1052" s="102">
        <v>1</v>
      </c>
      <c r="AN1052" s="103" t="s">
        <v>685</v>
      </c>
      <c r="AO1052" s="103" t="s">
        <v>1212</v>
      </c>
      <c r="AP1052" s="103" t="s">
        <v>1229</v>
      </c>
      <c r="AQ1052" s="103" t="s">
        <v>1207</v>
      </c>
      <c r="AR1052" s="103" t="s">
        <v>951</v>
      </c>
      <c r="AS1052" s="268"/>
      <c r="AT1052" s="268"/>
      <c r="AU1052" s="268"/>
      <c r="AV1052" s="268"/>
      <c r="AW1052" s="268"/>
      <c r="AX1052" s="268"/>
      <c r="AY1052" s="268"/>
      <c r="AZ1052" s="268"/>
      <c r="BA1052" s="268"/>
      <c r="BB1052" s="268"/>
      <c r="BC1052" s="268"/>
      <c r="BD1052" s="268"/>
      <c r="BE1052" s="268"/>
      <c r="BF1052" s="268"/>
      <c r="BG1052" s="268"/>
      <c r="BH1052" s="234">
        <f>IF(W1052=0,0,BG1052+BF1052+BE1052+BD1052+BC1052+BB1052+BA1052+AZ1052+AY1052+AX1052+AW1052+AV1052+AU1052+AT1052+AS1052)</f>
        <v>0</v>
      </c>
      <c r="BI1052" s="268"/>
      <c r="BJ1052" s="268"/>
      <c r="BK1052" s="268"/>
      <c r="BL1052" s="268"/>
      <c r="BM1052" s="268">
        <v>500000000</v>
      </c>
      <c r="BN1052" s="268"/>
      <c r="BO1052" s="268"/>
      <c r="BP1052" s="268"/>
      <c r="BQ1052" s="268"/>
      <c r="BR1052" s="268"/>
      <c r="BS1052" s="268"/>
      <c r="BT1052" s="268"/>
      <c r="BU1052" s="268"/>
      <c r="BV1052" s="268"/>
      <c r="BW1052" s="268"/>
      <c r="BX1052" s="234">
        <f>IF(AB1052=0,0,BI1052+BJ1052+BK1052+BL1052+BM1052+BN1052+BO1052+BP1052+BQ1052+BR1052+BS1052+BT1052+BU1052+BV1052+BW1052)</f>
        <v>500000000</v>
      </c>
      <c r="BY1052" s="268"/>
      <c r="BZ1052" s="268"/>
      <c r="CA1052" s="268"/>
      <c r="CB1052" s="268"/>
      <c r="CC1052" s="268"/>
      <c r="CD1052" s="268"/>
      <c r="CE1052" s="268"/>
      <c r="CF1052" s="268"/>
      <c r="CG1052" s="268"/>
      <c r="CH1052" s="268"/>
      <c r="CI1052" s="268"/>
      <c r="CJ1052" s="268"/>
      <c r="CK1052" s="268"/>
      <c r="CL1052" s="268"/>
      <c r="CM1052" s="268"/>
      <c r="CN1052" s="234">
        <f>IF(AG1052=0,0,(BY1052+BZ1052+CA1052+CB1052+CC1052+CD1052+CE1052+CF1052+CG1052+CH1052+CI1052+CJ1052+CK1052+CL1052+CM1052))</f>
        <v>0</v>
      </c>
      <c r="CO1052" s="268"/>
      <c r="CP1052" s="268"/>
      <c r="CQ1052" s="268"/>
      <c r="CR1052" s="268"/>
      <c r="CS1052" s="268"/>
      <c r="CT1052" s="268"/>
      <c r="CU1052" s="268"/>
      <c r="CV1052" s="268"/>
      <c r="CW1052" s="268"/>
      <c r="CX1052" s="268"/>
      <c r="CY1052" s="268"/>
      <c r="CZ1052" s="268"/>
      <c r="DA1052" s="268"/>
      <c r="DB1052" s="268"/>
      <c r="DC1052" s="268"/>
      <c r="DD1052" s="234">
        <f>IF(AL1052=0,0,(CO1052+CP1052+CQ1052+CR1052+CS1052+CT1052+CU1052+CV1052+CW1052+CX1052+CY1052+CZ1052+DA1052+DB1052+DC1052))</f>
        <v>0</v>
      </c>
      <c r="DE1052" s="243">
        <f t="shared" ref="DE1052:DE1055" si="537">SUM(DD1052+CN1052+BX1052+BH1052)</f>
        <v>500000000</v>
      </c>
    </row>
    <row r="1053" spans="1:110" s="99" customFormat="1" ht="119.1" customHeight="1">
      <c r="A1053" s="103" t="s">
        <v>1254</v>
      </c>
      <c r="B1053" s="279" t="s">
        <v>2051</v>
      </c>
      <c r="C1053" s="279" t="s">
        <v>2052</v>
      </c>
      <c r="D1053" s="279">
        <v>99</v>
      </c>
      <c r="E1053" s="279" t="s">
        <v>2184</v>
      </c>
      <c r="F1053" s="280" t="s">
        <v>2185</v>
      </c>
      <c r="G1053" s="279" t="s">
        <v>3272</v>
      </c>
      <c r="H1053" s="279">
        <v>118</v>
      </c>
      <c r="I1053" s="279" t="s">
        <v>519</v>
      </c>
      <c r="J1053" s="279" t="s">
        <v>677</v>
      </c>
      <c r="K1053" s="279">
        <v>100</v>
      </c>
      <c r="L1053" s="279">
        <v>100</v>
      </c>
      <c r="M1053" s="279" t="s">
        <v>2186</v>
      </c>
      <c r="N1053" s="279" t="s">
        <v>2187</v>
      </c>
      <c r="O1053" s="279" t="s">
        <v>520</v>
      </c>
      <c r="P1053" s="283">
        <v>922</v>
      </c>
      <c r="Q1053" s="279" t="s">
        <v>3801</v>
      </c>
      <c r="R1053" s="279" t="s">
        <v>2188</v>
      </c>
      <c r="S1053" s="279" t="s">
        <v>683</v>
      </c>
      <c r="T1053" s="279">
        <v>1</v>
      </c>
      <c r="U1053" s="267"/>
      <c r="V1053" s="267"/>
      <c r="W1053" s="224">
        <v>0</v>
      </c>
      <c r="X1053" s="267"/>
      <c r="Y1053" s="267"/>
      <c r="Z1053" s="267"/>
      <c r="AA1053" s="267"/>
      <c r="AB1053" s="224">
        <v>0</v>
      </c>
      <c r="AC1053" s="267">
        <v>1</v>
      </c>
      <c r="AD1053" s="267">
        <v>1</v>
      </c>
      <c r="AE1053" s="267">
        <v>1</v>
      </c>
      <c r="AF1053" s="267">
        <v>1</v>
      </c>
      <c r="AG1053" s="224">
        <v>1</v>
      </c>
      <c r="AH1053" s="267">
        <v>1</v>
      </c>
      <c r="AI1053" s="267">
        <v>1</v>
      </c>
      <c r="AJ1053" s="267">
        <v>1</v>
      </c>
      <c r="AK1053" s="267">
        <v>1</v>
      </c>
      <c r="AL1053" s="224">
        <v>1</v>
      </c>
      <c r="AM1053" s="104">
        <v>1</v>
      </c>
      <c r="AN1053" s="103" t="s">
        <v>686</v>
      </c>
      <c r="AO1053" s="103" t="s">
        <v>1212</v>
      </c>
      <c r="AP1053" s="103" t="s">
        <v>1229</v>
      </c>
      <c r="AQ1053" s="103" t="s">
        <v>1207</v>
      </c>
      <c r="AR1053" s="103" t="s">
        <v>951</v>
      </c>
      <c r="AS1053" s="271"/>
      <c r="AT1053" s="271"/>
      <c r="AU1053" s="271"/>
      <c r="AV1053" s="271"/>
      <c r="AW1053" s="271"/>
      <c r="AX1053" s="271"/>
      <c r="AY1053" s="271"/>
      <c r="AZ1053" s="271"/>
      <c r="BA1053" s="271"/>
      <c r="BB1053" s="271"/>
      <c r="BC1053" s="271"/>
      <c r="BD1053" s="271"/>
      <c r="BE1053" s="271"/>
      <c r="BF1053" s="271"/>
      <c r="BG1053" s="271"/>
      <c r="BH1053" s="235">
        <f>IF(W1053=0,0,BG1053+BF1053+BE1053+BD1053+BC1053+BB1053+BA1053+AZ1053+AY1053+AX1053+AW1053+AV1053+AU1053+AT1053+AS1053)</f>
        <v>0</v>
      </c>
      <c r="BI1053" s="271"/>
      <c r="BJ1053" s="271"/>
      <c r="BK1053" s="271"/>
      <c r="BL1053" s="271"/>
      <c r="BM1053" s="271"/>
      <c r="BN1053" s="271"/>
      <c r="BO1053" s="271"/>
      <c r="BP1053" s="271"/>
      <c r="BQ1053" s="271"/>
      <c r="BR1053" s="271"/>
      <c r="BS1053" s="271"/>
      <c r="BT1053" s="271"/>
      <c r="BU1053" s="271"/>
      <c r="BV1053" s="271"/>
      <c r="BW1053" s="271"/>
      <c r="BX1053" s="235">
        <f>IF(AB1053=0,0,BI1053+BJ1053+BK1053+BL1053+BM1053+BN1053+BO1053+BP1053+BQ1053+BR1053+BS1053+BT1053+BU1053+BV1053+BW1053)</f>
        <v>0</v>
      </c>
      <c r="BY1053" s="271"/>
      <c r="BZ1053" s="271"/>
      <c r="CA1053" s="271"/>
      <c r="CB1053" s="271"/>
      <c r="CC1053" s="271">
        <v>1000000000</v>
      </c>
      <c r="CD1053" s="271"/>
      <c r="CE1053" s="271"/>
      <c r="CF1053" s="271"/>
      <c r="CG1053" s="271"/>
      <c r="CH1053" s="271"/>
      <c r="CI1053" s="271"/>
      <c r="CJ1053" s="271"/>
      <c r="CK1053" s="271"/>
      <c r="CL1053" s="271"/>
      <c r="CM1053" s="271"/>
      <c r="CN1053" s="235">
        <f>IF(AG1053=0,0,(BY1053+BZ1053+CA1053+CB1053+CC1053+CD1053+CE1053+CF1053+CG1053+CH1053+CI1053+CJ1053+CK1053+CL1053+CM1053))</f>
        <v>1000000000</v>
      </c>
      <c r="CO1053" s="271"/>
      <c r="CP1053" s="271"/>
      <c r="CQ1053" s="271"/>
      <c r="CR1053" s="271"/>
      <c r="CS1053" s="271">
        <v>1000000000</v>
      </c>
      <c r="CT1053" s="271"/>
      <c r="CU1053" s="271"/>
      <c r="CV1053" s="271"/>
      <c r="CW1053" s="271"/>
      <c r="CX1053" s="271"/>
      <c r="CY1053" s="271"/>
      <c r="CZ1053" s="271"/>
      <c r="DA1053" s="271"/>
      <c r="DB1053" s="271"/>
      <c r="DC1053" s="271"/>
      <c r="DD1053" s="234">
        <f>IF(AL1053=0,0,(CO1053+CP1053+CQ1053+CR1053+CS1053+CT1053+CU1053+CV1053+CW1053+CX1053+CY1053+CZ1053+DA1053+DB1053+DC1053))</f>
        <v>1000000000</v>
      </c>
      <c r="DE1053" s="244">
        <f t="shared" ref="DE1053" si="538">SUM(DD1053+CN1053+BX1053+BH1053)</f>
        <v>2000000000</v>
      </c>
    </row>
    <row r="1054" spans="1:110" s="99" customFormat="1" ht="119.1" customHeight="1">
      <c r="A1054" s="103" t="s">
        <v>1254</v>
      </c>
      <c r="B1054" s="279" t="s">
        <v>2051</v>
      </c>
      <c r="C1054" s="279" t="s">
        <v>2052</v>
      </c>
      <c r="D1054" s="279">
        <v>99</v>
      </c>
      <c r="E1054" s="279" t="s">
        <v>2184</v>
      </c>
      <c r="F1054" s="280" t="s">
        <v>2185</v>
      </c>
      <c r="G1054" s="279" t="s">
        <v>3272</v>
      </c>
      <c r="H1054" s="279">
        <v>118</v>
      </c>
      <c r="I1054" s="279" t="s">
        <v>519</v>
      </c>
      <c r="J1054" s="279" t="s">
        <v>677</v>
      </c>
      <c r="K1054" s="279">
        <v>100</v>
      </c>
      <c r="L1054" s="279">
        <v>100</v>
      </c>
      <c r="M1054" s="279" t="s">
        <v>2186</v>
      </c>
      <c r="N1054" s="279" t="s">
        <v>2187</v>
      </c>
      <c r="O1054" s="279" t="s">
        <v>520</v>
      </c>
      <c r="P1054" s="283">
        <v>923</v>
      </c>
      <c r="Q1054" s="279" t="s">
        <v>3802</v>
      </c>
      <c r="R1054" s="279" t="s">
        <v>521</v>
      </c>
      <c r="S1054" s="279" t="s">
        <v>677</v>
      </c>
      <c r="T1054" s="279">
        <v>100</v>
      </c>
      <c r="U1054" s="267">
        <v>100</v>
      </c>
      <c r="V1054" s="267">
        <v>100</v>
      </c>
      <c r="W1054" s="224">
        <v>100</v>
      </c>
      <c r="X1054" s="267">
        <v>100</v>
      </c>
      <c r="Y1054" s="267">
        <v>100</v>
      </c>
      <c r="Z1054" s="267">
        <v>100</v>
      </c>
      <c r="AA1054" s="267">
        <v>100</v>
      </c>
      <c r="AB1054" s="224">
        <v>100</v>
      </c>
      <c r="AC1054" s="267">
        <v>100</v>
      </c>
      <c r="AD1054" s="267">
        <v>100</v>
      </c>
      <c r="AE1054" s="267">
        <v>100</v>
      </c>
      <c r="AF1054" s="267">
        <v>100</v>
      </c>
      <c r="AG1054" s="224">
        <v>100</v>
      </c>
      <c r="AH1054" s="267">
        <v>100</v>
      </c>
      <c r="AI1054" s="267">
        <v>100</v>
      </c>
      <c r="AJ1054" s="267">
        <v>100</v>
      </c>
      <c r="AK1054" s="267">
        <v>100</v>
      </c>
      <c r="AL1054" s="224">
        <v>100</v>
      </c>
      <c r="AM1054" s="104">
        <v>100</v>
      </c>
      <c r="AN1054" s="103" t="s">
        <v>686</v>
      </c>
      <c r="AO1054" s="103" t="s">
        <v>1212</v>
      </c>
      <c r="AP1054" s="103" t="s">
        <v>1229</v>
      </c>
      <c r="AQ1054" s="103" t="s">
        <v>1207</v>
      </c>
      <c r="AR1054" s="103" t="s">
        <v>951</v>
      </c>
      <c r="AS1054" s="271"/>
      <c r="AT1054" s="271"/>
      <c r="AU1054" s="271"/>
      <c r="AV1054" s="271"/>
      <c r="AW1054" s="271">
        <v>1100000000</v>
      </c>
      <c r="AX1054" s="271"/>
      <c r="AY1054" s="271"/>
      <c r="AZ1054" s="271"/>
      <c r="BA1054" s="271"/>
      <c r="BB1054" s="271"/>
      <c r="BC1054" s="271"/>
      <c r="BD1054" s="271"/>
      <c r="BE1054" s="271"/>
      <c r="BF1054" s="271"/>
      <c r="BG1054" s="271"/>
      <c r="BH1054" s="235">
        <f>IF(W1054=0,0,BG1054+BF1054+BE1054+BD1054+BC1054+BB1054+BA1054+AZ1054+AY1054+AX1054+AW1054+AV1054+AU1054+AT1054+AS1054)</f>
        <v>1100000000</v>
      </c>
      <c r="BI1054" s="271"/>
      <c r="BJ1054" s="271"/>
      <c r="BK1054" s="271"/>
      <c r="BL1054" s="271"/>
      <c r="BM1054" s="271">
        <v>500000000</v>
      </c>
      <c r="BN1054" s="271"/>
      <c r="BO1054" s="271"/>
      <c r="BP1054" s="271"/>
      <c r="BQ1054" s="271"/>
      <c r="BR1054" s="271"/>
      <c r="BS1054" s="271"/>
      <c r="BT1054" s="271"/>
      <c r="BU1054" s="271"/>
      <c r="BV1054" s="271"/>
      <c r="BW1054" s="271"/>
      <c r="BX1054" s="235">
        <f>IF(AB1054=0,0,BI1054+BJ1054+BK1054+BL1054+BM1054+BN1054+BO1054+BP1054+BQ1054+BR1054+BS1054+BT1054+BU1054+BV1054+BW1054)</f>
        <v>500000000</v>
      </c>
      <c r="BY1054" s="271"/>
      <c r="BZ1054" s="271"/>
      <c r="CA1054" s="271"/>
      <c r="CB1054" s="271"/>
      <c r="CC1054" s="271">
        <v>1000000000</v>
      </c>
      <c r="CD1054" s="271"/>
      <c r="CE1054" s="271"/>
      <c r="CF1054" s="271"/>
      <c r="CG1054" s="271"/>
      <c r="CH1054" s="271"/>
      <c r="CI1054" s="271"/>
      <c r="CJ1054" s="271"/>
      <c r="CK1054" s="271"/>
      <c r="CL1054" s="271"/>
      <c r="CM1054" s="271"/>
      <c r="CN1054" s="235">
        <f>IF(AG1054=0,0,(BY1054+BZ1054+CA1054+CB1054+CC1054+CD1054+CE1054+CF1054+CG1054+CH1054+CI1054+CJ1054+CK1054+CL1054+CM1054))</f>
        <v>1000000000</v>
      </c>
      <c r="CO1054" s="271"/>
      <c r="CP1054" s="271"/>
      <c r="CQ1054" s="271"/>
      <c r="CR1054" s="271"/>
      <c r="CS1054" s="271">
        <v>1000000000</v>
      </c>
      <c r="CT1054" s="271"/>
      <c r="CU1054" s="271"/>
      <c r="CV1054" s="271"/>
      <c r="CW1054" s="271"/>
      <c r="CX1054" s="271"/>
      <c r="CY1054" s="271"/>
      <c r="CZ1054" s="271"/>
      <c r="DA1054" s="271"/>
      <c r="DB1054" s="271"/>
      <c r="DC1054" s="271"/>
      <c r="DD1054" s="234">
        <f>IF(AL1054=0,0,(CO1054+CP1054+CQ1054+CR1054+CS1054+CT1054+CU1054+CV1054+CW1054+CX1054+CY1054+CZ1054+DA1054+DB1054+DC1054))</f>
        <v>1000000000</v>
      </c>
      <c r="DE1054" s="244">
        <f t="shared" si="537"/>
        <v>3600000000</v>
      </c>
    </row>
    <row r="1055" spans="1:110" s="99" customFormat="1" ht="119.1" customHeight="1">
      <c r="A1055" s="120" t="s">
        <v>1254</v>
      </c>
      <c r="B1055" s="281" t="s">
        <v>2051</v>
      </c>
      <c r="C1055" s="281" t="s">
        <v>2052</v>
      </c>
      <c r="D1055" s="281">
        <v>99</v>
      </c>
      <c r="E1055" s="281" t="s">
        <v>2184</v>
      </c>
      <c r="F1055" s="282" t="s">
        <v>2185</v>
      </c>
      <c r="G1055" s="281" t="s">
        <v>3272</v>
      </c>
      <c r="H1055" s="281">
        <v>118</v>
      </c>
      <c r="I1055" s="281" t="s">
        <v>519</v>
      </c>
      <c r="J1055" s="281" t="s">
        <v>677</v>
      </c>
      <c r="K1055" s="281">
        <v>100</v>
      </c>
      <c r="L1055" s="281">
        <v>100</v>
      </c>
      <c r="M1055" s="281" t="s">
        <v>2186</v>
      </c>
      <c r="N1055" s="281" t="s">
        <v>2187</v>
      </c>
      <c r="O1055" s="281" t="s">
        <v>520</v>
      </c>
      <c r="P1055" s="283">
        <v>924</v>
      </c>
      <c r="Q1055" s="281" t="s">
        <v>3803</v>
      </c>
      <c r="R1055" s="281" t="s">
        <v>522</v>
      </c>
      <c r="S1055" s="281" t="s">
        <v>677</v>
      </c>
      <c r="T1055" s="281">
        <v>100</v>
      </c>
      <c r="U1055" s="275">
        <v>100</v>
      </c>
      <c r="V1055" s="275">
        <v>100</v>
      </c>
      <c r="W1055" s="225">
        <v>100</v>
      </c>
      <c r="X1055" s="275">
        <v>100</v>
      </c>
      <c r="Y1055" s="275">
        <v>100</v>
      </c>
      <c r="Z1055" s="275">
        <v>100</v>
      </c>
      <c r="AA1055" s="275">
        <v>100</v>
      </c>
      <c r="AB1055" s="225">
        <v>100</v>
      </c>
      <c r="AC1055" s="275">
        <v>100</v>
      </c>
      <c r="AD1055" s="275">
        <v>100</v>
      </c>
      <c r="AE1055" s="275">
        <v>100</v>
      </c>
      <c r="AF1055" s="275">
        <v>100</v>
      </c>
      <c r="AG1055" s="225">
        <v>100</v>
      </c>
      <c r="AH1055" s="275">
        <v>100</v>
      </c>
      <c r="AI1055" s="275">
        <v>100</v>
      </c>
      <c r="AJ1055" s="275">
        <v>100</v>
      </c>
      <c r="AK1055" s="275">
        <v>100</v>
      </c>
      <c r="AL1055" s="225">
        <v>100</v>
      </c>
      <c r="AM1055" s="119">
        <v>100</v>
      </c>
      <c r="AN1055" s="120" t="s">
        <v>686</v>
      </c>
      <c r="AO1055" s="120" t="s">
        <v>1212</v>
      </c>
      <c r="AP1055" s="120" t="s">
        <v>1229</v>
      </c>
      <c r="AQ1055" s="120" t="s">
        <v>1207</v>
      </c>
      <c r="AR1055" s="120" t="s">
        <v>951</v>
      </c>
      <c r="AS1055" s="276"/>
      <c r="AT1055" s="276"/>
      <c r="AU1055" s="276"/>
      <c r="AV1055" s="276"/>
      <c r="AW1055" s="276">
        <v>200000000</v>
      </c>
      <c r="AX1055" s="276"/>
      <c r="AY1055" s="276"/>
      <c r="AZ1055" s="276"/>
      <c r="BA1055" s="276"/>
      <c r="BB1055" s="276"/>
      <c r="BC1055" s="276"/>
      <c r="BD1055" s="276"/>
      <c r="BE1055" s="276"/>
      <c r="BF1055" s="276"/>
      <c r="BG1055" s="276"/>
      <c r="BH1055" s="236">
        <f>IF(W1055=0,0,BG1055+BF1055+BE1055+BD1055+BC1055+BB1055+BA1055+AZ1055+AY1055+AX1055+AW1055+AV1055+AU1055+AT1055+AS1055)</f>
        <v>200000000</v>
      </c>
      <c r="BI1055" s="276"/>
      <c r="BJ1055" s="276"/>
      <c r="BK1055" s="276"/>
      <c r="BL1055" s="276"/>
      <c r="BM1055" s="276">
        <v>842241789.19437003</v>
      </c>
      <c r="BN1055" s="276"/>
      <c r="BO1055" s="276"/>
      <c r="BP1055" s="276"/>
      <c r="BQ1055" s="276"/>
      <c r="BR1055" s="276"/>
      <c r="BS1055" s="276"/>
      <c r="BT1055" s="276"/>
      <c r="BU1055" s="276"/>
      <c r="BV1055" s="276"/>
      <c r="BW1055" s="276"/>
      <c r="BX1055" s="236">
        <f>IF(AB1055=0,0,BI1055+BJ1055+BK1055+BL1055+BM1055+BN1055+BO1055+BP1055+BQ1055+BR1055+BS1055+BT1055+BU1055+BV1055+BW1055)</f>
        <v>842241789.19437003</v>
      </c>
      <c r="BY1055" s="276"/>
      <c r="BZ1055" s="276"/>
      <c r="CA1055" s="276"/>
      <c r="CB1055" s="276"/>
      <c r="CC1055" s="276">
        <v>179307830.28096008</v>
      </c>
      <c r="CD1055" s="276"/>
      <c r="CE1055" s="276"/>
      <c r="CF1055" s="276"/>
      <c r="CG1055" s="276"/>
      <c r="CH1055" s="276"/>
      <c r="CI1055" s="276"/>
      <c r="CJ1055" s="276"/>
      <c r="CK1055" s="276"/>
      <c r="CL1055" s="276"/>
      <c r="CM1055" s="276"/>
      <c r="CN1055" s="236">
        <f>IF(AG1055=0,0,(BY1055+BZ1055+CA1055+CB1055+CC1055+CD1055+CE1055+CF1055+CG1055+CH1055+CI1055+CJ1055+CK1055+CL1055+CM1055))</f>
        <v>179307830.28096008</v>
      </c>
      <c r="CO1055" s="276"/>
      <c r="CP1055" s="276"/>
      <c r="CQ1055" s="276"/>
      <c r="CR1055" s="276"/>
      <c r="CS1055" s="276">
        <v>404233404.22237015</v>
      </c>
      <c r="CT1055" s="276"/>
      <c r="CU1055" s="276"/>
      <c r="CV1055" s="276"/>
      <c r="CW1055" s="276"/>
      <c r="CX1055" s="276"/>
      <c r="CY1055" s="276"/>
      <c r="CZ1055" s="276"/>
      <c r="DA1055" s="276"/>
      <c r="DB1055" s="276"/>
      <c r="DC1055" s="276"/>
      <c r="DD1055" s="240">
        <f>IF(AL1055=0,0,(CO1055+CP1055+CQ1055+CR1055+CS1055+CT1055+CU1055+CV1055+CW1055+CX1055+CY1055+CZ1055+DA1055+DB1055+DC1055))</f>
        <v>404233404.22237015</v>
      </c>
      <c r="DE1055" s="245">
        <f t="shared" si="537"/>
        <v>1625783023.6977003</v>
      </c>
    </row>
    <row r="1056" spans="1:110" s="46" customFormat="1" ht="65.099999999999994" customHeight="1">
      <c r="A1056" s="134" t="s">
        <v>1254</v>
      </c>
      <c r="B1056" s="134" t="s">
        <v>2051</v>
      </c>
      <c r="C1056" s="134" t="s">
        <v>2052</v>
      </c>
      <c r="D1056" s="134">
        <v>99</v>
      </c>
      <c r="E1056" s="134" t="s">
        <v>2184</v>
      </c>
      <c r="F1056" s="135"/>
      <c r="G1056" s="136"/>
      <c r="H1056" s="137"/>
      <c r="I1056" s="137"/>
      <c r="J1056" s="137"/>
      <c r="K1056" s="138"/>
      <c r="L1056" s="137"/>
      <c r="M1056" s="137"/>
      <c r="N1056" s="137"/>
      <c r="O1056" s="137"/>
      <c r="P1056" s="137"/>
      <c r="Q1056" s="136"/>
      <c r="R1056" s="139"/>
      <c r="S1056" s="137"/>
      <c r="T1056" s="137"/>
      <c r="U1056" s="140"/>
      <c r="V1056" s="140"/>
      <c r="W1056" s="138"/>
      <c r="X1056" s="140"/>
      <c r="Y1056" s="140"/>
      <c r="Z1056" s="140"/>
      <c r="AA1056" s="140"/>
      <c r="AB1056" s="138"/>
      <c r="AC1056" s="140"/>
      <c r="AD1056" s="140"/>
      <c r="AE1056" s="140"/>
      <c r="AF1056" s="140"/>
      <c r="AG1056" s="138"/>
      <c r="AH1056" s="140"/>
      <c r="AI1056" s="140"/>
      <c r="AJ1056" s="140"/>
      <c r="AK1056" s="140"/>
      <c r="AL1056" s="138"/>
      <c r="AM1056" s="141"/>
      <c r="AN1056" s="142"/>
      <c r="AO1056" s="142"/>
      <c r="AP1056" s="143"/>
      <c r="AQ1056" s="143"/>
      <c r="AR1056" s="144"/>
      <c r="AS1056" s="132">
        <f>SUM(AS1052:AS1055)</f>
        <v>0</v>
      </c>
      <c r="AT1056" s="132">
        <f t="shared" ref="AT1056:DE1056" si="539">SUM(AT1052:AT1055)</f>
        <v>0</v>
      </c>
      <c r="AU1056" s="132">
        <f t="shared" si="539"/>
        <v>0</v>
      </c>
      <c r="AV1056" s="132">
        <f t="shared" si="539"/>
        <v>0</v>
      </c>
      <c r="AW1056" s="132">
        <f t="shared" si="539"/>
        <v>1300000000</v>
      </c>
      <c r="AX1056" s="132">
        <f t="shared" si="539"/>
        <v>0</v>
      </c>
      <c r="AY1056" s="132">
        <f t="shared" si="539"/>
        <v>0</v>
      </c>
      <c r="AZ1056" s="132">
        <f t="shared" si="539"/>
        <v>0</v>
      </c>
      <c r="BA1056" s="132">
        <f t="shared" si="539"/>
        <v>0</v>
      </c>
      <c r="BB1056" s="132">
        <f t="shared" si="539"/>
        <v>0</v>
      </c>
      <c r="BC1056" s="132">
        <f t="shared" si="539"/>
        <v>0</v>
      </c>
      <c r="BD1056" s="132">
        <f t="shared" si="539"/>
        <v>0</v>
      </c>
      <c r="BE1056" s="132">
        <f t="shared" si="539"/>
        <v>0</v>
      </c>
      <c r="BF1056" s="132">
        <f t="shared" si="539"/>
        <v>0</v>
      </c>
      <c r="BG1056" s="132">
        <f t="shared" si="539"/>
        <v>0</v>
      </c>
      <c r="BH1056" s="133">
        <f>IF(OR(AND(BH1052=0,W1052&lt;&gt;0),AND(BH1053=0,W1053&lt;&gt;0),AND(BH1054=0,W1054&lt;&gt;0),AND(BH1055=0,W1055&lt;&gt;0)),"NO DEBEN QUEDAR CELDAS EN ROJO",SUM(BH1052:BH1055))</f>
        <v>1300000000</v>
      </c>
      <c r="BI1056" s="132">
        <f t="shared" si="539"/>
        <v>0</v>
      </c>
      <c r="BJ1056" s="132">
        <f t="shared" si="539"/>
        <v>0</v>
      </c>
      <c r="BK1056" s="132">
        <f t="shared" si="539"/>
        <v>0</v>
      </c>
      <c r="BL1056" s="132">
        <f t="shared" si="539"/>
        <v>0</v>
      </c>
      <c r="BM1056" s="132">
        <f t="shared" si="539"/>
        <v>1842241789.19437</v>
      </c>
      <c r="BN1056" s="132">
        <f t="shared" si="539"/>
        <v>0</v>
      </c>
      <c r="BO1056" s="132">
        <f t="shared" si="539"/>
        <v>0</v>
      </c>
      <c r="BP1056" s="132">
        <f t="shared" si="539"/>
        <v>0</v>
      </c>
      <c r="BQ1056" s="132">
        <f t="shared" si="539"/>
        <v>0</v>
      </c>
      <c r="BR1056" s="132">
        <f t="shared" si="539"/>
        <v>0</v>
      </c>
      <c r="BS1056" s="132">
        <f t="shared" si="539"/>
        <v>0</v>
      </c>
      <c r="BT1056" s="132">
        <f t="shared" si="539"/>
        <v>0</v>
      </c>
      <c r="BU1056" s="132">
        <f t="shared" si="539"/>
        <v>0</v>
      </c>
      <c r="BV1056" s="132">
        <f t="shared" si="539"/>
        <v>0</v>
      </c>
      <c r="BW1056" s="132">
        <f t="shared" si="539"/>
        <v>0</v>
      </c>
      <c r="BX1056" s="133">
        <f>IF(OR(AND(BX1052=0,AB1052&lt;&gt;0),AND(BH1053=0,W1053&lt;&gt;0),AND(BX1054=0,AB1054&lt;&gt;0),AND(BX1055=0,AB1055&lt;&gt;0)),"NO DEBEN QUEDAR CELDAS EN ROJO",SUM(BX1052:BX1055))</f>
        <v>1842241789.19437</v>
      </c>
      <c r="BY1056" s="132">
        <f t="shared" si="539"/>
        <v>0</v>
      </c>
      <c r="BZ1056" s="132">
        <f t="shared" si="539"/>
        <v>0</v>
      </c>
      <c r="CA1056" s="132">
        <f t="shared" si="539"/>
        <v>0</v>
      </c>
      <c r="CB1056" s="132">
        <f t="shared" si="539"/>
        <v>0</v>
      </c>
      <c r="CC1056" s="132">
        <f t="shared" si="539"/>
        <v>2179307830.2809601</v>
      </c>
      <c r="CD1056" s="132">
        <f t="shared" si="539"/>
        <v>0</v>
      </c>
      <c r="CE1056" s="132">
        <f t="shared" si="539"/>
        <v>0</v>
      </c>
      <c r="CF1056" s="132">
        <f t="shared" si="539"/>
        <v>0</v>
      </c>
      <c r="CG1056" s="132">
        <f t="shared" si="539"/>
        <v>0</v>
      </c>
      <c r="CH1056" s="132">
        <f t="shared" si="539"/>
        <v>0</v>
      </c>
      <c r="CI1056" s="132">
        <f t="shared" si="539"/>
        <v>0</v>
      </c>
      <c r="CJ1056" s="132">
        <f t="shared" si="539"/>
        <v>0</v>
      </c>
      <c r="CK1056" s="132">
        <f t="shared" si="539"/>
        <v>0</v>
      </c>
      <c r="CL1056" s="132">
        <f t="shared" si="539"/>
        <v>0</v>
      </c>
      <c r="CM1056" s="132">
        <f t="shared" si="539"/>
        <v>0</v>
      </c>
      <c r="CN1056" s="133">
        <f>IF(OR(AND(CN1052=0,AG1052&lt;&gt;0),AND(BH1053=0,W1053&lt;&gt;0),AND(CN1054=0,AG1054&lt;&gt;0),AND(CN1055=0,AG1055&lt;&gt;0)),"NO DEBEN QUEDAR CELDAS EN ROJO",SUM(CN1052:CN1055))</f>
        <v>2179307830.2809601</v>
      </c>
      <c r="CO1056" s="132">
        <f t="shared" si="539"/>
        <v>0</v>
      </c>
      <c r="CP1056" s="132">
        <f t="shared" si="539"/>
        <v>0</v>
      </c>
      <c r="CQ1056" s="132">
        <f t="shared" si="539"/>
        <v>0</v>
      </c>
      <c r="CR1056" s="132">
        <f t="shared" si="539"/>
        <v>0</v>
      </c>
      <c r="CS1056" s="132">
        <f t="shared" si="539"/>
        <v>2404233404.2223701</v>
      </c>
      <c r="CT1056" s="132">
        <f t="shared" si="539"/>
        <v>0</v>
      </c>
      <c r="CU1056" s="132">
        <f t="shared" si="539"/>
        <v>0</v>
      </c>
      <c r="CV1056" s="132">
        <f t="shared" si="539"/>
        <v>0</v>
      </c>
      <c r="CW1056" s="132">
        <f t="shared" si="539"/>
        <v>0</v>
      </c>
      <c r="CX1056" s="132">
        <f t="shared" si="539"/>
        <v>0</v>
      </c>
      <c r="CY1056" s="132">
        <f t="shared" si="539"/>
        <v>0</v>
      </c>
      <c r="CZ1056" s="132">
        <f t="shared" si="539"/>
        <v>0</v>
      </c>
      <c r="DA1056" s="132">
        <f t="shared" si="539"/>
        <v>0</v>
      </c>
      <c r="DB1056" s="132">
        <f t="shared" si="539"/>
        <v>0</v>
      </c>
      <c r="DC1056" s="132">
        <f t="shared" si="539"/>
        <v>0</v>
      </c>
      <c r="DD1056" s="133">
        <f>IF(OR(AND(DD1052=0,AL1052&lt;&gt;0),AND(BH1053=0,W1053&lt;&gt;0),AND(DD1054=0,AL1054&lt;&gt;0),AND(DD1055=0,AL1055&lt;&gt;0)),"NO DEBEN QUEDAR CELDAS EN ROJO",SUM(DD1052:DD1055))</f>
        <v>2404233404.2223701</v>
      </c>
      <c r="DE1056" s="133">
        <f t="shared" si="539"/>
        <v>7725783023.6977005</v>
      </c>
      <c r="DF1056" s="129"/>
    </row>
    <row r="1057" spans="1:110" s="98" customFormat="1" ht="119.1" customHeight="1">
      <c r="A1057" s="103" t="s">
        <v>1255</v>
      </c>
      <c r="B1057" s="103" t="s">
        <v>2051</v>
      </c>
      <c r="C1057" s="103" t="s">
        <v>2052</v>
      </c>
      <c r="D1057" s="103">
        <v>100</v>
      </c>
      <c r="E1057" s="103" t="s">
        <v>2189</v>
      </c>
      <c r="F1057" s="278" t="s">
        <v>523</v>
      </c>
      <c r="G1057" s="103" t="s">
        <v>2774</v>
      </c>
      <c r="H1057" s="103">
        <v>119</v>
      </c>
      <c r="I1057" s="103" t="s">
        <v>2190</v>
      </c>
      <c r="J1057" s="103" t="s">
        <v>677</v>
      </c>
      <c r="K1057" s="103">
        <v>0</v>
      </c>
      <c r="L1057" s="103">
        <v>70</v>
      </c>
      <c r="M1057" s="103" t="s">
        <v>2191</v>
      </c>
      <c r="N1057" s="103" t="s">
        <v>2192</v>
      </c>
      <c r="O1057" s="103" t="s">
        <v>524</v>
      </c>
      <c r="P1057" s="283">
        <v>925</v>
      </c>
      <c r="Q1057" s="103" t="s">
        <v>2775</v>
      </c>
      <c r="R1057" s="103" t="s">
        <v>525</v>
      </c>
      <c r="S1057" s="103" t="s">
        <v>677</v>
      </c>
      <c r="T1057" s="103">
        <v>0</v>
      </c>
      <c r="U1057" s="267">
        <v>13</v>
      </c>
      <c r="V1057" s="267">
        <v>10</v>
      </c>
      <c r="W1057" s="224">
        <v>23</v>
      </c>
      <c r="X1057" s="267"/>
      <c r="Y1057" s="267"/>
      <c r="Z1057" s="267">
        <v>11</v>
      </c>
      <c r="AA1057" s="267">
        <v>7</v>
      </c>
      <c r="AB1057" s="224">
        <v>18</v>
      </c>
      <c r="AC1057" s="267"/>
      <c r="AD1057" s="267"/>
      <c r="AE1057" s="267">
        <v>10</v>
      </c>
      <c r="AF1057" s="267">
        <v>7</v>
      </c>
      <c r="AG1057" s="224">
        <v>17</v>
      </c>
      <c r="AH1057" s="267"/>
      <c r="AI1057" s="267"/>
      <c r="AJ1057" s="267">
        <v>14</v>
      </c>
      <c r="AK1057" s="267">
        <v>3</v>
      </c>
      <c r="AL1057" s="224">
        <v>17</v>
      </c>
      <c r="AM1057" s="102">
        <v>75</v>
      </c>
      <c r="AN1057" s="103" t="s">
        <v>685</v>
      </c>
      <c r="AO1057" s="103" t="s">
        <v>1212</v>
      </c>
      <c r="AP1057" s="103" t="s">
        <v>1229</v>
      </c>
      <c r="AQ1057" s="103" t="s">
        <v>2342</v>
      </c>
      <c r="AR1057" s="103" t="s">
        <v>951</v>
      </c>
      <c r="AS1057" s="268"/>
      <c r="AT1057" s="268"/>
      <c r="AU1057" s="268"/>
      <c r="AV1057" s="268"/>
      <c r="AW1057" s="268">
        <v>75000000</v>
      </c>
      <c r="AX1057" s="268"/>
      <c r="AY1057" s="268"/>
      <c r="AZ1057" s="268"/>
      <c r="BA1057" s="268"/>
      <c r="BB1057" s="268"/>
      <c r="BC1057" s="268"/>
      <c r="BD1057" s="268"/>
      <c r="BE1057" s="268"/>
      <c r="BF1057" s="268"/>
      <c r="BG1057" s="268"/>
      <c r="BH1057" s="234">
        <f>IF(W1057=0,0,BG1057+BF1057+BE1057+BD1057+BC1057+BB1057+BA1057+AZ1057+AY1057+AX1057+AW1057+AV1057+AU1057+AT1057+AS1057)</f>
        <v>75000000</v>
      </c>
      <c r="BI1057" s="268"/>
      <c r="BJ1057" s="268"/>
      <c r="BK1057" s="268"/>
      <c r="BL1057" s="268"/>
      <c r="BM1057" s="268">
        <v>92112089.5</v>
      </c>
      <c r="BN1057" s="268"/>
      <c r="BO1057" s="268"/>
      <c r="BP1057" s="268"/>
      <c r="BQ1057" s="268"/>
      <c r="BR1057" s="268"/>
      <c r="BS1057" s="268"/>
      <c r="BT1057" s="268"/>
      <c r="BU1057" s="268"/>
      <c r="BV1057" s="268"/>
      <c r="BW1057" s="268"/>
      <c r="BX1057" s="234">
        <f>IF(AB1057=0,0,BI1057+BJ1057+BK1057+BL1057+BM1057+BN1057+BO1057+BP1057+BQ1057+BR1057+BS1057+BT1057+BU1057+BV1057+BW1057)</f>
        <v>92112089.5</v>
      </c>
      <c r="BY1057" s="268"/>
      <c r="BZ1057" s="268"/>
      <c r="CA1057" s="268"/>
      <c r="CB1057" s="268"/>
      <c r="CC1057" s="268">
        <v>108965391.5</v>
      </c>
      <c r="CD1057" s="268"/>
      <c r="CE1057" s="268"/>
      <c r="CF1057" s="268"/>
      <c r="CG1057" s="268"/>
      <c r="CH1057" s="268"/>
      <c r="CI1057" s="268"/>
      <c r="CJ1057" s="268"/>
      <c r="CK1057" s="268"/>
      <c r="CL1057" s="268"/>
      <c r="CM1057" s="268"/>
      <c r="CN1057" s="234">
        <f>IF(AG1057=0,0,(BY1057+BZ1057+CA1057+CB1057+CC1057+CD1057+CE1057+CF1057+CG1057+CH1057+CI1057+CJ1057+CK1057+CL1057+CM1057))</f>
        <v>108965391.5</v>
      </c>
      <c r="CO1057" s="268"/>
      <c r="CP1057" s="268"/>
      <c r="CQ1057" s="268"/>
      <c r="CR1057" s="268"/>
      <c r="CS1057" s="268">
        <v>120211670</v>
      </c>
      <c r="CT1057" s="268"/>
      <c r="CU1057" s="268"/>
      <c r="CV1057" s="268"/>
      <c r="CW1057" s="268"/>
      <c r="CX1057" s="268"/>
      <c r="CY1057" s="268"/>
      <c r="CZ1057" s="268"/>
      <c r="DA1057" s="268"/>
      <c r="DB1057" s="268"/>
      <c r="DC1057" s="268"/>
      <c r="DD1057" s="234">
        <f>IF(AL1057=0,0,(CO1057+CP1057+CQ1057+CR1057+CS1057+CT1057+CU1057+CV1057+CW1057+CX1057+CY1057+CZ1057+DA1057+DB1057+DC1057))</f>
        <v>120211670</v>
      </c>
      <c r="DE1057" s="243">
        <f t="shared" ref="DE1057:DE1061" si="540">SUM(DD1057+CN1057+BX1057+BH1057)</f>
        <v>396289151</v>
      </c>
    </row>
    <row r="1058" spans="1:110" s="98" customFormat="1" ht="119.1" customHeight="1">
      <c r="A1058" s="103" t="s">
        <v>1255</v>
      </c>
      <c r="B1058" s="279" t="s">
        <v>2051</v>
      </c>
      <c r="C1058" s="279" t="s">
        <v>2052</v>
      </c>
      <c r="D1058" s="279">
        <v>100</v>
      </c>
      <c r="E1058" s="279" t="s">
        <v>2189</v>
      </c>
      <c r="F1058" s="280" t="s">
        <v>523</v>
      </c>
      <c r="G1058" s="279" t="s">
        <v>2774</v>
      </c>
      <c r="H1058" s="279">
        <v>119</v>
      </c>
      <c r="I1058" s="279" t="s">
        <v>2190</v>
      </c>
      <c r="J1058" s="279" t="s">
        <v>677</v>
      </c>
      <c r="K1058" s="279">
        <v>0</v>
      </c>
      <c r="L1058" s="279">
        <v>70</v>
      </c>
      <c r="M1058" s="279" t="s">
        <v>2191</v>
      </c>
      <c r="N1058" s="279" t="s">
        <v>2192</v>
      </c>
      <c r="O1058" s="279" t="s">
        <v>524</v>
      </c>
      <c r="P1058" s="283">
        <v>926</v>
      </c>
      <c r="Q1058" s="279" t="s">
        <v>2776</v>
      </c>
      <c r="R1058" s="279" t="s">
        <v>2193</v>
      </c>
      <c r="S1058" s="279" t="s">
        <v>677</v>
      </c>
      <c r="T1058" s="279">
        <v>0</v>
      </c>
      <c r="U1058" s="267">
        <v>13</v>
      </c>
      <c r="V1058" s="267">
        <v>12</v>
      </c>
      <c r="W1058" s="224">
        <v>25</v>
      </c>
      <c r="X1058" s="267">
        <v>7</v>
      </c>
      <c r="Y1058" s="267">
        <v>7</v>
      </c>
      <c r="Z1058" s="267">
        <v>6</v>
      </c>
      <c r="AA1058" s="267">
        <v>5</v>
      </c>
      <c r="AB1058" s="224">
        <v>25</v>
      </c>
      <c r="AC1058" s="267">
        <v>7</v>
      </c>
      <c r="AD1058" s="267">
        <v>7</v>
      </c>
      <c r="AE1058" s="267">
        <v>6</v>
      </c>
      <c r="AF1058" s="267">
        <v>5</v>
      </c>
      <c r="AG1058" s="224">
        <v>25</v>
      </c>
      <c r="AH1058" s="267">
        <v>8</v>
      </c>
      <c r="AI1058" s="267">
        <v>7</v>
      </c>
      <c r="AJ1058" s="267">
        <v>7</v>
      </c>
      <c r="AK1058" s="267">
        <v>3</v>
      </c>
      <c r="AL1058" s="224">
        <v>25</v>
      </c>
      <c r="AM1058" s="104">
        <v>100</v>
      </c>
      <c r="AN1058" s="103" t="s">
        <v>685</v>
      </c>
      <c r="AO1058" s="103" t="s">
        <v>1212</v>
      </c>
      <c r="AP1058" s="103" t="s">
        <v>1229</v>
      </c>
      <c r="AQ1058" s="103" t="s">
        <v>2342</v>
      </c>
      <c r="AR1058" s="103" t="s">
        <v>951</v>
      </c>
      <c r="AS1058" s="271"/>
      <c r="AT1058" s="271"/>
      <c r="AU1058" s="271"/>
      <c r="AV1058" s="271"/>
      <c r="AW1058" s="271">
        <v>37500000</v>
      </c>
      <c r="AX1058" s="271"/>
      <c r="AY1058" s="271"/>
      <c r="AZ1058" s="271"/>
      <c r="BA1058" s="271"/>
      <c r="BB1058" s="271"/>
      <c r="BC1058" s="271"/>
      <c r="BD1058" s="271"/>
      <c r="BE1058" s="271"/>
      <c r="BF1058" s="271"/>
      <c r="BG1058" s="271"/>
      <c r="BH1058" s="235">
        <f>IF(W1058=0,0,BG1058+BF1058+BE1058+BD1058+BC1058+BB1058+BA1058+AZ1058+AY1058+AX1058+AW1058+AV1058+AU1058+AT1058+AS1058)</f>
        <v>37500000</v>
      </c>
      <c r="BI1058" s="271"/>
      <c r="BJ1058" s="271"/>
      <c r="BK1058" s="271"/>
      <c r="BL1058" s="271"/>
      <c r="BM1058" s="271">
        <v>46056044.75</v>
      </c>
      <c r="BN1058" s="271"/>
      <c r="BO1058" s="271"/>
      <c r="BP1058" s="271"/>
      <c r="BQ1058" s="271"/>
      <c r="BR1058" s="271"/>
      <c r="BS1058" s="271"/>
      <c r="BT1058" s="271"/>
      <c r="BU1058" s="271"/>
      <c r="BV1058" s="271"/>
      <c r="BW1058" s="271"/>
      <c r="BX1058" s="235">
        <f>IF(AB1058=0,0,BI1058+BJ1058+BK1058+BL1058+BM1058+BN1058+BO1058+BP1058+BQ1058+BR1058+BS1058+BT1058+BU1058+BV1058+BW1058)</f>
        <v>46056044.75</v>
      </c>
      <c r="BY1058" s="271"/>
      <c r="BZ1058" s="271"/>
      <c r="CA1058" s="271"/>
      <c r="CB1058" s="271"/>
      <c r="CC1058" s="271">
        <v>54482695.75</v>
      </c>
      <c r="CD1058" s="271"/>
      <c r="CE1058" s="271"/>
      <c r="CF1058" s="271"/>
      <c r="CG1058" s="271"/>
      <c r="CH1058" s="271"/>
      <c r="CI1058" s="271"/>
      <c r="CJ1058" s="271"/>
      <c r="CK1058" s="271"/>
      <c r="CL1058" s="271"/>
      <c r="CM1058" s="271"/>
      <c r="CN1058" s="235">
        <f>IF(AG1058=0,0,(BY1058+BZ1058+CA1058+CB1058+CC1058+CD1058+CE1058+CF1058+CG1058+CH1058+CI1058+CJ1058+CK1058+CL1058+CM1058))</f>
        <v>54482695.75</v>
      </c>
      <c r="CO1058" s="271"/>
      <c r="CP1058" s="271"/>
      <c r="CQ1058" s="271"/>
      <c r="CR1058" s="271"/>
      <c r="CS1058" s="271">
        <v>60105835</v>
      </c>
      <c r="CT1058" s="271"/>
      <c r="CU1058" s="271"/>
      <c r="CV1058" s="271"/>
      <c r="CW1058" s="271"/>
      <c r="CX1058" s="271"/>
      <c r="CY1058" s="271"/>
      <c r="CZ1058" s="271"/>
      <c r="DA1058" s="271"/>
      <c r="DB1058" s="271"/>
      <c r="DC1058" s="271"/>
      <c r="DD1058" s="234">
        <f>IF(AL1058=0,0,(CO1058+CP1058+CQ1058+CR1058+CS1058+CT1058+CU1058+CV1058+CW1058+CX1058+CY1058+CZ1058+DA1058+DB1058+DC1058))</f>
        <v>60105835</v>
      </c>
      <c r="DE1058" s="244">
        <f t="shared" si="540"/>
        <v>198144575.5</v>
      </c>
    </row>
    <row r="1059" spans="1:110" s="98" customFormat="1" ht="119.1" customHeight="1">
      <c r="A1059" s="103" t="s">
        <v>1255</v>
      </c>
      <c r="B1059" s="279" t="s">
        <v>2051</v>
      </c>
      <c r="C1059" s="279" t="s">
        <v>2052</v>
      </c>
      <c r="D1059" s="279">
        <v>100</v>
      </c>
      <c r="E1059" s="279" t="s">
        <v>2189</v>
      </c>
      <c r="F1059" s="280" t="s">
        <v>523</v>
      </c>
      <c r="G1059" s="279" t="s">
        <v>2774</v>
      </c>
      <c r="H1059" s="279">
        <v>119</v>
      </c>
      <c r="I1059" s="279" t="s">
        <v>2190</v>
      </c>
      <c r="J1059" s="279" t="s">
        <v>677</v>
      </c>
      <c r="K1059" s="279">
        <v>0</v>
      </c>
      <c r="L1059" s="279">
        <v>70</v>
      </c>
      <c r="M1059" s="279" t="s">
        <v>2191</v>
      </c>
      <c r="N1059" s="279" t="s">
        <v>2192</v>
      </c>
      <c r="O1059" s="279" t="s">
        <v>524</v>
      </c>
      <c r="P1059" s="283">
        <v>927</v>
      </c>
      <c r="Q1059" s="279" t="s">
        <v>2777</v>
      </c>
      <c r="R1059" s="279" t="s">
        <v>526</v>
      </c>
      <c r="S1059" s="279" t="s">
        <v>683</v>
      </c>
      <c r="T1059" s="279">
        <v>12</v>
      </c>
      <c r="U1059" s="267">
        <v>8</v>
      </c>
      <c r="V1059" s="267">
        <v>4</v>
      </c>
      <c r="W1059" s="224">
        <v>12</v>
      </c>
      <c r="X1059" s="267">
        <v>4</v>
      </c>
      <c r="Y1059" s="267">
        <v>4</v>
      </c>
      <c r="Z1059" s="267">
        <v>4</v>
      </c>
      <c r="AA1059" s="267"/>
      <c r="AB1059" s="224">
        <v>12</v>
      </c>
      <c r="AC1059" s="267">
        <v>4</v>
      </c>
      <c r="AD1059" s="267">
        <v>4</v>
      </c>
      <c r="AE1059" s="267">
        <v>4</v>
      </c>
      <c r="AF1059" s="267"/>
      <c r="AG1059" s="224">
        <v>12</v>
      </c>
      <c r="AH1059" s="267">
        <v>4</v>
      </c>
      <c r="AI1059" s="267">
        <v>4</v>
      </c>
      <c r="AJ1059" s="267">
        <v>4</v>
      </c>
      <c r="AK1059" s="267"/>
      <c r="AL1059" s="224">
        <v>12</v>
      </c>
      <c r="AM1059" s="104">
        <v>12</v>
      </c>
      <c r="AN1059" s="103" t="s">
        <v>686</v>
      </c>
      <c r="AO1059" s="103" t="s">
        <v>1212</v>
      </c>
      <c r="AP1059" s="103" t="s">
        <v>1229</v>
      </c>
      <c r="AQ1059" s="103" t="s">
        <v>2342</v>
      </c>
      <c r="AR1059" s="103" t="s">
        <v>951</v>
      </c>
      <c r="AS1059" s="271"/>
      <c r="AT1059" s="271"/>
      <c r="AU1059" s="271"/>
      <c r="AV1059" s="271"/>
      <c r="AW1059" s="271">
        <v>27000000</v>
      </c>
      <c r="AX1059" s="271"/>
      <c r="AY1059" s="271"/>
      <c r="AZ1059" s="271"/>
      <c r="BA1059" s="271"/>
      <c r="BB1059" s="271"/>
      <c r="BC1059" s="271"/>
      <c r="BD1059" s="271"/>
      <c r="BE1059" s="271"/>
      <c r="BF1059" s="271"/>
      <c r="BG1059" s="271"/>
      <c r="BH1059" s="235">
        <f>IF(W1059=0,0,BG1059+BF1059+BE1059+BD1059+BC1059+BB1059+BA1059+AZ1059+AY1059+AX1059+AW1059+AV1059+AU1059+AT1059+AS1059)</f>
        <v>27000000</v>
      </c>
      <c r="BI1059" s="271"/>
      <c r="BJ1059" s="271"/>
      <c r="BK1059" s="271"/>
      <c r="BL1059" s="271"/>
      <c r="BM1059" s="271">
        <v>33160352.219999999</v>
      </c>
      <c r="BN1059" s="271"/>
      <c r="BO1059" s="271"/>
      <c r="BP1059" s="271"/>
      <c r="BQ1059" s="271"/>
      <c r="BR1059" s="271"/>
      <c r="BS1059" s="271"/>
      <c r="BT1059" s="271"/>
      <c r="BU1059" s="271"/>
      <c r="BV1059" s="271"/>
      <c r="BW1059" s="271"/>
      <c r="BX1059" s="235">
        <f>IF(AB1059=0,0,BI1059+BJ1059+BK1059+BL1059+BM1059+BN1059+BO1059+BP1059+BQ1059+BR1059+BS1059+BT1059+BU1059+BV1059+BW1059)</f>
        <v>33160352.219999999</v>
      </c>
      <c r="BY1059" s="271"/>
      <c r="BZ1059" s="271"/>
      <c r="CA1059" s="271"/>
      <c r="CB1059" s="271"/>
      <c r="CC1059" s="271">
        <v>39227540.939999998</v>
      </c>
      <c r="CD1059" s="271"/>
      <c r="CE1059" s="271"/>
      <c r="CF1059" s="271"/>
      <c r="CG1059" s="271"/>
      <c r="CH1059" s="271"/>
      <c r="CI1059" s="271"/>
      <c r="CJ1059" s="271"/>
      <c r="CK1059" s="271"/>
      <c r="CL1059" s="271"/>
      <c r="CM1059" s="271"/>
      <c r="CN1059" s="235">
        <f>IF(AG1059=0,0,(BY1059+BZ1059+CA1059+CB1059+CC1059+CD1059+CE1059+CF1059+CG1059+CH1059+CI1059+CJ1059+CK1059+CL1059+CM1059))</f>
        <v>39227540.939999998</v>
      </c>
      <c r="CO1059" s="271"/>
      <c r="CP1059" s="271"/>
      <c r="CQ1059" s="271"/>
      <c r="CR1059" s="271"/>
      <c r="CS1059" s="271">
        <v>43276201.200000003</v>
      </c>
      <c r="CT1059" s="271"/>
      <c r="CU1059" s="271"/>
      <c r="CV1059" s="271"/>
      <c r="CW1059" s="271"/>
      <c r="CX1059" s="271"/>
      <c r="CY1059" s="271"/>
      <c r="CZ1059" s="271"/>
      <c r="DA1059" s="271"/>
      <c r="DB1059" s="271"/>
      <c r="DC1059" s="271"/>
      <c r="DD1059" s="234">
        <f>IF(AL1059=0,0,(CO1059+CP1059+CQ1059+CR1059+CS1059+CT1059+CU1059+CV1059+CW1059+CX1059+CY1059+CZ1059+DA1059+DB1059+DC1059))</f>
        <v>43276201.200000003</v>
      </c>
      <c r="DE1059" s="244">
        <f t="shared" si="540"/>
        <v>142664094.36000001</v>
      </c>
    </row>
    <row r="1060" spans="1:110" s="98" customFormat="1" ht="119.1" customHeight="1">
      <c r="A1060" s="103" t="s">
        <v>1255</v>
      </c>
      <c r="B1060" s="279" t="s">
        <v>2051</v>
      </c>
      <c r="C1060" s="279" t="s">
        <v>2052</v>
      </c>
      <c r="D1060" s="279">
        <v>100</v>
      </c>
      <c r="E1060" s="279" t="s">
        <v>2189</v>
      </c>
      <c r="F1060" s="280" t="s">
        <v>523</v>
      </c>
      <c r="G1060" s="279" t="s">
        <v>2774</v>
      </c>
      <c r="H1060" s="279">
        <v>120</v>
      </c>
      <c r="I1060" s="279" t="s">
        <v>2190</v>
      </c>
      <c r="J1060" s="279" t="s">
        <v>677</v>
      </c>
      <c r="K1060" s="279">
        <v>100</v>
      </c>
      <c r="L1060" s="279">
        <v>100</v>
      </c>
      <c r="M1060" s="279" t="s">
        <v>2194</v>
      </c>
      <c r="N1060" s="279" t="s">
        <v>2195</v>
      </c>
      <c r="O1060" s="279" t="s">
        <v>2196</v>
      </c>
      <c r="P1060" s="283">
        <v>928</v>
      </c>
      <c r="Q1060" s="279" t="s">
        <v>2778</v>
      </c>
      <c r="R1060" s="279" t="s">
        <v>2197</v>
      </c>
      <c r="S1060" s="279" t="s">
        <v>683</v>
      </c>
      <c r="T1060" s="279">
        <v>14</v>
      </c>
      <c r="U1060" s="267">
        <v>7</v>
      </c>
      <c r="V1060" s="267">
        <v>7</v>
      </c>
      <c r="W1060" s="224">
        <v>14</v>
      </c>
      <c r="X1060" s="267"/>
      <c r="Y1060" s="267">
        <v>7</v>
      </c>
      <c r="Z1060" s="267">
        <v>4</v>
      </c>
      <c r="AA1060" s="267">
        <v>3</v>
      </c>
      <c r="AB1060" s="224">
        <v>14</v>
      </c>
      <c r="AC1060" s="267"/>
      <c r="AD1060" s="267">
        <v>7</v>
      </c>
      <c r="AE1060" s="267">
        <v>4</v>
      </c>
      <c r="AF1060" s="267">
        <v>3</v>
      </c>
      <c r="AG1060" s="224">
        <v>14</v>
      </c>
      <c r="AH1060" s="267"/>
      <c r="AI1060" s="267">
        <v>7</v>
      </c>
      <c r="AJ1060" s="267">
        <v>7</v>
      </c>
      <c r="AK1060" s="267"/>
      <c r="AL1060" s="224">
        <v>14</v>
      </c>
      <c r="AM1060" s="104">
        <v>14</v>
      </c>
      <c r="AN1060" s="103" t="s">
        <v>686</v>
      </c>
      <c r="AO1060" s="103" t="s">
        <v>1212</v>
      </c>
      <c r="AP1060" s="103" t="s">
        <v>1229</v>
      </c>
      <c r="AQ1060" s="103" t="s">
        <v>2342</v>
      </c>
      <c r="AR1060" s="103" t="s">
        <v>951</v>
      </c>
      <c r="AS1060" s="271"/>
      <c r="AT1060" s="271"/>
      <c r="AU1060" s="271"/>
      <c r="AV1060" s="271"/>
      <c r="AW1060" s="271">
        <v>7500000</v>
      </c>
      <c r="AX1060" s="271"/>
      <c r="AY1060" s="271"/>
      <c r="AZ1060" s="271"/>
      <c r="BA1060" s="271"/>
      <c r="BB1060" s="271"/>
      <c r="BC1060" s="271"/>
      <c r="BD1060" s="271"/>
      <c r="BE1060" s="271"/>
      <c r="BF1060" s="271"/>
      <c r="BG1060" s="271"/>
      <c r="BH1060" s="235">
        <f>IF(W1060=0,0,BG1060+BF1060+BE1060+BD1060+BC1060+BB1060+BA1060+AZ1060+AY1060+AX1060+AW1060+AV1060+AU1060+AT1060+AS1060)</f>
        <v>7500000</v>
      </c>
      <c r="BI1060" s="271"/>
      <c r="BJ1060" s="271"/>
      <c r="BK1060" s="271"/>
      <c r="BL1060" s="271"/>
      <c r="BM1060" s="271">
        <v>9211208.9499999993</v>
      </c>
      <c r="BN1060" s="271"/>
      <c r="BO1060" s="271"/>
      <c r="BP1060" s="271"/>
      <c r="BQ1060" s="271"/>
      <c r="BR1060" s="271"/>
      <c r="BS1060" s="271"/>
      <c r="BT1060" s="271"/>
      <c r="BU1060" s="271"/>
      <c r="BV1060" s="271"/>
      <c r="BW1060" s="271"/>
      <c r="BX1060" s="235">
        <f>IF(AB1060=0,0,BI1060+BJ1060+BK1060+BL1060+BM1060+BN1060+BO1060+BP1060+BQ1060+BR1060+BS1060+BT1060+BU1060+BV1060+BW1060)</f>
        <v>9211208.9499999993</v>
      </c>
      <c r="BY1060" s="271"/>
      <c r="BZ1060" s="271"/>
      <c r="CA1060" s="271"/>
      <c r="CB1060" s="271"/>
      <c r="CC1060" s="271">
        <v>10896539.15</v>
      </c>
      <c r="CD1060" s="271"/>
      <c r="CE1060" s="271"/>
      <c r="CF1060" s="271"/>
      <c r="CG1060" s="271"/>
      <c r="CH1060" s="271"/>
      <c r="CI1060" s="271"/>
      <c r="CJ1060" s="271"/>
      <c r="CK1060" s="271"/>
      <c r="CL1060" s="271"/>
      <c r="CM1060" s="271"/>
      <c r="CN1060" s="235">
        <f>IF(AG1060=0,0,(BY1060+BZ1060+CA1060+CB1060+CC1060+CD1060+CE1060+CF1060+CG1060+CH1060+CI1060+CJ1060+CK1060+CL1060+CM1060))</f>
        <v>10896539.15</v>
      </c>
      <c r="CO1060" s="271"/>
      <c r="CP1060" s="271"/>
      <c r="CQ1060" s="271"/>
      <c r="CR1060" s="271"/>
      <c r="CS1060" s="271">
        <v>12021167</v>
      </c>
      <c r="CT1060" s="271"/>
      <c r="CU1060" s="271"/>
      <c r="CV1060" s="271"/>
      <c r="CW1060" s="271"/>
      <c r="CX1060" s="271"/>
      <c r="CY1060" s="271"/>
      <c r="CZ1060" s="271"/>
      <c r="DA1060" s="271"/>
      <c r="DB1060" s="271"/>
      <c r="DC1060" s="271"/>
      <c r="DD1060" s="234">
        <f>IF(AL1060=0,0,(CO1060+CP1060+CQ1060+CR1060+CS1060+CT1060+CU1060+CV1060+CW1060+CX1060+CY1060+CZ1060+DA1060+DB1060+DC1060))</f>
        <v>12021167</v>
      </c>
      <c r="DE1060" s="244">
        <f t="shared" si="540"/>
        <v>39628915.099999994</v>
      </c>
    </row>
    <row r="1061" spans="1:110" s="98" customFormat="1" ht="119.1" customHeight="1">
      <c r="A1061" s="120" t="s">
        <v>1255</v>
      </c>
      <c r="B1061" s="281" t="s">
        <v>2051</v>
      </c>
      <c r="C1061" s="281" t="s">
        <v>2052</v>
      </c>
      <c r="D1061" s="281">
        <v>100</v>
      </c>
      <c r="E1061" s="281" t="s">
        <v>2189</v>
      </c>
      <c r="F1061" s="282" t="s">
        <v>523</v>
      </c>
      <c r="G1061" s="281" t="s">
        <v>2774</v>
      </c>
      <c r="H1061" s="281">
        <v>120</v>
      </c>
      <c r="I1061" s="281" t="s">
        <v>2190</v>
      </c>
      <c r="J1061" s="281" t="s">
        <v>677</v>
      </c>
      <c r="K1061" s="281">
        <v>100</v>
      </c>
      <c r="L1061" s="281">
        <v>100</v>
      </c>
      <c r="M1061" s="281" t="s">
        <v>2194</v>
      </c>
      <c r="N1061" s="281" t="s">
        <v>2195</v>
      </c>
      <c r="O1061" s="281" t="s">
        <v>2196</v>
      </c>
      <c r="P1061" s="283">
        <v>929</v>
      </c>
      <c r="Q1061" s="281" t="s">
        <v>3254</v>
      </c>
      <c r="R1061" s="281" t="s">
        <v>527</v>
      </c>
      <c r="S1061" s="281" t="s">
        <v>683</v>
      </c>
      <c r="T1061" s="281">
        <v>12</v>
      </c>
      <c r="U1061" s="275">
        <v>1</v>
      </c>
      <c r="V1061" s="275">
        <v>1</v>
      </c>
      <c r="W1061" s="225">
        <v>2</v>
      </c>
      <c r="X1061" s="275"/>
      <c r="Y1061" s="275"/>
      <c r="Z1061" s="275">
        <v>1</v>
      </c>
      <c r="AA1061" s="275">
        <v>1</v>
      </c>
      <c r="AB1061" s="225">
        <v>2</v>
      </c>
      <c r="AC1061" s="275"/>
      <c r="AD1061" s="275"/>
      <c r="AE1061" s="275">
        <v>1</v>
      </c>
      <c r="AF1061" s="275">
        <v>1</v>
      </c>
      <c r="AG1061" s="225">
        <v>2</v>
      </c>
      <c r="AH1061" s="275"/>
      <c r="AI1061" s="275">
        <v>1</v>
      </c>
      <c r="AJ1061" s="275">
        <v>1</v>
      </c>
      <c r="AK1061" s="275"/>
      <c r="AL1061" s="225">
        <v>2</v>
      </c>
      <c r="AM1061" s="119">
        <v>8</v>
      </c>
      <c r="AN1061" s="120" t="s">
        <v>685</v>
      </c>
      <c r="AO1061" s="120" t="s">
        <v>1212</v>
      </c>
      <c r="AP1061" s="120" t="s">
        <v>1229</v>
      </c>
      <c r="AQ1061" s="120" t="s">
        <v>2342</v>
      </c>
      <c r="AR1061" s="120" t="s">
        <v>951</v>
      </c>
      <c r="AS1061" s="276"/>
      <c r="AT1061" s="276"/>
      <c r="AU1061" s="276"/>
      <c r="AV1061" s="276"/>
      <c r="AW1061" s="276">
        <v>3000000</v>
      </c>
      <c r="AX1061" s="276"/>
      <c r="AY1061" s="276"/>
      <c r="AZ1061" s="276"/>
      <c r="BA1061" s="276"/>
      <c r="BB1061" s="276"/>
      <c r="BC1061" s="276"/>
      <c r="BD1061" s="276"/>
      <c r="BE1061" s="276"/>
      <c r="BF1061" s="276"/>
      <c r="BG1061" s="276"/>
      <c r="BH1061" s="236">
        <f>IF(W1061=0,0,BG1061+BF1061+BE1061+BD1061+BC1061+BB1061+BA1061+AZ1061+AY1061+AX1061+AW1061+AV1061+AU1061+AT1061+AS1061)</f>
        <v>3000000</v>
      </c>
      <c r="BI1061" s="276"/>
      <c r="BJ1061" s="276"/>
      <c r="BK1061" s="276"/>
      <c r="BL1061" s="276"/>
      <c r="BM1061" s="276">
        <v>3684483.4994370001</v>
      </c>
      <c r="BN1061" s="276"/>
      <c r="BO1061" s="276"/>
      <c r="BP1061" s="276"/>
      <c r="BQ1061" s="276"/>
      <c r="BR1061" s="276"/>
      <c r="BS1061" s="276"/>
      <c r="BT1061" s="276"/>
      <c r="BU1061" s="276"/>
      <c r="BV1061" s="276"/>
      <c r="BW1061" s="276"/>
      <c r="BX1061" s="236">
        <f>IF(AB1061=0,0,BI1061+BJ1061+BK1061+BL1061+BM1061+BN1061+BO1061+BP1061+BQ1061+BR1061+BS1061+BT1061+BU1061+BV1061+BW1061)</f>
        <v>3684483.4994370001</v>
      </c>
      <c r="BY1061" s="276"/>
      <c r="BZ1061" s="276"/>
      <c r="CA1061" s="276"/>
      <c r="CB1061" s="276"/>
      <c r="CC1061" s="276">
        <v>4358615.6880959868</v>
      </c>
      <c r="CD1061" s="276"/>
      <c r="CE1061" s="276"/>
      <c r="CF1061" s="276"/>
      <c r="CG1061" s="276"/>
      <c r="CH1061" s="276"/>
      <c r="CI1061" s="276"/>
      <c r="CJ1061" s="276"/>
      <c r="CK1061" s="276"/>
      <c r="CL1061" s="276"/>
      <c r="CM1061" s="276"/>
      <c r="CN1061" s="236">
        <f>IF(AG1061=0,0,(BY1061+BZ1061+CA1061+CB1061+CC1061+CD1061+CE1061+CF1061+CG1061+CH1061+CI1061+CJ1061+CK1061+CL1061+CM1061))</f>
        <v>4358615.6880959868</v>
      </c>
      <c r="CO1061" s="276"/>
      <c r="CP1061" s="276"/>
      <c r="CQ1061" s="276"/>
      <c r="CR1061" s="276"/>
      <c r="CS1061" s="276">
        <v>4808467.2222370207</v>
      </c>
      <c r="CT1061" s="276"/>
      <c r="CU1061" s="276"/>
      <c r="CV1061" s="276"/>
      <c r="CW1061" s="276"/>
      <c r="CX1061" s="276"/>
      <c r="CY1061" s="276"/>
      <c r="CZ1061" s="276"/>
      <c r="DA1061" s="276"/>
      <c r="DB1061" s="276"/>
      <c r="DC1061" s="276"/>
      <c r="DD1061" s="240">
        <f>IF(AL1061=0,0,(CO1061+CP1061+CQ1061+CR1061+CS1061+CT1061+CU1061+CV1061+CW1061+CX1061+CY1061+CZ1061+DA1061+DB1061+DC1061))</f>
        <v>4808467.2222370207</v>
      </c>
      <c r="DE1061" s="245">
        <f t="shared" si="540"/>
        <v>15851566.409770008</v>
      </c>
    </row>
    <row r="1062" spans="1:110" ht="65.099999999999994" customHeight="1">
      <c r="A1062" s="134" t="s">
        <v>1255</v>
      </c>
      <c r="B1062" s="134" t="s">
        <v>2051</v>
      </c>
      <c r="C1062" s="134" t="s">
        <v>2052</v>
      </c>
      <c r="D1062" s="134">
        <v>100</v>
      </c>
      <c r="E1062" s="134" t="s">
        <v>2189</v>
      </c>
      <c r="F1062" s="135"/>
      <c r="G1062" s="136"/>
      <c r="H1062" s="137"/>
      <c r="I1062" s="137"/>
      <c r="J1062" s="137"/>
      <c r="K1062" s="138"/>
      <c r="L1062" s="137"/>
      <c r="M1062" s="137"/>
      <c r="N1062" s="137"/>
      <c r="O1062" s="137"/>
      <c r="P1062" s="137"/>
      <c r="Q1062" s="136"/>
      <c r="R1062" s="139"/>
      <c r="S1062" s="137"/>
      <c r="T1062" s="137"/>
      <c r="U1062" s="140"/>
      <c r="V1062" s="140"/>
      <c r="W1062" s="138"/>
      <c r="X1062" s="140"/>
      <c r="Y1062" s="140"/>
      <c r="Z1062" s="140"/>
      <c r="AA1062" s="140"/>
      <c r="AB1062" s="138"/>
      <c r="AC1062" s="140"/>
      <c r="AD1062" s="140"/>
      <c r="AE1062" s="140"/>
      <c r="AF1062" s="140"/>
      <c r="AG1062" s="138"/>
      <c r="AH1062" s="140"/>
      <c r="AI1062" s="140"/>
      <c r="AJ1062" s="140"/>
      <c r="AK1062" s="140"/>
      <c r="AL1062" s="138"/>
      <c r="AM1062" s="141"/>
      <c r="AN1062" s="142"/>
      <c r="AO1062" s="142"/>
      <c r="AP1062" s="143"/>
      <c r="AQ1062" s="143"/>
      <c r="AR1062" s="144"/>
      <c r="AS1062" s="132">
        <f>SUM(AS1057:AS1061)</f>
        <v>0</v>
      </c>
      <c r="AT1062" s="132">
        <f t="shared" ref="AT1062:DE1062" si="541">SUM(AT1057:AT1061)</f>
        <v>0</v>
      </c>
      <c r="AU1062" s="132">
        <f t="shared" si="541"/>
        <v>0</v>
      </c>
      <c r="AV1062" s="132">
        <f t="shared" si="541"/>
        <v>0</v>
      </c>
      <c r="AW1062" s="132">
        <f t="shared" si="541"/>
        <v>150000000</v>
      </c>
      <c r="AX1062" s="132">
        <f t="shared" si="541"/>
        <v>0</v>
      </c>
      <c r="AY1062" s="132">
        <f t="shared" si="541"/>
        <v>0</v>
      </c>
      <c r="AZ1062" s="132">
        <f t="shared" si="541"/>
        <v>0</v>
      </c>
      <c r="BA1062" s="132">
        <f t="shared" si="541"/>
        <v>0</v>
      </c>
      <c r="BB1062" s="132">
        <f t="shared" si="541"/>
        <v>0</v>
      </c>
      <c r="BC1062" s="132">
        <f t="shared" si="541"/>
        <v>0</v>
      </c>
      <c r="BD1062" s="132">
        <f t="shared" si="541"/>
        <v>0</v>
      </c>
      <c r="BE1062" s="132">
        <f t="shared" si="541"/>
        <v>0</v>
      </c>
      <c r="BF1062" s="132">
        <f t="shared" si="541"/>
        <v>0</v>
      </c>
      <c r="BG1062" s="132">
        <f t="shared" si="541"/>
        <v>0</v>
      </c>
      <c r="BH1062" s="133">
        <f>IF(OR(AND(BH1057=0,W1057&lt;&gt;0),AND(BH1058=0,W1058&lt;&gt;0),AND(BH1059=0,W1059&lt;&gt;0),AND(BH1060=0,W1060&lt;&gt;0),AND(BH1061=0,W1061&lt;&gt;0)),"NO DEBEN QUEDAR CELDAS EN ROJO",SUM(BH1057:BH1061))</f>
        <v>150000000</v>
      </c>
      <c r="BI1062" s="132">
        <f t="shared" si="541"/>
        <v>0</v>
      </c>
      <c r="BJ1062" s="132">
        <f t="shared" si="541"/>
        <v>0</v>
      </c>
      <c r="BK1062" s="132">
        <f t="shared" si="541"/>
        <v>0</v>
      </c>
      <c r="BL1062" s="132">
        <f t="shared" si="541"/>
        <v>0</v>
      </c>
      <c r="BM1062" s="132">
        <f t="shared" si="541"/>
        <v>184224178.91943699</v>
      </c>
      <c r="BN1062" s="132">
        <f t="shared" si="541"/>
        <v>0</v>
      </c>
      <c r="BO1062" s="132">
        <f t="shared" si="541"/>
        <v>0</v>
      </c>
      <c r="BP1062" s="132">
        <f t="shared" si="541"/>
        <v>0</v>
      </c>
      <c r="BQ1062" s="132">
        <f t="shared" si="541"/>
        <v>0</v>
      </c>
      <c r="BR1062" s="132">
        <f t="shared" si="541"/>
        <v>0</v>
      </c>
      <c r="BS1062" s="132">
        <f t="shared" si="541"/>
        <v>0</v>
      </c>
      <c r="BT1062" s="132">
        <f t="shared" si="541"/>
        <v>0</v>
      </c>
      <c r="BU1062" s="132">
        <f t="shared" si="541"/>
        <v>0</v>
      </c>
      <c r="BV1062" s="132">
        <f t="shared" si="541"/>
        <v>0</v>
      </c>
      <c r="BW1062" s="132">
        <f t="shared" si="541"/>
        <v>0</v>
      </c>
      <c r="BX1062" s="133">
        <f>IF(OR(AND(BX1057=0,AB1057&lt;&gt;0),AND(BX1058=0,AB1058&lt;&gt;0),AND(BX1059=0,AB1059&lt;&gt;0),AND(BX1060=0,AB1060&lt;&gt;0),AND(BX1061=0,AB1061&lt;&gt;0)),"NO DEBEN QUEDAR CELDAS EN ROJO",SUM(BX1057:BX1061))</f>
        <v>184224178.91943699</v>
      </c>
      <c r="BY1062" s="132">
        <f t="shared" si="541"/>
        <v>0</v>
      </c>
      <c r="BZ1062" s="132">
        <f t="shared" si="541"/>
        <v>0</v>
      </c>
      <c r="CA1062" s="132">
        <f t="shared" si="541"/>
        <v>0</v>
      </c>
      <c r="CB1062" s="132">
        <f t="shared" si="541"/>
        <v>0</v>
      </c>
      <c r="CC1062" s="132">
        <f t="shared" si="541"/>
        <v>217930783.02809599</v>
      </c>
      <c r="CD1062" s="132">
        <f t="shared" si="541"/>
        <v>0</v>
      </c>
      <c r="CE1062" s="132">
        <f t="shared" si="541"/>
        <v>0</v>
      </c>
      <c r="CF1062" s="132">
        <f t="shared" si="541"/>
        <v>0</v>
      </c>
      <c r="CG1062" s="132">
        <f t="shared" si="541"/>
        <v>0</v>
      </c>
      <c r="CH1062" s="132">
        <f t="shared" si="541"/>
        <v>0</v>
      </c>
      <c r="CI1062" s="132">
        <f t="shared" si="541"/>
        <v>0</v>
      </c>
      <c r="CJ1062" s="132">
        <f t="shared" si="541"/>
        <v>0</v>
      </c>
      <c r="CK1062" s="132">
        <f t="shared" si="541"/>
        <v>0</v>
      </c>
      <c r="CL1062" s="132">
        <f t="shared" si="541"/>
        <v>0</v>
      </c>
      <c r="CM1062" s="132">
        <f t="shared" si="541"/>
        <v>0</v>
      </c>
      <c r="CN1062" s="133">
        <f>IF(OR(AND(CN1057=0,AG1057&lt;&gt;0),AND(CN1058=0,AG1058&lt;&gt;0),AND(CN1059=0,AG1059&lt;&gt;0),AND(CN1060=0,AG1060&lt;&gt;0),AND(CN1061=0,AG1061&lt;&gt;0)),"NO DEBEN QUEDAR CELDAS EN ROJO",SUM(CN1057:CN1061))</f>
        <v>217930783.02809599</v>
      </c>
      <c r="CO1062" s="132">
        <f t="shared" si="541"/>
        <v>0</v>
      </c>
      <c r="CP1062" s="132">
        <f t="shared" si="541"/>
        <v>0</v>
      </c>
      <c r="CQ1062" s="132">
        <f t="shared" si="541"/>
        <v>0</v>
      </c>
      <c r="CR1062" s="132">
        <f t="shared" si="541"/>
        <v>0</v>
      </c>
      <c r="CS1062" s="132">
        <f t="shared" si="541"/>
        <v>240423340.42223701</v>
      </c>
      <c r="CT1062" s="132">
        <f t="shared" si="541"/>
        <v>0</v>
      </c>
      <c r="CU1062" s="132">
        <f t="shared" si="541"/>
        <v>0</v>
      </c>
      <c r="CV1062" s="132">
        <f t="shared" si="541"/>
        <v>0</v>
      </c>
      <c r="CW1062" s="132">
        <f t="shared" si="541"/>
        <v>0</v>
      </c>
      <c r="CX1062" s="132">
        <f t="shared" si="541"/>
        <v>0</v>
      </c>
      <c r="CY1062" s="132">
        <f t="shared" si="541"/>
        <v>0</v>
      </c>
      <c r="CZ1062" s="132">
        <f t="shared" si="541"/>
        <v>0</v>
      </c>
      <c r="DA1062" s="132">
        <f t="shared" si="541"/>
        <v>0</v>
      </c>
      <c r="DB1062" s="132">
        <f t="shared" si="541"/>
        <v>0</v>
      </c>
      <c r="DC1062" s="132">
        <f t="shared" si="541"/>
        <v>0</v>
      </c>
      <c r="DD1062" s="133">
        <f>IF(OR(AND(DD1057=0,AL1057&lt;&gt;0),AND(DD1058=0,AL1058&lt;&gt;0),AND(DD1059=0,AL1059&lt;&gt;0),AND(DD1060=0,AL1060&lt;&gt;0),AND(DD1061=0,AL1061&lt;&gt;0)),"NO DEBEN QUEDAR CELDAS EN ROJO",SUM(DD1057:DD1061))</f>
        <v>240423340.42223701</v>
      </c>
      <c r="DE1062" s="133">
        <f t="shared" si="541"/>
        <v>792578302.36977005</v>
      </c>
      <c r="DF1062" s="101"/>
    </row>
    <row r="1063" spans="1:110" s="99" customFormat="1" ht="119.1" customHeight="1">
      <c r="A1063" s="103" t="s">
        <v>1256</v>
      </c>
      <c r="B1063" s="103" t="s">
        <v>2051</v>
      </c>
      <c r="C1063" s="103" t="s">
        <v>2052</v>
      </c>
      <c r="D1063" s="103">
        <v>101</v>
      </c>
      <c r="E1063" s="103" t="s">
        <v>2198</v>
      </c>
      <c r="F1063" s="278" t="s">
        <v>528</v>
      </c>
      <c r="G1063" s="103" t="s">
        <v>2991</v>
      </c>
      <c r="H1063" s="103">
        <v>121</v>
      </c>
      <c r="I1063" s="103" t="s">
        <v>529</v>
      </c>
      <c r="J1063" s="103" t="s">
        <v>677</v>
      </c>
      <c r="K1063" s="103">
        <v>0</v>
      </c>
      <c r="L1063" s="103">
        <v>50</v>
      </c>
      <c r="M1063" s="103" t="s">
        <v>2199</v>
      </c>
      <c r="N1063" s="103" t="s">
        <v>2200</v>
      </c>
      <c r="O1063" s="103" t="s">
        <v>2201</v>
      </c>
      <c r="P1063" s="283">
        <v>930</v>
      </c>
      <c r="Q1063" s="103" t="s">
        <v>2992</v>
      </c>
      <c r="R1063" s="103" t="s">
        <v>2202</v>
      </c>
      <c r="S1063" s="103" t="s">
        <v>683</v>
      </c>
      <c r="T1063" s="103">
        <v>0</v>
      </c>
      <c r="U1063" s="267"/>
      <c r="V1063" s="267">
        <v>1</v>
      </c>
      <c r="W1063" s="224">
        <v>1</v>
      </c>
      <c r="X1063" s="267"/>
      <c r="Y1063" s="267">
        <v>1</v>
      </c>
      <c r="Z1063" s="267"/>
      <c r="AA1063" s="267">
        <v>1</v>
      </c>
      <c r="AB1063" s="224">
        <v>2</v>
      </c>
      <c r="AC1063" s="267"/>
      <c r="AD1063" s="267">
        <v>1</v>
      </c>
      <c r="AE1063" s="267"/>
      <c r="AF1063" s="267">
        <v>1</v>
      </c>
      <c r="AG1063" s="224">
        <v>2</v>
      </c>
      <c r="AH1063" s="267"/>
      <c r="AI1063" s="267">
        <v>1</v>
      </c>
      <c r="AJ1063" s="267"/>
      <c r="AK1063" s="267"/>
      <c r="AL1063" s="224">
        <v>1</v>
      </c>
      <c r="AM1063" s="102">
        <v>6</v>
      </c>
      <c r="AN1063" s="103" t="s">
        <v>685</v>
      </c>
      <c r="AO1063" s="103" t="s">
        <v>1212</v>
      </c>
      <c r="AP1063" s="103" t="s">
        <v>1229</v>
      </c>
      <c r="AQ1063" s="103" t="s">
        <v>2342</v>
      </c>
      <c r="AR1063" s="103" t="s">
        <v>951</v>
      </c>
      <c r="AS1063" s="268"/>
      <c r="AT1063" s="268"/>
      <c r="AU1063" s="268"/>
      <c r="AV1063" s="268"/>
      <c r="AW1063" s="268">
        <v>15288000</v>
      </c>
      <c r="AX1063" s="268"/>
      <c r="AY1063" s="268"/>
      <c r="AZ1063" s="268"/>
      <c r="BA1063" s="268"/>
      <c r="BB1063" s="268"/>
      <c r="BC1063" s="268"/>
      <c r="BD1063" s="268"/>
      <c r="BE1063" s="268"/>
      <c r="BF1063" s="268"/>
      <c r="BG1063" s="268"/>
      <c r="BH1063" s="234">
        <f>IF(W1063=0,0,BG1063+BF1063+BE1063+BD1063+BC1063+BB1063+BA1063+AZ1063+AY1063+AX1063+AW1063+AV1063+AU1063+AT1063+AS1063)</f>
        <v>15288000</v>
      </c>
      <c r="BI1063" s="268"/>
      <c r="BJ1063" s="268"/>
      <c r="BK1063" s="268"/>
      <c r="BL1063" s="268"/>
      <c r="BM1063" s="268">
        <v>50000000</v>
      </c>
      <c r="BN1063" s="268"/>
      <c r="BO1063" s="268"/>
      <c r="BP1063" s="268"/>
      <c r="BQ1063" s="268"/>
      <c r="BR1063" s="268"/>
      <c r="BS1063" s="268"/>
      <c r="BT1063" s="268"/>
      <c r="BU1063" s="268"/>
      <c r="BV1063" s="268"/>
      <c r="BW1063" s="268"/>
      <c r="BX1063" s="234">
        <f>IF(AB1063=0,0,BI1063+BJ1063+BK1063+BL1063+BM1063+BN1063+BO1063+BP1063+BQ1063+BR1063+BS1063+BT1063+BU1063+BV1063+BW1063)</f>
        <v>50000000</v>
      </c>
      <c r="BY1063" s="268"/>
      <c r="BZ1063" s="268"/>
      <c r="CA1063" s="268"/>
      <c r="CB1063" s="268"/>
      <c r="CC1063" s="268">
        <v>55000000</v>
      </c>
      <c r="CD1063" s="268"/>
      <c r="CE1063" s="268"/>
      <c r="CF1063" s="268"/>
      <c r="CG1063" s="268"/>
      <c r="CH1063" s="268"/>
      <c r="CI1063" s="268"/>
      <c r="CJ1063" s="268"/>
      <c r="CK1063" s="268"/>
      <c r="CL1063" s="268"/>
      <c r="CM1063" s="268"/>
      <c r="CN1063" s="234">
        <f>IF(AG1063=0,0,(BY1063+BZ1063+CA1063+CB1063+CC1063+CD1063+CE1063+CF1063+CG1063+CH1063+CI1063+CJ1063+CK1063+CL1063+CM1063))</f>
        <v>55000000</v>
      </c>
      <c r="CO1063" s="268"/>
      <c r="CP1063" s="268"/>
      <c r="CQ1063" s="268"/>
      <c r="CR1063" s="268"/>
      <c r="CS1063" s="268">
        <v>60000000</v>
      </c>
      <c r="CT1063" s="268"/>
      <c r="CU1063" s="268"/>
      <c r="CV1063" s="268"/>
      <c r="CW1063" s="268"/>
      <c r="CX1063" s="268"/>
      <c r="CY1063" s="268"/>
      <c r="CZ1063" s="268"/>
      <c r="DA1063" s="268"/>
      <c r="DB1063" s="268"/>
      <c r="DC1063" s="268"/>
      <c r="DD1063" s="234">
        <f>IF(AL1063=0,0,(CO1063+CP1063+CQ1063+CR1063+CS1063+CT1063+CU1063+CV1063+CW1063+CX1063+CY1063+CZ1063+DA1063+DB1063+DC1063))</f>
        <v>60000000</v>
      </c>
      <c r="DE1063" s="243">
        <f t="shared" ref="DE1063:DE1066" si="542">SUM(DD1063+CN1063+BX1063+BH1063)</f>
        <v>180288000</v>
      </c>
    </row>
    <row r="1064" spans="1:110" s="99" customFormat="1" ht="119.1" customHeight="1">
      <c r="A1064" s="103" t="s">
        <v>1256</v>
      </c>
      <c r="B1064" s="279" t="s">
        <v>2051</v>
      </c>
      <c r="C1064" s="279" t="s">
        <v>2052</v>
      </c>
      <c r="D1064" s="279">
        <v>101</v>
      </c>
      <c r="E1064" s="279" t="s">
        <v>2198</v>
      </c>
      <c r="F1064" s="280" t="s">
        <v>528</v>
      </c>
      <c r="G1064" s="279" t="s">
        <v>2991</v>
      </c>
      <c r="H1064" s="279">
        <v>121</v>
      </c>
      <c r="I1064" s="279" t="s">
        <v>529</v>
      </c>
      <c r="J1064" s="279" t="s">
        <v>677</v>
      </c>
      <c r="K1064" s="279">
        <v>0</v>
      </c>
      <c r="L1064" s="279">
        <v>50</v>
      </c>
      <c r="M1064" s="279" t="s">
        <v>2199</v>
      </c>
      <c r="N1064" s="279" t="s">
        <v>2200</v>
      </c>
      <c r="O1064" s="279" t="s">
        <v>2201</v>
      </c>
      <c r="P1064" s="283">
        <v>931</v>
      </c>
      <c r="Q1064" s="279" t="s">
        <v>3804</v>
      </c>
      <c r="R1064" s="279" t="s">
        <v>2203</v>
      </c>
      <c r="S1064" s="279" t="s">
        <v>683</v>
      </c>
      <c r="T1064" s="279">
        <v>0</v>
      </c>
      <c r="U1064" s="267"/>
      <c r="V1064" s="267"/>
      <c r="W1064" s="224">
        <v>0</v>
      </c>
      <c r="X1064" s="267"/>
      <c r="Y1064" s="267"/>
      <c r="Z1064" s="267">
        <v>0.5</v>
      </c>
      <c r="AA1064" s="267">
        <v>0.5</v>
      </c>
      <c r="AB1064" s="224">
        <v>1</v>
      </c>
      <c r="AC1064" s="267"/>
      <c r="AD1064" s="267"/>
      <c r="AE1064" s="267"/>
      <c r="AF1064" s="267"/>
      <c r="AG1064" s="224">
        <v>0</v>
      </c>
      <c r="AH1064" s="267"/>
      <c r="AI1064" s="267"/>
      <c r="AJ1064" s="267"/>
      <c r="AK1064" s="267"/>
      <c r="AL1064" s="224">
        <v>0</v>
      </c>
      <c r="AM1064" s="104">
        <v>1</v>
      </c>
      <c r="AN1064" s="103" t="s">
        <v>685</v>
      </c>
      <c r="AO1064" s="103" t="s">
        <v>1212</v>
      </c>
      <c r="AP1064" s="103" t="s">
        <v>1229</v>
      </c>
      <c r="AQ1064" s="103" t="s">
        <v>2342</v>
      </c>
      <c r="AR1064" s="103" t="s">
        <v>951</v>
      </c>
      <c r="AS1064" s="271"/>
      <c r="AT1064" s="271"/>
      <c r="AU1064" s="271"/>
      <c r="AV1064" s="271"/>
      <c r="AW1064" s="271"/>
      <c r="AX1064" s="271"/>
      <c r="AY1064" s="271"/>
      <c r="AZ1064" s="271"/>
      <c r="BA1064" s="271"/>
      <c r="BB1064" s="271"/>
      <c r="BC1064" s="271"/>
      <c r="BD1064" s="271"/>
      <c r="BE1064" s="271"/>
      <c r="BF1064" s="271"/>
      <c r="BG1064" s="271"/>
      <c r="BH1064" s="235">
        <f>IF(W1064=0,0,BG1064+BF1064+BE1064+BD1064+BC1064+BB1064+BA1064+AZ1064+AY1064+AX1064+AW1064+AV1064+AU1064+AT1064+AS1064)</f>
        <v>0</v>
      </c>
      <c r="BI1064" s="271"/>
      <c r="BJ1064" s="271"/>
      <c r="BK1064" s="271"/>
      <c r="BL1064" s="271"/>
      <c r="BM1064" s="271">
        <v>20000000</v>
      </c>
      <c r="BN1064" s="271"/>
      <c r="BO1064" s="271"/>
      <c r="BP1064" s="271"/>
      <c r="BQ1064" s="271"/>
      <c r="BR1064" s="271"/>
      <c r="BS1064" s="271"/>
      <c r="BT1064" s="271"/>
      <c r="BU1064" s="271"/>
      <c r="BV1064" s="271"/>
      <c r="BW1064" s="271"/>
      <c r="BX1064" s="235">
        <f>IF(AB1064=0,0,BI1064+BJ1064+BK1064+BL1064+BM1064+BN1064+BO1064+BP1064+BQ1064+BR1064+BS1064+BT1064+BU1064+BV1064+BW1064)</f>
        <v>20000000</v>
      </c>
      <c r="BY1064" s="271"/>
      <c r="BZ1064" s="271"/>
      <c r="CA1064" s="271"/>
      <c r="CB1064" s="271"/>
      <c r="CC1064" s="271"/>
      <c r="CD1064" s="271"/>
      <c r="CE1064" s="271"/>
      <c r="CF1064" s="271"/>
      <c r="CG1064" s="271"/>
      <c r="CH1064" s="271"/>
      <c r="CI1064" s="271"/>
      <c r="CJ1064" s="271"/>
      <c r="CK1064" s="271"/>
      <c r="CL1064" s="271"/>
      <c r="CM1064" s="271"/>
      <c r="CN1064" s="235">
        <f>IF(AG1064=0,0,(BY1064+BZ1064+CA1064+CB1064+CC1064+CD1064+CE1064+CF1064+CG1064+CH1064+CI1064+CJ1064+CK1064+CL1064+CM1064))</f>
        <v>0</v>
      </c>
      <c r="CO1064" s="271"/>
      <c r="CP1064" s="271"/>
      <c r="CQ1064" s="271"/>
      <c r="CR1064" s="271"/>
      <c r="CS1064" s="271"/>
      <c r="CT1064" s="271"/>
      <c r="CU1064" s="271"/>
      <c r="CV1064" s="271"/>
      <c r="CW1064" s="271"/>
      <c r="CX1064" s="271"/>
      <c r="CY1064" s="271"/>
      <c r="CZ1064" s="271"/>
      <c r="DA1064" s="271"/>
      <c r="DB1064" s="271"/>
      <c r="DC1064" s="271"/>
      <c r="DD1064" s="234">
        <f>IF(AL1064=0,0,(CO1064+CP1064+CQ1064+CR1064+CS1064+CT1064+CU1064+CV1064+CW1064+CX1064+CY1064+CZ1064+DA1064+DB1064+DC1064))</f>
        <v>0</v>
      </c>
      <c r="DE1064" s="244">
        <f t="shared" si="542"/>
        <v>20000000</v>
      </c>
    </row>
    <row r="1065" spans="1:110" s="99" customFormat="1" ht="119.1" customHeight="1">
      <c r="A1065" s="103" t="s">
        <v>1256</v>
      </c>
      <c r="B1065" s="279" t="s">
        <v>2051</v>
      </c>
      <c r="C1065" s="279" t="s">
        <v>2052</v>
      </c>
      <c r="D1065" s="279">
        <v>101</v>
      </c>
      <c r="E1065" s="279" t="s">
        <v>2198</v>
      </c>
      <c r="F1065" s="280" t="s">
        <v>528</v>
      </c>
      <c r="G1065" s="279" t="s">
        <v>3789</v>
      </c>
      <c r="H1065" s="279">
        <v>121</v>
      </c>
      <c r="I1065" s="279" t="s">
        <v>529</v>
      </c>
      <c r="J1065" s="279" t="s">
        <v>677</v>
      </c>
      <c r="K1065" s="279">
        <v>0</v>
      </c>
      <c r="L1065" s="279">
        <v>50</v>
      </c>
      <c r="M1065" s="279" t="s">
        <v>2199</v>
      </c>
      <c r="N1065" s="279" t="s">
        <v>2200</v>
      </c>
      <c r="O1065" s="279" t="s">
        <v>2201</v>
      </c>
      <c r="P1065" s="283">
        <v>932</v>
      </c>
      <c r="Q1065" s="279" t="s">
        <v>3805</v>
      </c>
      <c r="R1065" s="279" t="s">
        <v>2203</v>
      </c>
      <c r="S1065" s="279" t="s">
        <v>683</v>
      </c>
      <c r="T1065" s="279">
        <v>1</v>
      </c>
      <c r="U1065" s="267"/>
      <c r="V1065" s="267"/>
      <c r="W1065" s="224">
        <v>0</v>
      </c>
      <c r="X1065" s="267"/>
      <c r="Y1065" s="267"/>
      <c r="Z1065" s="267"/>
      <c r="AA1065" s="267"/>
      <c r="AB1065" s="224">
        <v>0</v>
      </c>
      <c r="AC1065" s="267">
        <v>0.25</v>
      </c>
      <c r="AD1065" s="267">
        <v>0.25</v>
      </c>
      <c r="AE1065" s="267">
        <v>0.25</v>
      </c>
      <c r="AF1065" s="267">
        <v>0.25</v>
      </c>
      <c r="AG1065" s="224">
        <v>1</v>
      </c>
      <c r="AH1065" s="267">
        <v>0.25</v>
      </c>
      <c r="AI1065" s="267">
        <v>0.25</v>
      </c>
      <c r="AJ1065" s="267">
        <v>0.25</v>
      </c>
      <c r="AK1065" s="267">
        <v>0.25</v>
      </c>
      <c r="AL1065" s="224">
        <v>1</v>
      </c>
      <c r="AM1065" s="104">
        <v>1</v>
      </c>
      <c r="AN1065" s="103" t="s">
        <v>686</v>
      </c>
      <c r="AO1065" s="103" t="s">
        <v>1212</v>
      </c>
      <c r="AP1065" s="103" t="s">
        <v>1229</v>
      </c>
      <c r="AQ1065" s="103" t="s">
        <v>2342</v>
      </c>
      <c r="AR1065" s="103" t="s">
        <v>951</v>
      </c>
      <c r="AS1065" s="271"/>
      <c r="AT1065" s="271"/>
      <c r="AU1065" s="271"/>
      <c r="AV1065" s="271"/>
      <c r="AW1065" s="271"/>
      <c r="AX1065" s="271"/>
      <c r="AY1065" s="271"/>
      <c r="AZ1065" s="271"/>
      <c r="BA1065" s="271"/>
      <c r="BB1065" s="271"/>
      <c r="BC1065" s="271"/>
      <c r="BD1065" s="271"/>
      <c r="BE1065" s="271"/>
      <c r="BF1065" s="271"/>
      <c r="BG1065" s="271"/>
      <c r="BH1065" s="235">
        <f>IF(W1065=0,0,BG1065+BF1065+BE1065+BD1065+BC1065+BB1065+BA1065+AZ1065+AY1065+AX1065+AW1065+AV1065+AU1065+AT1065+AS1065)</f>
        <v>0</v>
      </c>
      <c r="BI1065" s="271"/>
      <c r="BJ1065" s="271"/>
      <c r="BK1065" s="271"/>
      <c r="BL1065" s="271"/>
      <c r="BM1065" s="307"/>
      <c r="BN1065" s="271"/>
      <c r="BO1065" s="271"/>
      <c r="BP1065" s="271"/>
      <c r="BQ1065" s="271"/>
      <c r="BR1065" s="271"/>
      <c r="BS1065" s="271"/>
      <c r="BT1065" s="271"/>
      <c r="BU1065" s="271"/>
      <c r="BV1065" s="271"/>
      <c r="BW1065" s="271"/>
      <c r="BX1065" s="235">
        <f>IF(AB1065=0,0,BI1065+BJ1065+BK1065+BL1065+BM1064+BN1065+BO1065+BP1065+BQ1065+BR1065+BS1065+BT1065+BU1065+BV1065+BW1065)</f>
        <v>0</v>
      </c>
      <c r="BY1065" s="271"/>
      <c r="BZ1065" s="271"/>
      <c r="CA1065" s="271"/>
      <c r="CB1065" s="271"/>
      <c r="CC1065" s="271">
        <v>35000000</v>
      </c>
      <c r="CD1065" s="271"/>
      <c r="CE1065" s="271"/>
      <c r="CF1065" s="271"/>
      <c r="CG1065" s="271"/>
      <c r="CH1065" s="271"/>
      <c r="CI1065" s="271"/>
      <c r="CJ1065" s="271"/>
      <c r="CK1065" s="271"/>
      <c r="CL1065" s="271"/>
      <c r="CM1065" s="271"/>
      <c r="CN1065" s="235">
        <f>IF(AG1065=0,0,(BY1065+BZ1065+CA1065+CB1065+CC1065+CD1065+CE1065+CF1065+CG1065+CH1065+CI1065+CJ1065+CK1065+CL1065+CM1065))</f>
        <v>35000000</v>
      </c>
      <c r="CO1065" s="271"/>
      <c r="CP1065" s="271"/>
      <c r="CQ1065" s="271"/>
      <c r="CR1065" s="271"/>
      <c r="CS1065" s="271">
        <v>40000000</v>
      </c>
      <c r="CT1065" s="271"/>
      <c r="CU1065" s="271"/>
      <c r="CV1065" s="271"/>
      <c r="CW1065" s="271"/>
      <c r="CX1065" s="271"/>
      <c r="CY1065" s="271"/>
      <c r="CZ1065" s="271"/>
      <c r="DA1065" s="271"/>
      <c r="DB1065" s="271"/>
      <c r="DC1065" s="271"/>
      <c r="DD1065" s="234">
        <f>IF(AL1065=0,0,(CO1065+CP1065+CQ1065+CR1065+CS1065+CT1065+CU1065+CV1065+CW1065+CX1065+CY1065+CZ1065+DA1065+DB1065+DC1065))</f>
        <v>40000000</v>
      </c>
      <c r="DE1065" s="244">
        <f t="shared" si="542"/>
        <v>75000000</v>
      </c>
    </row>
    <row r="1066" spans="1:110" s="99" customFormat="1" ht="119.1" customHeight="1">
      <c r="A1066" s="120" t="s">
        <v>1256</v>
      </c>
      <c r="B1066" s="281" t="s">
        <v>2051</v>
      </c>
      <c r="C1066" s="281" t="s">
        <v>2052</v>
      </c>
      <c r="D1066" s="281">
        <v>101</v>
      </c>
      <c r="E1066" s="281" t="s">
        <v>2198</v>
      </c>
      <c r="F1066" s="282" t="s">
        <v>528</v>
      </c>
      <c r="G1066" s="281" t="s">
        <v>3790</v>
      </c>
      <c r="H1066" s="281">
        <v>122</v>
      </c>
      <c r="I1066" s="281" t="s">
        <v>2204</v>
      </c>
      <c r="J1066" s="281" t="s">
        <v>677</v>
      </c>
      <c r="K1066" s="281">
        <v>0</v>
      </c>
      <c r="L1066" s="281">
        <v>100</v>
      </c>
      <c r="M1066" s="281" t="s">
        <v>2205</v>
      </c>
      <c r="N1066" s="281" t="s">
        <v>2206</v>
      </c>
      <c r="O1066" s="281" t="s">
        <v>2207</v>
      </c>
      <c r="P1066" s="283">
        <v>933</v>
      </c>
      <c r="Q1066" s="281" t="s">
        <v>2993</v>
      </c>
      <c r="R1066" s="281" t="s">
        <v>530</v>
      </c>
      <c r="S1066" s="281" t="s">
        <v>677</v>
      </c>
      <c r="T1066" s="281">
        <v>100</v>
      </c>
      <c r="U1066" s="275">
        <v>50</v>
      </c>
      <c r="V1066" s="275">
        <v>50</v>
      </c>
      <c r="W1066" s="225">
        <v>100</v>
      </c>
      <c r="X1066" s="275">
        <v>25</v>
      </c>
      <c r="Y1066" s="275">
        <v>25</v>
      </c>
      <c r="Z1066" s="275">
        <v>25</v>
      </c>
      <c r="AA1066" s="275">
        <v>25</v>
      </c>
      <c r="AB1066" s="225">
        <v>100</v>
      </c>
      <c r="AC1066" s="275">
        <v>25</v>
      </c>
      <c r="AD1066" s="275">
        <v>25</v>
      </c>
      <c r="AE1066" s="275">
        <v>25</v>
      </c>
      <c r="AF1066" s="275">
        <v>25</v>
      </c>
      <c r="AG1066" s="225">
        <v>100</v>
      </c>
      <c r="AH1066" s="275">
        <v>25</v>
      </c>
      <c r="AI1066" s="275">
        <v>25</v>
      </c>
      <c r="AJ1066" s="275">
        <v>25</v>
      </c>
      <c r="AK1066" s="275">
        <v>25</v>
      </c>
      <c r="AL1066" s="225">
        <v>100</v>
      </c>
      <c r="AM1066" s="119">
        <v>100</v>
      </c>
      <c r="AN1066" s="120" t="s">
        <v>686</v>
      </c>
      <c r="AO1066" s="120" t="s">
        <v>1212</v>
      </c>
      <c r="AP1066" s="120" t="s">
        <v>1229</v>
      </c>
      <c r="AQ1066" s="120" t="s">
        <v>2342</v>
      </c>
      <c r="AR1066" s="120" t="s">
        <v>951</v>
      </c>
      <c r="AS1066" s="276"/>
      <c r="AT1066" s="276"/>
      <c r="AU1066" s="276"/>
      <c r="AV1066" s="276"/>
      <c r="AW1066" s="276">
        <v>134712000</v>
      </c>
      <c r="AX1066" s="276"/>
      <c r="AY1066" s="276"/>
      <c r="AZ1066" s="276"/>
      <c r="BA1066" s="276"/>
      <c r="BB1066" s="276"/>
      <c r="BC1066" s="276"/>
      <c r="BD1066" s="276"/>
      <c r="BE1066" s="276"/>
      <c r="BF1066" s="276"/>
      <c r="BG1066" s="276"/>
      <c r="BH1066" s="236">
        <f>IF(W1066=0,0,BG1066+BF1066+BE1066+BD1066+BC1066+BB1066+BA1066+AZ1066+AY1066+AX1066+AW1066+AV1066+AU1066+AT1066+AS1066)</f>
        <v>134712000</v>
      </c>
      <c r="BI1066" s="276"/>
      <c r="BJ1066" s="276"/>
      <c r="BK1066" s="276"/>
      <c r="BL1066" s="276"/>
      <c r="BM1066" s="276">
        <v>114224178.91943699</v>
      </c>
      <c r="BN1066" s="276"/>
      <c r="BO1066" s="276"/>
      <c r="BP1066" s="276"/>
      <c r="BQ1066" s="276"/>
      <c r="BR1066" s="276"/>
      <c r="BS1066" s="276"/>
      <c r="BT1066" s="276"/>
      <c r="BU1066" s="276"/>
      <c r="BV1066" s="276"/>
      <c r="BW1066" s="276"/>
      <c r="BX1066" s="236">
        <f>IF(AB1066=0,0,BI1066+BJ1066+BK1066+BL1066+BM1066+BN1066+BO1066+BP1066+BQ1066+BR1066+BS1066+BT1066+BU1066+BV1066+BW1066)</f>
        <v>114224178.91943699</v>
      </c>
      <c r="BY1066" s="276"/>
      <c r="BZ1066" s="276"/>
      <c r="CA1066" s="276"/>
      <c r="CB1066" s="276"/>
      <c r="CC1066" s="276">
        <v>127930783.02809601</v>
      </c>
      <c r="CD1066" s="276"/>
      <c r="CE1066" s="276"/>
      <c r="CF1066" s="276"/>
      <c r="CG1066" s="276"/>
      <c r="CH1066" s="276"/>
      <c r="CI1066" s="276"/>
      <c r="CJ1066" s="276"/>
      <c r="CK1066" s="276"/>
      <c r="CL1066" s="276"/>
      <c r="CM1066" s="276"/>
      <c r="CN1066" s="236">
        <f>IF(AG1066=0,0,(BY1066+BZ1066+CA1066+CB1066+CC1066+CD1066+CE1066+CF1066+CG1066+CH1066+CI1066+CJ1066+CK1066+CL1066+CM1066))</f>
        <v>127930783.02809601</v>
      </c>
      <c r="CO1066" s="276"/>
      <c r="CP1066" s="276"/>
      <c r="CQ1066" s="276"/>
      <c r="CR1066" s="276"/>
      <c r="CS1066" s="276">
        <v>140423340.42223701</v>
      </c>
      <c r="CT1066" s="276"/>
      <c r="CU1066" s="276"/>
      <c r="CV1066" s="276"/>
      <c r="CW1066" s="276"/>
      <c r="CX1066" s="276"/>
      <c r="CY1066" s="276"/>
      <c r="CZ1066" s="276"/>
      <c r="DA1066" s="276"/>
      <c r="DB1066" s="276"/>
      <c r="DC1066" s="276"/>
      <c r="DD1066" s="240">
        <f>IF(AL1066=0,0,(CO1066+CP1066+CQ1066+CR1066+CS1066+CT1066+CU1066+CV1066+CW1066+CX1066+CY1066+CZ1066+DA1066+DB1066+DC1066))</f>
        <v>140423340.42223701</v>
      </c>
      <c r="DE1066" s="245">
        <f t="shared" si="542"/>
        <v>517290302.36976999</v>
      </c>
    </row>
    <row r="1067" spans="1:110" s="46" customFormat="1" ht="65.099999999999994" customHeight="1">
      <c r="A1067" s="134" t="s">
        <v>1256</v>
      </c>
      <c r="B1067" s="134" t="s">
        <v>2051</v>
      </c>
      <c r="C1067" s="134" t="s">
        <v>2052</v>
      </c>
      <c r="D1067" s="148">
        <v>101</v>
      </c>
      <c r="E1067" s="148" t="s">
        <v>2198</v>
      </c>
      <c r="F1067" s="149"/>
      <c r="G1067" s="150"/>
      <c r="H1067" s="151"/>
      <c r="I1067" s="151"/>
      <c r="J1067" s="151"/>
      <c r="K1067" s="152"/>
      <c r="L1067" s="151"/>
      <c r="M1067" s="151"/>
      <c r="N1067" s="151"/>
      <c r="O1067" s="151"/>
      <c r="P1067" s="151"/>
      <c r="Q1067" s="150"/>
      <c r="R1067" s="153"/>
      <c r="S1067" s="151"/>
      <c r="T1067" s="151"/>
      <c r="U1067" s="154"/>
      <c r="V1067" s="154"/>
      <c r="W1067" s="152"/>
      <c r="X1067" s="154"/>
      <c r="Y1067" s="154"/>
      <c r="Z1067" s="154"/>
      <c r="AA1067" s="154"/>
      <c r="AB1067" s="152"/>
      <c r="AC1067" s="154"/>
      <c r="AD1067" s="154"/>
      <c r="AE1067" s="154"/>
      <c r="AF1067" s="154"/>
      <c r="AG1067" s="152"/>
      <c r="AH1067" s="154"/>
      <c r="AI1067" s="154"/>
      <c r="AJ1067" s="154"/>
      <c r="AK1067" s="154"/>
      <c r="AL1067" s="152"/>
      <c r="AM1067" s="155"/>
      <c r="AN1067" s="156"/>
      <c r="AO1067" s="156"/>
      <c r="AP1067" s="157"/>
      <c r="AQ1067" s="157"/>
      <c r="AR1067" s="158"/>
      <c r="AS1067" s="132">
        <f>SUM(AS1063:AS1066)</f>
        <v>0</v>
      </c>
      <c r="AT1067" s="132">
        <f t="shared" ref="AT1067:DE1067" si="543">SUM(AT1063:AT1066)</f>
        <v>0</v>
      </c>
      <c r="AU1067" s="132">
        <f t="shared" si="543"/>
        <v>0</v>
      </c>
      <c r="AV1067" s="132">
        <f t="shared" si="543"/>
        <v>0</v>
      </c>
      <c r="AW1067" s="132">
        <f t="shared" si="543"/>
        <v>150000000</v>
      </c>
      <c r="AX1067" s="132">
        <f t="shared" si="543"/>
        <v>0</v>
      </c>
      <c r="AY1067" s="132">
        <f t="shared" si="543"/>
        <v>0</v>
      </c>
      <c r="AZ1067" s="132">
        <f t="shared" si="543"/>
        <v>0</v>
      </c>
      <c r="BA1067" s="132">
        <f t="shared" si="543"/>
        <v>0</v>
      </c>
      <c r="BB1067" s="132">
        <f t="shared" si="543"/>
        <v>0</v>
      </c>
      <c r="BC1067" s="132">
        <f t="shared" si="543"/>
        <v>0</v>
      </c>
      <c r="BD1067" s="132">
        <f t="shared" si="543"/>
        <v>0</v>
      </c>
      <c r="BE1067" s="132">
        <f t="shared" si="543"/>
        <v>0</v>
      </c>
      <c r="BF1067" s="132">
        <f t="shared" si="543"/>
        <v>0</v>
      </c>
      <c r="BG1067" s="132">
        <f t="shared" si="543"/>
        <v>0</v>
      </c>
      <c r="BH1067" s="133">
        <f>IF(OR(AND(BH1063=0,W1063&lt;&gt;0),AND(BH1064=0,W1064&lt;&gt;0),AND(BH1065=0,W1065&lt;&gt;0),AND(BH1066=0,W1066&lt;&gt;0)),"NO DEBEN QUEDAR CELDAS EN ROJO",SUM(BH1063:BH1066))</f>
        <v>150000000</v>
      </c>
      <c r="BI1067" s="132">
        <f t="shared" si="543"/>
        <v>0</v>
      </c>
      <c r="BJ1067" s="132">
        <f t="shared" si="543"/>
        <v>0</v>
      </c>
      <c r="BK1067" s="132">
        <f t="shared" si="543"/>
        <v>0</v>
      </c>
      <c r="BL1067" s="132">
        <f t="shared" si="543"/>
        <v>0</v>
      </c>
      <c r="BM1067" s="132">
        <f t="shared" si="543"/>
        <v>184224178.91943699</v>
      </c>
      <c r="BN1067" s="132">
        <f t="shared" si="543"/>
        <v>0</v>
      </c>
      <c r="BO1067" s="132">
        <f t="shared" si="543"/>
        <v>0</v>
      </c>
      <c r="BP1067" s="132">
        <f t="shared" si="543"/>
        <v>0</v>
      </c>
      <c r="BQ1067" s="132">
        <f t="shared" si="543"/>
        <v>0</v>
      </c>
      <c r="BR1067" s="132">
        <f t="shared" si="543"/>
        <v>0</v>
      </c>
      <c r="BS1067" s="132">
        <f t="shared" si="543"/>
        <v>0</v>
      </c>
      <c r="BT1067" s="132">
        <f t="shared" si="543"/>
        <v>0</v>
      </c>
      <c r="BU1067" s="132">
        <f t="shared" si="543"/>
        <v>0</v>
      </c>
      <c r="BV1067" s="132">
        <f t="shared" si="543"/>
        <v>0</v>
      </c>
      <c r="BW1067" s="132">
        <f t="shared" si="543"/>
        <v>0</v>
      </c>
      <c r="BX1067" s="133">
        <f>IF(OR(AND(BX1063=0,AB1063&lt;&gt;0),AND(BH1064=0,W1064&lt;&gt;0),AND(BX1065=0,AB1065&lt;&gt;0),AND(BX1066=0,AB1066&lt;&gt;0)),"NO DEBEN QUEDAR CELDAS EN ROJO",SUM(BX1063:BX1066))</f>
        <v>184224178.91943699</v>
      </c>
      <c r="BY1067" s="132">
        <f t="shared" si="543"/>
        <v>0</v>
      </c>
      <c r="BZ1067" s="132">
        <f t="shared" si="543"/>
        <v>0</v>
      </c>
      <c r="CA1067" s="132">
        <f t="shared" si="543"/>
        <v>0</v>
      </c>
      <c r="CB1067" s="132">
        <f t="shared" si="543"/>
        <v>0</v>
      </c>
      <c r="CC1067" s="132">
        <f t="shared" si="543"/>
        <v>217930783.02809602</v>
      </c>
      <c r="CD1067" s="132">
        <f t="shared" si="543"/>
        <v>0</v>
      </c>
      <c r="CE1067" s="132">
        <f t="shared" si="543"/>
        <v>0</v>
      </c>
      <c r="CF1067" s="132">
        <f t="shared" si="543"/>
        <v>0</v>
      </c>
      <c r="CG1067" s="132">
        <f t="shared" si="543"/>
        <v>0</v>
      </c>
      <c r="CH1067" s="132">
        <f t="shared" si="543"/>
        <v>0</v>
      </c>
      <c r="CI1067" s="132">
        <f t="shared" si="543"/>
        <v>0</v>
      </c>
      <c r="CJ1067" s="132">
        <f t="shared" si="543"/>
        <v>0</v>
      </c>
      <c r="CK1067" s="132">
        <f t="shared" si="543"/>
        <v>0</v>
      </c>
      <c r="CL1067" s="132">
        <f t="shared" si="543"/>
        <v>0</v>
      </c>
      <c r="CM1067" s="132">
        <f t="shared" si="543"/>
        <v>0</v>
      </c>
      <c r="CN1067" s="133">
        <f>IF(OR(AND(CN1063=0,AG1063&lt;&gt;0),AND(BH1064=0,W1064&lt;&gt;0),AND(CN1065=0,AG1065&lt;&gt;0),AND(CN1066=0,AG1066&lt;&gt;0)),"NO DEBEN QUEDAR CELDAS EN ROJO",SUM(CN1063:CN1066))</f>
        <v>217930783.02809602</v>
      </c>
      <c r="CO1067" s="132">
        <f t="shared" si="543"/>
        <v>0</v>
      </c>
      <c r="CP1067" s="132">
        <f t="shared" si="543"/>
        <v>0</v>
      </c>
      <c r="CQ1067" s="132">
        <f t="shared" si="543"/>
        <v>0</v>
      </c>
      <c r="CR1067" s="132">
        <f t="shared" si="543"/>
        <v>0</v>
      </c>
      <c r="CS1067" s="132">
        <f t="shared" si="543"/>
        <v>240423340.42223701</v>
      </c>
      <c r="CT1067" s="132">
        <f t="shared" si="543"/>
        <v>0</v>
      </c>
      <c r="CU1067" s="132">
        <f t="shared" si="543"/>
        <v>0</v>
      </c>
      <c r="CV1067" s="132">
        <f t="shared" si="543"/>
        <v>0</v>
      </c>
      <c r="CW1067" s="132">
        <f t="shared" si="543"/>
        <v>0</v>
      </c>
      <c r="CX1067" s="132">
        <f t="shared" si="543"/>
        <v>0</v>
      </c>
      <c r="CY1067" s="132">
        <f t="shared" si="543"/>
        <v>0</v>
      </c>
      <c r="CZ1067" s="132">
        <f t="shared" si="543"/>
        <v>0</v>
      </c>
      <c r="DA1067" s="132">
        <f t="shared" si="543"/>
        <v>0</v>
      </c>
      <c r="DB1067" s="132">
        <f t="shared" si="543"/>
        <v>0</v>
      </c>
      <c r="DC1067" s="132">
        <f t="shared" si="543"/>
        <v>0</v>
      </c>
      <c r="DD1067" s="133">
        <f>IF(OR(AND(DD1063=0,AL1063&lt;&gt;0),AND(BH1064=0,W1064&lt;&gt;0),AND(DD1065=0,AL1065&lt;&gt;0),AND(DD1066=0,AL1066&lt;&gt;0)),"NO DEBEN QUEDAR CELDAS EN ROJO",SUM(DD1063:DD1066))</f>
        <v>240423340.42223701</v>
      </c>
      <c r="DE1067" s="133">
        <f t="shared" si="543"/>
        <v>792578302.36977005</v>
      </c>
    </row>
    <row r="1068" spans="1:110" s="116" customFormat="1" ht="55.05" customHeight="1">
      <c r="A1068" s="124"/>
      <c r="B1068" s="125" t="s">
        <v>2051</v>
      </c>
      <c r="C1068" s="145" t="s">
        <v>2052</v>
      </c>
      <c r="D1068" s="160"/>
      <c r="E1068" s="161"/>
      <c r="F1068" s="162"/>
      <c r="G1068" s="163"/>
      <c r="H1068" s="161"/>
      <c r="I1068" s="161"/>
      <c r="J1068" s="161"/>
      <c r="K1068" s="161"/>
      <c r="L1068" s="161"/>
      <c r="M1068" s="161"/>
      <c r="N1068" s="161"/>
      <c r="O1068" s="161"/>
      <c r="P1068" s="161"/>
      <c r="Q1068" s="163"/>
      <c r="R1068" s="164"/>
      <c r="S1068" s="161"/>
      <c r="T1068" s="161"/>
      <c r="U1068" s="165"/>
      <c r="V1068" s="165"/>
      <c r="W1068" s="166"/>
      <c r="X1068" s="165"/>
      <c r="Y1068" s="165"/>
      <c r="Z1068" s="165"/>
      <c r="AA1068" s="165"/>
      <c r="AB1068" s="166"/>
      <c r="AC1068" s="165"/>
      <c r="AD1068" s="165"/>
      <c r="AE1068" s="165"/>
      <c r="AF1068" s="165"/>
      <c r="AG1068" s="166"/>
      <c r="AH1068" s="165"/>
      <c r="AI1068" s="165"/>
      <c r="AJ1068" s="165"/>
      <c r="AK1068" s="165"/>
      <c r="AL1068" s="166"/>
      <c r="AM1068" s="167"/>
      <c r="AN1068" s="168"/>
      <c r="AO1068" s="168"/>
      <c r="AP1068" s="163"/>
      <c r="AQ1068" s="163"/>
      <c r="AR1068" s="169"/>
      <c r="AS1068" s="147">
        <f>SUM(AS1067+AS1062+AS1056+AS1051+AS1038+AS1035+AS1032+AS1029+AS1020+AS1015+AS1008+AS983+AS978+AS967)</f>
        <v>0</v>
      </c>
      <c r="AT1068" s="130">
        <f t="shared" ref="AT1068:DE1068" si="544">SUM(AT1067+AT1062+AT1056+AT1051+AT1038+AT1035+AT1032+AT1029+AT1020+AT1015+AT1008+AT983+AT978+AT967)</f>
        <v>0</v>
      </c>
      <c r="AU1068" s="130">
        <f t="shared" si="544"/>
        <v>0</v>
      </c>
      <c r="AV1068" s="130">
        <f t="shared" si="544"/>
        <v>0</v>
      </c>
      <c r="AW1068" s="130">
        <f t="shared" si="544"/>
        <v>14580810093</v>
      </c>
      <c r="AX1068" s="130">
        <f t="shared" si="544"/>
        <v>0</v>
      </c>
      <c r="AY1068" s="130">
        <f t="shared" si="544"/>
        <v>0</v>
      </c>
      <c r="AZ1068" s="130">
        <f t="shared" si="544"/>
        <v>0</v>
      </c>
      <c r="BA1068" s="130">
        <f t="shared" si="544"/>
        <v>0</v>
      </c>
      <c r="BB1068" s="130">
        <f t="shared" si="544"/>
        <v>0</v>
      </c>
      <c r="BC1068" s="130">
        <f t="shared" si="544"/>
        <v>0</v>
      </c>
      <c r="BD1068" s="130">
        <f t="shared" si="544"/>
        <v>0</v>
      </c>
      <c r="BE1068" s="130">
        <f t="shared" si="544"/>
        <v>0</v>
      </c>
      <c r="BF1068" s="130">
        <f t="shared" si="544"/>
        <v>0</v>
      </c>
      <c r="BG1068" s="130">
        <f t="shared" si="544"/>
        <v>657737017</v>
      </c>
      <c r="BH1068" s="130">
        <f>SUM(BH1067+BH1062+BH1056+BH1051+BH1038+BH1035+BH1032+BH1029+BH1020+BH1015+BH1008+BH983+BH978+BH967)</f>
        <v>15238547110</v>
      </c>
      <c r="BI1068" s="130">
        <f t="shared" si="544"/>
        <v>0</v>
      </c>
      <c r="BJ1068" s="130">
        <f t="shared" si="544"/>
        <v>0</v>
      </c>
      <c r="BK1068" s="130">
        <f t="shared" si="544"/>
        <v>0</v>
      </c>
      <c r="BL1068" s="130">
        <f t="shared" si="544"/>
        <v>0</v>
      </c>
      <c r="BM1068" s="130">
        <f t="shared" si="544"/>
        <v>21128771503.275612</v>
      </c>
      <c r="BN1068" s="130">
        <f t="shared" si="544"/>
        <v>0</v>
      </c>
      <c r="BO1068" s="130">
        <f t="shared" si="544"/>
        <v>0</v>
      </c>
      <c r="BP1068" s="130">
        <f t="shared" si="544"/>
        <v>0</v>
      </c>
      <c r="BQ1068" s="130">
        <f t="shared" si="544"/>
        <v>0</v>
      </c>
      <c r="BR1068" s="130">
        <f t="shared" si="544"/>
        <v>0</v>
      </c>
      <c r="BS1068" s="130">
        <f t="shared" si="544"/>
        <v>0</v>
      </c>
      <c r="BT1068" s="130">
        <f t="shared" si="544"/>
        <v>0</v>
      </c>
      <c r="BU1068" s="130">
        <f t="shared" si="544"/>
        <v>0</v>
      </c>
      <c r="BV1068" s="130">
        <f t="shared" si="544"/>
        <v>0</v>
      </c>
      <c r="BW1068" s="130">
        <f t="shared" si="544"/>
        <v>177185680</v>
      </c>
      <c r="BX1068" s="130">
        <f t="shared" si="544"/>
        <v>21305957183.275612</v>
      </c>
      <c r="BY1068" s="130">
        <f t="shared" si="544"/>
        <v>0</v>
      </c>
      <c r="BZ1068" s="130">
        <f t="shared" si="544"/>
        <v>0</v>
      </c>
      <c r="CA1068" s="130">
        <f t="shared" si="544"/>
        <v>0</v>
      </c>
      <c r="CB1068" s="130">
        <f t="shared" si="544"/>
        <v>0</v>
      </c>
      <c r="CC1068" s="130">
        <f t="shared" si="544"/>
        <v>24323297340.550819</v>
      </c>
      <c r="CD1068" s="130">
        <f t="shared" si="544"/>
        <v>0</v>
      </c>
      <c r="CE1068" s="130">
        <f t="shared" si="544"/>
        <v>0</v>
      </c>
      <c r="CF1068" s="130">
        <f t="shared" si="544"/>
        <v>0</v>
      </c>
      <c r="CG1068" s="130">
        <f t="shared" si="544"/>
        <v>0</v>
      </c>
      <c r="CH1068" s="130">
        <f t="shared" si="544"/>
        <v>0</v>
      </c>
      <c r="CI1068" s="130">
        <f t="shared" si="544"/>
        <v>0</v>
      </c>
      <c r="CJ1068" s="130">
        <f t="shared" si="544"/>
        <v>0</v>
      </c>
      <c r="CK1068" s="130">
        <f t="shared" si="544"/>
        <v>0</v>
      </c>
      <c r="CL1068" s="130">
        <f t="shared" si="544"/>
        <v>0</v>
      </c>
      <c r="CM1068" s="130">
        <f t="shared" si="544"/>
        <v>4182501250</v>
      </c>
      <c r="CN1068" s="130">
        <f t="shared" si="544"/>
        <v>28505798590.550819</v>
      </c>
      <c r="CO1068" s="130">
        <f t="shared" si="544"/>
        <v>0</v>
      </c>
      <c r="CP1068" s="130">
        <f t="shared" si="544"/>
        <v>0</v>
      </c>
      <c r="CQ1068" s="130">
        <f t="shared" si="544"/>
        <v>0</v>
      </c>
      <c r="CR1068" s="130">
        <f t="shared" si="544"/>
        <v>0</v>
      </c>
      <c r="CS1068" s="130">
        <f t="shared" si="544"/>
        <v>26873149821.630264</v>
      </c>
      <c r="CT1068" s="130">
        <f t="shared" si="544"/>
        <v>0</v>
      </c>
      <c r="CU1068" s="130">
        <f t="shared" si="544"/>
        <v>0</v>
      </c>
      <c r="CV1068" s="130">
        <f t="shared" si="544"/>
        <v>0</v>
      </c>
      <c r="CW1068" s="130">
        <f t="shared" si="544"/>
        <v>0</v>
      </c>
      <c r="CX1068" s="130">
        <f t="shared" si="544"/>
        <v>0</v>
      </c>
      <c r="CY1068" s="130">
        <f t="shared" si="544"/>
        <v>0</v>
      </c>
      <c r="CZ1068" s="130">
        <f t="shared" si="544"/>
        <v>0</v>
      </c>
      <c r="DA1068" s="130">
        <f t="shared" si="544"/>
        <v>0</v>
      </c>
      <c r="DB1068" s="130">
        <f t="shared" si="544"/>
        <v>0</v>
      </c>
      <c r="DC1068" s="130">
        <f t="shared" si="544"/>
        <v>187976288</v>
      </c>
      <c r="DD1068" s="130">
        <f t="shared" si="544"/>
        <v>27061126109.630264</v>
      </c>
      <c r="DE1068" s="130">
        <f t="shared" si="544"/>
        <v>92111428993.456696</v>
      </c>
    </row>
    <row r="1069" spans="1:110" s="99" customFormat="1" ht="119.1" customHeight="1">
      <c r="A1069" s="103" t="s">
        <v>1257</v>
      </c>
      <c r="B1069" s="103" t="s">
        <v>2051</v>
      </c>
      <c r="C1069" s="103" t="s">
        <v>2208</v>
      </c>
      <c r="D1069" s="103">
        <v>102</v>
      </c>
      <c r="E1069" s="103" t="s">
        <v>2209</v>
      </c>
      <c r="F1069" s="278" t="s">
        <v>531</v>
      </c>
      <c r="G1069" s="103" t="s">
        <v>3034</v>
      </c>
      <c r="H1069" s="103">
        <v>123</v>
      </c>
      <c r="I1069" s="103" t="s">
        <v>2210</v>
      </c>
      <c r="J1069" s="103" t="s">
        <v>2211</v>
      </c>
      <c r="K1069" s="313">
        <v>121877218559</v>
      </c>
      <c r="L1069" s="313">
        <v>92792129179</v>
      </c>
      <c r="M1069" s="103" t="s">
        <v>2212</v>
      </c>
      <c r="N1069" s="103" t="s">
        <v>2213</v>
      </c>
      <c r="O1069" s="103" t="s">
        <v>2214</v>
      </c>
      <c r="P1069" s="283">
        <v>934</v>
      </c>
      <c r="Q1069" s="103" t="s">
        <v>3035</v>
      </c>
      <c r="R1069" s="103" t="s">
        <v>532</v>
      </c>
      <c r="S1069" s="103" t="s">
        <v>677</v>
      </c>
      <c r="T1069" s="103">
        <v>62</v>
      </c>
      <c r="U1069" s="267">
        <v>62</v>
      </c>
      <c r="V1069" s="267"/>
      <c r="W1069" s="224">
        <v>62</v>
      </c>
      <c r="X1069" s="267"/>
      <c r="Y1069" s="267">
        <v>62</v>
      </c>
      <c r="Z1069" s="267"/>
      <c r="AA1069" s="267"/>
      <c r="AB1069" s="224">
        <v>62</v>
      </c>
      <c r="AC1069" s="267"/>
      <c r="AD1069" s="267">
        <v>62</v>
      </c>
      <c r="AE1069" s="267"/>
      <c r="AF1069" s="267"/>
      <c r="AG1069" s="224">
        <v>62</v>
      </c>
      <c r="AH1069" s="267"/>
      <c r="AI1069" s="267">
        <v>62</v>
      </c>
      <c r="AJ1069" s="267"/>
      <c r="AK1069" s="267"/>
      <c r="AL1069" s="224">
        <v>62</v>
      </c>
      <c r="AM1069" s="102">
        <v>62</v>
      </c>
      <c r="AN1069" s="103" t="s">
        <v>686</v>
      </c>
      <c r="AO1069" s="103" t="s">
        <v>1212</v>
      </c>
      <c r="AP1069" s="103" t="s">
        <v>1229</v>
      </c>
      <c r="AQ1069" s="103" t="s">
        <v>1207</v>
      </c>
      <c r="AR1069" s="103" t="s">
        <v>951</v>
      </c>
      <c r="AS1069" s="268"/>
      <c r="AT1069" s="268"/>
      <c r="AU1069" s="268"/>
      <c r="AV1069" s="268">
        <v>124157086.12</v>
      </c>
      <c r="AW1069" s="268"/>
      <c r="AX1069" s="268"/>
      <c r="AY1069" s="268"/>
      <c r="AZ1069" s="268"/>
      <c r="BA1069" s="268"/>
      <c r="BB1069" s="268"/>
      <c r="BC1069" s="268"/>
      <c r="BD1069" s="268"/>
      <c r="BE1069" s="268"/>
      <c r="BF1069" s="268"/>
      <c r="BG1069" s="268"/>
      <c r="BH1069" s="234">
        <f t="shared" ref="BH1069:BH1086" si="545">IF(W1069=0,0,BG1069+BF1069+BE1069+BD1069+BC1069+BB1069+BA1069+AZ1069+AY1069+AX1069+AW1069+AV1069+AU1069+AT1069+AS1069)</f>
        <v>124157086.12</v>
      </c>
      <c r="BI1069" s="268"/>
      <c r="BJ1069" s="268"/>
      <c r="BK1069" s="268"/>
      <c r="BL1069" s="268">
        <v>115942294.73200001</v>
      </c>
      <c r="BM1069" s="268"/>
      <c r="BN1069" s="268"/>
      <c r="BO1069" s="268"/>
      <c r="BP1069" s="268"/>
      <c r="BQ1069" s="268"/>
      <c r="BR1069" s="268"/>
      <c r="BS1069" s="268"/>
      <c r="BT1069" s="268"/>
      <c r="BU1069" s="268"/>
      <c r="BV1069" s="268"/>
      <c r="BW1069" s="268"/>
      <c r="BX1069" s="234">
        <f t="shared" ref="BX1069:BX1086" si="546">IF(AB1069=0,0,BI1069+BJ1069+BK1069+BL1069+BM1069+BN1069+BO1069+BP1069+BQ1069+BR1069+BS1069+BT1069+BU1069+BV1069+BW1069)</f>
        <v>115942294.73200001</v>
      </c>
      <c r="BY1069" s="268"/>
      <c r="BZ1069" s="268"/>
      <c r="CA1069" s="268"/>
      <c r="CB1069" s="268">
        <v>128590545.06640001</v>
      </c>
      <c r="CC1069" s="268"/>
      <c r="CD1069" s="268"/>
      <c r="CE1069" s="268"/>
      <c r="CF1069" s="268"/>
      <c r="CG1069" s="268"/>
      <c r="CH1069" s="268"/>
      <c r="CI1069" s="268"/>
      <c r="CJ1069" s="268"/>
      <c r="CK1069" s="268"/>
      <c r="CL1069" s="268"/>
      <c r="CM1069" s="268"/>
      <c r="CN1069" s="234">
        <f t="shared" ref="CN1069:CN1086" si="547">IF(AG1069=0,0,(BY1069+BZ1069+CA1069+CB1069+CC1069+CD1069+CE1069+CF1069+CG1069+CH1069+CI1069+CJ1069+CK1069+CL1069+CM1069))</f>
        <v>128590545.06640001</v>
      </c>
      <c r="CO1069" s="268"/>
      <c r="CP1069" s="268"/>
      <c r="CQ1069" s="268"/>
      <c r="CR1069" s="268">
        <v>132806628.51120001</v>
      </c>
      <c r="CS1069" s="268"/>
      <c r="CT1069" s="268"/>
      <c r="CU1069" s="268"/>
      <c r="CV1069" s="268"/>
      <c r="CW1069" s="268"/>
      <c r="CX1069" s="268"/>
      <c r="CY1069" s="268"/>
      <c r="CZ1069" s="268"/>
      <c r="DA1069" s="268"/>
      <c r="DB1069" s="268"/>
      <c r="DC1069" s="268"/>
      <c r="DD1069" s="234">
        <f t="shared" ref="DD1069:DD1086" si="548">IF(AL1069=0,0,(CO1069+CP1069+CQ1069+CR1069+CS1069+CT1069+CU1069+CV1069+CW1069+CX1069+CY1069+CZ1069+DA1069+DB1069+DC1069))</f>
        <v>132806628.51120001</v>
      </c>
      <c r="DE1069" s="243">
        <f t="shared" ref="DE1069:DE1086" si="549">SUM(DD1069+CN1069+BX1069+BH1069)</f>
        <v>501496554.4296</v>
      </c>
    </row>
    <row r="1070" spans="1:110" s="99" customFormat="1" ht="119.1" customHeight="1">
      <c r="A1070" s="103" t="s">
        <v>1257</v>
      </c>
      <c r="B1070" s="279" t="s">
        <v>2051</v>
      </c>
      <c r="C1070" s="279" t="s">
        <v>2208</v>
      </c>
      <c r="D1070" s="279">
        <v>102</v>
      </c>
      <c r="E1070" s="279" t="s">
        <v>2209</v>
      </c>
      <c r="F1070" s="280" t="s">
        <v>531</v>
      </c>
      <c r="G1070" s="279" t="s">
        <v>3034</v>
      </c>
      <c r="H1070" s="279">
        <v>123</v>
      </c>
      <c r="I1070" s="279" t="s">
        <v>2210</v>
      </c>
      <c r="J1070" s="279" t="s">
        <v>2211</v>
      </c>
      <c r="K1070" s="110">
        <v>121877218559</v>
      </c>
      <c r="L1070" s="110">
        <v>92792129179</v>
      </c>
      <c r="M1070" s="279" t="s">
        <v>2212</v>
      </c>
      <c r="N1070" s="279" t="s">
        <v>2213</v>
      </c>
      <c r="O1070" s="279" t="s">
        <v>2214</v>
      </c>
      <c r="P1070" s="283">
        <v>935</v>
      </c>
      <c r="Q1070" s="279" t="s">
        <v>3036</v>
      </c>
      <c r="R1070" s="279" t="s">
        <v>532</v>
      </c>
      <c r="S1070" s="279" t="s">
        <v>677</v>
      </c>
      <c r="T1070" s="279">
        <v>62</v>
      </c>
      <c r="U1070" s="267"/>
      <c r="V1070" s="267"/>
      <c r="W1070" s="224">
        <v>0</v>
      </c>
      <c r="X1070" s="267"/>
      <c r="Y1070" s="267">
        <v>4</v>
      </c>
      <c r="Z1070" s="267"/>
      <c r="AA1070" s="267"/>
      <c r="AB1070" s="224">
        <v>4</v>
      </c>
      <c r="AC1070" s="267"/>
      <c r="AD1070" s="267">
        <v>4</v>
      </c>
      <c r="AE1070" s="267"/>
      <c r="AF1070" s="267"/>
      <c r="AG1070" s="224">
        <v>4</v>
      </c>
      <c r="AH1070" s="267"/>
      <c r="AI1070" s="267">
        <v>5</v>
      </c>
      <c r="AJ1070" s="267"/>
      <c r="AK1070" s="267"/>
      <c r="AL1070" s="224">
        <v>5</v>
      </c>
      <c r="AM1070" s="104">
        <v>13</v>
      </c>
      <c r="AN1070" s="103" t="s">
        <v>685</v>
      </c>
      <c r="AO1070" s="103" t="s">
        <v>1212</v>
      </c>
      <c r="AP1070" s="103" t="s">
        <v>1229</v>
      </c>
      <c r="AQ1070" s="103" t="s">
        <v>1207</v>
      </c>
      <c r="AR1070" s="103" t="s">
        <v>951</v>
      </c>
      <c r="AS1070" s="271"/>
      <c r="AT1070" s="271"/>
      <c r="AU1070" s="271"/>
      <c r="AV1070" s="271"/>
      <c r="AW1070" s="271"/>
      <c r="AX1070" s="271"/>
      <c r="AY1070" s="271"/>
      <c r="AZ1070" s="271"/>
      <c r="BA1070" s="271"/>
      <c r="BB1070" s="271"/>
      <c r="BC1070" s="271"/>
      <c r="BD1070" s="271"/>
      <c r="BE1070" s="271"/>
      <c r="BF1070" s="271"/>
      <c r="BG1070" s="271"/>
      <c r="BH1070" s="235">
        <f t="shared" si="545"/>
        <v>0</v>
      </c>
      <c r="BI1070" s="271"/>
      <c r="BJ1070" s="271"/>
      <c r="BK1070" s="271"/>
      <c r="BL1070" s="271">
        <v>20630500</v>
      </c>
      <c r="BM1070" s="271"/>
      <c r="BN1070" s="271"/>
      <c r="BO1070" s="271"/>
      <c r="BP1070" s="271"/>
      <c r="BQ1070" s="271"/>
      <c r="BR1070" s="271"/>
      <c r="BS1070" s="271"/>
      <c r="BT1070" s="271"/>
      <c r="BU1070" s="271"/>
      <c r="BV1070" s="271"/>
      <c r="BW1070" s="271"/>
      <c r="BX1070" s="235">
        <f t="shared" si="546"/>
        <v>20630500</v>
      </c>
      <c r="BY1070" s="271"/>
      <c r="BZ1070" s="271"/>
      <c r="CA1070" s="271"/>
      <c r="CB1070" s="271">
        <v>22506000</v>
      </c>
      <c r="CC1070" s="271"/>
      <c r="CD1070" s="271"/>
      <c r="CE1070" s="271"/>
      <c r="CF1070" s="271"/>
      <c r="CG1070" s="271"/>
      <c r="CH1070" s="271"/>
      <c r="CI1070" s="271"/>
      <c r="CJ1070" s="271"/>
      <c r="CK1070" s="271"/>
      <c r="CL1070" s="271"/>
      <c r="CM1070" s="271"/>
      <c r="CN1070" s="235">
        <f t="shared" si="547"/>
        <v>22506000</v>
      </c>
      <c r="CO1070" s="271"/>
      <c r="CP1070" s="271"/>
      <c r="CQ1070" s="271"/>
      <c r="CR1070" s="271">
        <v>24006400</v>
      </c>
      <c r="CS1070" s="271"/>
      <c r="CT1070" s="271"/>
      <c r="CU1070" s="271"/>
      <c r="CV1070" s="271"/>
      <c r="CW1070" s="271"/>
      <c r="CX1070" s="271"/>
      <c r="CY1070" s="271"/>
      <c r="CZ1070" s="271"/>
      <c r="DA1070" s="271"/>
      <c r="DB1070" s="271"/>
      <c r="DC1070" s="271"/>
      <c r="DD1070" s="234">
        <f t="shared" si="548"/>
        <v>24006400</v>
      </c>
      <c r="DE1070" s="244">
        <f t="shared" si="549"/>
        <v>67142900</v>
      </c>
    </row>
    <row r="1071" spans="1:110" s="99" customFormat="1" ht="119.1" customHeight="1">
      <c r="A1071" s="103" t="s">
        <v>1257</v>
      </c>
      <c r="B1071" s="279" t="s">
        <v>2051</v>
      </c>
      <c r="C1071" s="279" t="s">
        <v>2208</v>
      </c>
      <c r="D1071" s="279">
        <v>102</v>
      </c>
      <c r="E1071" s="279" t="s">
        <v>2209</v>
      </c>
      <c r="F1071" s="280" t="s">
        <v>531</v>
      </c>
      <c r="G1071" s="279" t="s">
        <v>3034</v>
      </c>
      <c r="H1071" s="279">
        <v>123</v>
      </c>
      <c r="I1071" s="279" t="s">
        <v>2210</v>
      </c>
      <c r="J1071" s="279" t="s">
        <v>2211</v>
      </c>
      <c r="K1071" s="110">
        <v>121877218559</v>
      </c>
      <c r="L1071" s="110">
        <v>92792129179</v>
      </c>
      <c r="M1071" s="279" t="s">
        <v>2212</v>
      </c>
      <c r="N1071" s="279" t="s">
        <v>2213</v>
      </c>
      <c r="O1071" s="279" t="s">
        <v>2214</v>
      </c>
      <c r="P1071" s="283">
        <v>936</v>
      </c>
      <c r="Q1071" s="279" t="s">
        <v>3037</v>
      </c>
      <c r="R1071" s="279" t="s">
        <v>533</v>
      </c>
      <c r="S1071" s="279" t="s">
        <v>2211</v>
      </c>
      <c r="T1071" s="110">
        <v>2798428220</v>
      </c>
      <c r="U1071" s="314"/>
      <c r="V1071" s="314">
        <v>500000000</v>
      </c>
      <c r="W1071" s="228">
        <v>500000000</v>
      </c>
      <c r="X1071" s="314"/>
      <c r="Y1071" s="314">
        <v>300000000</v>
      </c>
      <c r="Z1071" s="314"/>
      <c r="AA1071" s="314">
        <v>300000000</v>
      </c>
      <c r="AB1071" s="228">
        <v>600000000</v>
      </c>
      <c r="AC1071" s="314"/>
      <c r="AD1071" s="314">
        <v>300000000</v>
      </c>
      <c r="AE1071" s="314"/>
      <c r="AF1071" s="314">
        <v>350000000</v>
      </c>
      <c r="AG1071" s="228">
        <v>650000000</v>
      </c>
      <c r="AH1071" s="314"/>
      <c r="AI1071" s="314">
        <v>300000000</v>
      </c>
      <c r="AJ1071" s="314"/>
      <c r="AK1071" s="314">
        <v>350000000</v>
      </c>
      <c r="AL1071" s="228">
        <v>650000000</v>
      </c>
      <c r="AM1071" s="110">
        <v>2400000000</v>
      </c>
      <c r="AN1071" s="103" t="s">
        <v>685</v>
      </c>
      <c r="AO1071" s="103" t="s">
        <v>1212</v>
      </c>
      <c r="AP1071" s="103" t="s">
        <v>1229</v>
      </c>
      <c r="AQ1071" s="103" t="s">
        <v>1207</v>
      </c>
      <c r="AR1071" s="103" t="s">
        <v>951</v>
      </c>
      <c r="AS1071" s="271"/>
      <c r="AT1071" s="271"/>
      <c r="AU1071" s="271"/>
      <c r="AV1071" s="271">
        <v>33031657.200000003</v>
      </c>
      <c r="AW1071" s="271"/>
      <c r="AX1071" s="271"/>
      <c r="AY1071" s="271"/>
      <c r="AZ1071" s="271"/>
      <c r="BA1071" s="271"/>
      <c r="BB1071" s="271"/>
      <c r="BC1071" s="271"/>
      <c r="BD1071" s="271"/>
      <c r="BE1071" s="271"/>
      <c r="BF1071" s="271"/>
      <c r="BG1071" s="271"/>
      <c r="BH1071" s="235">
        <f t="shared" si="545"/>
        <v>33031657.200000003</v>
      </c>
      <c r="BI1071" s="271"/>
      <c r="BJ1071" s="271"/>
      <c r="BK1071" s="271"/>
      <c r="BL1071" s="271">
        <v>36231433.832964003</v>
      </c>
      <c r="BM1071" s="271"/>
      <c r="BN1071" s="271"/>
      <c r="BO1071" s="271"/>
      <c r="BP1071" s="271"/>
      <c r="BQ1071" s="271"/>
      <c r="BR1071" s="271"/>
      <c r="BS1071" s="271"/>
      <c r="BT1071" s="271"/>
      <c r="BU1071" s="271"/>
      <c r="BV1071" s="271"/>
      <c r="BW1071" s="271"/>
      <c r="BX1071" s="235">
        <f t="shared" si="546"/>
        <v>36231433.832964003</v>
      </c>
      <c r="BY1071" s="271"/>
      <c r="BZ1071" s="271"/>
      <c r="CA1071" s="271"/>
      <c r="CB1071" s="271">
        <v>39637988.640000001</v>
      </c>
      <c r="CC1071" s="271"/>
      <c r="CD1071" s="271"/>
      <c r="CE1071" s="271"/>
      <c r="CF1071" s="271"/>
      <c r="CG1071" s="271"/>
      <c r="CH1071" s="271"/>
      <c r="CI1071" s="271"/>
      <c r="CJ1071" s="271"/>
      <c r="CK1071" s="271"/>
      <c r="CL1071" s="271"/>
      <c r="CM1071" s="271"/>
      <c r="CN1071" s="235">
        <f t="shared" si="547"/>
        <v>39637988.640000001</v>
      </c>
      <c r="CO1071" s="271"/>
      <c r="CP1071" s="271"/>
      <c r="CQ1071" s="271"/>
      <c r="CR1071" s="271">
        <v>40959254.928000003</v>
      </c>
      <c r="CS1071" s="271"/>
      <c r="CT1071" s="271"/>
      <c r="CU1071" s="271"/>
      <c r="CV1071" s="271"/>
      <c r="CW1071" s="271"/>
      <c r="CX1071" s="271"/>
      <c r="CY1071" s="271"/>
      <c r="CZ1071" s="271"/>
      <c r="DA1071" s="271"/>
      <c r="DB1071" s="271"/>
      <c r="DC1071" s="271"/>
      <c r="DD1071" s="234">
        <f t="shared" si="548"/>
        <v>40959254.928000003</v>
      </c>
      <c r="DE1071" s="244">
        <f t="shared" si="549"/>
        <v>149860334.60096401</v>
      </c>
    </row>
    <row r="1072" spans="1:110" s="99" customFormat="1" ht="119.1" customHeight="1">
      <c r="A1072" s="103" t="s">
        <v>1257</v>
      </c>
      <c r="B1072" s="279" t="s">
        <v>2051</v>
      </c>
      <c r="C1072" s="279" t="s">
        <v>2208</v>
      </c>
      <c r="D1072" s="279">
        <v>102</v>
      </c>
      <c r="E1072" s="279" t="s">
        <v>2209</v>
      </c>
      <c r="F1072" s="280" t="s">
        <v>531</v>
      </c>
      <c r="G1072" s="279" t="s">
        <v>3034</v>
      </c>
      <c r="H1072" s="279">
        <v>123</v>
      </c>
      <c r="I1072" s="279" t="s">
        <v>2210</v>
      </c>
      <c r="J1072" s="279" t="s">
        <v>2211</v>
      </c>
      <c r="K1072" s="110">
        <v>121877218559</v>
      </c>
      <c r="L1072" s="110">
        <v>92792129179</v>
      </c>
      <c r="M1072" s="279" t="s">
        <v>2212</v>
      </c>
      <c r="N1072" s="279" t="s">
        <v>2213</v>
      </c>
      <c r="O1072" s="279" t="s">
        <v>2214</v>
      </c>
      <c r="P1072" s="283">
        <v>937</v>
      </c>
      <c r="Q1072" s="279" t="s">
        <v>3038</v>
      </c>
      <c r="R1072" s="279" t="s">
        <v>534</v>
      </c>
      <c r="S1072" s="279" t="s">
        <v>683</v>
      </c>
      <c r="T1072" s="279">
        <v>9</v>
      </c>
      <c r="U1072" s="267"/>
      <c r="V1072" s="267">
        <v>9</v>
      </c>
      <c r="W1072" s="224">
        <v>9</v>
      </c>
      <c r="X1072" s="267"/>
      <c r="Y1072" s="267"/>
      <c r="Z1072" s="267"/>
      <c r="AA1072" s="267">
        <v>9</v>
      </c>
      <c r="AB1072" s="224">
        <v>9</v>
      </c>
      <c r="AC1072" s="267"/>
      <c r="AD1072" s="267"/>
      <c r="AE1072" s="267"/>
      <c r="AF1072" s="267">
        <v>9</v>
      </c>
      <c r="AG1072" s="224">
        <v>9</v>
      </c>
      <c r="AH1072" s="267"/>
      <c r="AI1072" s="267"/>
      <c r="AJ1072" s="267"/>
      <c r="AK1072" s="267">
        <v>9</v>
      </c>
      <c r="AL1072" s="224">
        <v>9</v>
      </c>
      <c r="AM1072" s="104">
        <v>9</v>
      </c>
      <c r="AN1072" s="103" t="s">
        <v>686</v>
      </c>
      <c r="AO1072" s="103" t="s">
        <v>1212</v>
      </c>
      <c r="AP1072" s="103" t="s">
        <v>1229</v>
      </c>
      <c r="AQ1072" s="103" t="s">
        <v>1207</v>
      </c>
      <c r="AR1072" s="103" t="s">
        <v>951</v>
      </c>
      <c r="AS1072" s="271"/>
      <c r="AT1072" s="271"/>
      <c r="AU1072" s="271"/>
      <c r="AV1072" s="271">
        <v>105402086.12</v>
      </c>
      <c r="AW1072" s="271"/>
      <c r="AX1072" s="271"/>
      <c r="AY1072" s="271"/>
      <c r="AZ1072" s="271"/>
      <c r="BA1072" s="271"/>
      <c r="BB1072" s="271"/>
      <c r="BC1072" s="271"/>
      <c r="BD1072" s="271"/>
      <c r="BE1072" s="271"/>
      <c r="BF1072" s="271"/>
      <c r="BG1072" s="271"/>
      <c r="BH1072" s="235">
        <f t="shared" si="545"/>
        <v>105402086.12</v>
      </c>
      <c r="BI1072" s="271"/>
      <c r="BJ1072" s="271"/>
      <c r="BK1072" s="271"/>
      <c r="BL1072" s="271">
        <v>114888273.8708</v>
      </c>
      <c r="BM1072" s="271"/>
      <c r="BN1072" s="271"/>
      <c r="BO1072" s="271"/>
      <c r="BP1072" s="271"/>
      <c r="BQ1072" s="271"/>
      <c r="BR1072" s="271"/>
      <c r="BS1072" s="271"/>
      <c r="BT1072" s="271"/>
      <c r="BU1072" s="271"/>
      <c r="BV1072" s="271"/>
      <c r="BW1072" s="271"/>
      <c r="BX1072" s="235">
        <f t="shared" si="546"/>
        <v>114888273.8708</v>
      </c>
      <c r="BY1072" s="271"/>
      <c r="BZ1072" s="271"/>
      <c r="CA1072" s="271"/>
      <c r="CB1072" s="271">
        <v>126482503.34400001</v>
      </c>
      <c r="CC1072" s="271"/>
      <c r="CD1072" s="271"/>
      <c r="CE1072" s="271"/>
      <c r="CF1072" s="271"/>
      <c r="CG1072" s="271"/>
      <c r="CH1072" s="271"/>
      <c r="CI1072" s="271"/>
      <c r="CJ1072" s="271"/>
      <c r="CK1072" s="271"/>
      <c r="CL1072" s="271"/>
      <c r="CM1072" s="271"/>
      <c r="CN1072" s="235">
        <f t="shared" si="547"/>
        <v>126482503.34400001</v>
      </c>
      <c r="CO1072" s="271"/>
      <c r="CP1072" s="271"/>
      <c r="CQ1072" s="271"/>
      <c r="CR1072" s="271">
        <v>130698586.7888</v>
      </c>
      <c r="CS1072" s="271"/>
      <c r="CT1072" s="271"/>
      <c r="CU1072" s="271"/>
      <c r="CV1072" s="271"/>
      <c r="CW1072" s="271"/>
      <c r="CX1072" s="271"/>
      <c r="CY1072" s="271"/>
      <c r="CZ1072" s="271"/>
      <c r="DA1072" s="271"/>
      <c r="DB1072" s="271"/>
      <c r="DC1072" s="271"/>
      <c r="DD1072" s="234">
        <f t="shared" si="548"/>
        <v>130698586.7888</v>
      </c>
      <c r="DE1072" s="244">
        <f t="shared" si="549"/>
        <v>477471450.12360001</v>
      </c>
    </row>
    <row r="1073" spans="1:109" s="99" customFormat="1" ht="119.1" customHeight="1">
      <c r="A1073" s="103" t="s">
        <v>1257</v>
      </c>
      <c r="B1073" s="279" t="s">
        <v>2051</v>
      </c>
      <c r="C1073" s="279" t="s">
        <v>2208</v>
      </c>
      <c r="D1073" s="279">
        <v>102</v>
      </c>
      <c r="E1073" s="279" t="s">
        <v>2209</v>
      </c>
      <c r="F1073" s="280" t="s">
        <v>531</v>
      </c>
      <c r="G1073" s="279" t="s">
        <v>3034</v>
      </c>
      <c r="H1073" s="279">
        <v>123</v>
      </c>
      <c r="I1073" s="279" t="s">
        <v>2210</v>
      </c>
      <c r="J1073" s="279" t="s">
        <v>2211</v>
      </c>
      <c r="K1073" s="110">
        <v>121877218559</v>
      </c>
      <c r="L1073" s="110">
        <v>92792129179</v>
      </c>
      <c r="M1073" s="279" t="s">
        <v>2215</v>
      </c>
      <c r="N1073" s="279" t="s">
        <v>2216</v>
      </c>
      <c r="O1073" s="279" t="s">
        <v>535</v>
      </c>
      <c r="P1073" s="283">
        <v>938</v>
      </c>
      <c r="Q1073" s="279" t="s">
        <v>3255</v>
      </c>
      <c r="R1073" s="279" t="s">
        <v>536</v>
      </c>
      <c r="S1073" s="279" t="s">
        <v>2211</v>
      </c>
      <c r="T1073" s="110">
        <v>409777180000</v>
      </c>
      <c r="U1073" s="314"/>
      <c r="V1073" s="314">
        <v>60000000000</v>
      </c>
      <c r="W1073" s="228">
        <v>60000000000</v>
      </c>
      <c r="X1073" s="314">
        <v>20000000000</v>
      </c>
      <c r="Y1073" s="314">
        <v>20000000000</v>
      </c>
      <c r="Z1073" s="314">
        <v>20000000000</v>
      </c>
      <c r="AA1073" s="314">
        <v>20000000000</v>
      </c>
      <c r="AB1073" s="228">
        <v>80000000000</v>
      </c>
      <c r="AC1073" s="314">
        <v>20000000000</v>
      </c>
      <c r="AD1073" s="314">
        <v>20000000000</v>
      </c>
      <c r="AE1073" s="314">
        <v>20000000000</v>
      </c>
      <c r="AF1073" s="314">
        <v>20000000000</v>
      </c>
      <c r="AG1073" s="228">
        <v>80000000000</v>
      </c>
      <c r="AH1073" s="314">
        <v>20000000000</v>
      </c>
      <c r="AI1073" s="314">
        <v>20000000000</v>
      </c>
      <c r="AJ1073" s="314">
        <v>20000000000</v>
      </c>
      <c r="AK1073" s="314">
        <v>20000000000</v>
      </c>
      <c r="AL1073" s="228">
        <v>80000000000</v>
      </c>
      <c r="AM1073" s="110">
        <v>300000000000</v>
      </c>
      <c r="AN1073" s="103" t="s">
        <v>685</v>
      </c>
      <c r="AO1073" s="103" t="s">
        <v>1212</v>
      </c>
      <c r="AP1073" s="103" t="s">
        <v>1229</v>
      </c>
      <c r="AQ1073" s="103" t="s">
        <v>1207</v>
      </c>
      <c r="AR1073" s="103" t="s">
        <v>951</v>
      </c>
      <c r="AS1073" s="271"/>
      <c r="AT1073" s="271"/>
      <c r="AU1073" s="271"/>
      <c r="AV1073" s="271">
        <v>448800000</v>
      </c>
      <c r="AW1073" s="271"/>
      <c r="AX1073" s="271"/>
      <c r="AY1073" s="271"/>
      <c r="AZ1073" s="271"/>
      <c r="BA1073" s="271"/>
      <c r="BB1073" s="271"/>
      <c r="BC1073" s="271"/>
      <c r="BD1073" s="271"/>
      <c r="BE1073" s="271"/>
      <c r="BF1073" s="271"/>
      <c r="BG1073" s="271"/>
      <c r="BH1073" s="235">
        <f t="shared" si="545"/>
        <v>448800000</v>
      </c>
      <c r="BI1073" s="271"/>
      <c r="BJ1073" s="271"/>
      <c r="BK1073" s="271"/>
      <c r="BL1073" s="271">
        <v>489192000</v>
      </c>
      <c r="BM1073" s="271"/>
      <c r="BN1073" s="271"/>
      <c r="BO1073" s="271"/>
      <c r="BP1073" s="271"/>
      <c r="BQ1073" s="271"/>
      <c r="BR1073" s="271"/>
      <c r="BS1073" s="271"/>
      <c r="BT1073" s="271"/>
      <c r="BU1073" s="271"/>
      <c r="BV1073" s="271"/>
      <c r="BW1073" s="271"/>
      <c r="BX1073" s="235">
        <f t="shared" si="546"/>
        <v>489192000</v>
      </c>
      <c r="BY1073" s="271"/>
      <c r="BZ1073" s="271"/>
      <c r="CA1073" s="271"/>
      <c r="CB1073" s="271">
        <v>525096000</v>
      </c>
      <c r="CC1073" s="271"/>
      <c r="CD1073" s="271"/>
      <c r="CE1073" s="271"/>
      <c r="CF1073" s="271"/>
      <c r="CG1073" s="271"/>
      <c r="CH1073" s="271"/>
      <c r="CI1073" s="271"/>
      <c r="CJ1073" s="271"/>
      <c r="CK1073" s="271"/>
      <c r="CL1073" s="271"/>
      <c r="CM1073" s="271"/>
      <c r="CN1073" s="235">
        <f t="shared" si="547"/>
        <v>525096000</v>
      </c>
      <c r="CO1073" s="271"/>
      <c r="CP1073" s="271"/>
      <c r="CQ1073" s="271"/>
      <c r="CR1073" s="271">
        <v>529584000</v>
      </c>
      <c r="CS1073" s="271"/>
      <c r="CT1073" s="271"/>
      <c r="CU1073" s="271"/>
      <c r="CV1073" s="271"/>
      <c r="CW1073" s="271"/>
      <c r="CX1073" s="271"/>
      <c r="CY1073" s="271"/>
      <c r="CZ1073" s="271"/>
      <c r="DA1073" s="271"/>
      <c r="DB1073" s="271"/>
      <c r="DC1073" s="271"/>
      <c r="DD1073" s="234">
        <f t="shared" si="548"/>
        <v>529584000</v>
      </c>
      <c r="DE1073" s="244">
        <f t="shared" si="549"/>
        <v>1992672000</v>
      </c>
    </row>
    <row r="1074" spans="1:109" s="99" customFormat="1" ht="119.1" customHeight="1">
      <c r="A1074" s="103" t="s">
        <v>1257</v>
      </c>
      <c r="B1074" s="279" t="s">
        <v>2051</v>
      </c>
      <c r="C1074" s="279" t="s">
        <v>2208</v>
      </c>
      <c r="D1074" s="279">
        <v>102</v>
      </c>
      <c r="E1074" s="279" t="s">
        <v>2209</v>
      </c>
      <c r="F1074" s="280" t="s">
        <v>531</v>
      </c>
      <c r="G1074" s="279" t="s">
        <v>3034</v>
      </c>
      <c r="H1074" s="279">
        <v>123</v>
      </c>
      <c r="I1074" s="279" t="s">
        <v>2210</v>
      </c>
      <c r="J1074" s="279" t="s">
        <v>2211</v>
      </c>
      <c r="K1074" s="110">
        <v>121877218559</v>
      </c>
      <c r="L1074" s="110">
        <v>92792129179</v>
      </c>
      <c r="M1074" s="279" t="s">
        <v>2215</v>
      </c>
      <c r="N1074" s="279" t="s">
        <v>2216</v>
      </c>
      <c r="O1074" s="279" t="s">
        <v>535</v>
      </c>
      <c r="P1074" s="283">
        <v>939</v>
      </c>
      <c r="Q1074" s="279" t="s">
        <v>3039</v>
      </c>
      <c r="R1074" s="279" t="s">
        <v>537</v>
      </c>
      <c r="S1074" s="279" t="s">
        <v>683</v>
      </c>
      <c r="T1074" s="279">
        <v>80</v>
      </c>
      <c r="U1074" s="267">
        <v>5</v>
      </c>
      <c r="V1074" s="267">
        <v>5</v>
      </c>
      <c r="W1074" s="224">
        <v>10</v>
      </c>
      <c r="X1074" s="267"/>
      <c r="Y1074" s="267"/>
      <c r="Z1074" s="267">
        <v>15</v>
      </c>
      <c r="AA1074" s="267">
        <v>15</v>
      </c>
      <c r="AB1074" s="224">
        <v>30</v>
      </c>
      <c r="AC1074" s="267"/>
      <c r="AD1074" s="267"/>
      <c r="AE1074" s="267">
        <v>15</v>
      </c>
      <c r="AF1074" s="267">
        <v>15</v>
      </c>
      <c r="AG1074" s="224">
        <v>30</v>
      </c>
      <c r="AH1074" s="267"/>
      <c r="AI1074" s="267"/>
      <c r="AJ1074" s="267">
        <v>15</v>
      </c>
      <c r="AK1074" s="267">
        <v>15</v>
      </c>
      <c r="AL1074" s="224">
        <v>30</v>
      </c>
      <c r="AM1074" s="104">
        <v>100</v>
      </c>
      <c r="AN1074" s="103" t="s">
        <v>685</v>
      </c>
      <c r="AO1074" s="103" t="s">
        <v>1212</v>
      </c>
      <c r="AP1074" s="103" t="s">
        <v>1229</v>
      </c>
      <c r="AQ1074" s="103" t="s">
        <v>1207</v>
      </c>
      <c r="AR1074" s="103" t="s">
        <v>951</v>
      </c>
      <c r="AS1074" s="271"/>
      <c r="AT1074" s="271"/>
      <c r="AU1074" s="271"/>
      <c r="AV1074" s="271">
        <v>49866666.666666664</v>
      </c>
      <c r="AW1074" s="271"/>
      <c r="AX1074" s="271"/>
      <c r="AY1074" s="271"/>
      <c r="AZ1074" s="271"/>
      <c r="BA1074" s="271"/>
      <c r="BB1074" s="271"/>
      <c r="BC1074" s="271"/>
      <c r="BD1074" s="271"/>
      <c r="BE1074" s="271"/>
      <c r="BF1074" s="271"/>
      <c r="BG1074" s="271"/>
      <c r="BH1074" s="235">
        <f t="shared" si="545"/>
        <v>49866666.666666664</v>
      </c>
      <c r="BI1074" s="271"/>
      <c r="BJ1074" s="271"/>
      <c r="BK1074" s="271"/>
      <c r="BL1074" s="271">
        <v>54354666.666666664</v>
      </c>
      <c r="BM1074" s="271"/>
      <c r="BN1074" s="271"/>
      <c r="BO1074" s="271"/>
      <c r="BP1074" s="271"/>
      <c r="BQ1074" s="271"/>
      <c r="BR1074" s="271"/>
      <c r="BS1074" s="271"/>
      <c r="BT1074" s="271"/>
      <c r="BU1074" s="271"/>
      <c r="BV1074" s="271"/>
      <c r="BW1074" s="271"/>
      <c r="BX1074" s="235">
        <f t="shared" si="546"/>
        <v>54354666.666666664</v>
      </c>
      <c r="BY1074" s="271"/>
      <c r="BZ1074" s="271"/>
      <c r="CA1074" s="271"/>
      <c r="CB1074" s="271">
        <v>59341333.333333336</v>
      </c>
      <c r="CC1074" s="271"/>
      <c r="CD1074" s="271"/>
      <c r="CE1074" s="271"/>
      <c r="CF1074" s="271"/>
      <c r="CG1074" s="271"/>
      <c r="CH1074" s="271"/>
      <c r="CI1074" s="271"/>
      <c r="CJ1074" s="271"/>
      <c r="CK1074" s="271"/>
      <c r="CL1074" s="271"/>
      <c r="CM1074" s="271"/>
      <c r="CN1074" s="235">
        <f t="shared" si="547"/>
        <v>59341333.333333336</v>
      </c>
      <c r="CO1074" s="271"/>
      <c r="CP1074" s="271"/>
      <c r="CQ1074" s="271"/>
      <c r="CR1074" s="271">
        <v>62832000.000000007</v>
      </c>
      <c r="CS1074" s="271"/>
      <c r="CT1074" s="271"/>
      <c r="CU1074" s="271"/>
      <c r="CV1074" s="271"/>
      <c r="CW1074" s="271"/>
      <c r="CX1074" s="271"/>
      <c r="CY1074" s="271"/>
      <c r="CZ1074" s="271"/>
      <c r="DA1074" s="271"/>
      <c r="DB1074" s="271"/>
      <c r="DC1074" s="271"/>
      <c r="DD1074" s="234">
        <f t="shared" si="548"/>
        <v>62832000.000000007</v>
      </c>
      <c r="DE1074" s="244">
        <f t="shared" si="549"/>
        <v>226394666.66666666</v>
      </c>
    </row>
    <row r="1075" spans="1:109" s="99" customFormat="1" ht="119.1" customHeight="1">
      <c r="A1075" s="103" t="s">
        <v>1257</v>
      </c>
      <c r="B1075" s="279" t="s">
        <v>2051</v>
      </c>
      <c r="C1075" s="279" t="s">
        <v>2208</v>
      </c>
      <c r="D1075" s="279">
        <v>102</v>
      </c>
      <c r="E1075" s="279" t="s">
        <v>2209</v>
      </c>
      <c r="F1075" s="280" t="s">
        <v>531</v>
      </c>
      <c r="G1075" s="279" t="s">
        <v>3034</v>
      </c>
      <c r="H1075" s="279">
        <v>123</v>
      </c>
      <c r="I1075" s="279" t="s">
        <v>2210</v>
      </c>
      <c r="J1075" s="279" t="s">
        <v>2211</v>
      </c>
      <c r="K1075" s="110">
        <v>121877218559</v>
      </c>
      <c r="L1075" s="110">
        <v>92792129179</v>
      </c>
      <c r="M1075" s="279" t="s">
        <v>2215</v>
      </c>
      <c r="N1075" s="279" t="s">
        <v>2216</v>
      </c>
      <c r="O1075" s="279" t="s">
        <v>535</v>
      </c>
      <c r="P1075" s="283">
        <v>940</v>
      </c>
      <c r="Q1075" s="279" t="s">
        <v>3040</v>
      </c>
      <c r="R1075" s="279" t="s">
        <v>2217</v>
      </c>
      <c r="S1075" s="279" t="s">
        <v>683</v>
      </c>
      <c r="T1075" s="279">
        <v>4</v>
      </c>
      <c r="U1075" s="267"/>
      <c r="V1075" s="267">
        <v>1</v>
      </c>
      <c r="W1075" s="224">
        <v>1</v>
      </c>
      <c r="X1075" s="267"/>
      <c r="Y1075" s="267"/>
      <c r="Z1075" s="267"/>
      <c r="AA1075" s="267">
        <v>1</v>
      </c>
      <c r="AB1075" s="224">
        <v>1</v>
      </c>
      <c r="AC1075" s="267"/>
      <c r="AD1075" s="267"/>
      <c r="AE1075" s="267"/>
      <c r="AF1075" s="267">
        <v>1</v>
      </c>
      <c r="AG1075" s="224">
        <v>1</v>
      </c>
      <c r="AH1075" s="267"/>
      <c r="AI1075" s="267"/>
      <c r="AJ1075" s="267"/>
      <c r="AK1075" s="267">
        <v>1</v>
      </c>
      <c r="AL1075" s="224">
        <v>1</v>
      </c>
      <c r="AM1075" s="104">
        <v>4</v>
      </c>
      <c r="AN1075" s="103" t="s">
        <v>685</v>
      </c>
      <c r="AO1075" s="103" t="s">
        <v>1212</v>
      </c>
      <c r="AP1075" s="103" t="s">
        <v>1229</v>
      </c>
      <c r="AQ1075" s="103" t="s">
        <v>1207</v>
      </c>
      <c r="AR1075" s="103" t="s">
        <v>951</v>
      </c>
      <c r="AS1075" s="271"/>
      <c r="AT1075" s="271"/>
      <c r="AU1075" s="271"/>
      <c r="AV1075" s="271">
        <v>49866666.666666664</v>
      </c>
      <c r="AW1075" s="271"/>
      <c r="AX1075" s="271"/>
      <c r="AY1075" s="271"/>
      <c r="AZ1075" s="271"/>
      <c r="BA1075" s="271"/>
      <c r="BB1075" s="271"/>
      <c r="BC1075" s="271"/>
      <c r="BD1075" s="271"/>
      <c r="BE1075" s="271"/>
      <c r="BF1075" s="271"/>
      <c r="BG1075" s="271"/>
      <c r="BH1075" s="235">
        <f t="shared" si="545"/>
        <v>49866666.666666664</v>
      </c>
      <c r="BI1075" s="271"/>
      <c r="BJ1075" s="271"/>
      <c r="BK1075" s="271"/>
      <c r="BL1075" s="271">
        <v>54354666.666666664</v>
      </c>
      <c r="BM1075" s="271"/>
      <c r="BN1075" s="271"/>
      <c r="BO1075" s="271"/>
      <c r="BP1075" s="271"/>
      <c r="BQ1075" s="271"/>
      <c r="BR1075" s="271"/>
      <c r="BS1075" s="271"/>
      <c r="BT1075" s="271"/>
      <c r="BU1075" s="271"/>
      <c r="BV1075" s="271"/>
      <c r="BW1075" s="271"/>
      <c r="BX1075" s="235">
        <f t="shared" si="546"/>
        <v>54354666.666666664</v>
      </c>
      <c r="BY1075" s="271"/>
      <c r="BZ1075" s="271"/>
      <c r="CA1075" s="271"/>
      <c r="CB1075" s="271">
        <v>59341333.333333336</v>
      </c>
      <c r="CC1075" s="271"/>
      <c r="CD1075" s="271"/>
      <c r="CE1075" s="271"/>
      <c r="CF1075" s="271"/>
      <c r="CG1075" s="271"/>
      <c r="CH1075" s="271"/>
      <c r="CI1075" s="271"/>
      <c r="CJ1075" s="271"/>
      <c r="CK1075" s="271"/>
      <c r="CL1075" s="271"/>
      <c r="CM1075" s="271"/>
      <c r="CN1075" s="235">
        <f t="shared" si="547"/>
        <v>59341333.333333336</v>
      </c>
      <c r="CO1075" s="271"/>
      <c r="CP1075" s="271"/>
      <c r="CQ1075" s="271"/>
      <c r="CR1075" s="271">
        <v>62832000.000000007</v>
      </c>
      <c r="CS1075" s="271"/>
      <c r="CT1075" s="271"/>
      <c r="CU1075" s="271"/>
      <c r="CV1075" s="271"/>
      <c r="CW1075" s="271"/>
      <c r="CX1075" s="271"/>
      <c r="CY1075" s="271"/>
      <c r="CZ1075" s="271"/>
      <c r="DA1075" s="271"/>
      <c r="DB1075" s="271"/>
      <c r="DC1075" s="271"/>
      <c r="DD1075" s="234">
        <f t="shared" si="548"/>
        <v>62832000.000000007</v>
      </c>
      <c r="DE1075" s="244">
        <f t="shared" si="549"/>
        <v>226394666.66666666</v>
      </c>
    </row>
    <row r="1076" spans="1:109" s="99" customFormat="1" ht="119.1" customHeight="1">
      <c r="A1076" s="103" t="s">
        <v>1257</v>
      </c>
      <c r="B1076" s="279" t="s">
        <v>2051</v>
      </c>
      <c r="C1076" s="279" t="s">
        <v>2208</v>
      </c>
      <c r="D1076" s="279">
        <v>102</v>
      </c>
      <c r="E1076" s="279" t="s">
        <v>2209</v>
      </c>
      <c r="F1076" s="280" t="s">
        <v>531</v>
      </c>
      <c r="G1076" s="279" t="s">
        <v>3034</v>
      </c>
      <c r="H1076" s="279">
        <v>123</v>
      </c>
      <c r="I1076" s="279" t="s">
        <v>2210</v>
      </c>
      <c r="J1076" s="279" t="s">
        <v>2211</v>
      </c>
      <c r="K1076" s="110">
        <v>121877218559</v>
      </c>
      <c r="L1076" s="110">
        <v>92792129179</v>
      </c>
      <c r="M1076" s="279" t="s">
        <v>2215</v>
      </c>
      <c r="N1076" s="279" t="s">
        <v>2216</v>
      </c>
      <c r="O1076" s="279" t="s">
        <v>535</v>
      </c>
      <c r="P1076" s="283">
        <v>941</v>
      </c>
      <c r="Q1076" s="279" t="s">
        <v>3041</v>
      </c>
      <c r="R1076" s="279" t="s">
        <v>538</v>
      </c>
      <c r="S1076" s="279" t="s">
        <v>2211</v>
      </c>
      <c r="T1076" s="110">
        <v>7872125000</v>
      </c>
      <c r="U1076" s="314"/>
      <c r="V1076" s="314">
        <v>8000000000</v>
      </c>
      <c r="W1076" s="228">
        <v>8000000000</v>
      </c>
      <c r="X1076" s="314">
        <v>2500000000</v>
      </c>
      <c r="Y1076" s="314">
        <v>2500000000</v>
      </c>
      <c r="Z1076" s="314">
        <v>2500000000</v>
      </c>
      <c r="AA1076" s="314">
        <v>2500000000</v>
      </c>
      <c r="AB1076" s="228">
        <v>10000000000</v>
      </c>
      <c r="AC1076" s="314">
        <v>3375000000</v>
      </c>
      <c r="AD1076" s="314">
        <v>3375000000</v>
      </c>
      <c r="AE1076" s="314">
        <v>3375000000</v>
      </c>
      <c r="AF1076" s="314">
        <v>3375000000</v>
      </c>
      <c r="AG1076" s="228">
        <v>13500000000</v>
      </c>
      <c r="AH1076" s="314">
        <v>3375000000</v>
      </c>
      <c r="AI1076" s="314">
        <v>3375000000</v>
      </c>
      <c r="AJ1076" s="314">
        <v>3375000000</v>
      </c>
      <c r="AK1076" s="314">
        <v>3375000000</v>
      </c>
      <c r="AL1076" s="228">
        <v>13500000000</v>
      </c>
      <c r="AM1076" s="110">
        <v>45000000000</v>
      </c>
      <c r="AN1076" s="103" t="s">
        <v>685</v>
      </c>
      <c r="AO1076" s="103" t="s">
        <v>1212</v>
      </c>
      <c r="AP1076" s="103" t="s">
        <v>1229</v>
      </c>
      <c r="AQ1076" s="103" t="s">
        <v>1207</v>
      </c>
      <c r="AR1076" s="103" t="s">
        <v>951</v>
      </c>
      <c r="AS1076" s="271"/>
      <c r="AT1076" s="271"/>
      <c r="AU1076" s="271"/>
      <c r="AV1076" s="271">
        <v>49866666.666666664</v>
      </c>
      <c r="AW1076" s="271"/>
      <c r="AX1076" s="271"/>
      <c r="AY1076" s="271"/>
      <c r="AZ1076" s="271"/>
      <c r="BA1076" s="271"/>
      <c r="BB1076" s="271"/>
      <c r="BC1076" s="271"/>
      <c r="BD1076" s="271"/>
      <c r="BE1076" s="271"/>
      <c r="BF1076" s="271"/>
      <c r="BG1076" s="271"/>
      <c r="BH1076" s="235">
        <f t="shared" si="545"/>
        <v>49866666.666666664</v>
      </c>
      <c r="BI1076" s="271"/>
      <c r="BJ1076" s="271"/>
      <c r="BK1076" s="271"/>
      <c r="BL1076" s="271">
        <v>54354666.666666664</v>
      </c>
      <c r="BM1076" s="271"/>
      <c r="BN1076" s="271"/>
      <c r="BO1076" s="271"/>
      <c r="BP1076" s="271"/>
      <c r="BQ1076" s="271"/>
      <c r="BR1076" s="271"/>
      <c r="BS1076" s="271"/>
      <c r="BT1076" s="271"/>
      <c r="BU1076" s="271"/>
      <c r="BV1076" s="271"/>
      <c r="BW1076" s="271"/>
      <c r="BX1076" s="235">
        <f t="shared" si="546"/>
        <v>54354666.666666664</v>
      </c>
      <c r="BY1076" s="271"/>
      <c r="BZ1076" s="271"/>
      <c r="CA1076" s="271"/>
      <c r="CB1076" s="271">
        <v>77183626.666666657</v>
      </c>
      <c r="CC1076" s="271"/>
      <c r="CD1076" s="271"/>
      <c r="CE1076" s="271"/>
      <c r="CF1076" s="271"/>
      <c r="CG1076" s="271"/>
      <c r="CH1076" s="271"/>
      <c r="CI1076" s="271"/>
      <c r="CJ1076" s="271"/>
      <c r="CK1076" s="271"/>
      <c r="CL1076" s="271"/>
      <c r="CM1076" s="271"/>
      <c r="CN1076" s="235">
        <f t="shared" si="547"/>
        <v>77183626.666666657</v>
      </c>
      <c r="CO1076" s="271"/>
      <c r="CP1076" s="271"/>
      <c r="CQ1076" s="271"/>
      <c r="CR1076" s="271">
        <v>98795042.133333325</v>
      </c>
      <c r="CS1076" s="271"/>
      <c r="CT1076" s="271"/>
      <c r="CU1076" s="271"/>
      <c r="CV1076" s="271"/>
      <c r="CW1076" s="271"/>
      <c r="CX1076" s="271"/>
      <c r="CY1076" s="271"/>
      <c r="CZ1076" s="271"/>
      <c r="DA1076" s="271"/>
      <c r="DB1076" s="271"/>
      <c r="DC1076" s="271"/>
      <c r="DD1076" s="234">
        <f t="shared" si="548"/>
        <v>98795042.133333325</v>
      </c>
      <c r="DE1076" s="244">
        <f t="shared" si="549"/>
        <v>280200002.13333333</v>
      </c>
    </row>
    <row r="1077" spans="1:109" s="99" customFormat="1" ht="119.1" customHeight="1">
      <c r="A1077" s="103" t="s">
        <v>1257</v>
      </c>
      <c r="B1077" s="279" t="s">
        <v>2051</v>
      </c>
      <c r="C1077" s="279" t="s">
        <v>2208</v>
      </c>
      <c r="D1077" s="279">
        <v>102</v>
      </c>
      <c r="E1077" s="279" t="s">
        <v>2209</v>
      </c>
      <c r="F1077" s="280" t="s">
        <v>531</v>
      </c>
      <c r="G1077" s="279" t="s">
        <v>3034</v>
      </c>
      <c r="H1077" s="279">
        <v>123</v>
      </c>
      <c r="I1077" s="279" t="s">
        <v>2210</v>
      </c>
      <c r="J1077" s="279" t="s">
        <v>2211</v>
      </c>
      <c r="K1077" s="110">
        <v>121877218559</v>
      </c>
      <c r="L1077" s="110">
        <v>92792129179</v>
      </c>
      <c r="M1077" s="279" t="s">
        <v>2215</v>
      </c>
      <c r="N1077" s="279" t="s">
        <v>2216</v>
      </c>
      <c r="O1077" s="279" t="s">
        <v>535</v>
      </c>
      <c r="P1077" s="283">
        <v>942</v>
      </c>
      <c r="Q1077" s="279" t="s">
        <v>3042</v>
      </c>
      <c r="R1077" s="279" t="s">
        <v>539</v>
      </c>
      <c r="S1077" s="279" t="s">
        <v>683</v>
      </c>
      <c r="T1077" s="279">
        <v>1</v>
      </c>
      <c r="U1077" s="267"/>
      <c r="V1077" s="267"/>
      <c r="W1077" s="224">
        <v>0</v>
      </c>
      <c r="X1077" s="267"/>
      <c r="Y1077" s="267"/>
      <c r="Z1077" s="267"/>
      <c r="AA1077" s="267">
        <v>1</v>
      </c>
      <c r="AB1077" s="224">
        <v>1</v>
      </c>
      <c r="AC1077" s="267"/>
      <c r="AD1077" s="267"/>
      <c r="AE1077" s="267"/>
      <c r="AF1077" s="267"/>
      <c r="AG1077" s="224">
        <v>0</v>
      </c>
      <c r="AH1077" s="267"/>
      <c r="AI1077" s="267"/>
      <c r="AJ1077" s="267"/>
      <c r="AK1077" s="267"/>
      <c r="AL1077" s="224">
        <v>0</v>
      </c>
      <c r="AM1077" s="104">
        <v>1</v>
      </c>
      <c r="AN1077" s="103" t="s">
        <v>685</v>
      </c>
      <c r="AO1077" s="103" t="s">
        <v>1212</v>
      </c>
      <c r="AP1077" s="103" t="s">
        <v>1229</v>
      </c>
      <c r="AQ1077" s="103" t="s">
        <v>1207</v>
      </c>
      <c r="AR1077" s="103" t="s">
        <v>951</v>
      </c>
      <c r="AS1077" s="271"/>
      <c r="AT1077" s="271"/>
      <c r="AU1077" s="271"/>
      <c r="AV1077" s="271"/>
      <c r="AW1077" s="271"/>
      <c r="AX1077" s="271"/>
      <c r="AY1077" s="271"/>
      <c r="AZ1077" s="271"/>
      <c r="BA1077" s="271"/>
      <c r="BB1077" s="271"/>
      <c r="BC1077" s="271"/>
      <c r="BD1077" s="271"/>
      <c r="BE1077" s="271"/>
      <c r="BF1077" s="271"/>
      <c r="BG1077" s="271"/>
      <c r="BH1077" s="235">
        <f t="shared" si="545"/>
        <v>0</v>
      </c>
      <c r="BI1077" s="271"/>
      <c r="BJ1077" s="271"/>
      <c r="BK1077" s="271"/>
      <c r="BL1077" s="271">
        <v>58842666.666666672</v>
      </c>
      <c r="BM1077" s="271"/>
      <c r="BN1077" s="271"/>
      <c r="BO1077" s="271"/>
      <c r="BP1077" s="271"/>
      <c r="BQ1077" s="271"/>
      <c r="BR1077" s="271"/>
      <c r="BS1077" s="271"/>
      <c r="BT1077" s="271"/>
      <c r="BU1077" s="271"/>
      <c r="BV1077" s="271"/>
      <c r="BW1077" s="271"/>
      <c r="BX1077" s="235">
        <f t="shared" si="546"/>
        <v>58842666.666666672</v>
      </c>
      <c r="BY1077" s="271"/>
      <c r="BZ1077" s="271"/>
      <c r="CA1077" s="271"/>
      <c r="CB1077" s="271"/>
      <c r="CC1077" s="271"/>
      <c r="CD1077" s="271"/>
      <c r="CE1077" s="271"/>
      <c r="CF1077" s="271"/>
      <c r="CG1077" s="271"/>
      <c r="CH1077" s="271"/>
      <c r="CI1077" s="271"/>
      <c r="CJ1077" s="271"/>
      <c r="CK1077" s="271"/>
      <c r="CL1077" s="271"/>
      <c r="CM1077" s="271"/>
      <c r="CN1077" s="235">
        <f t="shared" si="547"/>
        <v>0</v>
      </c>
      <c r="CO1077" s="271"/>
      <c r="CP1077" s="271"/>
      <c r="CQ1077" s="271"/>
      <c r="CR1077" s="271"/>
      <c r="CS1077" s="271"/>
      <c r="CT1077" s="271"/>
      <c r="CU1077" s="271"/>
      <c r="CV1077" s="271"/>
      <c r="CW1077" s="271"/>
      <c r="CX1077" s="271"/>
      <c r="CY1077" s="271"/>
      <c r="CZ1077" s="271"/>
      <c r="DA1077" s="271"/>
      <c r="DB1077" s="271"/>
      <c r="DC1077" s="271"/>
      <c r="DD1077" s="234">
        <f t="shared" si="548"/>
        <v>0</v>
      </c>
      <c r="DE1077" s="244">
        <f t="shared" si="549"/>
        <v>58842666.666666672</v>
      </c>
    </row>
    <row r="1078" spans="1:109" s="99" customFormat="1" ht="119.1" customHeight="1">
      <c r="A1078" s="103" t="s">
        <v>1257</v>
      </c>
      <c r="B1078" s="279" t="s">
        <v>2051</v>
      </c>
      <c r="C1078" s="279" t="s">
        <v>2208</v>
      </c>
      <c r="D1078" s="279">
        <v>102</v>
      </c>
      <c r="E1078" s="279" t="s">
        <v>2209</v>
      </c>
      <c r="F1078" s="280" t="s">
        <v>531</v>
      </c>
      <c r="G1078" s="279" t="s">
        <v>3034</v>
      </c>
      <c r="H1078" s="279">
        <v>123</v>
      </c>
      <c r="I1078" s="279" t="s">
        <v>2210</v>
      </c>
      <c r="J1078" s="279" t="s">
        <v>2211</v>
      </c>
      <c r="K1078" s="110">
        <v>121877218559</v>
      </c>
      <c r="L1078" s="110">
        <v>92792129179</v>
      </c>
      <c r="M1078" s="279" t="s">
        <v>2215</v>
      </c>
      <c r="N1078" s="279" t="s">
        <v>2216</v>
      </c>
      <c r="O1078" s="279" t="s">
        <v>535</v>
      </c>
      <c r="P1078" s="283">
        <v>943</v>
      </c>
      <c r="Q1078" s="279" t="s">
        <v>3043</v>
      </c>
      <c r="R1078" s="279" t="s">
        <v>540</v>
      </c>
      <c r="S1078" s="279" t="s">
        <v>683</v>
      </c>
      <c r="T1078" s="279">
        <v>1</v>
      </c>
      <c r="U1078" s="267"/>
      <c r="V1078" s="267">
        <v>1</v>
      </c>
      <c r="W1078" s="224">
        <v>1</v>
      </c>
      <c r="X1078" s="267"/>
      <c r="Y1078" s="267"/>
      <c r="Z1078" s="267"/>
      <c r="AA1078" s="267"/>
      <c r="AB1078" s="224">
        <v>0</v>
      </c>
      <c r="AC1078" s="267"/>
      <c r="AD1078" s="267"/>
      <c r="AE1078" s="267"/>
      <c r="AF1078" s="267"/>
      <c r="AG1078" s="224">
        <v>0</v>
      </c>
      <c r="AH1078" s="267"/>
      <c r="AI1078" s="267"/>
      <c r="AJ1078" s="267"/>
      <c r="AK1078" s="267"/>
      <c r="AL1078" s="224">
        <v>0</v>
      </c>
      <c r="AM1078" s="104">
        <v>1</v>
      </c>
      <c r="AN1078" s="103" t="s">
        <v>685</v>
      </c>
      <c r="AO1078" s="103" t="s">
        <v>1212</v>
      </c>
      <c r="AP1078" s="103" t="s">
        <v>1229</v>
      </c>
      <c r="AQ1078" s="103" t="s">
        <v>1207</v>
      </c>
      <c r="AR1078" s="103" t="s">
        <v>951</v>
      </c>
      <c r="AS1078" s="271"/>
      <c r="AT1078" s="271"/>
      <c r="AU1078" s="271"/>
      <c r="AV1078" s="271">
        <v>99733333.333333328</v>
      </c>
      <c r="AW1078" s="271"/>
      <c r="AX1078" s="271"/>
      <c r="AY1078" s="271"/>
      <c r="AZ1078" s="271"/>
      <c r="BA1078" s="271"/>
      <c r="BB1078" s="271"/>
      <c r="BC1078" s="271"/>
      <c r="BD1078" s="271"/>
      <c r="BE1078" s="271"/>
      <c r="BF1078" s="271"/>
      <c r="BG1078" s="271"/>
      <c r="BH1078" s="235">
        <f t="shared" si="545"/>
        <v>99733333.333333328</v>
      </c>
      <c r="BI1078" s="271"/>
      <c r="BJ1078" s="271"/>
      <c r="BK1078" s="271"/>
      <c r="BL1078" s="271"/>
      <c r="BM1078" s="271"/>
      <c r="BN1078" s="271"/>
      <c r="BO1078" s="271"/>
      <c r="BP1078" s="271"/>
      <c r="BQ1078" s="271"/>
      <c r="BR1078" s="271"/>
      <c r="BS1078" s="271"/>
      <c r="BT1078" s="271"/>
      <c r="BU1078" s="271"/>
      <c r="BV1078" s="271"/>
      <c r="BW1078" s="271"/>
      <c r="BX1078" s="235">
        <f t="shared" si="546"/>
        <v>0</v>
      </c>
      <c r="BY1078" s="271"/>
      <c r="BZ1078" s="271"/>
      <c r="CA1078" s="271"/>
      <c r="CB1078" s="271"/>
      <c r="CC1078" s="271"/>
      <c r="CD1078" s="271"/>
      <c r="CE1078" s="271"/>
      <c r="CF1078" s="271"/>
      <c r="CG1078" s="271"/>
      <c r="CH1078" s="271"/>
      <c r="CI1078" s="271"/>
      <c r="CJ1078" s="271"/>
      <c r="CK1078" s="271"/>
      <c r="CL1078" s="271"/>
      <c r="CM1078" s="271"/>
      <c r="CN1078" s="235">
        <f t="shared" si="547"/>
        <v>0</v>
      </c>
      <c r="CO1078" s="271"/>
      <c r="CP1078" s="271"/>
      <c r="CQ1078" s="271"/>
      <c r="CR1078" s="271"/>
      <c r="CS1078" s="271"/>
      <c r="CT1078" s="271"/>
      <c r="CU1078" s="271"/>
      <c r="CV1078" s="271"/>
      <c r="CW1078" s="271"/>
      <c r="CX1078" s="271"/>
      <c r="CY1078" s="271"/>
      <c r="CZ1078" s="271"/>
      <c r="DA1078" s="271"/>
      <c r="DB1078" s="271"/>
      <c r="DC1078" s="271"/>
      <c r="DD1078" s="234">
        <f t="shared" si="548"/>
        <v>0</v>
      </c>
      <c r="DE1078" s="244">
        <f t="shared" si="549"/>
        <v>99733333.333333328</v>
      </c>
    </row>
    <row r="1079" spans="1:109" s="99" customFormat="1" ht="119.1" customHeight="1">
      <c r="A1079" s="103" t="s">
        <v>1257</v>
      </c>
      <c r="B1079" s="279" t="s">
        <v>2051</v>
      </c>
      <c r="C1079" s="279" t="s">
        <v>2208</v>
      </c>
      <c r="D1079" s="279">
        <v>102</v>
      </c>
      <c r="E1079" s="279" t="s">
        <v>2209</v>
      </c>
      <c r="F1079" s="280" t="s">
        <v>531</v>
      </c>
      <c r="G1079" s="279" t="s">
        <v>3034</v>
      </c>
      <c r="H1079" s="279">
        <v>123</v>
      </c>
      <c r="I1079" s="279" t="s">
        <v>2210</v>
      </c>
      <c r="J1079" s="279" t="s">
        <v>2211</v>
      </c>
      <c r="K1079" s="110">
        <v>121877218559</v>
      </c>
      <c r="L1079" s="110">
        <v>92792129179</v>
      </c>
      <c r="M1079" s="279" t="s">
        <v>2215</v>
      </c>
      <c r="N1079" s="279" t="s">
        <v>2216</v>
      </c>
      <c r="O1079" s="279" t="s">
        <v>535</v>
      </c>
      <c r="P1079" s="283">
        <v>944</v>
      </c>
      <c r="Q1079" s="279" t="s">
        <v>3044</v>
      </c>
      <c r="R1079" s="279" t="s">
        <v>541</v>
      </c>
      <c r="S1079" s="279" t="s">
        <v>677</v>
      </c>
      <c r="T1079" s="279">
        <v>0</v>
      </c>
      <c r="U1079" s="267"/>
      <c r="V1079" s="267">
        <v>20</v>
      </c>
      <c r="W1079" s="224">
        <v>20</v>
      </c>
      <c r="X1079" s="267"/>
      <c r="Y1079" s="267"/>
      <c r="Z1079" s="267"/>
      <c r="AA1079" s="267">
        <v>20</v>
      </c>
      <c r="AB1079" s="224">
        <v>20</v>
      </c>
      <c r="AC1079" s="267"/>
      <c r="AD1079" s="267"/>
      <c r="AE1079" s="267"/>
      <c r="AF1079" s="267">
        <v>20</v>
      </c>
      <c r="AG1079" s="224">
        <v>20</v>
      </c>
      <c r="AH1079" s="267"/>
      <c r="AI1079" s="267"/>
      <c r="AJ1079" s="267"/>
      <c r="AK1079" s="267">
        <v>20</v>
      </c>
      <c r="AL1079" s="224">
        <v>20</v>
      </c>
      <c r="AM1079" s="104">
        <v>80</v>
      </c>
      <c r="AN1079" s="103" t="s">
        <v>685</v>
      </c>
      <c r="AO1079" s="103" t="s">
        <v>1212</v>
      </c>
      <c r="AP1079" s="103" t="s">
        <v>1229</v>
      </c>
      <c r="AQ1079" s="103" t="s">
        <v>1207</v>
      </c>
      <c r="AR1079" s="103" t="s">
        <v>951</v>
      </c>
      <c r="AS1079" s="271"/>
      <c r="AT1079" s="271"/>
      <c r="AU1079" s="271"/>
      <c r="AV1079" s="271">
        <v>49866666.666666664</v>
      </c>
      <c r="AW1079" s="271"/>
      <c r="AX1079" s="271"/>
      <c r="AY1079" s="271"/>
      <c r="AZ1079" s="271"/>
      <c r="BA1079" s="271"/>
      <c r="BB1079" s="271"/>
      <c r="BC1079" s="271"/>
      <c r="BD1079" s="271"/>
      <c r="BE1079" s="271"/>
      <c r="BF1079" s="271"/>
      <c r="BG1079" s="271"/>
      <c r="BH1079" s="235">
        <f t="shared" si="545"/>
        <v>49866666.666666664</v>
      </c>
      <c r="BI1079" s="271"/>
      <c r="BJ1079" s="271"/>
      <c r="BK1079" s="271"/>
      <c r="BL1079" s="271">
        <v>54354666.666666664</v>
      </c>
      <c r="BM1079" s="271"/>
      <c r="BN1079" s="271"/>
      <c r="BO1079" s="271"/>
      <c r="BP1079" s="271"/>
      <c r="BQ1079" s="271"/>
      <c r="BR1079" s="271"/>
      <c r="BS1079" s="271"/>
      <c r="BT1079" s="271"/>
      <c r="BU1079" s="271"/>
      <c r="BV1079" s="271"/>
      <c r="BW1079" s="271"/>
      <c r="BX1079" s="235">
        <f t="shared" si="546"/>
        <v>54354666.666666664</v>
      </c>
      <c r="BY1079" s="271"/>
      <c r="BZ1079" s="271"/>
      <c r="CA1079" s="271"/>
      <c r="CB1079" s="271">
        <v>59341333.333333336</v>
      </c>
      <c r="CC1079" s="271"/>
      <c r="CD1079" s="271"/>
      <c r="CE1079" s="271"/>
      <c r="CF1079" s="271"/>
      <c r="CG1079" s="271"/>
      <c r="CH1079" s="271"/>
      <c r="CI1079" s="271"/>
      <c r="CJ1079" s="271"/>
      <c r="CK1079" s="271"/>
      <c r="CL1079" s="271"/>
      <c r="CM1079" s="271"/>
      <c r="CN1079" s="235">
        <f t="shared" si="547"/>
        <v>59341333.333333336</v>
      </c>
      <c r="CO1079" s="271"/>
      <c r="CP1079" s="271"/>
      <c r="CQ1079" s="271"/>
      <c r="CR1079" s="271">
        <v>62832000.000000007</v>
      </c>
      <c r="CS1079" s="271"/>
      <c r="CT1079" s="271"/>
      <c r="CU1079" s="271"/>
      <c r="CV1079" s="271"/>
      <c r="CW1079" s="271"/>
      <c r="CX1079" s="271"/>
      <c r="CY1079" s="271"/>
      <c r="CZ1079" s="271"/>
      <c r="DA1079" s="271"/>
      <c r="DB1079" s="271"/>
      <c r="DC1079" s="271"/>
      <c r="DD1079" s="234">
        <f t="shared" si="548"/>
        <v>62832000.000000007</v>
      </c>
      <c r="DE1079" s="244">
        <f t="shared" si="549"/>
        <v>226394666.66666666</v>
      </c>
    </row>
    <row r="1080" spans="1:109" s="99" customFormat="1" ht="119.1" customHeight="1">
      <c r="A1080" s="103" t="s">
        <v>1257</v>
      </c>
      <c r="B1080" s="279" t="s">
        <v>2051</v>
      </c>
      <c r="C1080" s="279" t="s">
        <v>2208</v>
      </c>
      <c r="D1080" s="279">
        <v>102</v>
      </c>
      <c r="E1080" s="279" t="s">
        <v>2209</v>
      </c>
      <c r="F1080" s="280" t="s">
        <v>531</v>
      </c>
      <c r="G1080" s="279" t="s">
        <v>3034</v>
      </c>
      <c r="H1080" s="279">
        <v>123</v>
      </c>
      <c r="I1080" s="279" t="s">
        <v>2210</v>
      </c>
      <c r="J1080" s="279" t="s">
        <v>2211</v>
      </c>
      <c r="K1080" s="110">
        <v>121877218559</v>
      </c>
      <c r="L1080" s="110">
        <v>92792129179</v>
      </c>
      <c r="M1080" s="279" t="s">
        <v>2215</v>
      </c>
      <c r="N1080" s="279" t="s">
        <v>2216</v>
      </c>
      <c r="O1080" s="279" t="s">
        <v>535</v>
      </c>
      <c r="P1080" s="283">
        <v>945</v>
      </c>
      <c r="Q1080" s="279" t="s">
        <v>3045</v>
      </c>
      <c r="R1080" s="279" t="s">
        <v>542</v>
      </c>
      <c r="S1080" s="279" t="s">
        <v>677</v>
      </c>
      <c r="T1080" s="279">
        <v>85</v>
      </c>
      <c r="U1080" s="267"/>
      <c r="V1080" s="267">
        <v>85</v>
      </c>
      <c r="W1080" s="224">
        <v>85</v>
      </c>
      <c r="X1080" s="267"/>
      <c r="Y1080" s="267">
        <v>60</v>
      </c>
      <c r="Z1080" s="267"/>
      <c r="AA1080" s="267">
        <v>25</v>
      </c>
      <c r="AB1080" s="224">
        <v>85</v>
      </c>
      <c r="AC1080" s="267"/>
      <c r="AD1080" s="267">
        <v>60</v>
      </c>
      <c r="AE1080" s="267"/>
      <c r="AF1080" s="267">
        <v>25</v>
      </c>
      <c r="AG1080" s="224">
        <v>85</v>
      </c>
      <c r="AH1080" s="267"/>
      <c r="AI1080" s="267">
        <v>60</v>
      </c>
      <c r="AJ1080" s="267"/>
      <c r="AK1080" s="267">
        <v>25</v>
      </c>
      <c r="AL1080" s="224">
        <v>85</v>
      </c>
      <c r="AM1080" s="104">
        <v>85</v>
      </c>
      <c r="AN1080" s="103" t="s">
        <v>686</v>
      </c>
      <c r="AO1080" s="103" t="s">
        <v>1212</v>
      </c>
      <c r="AP1080" s="103" t="s">
        <v>1229</v>
      </c>
      <c r="AQ1080" s="103" t="s">
        <v>1207</v>
      </c>
      <c r="AR1080" s="103" t="s">
        <v>951</v>
      </c>
      <c r="AS1080" s="271"/>
      <c r="AT1080" s="271"/>
      <c r="AU1080" s="271"/>
      <c r="AV1080" s="271">
        <v>149600000.00000003</v>
      </c>
      <c r="AW1080" s="271"/>
      <c r="AX1080" s="271"/>
      <c r="AY1080" s="271"/>
      <c r="AZ1080" s="271"/>
      <c r="BA1080" s="271"/>
      <c r="BB1080" s="271"/>
      <c r="BC1080" s="271"/>
      <c r="BD1080" s="271"/>
      <c r="BE1080" s="271"/>
      <c r="BF1080" s="271"/>
      <c r="BG1080" s="271"/>
      <c r="BH1080" s="235">
        <f t="shared" si="545"/>
        <v>149600000.00000003</v>
      </c>
      <c r="BI1080" s="271"/>
      <c r="BJ1080" s="271"/>
      <c r="BK1080" s="271"/>
      <c r="BL1080" s="271">
        <v>54354666.666666664</v>
      </c>
      <c r="BM1080" s="271"/>
      <c r="BN1080" s="271"/>
      <c r="BO1080" s="271"/>
      <c r="BP1080" s="271"/>
      <c r="BQ1080" s="271"/>
      <c r="BR1080" s="271"/>
      <c r="BS1080" s="271"/>
      <c r="BT1080" s="271"/>
      <c r="BU1080" s="271"/>
      <c r="BV1080" s="271"/>
      <c r="BW1080" s="271"/>
      <c r="BX1080" s="235">
        <f t="shared" si="546"/>
        <v>54354666.666666664</v>
      </c>
      <c r="BY1080" s="271"/>
      <c r="BZ1080" s="271"/>
      <c r="CA1080" s="271"/>
      <c r="CB1080" s="271">
        <v>59341333.333333336</v>
      </c>
      <c r="CC1080" s="271"/>
      <c r="CD1080" s="271"/>
      <c r="CE1080" s="271"/>
      <c r="CF1080" s="271"/>
      <c r="CG1080" s="271"/>
      <c r="CH1080" s="271"/>
      <c r="CI1080" s="271"/>
      <c r="CJ1080" s="271"/>
      <c r="CK1080" s="271"/>
      <c r="CL1080" s="271"/>
      <c r="CM1080" s="271"/>
      <c r="CN1080" s="235">
        <f t="shared" si="547"/>
        <v>59341333.333333336</v>
      </c>
      <c r="CO1080" s="271"/>
      <c r="CP1080" s="271"/>
      <c r="CQ1080" s="271"/>
      <c r="CR1080" s="271">
        <v>62832000.000000007</v>
      </c>
      <c r="CS1080" s="271"/>
      <c r="CT1080" s="271"/>
      <c r="CU1080" s="271"/>
      <c r="CV1080" s="271"/>
      <c r="CW1080" s="271"/>
      <c r="CX1080" s="271"/>
      <c r="CY1080" s="271"/>
      <c r="CZ1080" s="271"/>
      <c r="DA1080" s="271"/>
      <c r="DB1080" s="271"/>
      <c r="DC1080" s="271"/>
      <c r="DD1080" s="234">
        <f t="shared" si="548"/>
        <v>62832000.000000007</v>
      </c>
      <c r="DE1080" s="244">
        <f t="shared" si="549"/>
        <v>326128000</v>
      </c>
    </row>
    <row r="1081" spans="1:109" s="99" customFormat="1" ht="119.1" customHeight="1">
      <c r="A1081" s="103" t="s">
        <v>1257</v>
      </c>
      <c r="B1081" s="279" t="s">
        <v>2051</v>
      </c>
      <c r="C1081" s="279" t="s">
        <v>2208</v>
      </c>
      <c r="D1081" s="279">
        <v>102</v>
      </c>
      <c r="E1081" s="279" t="s">
        <v>2209</v>
      </c>
      <c r="F1081" s="280" t="s">
        <v>531</v>
      </c>
      <c r="G1081" s="279" t="s">
        <v>3034</v>
      </c>
      <c r="H1081" s="279">
        <v>123</v>
      </c>
      <c r="I1081" s="279" t="s">
        <v>2210</v>
      </c>
      <c r="J1081" s="279" t="s">
        <v>2211</v>
      </c>
      <c r="K1081" s="110">
        <v>121877218559</v>
      </c>
      <c r="L1081" s="110">
        <v>92792129179</v>
      </c>
      <c r="M1081" s="279" t="s">
        <v>2215</v>
      </c>
      <c r="N1081" s="279" t="s">
        <v>2216</v>
      </c>
      <c r="O1081" s="279" t="s">
        <v>535</v>
      </c>
      <c r="P1081" s="283">
        <v>946</v>
      </c>
      <c r="Q1081" s="279" t="s">
        <v>3046</v>
      </c>
      <c r="R1081" s="279" t="s">
        <v>542</v>
      </c>
      <c r="S1081" s="279" t="s">
        <v>677</v>
      </c>
      <c r="T1081" s="279">
        <v>85</v>
      </c>
      <c r="U1081" s="267"/>
      <c r="V1081" s="267"/>
      <c r="W1081" s="224">
        <v>0</v>
      </c>
      <c r="X1081" s="267"/>
      <c r="Y1081" s="267"/>
      <c r="Z1081" s="267"/>
      <c r="AA1081" s="267">
        <v>5</v>
      </c>
      <c r="AB1081" s="224">
        <v>5</v>
      </c>
      <c r="AC1081" s="267"/>
      <c r="AD1081" s="267"/>
      <c r="AE1081" s="267"/>
      <c r="AF1081" s="267">
        <v>5</v>
      </c>
      <c r="AG1081" s="224">
        <v>5</v>
      </c>
      <c r="AH1081" s="267"/>
      <c r="AI1081" s="267"/>
      <c r="AJ1081" s="267"/>
      <c r="AK1081" s="267">
        <v>5</v>
      </c>
      <c r="AL1081" s="224">
        <v>5</v>
      </c>
      <c r="AM1081" s="104">
        <v>15</v>
      </c>
      <c r="AN1081" s="103" t="s">
        <v>685</v>
      </c>
      <c r="AO1081" s="103" t="s">
        <v>1212</v>
      </c>
      <c r="AP1081" s="103" t="s">
        <v>1229</v>
      </c>
      <c r="AQ1081" s="103" t="s">
        <v>1207</v>
      </c>
      <c r="AR1081" s="103" t="s">
        <v>951</v>
      </c>
      <c r="AS1081" s="271"/>
      <c r="AT1081" s="271"/>
      <c r="AU1081" s="271"/>
      <c r="AV1081" s="271"/>
      <c r="AW1081" s="271"/>
      <c r="AX1081" s="271"/>
      <c r="AY1081" s="271"/>
      <c r="AZ1081" s="271"/>
      <c r="BA1081" s="271"/>
      <c r="BB1081" s="271"/>
      <c r="BC1081" s="271"/>
      <c r="BD1081" s="271"/>
      <c r="BE1081" s="271"/>
      <c r="BF1081" s="271"/>
      <c r="BG1081" s="271"/>
      <c r="BH1081" s="235">
        <f t="shared" si="545"/>
        <v>0</v>
      </c>
      <c r="BI1081" s="271"/>
      <c r="BJ1081" s="271"/>
      <c r="BK1081" s="271"/>
      <c r="BL1081" s="271">
        <v>54354666.666666664</v>
      </c>
      <c r="BM1081" s="271"/>
      <c r="BN1081" s="271"/>
      <c r="BO1081" s="271"/>
      <c r="BP1081" s="271"/>
      <c r="BQ1081" s="271"/>
      <c r="BR1081" s="271"/>
      <c r="BS1081" s="271"/>
      <c r="BT1081" s="271"/>
      <c r="BU1081" s="271"/>
      <c r="BV1081" s="271"/>
      <c r="BW1081" s="271"/>
      <c r="BX1081" s="235">
        <f t="shared" si="546"/>
        <v>54354666.666666664</v>
      </c>
      <c r="BY1081" s="271"/>
      <c r="BZ1081" s="271"/>
      <c r="CA1081" s="271"/>
      <c r="CB1081" s="271">
        <v>59341333.333333336</v>
      </c>
      <c r="CC1081" s="271"/>
      <c r="CD1081" s="271"/>
      <c r="CE1081" s="271"/>
      <c r="CF1081" s="271"/>
      <c r="CG1081" s="271"/>
      <c r="CH1081" s="271"/>
      <c r="CI1081" s="271"/>
      <c r="CJ1081" s="271"/>
      <c r="CK1081" s="271"/>
      <c r="CL1081" s="271"/>
      <c r="CM1081" s="271"/>
      <c r="CN1081" s="235">
        <f t="shared" si="547"/>
        <v>59341333.333333336</v>
      </c>
      <c r="CO1081" s="271"/>
      <c r="CP1081" s="271"/>
      <c r="CQ1081" s="271"/>
      <c r="CR1081" s="271">
        <v>62832000.000000007</v>
      </c>
      <c r="CS1081" s="271"/>
      <c r="CT1081" s="271"/>
      <c r="CU1081" s="271"/>
      <c r="CV1081" s="271"/>
      <c r="CW1081" s="271"/>
      <c r="CX1081" s="271"/>
      <c r="CY1081" s="271"/>
      <c r="CZ1081" s="271"/>
      <c r="DA1081" s="271"/>
      <c r="DB1081" s="271"/>
      <c r="DC1081" s="271"/>
      <c r="DD1081" s="234">
        <f t="shared" si="548"/>
        <v>62832000.000000007</v>
      </c>
      <c r="DE1081" s="244">
        <f t="shared" si="549"/>
        <v>176528000</v>
      </c>
    </row>
    <row r="1082" spans="1:109" s="99" customFormat="1" ht="119.1" customHeight="1">
      <c r="A1082" s="103" t="s">
        <v>1257</v>
      </c>
      <c r="B1082" s="279" t="s">
        <v>2051</v>
      </c>
      <c r="C1082" s="279" t="s">
        <v>2208</v>
      </c>
      <c r="D1082" s="279">
        <v>102</v>
      </c>
      <c r="E1082" s="279" t="s">
        <v>2209</v>
      </c>
      <c r="F1082" s="280" t="s">
        <v>531</v>
      </c>
      <c r="G1082" s="279" t="s">
        <v>3034</v>
      </c>
      <c r="H1082" s="279">
        <v>123</v>
      </c>
      <c r="I1082" s="279" t="s">
        <v>2210</v>
      </c>
      <c r="J1082" s="279" t="s">
        <v>2211</v>
      </c>
      <c r="K1082" s="110">
        <v>121877218559</v>
      </c>
      <c r="L1082" s="110">
        <v>92792129179</v>
      </c>
      <c r="M1082" s="279" t="s">
        <v>2215</v>
      </c>
      <c r="N1082" s="279" t="s">
        <v>2216</v>
      </c>
      <c r="O1082" s="279" t="s">
        <v>535</v>
      </c>
      <c r="P1082" s="283">
        <v>947</v>
      </c>
      <c r="Q1082" s="279" t="s">
        <v>3047</v>
      </c>
      <c r="R1082" s="279" t="s">
        <v>543</v>
      </c>
      <c r="S1082" s="279" t="s">
        <v>683</v>
      </c>
      <c r="T1082" s="279">
        <v>1</v>
      </c>
      <c r="U1082" s="267"/>
      <c r="V1082" s="267"/>
      <c r="W1082" s="224">
        <v>0</v>
      </c>
      <c r="X1082" s="267"/>
      <c r="Y1082" s="267"/>
      <c r="Z1082" s="267">
        <v>1</v>
      </c>
      <c r="AA1082" s="267"/>
      <c r="AB1082" s="224">
        <v>1</v>
      </c>
      <c r="AC1082" s="267"/>
      <c r="AD1082" s="267"/>
      <c r="AE1082" s="267">
        <v>1</v>
      </c>
      <c r="AF1082" s="267"/>
      <c r="AG1082" s="224">
        <v>1</v>
      </c>
      <c r="AH1082" s="267"/>
      <c r="AI1082" s="267"/>
      <c r="AJ1082" s="267">
        <v>1</v>
      </c>
      <c r="AK1082" s="267"/>
      <c r="AL1082" s="224">
        <v>1</v>
      </c>
      <c r="AM1082" s="104">
        <v>3</v>
      </c>
      <c r="AN1082" s="103" t="s">
        <v>685</v>
      </c>
      <c r="AO1082" s="103" t="s">
        <v>1212</v>
      </c>
      <c r="AP1082" s="103" t="s">
        <v>1229</v>
      </c>
      <c r="AQ1082" s="103" t="s">
        <v>1207</v>
      </c>
      <c r="AR1082" s="103" t="s">
        <v>951</v>
      </c>
      <c r="AS1082" s="271"/>
      <c r="AT1082" s="271"/>
      <c r="AU1082" s="271"/>
      <c r="AV1082" s="271"/>
      <c r="AW1082" s="271"/>
      <c r="AX1082" s="271"/>
      <c r="AY1082" s="271"/>
      <c r="AZ1082" s="271"/>
      <c r="BA1082" s="271"/>
      <c r="BB1082" s="271"/>
      <c r="BC1082" s="271"/>
      <c r="BD1082" s="271"/>
      <c r="BE1082" s="271"/>
      <c r="BF1082" s="271"/>
      <c r="BG1082" s="271"/>
      <c r="BH1082" s="235">
        <f t="shared" si="545"/>
        <v>0</v>
      </c>
      <c r="BI1082" s="271"/>
      <c r="BJ1082" s="271"/>
      <c r="BK1082" s="271"/>
      <c r="BL1082" s="271">
        <v>54354666.666666664</v>
      </c>
      <c r="BM1082" s="271"/>
      <c r="BN1082" s="271"/>
      <c r="BO1082" s="271"/>
      <c r="BP1082" s="271"/>
      <c r="BQ1082" s="271"/>
      <c r="BR1082" s="271"/>
      <c r="BS1082" s="271"/>
      <c r="BT1082" s="271"/>
      <c r="BU1082" s="271"/>
      <c r="BV1082" s="271"/>
      <c r="BW1082" s="271"/>
      <c r="BX1082" s="235">
        <f t="shared" si="546"/>
        <v>54354666.666666664</v>
      </c>
      <c r="BY1082" s="271"/>
      <c r="BZ1082" s="271"/>
      <c r="CA1082" s="271"/>
      <c r="CB1082" s="271">
        <v>59341333.333333336</v>
      </c>
      <c r="CC1082" s="271"/>
      <c r="CD1082" s="271"/>
      <c r="CE1082" s="271"/>
      <c r="CF1082" s="271"/>
      <c r="CG1082" s="271"/>
      <c r="CH1082" s="271"/>
      <c r="CI1082" s="271"/>
      <c r="CJ1082" s="271"/>
      <c r="CK1082" s="271"/>
      <c r="CL1082" s="271"/>
      <c r="CM1082" s="271"/>
      <c r="CN1082" s="235">
        <f t="shared" si="547"/>
        <v>59341333.333333336</v>
      </c>
      <c r="CO1082" s="271"/>
      <c r="CP1082" s="271"/>
      <c r="CQ1082" s="271"/>
      <c r="CR1082" s="271">
        <v>62832000.000000007</v>
      </c>
      <c r="CS1082" s="271"/>
      <c r="CT1082" s="271"/>
      <c r="CU1082" s="271"/>
      <c r="CV1082" s="271"/>
      <c r="CW1082" s="271"/>
      <c r="CX1082" s="271"/>
      <c r="CY1082" s="271"/>
      <c r="CZ1082" s="271"/>
      <c r="DA1082" s="271"/>
      <c r="DB1082" s="271"/>
      <c r="DC1082" s="271"/>
      <c r="DD1082" s="234">
        <f t="shared" si="548"/>
        <v>62832000.000000007</v>
      </c>
      <c r="DE1082" s="244">
        <f t="shared" si="549"/>
        <v>176528000</v>
      </c>
    </row>
    <row r="1083" spans="1:109" s="99" customFormat="1" ht="119.1" customHeight="1">
      <c r="A1083" s="103" t="s">
        <v>1257</v>
      </c>
      <c r="B1083" s="279" t="s">
        <v>2051</v>
      </c>
      <c r="C1083" s="279" t="s">
        <v>2208</v>
      </c>
      <c r="D1083" s="279">
        <v>102</v>
      </c>
      <c r="E1083" s="279" t="s">
        <v>2209</v>
      </c>
      <c r="F1083" s="280" t="s">
        <v>531</v>
      </c>
      <c r="G1083" s="279" t="s">
        <v>3034</v>
      </c>
      <c r="H1083" s="279">
        <v>123</v>
      </c>
      <c r="I1083" s="279" t="s">
        <v>2210</v>
      </c>
      <c r="J1083" s="279" t="s">
        <v>2211</v>
      </c>
      <c r="K1083" s="110">
        <v>121877218559</v>
      </c>
      <c r="L1083" s="110">
        <v>92792129179</v>
      </c>
      <c r="M1083" s="279" t="s">
        <v>2215</v>
      </c>
      <c r="N1083" s="279" t="s">
        <v>2216</v>
      </c>
      <c r="O1083" s="279" t="s">
        <v>535</v>
      </c>
      <c r="P1083" s="283">
        <v>948</v>
      </c>
      <c r="Q1083" s="279" t="s">
        <v>3048</v>
      </c>
      <c r="R1083" s="279" t="s">
        <v>2218</v>
      </c>
      <c r="S1083" s="279" t="s">
        <v>683</v>
      </c>
      <c r="T1083" s="279">
        <v>2000</v>
      </c>
      <c r="U1083" s="267">
        <v>1000</v>
      </c>
      <c r="V1083" s="267">
        <v>1000</v>
      </c>
      <c r="W1083" s="224">
        <v>2000</v>
      </c>
      <c r="X1083" s="267"/>
      <c r="Y1083" s="267"/>
      <c r="Z1083" s="267">
        <v>1000</v>
      </c>
      <c r="AA1083" s="267">
        <v>1000</v>
      </c>
      <c r="AB1083" s="224">
        <v>2000</v>
      </c>
      <c r="AC1083" s="267"/>
      <c r="AD1083" s="267"/>
      <c r="AE1083" s="267">
        <v>1000</v>
      </c>
      <c r="AF1083" s="267">
        <v>1000</v>
      </c>
      <c r="AG1083" s="224">
        <v>2000</v>
      </c>
      <c r="AH1083" s="267"/>
      <c r="AI1083" s="267"/>
      <c r="AJ1083" s="267">
        <v>1000</v>
      </c>
      <c r="AK1083" s="267">
        <v>1000</v>
      </c>
      <c r="AL1083" s="224">
        <v>2000</v>
      </c>
      <c r="AM1083" s="104">
        <v>2000</v>
      </c>
      <c r="AN1083" s="103" t="s">
        <v>686</v>
      </c>
      <c r="AO1083" s="103" t="s">
        <v>1212</v>
      </c>
      <c r="AP1083" s="103" t="s">
        <v>1229</v>
      </c>
      <c r="AQ1083" s="103" t="s">
        <v>1207</v>
      </c>
      <c r="AR1083" s="103" t="s">
        <v>951</v>
      </c>
      <c r="AS1083" s="271"/>
      <c r="AT1083" s="271"/>
      <c r="AU1083" s="271"/>
      <c r="AV1083" s="271">
        <v>30000000</v>
      </c>
      <c r="AW1083" s="271"/>
      <c r="AX1083" s="271"/>
      <c r="AY1083" s="271"/>
      <c r="AZ1083" s="271"/>
      <c r="BA1083" s="271"/>
      <c r="BB1083" s="271"/>
      <c r="BC1083" s="271"/>
      <c r="BD1083" s="271"/>
      <c r="BE1083" s="271"/>
      <c r="BF1083" s="271"/>
      <c r="BG1083" s="271"/>
      <c r="BH1083" s="235">
        <f t="shared" si="545"/>
        <v>30000000</v>
      </c>
      <c r="BI1083" s="271"/>
      <c r="BJ1083" s="271"/>
      <c r="BK1083" s="271"/>
      <c r="BL1083" s="271">
        <v>16500000</v>
      </c>
      <c r="BM1083" s="271"/>
      <c r="BN1083" s="271"/>
      <c r="BO1083" s="271"/>
      <c r="BP1083" s="271"/>
      <c r="BQ1083" s="271"/>
      <c r="BR1083" s="271"/>
      <c r="BS1083" s="271"/>
      <c r="BT1083" s="271"/>
      <c r="BU1083" s="271"/>
      <c r="BV1083" s="271"/>
      <c r="BW1083" s="271"/>
      <c r="BX1083" s="235">
        <f t="shared" si="546"/>
        <v>16500000</v>
      </c>
      <c r="BY1083" s="271"/>
      <c r="BZ1083" s="271"/>
      <c r="CA1083" s="271"/>
      <c r="CB1083" s="271">
        <v>17250000</v>
      </c>
      <c r="CC1083" s="271"/>
      <c r="CD1083" s="271"/>
      <c r="CE1083" s="271"/>
      <c r="CF1083" s="271"/>
      <c r="CG1083" s="271"/>
      <c r="CH1083" s="271"/>
      <c r="CI1083" s="271"/>
      <c r="CJ1083" s="271"/>
      <c r="CK1083" s="271"/>
      <c r="CL1083" s="271"/>
      <c r="CM1083" s="271"/>
      <c r="CN1083" s="235">
        <f t="shared" si="547"/>
        <v>17250000</v>
      </c>
      <c r="CO1083" s="271"/>
      <c r="CP1083" s="271"/>
      <c r="CQ1083" s="271"/>
      <c r="CR1083" s="271">
        <v>18900000</v>
      </c>
      <c r="CS1083" s="271"/>
      <c r="CT1083" s="271"/>
      <c r="CU1083" s="271"/>
      <c r="CV1083" s="271"/>
      <c r="CW1083" s="271"/>
      <c r="CX1083" s="271"/>
      <c r="CY1083" s="271"/>
      <c r="CZ1083" s="271"/>
      <c r="DA1083" s="271"/>
      <c r="DB1083" s="271"/>
      <c r="DC1083" s="271"/>
      <c r="DD1083" s="234">
        <f t="shared" si="548"/>
        <v>18900000</v>
      </c>
      <c r="DE1083" s="244">
        <f t="shared" si="549"/>
        <v>82650000</v>
      </c>
    </row>
    <row r="1084" spans="1:109" s="99" customFormat="1" ht="119.1" customHeight="1">
      <c r="A1084" s="103" t="s">
        <v>1257</v>
      </c>
      <c r="B1084" s="279" t="s">
        <v>2051</v>
      </c>
      <c r="C1084" s="279" t="s">
        <v>2208</v>
      </c>
      <c r="D1084" s="279">
        <v>102</v>
      </c>
      <c r="E1084" s="279" t="s">
        <v>2209</v>
      </c>
      <c r="F1084" s="280" t="s">
        <v>531</v>
      </c>
      <c r="G1084" s="279" t="s">
        <v>3034</v>
      </c>
      <c r="H1084" s="279">
        <v>123</v>
      </c>
      <c r="I1084" s="279" t="s">
        <v>2210</v>
      </c>
      <c r="J1084" s="279" t="s">
        <v>2211</v>
      </c>
      <c r="K1084" s="110">
        <v>121877218559</v>
      </c>
      <c r="L1084" s="110">
        <v>92792129179</v>
      </c>
      <c r="M1084" s="279" t="s">
        <v>2215</v>
      </c>
      <c r="N1084" s="279" t="s">
        <v>2216</v>
      </c>
      <c r="O1084" s="279" t="s">
        <v>535</v>
      </c>
      <c r="P1084" s="283">
        <v>949</v>
      </c>
      <c r="Q1084" s="279" t="s">
        <v>3256</v>
      </c>
      <c r="R1084" s="279" t="s">
        <v>2218</v>
      </c>
      <c r="S1084" s="279" t="s">
        <v>683</v>
      </c>
      <c r="T1084" s="279">
        <v>2000</v>
      </c>
      <c r="U1084" s="267"/>
      <c r="V1084" s="267"/>
      <c r="W1084" s="224">
        <v>0</v>
      </c>
      <c r="X1084" s="267"/>
      <c r="Y1084" s="267"/>
      <c r="Z1084" s="267">
        <v>500</v>
      </c>
      <c r="AA1084" s="267">
        <v>500</v>
      </c>
      <c r="AB1084" s="224">
        <v>1000</v>
      </c>
      <c r="AC1084" s="267"/>
      <c r="AD1084" s="267"/>
      <c r="AE1084" s="267">
        <v>500</v>
      </c>
      <c r="AF1084" s="267">
        <v>500</v>
      </c>
      <c r="AG1084" s="224">
        <v>1000</v>
      </c>
      <c r="AH1084" s="267"/>
      <c r="AI1084" s="267"/>
      <c r="AJ1084" s="267">
        <v>500</v>
      </c>
      <c r="AK1084" s="267">
        <v>500</v>
      </c>
      <c r="AL1084" s="224">
        <v>1000</v>
      </c>
      <c r="AM1084" s="104">
        <v>3000</v>
      </c>
      <c r="AN1084" s="103" t="s">
        <v>685</v>
      </c>
      <c r="AO1084" s="103" t="s">
        <v>1212</v>
      </c>
      <c r="AP1084" s="103" t="s">
        <v>1229</v>
      </c>
      <c r="AQ1084" s="103" t="s">
        <v>1207</v>
      </c>
      <c r="AR1084" s="103" t="s">
        <v>951</v>
      </c>
      <c r="AS1084" s="271"/>
      <c r="AT1084" s="271"/>
      <c r="AU1084" s="271"/>
      <c r="AV1084" s="271"/>
      <c r="AW1084" s="271"/>
      <c r="AX1084" s="271"/>
      <c r="AY1084" s="271"/>
      <c r="AZ1084" s="271"/>
      <c r="BA1084" s="271"/>
      <c r="BB1084" s="271"/>
      <c r="BC1084" s="271"/>
      <c r="BD1084" s="271"/>
      <c r="BE1084" s="271"/>
      <c r="BF1084" s="271"/>
      <c r="BG1084" s="271"/>
      <c r="BH1084" s="235">
        <f t="shared" si="545"/>
        <v>0</v>
      </c>
      <c r="BI1084" s="271"/>
      <c r="BJ1084" s="271"/>
      <c r="BK1084" s="271"/>
      <c r="BL1084" s="271">
        <v>16500000</v>
      </c>
      <c r="BM1084" s="271"/>
      <c r="BN1084" s="271"/>
      <c r="BO1084" s="271"/>
      <c r="BP1084" s="271"/>
      <c r="BQ1084" s="271"/>
      <c r="BR1084" s="271"/>
      <c r="BS1084" s="271"/>
      <c r="BT1084" s="271"/>
      <c r="BU1084" s="271"/>
      <c r="BV1084" s="271"/>
      <c r="BW1084" s="271"/>
      <c r="BX1084" s="235">
        <f t="shared" si="546"/>
        <v>16500000</v>
      </c>
      <c r="BY1084" s="271"/>
      <c r="BZ1084" s="271"/>
      <c r="CA1084" s="271"/>
      <c r="CB1084" s="271">
        <v>17250000</v>
      </c>
      <c r="CC1084" s="271"/>
      <c r="CD1084" s="271"/>
      <c r="CE1084" s="271"/>
      <c r="CF1084" s="271"/>
      <c r="CG1084" s="271"/>
      <c r="CH1084" s="271"/>
      <c r="CI1084" s="271"/>
      <c r="CJ1084" s="271"/>
      <c r="CK1084" s="271"/>
      <c r="CL1084" s="271"/>
      <c r="CM1084" s="271"/>
      <c r="CN1084" s="235">
        <f t="shared" si="547"/>
        <v>17250000</v>
      </c>
      <c r="CO1084" s="271"/>
      <c r="CP1084" s="271"/>
      <c r="CQ1084" s="271"/>
      <c r="CR1084" s="271">
        <v>18900000</v>
      </c>
      <c r="CS1084" s="271"/>
      <c r="CT1084" s="271"/>
      <c r="CU1084" s="271"/>
      <c r="CV1084" s="271"/>
      <c r="CW1084" s="271"/>
      <c r="CX1084" s="271"/>
      <c r="CY1084" s="271"/>
      <c r="CZ1084" s="271"/>
      <c r="DA1084" s="271"/>
      <c r="DB1084" s="271"/>
      <c r="DC1084" s="271"/>
      <c r="DD1084" s="234">
        <f t="shared" si="548"/>
        <v>18900000</v>
      </c>
      <c r="DE1084" s="244">
        <f t="shared" si="549"/>
        <v>52650000</v>
      </c>
    </row>
    <row r="1085" spans="1:109" s="99" customFormat="1" ht="119.1" customHeight="1">
      <c r="A1085" s="103" t="s">
        <v>1257</v>
      </c>
      <c r="B1085" s="279" t="s">
        <v>2051</v>
      </c>
      <c r="C1085" s="279" t="s">
        <v>2208</v>
      </c>
      <c r="D1085" s="279">
        <v>102</v>
      </c>
      <c r="E1085" s="279" t="s">
        <v>2209</v>
      </c>
      <c r="F1085" s="280" t="s">
        <v>531</v>
      </c>
      <c r="G1085" s="279" t="s">
        <v>3034</v>
      </c>
      <c r="H1085" s="279">
        <v>123</v>
      </c>
      <c r="I1085" s="279" t="s">
        <v>2210</v>
      </c>
      <c r="J1085" s="279" t="s">
        <v>2211</v>
      </c>
      <c r="K1085" s="110">
        <v>121877218559</v>
      </c>
      <c r="L1085" s="110">
        <v>92792129179</v>
      </c>
      <c r="M1085" s="279" t="s">
        <v>2219</v>
      </c>
      <c r="N1085" s="279" t="s">
        <v>2220</v>
      </c>
      <c r="O1085" s="279" t="s">
        <v>2221</v>
      </c>
      <c r="P1085" s="283">
        <v>950</v>
      </c>
      <c r="Q1085" s="279" t="s">
        <v>3049</v>
      </c>
      <c r="R1085" s="279" t="s">
        <v>544</v>
      </c>
      <c r="S1085" s="279" t="s">
        <v>677</v>
      </c>
      <c r="T1085" s="279">
        <v>85</v>
      </c>
      <c r="U1085" s="267">
        <v>50</v>
      </c>
      <c r="V1085" s="267">
        <v>35</v>
      </c>
      <c r="W1085" s="224">
        <v>85</v>
      </c>
      <c r="X1085" s="267"/>
      <c r="Y1085" s="267">
        <v>40</v>
      </c>
      <c r="Z1085" s="267"/>
      <c r="AA1085" s="267">
        <v>45</v>
      </c>
      <c r="AB1085" s="224">
        <v>85</v>
      </c>
      <c r="AC1085" s="267"/>
      <c r="AD1085" s="267">
        <v>40</v>
      </c>
      <c r="AE1085" s="267"/>
      <c r="AF1085" s="267">
        <v>45</v>
      </c>
      <c r="AG1085" s="224">
        <v>85</v>
      </c>
      <c r="AH1085" s="267"/>
      <c r="AI1085" s="267">
        <v>40</v>
      </c>
      <c r="AJ1085" s="267"/>
      <c r="AK1085" s="267">
        <v>45</v>
      </c>
      <c r="AL1085" s="224">
        <v>85</v>
      </c>
      <c r="AM1085" s="104">
        <v>85</v>
      </c>
      <c r="AN1085" s="103" t="s">
        <v>686</v>
      </c>
      <c r="AO1085" s="103" t="s">
        <v>1212</v>
      </c>
      <c r="AP1085" s="103" t="s">
        <v>1229</v>
      </c>
      <c r="AQ1085" s="103" t="s">
        <v>1207</v>
      </c>
      <c r="AR1085" s="103" t="s">
        <v>951</v>
      </c>
      <c r="AS1085" s="271"/>
      <c r="AT1085" s="271"/>
      <c r="AU1085" s="271"/>
      <c r="AV1085" s="271">
        <v>9809170.5600001812</v>
      </c>
      <c r="AW1085" s="271"/>
      <c r="AX1085" s="271"/>
      <c r="AY1085" s="271"/>
      <c r="AZ1085" s="271"/>
      <c r="BA1085" s="271"/>
      <c r="BB1085" s="271"/>
      <c r="BC1085" s="271"/>
      <c r="BD1085" s="271"/>
      <c r="BE1085" s="271"/>
      <c r="BF1085" s="271"/>
      <c r="BG1085" s="271"/>
      <c r="BH1085" s="235">
        <f t="shared" si="545"/>
        <v>9809170.5600001812</v>
      </c>
      <c r="BI1085" s="271"/>
      <c r="BJ1085" s="271"/>
      <c r="BK1085" s="271"/>
      <c r="BL1085" s="271">
        <v>5395005</v>
      </c>
      <c r="BM1085" s="271"/>
      <c r="BN1085" s="271"/>
      <c r="BO1085" s="271"/>
      <c r="BP1085" s="271"/>
      <c r="BQ1085" s="271"/>
      <c r="BR1085" s="271"/>
      <c r="BS1085" s="271"/>
      <c r="BT1085" s="271"/>
      <c r="BU1085" s="271"/>
      <c r="BV1085" s="271"/>
      <c r="BW1085" s="271"/>
      <c r="BX1085" s="235">
        <f t="shared" si="546"/>
        <v>5395005</v>
      </c>
      <c r="BY1085" s="271"/>
      <c r="BZ1085" s="271"/>
      <c r="CA1085" s="271"/>
      <c r="CB1085" s="271">
        <v>6743756.25</v>
      </c>
      <c r="CC1085" s="271"/>
      <c r="CD1085" s="271"/>
      <c r="CE1085" s="271"/>
      <c r="CF1085" s="271"/>
      <c r="CG1085" s="271"/>
      <c r="CH1085" s="271"/>
      <c r="CI1085" s="271"/>
      <c r="CJ1085" s="271"/>
      <c r="CK1085" s="271"/>
      <c r="CL1085" s="271"/>
      <c r="CM1085" s="271"/>
      <c r="CN1085" s="235">
        <f t="shared" si="547"/>
        <v>6743756.25</v>
      </c>
      <c r="CO1085" s="271"/>
      <c r="CP1085" s="271"/>
      <c r="CQ1085" s="271"/>
      <c r="CR1085" s="271">
        <v>8564570.4375</v>
      </c>
      <c r="CS1085" s="271"/>
      <c r="CT1085" s="271"/>
      <c r="CU1085" s="271"/>
      <c r="CV1085" s="271"/>
      <c r="CW1085" s="271"/>
      <c r="CX1085" s="271"/>
      <c r="CY1085" s="271"/>
      <c r="CZ1085" s="271"/>
      <c r="DA1085" s="271"/>
      <c r="DB1085" s="271"/>
      <c r="DC1085" s="271"/>
      <c r="DD1085" s="234">
        <f t="shared" si="548"/>
        <v>8564570.4375</v>
      </c>
      <c r="DE1085" s="244">
        <f t="shared" si="549"/>
        <v>30512502.247500181</v>
      </c>
    </row>
    <row r="1086" spans="1:109" s="99" customFormat="1" ht="119.1" customHeight="1">
      <c r="A1086" s="120" t="s">
        <v>1257</v>
      </c>
      <c r="B1086" s="281" t="s">
        <v>2051</v>
      </c>
      <c r="C1086" s="281" t="s">
        <v>2208</v>
      </c>
      <c r="D1086" s="281">
        <v>102</v>
      </c>
      <c r="E1086" s="281" t="s">
        <v>2209</v>
      </c>
      <c r="F1086" s="282" t="s">
        <v>531</v>
      </c>
      <c r="G1086" s="281" t="s">
        <v>3034</v>
      </c>
      <c r="H1086" s="281">
        <v>123</v>
      </c>
      <c r="I1086" s="281" t="s">
        <v>2210</v>
      </c>
      <c r="J1086" s="281" t="s">
        <v>2211</v>
      </c>
      <c r="K1086" s="123">
        <v>121877218559</v>
      </c>
      <c r="L1086" s="123">
        <v>92792129179</v>
      </c>
      <c r="M1086" s="281" t="s">
        <v>2219</v>
      </c>
      <c r="N1086" s="281" t="s">
        <v>2220</v>
      </c>
      <c r="O1086" s="281" t="s">
        <v>2221</v>
      </c>
      <c r="P1086" s="283">
        <v>951</v>
      </c>
      <c r="Q1086" s="281" t="s">
        <v>3050</v>
      </c>
      <c r="R1086" s="281" t="s">
        <v>544</v>
      </c>
      <c r="S1086" s="281" t="s">
        <v>677</v>
      </c>
      <c r="T1086" s="281">
        <v>85</v>
      </c>
      <c r="U1086" s="275"/>
      <c r="V1086" s="275"/>
      <c r="W1086" s="225">
        <v>0</v>
      </c>
      <c r="X1086" s="275"/>
      <c r="Y1086" s="275"/>
      <c r="Z1086" s="275"/>
      <c r="AA1086" s="275">
        <v>5</v>
      </c>
      <c r="AB1086" s="225">
        <v>5</v>
      </c>
      <c r="AC1086" s="275"/>
      <c r="AD1086" s="275"/>
      <c r="AE1086" s="275"/>
      <c r="AF1086" s="275">
        <v>5</v>
      </c>
      <c r="AG1086" s="225">
        <v>5</v>
      </c>
      <c r="AH1086" s="275"/>
      <c r="AI1086" s="275"/>
      <c r="AJ1086" s="275"/>
      <c r="AK1086" s="275">
        <v>5</v>
      </c>
      <c r="AL1086" s="225">
        <v>5</v>
      </c>
      <c r="AM1086" s="119">
        <v>15</v>
      </c>
      <c r="AN1086" s="120" t="s">
        <v>685</v>
      </c>
      <c r="AO1086" s="120" t="s">
        <v>1212</v>
      </c>
      <c r="AP1086" s="120" t="s">
        <v>1229</v>
      </c>
      <c r="AQ1086" s="120" t="s">
        <v>1207</v>
      </c>
      <c r="AR1086" s="120" t="s">
        <v>951</v>
      </c>
      <c r="AS1086" s="276"/>
      <c r="AT1086" s="276"/>
      <c r="AU1086" s="276"/>
      <c r="AV1086" s="276"/>
      <c r="AW1086" s="276"/>
      <c r="AX1086" s="276"/>
      <c r="AY1086" s="276"/>
      <c r="AZ1086" s="276"/>
      <c r="BA1086" s="276"/>
      <c r="BB1086" s="276"/>
      <c r="BC1086" s="276"/>
      <c r="BD1086" s="276"/>
      <c r="BE1086" s="276"/>
      <c r="BF1086" s="276"/>
      <c r="BG1086" s="276"/>
      <c r="BH1086" s="236">
        <f t="shared" si="545"/>
        <v>0</v>
      </c>
      <c r="BI1086" s="276"/>
      <c r="BJ1086" s="276"/>
      <c r="BK1086" s="276"/>
      <c r="BL1086" s="276">
        <v>5395159.23090267</v>
      </c>
      <c r="BM1086" s="276"/>
      <c r="BN1086" s="276"/>
      <c r="BO1086" s="276"/>
      <c r="BP1086" s="276"/>
      <c r="BQ1086" s="276"/>
      <c r="BR1086" s="276"/>
      <c r="BS1086" s="276"/>
      <c r="BT1086" s="276"/>
      <c r="BU1086" s="276"/>
      <c r="BV1086" s="276"/>
      <c r="BW1086" s="276"/>
      <c r="BX1086" s="236">
        <f t="shared" si="546"/>
        <v>5395159.23090267</v>
      </c>
      <c r="BY1086" s="276"/>
      <c r="BZ1086" s="276"/>
      <c r="CA1086" s="276"/>
      <c r="CB1086" s="276">
        <v>6211580.0329334736</v>
      </c>
      <c r="CC1086" s="276"/>
      <c r="CD1086" s="276"/>
      <c r="CE1086" s="276"/>
      <c r="CF1086" s="276"/>
      <c r="CG1086" s="276"/>
      <c r="CH1086" s="276"/>
      <c r="CI1086" s="276"/>
      <c r="CJ1086" s="276"/>
      <c r="CK1086" s="276"/>
      <c r="CL1086" s="276"/>
      <c r="CM1086" s="276"/>
      <c r="CN1086" s="236">
        <f t="shared" si="547"/>
        <v>6211580.0329334736</v>
      </c>
      <c r="CO1086" s="276"/>
      <c r="CP1086" s="276"/>
      <c r="CQ1086" s="276"/>
      <c r="CR1086" s="276">
        <v>8943517.2011666298</v>
      </c>
      <c r="CS1086" s="276"/>
      <c r="CT1086" s="276"/>
      <c r="CU1086" s="276"/>
      <c r="CV1086" s="276"/>
      <c r="CW1086" s="276"/>
      <c r="CX1086" s="276"/>
      <c r="CY1086" s="276"/>
      <c r="CZ1086" s="276"/>
      <c r="DA1086" s="276"/>
      <c r="DB1086" s="276"/>
      <c r="DC1086" s="276"/>
      <c r="DD1086" s="240">
        <f t="shared" si="548"/>
        <v>8943517.2011666298</v>
      </c>
      <c r="DE1086" s="245">
        <f t="shared" si="549"/>
        <v>20550256.465002775</v>
      </c>
    </row>
    <row r="1087" spans="1:109" s="46" customFormat="1" ht="65.099999999999994" customHeight="1">
      <c r="A1087" s="134" t="s">
        <v>1257</v>
      </c>
      <c r="B1087" s="134" t="s">
        <v>2051</v>
      </c>
      <c r="C1087" s="134" t="s">
        <v>2208</v>
      </c>
      <c r="D1087" s="134">
        <v>102</v>
      </c>
      <c r="E1087" s="134" t="s">
        <v>2209</v>
      </c>
      <c r="F1087" s="135"/>
      <c r="G1087" s="136"/>
      <c r="H1087" s="137"/>
      <c r="I1087" s="137"/>
      <c r="J1087" s="137"/>
      <c r="K1087" s="138"/>
      <c r="L1087" s="137"/>
      <c r="M1087" s="137"/>
      <c r="N1087" s="137"/>
      <c r="O1087" s="137"/>
      <c r="P1087" s="137"/>
      <c r="Q1087" s="136"/>
      <c r="R1087" s="139"/>
      <c r="S1087" s="137"/>
      <c r="T1087" s="137"/>
      <c r="U1087" s="140"/>
      <c r="V1087" s="140"/>
      <c r="W1087" s="138"/>
      <c r="X1087" s="140"/>
      <c r="Y1087" s="140"/>
      <c r="Z1087" s="140"/>
      <c r="AA1087" s="140"/>
      <c r="AB1087" s="138"/>
      <c r="AC1087" s="140"/>
      <c r="AD1087" s="140"/>
      <c r="AE1087" s="140"/>
      <c r="AF1087" s="140"/>
      <c r="AG1087" s="138"/>
      <c r="AH1087" s="140"/>
      <c r="AI1087" s="140"/>
      <c r="AJ1087" s="140"/>
      <c r="AK1087" s="140"/>
      <c r="AL1087" s="138"/>
      <c r="AM1087" s="141"/>
      <c r="AN1087" s="142"/>
      <c r="AO1087" s="142"/>
      <c r="AP1087" s="143"/>
      <c r="AQ1087" s="143"/>
      <c r="AR1087" s="144"/>
      <c r="AS1087" s="132">
        <f>SUM(AS1069:AS1086)</f>
        <v>0</v>
      </c>
      <c r="AT1087" s="132">
        <f t="shared" ref="AT1087:DE1087" si="550">SUM(AT1069:AT1086)</f>
        <v>0</v>
      </c>
      <c r="AU1087" s="132">
        <f t="shared" si="550"/>
        <v>0</v>
      </c>
      <c r="AV1087" s="132">
        <f t="shared" si="550"/>
        <v>1200000000.0000002</v>
      </c>
      <c r="AW1087" s="132">
        <f t="shared" si="550"/>
        <v>0</v>
      </c>
      <c r="AX1087" s="132">
        <f t="shared" si="550"/>
        <v>0</v>
      </c>
      <c r="AY1087" s="132">
        <f t="shared" si="550"/>
        <v>0</v>
      </c>
      <c r="AZ1087" s="132">
        <f t="shared" si="550"/>
        <v>0</v>
      </c>
      <c r="BA1087" s="132">
        <f t="shared" si="550"/>
        <v>0</v>
      </c>
      <c r="BB1087" s="132">
        <f t="shared" si="550"/>
        <v>0</v>
      </c>
      <c r="BC1087" s="132">
        <f t="shared" si="550"/>
        <v>0</v>
      </c>
      <c r="BD1087" s="132">
        <f t="shared" si="550"/>
        <v>0</v>
      </c>
      <c r="BE1087" s="132">
        <f t="shared" si="550"/>
        <v>0</v>
      </c>
      <c r="BF1087" s="132">
        <f t="shared" si="550"/>
        <v>0</v>
      </c>
      <c r="BG1087" s="132">
        <f t="shared" si="550"/>
        <v>0</v>
      </c>
      <c r="BH1087" s="133">
        <f>IF(OR(AND(BH1069=0,W1069&lt;&gt;0),AND(BH1070=0,W1070&lt;&gt;0),AND(BH1071=0,W1071&lt;&gt;0),AND(BH1072=0,W1072&lt;&gt;0),AND(BH1073=0,W1073&lt;&gt;0),AND(BH1074=0,W1074&lt;&gt;0),AND(BH1075=0,W1075&lt;&gt;0),AND(BH1076=0,W1076&lt;&gt;0),AND(BH1077=0,W1077&lt;&gt;0),AND(BH1078=0,W1078&lt;&gt;0),AND(BH1079=0,W1079&lt;&gt;0),AND(BH1080=0,W1080&lt;&gt;0),AND(BH1081=0,W1081&lt;&gt;0),AND(BH1082=0,W1082&lt;&gt;0),AND(BH1083=0,W1083&lt;&gt;0),AND(BH1084=0,W1084&lt;&gt;0),AND(BH1085=0,W1085&lt;&gt;0),AND(BH1086=0,W1086&lt;&gt;0)),"NO DEBEN QUEDAR CELDAS EN ROJO",SUM(BH1069:BH1086))</f>
        <v>1200000000.0000002</v>
      </c>
      <c r="BI1087" s="132">
        <f t="shared" si="550"/>
        <v>0</v>
      </c>
      <c r="BJ1087" s="132">
        <f t="shared" si="550"/>
        <v>0</v>
      </c>
      <c r="BK1087" s="132">
        <f t="shared" si="550"/>
        <v>0</v>
      </c>
      <c r="BL1087" s="132">
        <f t="shared" si="550"/>
        <v>1260000000</v>
      </c>
      <c r="BM1087" s="132">
        <f t="shared" si="550"/>
        <v>0</v>
      </c>
      <c r="BN1087" s="132">
        <f t="shared" si="550"/>
        <v>0</v>
      </c>
      <c r="BO1087" s="132">
        <f t="shared" si="550"/>
        <v>0</v>
      </c>
      <c r="BP1087" s="132">
        <f t="shared" si="550"/>
        <v>0</v>
      </c>
      <c r="BQ1087" s="132">
        <f t="shared" si="550"/>
        <v>0</v>
      </c>
      <c r="BR1087" s="132">
        <f t="shared" si="550"/>
        <v>0</v>
      </c>
      <c r="BS1087" s="132">
        <f t="shared" si="550"/>
        <v>0</v>
      </c>
      <c r="BT1087" s="132">
        <f t="shared" si="550"/>
        <v>0</v>
      </c>
      <c r="BU1087" s="132">
        <f t="shared" si="550"/>
        <v>0</v>
      </c>
      <c r="BV1087" s="132">
        <f t="shared" si="550"/>
        <v>0</v>
      </c>
      <c r="BW1087" s="132">
        <f t="shared" si="550"/>
        <v>0</v>
      </c>
      <c r="BX1087" s="133">
        <f>IF(OR(AND(BX1069=0,AB1069&lt;&gt;0),AND(BX1070=0,AB1070&lt;&gt;0),AND(BX1071=0,AB1071&lt;&gt;0),AND(BX1072=0,AB1072&lt;&gt;0),AND(BX1073=0,AB1073&lt;&gt;0),AND(BX1074=0,AB1074&lt;&gt;0),AND(BX1075=0,AB1075&lt;&gt;0),AND(BX1076=0,AB1076&lt;&gt;0),AND(BX1077=0,AB1077&lt;&gt;0),AND(BX1078=0,AB1078&lt;&gt;0),AND(BX1079=0,AB1079&lt;&gt;0),AND(BX1080=0,AB1080&lt;&gt;0),AND(BX1081=0,AB1081&lt;&gt;0),AND(BX1082=0,AB1082&lt;&gt;0),AND(BX1083=0,AB1083&lt;&gt;0),AND(BX1084=0,AB1084&lt;&gt;0),AND(BX1085=0,AB1085&lt;&gt;0),AND(BX1086=0,AB1086&lt;&gt;0)),"NO DEBEN QUEDAR CELDAS EN ROJO",SUM(BX1069:BX1086))</f>
        <v>1260000000</v>
      </c>
      <c r="BY1087" s="132">
        <f t="shared" si="550"/>
        <v>0</v>
      </c>
      <c r="BZ1087" s="132">
        <f t="shared" si="550"/>
        <v>0</v>
      </c>
      <c r="CA1087" s="132">
        <f t="shared" si="550"/>
        <v>0</v>
      </c>
      <c r="CB1087" s="132">
        <f t="shared" si="550"/>
        <v>1323000000</v>
      </c>
      <c r="CC1087" s="132">
        <f t="shared" si="550"/>
        <v>0</v>
      </c>
      <c r="CD1087" s="132">
        <f t="shared" si="550"/>
        <v>0</v>
      </c>
      <c r="CE1087" s="132">
        <f t="shared" si="550"/>
        <v>0</v>
      </c>
      <c r="CF1087" s="132">
        <f t="shared" si="550"/>
        <v>0</v>
      </c>
      <c r="CG1087" s="132">
        <f t="shared" si="550"/>
        <v>0</v>
      </c>
      <c r="CH1087" s="132">
        <f t="shared" si="550"/>
        <v>0</v>
      </c>
      <c r="CI1087" s="132">
        <f t="shared" si="550"/>
        <v>0</v>
      </c>
      <c r="CJ1087" s="132">
        <f t="shared" si="550"/>
        <v>0</v>
      </c>
      <c r="CK1087" s="132">
        <f t="shared" si="550"/>
        <v>0</v>
      </c>
      <c r="CL1087" s="132">
        <f t="shared" si="550"/>
        <v>0</v>
      </c>
      <c r="CM1087" s="132">
        <f t="shared" si="550"/>
        <v>0</v>
      </c>
      <c r="CN1087" s="133">
        <f>IF(OR(AND(CN1069=0,AG1069&lt;&gt;0),AND(CN1070=0,AG1070&lt;&gt;0),AND(CN1071=0,AG1071&lt;&gt;0),AND(CN1072=0,AG1072&lt;&gt;0),AND(CN1073=0,AG1073&lt;&gt;0),AND(CN1074=0,AG1074&lt;&gt;0),AND(CN1075=0,AG1075&lt;&gt;0),AND(CN1076=0,AG1076&lt;&gt;0),AND(CN1077=0,AG1077&lt;&gt;0),AND(CN1078=0,AG1078&lt;&gt;0),AND(CN1079=0,AG1079&lt;&gt;0),AND(CN1080=0,AG1080&lt;&gt;0),AND(CN1081=0,AG1081&lt;&gt;0),AND(CN1082=0,AG1082&lt;&gt;0),AND(CN1083=0,AG1083&lt;&gt;0),AND(CN1084=0,AG1084&lt;&gt;0),AND(CN1085=0,AG1085&lt;&gt;0),AND(CN1086=0,AG1086&lt;&gt;0)),"NO DEBEN QUEDAR CELDAS EN ROJO",SUM(CN1069:CN1086))</f>
        <v>1323000000</v>
      </c>
      <c r="CO1087" s="132">
        <f t="shared" si="550"/>
        <v>0</v>
      </c>
      <c r="CP1087" s="132">
        <f t="shared" si="550"/>
        <v>0</v>
      </c>
      <c r="CQ1087" s="132">
        <f t="shared" si="550"/>
        <v>0</v>
      </c>
      <c r="CR1087" s="132">
        <f t="shared" si="550"/>
        <v>1389150000</v>
      </c>
      <c r="CS1087" s="132">
        <f t="shared" si="550"/>
        <v>0</v>
      </c>
      <c r="CT1087" s="132">
        <f t="shared" si="550"/>
        <v>0</v>
      </c>
      <c r="CU1087" s="132">
        <f t="shared" si="550"/>
        <v>0</v>
      </c>
      <c r="CV1087" s="132">
        <f t="shared" si="550"/>
        <v>0</v>
      </c>
      <c r="CW1087" s="132">
        <f t="shared" si="550"/>
        <v>0</v>
      </c>
      <c r="CX1087" s="132">
        <f t="shared" si="550"/>
        <v>0</v>
      </c>
      <c r="CY1087" s="132">
        <f t="shared" si="550"/>
        <v>0</v>
      </c>
      <c r="CZ1087" s="132">
        <f t="shared" si="550"/>
        <v>0</v>
      </c>
      <c r="DA1087" s="132">
        <f t="shared" si="550"/>
        <v>0</v>
      </c>
      <c r="DB1087" s="132">
        <f t="shared" si="550"/>
        <v>0</v>
      </c>
      <c r="DC1087" s="132">
        <f t="shared" si="550"/>
        <v>0</v>
      </c>
      <c r="DD1087" s="133">
        <f>IF(OR(AND(DD1069=0,AL1069&lt;&gt;0),AND(DD1070=0,AL1070&lt;&gt;0),AND(DD1071=0,AL1071&lt;&gt;0),AND(DD1072=0,AL1072&lt;&gt;0),AND(DD1073=0,AL1073&lt;&gt;0),AND(DD1074=0,AL1074&lt;&gt;0),AND(DD1075=0,AL1075&lt;&gt;0),AND(DD1076=0,AL1076&lt;&gt;0),AND(DD1077=0,AL1077&lt;&gt;0),AND(DD1078=0,AL1078&lt;&gt;0),AND(DD1079=0,AL1079&lt;&gt;0),AND(DD1080=0,AL1080&lt;&gt;0),AND(DD1081=0,AL1081&lt;&gt;0),AND(DD1082=0,AL1082&lt;&gt;0),AND(DD1083=0,AL1083&lt;&gt;0),AND(DD1084=0,AL1084&lt;&gt;0),AND(DD1085=0,AL1085&lt;&gt;0),AND(DD1086=0,AL1086&lt;&gt;0)),"NO DEBEN QUEDAR CELDAS EN ROJO",SUM(DD1069:DD1086))</f>
        <v>1389150000</v>
      </c>
      <c r="DE1087" s="133">
        <f t="shared" si="550"/>
        <v>5172150000.000001</v>
      </c>
    </row>
    <row r="1088" spans="1:109" s="99" customFormat="1" ht="119.1" customHeight="1">
      <c r="A1088" s="103" t="s">
        <v>1258</v>
      </c>
      <c r="B1088" s="103" t="s">
        <v>2051</v>
      </c>
      <c r="C1088" s="103" t="s">
        <v>2208</v>
      </c>
      <c r="D1088" s="103">
        <v>103</v>
      </c>
      <c r="E1088" s="103" t="s">
        <v>2222</v>
      </c>
      <c r="F1088" s="278" t="s">
        <v>2223</v>
      </c>
      <c r="G1088" s="103" t="s">
        <v>3023</v>
      </c>
      <c r="H1088" s="103">
        <v>124</v>
      </c>
      <c r="I1088" s="103" t="s">
        <v>2224</v>
      </c>
      <c r="J1088" s="103" t="s">
        <v>2211</v>
      </c>
      <c r="K1088" s="313">
        <v>9110614000</v>
      </c>
      <c r="L1088" s="315">
        <v>102503105.82799999</v>
      </c>
      <c r="M1088" s="103" t="s">
        <v>2225</v>
      </c>
      <c r="N1088" s="103" t="s">
        <v>2226</v>
      </c>
      <c r="O1088" s="103" t="s">
        <v>2227</v>
      </c>
      <c r="P1088" s="283">
        <v>952</v>
      </c>
      <c r="Q1088" s="103" t="s">
        <v>3806</v>
      </c>
      <c r="R1088" s="103" t="s">
        <v>545</v>
      </c>
      <c r="S1088" s="103" t="s">
        <v>683</v>
      </c>
      <c r="T1088" s="103">
        <v>60</v>
      </c>
      <c r="U1088" s="267">
        <v>30</v>
      </c>
      <c r="V1088" s="267">
        <v>30</v>
      </c>
      <c r="W1088" s="224">
        <v>60</v>
      </c>
      <c r="X1088" s="267">
        <v>15</v>
      </c>
      <c r="Y1088" s="267">
        <v>15</v>
      </c>
      <c r="Z1088" s="267">
        <v>15</v>
      </c>
      <c r="AA1088" s="267">
        <v>15</v>
      </c>
      <c r="AB1088" s="224">
        <v>60</v>
      </c>
      <c r="AC1088" s="267">
        <v>15</v>
      </c>
      <c r="AD1088" s="267">
        <v>15</v>
      </c>
      <c r="AE1088" s="267">
        <v>15</v>
      </c>
      <c r="AF1088" s="267">
        <v>15</v>
      </c>
      <c r="AG1088" s="224">
        <v>60</v>
      </c>
      <c r="AH1088" s="267">
        <v>15</v>
      </c>
      <c r="AI1088" s="267">
        <v>15</v>
      </c>
      <c r="AJ1088" s="267">
        <v>15</v>
      </c>
      <c r="AK1088" s="267">
        <v>15</v>
      </c>
      <c r="AL1088" s="224">
        <v>60</v>
      </c>
      <c r="AM1088" s="102">
        <v>60</v>
      </c>
      <c r="AN1088" s="103" t="s">
        <v>686</v>
      </c>
      <c r="AO1088" s="103" t="s">
        <v>1212</v>
      </c>
      <c r="AP1088" s="103" t="s">
        <v>1229</v>
      </c>
      <c r="AQ1088" s="103" t="s">
        <v>1194</v>
      </c>
      <c r="AR1088" s="103" t="s">
        <v>951</v>
      </c>
      <c r="AS1088" s="268"/>
      <c r="AT1088" s="268"/>
      <c r="AU1088" s="268"/>
      <c r="AV1088" s="268">
        <v>50000</v>
      </c>
      <c r="AW1088" s="268"/>
      <c r="AX1088" s="268"/>
      <c r="AY1088" s="268"/>
      <c r="AZ1088" s="268"/>
      <c r="BA1088" s="268"/>
      <c r="BB1088" s="268"/>
      <c r="BC1088" s="268"/>
      <c r="BD1088" s="268"/>
      <c r="BE1088" s="268"/>
      <c r="BF1088" s="268"/>
      <c r="BG1088" s="268"/>
      <c r="BH1088" s="234">
        <f t="shared" ref="BH1088:BH1106" si="551">IF(W1088=0,0,BG1088+BF1088+BE1088+BD1088+BC1088+BB1088+BA1088+AZ1088+AY1088+AX1088+AW1088+AV1088+AU1088+AT1088+AS1088)</f>
        <v>50000</v>
      </c>
      <c r="BI1088" s="268"/>
      <c r="BJ1088" s="268"/>
      <c r="BK1088" s="268"/>
      <c r="BL1088" s="268">
        <v>50000</v>
      </c>
      <c r="BM1088" s="268"/>
      <c r="BN1088" s="268"/>
      <c r="BO1088" s="268"/>
      <c r="BP1088" s="268"/>
      <c r="BQ1088" s="268"/>
      <c r="BR1088" s="268"/>
      <c r="BS1088" s="268"/>
      <c r="BT1088" s="268"/>
      <c r="BU1088" s="268"/>
      <c r="BV1088" s="268"/>
      <c r="BW1088" s="268"/>
      <c r="BX1088" s="234">
        <f t="shared" ref="BX1088:BX1106" si="552">IF(AB1088=0,0,BI1088+BJ1088+BK1088+BL1088+BM1088+BN1088+BO1088+BP1088+BQ1088+BR1088+BS1088+BT1088+BU1088+BV1088+BW1088)</f>
        <v>50000</v>
      </c>
      <c r="BY1088" s="268"/>
      <c r="BZ1088" s="268"/>
      <c r="CA1088" s="268"/>
      <c r="CB1088" s="268">
        <v>50000</v>
      </c>
      <c r="CC1088" s="268"/>
      <c r="CD1088" s="268"/>
      <c r="CE1088" s="268"/>
      <c r="CF1088" s="268"/>
      <c r="CG1088" s="268"/>
      <c r="CH1088" s="268"/>
      <c r="CI1088" s="268"/>
      <c r="CJ1088" s="268"/>
      <c r="CK1088" s="268"/>
      <c r="CL1088" s="268"/>
      <c r="CM1088" s="268"/>
      <c r="CN1088" s="234">
        <f t="shared" ref="CN1088:CN1106" si="553">IF(AG1088=0,0,(BY1088+BZ1088+CA1088+CB1088+CC1088+CD1088+CE1088+CF1088+CG1088+CH1088+CI1088+CJ1088+CK1088+CL1088+CM1088))</f>
        <v>50000</v>
      </c>
      <c r="CO1088" s="268"/>
      <c r="CP1088" s="268"/>
      <c r="CQ1088" s="268"/>
      <c r="CR1088" s="268">
        <v>50000</v>
      </c>
      <c r="CS1088" s="268"/>
      <c r="CT1088" s="268"/>
      <c r="CU1088" s="268"/>
      <c r="CV1088" s="268"/>
      <c r="CW1088" s="268"/>
      <c r="CX1088" s="268"/>
      <c r="CY1088" s="268"/>
      <c r="CZ1088" s="268"/>
      <c r="DA1088" s="268"/>
      <c r="DB1088" s="268"/>
      <c r="DC1088" s="268"/>
      <c r="DD1088" s="234">
        <f t="shared" ref="DD1088:DD1106" si="554">IF(AL1088=0,0,(CO1088+CP1088+CQ1088+CR1088+CS1088+CT1088+CU1088+CV1088+CW1088+CX1088+CY1088+CZ1088+DA1088+DB1088+DC1088))</f>
        <v>50000</v>
      </c>
      <c r="DE1088" s="243">
        <f t="shared" ref="DE1088:DE1106" si="555">SUM(DD1088+CN1088+BX1088+BH1088)</f>
        <v>200000</v>
      </c>
    </row>
    <row r="1089" spans="1:109" s="99" customFormat="1" ht="119.1" customHeight="1">
      <c r="A1089" s="103" t="s">
        <v>1258</v>
      </c>
      <c r="B1089" s="279" t="s">
        <v>2051</v>
      </c>
      <c r="C1089" s="279" t="s">
        <v>2208</v>
      </c>
      <c r="D1089" s="279">
        <v>103</v>
      </c>
      <c r="E1089" s="279" t="s">
        <v>2222</v>
      </c>
      <c r="F1089" s="280" t="s">
        <v>2223</v>
      </c>
      <c r="G1089" s="279" t="s">
        <v>3023</v>
      </c>
      <c r="H1089" s="279">
        <v>124</v>
      </c>
      <c r="I1089" s="279" t="s">
        <v>2224</v>
      </c>
      <c r="J1089" s="279" t="s">
        <v>2211</v>
      </c>
      <c r="K1089" s="110">
        <v>9110614000</v>
      </c>
      <c r="L1089" s="316">
        <v>102503105.82799999</v>
      </c>
      <c r="M1089" s="279" t="s">
        <v>2225</v>
      </c>
      <c r="N1089" s="279" t="s">
        <v>2226</v>
      </c>
      <c r="O1089" s="279" t="s">
        <v>2227</v>
      </c>
      <c r="P1089" s="283">
        <v>953</v>
      </c>
      <c r="Q1089" s="279" t="s">
        <v>3807</v>
      </c>
      <c r="R1089" s="279" t="s">
        <v>545</v>
      </c>
      <c r="S1089" s="279" t="s">
        <v>683</v>
      </c>
      <c r="T1089" s="279">
        <v>60</v>
      </c>
      <c r="U1089" s="267">
        <v>5</v>
      </c>
      <c r="V1089" s="267">
        <v>5</v>
      </c>
      <c r="W1089" s="224">
        <v>10</v>
      </c>
      <c r="X1089" s="267">
        <v>5</v>
      </c>
      <c r="Y1089" s="267">
        <v>5</v>
      </c>
      <c r="Z1089" s="267">
        <v>5</v>
      </c>
      <c r="AA1089" s="267">
        <v>5</v>
      </c>
      <c r="AB1089" s="224">
        <v>20</v>
      </c>
      <c r="AC1089" s="267">
        <v>5</v>
      </c>
      <c r="AD1089" s="267">
        <v>5</v>
      </c>
      <c r="AE1089" s="267">
        <v>5</v>
      </c>
      <c r="AF1089" s="267">
        <v>5</v>
      </c>
      <c r="AG1089" s="224">
        <v>20</v>
      </c>
      <c r="AH1089" s="267">
        <v>5</v>
      </c>
      <c r="AI1089" s="267">
        <v>5</v>
      </c>
      <c r="AJ1089" s="267">
        <v>3</v>
      </c>
      <c r="AK1089" s="267"/>
      <c r="AL1089" s="224">
        <v>13</v>
      </c>
      <c r="AM1089" s="104">
        <v>63</v>
      </c>
      <c r="AN1089" s="103" t="s">
        <v>685</v>
      </c>
      <c r="AO1089" s="103" t="s">
        <v>1212</v>
      </c>
      <c r="AP1089" s="103" t="s">
        <v>1229</v>
      </c>
      <c r="AQ1089" s="103" t="s">
        <v>1194</v>
      </c>
      <c r="AR1089" s="103" t="s">
        <v>951</v>
      </c>
      <c r="AS1089" s="271"/>
      <c r="AT1089" s="271"/>
      <c r="AU1089" s="271"/>
      <c r="AV1089" s="271">
        <v>50000</v>
      </c>
      <c r="AW1089" s="271"/>
      <c r="AX1089" s="271"/>
      <c r="AY1089" s="271"/>
      <c r="AZ1089" s="271"/>
      <c r="BA1089" s="271"/>
      <c r="BB1089" s="271"/>
      <c r="BC1089" s="271"/>
      <c r="BD1089" s="271"/>
      <c r="BE1089" s="271"/>
      <c r="BF1089" s="271"/>
      <c r="BG1089" s="271"/>
      <c r="BH1089" s="235">
        <f t="shared" si="551"/>
        <v>50000</v>
      </c>
      <c r="BI1089" s="271"/>
      <c r="BJ1089" s="271"/>
      <c r="BK1089" s="271"/>
      <c r="BL1089" s="271">
        <v>50000</v>
      </c>
      <c r="BM1089" s="271"/>
      <c r="BN1089" s="271"/>
      <c r="BO1089" s="271"/>
      <c r="BP1089" s="271"/>
      <c r="BQ1089" s="271"/>
      <c r="BR1089" s="271"/>
      <c r="BS1089" s="271"/>
      <c r="BT1089" s="271"/>
      <c r="BU1089" s="271"/>
      <c r="BV1089" s="271"/>
      <c r="BW1089" s="271"/>
      <c r="BX1089" s="235">
        <f t="shared" si="552"/>
        <v>50000</v>
      </c>
      <c r="BY1089" s="271"/>
      <c r="BZ1089" s="271"/>
      <c r="CA1089" s="271"/>
      <c r="CB1089" s="271">
        <v>50000</v>
      </c>
      <c r="CC1089" s="271"/>
      <c r="CD1089" s="271"/>
      <c r="CE1089" s="271"/>
      <c r="CF1089" s="271"/>
      <c r="CG1089" s="271"/>
      <c r="CH1089" s="271"/>
      <c r="CI1089" s="271"/>
      <c r="CJ1089" s="271"/>
      <c r="CK1089" s="271"/>
      <c r="CL1089" s="271"/>
      <c r="CM1089" s="271"/>
      <c r="CN1089" s="235">
        <f t="shared" si="553"/>
        <v>50000</v>
      </c>
      <c r="CO1089" s="271"/>
      <c r="CP1089" s="271"/>
      <c r="CQ1089" s="271"/>
      <c r="CR1089" s="271">
        <v>50000</v>
      </c>
      <c r="CS1089" s="271"/>
      <c r="CT1089" s="271"/>
      <c r="CU1089" s="271"/>
      <c r="CV1089" s="271"/>
      <c r="CW1089" s="271"/>
      <c r="CX1089" s="271"/>
      <c r="CY1089" s="271"/>
      <c r="CZ1089" s="271"/>
      <c r="DA1089" s="271"/>
      <c r="DB1089" s="271"/>
      <c r="DC1089" s="271"/>
      <c r="DD1089" s="234">
        <f t="shared" si="554"/>
        <v>50000</v>
      </c>
      <c r="DE1089" s="244">
        <f t="shared" si="555"/>
        <v>200000</v>
      </c>
    </row>
    <row r="1090" spans="1:109" s="99" customFormat="1" ht="119.1" customHeight="1">
      <c r="A1090" s="103" t="s">
        <v>1258</v>
      </c>
      <c r="B1090" s="279" t="s">
        <v>2051</v>
      </c>
      <c r="C1090" s="279" t="s">
        <v>2208</v>
      </c>
      <c r="D1090" s="279">
        <v>103</v>
      </c>
      <c r="E1090" s="279" t="s">
        <v>2222</v>
      </c>
      <c r="F1090" s="280" t="s">
        <v>2223</v>
      </c>
      <c r="G1090" s="279" t="s">
        <v>3023</v>
      </c>
      <c r="H1090" s="279">
        <v>124</v>
      </c>
      <c r="I1090" s="279" t="s">
        <v>2224</v>
      </c>
      <c r="J1090" s="279" t="s">
        <v>2211</v>
      </c>
      <c r="K1090" s="110">
        <v>9110614000</v>
      </c>
      <c r="L1090" s="316">
        <v>102503105.82799999</v>
      </c>
      <c r="M1090" s="279" t="s">
        <v>2225</v>
      </c>
      <c r="N1090" s="279" t="s">
        <v>2226</v>
      </c>
      <c r="O1090" s="279" t="s">
        <v>2227</v>
      </c>
      <c r="P1090" s="283">
        <v>954</v>
      </c>
      <c r="Q1090" s="279" t="s">
        <v>3024</v>
      </c>
      <c r="R1090" s="279" t="s">
        <v>546</v>
      </c>
      <c r="S1090" s="279" t="s">
        <v>683</v>
      </c>
      <c r="T1090" s="104">
        <v>766000</v>
      </c>
      <c r="U1090" s="267">
        <v>224600</v>
      </c>
      <c r="V1090" s="267">
        <v>1000000</v>
      </c>
      <c r="W1090" s="224">
        <v>1224600</v>
      </c>
      <c r="X1090" s="267">
        <v>100000</v>
      </c>
      <c r="Y1090" s="267">
        <v>100000</v>
      </c>
      <c r="Z1090" s="267">
        <v>300000</v>
      </c>
      <c r="AA1090" s="267">
        <v>1090000</v>
      </c>
      <c r="AB1090" s="224">
        <v>1590000</v>
      </c>
      <c r="AC1090" s="267">
        <v>150000</v>
      </c>
      <c r="AD1090" s="267">
        <v>150000</v>
      </c>
      <c r="AE1090" s="267">
        <v>300000</v>
      </c>
      <c r="AF1090" s="267">
        <v>1085400</v>
      </c>
      <c r="AG1090" s="224">
        <v>1685400</v>
      </c>
      <c r="AH1090" s="267">
        <v>150000</v>
      </c>
      <c r="AI1090" s="267">
        <v>150000</v>
      </c>
      <c r="AJ1090" s="267">
        <v>400000</v>
      </c>
      <c r="AK1090" s="267">
        <v>1086524</v>
      </c>
      <c r="AL1090" s="224">
        <v>1786524</v>
      </c>
      <c r="AM1090" s="104">
        <v>6286524</v>
      </c>
      <c r="AN1090" s="103" t="s">
        <v>685</v>
      </c>
      <c r="AO1090" s="103" t="s">
        <v>1212</v>
      </c>
      <c r="AP1090" s="103" t="s">
        <v>1229</v>
      </c>
      <c r="AQ1090" s="103" t="s">
        <v>1194</v>
      </c>
      <c r="AR1090" s="103" t="s">
        <v>951</v>
      </c>
      <c r="AS1090" s="271"/>
      <c r="AT1090" s="271"/>
      <c r="AU1090" s="271"/>
      <c r="AV1090" s="271">
        <v>569900000</v>
      </c>
      <c r="AW1090" s="271"/>
      <c r="AX1090" s="271"/>
      <c r="AY1090" s="271"/>
      <c r="AZ1090" s="271"/>
      <c r="BA1090" s="271"/>
      <c r="BB1090" s="271"/>
      <c r="BC1090" s="271"/>
      <c r="BD1090" s="271"/>
      <c r="BE1090" s="271"/>
      <c r="BF1090" s="271"/>
      <c r="BG1090" s="271"/>
      <c r="BH1090" s="235">
        <f t="shared" si="551"/>
        <v>569900000</v>
      </c>
      <c r="BI1090" s="271"/>
      <c r="BJ1090" s="271"/>
      <c r="BK1090" s="271"/>
      <c r="BL1090" s="271">
        <v>570900000</v>
      </c>
      <c r="BM1090" s="271"/>
      <c r="BN1090" s="271"/>
      <c r="BO1090" s="271"/>
      <c r="BP1090" s="271"/>
      <c r="BQ1090" s="271"/>
      <c r="BR1090" s="271"/>
      <c r="BS1090" s="271"/>
      <c r="BT1090" s="271"/>
      <c r="BU1090" s="271"/>
      <c r="BV1090" s="271"/>
      <c r="BW1090" s="271"/>
      <c r="BX1090" s="235">
        <f t="shared" si="552"/>
        <v>570900000</v>
      </c>
      <c r="BY1090" s="271"/>
      <c r="BZ1090" s="271"/>
      <c r="CA1090" s="271"/>
      <c r="CB1090" s="271">
        <v>568900000</v>
      </c>
      <c r="CC1090" s="271"/>
      <c r="CD1090" s="271"/>
      <c r="CE1090" s="271"/>
      <c r="CF1090" s="271"/>
      <c r="CG1090" s="271"/>
      <c r="CH1090" s="271"/>
      <c r="CI1090" s="271"/>
      <c r="CJ1090" s="271"/>
      <c r="CK1090" s="271"/>
      <c r="CL1090" s="271"/>
      <c r="CM1090" s="271"/>
      <c r="CN1090" s="235">
        <f t="shared" si="553"/>
        <v>568900000</v>
      </c>
      <c r="CO1090" s="271"/>
      <c r="CP1090" s="271"/>
      <c r="CQ1090" s="271"/>
      <c r="CR1090" s="271">
        <v>569900000</v>
      </c>
      <c r="CS1090" s="271"/>
      <c r="CT1090" s="271"/>
      <c r="CU1090" s="271"/>
      <c r="CV1090" s="271"/>
      <c r="CW1090" s="271"/>
      <c r="CX1090" s="271"/>
      <c r="CY1090" s="271"/>
      <c r="CZ1090" s="271"/>
      <c r="DA1090" s="271"/>
      <c r="DB1090" s="271"/>
      <c r="DC1090" s="271"/>
      <c r="DD1090" s="234">
        <f t="shared" si="554"/>
        <v>569900000</v>
      </c>
      <c r="DE1090" s="244">
        <f t="shared" si="555"/>
        <v>2279600000</v>
      </c>
    </row>
    <row r="1091" spans="1:109" s="99" customFormat="1" ht="119.1" customHeight="1">
      <c r="A1091" s="103" t="s">
        <v>1258</v>
      </c>
      <c r="B1091" s="279" t="s">
        <v>2051</v>
      </c>
      <c r="C1091" s="279" t="s">
        <v>2208</v>
      </c>
      <c r="D1091" s="279">
        <v>103</v>
      </c>
      <c r="E1091" s="279" t="s">
        <v>2222</v>
      </c>
      <c r="F1091" s="280" t="s">
        <v>2223</v>
      </c>
      <c r="G1091" s="279" t="s">
        <v>3023</v>
      </c>
      <c r="H1091" s="279">
        <v>124</v>
      </c>
      <c r="I1091" s="279" t="s">
        <v>2224</v>
      </c>
      <c r="J1091" s="279" t="s">
        <v>2211</v>
      </c>
      <c r="K1091" s="110">
        <v>9110614000</v>
      </c>
      <c r="L1091" s="316">
        <v>102503105.82799999</v>
      </c>
      <c r="M1091" s="279" t="s">
        <v>2228</v>
      </c>
      <c r="N1091" s="279" t="s">
        <v>2229</v>
      </c>
      <c r="O1091" s="279" t="s">
        <v>547</v>
      </c>
      <c r="P1091" s="283">
        <v>955</v>
      </c>
      <c r="Q1091" s="279" t="s">
        <v>3808</v>
      </c>
      <c r="R1091" s="279" t="s">
        <v>2230</v>
      </c>
      <c r="S1091" s="279" t="s">
        <v>683</v>
      </c>
      <c r="T1091" s="279">
        <v>0</v>
      </c>
      <c r="U1091" s="267"/>
      <c r="V1091" s="267">
        <v>1</v>
      </c>
      <c r="W1091" s="224">
        <v>1</v>
      </c>
      <c r="X1091" s="267"/>
      <c r="Y1091" s="267"/>
      <c r="Z1091" s="267"/>
      <c r="AA1091" s="267"/>
      <c r="AB1091" s="224">
        <v>0</v>
      </c>
      <c r="AC1091" s="267"/>
      <c r="AD1091" s="267"/>
      <c r="AE1091" s="267"/>
      <c r="AF1091" s="267">
        <v>1</v>
      </c>
      <c r="AG1091" s="224">
        <v>1</v>
      </c>
      <c r="AH1091" s="267"/>
      <c r="AI1091" s="267"/>
      <c r="AJ1091" s="267"/>
      <c r="AK1091" s="267">
        <v>1</v>
      </c>
      <c r="AL1091" s="224">
        <v>1</v>
      </c>
      <c r="AM1091" s="104">
        <v>3</v>
      </c>
      <c r="AN1091" s="103" t="s">
        <v>685</v>
      </c>
      <c r="AO1091" s="103" t="s">
        <v>1212</v>
      </c>
      <c r="AP1091" s="103" t="s">
        <v>1229</v>
      </c>
      <c r="AQ1091" s="103" t="s">
        <v>1194</v>
      </c>
      <c r="AR1091" s="103" t="s">
        <v>951</v>
      </c>
      <c r="AS1091" s="271"/>
      <c r="AT1091" s="271"/>
      <c r="AU1091" s="271"/>
      <c r="AV1091" s="271">
        <v>1000000</v>
      </c>
      <c r="AW1091" s="271"/>
      <c r="AX1091" s="271"/>
      <c r="AY1091" s="271"/>
      <c r="AZ1091" s="271"/>
      <c r="BA1091" s="271"/>
      <c r="BB1091" s="271"/>
      <c r="BC1091" s="271"/>
      <c r="BD1091" s="271"/>
      <c r="BE1091" s="271"/>
      <c r="BF1091" s="271"/>
      <c r="BG1091" s="271"/>
      <c r="BH1091" s="235">
        <f t="shared" si="551"/>
        <v>1000000</v>
      </c>
      <c r="BI1091" s="271"/>
      <c r="BJ1091" s="271"/>
      <c r="BK1091" s="271"/>
      <c r="BL1091" s="271"/>
      <c r="BM1091" s="271"/>
      <c r="BN1091" s="271"/>
      <c r="BO1091" s="271"/>
      <c r="BP1091" s="271"/>
      <c r="BQ1091" s="271"/>
      <c r="BR1091" s="271"/>
      <c r="BS1091" s="271"/>
      <c r="BT1091" s="271"/>
      <c r="BU1091" s="271"/>
      <c r="BV1091" s="271"/>
      <c r="BW1091" s="271"/>
      <c r="BX1091" s="235">
        <f t="shared" si="552"/>
        <v>0</v>
      </c>
      <c r="BY1091" s="271"/>
      <c r="BZ1091" s="271"/>
      <c r="CA1091" s="271"/>
      <c r="CB1091" s="271">
        <v>1000000</v>
      </c>
      <c r="CC1091" s="271"/>
      <c r="CD1091" s="271"/>
      <c r="CE1091" s="271"/>
      <c r="CF1091" s="271"/>
      <c r="CG1091" s="271"/>
      <c r="CH1091" s="271"/>
      <c r="CI1091" s="271"/>
      <c r="CJ1091" s="271"/>
      <c r="CK1091" s="271"/>
      <c r="CL1091" s="271"/>
      <c r="CM1091" s="271"/>
      <c r="CN1091" s="235">
        <f t="shared" si="553"/>
        <v>1000000</v>
      </c>
      <c r="CO1091" s="271"/>
      <c r="CP1091" s="271"/>
      <c r="CQ1091" s="271"/>
      <c r="CR1091" s="271">
        <v>1000000</v>
      </c>
      <c r="CS1091" s="271"/>
      <c r="CT1091" s="271"/>
      <c r="CU1091" s="271"/>
      <c r="CV1091" s="271"/>
      <c r="CW1091" s="271"/>
      <c r="CX1091" s="271"/>
      <c r="CY1091" s="271"/>
      <c r="CZ1091" s="271"/>
      <c r="DA1091" s="271"/>
      <c r="DB1091" s="271"/>
      <c r="DC1091" s="271"/>
      <c r="DD1091" s="234">
        <f t="shared" si="554"/>
        <v>1000000</v>
      </c>
      <c r="DE1091" s="244">
        <f t="shared" si="555"/>
        <v>3000000</v>
      </c>
    </row>
    <row r="1092" spans="1:109" s="99" customFormat="1" ht="119.1" customHeight="1">
      <c r="A1092" s="103" t="s">
        <v>1258</v>
      </c>
      <c r="B1092" s="279" t="s">
        <v>2051</v>
      </c>
      <c r="C1092" s="279" t="s">
        <v>2208</v>
      </c>
      <c r="D1092" s="279">
        <v>103</v>
      </c>
      <c r="E1092" s="279" t="s">
        <v>2222</v>
      </c>
      <c r="F1092" s="280" t="s">
        <v>2223</v>
      </c>
      <c r="G1092" s="279" t="s">
        <v>3023</v>
      </c>
      <c r="H1092" s="279">
        <v>124</v>
      </c>
      <c r="I1092" s="279" t="s">
        <v>2224</v>
      </c>
      <c r="J1092" s="279" t="s">
        <v>2211</v>
      </c>
      <c r="K1092" s="110">
        <v>9110614000</v>
      </c>
      <c r="L1092" s="316">
        <v>102503105.82799999</v>
      </c>
      <c r="M1092" s="279" t="s">
        <v>2228</v>
      </c>
      <c r="N1092" s="279" t="s">
        <v>2229</v>
      </c>
      <c r="O1092" s="279" t="s">
        <v>547</v>
      </c>
      <c r="P1092" s="283">
        <v>956</v>
      </c>
      <c r="Q1092" s="279" t="s">
        <v>3809</v>
      </c>
      <c r="R1092" s="279" t="s">
        <v>2231</v>
      </c>
      <c r="S1092" s="279" t="s">
        <v>683</v>
      </c>
      <c r="T1092" s="279">
        <v>0</v>
      </c>
      <c r="U1092" s="267"/>
      <c r="V1092" s="267"/>
      <c r="W1092" s="224">
        <v>0</v>
      </c>
      <c r="X1092" s="267"/>
      <c r="Y1092" s="267"/>
      <c r="Z1092" s="267"/>
      <c r="AA1092" s="267"/>
      <c r="AB1092" s="224">
        <v>0</v>
      </c>
      <c r="AC1092" s="267"/>
      <c r="AD1092" s="267"/>
      <c r="AE1092" s="267"/>
      <c r="AF1092" s="267">
        <v>1</v>
      </c>
      <c r="AG1092" s="224">
        <v>1</v>
      </c>
      <c r="AH1092" s="267"/>
      <c r="AI1092" s="267"/>
      <c r="AJ1092" s="267"/>
      <c r="AK1092" s="267"/>
      <c r="AL1092" s="224">
        <v>0</v>
      </c>
      <c r="AM1092" s="104">
        <v>1</v>
      </c>
      <c r="AN1092" s="103" t="s">
        <v>685</v>
      </c>
      <c r="AO1092" s="103" t="s">
        <v>1212</v>
      </c>
      <c r="AP1092" s="103" t="s">
        <v>1229</v>
      </c>
      <c r="AQ1092" s="103" t="s">
        <v>1194</v>
      </c>
      <c r="AR1092" s="103" t="s">
        <v>951</v>
      </c>
      <c r="AS1092" s="271"/>
      <c r="AT1092" s="271"/>
      <c r="AU1092" s="271"/>
      <c r="AV1092" s="271"/>
      <c r="AW1092" s="271"/>
      <c r="AX1092" s="271"/>
      <c r="AY1092" s="271"/>
      <c r="AZ1092" s="271"/>
      <c r="BA1092" s="271"/>
      <c r="BB1092" s="271"/>
      <c r="BC1092" s="271"/>
      <c r="BD1092" s="271"/>
      <c r="BE1092" s="271"/>
      <c r="BF1092" s="271"/>
      <c r="BG1092" s="271"/>
      <c r="BH1092" s="235">
        <f t="shared" si="551"/>
        <v>0</v>
      </c>
      <c r="BI1092" s="271"/>
      <c r="BJ1092" s="271"/>
      <c r="BK1092" s="271"/>
      <c r="BL1092" s="271"/>
      <c r="BM1092" s="271"/>
      <c r="BN1092" s="271"/>
      <c r="BO1092" s="271"/>
      <c r="BP1092" s="271"/>
      <c r="BQ1092" s="271"/>
      <c r="BR1092" s="271"/>
      <c r="BS1092" s="271"/>
      <c r="BT1092" s="271"/>
      <c r="BU1092" s="271"/>
      <c r="BV1092" s="271"/>
      <c r="BW1092" s="271"/>
      <c r="BX1092" s="235">
        <f t="shared" si="552"/>
        <v>0</v>
      </c>
      <c r="BY1092" s="271"/>
      <c r="BZ1092" s="271"/>
      <c r="CA1092" s="271"/>
      <c r="CB1092" s="271">
        <v>1000000</v>
      </c>
      <c r="CC1092" s="271"/>
      <c r="CD1092" s="271"/>
      <c r="CE1092" s="271"/>
      <c r="CF1092" s="271"/>
      <c r="CG1092" s="271"/>
      <c r="CH1092" s="271"/>
      <c r="CI1092" s="271"/>
      <c r="CJ1092" s="271"/>
      <c r="CK1092" s="271"/>
      <c r="CL1092" s="271"/>
      <c r="CM1092" s="271"/>
      <c r="CN1092" s="235">
        <f t="shared" si="553"/>
        <v>1000000</v>
      </c>
      <c r="CO1092" s="271"/>
      <c r="CP1092" s="271"/>
      <c r="CQ1092" s="271"/>
      <c r="CR1092" s="271"/>
      <c r="CS1092" s="271"/>
      <c r="CT1092" s="271"/>
      <c r="CU1092" s="271"/>
      <c r="CV1092" s="271"/>
      <c r="CW1092" s="271"/>
      <c r="CX1092" s="271"/>
      <c r="CY1092" s="271"/>
      <c r="CZ1092" s="271"/>
      <c r="DA1092" s="271"/>
      <c r="DB1092" s="271"/>
      <c r="DC1092" s="271"/>
      <c r="DD1092" s="234">
        <f t="shared" si="554"/>
        <v>0</v>
      </c>
      <c r="DE1092" s="244">
        <f t="shared" si="555"/>
        <v>1000000</v>
      </c>
    </row>
    <row r="1093" spans="1:109" s="99" customFormat="1" ht="119.1" customHeight="1">
      <c r="A1093" s="103" t="s">
        <v>1258</v>
      </c>
      <c r="B1093" s="279" t="s">
        <v>2051</v>
      </c>
      <c r="C1093" s="279" t="s">
        <v>2208</v>
      </c>
      <c r="D1093" s="279">
        <v>103</v>
      </c>
      <c r="E1093" s="279" t="s">
        <v>2222</v>
      </c>
      <c r="F1093" s="280" t="s">
        <v>2223</v>
      </c>
      <c r="G1093" s="279" t="s">
        <v>3023</v>
      </c>
      <c r="H1093" s="279">
        <v>124</v>
      </c>
      <c r="I1093" s="279" t="s">
        <v>2224</v>
      </c>
      <c r="J1093" s="279" t="s">
        <v>2211</v>
      </c>
      <c r="K1093" s="110">
        <v>9110614000</v>
      </c>
      <c r="L1093" s="316">
        <v>102503105.82799999</v>
      </c>
      <c r="M1093" s="279" t="s">
        <v>2228</v>
      </c>
      <c r="N1093" s="279" t="s">
        <v>2229</v>
      </c>
      <c r="O1093" s="279" t="s">
        <v>547</v>
      </c>
      <c r="P1093" s="283">
        <v>957</v>
      </c>
      <c r="Q1093" s="279" t="s">
        <v>3025</v>
      </c>
      <c r="R1093" s="279" t="s">
        <v>2232</v>
      </c>
      <c r="S1093" s="279" t="s">
        <v>683</v>
      </c>
      <c r="T1093" s="279">
        <v>0</v>
      </c>
      <c r="U1093" s="267"/>
      <c r="V1093" s="267"/>
      <c r="W1093" s="224">
        <v>0</v>
      </c>
      <c r="X1093" s="267"/>
      <c r="Y1093" s="267"/>
      <c r="Z1093" s="267"/>
      <c r="AA1093" s="267"/>
      <c r="AB1093" s="224">
        <v>0</v>
      </c>
      <c r="AC1093" s="267"/>
      <c r="AD1093" s="267"/>
      <c r="AE1093" s="267"/>
      <c r="AF1093" s="267"/>
      <c r="AG1093" s="224">
        <v>0</v>
      </c>
      <c r="AH1093" s="267"/>
      <c r="AI1093" s="267"/>
      <c r="AJ1093" s="267">
        <v>1</v>
      </c>
      <c r="AK1093" s="267"/>
      <c r="AL1093" s="224">
        <v>1</v>
      </c>
      <c r="AM1093" s="104">
        <v>1</v>
      </c>
      <c r="AN1093" s="103" t="s">
        <v>685</v>
      </c>
      <c r="AO1093" s="103" t="s">
        <v>1212</v>
      </c>
      <c r="AP1093" s="103" t="s">
        <v>1229</v>
      </c>
      <c r="AQ1093" s="103" t="s">
        <v>1194</v>
      </c>
      <c r="AR1093" s="103" t="s">
        <v>951</v>
      </c>
      <c r="AS1093" s="271"/>
      <c r="AT1093" s="271"/>
      <c r="AU1093" s="271"/>
      <c r="AV1093" s="271"/>
      <c r="AW1093" s="271"/>
      <c r="AX1093" s="271"/>
      <c r="AY1093" s="271"/>
      <c r="AZ1093" s="271"/>
      <c r="BA1093" s="271"/>
      <c r="BB1093" s="271"/>
      <c r="BC1093" s="271"/>
      <c r="BD1093" s="271"/>
      <c r="BE1093" s="271"/>
      <c r="BF1093" s="271"/>
      <c r="BG1093" s="271"/>
      <c r="BH1093" s="235">
        <f t="shared" si="551"/>
        <v>0</v>
      </c>
      <c r="BI1093" s="271"/>
      <c r="BJ1093" s="271"/>
      <c r="BK1093" s="271"/>
      <c r="BL1093" s="271"/>
      <c r="BM1093" s="271"/>
      <c r="BN1093" s="271"/>
      <c r="BO1093" s="271"/>
      <c r="BP1093" s="271"/>
      <c r="BQ1093" s="271"/>
      <c r="BR1093" s="271"/>
      <c r="BS1093" s="271"/>
      <c r="BT1093" s="271"/>
      <c r="BU1093" s="271"/>
      <c r="BV1093" s="271"/>
      <c r="BW1093" s="271"/>
      <c r="BX1093" s="235">
        <f t="shared" si="552"/>
        <v>0</v>
      </c>
      <c r="BY1093" s="271"/>
      <c r="BZ1093" s="271"/>
      <c r="CA1093" s="271"/>
      <c r="CB1093" s="271"/>
      <c r="CC1093" s="271"/>
      <c r="CD1093" s="271"/>
      <c r="CE1093" s="271"/>
      <c r="CF1093" s="271"/>
      <c r="CG1093" s="271"/>
      <c r="CH1093" s="271"/>
      <c r="CI1093" s="271"/>
      <c r="CJ1093" s="271"/>
      <c r="CK1093" s="271"/>
      <c r="CL1093" s="271"/>
      <c r="CM1093" s="271"/>
      <c r="CN1093" s="235">
        <f t="shared" si="553"/>
        <v>0</v>
      </c>
      <c r="CO1093" s="271"/>
      <c r="CP1093" s="271"/>
      <c r="CQ1093" s="271"/>
      <c r="CR1093" s="271">
        <v>10000000</v>
      </c>
      <c r="CS1093" s="271"/>
      <c r="CT1093" s="271"/>
      <c r="CU1093" s="271"/>
      <c r="CV1093" s="271"/>
      <c r="CW1093" s="271"/>
      <c r="CX1093" s="271"/>
      <c r="CY1093" s="271"/>
      <c r="CZ1093" s="271"/>
      <c r="DA1093" s="271"/>
      <c r="DB1093" s="271"/>
      <c r="DC1093" s="271"/>
      <c r="DD1093" s="234">
        <f t="shared" si="554"/>
        <v>10000000</v>
      </c>
      <c r="DE1093" s="244">
        <f t="shared" si="555"/>
        <v>10000000</v>
      </c>
    </row>
    <row r="1094" spans="1:109" s="99" customFormat="1" ht="119.1" customHeight="1">
      <c r="A1094" s="103" t="s">
        <v>1258</v>
      </c>
      <c r="B1094" s="279" t="s">
        <v>2051</v>
      </c>
      <c r="C1094" s="279" t="s">
        <v>2208</v>
      </c>
      <c r="D1094" s="279">
        <v>103</v>
      </c>
      <c r="E1094" s="279" t="s">
        <v>2222</v>
      </c>
      <c r="F1094" s="280" t="s">
        <v>2223</v>
      </c>
      <c r="G1094" s="279" t="s">
        <v>3023</v>
      </c>
      <c r="H1094" s="279">
        <v>124</v>
      </c>
      <c r="I1094" s="279" t="s">
        <v>2224</v>
      </c>
      <c r="J1094" s="279" t="s">
        <v>2211</v>
      </c>
      <c r="K1094" s="110">
        <v>9110614000</v>
      </c>
      <c r="L1094" s="316">
        <v>102503105.82799999</v>
      </c>
      <c r="M1094" s="279" t="s">
        <v>2228</v>
      </c>
      <c r="N1094" s="279" t="s">
        <v>2229</v>
      </c>
      <c r="O1094" s="279" t="s">
        <v>547</v>
      </c>
      <c r="P1094" s="283">
        <v>958</v>
      </c>
      <c r="Q1094" s="279" t="s">
        <v>3026</v>
      </c>
      <c r="R1094" s="279" t="s">
        <v>548</v>
      </c>
      <c r="S1094" s="279" t="s">
        <v>683</v>
      </c>
      <c r="T1094" s="279">
        <v>0</v>
      </c>
      <c r="U1094" s="267">
        <v>0.5</v>
      </c>
      <c r="V1094" s="267">
        <v>0.5</v>
      </c>
      <c r="W1094" s="224">
        <v>1</v>
      </c>
      <c r="X1094" s="267">
        <v>0.25</v>
      </c>
      <c r="Y1094" s="267">
        <v>0.25</v>
      </c>
      <c r="Z1094" s="267">
        <v>0.25</v>
      </c>
      <c r="AA1094" s="267">
        <v>0.25</v>
      </c>
      <c r="AB1094" s="224">
        <v>1</v>
      </c>
      <c r="AC1094" s="267">
        <v>0.25</v>
      </c>
      <c r="AD1094" s="267">
        <v>0.25</v>
      </c>
      <c r="AE1094" s="267">
        <v>0.25</v>
      </c>
      <c r="AF1094" s="267">
        <v>0.25</v>
      </c>
      <c r="AG1094" s="224">
        <v>1</v>
      </c>
      <c r="AH1094" s="267">
        <v>0.25</v>
      </c>
      <c r="AI1094" s="267">
        <v>0.25</v>
      </c>
      <c r="AJ1094" s="267">
        <v>0.25</v>
      </c>
      <c r="AK1094" s="267">
        <v>0.25</v>
      </c>
      <c r="AL1094" s="224">
        <v>1</v>
      </c>
      <c r="AM1094" s="104">
        <v>4</v>
      </c>
      <c r="AN1094" s="103" t="s">
        <v>685</v>
      </c>
      <c r="AO1094" s="103" t="s">
        <v>1212</v>
      </c>
      <c r="AP1094" s="103" t="s">
        <v>1229</v>
      </c>
      <c r="AQ1094" s="103" t="s">
        <v>1194</v>
      </c>
      <c r="AR1094" s="103" t="s">
        <v>951</v>
      </c>
      <c r="AS1094" s="271"/>
      <c r="AT1094" s="271"/>
      <c r="AU1094" s="271"/>
      <c r="AV1094" s="271">
        <v>702000000</v>
      </c>
      <c r="AW1094" s="271"/>
      <c r="AX1094" s="271"/>
      <c r="AY1094" s="271"/>
      <c r="AZ1094" s="271"/>
      <c r="BA1094" s="271"/>
      <c r="BB1094" s="271"/>
      <c r="BC1094" s="271"/>
      <c r="BD1094" s="271"/>
      <c r="BE1094" s="271"/>
      <c r="BF1094" s="271"/>
      <c r="BG1094" s="271"/>
      <c r="BH1094" s="235">
        <f t="shared" si="551"/>
        <v>702000000</v>
      </c>
      <c r="BI1094" s="271"/>
      <c r="BJ1094" s="271"/>
      <c r="BK1094" s="271"/>
      <c r="BL1094" s="271">
        <v>900000000</v>
      </c>
      <c r="BM1094" s="271"/>
      <c r="BN1094" s="271"/>
      <c r="BO1094" s="271"/>
      <c r="BP1094" s="271"/>
      <c r="BQ1094" s="271"/>
      <c r="BR1094" s="271"/>
      <c r="BS1094" s="271"/>
      <c r="BT1094" s="271"/>
      <c r="BU1094" s="271"/>
      <c r="BV1094" s="271"/>
      <c r="BW1094" s="271"/>
      <c r="BX1094" s="235">
        <f t="shared" si="552"/>
        <v>900000000</v>
      </c>
      <c r="BY1094" s="271"/>
      <c r="BZ1094" s="271"/>
      <c r="CA1094" s="271"/>
      <c r="CB1094" s="271">
        <v>600000000</v>
      </c>
      <c r="CC1094" s="271"/>
      <c r="CD1094" s="271"/>
      <c r="CE1094" s="271"/>
      <c r="CF1094" s="271"/>
      <c r="CG1094" s="271"/>
      <c r="CH1094" s="271"/>
      <c r="CI1094" s="271"/>
      <c r="CJ1094" s="271"/>
      <c r="CK1094" s="271"/>
      <c r="CL1094" s="271"/>
      <c r="CM1094" s="271"/>
      <c r="CN1094" s="235">
        <f t="shared" si="553"/>
        <v>600000000</v>
      </c>
      <c r="CO1094" s="271"/>
      <c r="CP1094" s="271"/>
      <c r="CQ1094" s="271"/>
      <c r="CR1094" s="271">
        <v>810000000</v>
      </c>
      <c r="CS1094" s="271"/>
      <c r="CT1094" s="271"/>
      <c r="CU1094" s="271"/>
      <c r="CV1094" s="271"/>
      <c r="CW1094" s="271"/>
      <c r="CX1094" s="271"/>
      <c r="CY1094" s="271"/>
      <c r="CZ1094" s="271"/>
      <c r="DA1094" s="271"/>
      <c r="DB1094" s="271"/>
      <c r="DC1094" s="271"/>
      <c r="DD1094" s="234">
        <f t="shared" si="554"/>
        <v>810000000</v>
      </c>
      <c r="DE1094" s="244">
        <f t="shared" si="555"/>
        <v>3012000000</v>
      </c>
    </row>
    <row r="1095" spans="1:109" s="99" customFormat="1" ht="119.1" customHeight="1">
      <c r="A1095" s="103" t="s">
        <v>1258</v>
      </c>
      <c r="B1095" s="279" t="s">
        <v>2051</v>
      </c>
      <c r="C1095" s="279" t="s">
        <v>2208</v>
      </c>
      <c r="D1095" s="279">
        <v>103</v>
      </c>
      <c r="E1095" s="279" t="s">
        <v>2222</v>
      </c>
      <c r="F1095" s="280" t="s">
        <v>2223</v>
      </c>
      <c r="G1095" s="279" t="s">
        <v>3023</v>
      </c>
      <c r="H1095" s="279">
        <v>124</v>
      </c>
      <c r="I1095" s="279" t="s">
        <v>2224</v>
      </c>
      <c r="J1095" s="279" t="s">
        <v>2211</v>
      </c>
      <c r="K1095" s="110">
        <v>9110614000</v>
      </c>
      <c r="L1095" s="316">
        <v>102503105.82799999</v>
      </c>
      <c r="M1095" s="279" t="s">
        <v>2233</v>
      </c>
      <c r="N1095" s="279" t="s">
        <v>2234</v>
      </c>
      <c r="O1095" s="279" t="s">
        <v>549</v>
      </c>
      <c r="P1095" s="283">
        <v>959</v>
      </c>
      <c r="Q1095" s="279" t="s">
        <v>3027</v>
      </c>
      <c r="R1095" s="279" t="s">
        <v>550</v>
      </c>
      <c r="S1095" s="279" t="s">
        <v>683</v>
      </c>
      <c r="T1095" s="279">
        <v>0</v>
      </c>
      <c r="U1095" s="267">
        <v>0.5</v>
      </c>
      <c r="V1095" s="267">
        <v>0.5</v>
      </c>
      <c r="W1095" s="224">
        <v>1</v>
      </c>
      <c r="X1095" s="267">
        <v>0.25</v>
      </c>
      <c r="Y1095" s="267">
        <v>0.25</v>
      </c>
      <c r="Z1095" s="267">
        <v>0.25</v>
      </c>
      <c r="AA1095" s="267">
        <v>0.25</v>
      </c>
      <c r="AB1095" s="224">
        <v>1</v>
      </c>
      <c r="AC1095" s="267">
        <v>0.25</v>
      </c>
      <c r="AD1095" s="267">
        <v>0.25</v>
      </c>
      <c r="AE1095" s="267">
        <v>0.25</v>
      </c>
      <c r="AF1095" s="267">
        <v>0.25</v>
      </c>
      <c r="AG1095" s="224">
        <v>1</v>
      </c>
      <c r="AH1095" s="267">
        <v>0.25</v>
      </c>
      <c r="AI1095" s="267">
        <v>0.25</v>
      </c>
      <c r="AJ1095" s="267">
        <v>0.25</v>
      </c>
      <c r="AK1095" s="267">
        <v>0.25</v>
      </c>
      <c r="AL1095" s="224">
        <v>1</v>
      </c>
      <c r="AM1095" s="104">
        <v>4</v>
      </c>
      <c r="AN1095" s="103" t="s">
        <v>685</v>
      </c>
      <c r="AO1095" s="103" t="s">
        <v>1212</v>
      </c>
      <c r="AP1095" s="103" t="s">
        <v>1229</v>
      </c>
      <c r="AQ1095" s="103" t="s">
        <v>1194</v>
      </c>
      <c r="AR1095" s="103" t="s">
        <v>951</v>
      </c>
      <c r="AS1095" s="271"/>
      <c r="AT1095" s="271"/>
      <c r="AU1095" s="271"/>
      <c r="AV1095" s="271">
        <v>176000000</v>
      </c>
      <c r="AW1095" s="271"/>
      <c r="AX1095" s="271"/>
      <c r="AY1095" s="271"/>
      <c r="AZ1095" s="271"/>
      <c r="BA1095" s="271"/>
      <c r="BB1095" s="271"/>
      <c r="BC1095" s="271"/>
      <c r="BD1095" s="271"/>
      <c r="BE1095" s="271"/>
      <c r="BF1095" s="271"/>
      <c r="BG1095" s="271"/>
      <c r="BH1095" s="235">
        <f t="shared" si="551"/>
        <v>176000000</v>
      </c>
      <c r="BI1095" s="271"/>
      <c r="BJ1095" s="271"/>
      <c r="BK1095" s="271"/>
      <c r="BL1095" s="271">
        <v>178000000</v>
      </c>
      <c r="BM1095" s="271"/>
      <c r="BN1095" s="271"/>
      <c r="BO1095" s="271"/>
      <c r="BP1095" s="271"/>
      <c r="BQ1095" s="271"/>
      <c r="BR1095" s="271"/>
      <c r="BS1095" s="271"/>
      <c r="BT1095" s="271"/>
      <c r="BU1095" s="271"/>
      <c r="BV1095" s="271"/>
      <c r="BW1095" s="271"/>
      <c r="BX1095" s="235">
        <f t="shared" si="552"/>
        <v>178000000</v>
      </c>
      <c r="BY1095" s="271"/>
      <c r="BZ1095" s="271"/>
      <c r="CA1095" s="271"/>
      <c r="CB1095" s="271">
        <v>176000000</v>
      </c>
      <c r="CC1095" s="271"/>
      <c r="CD1095" s="271"/>
      <c r="CE1095" s="271"/>
      <c r="CF1095" s="271"/>
      <c r="CG1095" s="271"/>
      <c r="CH1095" s="271"/>
      <c r="CI1095" s="271"/>
      <c r="CJ1095" s="271"/>
      <c r="CK1095" s="271"/>
      <c r="CL1095" s="271"/>
      <c r="CM1095" s="271"/>
      <c r="CN1095" s="235">
        <f t="shared" si="553"/>
        <v>176000000</v>
      </c>
      <c r="CO1095" s="271"/>
      <c r="CP1095" s="271"/>
      <c r="CQ1095" s="271"/>
      <c r="CR1095" s="271">
        <v>176000000</v>
      </c>
      <c r="CS1095" s="271"/>
      <c r="CT1095" s="271"/>
      <c r="CU1095" s="271"/>
      <c r="CV1095" s="271"/>
      <c r="CW1095" s="271"/>
      <c r="CX1095" s="271"/>
      <c r="CY1095" s="271"/>
      <c r="CZ1095" s="271"/>
      <c r="DA1095" s="271"/>
      <c r="DB1095" s="271"/>
      <c r="DC1095" s="271"/>
      <c r="DD1095" s="234">
        <f t="shared" si="554"/>
        <v>176000000</v>
      </c>
      <c r="DE1095" s="244">
        <f t="shared" si="555"/>
        <v>706000000</v>
      </c>
    </row>
    <row r="1096" spans="1:109" s="99" customFormat="1" ht="119.1" customHeight="1">
      <c r="A1096" s="103" t="s">
        <v>1258</v>
      </c>
      <c r="B1096" s="279" t="s">
        <v>2051</v>
      </c>
      <c r="C1096" s="279" t="s">
        <v>2208</v>
      </c>
      <c r="D1096" s="279">
        <v>103</v>
      </c>
      <c r="E1096" s="279" t="s">
        <v>2222</v>
      </c>
      <c r="F1096" s="280" t="s">
        <v>2223</v>
      </c>
      <c r="G1096" s="279" t="s">
        <v>3023</v>
      </c>
      <c r="H1096" s="279">
        <v>124</v>
      </c>
      <c r="I1096" s="279" t="s">
        <v>2224</v>
      </c>
      <c r="J1096" s="279" t="s">
        <v>2211</v>
      </c>
      <c r="K1096" s="110">
        <v>9110614000</v>
      </c>
      <c r="L1096" s="316">
        <v>102503105.82799999</v>
      </c>
      <c r="M1096" s="279" t="s">
        <v>2233</v>
      </c>
      <c r="N1096" s="279" t="s">
        <v>2234</v>
      </c>
      <c r="O1096" s="279" t="s">
        <v>549</v>
      </c>
      <c r="P1096" s="283">
        <v>960</v>
      </c>
      <c r="Q1096" s="279" t="s">
        <v>3810</v>
      </c>
      <c r="R1096" s="279" t="s">
        <v>551</v>
      </c>
      <c r="S1096" s="279" t="s">
        <v>683</v>
      </c>
      <c r="T1096" s="279">
        <v>0</v>
      </c>
      <c r="U1096" s="267"/>
      <c r="V1096" s="267">
        <v>1</v>
      </c>
      <c r="W1096" s="224">
        <v>1</v>
      </c>
      <c r="X1096" s="267">
        <v>0.5</v>
      </c>
      <c r="Y1096" s="267">
        <v>0.5</v>
      </c>
      <c r="Z1096" s="267">
        <v>0.5</v>
      </c>
      <c r="AA1096" s="267">
        <v>1</v>
      </c>
      <c r="AB1096" s="224">
        <v>2.5</v>
      </c>
      <c r="AC1096" s="267">
        <v>0.5</v>
      </c>
      <c r="AD1096" s="267">
        <v>1</v>
      </c>
      <c r="AE1096" s="267">
        <v>0.5</v>
      </c>
      <c r="AF1096" s="267">
        <v>0.5</v>
      </c>
      <c r="AG1096" s="224">
        <v>2.5</v>
      </c>
      <c r="AH1096" s="267">
        <v>0.5</v>
      </c>
      <c r="AI1096" s="267">
        <v>0.5</v>
      </c>
      <c r="AJ1096" s="267">
        <v>0.5</v>
      </c>
      <c r="AK1096" s="267">
        <v>0.5</v>
      </c>
      <c r="AL1096" s="224">
        <v>2</v>
      </c>
      <c r="AM1096" s="104">
        <v>8</v>
      </c>
      <c r="AN1096" s="103" t="s">
        <v>685</v>
      </c>
      <c r="AO1096" s="103" t="s">
        <v>1212</v>
      </c>
      <c r="AP1096" s="103" t="s">
        <v>1229</v>
      </c>
      <c r="AQ1096" s="103" t="s">
        <v>1194</v>
      </c>
      <c r="AR1096" s="103" t="s">
        <v>951</v>
      </c>
      <c r="AS1096" s="271"/>
      <c r="AT1096" s="271"/>
      <c r="AU1096" s="271"/>
      <c r="AV1096" s="271">
        <v>1000000</v>
      </c>
      <c r="AW1096" s="271"/>
      <c r="AX1096" s="271"/>
      <c r="AY1096" s="271"/>
      <c r="AZ1096" s="271"/>
      <c r="BA1096" s="271"/>
      <c r="BB1096" s="271"/>
      <c r="BC1096" s="271"/>
      <c r="BD1096" s="271"/>
      <c r="BE1096" s="271"/>
      <c r="BF1096" s="271"/>
      <c r="BG1096" s="271"/>
      <c r="BH1096" s="235">
        <f t="shared" si="551"/>
        <v>1000000</v>
      </c>
      <c r="BI1096" s="271"/>
      <c r="BJ1096" s="271"/>
      <c r="BK1096" s="271"/>
      <c r="BL1096" s="271">
        <v>1000000</v>
      </c>
      <c r="BM1096" s="271"/>
      <c r="BN1096" s="271"/>
      <c r="BO1096" s="271"/>
      <c r="BP1096" s="271"/>
      <c r="BQ1096" s="271"/>
      <c r="BR1096" s="271"/>
      <c r="BS1096" s="271"/>
      <c r="BT1096" s="271"/>
      <c r="BU1096" s="271"/>
      <c r="BV1096" s="271"/>
      <c r="BW1096" s="271"/>
      <c r="BX1096" s="235">
        <f t="shared" si="552"/>
        <v>1000000</v>
      </c>
      <c r="BY1096" s="271"/>
      <c r="BZ1096" s="271"/>
      <c r="CA1096" s="271"/>
      <c r="CB1096" s="271">
        <v>1000000</v>
      </c>
      <c r="CC1096" s="271"/>
      <c r="CD1096" s="271"/>
      <c r="CE1096" s="271"/>
      <c r="CF1096" s="271"/>
      <c r="CG1096" s="271"/>
      <c r="CH1096" s="271"/>
      <c r="CI1096" s="271"/>
      <c r="CJ1096" s="271"/>
      <c r="CK1096" s="271"/>
      <c r="CL1096" s="271"/>
      <c r="CM1096" s="271"/>
      <c r="CN1096" s="235">
        <f t="shared" si="553"/>
        <v>1000000</v>
      </c>
      <c r="CO1096" s="271"/>
      <c r="CP1096" s="271"/>
      <c r="CQ1096" s="271"/>
      <c r="CR1096" s="271">
        <v>1000000</v>
      </c>
      <c r="CS1096" s="271"/>
      <c r="CT1096" s="271"/>
      <c r="CU1096" s="271"/>
      <c r="CV1096" s="271"/>
      <c r="CW1096" s="271"/>
      <c r="CX1096" s="271"/>
      <c r="CY1096" s="271"/>
      <c r="CZ1096" s="271"/>
      <c r="DA1096" s="271"/>
      <c r="DB1096" s="271"/>
      <c r="DC1096" s="271"/>
      <c r="DD1096" s="234">
        <f t="shared" si="554"/>
        <v>1000000</v>
      </c>
      <c r="DE1096" s="244">
        <f t="shared" si="555"/>
        <v>4000000</v>
      </c>
    </row>
    <row r="1097" spans="1:109" s="99" customFormat="1" ht="119.1" customHeight="1">
      <c r="A1097" s="103" t="s">
        <v>1258</v>
      </c>
      <c r="B1097" s="279" t="s">
        <v>2051</v>
      </c>
      <c r="C1097" s="279" t="s">
        <v>2208</v>
      </c>
      <c r="D1097" s="279">
        <v>103</v>
      </c>
      <c r="E1097" s="279" t="s">
        <v>2222</v>
      </c>
      <c r="F1097" s="280" t="s">
        <v>2223</v>
      </c>
      <c r="G1097" s="279" t="s">
        <v>3023</v>
      </c>
      <c r="H1097" s="279">
        <v>124</v>
      </c>
      <c r="I1097" s="279" t="s">
        <v>2224</v>
      </c>
      <c r="J1097" s="279" t="s">
        <v>2211</v>
      </c>
      <c r="K1097" s="110">
        <v>9110614000</v>
      </c>
      <c r="L1097" s="316">
        <v>102503105.82799999</v>
      </c>
      <c r="M1097" s="279" t="s">
        <v>2233</v>
      </c>
      <c r="N1097" s="279" t="s">
        <v>2234</v>
      </c>
      <c r="O1097" s="279" t="s">
        <v>549</v>
      </c>
      <c r="P1097" s="283">
        <v>961</v>
      </c>
      <c r="Q1097" s="279" t="s">
        <v>3811</v>
      </c>
      <c r="R1097" s="279" t="s">
        <v>2235</v>
      </c>
      <c r="S1097" s="279" t="s">
        <v>683</v>
      </c>
      <c r="T1097" s="279">
        <v>0</v>
      </c>
      <c r="U1097" s="267">
        <v>0.5</v>
      </c>
      <c r="V1097" s="267">
        <v>0.5</v>
      </c>
      <c r="W1097" s="224">
        <v>1</v>
      </c>
      <c r="X1097" s="267">
        <v>0.5</v>
      </c>
      <c r="Y1097" s="267">
        <v>0.25</v>
      </c>
      <c r="Z1097" s="267">
        <v>0.125</v>
      </c>
      <c r="AA1097" s="267">
        <v>0.125</v>
      </c>
      <c r="AB1097" s="224">
        <v>1</v>
      </c>
      <c r="AC1097" s="267">
        <v>0.5</v>
      </c>
      <c r="AD1097" s="267">
        <v>0.25</v>
      </c>
      <c r="AE1097" s="267">
        <v>0.125</v>
      </c>
      <c r="AF1097" s="267">
        <v>0.125</v>
      </c>
      <c r="AG1097" s="224">
        <v>1</v>
      </c>
      <c r="AH1097" s="267">
        <v>0.5</v>
      </c>
      <c r="AI1097" s="267">
        <v>0.25</v>
      </c>
      <c r="AJ1097" s="267">
        <v>0.125</v>
      </c>
      <c r="AK1097" s="267">
        <v>0.125</v>
      </c>
      <c r="AL1097" s="224">
        <v>1</v>
      </c>
      <c r="AM1097" s="104">
        <v>4</v>
      </c>
      <c r="AN1097" s="103" t="s">
        <v>685</v>
      </c>
      <c r="AO1097" s="103" t="s">
        <v>1212</v>
      </c>
      <c r="AP1097" s="103" t="s">
        <v>1229</v>
      </c>
      <c r="AQ1097" s="103" t="s">
        <v>1194</v>
      </c>
      <c r="AR1097" s="103" t="s">
        <v>951</v>
      </c>
      <c r="AS1097" s="271"/>
      <c r="AT1097" s="271"/>
      <c r="AU1097" s="271"/>
      <c r="AV1097" s="271">
        <v>1000000</v>
      </c>
      <c r="AW1097" s="271"/>
      <c r="AX1097" s="271"/>
      <c r="AY1097" s="271"/>
      <c r="AZ1097" s="271"/>
      <c r="BA1097" s="271"/>
      <c r="BB1097" s="271"/>
      <c r="BC1097" s="271"/>
      <c r="BD1097" s="271"/>
      <c r="BE1097" s="271"/>
      <c r="BF1097" s="271"/>
      <c r="BG1097" s="271"/>
      <c r="BH1097" s="235">
        <f t="shared" si="551"/>
        <v>1000000</v>
      </c>
      <c r="BI1097" s="271"/>
      <c r="BJ1097" s="271"/>
      <c r="BK1097" s="271"/>
      <c r="BL1097" s="271">
        <v>1000000</v>
      </c>
      <c r="BM1097" s="271"/>
      <c r="BN1097" s="271"/>
      <c r="BO1097" s="271"/>
      <c r="BP1097" s="271"/>
      <c r="BQ1097" s="271"/>
      <c r="BR1097" s="271"/>
      <c r="BS1097" s="271"/>
      <c r="BT1097" s="271"/>
      <c r="BU1097" s="271"/>
      <c r="BV1097" s="271"/>
      <c r="BW1097" s="271"/>
      <c r="BX1097" s="235">
        <f t="shared" si="552"/>
        <v>1000000</v>
      </c>
      <c r="BY1097" s="271"/>
      <c r="BZ1097" s="271"/>
      <c r="CA1097" s="271"/>
      <c r="CB1097" s="271">
        <v>1000000</v>
      </c>
      <c r="CC1097" s="271"/>
      <c r="CD1097" s="271"/>
      <c r="CE1097" s="271"/>
      <c r="CF1097" s="271"/>
      <c r="CG1097" s="271"/>
      <c r="CH1097" s="271"/>
      <c r="CI1097" s="271"/>
      <c r="CJ1097" s="271"/>
      <c r="CK1097" s="271"/>
      <c r="CL1097" s="271"/>
      <c r="CM1097" s="271"/>
      <c r="CN1097" s="235">
        <f t="shared" si="553"/>
        <v>1000000</v>
      </c>
      <c r="CO1097" s="271"/>
      <c r="CP1097" s="271"/>
      <c r="CQ1097" s="271"/>
      <c r="CR1097" s="271">
        <v>1000000</v>
      </c>
      <c r="CS1097" s="271"/>
      <c r="CT1097" s="271"/>
      <c r="CU1097" s="271"/>
      <c r="CV1097" s="271"/>
      <c r="CW1097" s="271"/>
      <c r="CX1097" s="271"/>
      <c r="CY1097" s="271"/>
      <c r="CZ1097" s="271"/>
      <c r="DA1097" s="271"/>
      <c r="DB1097" s="271"/>
      <c r="DC1097" s="271"/>
      <c r="DD1097" s="234">
        <f t="shared" si="554"/>
        <v>1000000</v>
      </c>
      <c r="DE1097" s="244">
        <f t="shared" si="555"/>
        <v>4000000</v>
      </c>
    </row>
    <row r="1098" spans="1:109" s="99" customFormat="1" ht="119.1" customHeight="1">
      <c r="A1098" s="103" t="s">
        <v>1258</v>
      </c>
      <c r="B1098" s="279" t="s">
        <v>2051</v>
      </c>
      <c r="C1098" s="279" t="s">
        <v>2208</v>
      </c>
      <c r="D1098" s="279">
        <v>103</v>
      </c>
      <c r="E1098" s="279" t="s">
        <v>2222</v>
      </c>
      <c r="F1098" s="280" t="s">
        <v>2223</v>
      </c>
      <c r="G1098" s="279" t="s">
        <v>3023</v>
      </c>
      <c r="H1098" s="279">
        <v>124</v>
      </c>
      <c r="I1098" s="279" t="s">
        <v>2224</v>
      </c>
      <c r="J1098" s="279" t="s">
        <v>2211</v>
      </c>
      <c r="K1098" s="110">
        <v>9110614000</v>
      </c>
      <c r="L1098" s="316">
        <v>102503105.82799999</v>
      </c>
      <c r="M1098" s="279" t="s">
        <v>2236</v>
      </c>
      <c r="N1098" s="279" t="s">
        <v>2237</v>
      </c>
      <c r="O1098" s="279" t="s">
        <v>552</v>
      </c>
      <c r="P1098" s="283">
        <v>962</v>
      </c>
      <c r="Q1098" s="279" t="s">
        <v>3028</v>
      </c>
      <c r="R1098" s="279" t="s">
        <v>553</v>
      </c>
      <c r="S1098" s="279" t="s">
        <v>683</v>
      </c>
      <c r="T1098" s="279">
        <v>0</v>
      </c>
      <c r="U1098" s="267"/>
      <c r="V1098" s="267"/>
      <c r="W1098" s="224">
        <v>0</v>
      </c>
      <c r="X1098" s="267"/>
      <c r="Y1098" s="267">
        <v>1</v>
      </c>
      <c r="Z1098" s="267">
        <v>1</v>
      </c>
      <c r="AA1098" s="267"/>
      <c r="AB1098" s="224">
        <v>2</v>
      </c>
      <c r="AC1098" s="267"/>
      <c r="AD1098" s="267"/>
      <c r="AE1098" s="267"/>
      <c r="AF1098" s="267"/>
      <c r="AG1098" s="224">
        <v>0</v>
      </c>
      <c r="AH1098" s="267"/>
      <c r="AI1098" s="267"/>
      <c r="AJ1098" s="267"/>
      <c r="AK1098" s="267"/>
      <c r="AL1098" s="224">
        <v>0</v>
      </c>
      <c r="AM1098" s="104">
        <v>2</v>
      </c>
      <c r="AN1098" s="103" t="s">
        <v>685</v>
      </c>
      <c r="AO1098" s="103" t="s">
        <v>1212</v>
      </c>
      <c r="AP1098" s="103" t="s">
        <v>1229</v>
      </c>
      <c r="AQ1098" s="103" t="s">
        <v>1194</v>
      </c>
      <c r="AR1098" s="103" t="s">
        <v>951</v>
      </c>
      <c r="AS1098" s="271"/>
      <c r="AT1098" s="271"/>
      <c r="AU1098" s="271"/>
      <c r="AV1098" s="271"/>
      <c r="AW1098" s="271"/>
      <c r="AX1098" s="271"/>
      <c r="AY1098" s="271"/>
      <c r="AZ1098" s="271"/>
      <c r="BA1098" s="271"/>
      <c r="BB1098" s="271"/>
      <c r="BC1098" s="271"/>
      <c r="BD1098" s="271"/>
      <c r="BE1098" s="271"/>
      <c r="BF1098" s="271"/>
      <c r="BG1098" s="271"/>
      <c r="BH1098" s="235">
        <f t="shared" si="551"/>
        <v>0</v>
      </c>
      <c r="BI1098" s="271"/>
      <c r="BJ1098" s="271"/>
      <c r="BK1098" s="271"/>
      <c r="BL1098" s="271">
        <v>295000000</v>
      </c>
      <c r="BM1098" s="271"/>
      <c r="BN1098" s="271"/>
      <c r="BO1098" s="271"/>
      <c r="BP1098" s="271"/>
      <c r="BQ1098" s="271"/>
      <c r="BR1098" s="271"/>
      <c r="BS1098" s="271"/>
      <c r="BT1098" s="271"/>
      <c r="BU1098" s="271"/>
      <c r="BV1098" s="271"/>
      <c r="BW1098" s="271"/>
      <c r="BX1098" s="235">
        <f t="shared" si="552"/>
        <v>295000000</v>
      </c>
      <c r="BY1098" s="271"/>
      <c r="BZ1098" s="271"/>
      <c r="CA1098" s="271"/>
      <c r="CB1098" s="271"/>
      <c r="CC1098" s="271"/>
      <c r="CD1098" s="271"/>
      <c r="CE1098" s="271"/>
      <c r="CF1098" s="271"/>
      <c r="CG1098" s="271"/>
      <c r="CH1098" s="271"/>
      <c r="CI1098" s="271"/>
      <c r="CJ1098" s="271"/>
      <c r="CK1098" s="271"/>
      <c r="CL1098" s="271"/>
      <c r="CM1098" s="271"/>
      <c r="CN1098" s="235">
        <f t="shared" si="553"/>
        <v>0</v>
      </c>
      <c r="CO1098" s="271"/>
      <c r="CP1098" s="271"/>
      <c r="CQ1098" s="271"/>
      <c r="CR1098" s="271"/>
      <c r="CS1098" s="271"/>
      <c r="CT1098" s="271"/>
      <c r="CU1098" s="271"/>
      <c r="CV1098" s="271"/>
      <c r="CW1098" s="271"/>
      <c r="CX1098" s="271"/>
      <c r="CY1098" s="271"/>
      <c r="CZ1098" s="271"/>
      <c r="DA1098" s="271"/>
      <c r="DB1098" s="271"/>
      <c r="DC1098" s="271"/>
      <c r="DD1098" s="234">
        <f t="shared" si="554"/>
        <v>0</v>
      </c>
      <c r="DE1098" s="244">
        <f t="shared" si="555"/>
        <v>295000000</v>
      </c>
    </row>
    <row r="1099" spans="1:109" s="99" customFormat="1" ht="119.1" customHeight="1">
      <c r="A1099" s="103" t="s">
        <v>1258</v>
      </c>
      <c r="B1099" s="279" t="s">
        <v>2051</v>
      </c>
      <c r="C1099" s="279" t="s">
        <v>2208</v>
      </c>
      <c r="D1099" s="279">
        <v>103</v>
      </c>
      <c r="E1099" s="279" t="s">
        <v>2222</v>
      </c>
      <c r="F1099" s="280" t="s">
        <v>2223</v>
      </c>
      <c r="G1099" s="279" t="s">
        <v>3023</v>
      </c>
      <c r="H1099" s="279">
        <v>124</v>
      </c>
      <c r="I1099" s="279" t="s">
        <v>2224</v>
      </c>
      <c r="J1099" s="279" t="s">
        <v>2211</v>
      </c>
      <c r="K1099" s="110">
        <v>9110614000</v>
      </c>
      <c r="L1099" s="316">
        <v>102503105.82799999</v>
      </c>
      <c r="M1099" s="279" t="s">
        <v>2236</v>
      </c>
      <c r="N1099" s="279" t="s">
        <v>2237</v>
      </c>
      <c r="O1099" s="279" t="s">
        <v>552</v>
      </c>
      <c r="P1099" s="283">
        <v>963</v>
      </c>
      <c r="Q1099" s="279" t="s">
        <v>3029</v>
      </c>
      <c r="R1099" s="279" t="s">
        <v>554</v>
      </c>
      <c r="S1099" s="279" t="s">
        <v>683</v>
      </c>
      <c r="T1099" s="279">
        <v>0</v>
      </c>
      <c r="U1099" s="267"/>
      <c r="V1099" s="267"/>
      <c r="W1099" s="224">
        <v>0</v>
      </c>
      <c r="X1099" s="267">
        <v>1</v>
      </c>
      <c r="Y1099" s="267"/>
      <c r="Z1099" s="267"/>
      <c r="AA1099" s="267">
        <v>0.5</v>
      </c>
      <c r="AB1099" s="224">
        <v>1.5</v>
      </c>
      <c r="AC1099" s="267"/>
      <c r="AD1099" s="267">
        <v>0.5</v>
      </c>
      <c r="AE1099" s="267"/>
      <c r="AF1099" s="267"/>
      <c r="AG1099" s="224">
        <v>0.5</v>
      </c>
      <c r="AH1099" s="267"/>
      <c r="AI1099" s="267"/>
      <c r="AJ1099" s="267"/>
      <c r="AK1099" s="267"/>
      <c r="AL1099" s="224">
        <v>0</v>
      </c>
      <c r="AM1099" s="104">
        <v>2</v>
      </c>
      <c r="AN1099" s="103" t="s">
        <v>685</v>
      </c>
      <c r="AO1099" s="103" t="s">
        <v>1212</v>
      </c>
      <c r="AP1099" s="103" t="s">
        <v>1229</v>
      </c>
      <c r="AQ1099" s="103" t="s">
        <v>1194</v>
      </c>
      <c r="AR1099" s="103" t="s">
        <v>951</v>
      </c>
      <c r="AS1099" s="271"/>
      <c r="AT1099" s="271"/>
      <c r="AU1099" s="271"/>
      <c r="AV1099" s="271"/>
      <c r="AW1099" s="271"/>
      <c r="AX1099" s="271"/>
      <c r="AY1099" s="271"/>
      <c r="AZ1099" s="271"/>
      <c r="BA1099" s="271"/>
      <c r="BB1099" s="271"/>
      <c r="BC1099" s="271"/>
      <c r="BD1099" s="271"/>
      <c r="BE1099" s="271"/>
      <c r="BF1099" s="271"/>
      <c r="BG1099" s="271"/>
      <c r="BH1099" s="235">
        <f t="shared" si="551"/>
        <v>0</v>
      </c>
      <c r="BI1099" s="271"/>
      <c r="BJ1099" s="271"/>
      <c r="BK1099" s="271"/>
      <c r="BL1099" s="271">
        <v>100000000</v>
      </c>
      <c r="BM1099" s="271"/>
      <c r="BN1099" s="271"/>
      <c r="BO1099" s="271"/>
      <c r="BP1099" s="271"/>
      <c r="BQ1099" s="271"/>
      <c r="BR1099" s="271"/>
      <c r="BS1099" s="271"/>
      <c r="BT1099" s="271"/>
      <c r="BU1099" s="271"/>
      <c r="BV1099" s="271"/>
      <c r="BW1099" s="271"/>
      <c r="BX1099" s="235">
        <f t="shared" si="552"/>
        <v>100000000</v>
      </c>
      <c r="BY1099" s="271"/>
      <c r="BZ1099" s="271"/>
      <c r="CA1099" s="271"/>
      <c r="CB1099" s="271">
        <v>100000000</v>
      </c>
      <c r="CC1099" s="271"/>
      <c r="CD1099" s="271"/>
      <c r="CE1099" s="271"/>
      <c r="CF1099" s="271"/>
      <c r="CG1099" s="271"/>
      <c r="CH1099" s="271"/>
      <c r="CI1099" s="271"/>
      <c r="CJ1099" s="271"/>
      <c r="CK1099" s="271"/>
      <c r="CL1099" s="271"/>
      <c r="CM1099" s="271"/>
      <c r="CN1099" s="235">
        <f t="shared" si="553"/>
        <v>100000000</v>
      </c>
      <c r="CO1099" s="271"/>
      <c r="CP1099" s="271"/>
      <c r="CQ1099" s="271"/>
      <c r="CR1099" s="271"/>
      <c r="CS1099" s="271"/>
      <c r="CT1099" s="271"/>
      <c r="CU1099" s="271"/>
      <c r="CV1099" s="271"/>
      <c r="CW1099" s="271"/>
      <c r="CX1099" s="271"/>
      <c r="CY1099" s="271"/>
      <c r="CZ1099" s="271"/>
      <c r="DA1099" s="271"/>
      <c r="DB1099" s="271"/>
      <c r="DC1099" s="271"/>
      <c r="DD1099" s="234">
        <f t="shared" si="554"/>
        <v>0</v>
      </c>
      <c r="DE1099" s="244">
        <f t="shared" si="555"/>
        <v>200000000</v>
      </c>
    </row>
    <row r="1100" spans="1:109" s="99" customFormat="1" ht="119.1" customHeight="1">
      <c r="A1100" s="103" t="s">
        <v>1258</v>
      </c>
      <c r="B1100" s="279" t="s">
        <v>2051</v>
      </c>
      <c r="C1100" s="279" t="s">
        <v>2208</v>
      </c>
      <c r="D1100" s="279">
        <v>103</v>
      </c>
      <c r="E1100" s="279" t="s">
        <v>2222</v>
      </c>
      <c r="F1100" s="280" t="s">
        <v>2223</v>
      </c>
      <c r="G1100" s="279" t="s">
        <v>3023</v>
      </c>
      <c r="H1100" s="279">
        <v>124</v>
      </c>
      <c r="I1100" s="279" t="s">
        <v>2224</v>
      </c>
      <c r="J1100" s="279" t="s">
        <v>2211</v>
      </c>
      <c r="K1100" s="110">
        <v>9110614000</v>
      </c>
      <c r="L1100" s="316">
        <v>102503105.82799999</v>
      </c>
      <c r="M1100" s="279" t="s">
        <v>2236</v>
      </c>
      <c r="N1100" s="279" t="s">
        <v>2237</v>
      </c>
      <c r="O1100" s="279" t="s">
        <v>552</v>
      </c>
      <c r="P1100" s="283">
        <v>964</v>
      </c>
      <c r="Q1100" s="279" t="s">
        <v>3030</v>
      </c>
      <c r="R1100" s="279" t="s">
        <v>555</v>
      </c>
      <c r="S1100" s="279" t="s">
        <v>683</v>
      </c>
      <c r="T1100" s="279">
        <v>0</v>
      </c>
      <c r="U1100" s="267"/>
      <c r="V1100" s="267">
        <v>1</v>
      </c>
      <c r="W1100" s="224">
        <v>1</v>
      </c>
      <c r="X1100" s="267"/>
      <c r="Y1100" s="267"/>
      <c r="Z1100" s="267">
        <v>0.5</v>
      </c>
      <c r="AA1100" s="267">
        <v>0.5</v>
      </c>
      <c r="AB1100" s="224">
        <v>1</v>
      </c>
      <c r="AC1100" s="267"/>
      <c r="AD1100" s="267">
        <v>0.3</v>
      </c>
      <c r="AE1100" s="267">
        <v>0.35</v>
      </c>
      <c r="AF1100" s="267">
        <v>0.35</v>
      </c>
      <c r="AG1100" s="224">
        <v>0.99999999999999989</v>
      </c>
      <c r="AH1100" s="267">
        <v>0.25</v>
      </c>
      <c r="AI1100" s="267">
        <v>0.25</v>
      </c>
      <c r="AJ1100" s="267">
        <v>0.25</v>
      </c>
      <c r="AK1100" s="267">
        <v>0.25</v>
      </c>
      <c r="AL1100" s="224">
        <v>1</v>
      </c>
      <c r="AM1100" s="104">
        <v>4</v>
      </c>
      <c r="AN1100" s="103" t="s">
        <v>685</v>
      </c>
      <c r="AO1100" s="103" t="s">
        <v>1212</v>
      </c>
      <c r="AP1100" s="103" t="s">
        <v>1229</v>
      </c>
      <c r="AQ1100" s="103" t="s">
        <v>1194</v>
      </c>
      <c r="AR1100" s="103" t="s">
        <v>951</v>
      </c>
      <c r="AS1100" s="271"/>
      <c r="AT1100" s="271"/>
      <c r="AU1100" s="271"/>
      <c r="AV1100" s="271">
        <v>880000000</v>
      </c>
      <c r="AW1100" s="271"/>
      <c r="AX1100" s="271"/>
      <c r="AY1100" s="271"/>
      <c r="AZ1100" s="271"/>
      <c r="BA1100" s="271"/>
      <c r="BB1100" s="271"/>
      <c r="BC1100" s="271"/>
      <c r="BD1100" s="271"/>
      <c r="BE1100" s="271"/>
      <c r="BF1100" s="271"/>
      <c r="BG1100" s="271"/>
      <c r="BH1100" s="235">
        <f t="shared" si="551"/>
        <v>880000000</v>
      </c>
      <c r="BI1100" s="271"/>
      <c r="BJ1100" s="271"/>
      <c r="BK1100" s="271"/>
      <c r="BL1100" s="271">
        <v>90000000</v>
      </c>
      <c r="BM1100" s="271"/>
      <c r="BN1100" s="271"/>
      <c r="BO1100" s="271"/>
      <c r="BP1100" s="271"/>
      <c r="BQ1100" s="271"/>
      <c r="BR1100" s="271"/>
      <c r="BS1100" s="271"/>
      <c r="BT1100" s="271"/>
      <c r="BU1100" s="271"/>
      <c r="BV1100" s="271"/>
      <c r="BW1100" s="271"/>
      <c r="BX1100" s="235">
        <f t="shared" si="552"/>
        <v>90000000</v>
      </c>
      <c r="BY1100" s="271"/>
      <c r="BZ1100" s="271"/>
      <c r="CA1100" s="271"/>
      <c r="CB1100" s="271">
        <v>70000000</v>
      </c>
      <c r="CC1100" s="271"/>
      <c r="CD1100" s="271"/>
      <c r="CE1100" s="271"/>
      <c r="CF1100" s="271"/>
      <c r="CG1100" s="271"/>
      <c r="CH1100" s="271"/>
      <c r="CI1100" s="271"/>
      <c r="CJ1100" s="271"/>
      <c r="CK1100" s="271"/>
      <c r="CL1100" s="271"/>
      <c r="CM1100" s="271"/>
      <c r="CN1100" s="235">
        <f t="shared" si="553"/>
        <v>70000000</v>
      </c>
      <c r="CO1100" s="271"/>
      <c r="CP1100" s="271"/>
      <c r="CQ1100" s="271"/>
      <c r="CR1100" s="271">
        <v>60000000</v>
      </c>
      <c r="CS1100" s="271"/>
      <c r="CT1100" s="271"/>
      <c r="CU1100" s="271"/>
      <c r="CV1100" s="271"/>
      <c r="CW1100" s="271"/>
      <c r="CX1100" s="271"/>
      <c r="CY1100" s="271"/>
      <c r="CZ1100" s="271"/>
      <c r="DA1100" s="271"/>
      <c r="DB1100" s="271"/>
      <c r="DC1100" s="271"/>
      <c r="DD1100" s="234">
        <f t="shared" si="554"/>
        <v>60000000</v>
      </c>
      <c r="DE1100" s="244">
        <f t="shared" si="555"/>
        <v>1100000000</v>
      </c>
    </row>
    <row r="1101" spans="1:109" s="99" customFormat="1" ht="119.1" customHeight="1">
      <c r="A1101" s="103" t="s">
        <v>1258</v>
      </c>
      <c r="B1101" s="279" t="s">
        <v>2051</v>
      </c>
      <c r="C1101" s="279" t="s">
        <v>2208</v>
      </c>
      <c r="D1101" s="279">
        <v>103</v>
      </c>
      <c r="E1101" s="279" t="s">
        <v>2222</v>
      </c>
      <c r="F1101" s="280" t="s">
        <v>2223</v>
      </c>
      <c r="G1101" s="279" t="s">
        <v>3023</v>
      </c>
      <c r="H1101" s="279">
        <v>124</v>
      </c>
      <c r="I1101" s="279" t="s">
        <v>2224</v>
      </c>
      <c r="J1101" s="279" t="s">
        <v>2211</v>
      </c>
      <c r="K1101" s="110">
        <v>9110614000</v>
      </c>
      <c r="L1101" s="316">
        <v>102503105.82799999</v>
      </c>
      <c r="M1101" s="279" t="s">
        <v>2236</v>
      </c>
      <c r="N1101" s="279" t="s">
        <v>2237</v>
      </c>
      <c r="O1101" s="279" t="s">
        <v>552</v>
      </c>
      <c r="P1101" s="283">
        <v>965</v>
      </c>
      <c r="Q1101" s="279" t="s">
        <v>3031</v>
      </c>
      <c r="R1101" s="279" t="s">
        <v>556</v>
      </c>
      <c r="S1101" s="279" t="s">
        <v>683</v>
      </c>
      <c r="T1101" s="279">
        <v>0</v>
      </c>
      <c r="U1101" s="267"/>
      <c r="V1101" s="267">
        <v>0.25</v>
      </c>
      <c r="W1101" s="224">
        <v>0.25</v>
      </c>
      <c r="X1101" s="267"/>
      <c r="Y1101" s="267"/>
      <c r="Z1101" s="267"/>
      <c r="AA1101" s="267">
        <v>0.25</v>
      </c>
      <c r="AB1101" s="224">
        <v>0.25</v>
      </c>
      <c r="AC1101" s="267"/>
      <c r="AD1101" s="267"/>
      <c r="AE1101" s="267"/>
      <c r="AF1101" s="267">
        <v>0.25</v>
      </c>
      <c r="AG1101" s="224">
        <v>0.25</v>
      </c>
      <c r="AH1101" s="267"/>
      <c r="AI1101" s="267"/>
      <c r="AJ1101" s="267"/>
      <c r="AK1101" s="267">
        <v>0.25</v>
      </c>
      <c r="AL1101" s="224">
        <v>0.25</v>
      </c>
      <c r="AM1101" s="104">
        <v>1</v>
      </c>
      <c r="AN1101" s="103" t="s">
        <v>685</v>
      </c>
      <c r="AO1101" s="103" t="s">
        <v>1212</v>
      </c>
      <c r="AP1101" s="103" t="s">
        <v>1229</v>
      </c>
      <c r="AQ1101" s="103" t="s">
        <v>1194</v>
      </c>
      <c r="AR1101" s="103" t="s">
        <v>951</v>
      </c>
      <c r="AS1101" s="271"/>
      <c r="AT1101" s="271"/>
      <c r="AU1101" s="271"/>
      <c r="AV1101" s="271">
        <v>50000000</v>
      </c>
      <c r="AW1101" s="271"/>
      <c r="AX1101" s="271"/>
      <c r="AY1101" s="271"/>
      <c r="AZ1101" s="271"/>
      <c r="BA1101" s="271"/>
      <c r="BB1101" s="271"/>
      <c r="BC1101" s="271"/>
      <c r="BD1101" s="271"/>
      <c r="BE1101" s="271"/>
      <c r="BF1101" s="271"/>
      <c r="BG1101" s="271"/>
      <c r="BH1101" s="235">
        <f t="shared" si="551"/>
        <v>50000000</v>
      </c>
      <c r="BI1101" s="271"/>
      <c r="BJ1101" s="271"/>
      <c r="BK1101" s="271"/>
      <c r="BL1101" s="271">
        <v>50000000</v>
      </c>
      <c r="BM1101" s="271"/>
      <c r="BN1101" s="271"/>
      <c r="BO1101" s="271"/>
      <c r="BP1101" s="271"/>
      <c r="BQ1101" s="271"/>
      <c r="BR1101" s="271"/>
      <c r="BS1101" s="271"/>
      <c r="BT1101" s="271"/>
      <c r="BU1101" s="271"/>
      <c r="BV1101" s="271"/>
      <c r="BW1101" s="271"/>
      <c r="BX1101" s="235">
        <f t="shared" si="552"/>
        <v>50000000</v>
      </c>
      <c r="BY1101" s="271"/>
      <c r="BZ1101" s="271"/>
      <c r="CA1101" s="271"/>
      <c r="CB1101" s="271">
        <v>50000000</v>
      </c>
      <c r="CC1101" s="271"/>
      <c r="CD1101" s="271"/>
      <c r="CE1101" s="271"/>
      <c r="CF1101" s="271"/>
      <c r="CG1101" s="271"/>
      <c r="CH1101" s="271"/>
      <c r="CI1101" s="271"/>
      <c r="CJ1101" s="271"/>
      <c r="CK1101" s="271"/>
      <c r="CL1101" s="271"/>
      <c r="CM1101" s="271"/>
      <c r="CN1101" s="235">
        <f t="shared" si="553"/>
        <v>50000000</v>
      </c>
      <c r="CO1101" s="271"/>
      <c r="CP1101" s="271"/>
      <c r="CQ1101" s="271"/>
      <c r="CR1101" s="271">
        <v>50000000</v>
      </c>
      <c r="CS1101" s="271"/>
      <c r="CT1101" s="271"/>
      <c r="CU1101" s="271"/>
      <c r="CV1101" s="271"/>
      <c r="CW1101" s="271"/>
      <c r="CX1101" s="271"/>
      <c r="CY1101" s="271"/>
      <c r="CZ1101" s="271"/>
      <c r="DA1101" s="271"/>
      <c r="DB1101" s="271"/>
      <c r="DC1101" s="271"/>
      <c r="DD1101" s="234">
        <f t="shared" si="554"/>
        <v>50000000</v>
      </c>
      <c r="DE1101" s="244">
        <f t="shared" si="555"/>
        <v>200000000</v>
      </c>
    </row>
    <row r="1102" spans="1:109" s="99" customFormat="1" ht="119.1" customHeight="1">
      <c r="A1102" s="103" t="s">
        <v>1258</v>
      </c>
      <c r="B1102" s="279" t="s">
        <v>2051</v>
      </c>
      <c r="C1102" s="279" t="s">
        <v>2208</v>
      </c>
      <c r="D1102" s="279">
        <v>103</v>
      </c>
      <c r="E1102" s="279" t="s">
        <v>2222</v>
      </c>
      <c r="F1102" s="280" t="s">
        <v>2223</v>
      </c>
      <c r="G1102" s="279" t="s">
        <v>3023</v>
      </c>
      <c r="H1102" s="279">
        <v>124</v>
      </c>
      <c r="I1102" s="279" t="s">
        <v>2224</v>
      </c>
      <c r="J1102" s="279" t="s">
        <v>2211</v>
      </c>
      <c r="K1102" s="110">
        <v>9110614000</v>
      </c>
      <c r="L1102" s="316">
        <v>102503105.82799999</v>
      </c>
      <c r="M1102" s="279" t="s">
        <v>2236</v>
      </c>
      <c r="N1102" s="279" t="s">
        <v>2237</v>
      </c>
      <c r="O1102" s="279" t="s">
        <v>552</v>
      </c>
      <c r="P1102" s="283">
        <v>966</v>
      </c>
      <c r="Q1102" s="279" t="s">
        <v>3812</v>
      </c>
      <c r="R1102" s="279" t="s">
        <v>557</v>
      </c>
      <c r="S1102" s="279" t="s">
        <v>683</v>
      </c>
      <c r="T1102" s="279">
        <v>0</v>
      </c>
      <c r="U1102" s="267"/>
      <c r="V1102" s="267"/>
      <c r="W1102" s="224">
        <v>0</v>
      </c>
      <c r="X1102" s="267"/>
      <c r="Y1102" s="267"/>
      <c r="Z1102" s="267"/>
      <c r="AA1102" s="267">
        <v>0.5</v>
      </c>
      <c r="AB1102" s="224">
        <v>0.5</v>
      </c>
      <c r="AC1102" s="267"/>
      <c r="AD1102" s="267"/>
      <c r="AE1102" s="267"/>
      <c r="AF1102" s="267">
        <v>0.5</v>
      </c>
      <c r="AG1102" s="224">
        <v>0.5</v>
      </c>
      <c r="AH1102" s="267"/>
      <c r="AI1102" s="267"/>
      <c r="AJ1102" s="267"/>
      <c r="AK1102" s="267"/>
      <c r="AL1102" s="224">
        <v>0</v>
      </c>
      <c r="AM1102" s="104">
        <v>1</v>
      </c>
      <c r="AN1102" s="103" t="s">
        <v>685</v>
      </c>
      <c r="AO1102" s="103" t="s">
        <v>1212</v>
      </c>
      <c r="AP1102" s="103" t="s">
        <v>1229</v>
      </c>
      <c r="AQ1102" s="103" t="s">
        <v>1194</v>
      </c>
      <c r="AR1102" s="103" t="s">
        <v>951</v>
      </c>
      <c r="AS1102" s="271"/>
      <c r="AT1102" s="271"/>
      <c r="AU1102" s="271"/>
      <c r="AV1102" s="271"/>
      <c r="AW1102" s="271"/>
      <c r="AX1102" s="271"/>
      <c r="AY1102" s="271"/>
      <c r="AZ1102" s="271"/>
      <c r="BA1102" s="271"/>
      <c r="BB1102" s="271"/>
      <c r="BC1102" s="271"/>
      <c r="BD1102" s="271"/>
      <c r="BE1102" s="271"/>
      <c r="BF1102" s="271"/>
      <c r="BG1102" s="271"/>
      <c r="BH1102" s="235">
        <f t="shared" si="551"/>
        <v>0</v>
      </c>
      <c r="BI1102" s="271"/>
      <c r="BJ1102" s="271"/>
      <c r="BK1102" s="271"/>
      <c r="BL1102" s="271">
        <v>150000000</v>
      </c>
      <c r="BM1102" s="271"/>
      <c r="BN1102" s="271"/>
      <c r="BO1102" s="271"/>
      <c r="BP1102" s="271"/>
      <c r="BQ1102" s="271"/>
      <c r="BR1102" s="271"/>
      <c r="BS1102" s="271"/>
      <c r="BT1102" s="271"/>
      <c r="BU1102" s="271"/>
      <c r="BV1102" s="271"/>
      <c r="BW1102" s="271"/>
      <c r="BX1102" s="235">
        <f t="shared" si="552"/>
        <v>150000000</v>
      </c>
      <c r="BY1102" s="271"/>
      <c r="BZ1102" s="271"/>
      <c r="CA1102" s="271"/>
      <c r="CB1102" s="271">
        <v>150000000</v>
      </c>
      <c r="CC1102" s="271"/>
      <c r="CD1102" s="271"/>
      <c r="CE1102" s="271"/>
      <c r="CF1102" s="271"/>
      <c r="CG1102" s="271"/>
      <c r="CH1102" s="271"/>
      <c r="CI1102" s="271"/>
      <c r="CJ1102" s="271"/>
      <c r="CK1102" s="271"/>
      <c r="CL1102" s="271"/>
      <c r="CM1102" s="271"/>
      <c r="CN1102" s="235">
        <f t="shared" si="553"/>
        <v>150000000</v>
      </c>
      <c r="CO1102" s="271"/>
      <c r="CP1102" s="271"/>
      <c r="CQ1102" s="271"/>
      <c r="CR1102" s="271"/>
      <c r="CS1102" s="271"/>
      <c r="CT1102" s="271"/>
      <c r="CU1102" s="271"/>
      <c r="CV1102" s="271"/>
      <c r="CW1102" s="271"/>
      <c r="CX1102" s="271"/>
      <c r="CY1102" s="271"/>
      <c r="CZ1102" s="271"/>
      <c r="DA1102" s="271"/>
      <c r="DB1102" s="271"/>
      <c r="DC1102" s="271"/>
      <c r="DD1102" s="234">
        <f t="shared" si="554"/>
        <v>0</v>
      </c>
      <c r="DE1102" s="244">
        <f t="shared" si="555"/>
        <v>300000000</v>
      </c>
    </row>
    <row r="1103" spans="1:109" s="99" customFormat="1" ht="119.1" customHeight="1">
      <c r="A1103" s="103" t="s">
        <v>1258</v>
      </c>
      <c r="B1103" s="279" t="s">
        <v>2051</v>
      </c>
      <c r="C1103" s="279" t="s">
        <v>2208</v>
      </c>
      <c r="D1103" s="279">
        <v>103</v>
      </c>
      <c r="E1103" s="279" t="s">
        <v>2222</v>
      </c>
      <c r="F1103" s="280" t="s">
        <v>2223</v>
      </c>
      <c r="G1103" s="279" t="s">
        <v>3023</v>
      </c>
      <c r="H1103" s="279">
        <v>124</v>
      </c>
      <c r="I1103" s="279" t="s">
        <v>2224</v>
      </c>
      <c r="J1103" s="279" t="s">
        <v>2211</v>
      </c>
      <c r="K1103" s="110">
        <v>9110614000</v>
      </c>
      <c r="L1103" s="316">
        <v>102503105.82799999</v>
      </c>
      <c r="M1103" s="279" t="s">
        <v>2238</v>
      </c>
      <c r="N1103" s="279" t="s">
        <v>2239</v>
      </c>
      <c r="O1103" s="279" t="s">
        <v>558</v>
      </c>
      <c r="P1103" s="283">
        <v>967</v>
      </c>
      <c r="Q1103" s="279" t="s">
        <v>3032</v>
      </c>
      <c r="R1103" s="279" t="s">
        <v>559</v>
      </c>
      <c r="S1103" s="279" t="s">
        <v>683</v>
      </c>
      <c r="T1103" s="279">
        <v>0</v>
      </c>
      <c r="U1103" s="267"/>
      <c r="V1103" s="267">
        <v>1</v>
      </c>
      <c r="W1103" s="224">
        <v>1</v>
      </c>
      <c r="X1103" s="267">
        <v>0.25</v>
      </c>
      <c r="Y1103" s="267">
        <v>0.25</v>
      </c>
      <c r="Z1103" s="267">
        <v>0.25</v>
      </c>
      <c r="AA1103" s="267">
        <v>0.25</v>
      </c>
      <c r="AB1103" s="224">
        <v>1</v>
      </c>
      <c r="AC1103" s="267">
        <v>0.25</v>
      </c>
      <c r="AD1103" s="267">
        <v>0.25</v>
      </c>
      <c r="AE1103" s="267">
        <v>0.25</v>
      </c>
      <c r="AF1103" s="267">
        <v>0.25</v>
      </c>
      <c r="AG1103" s="224">
        <v>1</v>
      </c>
      <c r="AH1103" s="267">
        <v>0.25</v>
      </c>
      <c r="AI1103" s="267">
        <v>0.25</v>
      </c>
      <c r="AJ1103" s="267">
        <v>0.25</v>
      </c>
      <c r="AK1103" s="267">
        <v>0.25</v>
      </c>
      <c r="AL1103" s="224">
        <v>1</v>
      </c>
      <c r="AM1103" s="104">
        <v>4</v>
      </c>
      <c r="AN1103" s="103" t="s">
        <v>685</v>
      </c>
      <c r="AO1103" s="103" t="s">
        <v>1212</v>
      </c>
      <c r="AP1103" s="103" t="s">
        <v>1229</v>
      </c>
      <c r="AQ1103" s="103" t="s">
        <v>1194</v>
      </c>
      <c r="AR1103" s="103" t="s">
        <v>951</v>
      </c>
      <c r="AS1103" s="271"/>
      <c r="AT1103" s="271"/>
      <c r="AU1103" s="271"/>
      <c r="AV1103" s="271">
        <v>123000000</v>
      </c>
      <c r="AW1103" s="271"/>
      <c r="AX1103" s="271"/>
      <c r="AY1103" s="271"/>
      <c r="AZ1103" s="271"/>
      <c r="BA1103" s="271"/>
      <c r="BB1103" s="271"/>
      <c r="BC1103" s="271"/>
      <c r="BD1103" s="271"/>
      <c r="BE1103" s="271"/>
      <c r="BF1103" s="271"/>
      <c r="BG1103" s="271"/>
      <c r="BH1103" s="235">
        <f t="shared" si="551"/>
        <v>123000000</v>
      </c>
      <c r="BI1103" s="271"/>
      <c r="BJ1103" s="271"/>
      <c r="BK1103" s="271"/>
      <c r="BL1103" s="271">
        <v>123000000</v>
      </c>
      <c r="BM1103" s="271"/>
      <c r="BN1103" s="271"/>
      <c r="BO1103" s="271"/>
      <c r="BP1103" s="271"/>
      <c r="BQ1103" s="271"/>
      <c r="BR1103" s="271"/>
      <c r="BS1103" s="271"/>
      <c r="BT1103" s="271"/>
      <c r="BU1103" s="271"/>
      <c r="BV1103" s="271"/>
      <c r="BW1103" s="271"/>
      <c r="BX1103" s="235">
        <f t="shared" si="552"/>
        <v>123000000</v>
      </c>
      <c r="BY1103" s="271"/>
      <c r="BZ1103" s="271"/>
      <c r="CA1103" s="271"/>
      <c r="CB1103" s="271">
        <v>123000000</v>
      </c>
      <c r="CC1103" s="271"/>
      <c r="CD1103" s="271"/>
      <c r="CE1103" s="271"/>
      <c r="CF1103" s="271"/>
      <c r="CG1103" s="271"/>
      <c r="CH1103" s="271"/>
      <c r="CI1103" s="271"/>
      <c r="CJ1103" s="271"/>
      <c r="CK1103" s="271"/>
      <c r="CL1103" s="271"/>
      <c r="CM1103" s="271"/>
      <c r="CN1103" s="235">
        <f t="shared" si="553"/>
        <v>123000000</v>
      </c>
      <c r="CO1103" s="271"/>
      <c r="CP1103" s="271"/>
      <c r="CQ1103" s="271"/>
      <c r="CR1103" s="271">
        <v>123000000</v>
      </c>
      <c r="CS1103" s="271"/>
      <c r="CT1103" s="271"/>
      <c r="CU1103" s="271"/>
      <c r="CV1103" s="271"/>
      <c r="CW1103" s="271"/>
      <c r="CX1103" s="271"/>
      <c r="CY1103" s="271"/>
      <c r="CZ1103" s="271"/>
      <c r="DA1103" s="271"/>
      <c r="DB1103" s="271"/>
      <c r="DC1103" s="271"/>
      <c r="DD1103" s="234">
        <f t="shared" si="554"/>
        <v>123000000</v>
      </c>
      <c r="DE1103" s="244">
        <f t="shared" si="555"/>
        <v>492000000</v>
      </c>
    </row>
    <row r="1104" spans="1:109" s="99" customFormat="1" ht="119.1" customHeight="1">
      <c r="A1104" s="103" t="s">
        <v>1258</v>
      </c>
      <c r="B1104" s="279" t="s">
        <v>2051</v>
      </c>
      <c r="C1104" s="279" t="s">
        <v>2208</v>
      </c>
      <c r="D1104" s="279">
        <v>103</v>
      </c>
      <c r="E1104" s="279" t="s">
        <v>2222</v>
      </c>
      <c r="F1104" s="280" t="s">
        <v>2223</v>
      </c>
      <c r="G1104" s="279" t="s">
        <v>3023</v>
      </c>
      <c r="H1104" s="279">
        <v>124</v>
      </c>
      <c r="I1104" s="279" t="s">
        <v>2224</v>
      </c>
      <c r="J1104" s="279" t="s">
        <v>2211</v>
      </c>
      <c r="K1104" s="110">
        <v>9110614000</v>
      </c>
      <c r="L1104" s="316">
        <v>102503105.82799999</v>
      </c>
      <c r="M1104" s="279" t="s">
        <v>2238</v>
      </c>
      <c r="N1104" s="279" t="s">
        <v>2239</v>
      </c>
      <c r="O1104" s="279" t="s">
        <v>558</v>
      </c>
      <c r="P1104" s="283">
        <v>968</v>
      </c>
      <c r="Q1104" s="279" t="s">
        <v>3257</v>
      </c>
      <c r="R1104" s="279" t="s">
        <v>560</v>
      </c>
      <c r="S1104" s="279" t="s">
        <v>677</v>
      </c>
      <c r="T1104" s="279">
        <v>0</v>
      </c>
      <c r="U1104" s="267"/>
      <c r="V1104" s="267">
        <v>5</v>
      </c>
      <c r="W1104" s="224">
        <v>5</v>
      </c>
      <c r="X1104" s="267">
        <v>5</v>
      </c>
      <c r="Y1104" s="267">
        <v>5</v>
      </c>
      <c r="Z1104" s="267">
        <v>5</v>
      </c>
      <c r="AA1104" s="267">
        <v>5</v>
      </c>
      <c r="AB1104" s="224">
        <v>20</v>
      </c>
      <c r="AC1104" s="267">
        <v>5</v>
      </c>
      <c r="AD1104" s="267">
        <v>5</v>
      </c>
      <c r="AE1104" s="267">
        <v>5</v>
      </c>
      <c r="AF1104" s="267">
        <v>5</v>
      </c>
      <c r="AG1104" s="224">
        <v>20</v>
      </c>
      <c r="AH1104" s="267">
        <v>5</v>
      </c>
      <c r="AI1104" s="267">
        <v>5</v>
      </c>
      <c r="AJ1104" s="267">
        <v>20</v>
      </c>
      <c r="AK1104" s="267">
        <v>25</v>
      </c>
      <c r="AL1104" s="224">
        <v>55</v>
      </c>
      <c r="AM1104" s="104">
        <v>100</v>
      </c>
      <c r="AN1104" s="103" t="s">
        <v>685</v>
      </c>
      <c r="AO1104" s="103" t="s">
        <v>1212</v>
      </c>
      <c r="AP1104" s="103" t="s">
        <v>1229</v>
      </c>
      <c r="AQ1104" s="103" t="s">
        <v>1204</v>
      </c>
      <c r="AR1104" s="103" t="s">
        <v>951</v>
      </c>
      <c r="AS1104" s="271"/>
      <c r="AT1104" s="271"/>
      <c r="AU1104" s="271"/>
      <c r="AV1104" s="271">
        <v>40000000</v>
      </c>
      <c r="AW1104" s="271"/>
      <c r="AX1104" s="271"/>
      <c r="AY1104" s="271"/>
      <c r="AZ1104" s="271"/>
      <c r="BA1104" s="271"/>
      <c r="BB1104" s="271"/>
      <c r="BC1104" s="271"/>
      <c r="BD1104" s="271"/>
      <c r="BE1104" s="271"/>
      <c r="BF1104" s="271"/>
      <c r="BG1104" s="271"/>
      <c r="BH1104" s="235">
        <f t="shared" si="551"/>
        <v>40000000</v>
      </c>
      <c r="BI1104" s="271"/>
      <c r="BJ1104" s="271"/>
      <c r="BK1104" s="271"/>
      <c r="BL1104" s="271">
        <v>50000000</v>
      </c>
      <c r="BM1104" s="271"/>
      <c r="BN1104" s="271"/>
      <c r="BO1104" s="271"/>
      <c r="BP1104" s="271"/>
      <c r="BQ1104" s="271"/>
      <c r="BR1104" s="271"/>
      <c r="BS1104" s="271"/>
      <c r="BT1104" s="271"/>
      <c r="BU1104" s="271"/>
      <c r="BV1104" s="271"/>
      <c r="BW1104" s="271"/>
      <c r="BX1104" s="235">
        <f t="shared" si="552"/>
        <v>50000000</v>
      </c>
      <c r="BY1104" s="271"/>
      <c r="BZ1104" s="271"/>
      <c r="CA1104" s="271"/>
      <c r="CB1104" s="271">
        <v>50000000</v>
      </c>
      <c r="CC1104" s="271"/>
      <c r="CD1104" s="271"/>
      <c r="CE1104" s="271"/>
      <c r="CF1104" s="271"/>
      <c r="CG1104" s="271"/>
      <c r="CH1104" s="271"/>
      <c r="CI1104" s="271"/>
      <c r="CJ1104" s="271"/>
      <c r="CK1104" s="271"/>
      <c r="CL1104" s="271"/>
      <c r="CM1104" s="271"/>
      <c r="CN1104" s="235">
        <f t="shared" si="553"/>
        <v>50000000</v>
      </c>
      <c r="CO1104" s="271"/>
      <c r="CP1104" s="271"/>
      <c r="CQ1104" s="271"/>
      <c r="CR1104" s="271">
        <v>60000000</v>
      </c>
      <c r="CS1104" s="271"/>
      <c r="CT1104" s="271"/>
      <c r="CU1104" s="271"/>
      <c r="CV1104" s="271"/>
      <c r="CW1104" s="271"/>
      <c r="CX1104" s="271"/>
      <c r="CY1104" s="271"/>
      <c r="CZ1104" s="271"/>
      <c r="DA1104" s="271"/>
      <c r="DB1104" s="271"/>
      <c r="DC1104" s="271"/>
      <c r="DD1104" s="234">
        <f t="shared" si="554"/>
        <v>60000000</v>
      </c>
      <c r="DE1104" s="244">
        <f t="shared" si="555"/>
        <v>200000000</v>
      </c>
    </row>
    <row r="1105" spans="1:109" s="99" customFormat="1" ht="119.1" customHeight="1">
      <c r="A1105" s="103" t="s">
        <v>1258</v>
      </c>
      <c r="B1105" s="279" t="s">
        <v>2051</v>
      </c>
      <c r="C1105" s="279" t="s">
        <v>2208</v>
      </c>
      <c r="D1105" s="279">
        <v>103</v>
      </c>
      <c r="E1105" s="279" t="s">
        <v>2222</v>
      </c>
      <c r="F1105" s="280" t="s">
        <v>2223</v>
      </c>
      <c r="G1105" s="279" t="s">
        <v>3023</v>
      </c>
      <c r="H1105" s="279">
        <v>124</v>
      </c>
      <c r="I1105" s="279" t="s">
        <v>2224</v>
      </c>
      <c r="J1105" s="279" t="s">
        <v>2211</v>
      </c>
      <c r="K1105" s="110">
        <v>9110614000</v>
      </c>
      <c r="L1105" s="316">
        <v>102503105.82799999</v>
      </c>
      <c r="M1105" s="279" t="s">
        <v>2238</v>
      </c>
      <c r="N1105" s="279" t="s">
        <v>2239</v>
      </c>
      <c r="O1105" s="279" t="s">
        <v>558</v>
      </c>
      <c r="P1105" s="283">
        <v>969</v>
      </c>
      <c r="Q1105" s="279" t="s">
        <v>3258</v>
      </c>
      <c r="R1105" s="279" t="s">
        <v>2240</v>
      </c>
      <c r="S1105" s="279" t="s">
        <v>683</v>
      </c>
      <c r="T1105" s="279">
        <v>0</v>
      </c>
      <c r="U1105" s="267"/>
      <c r="V1105" s="267">
        <v>0.5</v>
      </c>
      <c r="W1105" s="224">
        <v>0.5</v>
      </c>
      <c r="X1105" s="267">
        <v>0.5</v>
      </c>
      <c r="Y1105" s="267"/>
      <c r="Z1105" s="267"/>
      <c r="AA1105" s="267">
        <v>0.5</v>
      </c>
      <c r="AB1105" s="224">
        <v>1</v>
      </c>
      <c r="AC1105" s="267"/>
      <c r="AD1105" s="267"/>
      <c r="AE1105" s="267"/>
      <c r="AF1105" s="267">
        <v>0.5</v>
      </c>
      <c r="AG1105" s="224">
        <v>0.5</v>
      </c>
      <c r="AH1105" s="267">
        <v>0.5</v>
      </c>
      <c r="AI1105" s="267"/>
      <c r="AJ1105" s="267"/>
      <c r="AK1105" s="267">
        <v>0.5</v>
      </c>
      <c r="AL1105" s="224">
        <v>1</v>
      </c>
      <c r="AM1105" s="104">
        <v>3</v>
      </c>
      <c r="AN1105" s="103" t="s">
        <v>685</v>
      </c>
      <c r="AO1105" s="103" t="s">
        <v>1212</v>
      </c>
      <c r="AP1105" s="103" t="s">
        <v>1229</v>
      </c>
      <c r="AQ1105" s="103" t="s">
        <v>1194</v>
      </c>
      <c r="AR1105" s="103" t="s">
        <v>951</v>
      </c>
      <c r="AS1105" s="271"/>
      <c r="AT1105" s="271"/>
      <c r="AU1105" s="271"/>
      <c r="AV1105" s="271">
        <v>175000000</v>
      </c>
      <c r="AW1105" s="271"/>
      <c r="AX1105" s="271"/>
      <c r="AY1105" s="271"/>
      <c r="AZ1105" s="271"/>
      <c r="BA1105" s="271"/>
      <c r="BB1105" s="271"/>
      <c r="BC1105" s="271"/>
      <c r="BD1105" s="271"/>
      <c r="BE1105" s="271"/>
      <c r="BF1105" s="271"/>
      <c r="BG1105" s="271"/>
      <c r="BH1105" s="235">
        <f t="shared" si="551"/>
        <v>175000000</v>
      </c>
      <c r="BI1105" s="271"/>
      <c r="BJ1105" s="271"/>
      <c r="BK1105" s="271"/>
      <c r="BL1105" s="271">
        <v>175000000</v>
      </c>
      <c r="BM1105" s="271"/>
      <c r="BN1105" s="271"/>
      <c r="BO1105" s="271"/>
      <c r="BP1105" s="271"/>
      <c r="BQ1105" s="271"/>
      <c r="BR1105" s="271"/>
      <c r="BS1105" s="271"/>
      <c r="BT1105" s="271"/>
      <c r="BU1105" s="271"/>
      <c r="BV1105" s="271"/>
      <c r="BW1105" s="271"/>
      <c r="BX1105" s="235">
        <f t="shared" si="552"/>
        <v>175000000</v>
      </c>
      <c r="BY1105" s="271"/>
      <c r="BZ1105" s="271"/>
      <c r="CA1105" s="271"/>
      <c r="CB1105" s="271">
        <v>175000000</v>
      </c>
      <c r="CC1105" s="271"/>
      <c r="CD1105" s="271"/>
      <c r="CE1105" s="271"/>
      <c r="CF1105" s="271"/>
      <c r="CG1105" s="271"/>
      <c r="CH1105" s="271"/>
      <c r="CI1105" s="271"/>
      <c r="CJ1105" s="271"/>
      <c r="CK1105" s="271"/>
      <c r="CL1105" s="271"/>
      <c r="CM1105" s="271"/>
      <c r="CN1105" s="235">
        <f t="shared" si="553"/>
        <v>175000000</v>
      </c>
      <c r="CO1105" s="271"/>
      <c r="CP1105" s="271"/>
      <c r="CQ1105" s="271"/>
      <c r="CR1105" s="271">
        <v>175000000</v>
      </c>
      <c r="CS1105" s="271"/>
      <c r="CT1105" s="271"/>
      <c r="CU1105" s="271"/>
      <c r="CV1105" s="271"/>
      <c r="CW1105" s="271"/>
      <c r="CX1105" s="271"/>
      <c r="CY1105" s="271"/>
      <c r="CZ1105" s="271"/>
      <c r="DA1105" s="271"/>
      <c r="DB1105" s="271"/>
      <c r="DC1105" s="271"/>
      <c r="DD1105" s="234">
        <f t="shared" si="554"/>
        <v>175000000</v>
      </c>
      <c r="DE1105" s="244">
        <f t="shared" si="555"/>
        <v>700000000</v>
      </c>
    </row>
    <row r="1106" spans="1:109" s="99" customFormat="1" ht="119.1" customHeight="1">
      <c r="A1106" s="120" t="s">
        <v>1258</v>
      </c>
      <c r="B1106" s="281" t="s">
        <v>2051</v>
      </c>
      <c r="C1106" s="281" t="s">
        <v>2208</v>
      </c>
      <c r="D1106" s="281">
        <v>103</v>
      </c>
      <c r="E1106" s="281" t="s">
        <v>2222</v>
      </c>
      <c r="F1106" s="282" t="s">
        <v>2223</v>
      </c>
      <c r="G1106" s="281" t="s">
        <v>3023</v>
      </c>
      <c r="H1106" s="281">
        <v>124</v>
      </c>
      <c r="I1106" s="281" t="s">
        <v>2224</v>
      </c>
      <c r="J1106" s="281" t="s">
        <v>2211</v>
      </c>
      <c r="K1106" s="123">
        <v>9110614000</v>
      </c>
      <c r="L1106" s="317">
        <v>102503105.82799999</v>
      </c>
      <c r="M1106" s="281" t="s">
        <v>2238</v>
      </c>
      <c r="N1106" s="281" t="s">
        <v>2239</v>
      </c>
      <c r="O1106" s="281" t="s">
        <v>558</v>
      </c>
      <c r="P1106" s="283">
        <v>970</v>
      </c>
      <c r="Q1106" s="281" t="s">
        <v>3033</v>
      </c>
      <c r="R1106" s="281" t="s">
        <v>561</v>
      </c>
      <c r="S1106" s="281" t="s">
        <v>683</v>
      </c>
      <c r="T1106" s="281">
        <v>0</v>
      </c>
      <c r="U1106" s="275"/>
      <c r="V1106" s="275">
        <v>0.5</v>
      </c>
      <c r="W1106" s="225">
        <v>0.5</v>
      </c>
      <c r="X1106" s="275"/>
      <c r="Y1106" s="275"/>
      <c r="Z1106" s="275"/>
      <c r="AA1106" s="275">
        <v>1</v>
      </c>
      <c r="AB1106" s="225">
        <v>1</v>
      </c>
      <c r="AC1106" s="275"/>
      <c r="AD1106" s="275"/>
      <c r="AE1106" s="275"/>
      <c r="AF1106" s="275">
        <v>1</v>
      </c>
      <c r="AG1106" s="225">
        <v>1</v>
      </c>
      <c r="AH1106" s="275"/>
      <c r="AI1106" s="275"/>
      <c r="AJ1106" s="275"/>
      <c r="AK1106" s="275">
        <v>0.5</v>
      </c>
      <c r="AL1106" s="225">
        <v>0.5</v>
      </c>
      <c r="AM1106" s="119">
        <v>3</v>
      </c>
      <c r="AN1106" s="120" t="s">
        <v>685</v>
      </c>
      <c r="AO1106" s="120" t="s">
        <v>1212</v>
      </c>
      <c r="AP1106" s="120" t="s">
        <v>1229</v>
      </c>
      <c r="AQ1106" s="120" t="s">
        <v>1194</v>
      </c>
      <c r="AR1106" s="120" t="s">
        <v>951</v>
      </c>
      <c r="AS1106" s="276"/>
      <c r="AT1106" s="276"/>
      <c r="AU1106" s="276"/>
      <c r="AV1106" s="276">
        <v>550000000</v>
      </c>
      <c r="AW1106" s="276"/>
      <c r="AX1106" s="276"/>
      <c r="AY1106" s="276"/>
      <c r="AZ1106" s="276"/>
      <c r="BA1106" s="276"/>
      <c r="BB1106" s="276"/>
      <c r="BC1106" s="276"/>
      <c r="BD1106" s="276"/>
      <c r="BE1106" s="276"/>
      <c r="BF1106" s="276"/>
      <c r="BG1106" s="276"/>
      <c r="BH1106" s="236">
        <f t="shared" si="551"/>
        <v>550000000</v>
      </c>
      <c r="BI1106" s="276"/>
      <c r="BJ1106" s="276"/>
      <c r="BK1106" s="276"/>
      <c r="BL1106" s="276">
        <v>550000000</v>
      </c>
      <c r="BM1106" s="276"/>
      <c r="BN1106" s="276"/>
      <c r="BO1106" s="276"/>
      <c r="BP1106" s="276"/>
      <c r="BQ1106" s="276"/>
      <c r="BR1106" s="276"/>
      <c r="BS1106" s="276"/>
      <c r="BT1106" s="276"/>
      <c r="BU1106" s="276"/>
      <c r="BV1106" s="276"/>
      <c r="BW1106" s="276"/>
      <c r="BX1106" s="236">
        <f t="shared" si="552"/>
        <v>550000000</v>
      </c>
      <c r="BY1106" s="276"/>
      <c r="BZ1106" s="276"/>
      <c r="CA1106" s="276"/>
      <c r="CB1106" s="276">
        <v>550000000</v>
      </c>
      <c r="CC1106" s="276"/>
      <c r="CD1106" s="276"/>
      <c r="CE1106" s="276"/>
      <c r="CF1106" s="276"/>
      <c r="CG1106" s="276"/>
      <c r="CH1106" s="276"/>
      <c r="CI1106" s="276"/>
      <c r="CJ1106" s="276"/>
      <c r="CK1106" s="276"/>
      <c r="CL1106" s="276"/>
      <c r="CM1106" s="276"/>
      <c r="CN1106" s="236">
        <f t="shared" si="553"/>
        <v>550000000</v>
      </c>
      <c r="CO1106" s="276"/>
      <c r="CP1106" s="276"/>
      <c r="CQ1106" s="276"/>
      <c r="CR1106" s="276">
        <v>550000000</v>
      </c>
      <c r="CS1106" s="276"/>
      <c r="CT1106" s="276"/>
      <c r="CU1106" s="276"/>
      <c r="CV1106" s="276"/>
      <c r="CW1106" s="276"/>
      <c r="CX1106" s="276"/>
      <c r="CY1106" s="276"/>
      <c r="CZ1106" s="276"/>
      <c r="DA1106" s="276"/>
      <c r="DB1106" s="276"/>
      <c r="DC1106" s="276"/>
      <c r="DD1106" s="240">
        <f t="shared" si="554"/>
        <v>550000000</v>
      </c>
      <c r="DE1106" s="245">
        <f t="shared" si="555"/>
        <v>2200000000</v>
      </c>
    </row>
    <row r="1107" spans="1:109" s="46" customFormat="1" ht="65.099999999999994" customHeight="1">
      <c r="A1107" s="134" t="s">
        <v>1258</v>
      </c>
      <c r="B1107" s="134" t="s">
        <v>2051</v>
      </c>
      <c r="C1107" s="134" t="s">
        <v>2208</v>
      </c>
      <c r="D1107" s="134">
        <v>103</v>
      </c>
      <c r="E1107" s="134" t="s">
        <v>2222</v>
      </c>
      <c r="F1107" s="135"/>
      <c r="G1107" s="136"/>
      <c r="H1107" s="137"/>
      <c r="I1107" s="137"/>
      <c r="J1107" s="137"/>
      <c r="K1107" s="138"/>
      <c r="L1107" s="137"/>
      <c r="M1107" s="137"/>
      <c r="N1107" s="137"/>
      <c r="O1107" s="137"/>
      <c r="P1107" s="137"/>
      <c r="Q1107" s="136"/>
      <c r="R1107" s="139"/>
      <c r="S1107" s="137"/>
      <c r="T1107" s="137"/>
      <c r="U1107" s="140"/>
      <c r="V1107" s="140"/>
      <c r="W1107" s="138"/>
      <c r="X1107" s="140"/>
      <c r="Y1107" s="140"/>
      <c r="Z1107" s="140"/>
      <c r="AA1107" s="140"/>
      <c r="AB1107" s="138"/>
      <c r="AC1107" s="140"/>
      <c r="AD1107" s="140"/>
      <c r="AE1107" s="140"/>
      <c r="AF1107" s="140"/>
      <c r="AG1107" s="138"/>
      <c r="AH1107" s="140"/>
      <c r="AI1107" s="140"/>
      <c r="AJ1107" s="140"/>
      <c r="AK1107" s="140"/>
      <c r="AL1107" s="138"/>
      <c r="AM1107" s="141"/>
      <c r="AN1107" s="142"/>
      <c r="AO1107" s="142"/>
      <c r="AP1107" s="143"/>
      <c r="AQ1107" s="143"/>
      <c r="AR1107" s="144"/>
      <c r="AS1107" s="132">
        <f>SUM(AS1088:AS1106)</f>
        <v>0</v>
      </c>
      <c r="AT1107" s="132">
        <f t="shared" ref="AT1107:DE1107" si="556">SUM(AT1088:AT1106)</f>
        <v>0</v>
      </c>
      <c r="AU1107" s="132">
        <f t="shared" si="556"/>
        <v>0</v>
      </c>
      <c r="AV1107" s="132">
        <f t="shared" si="556"/>
        <v>3269000000</v>
      </c>
      <c r="AW1107" s="132">
        <f t="shared" si="556"/>
        <v>0</v>
      </c>
      <c r="AX1107" s="132">
        <f t="shared" si="556"/>
        <v>0</v>
      </c>
      <c r="AY1107" s="132">
        <f t="shared" si="556"/>
        <v>0</v>
      </c>
      <c r="AZ1107" s="132">
        <f t="shared" si="556"/>
        <v>0</v>
      </c>
      <c r="BA1107" s="132">
        <f t="shared" si="556"/>
        <v>0</v>
      </c>
      <c r="BB1107" s="132">
        <f t="shared" si="556"/>
        <v>0</v>
      </c>
      <c r="BC1107" s="132">
        <f t="shared" si="556"/>
        <v>0</v>
      </c>
      <c r="BD1107" s="132">
        <f t="shared" si="556"/>
        <v>0</v>
      </c>
      <c r="BE1107" s="132">
        <f t="shared" si="556"/>
        <v>0</v>
      </c>
      <c r="BF1107" s="132">
        <f t="shared" si="556"/>
        <v>0</v>
      </c>
      <c r="BG1107" s="132">
        <f t="shared" si="556"/>
        <v>0</v>
      </c>
      <c r="BH1107" s="133">
        <f>IF(OR(AND(BH1088=0,W1088&lt;&gt;0),AND(BH1089=0,W1089&lt;&gt;0),AND(BH1090=0,W1090&lt;&gt;0),AND(BH1091=0,W1091&lt;&gt;0),AND(BH1092=0,W1092&lt;&gt;0),AND(BH1093=0,W1093&lt;&gt;0),AND(BH1094=0,W1094&lt;&gt;0),AND(BH1095=0,W1095&lt;&gt;0),AND(BH1096=0,W1096&lt;&gt;0),AND(BH1097=0,W1097&lt;&gt;0),AND(BH1098=0,W1098&lt;&gt;0),AND(BH1099=0,W1099&lt;&gt;0),AND(BH1100=0,W1100&lt;&gt;0),AND(BH1101=0,W1101&lt;&gt;0),AND(BH1102=0,W1102&lt;&gt;0),AND(BH1103=0,W1103&lt;&gt;0),AND(BH1104=0,W1104&lt;&gt;0),AND(BH1105=0,W1105&lt;&gt;0),AND(BH1106=0,W1106&lt;&gt;0)),"NO DEBEN QUEDAR CELDAS EN ROJO",SUM(BH1088:BH1106))</f>
        <v>3269000000</v>
      </c>
      <c r="BI1107" s="132">
        <f t="shared" si="556"/>
        <v>0</v>
      </c>
      <c r="BJ1107" s="132">
        <f t="shared" si="556"/>
        <v>0</v>
      </c>
      <c r="BK1107" s="132">
        <f t="shared" si="556"/>
        <v>0</v>
      </c>
      <c r="BL1107" s="132">
        <f t="shared" si="556"/>
        <v>3234000000</v>
      </c>
      <c r="BM1107" s="132">
        <f t="shared" si="556"/>
        <v>0</v>
      </c>
      <c r="BN1107" s="132">
        <f t="shared" si="556"/>
        <v>0</v>
      </c>
      <c r="BO1107" s="132">
        <f t="shared" si="556"/>
        <v>0</v>
      </c>
      <c r="BP1107" s="132">
        <f t="shared" si="556"/>
        <v>0</v>
      </c>
      <c r="BQ1107" s="132">
        <f t="shared" si="556"/>
        <v>0</v>
      </c>
      <c r="BR1107" s="132">
        <f t="shared" si="556"/>
        <v>0</v>
      </c>
      <c r="BS1107" s="132">
        <f t="shared" si="556"/>
        <v>0</v>
      </c>
      <c r="BT1107" s="132">
        <f t="shared" si="556"/>
        <v>0</v>
      </c>
      <c r="BU1107" s="132">
        <f t="shared" si="556"/>
        <v>0</v>
      </c>
      <c r="BV1107" s="132">
        <f t="shared" si="556"/>
        <v>0</v>
      </c>
      <c r="BW1107" s="132">
        <f t="shared" si="556"/>
        <v>0</v>
      </c>
      <c r="BX1107" s="133">
        <f>IF(OR(AND(BX1088=0,AB1088&lt;&gt;0),AND(BX1089=0,AB1089&lt;&gt;0),AND(BX1090=0,AB1090&lt;&gt;0),AND(BX1091=0,AB1091&lt;&gt;0),AND(BX1092=0,AB1092&lt;&gt;0),AND(BX1093=0,AB1093&lt;&gt;0),AND(BX1094=0,AB1094&lt;&gt;0),AND(BX1095=0,AB1095&lt;&gt;0),AND(BX1096=0,AB1096&lt;&gt;0),AND(BX1097=0,AB1097&lt;&gt;0),AND(BX1098=0,AB1098&lt;&gt;0),AND(BX1099=0,AB1099&lt;&gt;0),AND(BX1100=0,AB1100&lt;&gt;0),AND(BX1101=0,AB1101&lt;&gt;0),AND(BX1102=0,AB1102&lt;&gt;0),AND(BX1103=0,AB1103&lt;&gt;0),AND(BX1104=0,AB1104&lt;&gt;0),AND(BX1105=0,AB1105&lt;&gt;0),AND(BX1106=0,AB1106&lt;&gt;0)),"NO DEBEN QUEDAR CELDAS EN ROJO",SUM(BX1088:BX1106))</f>
        <v>3234000000</v>
      </c>
      <c r="BY1107" s="132">
        <f t="shared" si="556"/>
        <v>0</v>
      </c>
      <c r="BZ1107" s="132">
        <f t="shared" si="556"/>
        <v>0</v>
      </c>
      <c r="CA1107" s="132">
        <f t="shared" si="556"/>
        <v>0</v>
      </c>
      <c r="CB1107" s="132">
        <f t="shared" si="556"/>
        <v>2617000000</v>
      </c>
      <c r="CC1107" s="132">
        <f t="shared" si="556"/>
        <v>0</v>
      </c>
      <c r="CD1107" s="132">
        <f t="shared" si="556"/>
        <v>0</v>
      </c>
      <c r="CE1107" s="132">
        <f t="shared" si="556"/>
        <v>0</v>
      </c>
      <c r="CF1107" s="132">
        <f t="shared" si="556"/>
        <v>0</v>
      </c>
      <c r="CG1107" s="132">
        <f t="shared" si="556"/>
        <v>0</v>
      </c>
      <c r="CH1107" s="132">
        <f t="shared" si="556"/>
        <v>0</v>
      </c>
      <c r="CI1107" s="132">
        <f t="shared" si="556"/>
        <v>0</v>
      </c>
      <c r="CJ1107" s="132">
        <f t="shared" si="556"/>
        <v>0</v>
      </c>
      <c r="CK1107" s="132">
        <f t="shared" si="556"/>
        <v>0</v>
      </c>
      <c r="CL1107" s="132">
        <f t="shared" si="556"/>
        <v>0</v>
      </c>
      <c r="CM1107" s="132">
        <f t="shared" si="556"/>
        <v>0</v>
      </c>
      <c r="CN1107" s="133">
        <f>IF(OR(AND(CN1088=0,AG1088&lt;&gt;0),AND(CN1089=0,AG1089&lt;&gt;0),AND(CN1090=0,AG1090&lt;&gt;0),AND(CN1091=0,AG1091&lt;&gt;0),AND(CN1092=0,AG1092&lt;&gt;0),AND(CN1093=0,AG1093&lt;&gt;0),AND(CN1094=0,AG1094&lt;&gt;0),AND(CN1095=0,AG1095&lt;&gt;0),AND(CN1096=0,AG1096&lt;&gt;0),AND(CN1097=0,AG1097&lt;&gt;0),AND(CN1098=0,AG1098&lt;&gt;0),AND(CN1099=0,AG1099&lt;&gt;0),AND(CN1100=0,AG1100&lt;&gt;0),AND(CN1101=0,AG1101&lt;&gt;0),AND(CN1102=0,AG1102&lt;&gt;0),AND(CN1103=0,AG1103&lt;&gt;0),AND(CN1104=0,AG1104&lt;&gt;0),AND(CN1105=0,AG1105&lt;&gt;0),AND(CN1106=0,AG1106&lt;&gt;0)),"NO DEBEN QUEDAR CELDAS EN ROJO",SUM(CN1088:CN1106))</f>
        <v>2617000000</v>
      </c>
      <c r="CO1107" s="132">
        <f t="shared" si="556"/>
        <v>0</v>
      </c>
      <c r="CP1107" s="132">
        <f t="shared" si="556"/>
        <v>0</v>
      </c>
      <c r="CQ1107" s="132">
        <f t="shared" si="556"/>
        <v>0</v>
      </c>
      <c r="CR1107" s="132">
        <f t="shared" si="556"/>
        <v>2587000000</v>
      </c>
      <c r="CS1107" s="132">
        <f t="shared" si="556"/>
        <v>0</v>
      </c>
      <c r="CT1107" s="132">
        <f t="shared" si="556"/>
        <v>0</v>
      </c>
      <c r="CU1107" s="132">
        <f t="shared" si="556"/>
        <v>0</v>
      </c>
      <c r="CV1107" s="132">
        <f t="shared" si="556"/>
        <v>0</v>
      </c>
      <c r="CW1107" s="132">
        <f t="shared" si="556"/>
        <v>0</v>
      </c>
      <c r="CX1107" s="132">
        <f t="shared" si="556"/>
        <v>0</v>
      </c>
      <c r="CY1107" s="132">
        <f t="shared" si="556"/>
        <v>0</v>
      </c>
      <c r="CZ1107" s="132">
        <f t="shared" si="556"/>
        <v>0</v>
      </c>
      <c r="DA1107" s="132">
        <f t="shared" si="556"/>
        <v>0</v>
      </c>
      <c r="DB1107" s="132">
        <f t="shared" si="556"/>
        <v>0</v>
      </c>
      <c r="DC1107" s="132">
        <f t="shared" si="556"/>
        <v>0</v>
      </c>
      <c r="DD1107" s="133">
        <f>IF(OR(AND(DD1088=0,AL1088&lt;&gt;0),AND(DD1089=0,AL1089&lt;&gt;0),AND(DD1090=0,AL1090&lt;&gt;0),AND(DD1091=0,AL1091&lt;&gt;0),AND(DD1092=0,AL1092&lt;&gt;0),AND(DD1093=0,AL1093&lt;&gt;0),AND(DD1094=0,AL1094&lt;&gt;0),AND(DD1095=0,AL1095&lt;&gt;0),AND(DD1096=0,AL1096&lt;&gt;0),AND(DD1097=0,AL1097&lt;&gt;0),AND(DD1098=0,AL1098&lt;&gt;0),AND(DD1099=0,AL1099&lt;&gt;0),AND(DD1100=0,AL1100&lt;&gt;0),AND(DD1101=0,AL1101&lt;&gt;0),AND(DD1102=0,AL1102&lt;&gt;0),AND(DD1103=0,AL1103&lt;&gt;0),AND(DD1104=0,AL1104&lt;&gt;0),AND(DD1105=0,AL1105&lt;&gt;0),AND(DD1106=0,AL1106&lt;&gt;0)),"NO DEBEN QUEDAR CELDAS EN ROJO",SUM(DD1088:DD1106))</f>
        <v>2587000000</v>
      </c>
      <c r="DE1107" s="133">
        <f t="shared" si="556"/>
        <v>11707000000</v>
      </c>
    </row>
    <row r="1108" spans="1:109" s="99" customFormat="1" ht="143.1" customHeight="1">
      <c r="A1108" s="103" t="s">
        <v>1259</v>
      </c>
      <c r="B1108" s="103" t="s">
        <v>2051</v>
      </c>
      <c r="C1108" s="103" t="s">
        <v>2208</v>
      </c>
      <c r="D1108" s="103">
        <v>104</v>
      </c>
      <c r="E1108" s="103" t="s">
        <v>2241</v>
      </c>
      <c r="F1108" s="278" t="s">
        <v>2242</v>
      </c>
      <c r="G1108" s="103" t="s">
        <v>3791</v>
      </c>
      <c r="H1108" s="103">
        <v>125</v>
      </c>
      <c r="I1108" s="103" t="s">
        <v>562</v>
      </c>
      <c r="J1108" s="103" t="s">
        <v>677</v>
      </c>
      <c r="K1108" s="266">
        <v>80</v>
      </c>
      <c r="L1108" s="266" t="s">
        <v>3219</v>
      </c>
      <c r="M1108" s="103" t="s">
        <v>2243</v>
      </c>
      <c r="N1108" s="103" t="s">
        <v>2244</v>
      </c>
      <c r="O1108" s="103" t="s">
        <v>2245</v>
      </c>
      <c r="P1108" s="283">
        <v>971</v>
      </c>
      <c r="Q1108" s="103" t="s">
        <v>2968</v>
      </c>
      <c r="R1108" s="103" t="s">
        <v>563</v>
      </c>
      <c r="S1108" s="103" t="s">
        <v>683</v>
      </c>
      <c r="T1108" s="103">
        <v>1</v>
      </c>
      <c r="U1108" s="267">
        <v>1</v>
      </c>
      <c r="V1108" s="267">
        <v>1</v>
      </c>
      <c r="W1108" s="224">
        <v>1</v>
      </c>
      <c r="X1108" s="267">
        <v>1</v>
      </c>
      <c r="Y1108" s="267">
        <v>1</v>
      </c>
      <c r="Z1108" s="267">
        <v>1</v>
      </c>
      <c r="AA1108" s="267">
        <v>1</v>
      </c>
      <c r="AB1108" s="224">
        <v>1</v>
      </c>
      <c r="AC1108" s="267">
        <v>1</v>
      </c>
      <c r="AD1108" s="267">
        <v>1</v>
      </c>
      <c r="AE1108" s="267">
        <v>1</v>
      </c>
      <c r="AF1108" s="267">
        <v>1</v>
      </c>
      <c r="AG1108" s="224">
        <v>1</v>
      </c>
      <c r="AH1108" s="267">
        <v>1</v>
      </c>
      <c r="AI1108" s="267">
        <v>1</v>
      </c>
      <c r="AJ1108" s="267">
        <v>1</v>
      </c>
      <c r="AK1108" s="267">
        <v>1</v>
      </c>
      <c r="AL1108" s="224">
        <v>1</v>
      </c>
      <c r="AM1108" s="102">
        <v>1</v>
      </c>
      <c r="AN1108" s="103" t="s">
        <v>686</v>
      </c>
      <c r="AO1108" s="103" t="s">
        <v>1212</v>
      </c>
      <c r="AP1108" s="103" t="s">
        <v>1229</v>
      </c>
      <c r="AQ1108" s="103" t="s">
        <v>1207</v>
      </c>
      <c r="AR1108" s="103" t="s">
        <v>951</v>
      </c>
      <c r="AS1108" s="268"/>
      <c r="AT1108" s="268"/>
      <c r="AU1108" s="268"/>
      <c r="AV1108" s="268">
        <v>115000000</v>
      </c>
      <c r="AW1108" s="268"/>
      <c r="AX1108" s="268"/>
      <c r="AY1108" s="268"/>
      <c r="AZ1108" s="268"/>
      <c r="BA1108" s="268"/>
      <c r="BB1108" s="268"/>
      <c r="BC1108" s="268"/>
      <c r="BD1108" s="268"/>
      <c r="BE1108" s="268"/>
      <c r="BF1108" s="268"/>
      <c r="BG1108" s="268"/>
      <c r="BH1108" s="234">
        <f t="shared" ref="BH1108:BH1119" si="557">IF(W1108=0,0,BG1108+BF1108+BE1108+BD1108+BC1108+BB1108+BA1108+AZ1108+AY1108+AX1108+AW1108+AV1108+AU1108+AT1108+AS1108)</f>
        <v>115000000</v>
      </c>
      <c r="BI1108" s="268"/>
      <c r="BJ1108" s="268"/>
      <c r="BK1108" s="268"/>
      <c r="BL1108" s="268">
        <f>AV1108*(1+0.03)</f>
        <v>118450000</v>
      </c>
      <c r="BM1108" s="268"/>
      <c r="BN1108" s="268"/>
      <c r="BO1108" s="268"/>
      <c r="BP1108" s="268"/>
      <c r="BQ1108" s="268"/>
      <c r="BR1108" s="268"/>
      <c r="BS1108" s="268"/>
      <c r="BT1108" s="268"/>
      <c r="BU1108" s="268"/>
      <c r="BV1108" s="268"/>
      <c r="BW1108" s="268"/>
      <c r="BX1108" s="234">
        <f t="shared" ref="BX1108:BX1119" si="558">IF(AB1108=0,0,BI1108+BJ1108+BK1108+BL1108+BM1108+BN1108+BO1108+BP1108+BQ1108+BR1108+BS1108+BT1108+BU1108+BV1108+BW1108)</f>
        <v>118450000</v>
      </c>
      <c r="BY1108" s="268"/>
      <c r="BZ1108" s="268"/>
      <c r="CA1108" s="268"/>
      <c r="CB1108" s="268">
        <f>(1+0.03)*BL1108</f>
        <v>122003500</v>
      </c>
      <c r="CC1108" s="268"/>
      <c r="CD1108" s="268"/>
      <c r="CE1108" s="268"/>
      <c r="CF1108" s="268"/>
      <c r="CG1108" s="268"/>
      <c r="CH1108" s="268"/>
      <c r="CI1108" s="268"/>
      <c r="CJ1108" s="268"/>
      <c r="CK1108" s="268"/>
      <c r="CL1108" s="268"/>
      <c r="CM1108" s="268"/>
      <c r="CN1108" s="234">
        <f t="shared" ref="CN1108:CN1119" si="559">IF(AG1108=0,0,(BY1108+BZ1108+CA1108+CB1108+CC1108+CD1108+CE1108+CF1108+CG1108+CH1108+CI1108+CJ1108+CK1108+CL1108+CM1108))</f>
        <v>122003500</v>
      </c>
      <c r="CO1108" s="268"/>
      <c r="CP1108" s="268"/>
      <c r="CQ1108" s="268"/>
      <c r="CR1108" s="268">
        <f>(1+0.03)*CB1108+343116278</f>
        <v>468779883</v>
      </c>
      <c r="CS1108" s="268"/>
      <c r="CT1108" s="268"/>
      <c r="CU1108" s="268"/>
      <c r="CV1108" s="268"/>
      <c r="CW1108" s="268"/>
      <c r="CX1108" s="268"/>
      <c r="CY1108" s="268"/>
      <c r="CZ1108" s="268"/>
      <c r="DA1108" s="268"/>
      <c r="DB1108" s="268"/>
      <c r="DC1108" s="268"/>
      <c r="DD1108" s="234">
        <f t="shared" ref="DD1108:DD1119" si="560">IF(AL1108=0,0,(CO1108+CP1108+CQ1108+CR1108+CS1108+CT1108+CU1108+CV1108+CW1108+CX1108+CY1108+CZ1108+DA1108+DB1108+DC1108))</f>
        <v>468779883</v>
      </c>
      <c r="DE1108" s="243">
        <f t="shared" ref="DE1108:DE1118" si="561">SUM(DD1108+CN1108+BX1108+BH1108)</f>
        <v>824233383</v>
      </c>
    </row>
    <row r="1109" spans="1:109" s="99" customFormat="1" ht="143.1" customHeight="1">
      <c r="A1109" s="103" t="s">
        <v>1259</v>
      </c>
      <c r="B1109" s="279" t="s">
        <v>2051</v>
      </c>
      <c r="C1109" s="279" t="s">
        <v>2208</v>
      </c>
      <c r="D1109" s="279">
        <v>104</v>
      </c>
      <c r="E1109" s="279" t="s">
        <v>2241</v>
      </c>
      <c r="F1109" s="280" t="s">
        <v>2242</v>
      </c>
      <c r="G1109" s="279" t="s">
        <v>3273</v>
      </c>
      <c r="H1109" s="279">
        <v>125</v>
      </c>
      <c r="I1109" s="279" t="s">
        <v>562</v>
      </c>
      <c r="J1109" s="279" t="s">
        <v>677</v>
      </c>
      <c r="K1109" s="270">
        <v>80</v>
      </c>
      <c r="L1109" s="270" t="s">
        <v>3219</v>
      </c>
      <c r="M1109" s="279" t="s">
        <v>2243</v>
      </c>
      <c r="N1109" s="279" t="s">
        <v>2244</v>
      </c>
      <c r="O1109" s="279" t="s">
        <v>2245</v>
      </c>
      <c r="P1109" s="283">
        <v>972</v>
      </c>
      <c r="Q1109" s="279" t="s">
        <v>2969</v>
      </c>
      <c r="R1109" s="279" t="s">
        <v>564</v>
      </c>
      <c r="S1109" s="279" t="s">
        <v>683</v>
      </c>
      <c r="T1109" s="279">
        <v>0</v>
      </c>
      <c r="U1109" s="267">
        <v>1</v>
      </c>
      <c r="V1109" s="267"/>
      <c r="W1109" s="224">
        <v>1</v>
      </c>
      <c r="X1109" s="267"/>
      <c r="Y1109" s="267"/>
      <c r="Z1109" s="267">
        <v>1</v>
      </c>
      <c r="AA1109" s="267"/>
      <c r="AB1109" s="224">
        <v>1</v>
      </c>
      <c r="AC1109" s="267"/>
      <c r="AD1109" s="267">
        <v>1</v>
      </c>
      <c r="AE1109" s="267"/>
      <c r="AF1109" s="267"/>
      <c r="AG1109" s="224">
        <v>1</v>
      </c>
      <c r="AH1109" s="267"/>
      <c r="AI1109" s="267"/>
      <c r="AJ1109" s="267"/>
      <c r="AK1109" s="267"/>
      <c r="AL1109" s="224">
        <v>0</v>
      </c>
      <c r="AM1109" s="104">
        <v>3</v>
      </c>
      <c r="AN1109" s="103" t="s">
        <v>685</v>
      </c>
      <c r="AO1109" s="103" t="s">
        <v>1212</v>
      </c>
      <c r="AP1109" s="103" t="s">
        <v>1229</v>
      </c>
      <c r="AQ1109" s="103" t="s">
        <v>1207</v>
      </c>
      <c r="AR1109" s="103" t="s">
        <v>951</v>
      </c>
      <c r="AS1109" s="271"/>
      <c r="AT1109" s="271"/>
      <c r="AU1109" s="271"/>
      <c r="AV1109" s="271">
        <v>314000000</v>
      </c>
      <c r="AW1109" s="271"/>
      <c r="AX1109" s="271"/>
      <c r="AY1109" s="271"/>
      <c r="AZ1109" s="271"/>
      <c r="BA1109" s="271"/>
      <c r="BB1109" s="271"/>
      <c r="BC1109" s="271"/>
      <c r="BD1109" s="271"/>
      <c r="BE1109" s="271"/>
      <c r="BF1109" s="271"/>
      <c r="BG1109" s="271"/>
      <c r="BH1109" s="235">
        <f t="shared" si="557"/>
        <v>314000000</v>
      </c>
      <c r="BI1109" s="271"/>
      <c r="BJ1109" s="271"/>
      <c r="BK1109" s="271"/>
      <c r="BL1109" s="271">
        <f t="shared" ref="BL1109:BL1119" si="562">AV1109*(1+0.03)</f>
        <v>323420000</v>
      </c>
      <c r="BM1109" s="271"/>
      <c r="BN1109" s="271"/>
      <c r="BO1109" s="271"/>
      <c r="BP1109" s="271"/>
      <c r="BQ1109" s="271"/>
      <c r="BR1109" s="271"/>
      <c r="BS1109" s="271"/>
      <c r="BT1109" s="271"/>
      <c r="BU1109" s="271"/>
      <c r="BV1109" s="271"/>
      <c r="BW1109" s="271"/>
      <c r="BX1109" s="235">
        <f t="shared" si="558"/>
        <v>323420000</v>
      </c>
      <c r="BY1109" s="271"/>
      <c r="BZ1109" s="271"/>
      <c r="CA1109" s="271"/>
      <c r="CB1109" s="271">
        <f t="shared" ref="CB1109:CB1119" si="563">(1+0.03)*BL1109</f>
        <v>333122600</v>
      </c>
      <c r="CC1109" s="271"/>
      <c r="CD1109" s="271"/>
      <c r="CE1109" s="271"/>
      <c r="CF1109" s="271"/>
      <c r="CG1109" s="271"/>
      <c r="CH1109" s="271"/>
      <c r="CI1109" s="271"/>
      <c r="CJ1109" s="271"/>
      <c r="CK1109" s="271"/>
      <c r="CL1109" s="271"/>
      <c r="CM1109" s="271"/>
      <c r="CN1109" s="235">
        <f t="shared" si="559"/>
        <v>333122600</v>
      </c>
      <c r="CO1109" s="271"/>
      <c r="CP1109" s="271"/>
      <c r="CQ1109" s="271"/>
      <c r="CR1109" s="271"/>
      <c r="CS1109" s="271"/>
      <c r="CT1109" s="271"/>
      <c r="CU1109" s="271"/>
      <c r="CV1109" s="271"/>
      <c r="CW1109" s="271"/>
      <c r="CX1109" s="271"/>
      <c r="CY1109" s="271"/>
      <c r="CZ1109" s="271"/>
      <c r="DA1109" s="271"/>
      <c r="DB1109" s="271"/>
      <c r="DC1109" s="271"/>
      <c r="DD1109" s="234">
        <f t="shared" si="560"/>
        <v>0</v>
      </c>
      <c r="DE1109" s="244">
        <f t="shared" si="561"/>
        <v>970542600</v>
      </c>
    </row>
    <row r="1110" spans="1:109" s="99" customFormat="1" ht="143.1" customHeight="1">
      <c r="A1110" s="103" t="s">
        <v>1259</v>
      </c>
      <c r="B1110" s="279" t="s">
        <v>2051</v>
      </c>
      <c r="C1110" s="279" t="s">
        <v>2208</v>
      </c>
      <c r="D1110" s="279">
        <v>104</v>
      </c>
      <c r="E1110" s="279" t="s">
        <v>2241</v>
      </c>
      <c r="F1110" s="280" t="s">
        <v>2242</v>
      </c>
      <c r="G1110" s="279" t="s">
        <v>3273</v>
      </c>
      <c r="H1110" s="279">
        <v>125</v>
      </c>
      <c r="I1110" s="279" t="s">
        <v>562</v>
      </c>
      <c r="J1110" s="279" t="s">
        <v>677</v>
      </c>
      <c r="K1110" s="270">
        <v>80</v>
      </c>
      <c r="L1110" s="270" t="s">
        <v>3219</v>
      </c>
      <c r="M1110" s="279" t="s">
        <v>2243</v>
      </c>
      <c r="N1110" s="279" t="s">
        <v>2244</v>
      </c>
      <c r="O1110" s="279" t="s">
        <v>2245</v>
      </c>
      <c r="P1110" s="283">
        <v>973</v>
      </c>
      <c r="Q1110" s="279" t="s">
        <v>3259</v>
      </c>
      <c r="R1110" s="279" t="s">
        <v>565</v>
      </c>
      <c r="S1110" s="279" t="s">
        <v>683</v>
      </c>
      <c r="T1110" s="279">
        <v>4</v>
      </c>
      <c r="U1110" s="267">
        <v>4</v>
      </c>
      <c r="V1110" s="267"/>
      <c r="W1110" s="224">
        <v>4</v>
      </c>
      <c r="X1110" s="267">
        <v>2</v>
      </c>
      <c r="Y1110" s="267">
        <v>2</v>
      </c>
      <c r="Z1110" s="267"/>
      <c r="AA1110" s="267"/>
      <c r="AB1110" s="224">
        <v>4</v>
      </c>
      <c r="AC1110" s="267">
        <v>2</v>
      </c>
      <c r="AD1110" s="267">
        <v>2</v>
      </c>
      <c r="AE1110" s="267"/>
      <c r="AF1110" s="267"/>
      <c r="AG1110" s="224">
        <v>4</v>
      </c>
      <c r="AH1110" s="267">
        <v>2</v>
      </c>
      <c r="AI1110" s="267">
        <v>2</v>
      </c>
      <c r="AJ1110" s="267"/>
      <c r="AK1110" s="267"/>
      <c r="AL1110" s="224">
        <v>4</v>
      </c>
      <c r="AM1110" s="104">
        <v>4</v>
      </c>
      <c r="AN1110" s="103" t="s">
        <v>686</v>
      </c>
      <c r="AO1110" s="103" t="s">
        <v>1212</v>
      </c>
      <c r="AP1110" s="103" t="s">
        <v>1229</v>
      </c>
      <c r="AQ1110" s="103" t="s">
        <v>1207</v>
      </c>
      <c r="AR1110" s="103" t="s">
        <v>951</v>
      </c>
      <c r="AS1110" s="271"/>
      <c r="AT1110" s="271"/>
      <c r="AU1110" s="271"/>
      <c r="AV1110" s="271">
        <v>50000000</v>
      </c>
      <c r="AW1110" s="271"/>
      <c r="AX1110" s="271"/>
      <c r="AY1110" s="271"/>
      <c r="AZ1110" s="271"/>
      <c r="BA1110" s="271"/>
      <c r="BB1110" s="271"/>
      <c r="BC1110" s="271"/>
      <c r="BD1110" s="271"/>
      <c r="BE1110" s="271"/>
      <c r="BF1110" s="271"/>
      <c r="BG1110" s="271"/>
      <c r="BH1110" s="235">
        <f t="shared" si="557"/>
        <v>50000000</v>
      </c>
      <c r="BI1110" s="271"/>
      <c r="BJ1110" s="271"/>
      <c r="BK1110" s="271"/>
      <c r="BL1110" s="271">
        <f t="shared" si="562"/>
        <v>51500000</v>
      </c>
      <c r="BM1110" s="271"/>
      <c r="BN1110" s="271"/>
      <c r="BO1110" s="271"/>
      <c r="BP1110" s="271"/>
      <c r="BQ1110" s="271"/>
      <c r="BR1110" s="271"/>
      <c r="BS1110" s="271"/>
      <c r="BT1110" s="271"/>
      <c r="BU1110" s="271"/>
      <c r="BV1110" s="271"/>
      <c r="BW1110" s="271"/>
      <c r="BX1110" s="235">
        <f t="shared" si="558"/>
        <v>51500000</v>
      </c>
      <c r="BY1110" s="271"/>
      <c r="BZ1110" s="271"/>
      <c r="CA1110" s="271"/>
      <c r="CB1110" s="271">
        <f t="shared" si="563"/>
        <v>53045000</v>
      </c>
      <c r="CC1110" s="271"/>
      <c r="CD1110" s="271"/>
      <c r="CE1110" s="271"/>
      <c r="CF1110" s="271"/>
      <c r="CG1110" s="271"/>
      <c r="CH1110" s="271"/>
      <c r="CI1110" s="271"/>
      <c r="CJ1110" s="271"/>
      <c r="CK1110" s="271"/>
      <c r="CL1110" s="271"/>
      <c r="CM1110" s="271"/>
      <c r="CN1110" s="235">
        <f t="shared" si="559"/>
        <v>53045000</v>
      </c>
      <c r="CO1110" s="271"/>
      <c r="CP1110" s="271"/>
      <c r="CQ1110" s="271"/>
      <c r="CR1110" s="271">
        <f>(1+0.03)*CB1110+0.5</f>
        <v>54636350.5</v>
      </c>
      <c r="CS1110" s="271"/>
      <c r="CT1110" s="271"/>
      <c r="CU1110" s="271"/>
      <c r="CV1110" s="271"/>
      <c r="CW1110" s="271"/>
      <c r="CX1110" s="271"/>
      <c r="CY1110" s="271"/>
      <c r="CZ1110" s="271"/>
      <c r="DA1110" s="271"/>
      <c r="DB1110" s="271"/>
      <c r="DC1110" s="271"/>
      <c r="DD1110" s="234">
        <f t="shared" si="560"/>
        <v>54636350.5</v>
      </c>
      <c r="DE1110" s="244">
        <f t="shared" si="561"/>
        <v>209181350.5</v>
      </c>
    </row>
    <row r="1111" spans="1:109" s="99" customFormat="1" ht="143.1" customHeight="1">
      <c r="A1111" s="103" t="s">
        <v>1259</v>
      </c>
      <c r="B1111" s="279" t="s">
        <v>2051</v>
      </c>
      <c r="C1111" s="279" t="s">
        <v>2208</v>
      </c>
      <c r="D1111" s="279">
        <v>104</v>
      </c>
      <c r="E1111" s="279" t="s">
        <v>2241</v>
      </c>
      <c r="F1111" s="280" t="s">
        <v>2242</v>
      </c>
      <c r="G1111" s="279" t="s">
        <v>3218</v>
      </c>
      <c r="H1111" s="279">
        <v>126</v>
      </c>
      <c r="I1111" s="279" t="s">
        <v>2246</v>
      </c>
      <c r="J1111" s="279" t="s">
        <v>677</v>
      </c>
      <c r="K1111" s="279">
        <v>70</v>
      </c>
      <c r="L1111" s="270" t="s">
        <v>3220</v>
      </c>
      <c r="M1111" s="279" t="s">
        <v>2247</v>
      </c>
      <c r="N1111" s="279" t="s">
        <v>2248</v>
      </c>
      <c r="O1111" s="279" t="s">
        <v>566</v>
      </c>
      <c r="P1111" s="283">
        <v>974</v>
      </c>
      <c r="Q1111" s="279" t="s">
        <v>2970</v>
      </c>
      <c r="R1111" s="279" t="s">
        <v>567</v>
      </c>
      <c r="S1111" s="279" t="s">
        <v>2211</v>
      </c>
      <c r="T1111" s="110">
        <v>1556149311</v>
      </c>
      <c r="U1111" s="314">
        <v>100000000</v>
      </c>
      <c r="V1111" s="314">
        <v>100000000</v>
      </c>
      <c r="W1111" s="228">
        <v>200000000</v>
      </c>
      <c r="X1111" s="314">
        <v>150000000</v>
      </c>
      <c r="Y1111" s="314"/>
      <c r="Z1111" s="314">
        <v>300000000</v>
      </c>
      <c r="AA1111" s="314">
        <v>150000000</v>
      </c>
      <c r="AB1111" s="228">
        <v>600000000</v>
      </c>
      <c r="AC1111" s="314">
        <v>100000000</v>
      </c>
      <c r="AD1111" s="314">
        <v>150000000</v>
      </c>
      <c r="AE1111" s="314">
        <v>150000000</v>
      </c>
      <c r="AF1111" s="314">
        <v>200000000</v>
      </c>
      <c r="AG1111" s="228">
        <v>600000000</v>
      </c>
      <c r="AH1111" s="314">
        <v>100000000</v>
      </c>
      <c r="AI1111" s="314">
        <v>100000000</v>
      </c>
      <c r="AJ1111" s="314">
        <v>200000000</v>
      </c>
      <c r="AK1111" s="314">
        <v>200000000</v>
      </c>
      <c r="AL1111" s="228">
        <v>600000000</v>
      </c>
      <c r="AM1111" s="110">
        <v>2000000000</v>
      </c>
      <c r="AN1111" s="103" t="s">
        <v>685</v>
      </c>
      <c r="AO1111" s="103" t="s">
        <v>1212</v>
      </c>
      <c r="AP1111" s="103" t="s">
        <v>1229</v>
      </c>
      <c r="AQ1111" s="103" t="s">
        <v>1207</v>
      </c>
      <c r="AR1111" s="103" t="s">
        <v>951</v>
      </c>
      <c r="AS1111" s="271"/>
      <c r="AT1111" s="271"/>
      <c r="AU1111" s="271"/>
      <c r="AV1111" s="271">
        <f>735000000+460000000</f>
        <v>1195000000</v>
      </c>
      <c r="AW1111" s="271"/>
      <c r="AX1111" s="271"/>
      <c r="AY1111" s="271"/>
      <c r="AZ1111" s="271"/>
      <c r="BA1111" s="271"/>
      <c r="BB1111" s="271"/>
      <c r="BC1111" s="271"/>
      <c r="BD1111" s="271"/>
      <c r="BE1111" s="271"/>
      <c r="BF1111" s="271"/>
      <c r="BG1111" s="271"/>
      <c r="BH1111" s="235">
        <f t="shared" si="557"/>
        <v>1195000000</v>
      </c>
      <c r="BI1111" s="271"/>
      <c r="BJ1111" s="271"/>
      <c r="BK1111" s="271"/>
      <c r="BL1111" s="271">
        <f t="shared" si="562"/>
        <v>1230850000</v>
      </c>
      <c r="BM1111" s="271"/>
      <c r="BN1111" s="271"/>
      <c r="BO1111" s="271"/>
      <c r="BP1111" s="271"/>
      <c r="BQ1111" s="271"/>
      <c r="BR1111" s="271"/>
      <c r="BS1111" s="271"/>
      <c r="BT1111" s="271"/>
      <c r="BU1111" s="271"/>
      <c r="BV1111" s="271"/>
      <c r="BW1111" s="271"/>
      <c r="BX1111" s="235">
        <f t="shared" si="558"/>
        <v>1230850000</v>
      </c>
      <c r="BY1111" s="271"/>
      <c r="BZ1111" s="271"/>
      <c r="CA1111" s="271"/>
      <c r="CB1111" s="271">
        <f t="shared" si="563"/>
        <v>1267775500</v>
      </c>
      <c r="CC1111" s="271"/>
      <c r="CD1111" s="271"/>
      <c r="CE1111" s="271"/>
      <c r="CF1111" s="271"/>
      <c r="CG1111" s="271"/>
      <c r="CH1111" s="271"/>
      <c r="CI1111" s="271"/>
      <c r="CJ1111" s="271"/>
      <c r="CK1111" s="271"/>
      <c r="CL1111" s="271"/>
      <c r="CM1111" s="271"/>
      <c r="CN1111" s="235">
        <f t="shared" si="559"/>
        <v>1267775500</v>
      </c>
      <c r="CO1111" s="271"/>
      <c r="CP1111" s="271"/>
      <c r="CQ1111" s="271"/>
      <c r="CR1111" s="271">
        <f t="shared" ref="CR1111:CR1119" si="564">(1+0.03)*CB1111</f>
        <v>1305808765</v>
      </c>
      <c r="CS1111" s="271"/>
      <c r="CT1111" s="271"/>
      <c r="CU1111" s="271"/>
      <c r="CV1111" s="271"/>
      <c r="CW1111" s="271"/>
      <c r="CX1111" s="271"/>
      <c r="CY1111" s="271"/>
      <c r="CZ1111" s="271"/>
      <c r="DA1111" s="271"/>
      <c r="DB1111" s="271"/>
      <c r="DC1111" s="271"/>
      <c r="DD1111" s="234">
        <f t="shared" si="560"/>
        <v>1305808765</v>
      </c>
      <c r="DE1111" s="244">
        <f t="shared" si="561"/>
        <v>4999434265</v>
      </c>
    </row>
    <row r="1112" spans="1:109" s="99" customFormat="1" ht="143.1" customHeight="1">
      <c r="A1112" s="103" t="s">
        <v>1259</v>
      </c>
      <c r="B1112" s="279" t="s">
        <v>2051</v>
      </c>
      <c r="C1112" s="279" t="s">
        <v>2208</v>
      </c>
      <c r="D1112" s="279">
        <v>104</v>
      </c>
      <c r="E1112" s="279" t="s">
        <v>2241</v>
      </c>
      <c r="F1112" s="280" t="s">
        <v>2242</v>
      </c>
      <c r="G1112" s="279" t="s">
        <v>3218</v>
      </c>
      <c r="H1112" s="279">
        <v>126</v>
      </c>
      <c r="I1112" s="279" t="s">
        <v>2246</v>
      </c>
      <c r="J1112" s="279" t="s">
        <v>677</v>
      </c>
      <c r="K1112" s="279">
        <v>70</v>
      </c>
      <c r="L1112" s="270" t="s">
        <v>3220</v>
      </c>
      <c r="M1112" s="279" t="s">
        <v>2247</v>
      </c>
      <c r="N1112" s="279" t="s">
        <v>2248</v>
      </c>
      <c r="O1112" s="279" t="s">
        <v>566</v>
      </c>
      <c r="P1112" s="283">
        <v>975</v>
      </c>
      <c r="Q1112" s="279" t="s">
        <v>3813</v>
      </c>
      <c r="R1112" s="279" t="s">
        <v>568</v>
      </c>
      <c r="S1112" s="279" t="s">
        <v>2211</v>
      </c>
      <c r="T1112" s="110">
        <v>73729220084</v>
      </c>
      <c r="U1112" s="314">
        <v>12000000000</v>
      </c>
      <c r="V1112" s="314">
        <v>8000000000</v>
      </c>
      <c r="W1112" s="228">
        <v>20000000000</v>
      </c>
      <c r="X1112" s="314"/>
      <c r="Y1112" s="314"/>
      <c r="Z1112" s="314"/>
      <c r="AA1112" s="314">
        <v>25000000000</v>
      </c>
      <c r="AB1112" s="228">
        <v>25000000000</v>
      </c>
      <c r="AC1112" s="314"/>
      <c r="AD1112" s="314"/>
      <c r="AE1112" s="314"/>
      <c r="AF1112" s="314">
        <v>30000000000</v>
      </c>
      <c r="AG1112" s="228">
        <v>30000000000</v>
      </c>
      <c r="AH1112" s="314"/>
      <c r="AI1112" s="314"/>
      <c r="AJ1112" s="314"/>
      <c r="AK1112" s="314">
        <v>25000000000</v>
      </c>
      <c r="AL1112" s="228">
        <v>25000000000</v>
      </c>
      <c r="AM1112" s="110">
        <v>100000000000</v>
      </c>
      <c r="AN1112" s="103" t="s">
        <v>685</v>
      </c>
      <c r="AO1112" s="103" t="s">
        <v>1212</v>
      </c>
      <c r="AP1112" s="103" t="s">
        <v>1229</v>
      </c>
      <c r="AQ1112" s="103" t="s">
        <v>1207</v>
      </c>
      <c r="AR1112" s="103" t="s">
        <v>951</v>
      </c>
      <c r="AS1112" s="271"/>
      <c r="AT1112" s="271"/>
      <c r="AU1112" s="271"/>
      <c r="AV1112" s="271">
        <v>250000000</v>
      </c>
      <c r="AW1112" s="271"/>
      <c r="AX1112" s="271"/>
      <c r="AY1112" s="271"/>
      <c r="AZ1112" s="271"/>
      <c r="BA1112" s="271"/>
      <c r="BB1112" s="271"/>
      <c r="BC1112" s="271"/>
      <c r="BD1112" s="271"/>
      <c r="BE1112" s="271"/>
      <c r="BF1112" s="271"/>
      <c r="BG1112" s="271"/>
      <c r="BH1112" s="235">
        <f t="shared" si="557"/>
        <v>250000000</v>
      </c>
      <c r="BI1112" s="271"/>
      <c r="BJ1112" s="271"/>
      <c r="BK1112" s="271"/>
      <c r="BL1112" s="271">
        <f>AV1112*(1+0.03)</f>
        <v>257500000</v>
      </c>
      <c r="BM1112" s="271"/>
      <c r="BN1112" s="271"/>
      <c r="BO1112" s="271"/>
      <c r="BP1112" s="271"/>
      <c r="BQ1112" s="271"/>
      <c r="BR1112" s="271"/>
      <c r="BS1112" s="271"/>
      <c r="BT1112" s="271"/>
      <c r="BU1112" s="271"/>
      <c r="BV1112" s="271"/>
      <c r="BW1112" s="271"/>
      <c r="BX1112" s="235">
        <f t="shared" si="558"/>
        <v>257500000</v>
      </c>
      <c r="BY1112" s="271"/>
      <c r="BZ1112" s="271"/>
      <c r="CA1112" s="271"/>
      <c r="CB1112" s="271">
        <f t="shared" si="563"/>
        <v>265225000</v>
      </c>
      <c r="CC1112" s="271"/>
      <c r="CD1112" s="271"/>
      <c r="CE1112" s="271"/>
      <c r="CF1112" s="271"/>
      <c r="CG1112" s="271"/>
      <c r="CH1112" s="271"/>
      <c r="CI1112" s="271"/>
      <c r="CJ1112" s="271"/>
      <c r="CK1112" s="271"/>
      <c r="CL1112" s="271"/>
      <c r="CM1112" s="271"/>
      <c r="CN1112" s="235">
        <f t="shared" si="559"/>
        <v>265225000</v>
      </c>
      <c r="CO1112" s="271"/>
      <c r="CP1112" s="271"/>
      <c r="CQ1112" s="271"/>
      <c r="CR1112" s="271">
        <f t="shared" si="564"/>
        <v>273181750</v>
      </c>
      <c r="CS1112" s="271"/>
      <c r="CT1112" s="271"/>
      <c r="CU1112" s="271"/>
      <c r="CV1112" s="271"/>
      <c r="CW1112" s="271"/>
      <c r="CX1112" s="271"/>
      <c r="CY1112" s="271"/>
      <c r="CZ1112" s="271"/>
      <c r="DA1112" s="271"/>
      <c r="DB1112" s="271"/>
      <c r="DC1112" s="271"/>
      <c r="DD1112" s="234">
        <f t="shared" si="560"/>
        <v>273181750</v>
      </c>
      <c r="DE1112" s="244">
        <f t="shared" si="561"/>
        <v>1045906750</v>
      </c>
    </row>
    <row r="1113" spans="1:109" s="99" customFormat="1" ht="143.1" customHeight="1">
      <c r="A1113" s="103" t="s">
        <v>1259</v>
      </c>
      <c r="B1113" s="279" t="s">
        <v>2051</v>
      </c>
      <c r="C1113" s="279" t="s">
        <v>2208</v>
      </c>
      <c r="D1113" s="279">
        <v>104</v>
      </c>
      <c r="E1113" s="279" t="s">
        <v>2241</v>
      </c>
      <c r="F1113" s="280" t="s">
        <v>2242</v>
      </c>
      <c r="G1113" s="279" t="s">
        <v>3218</v>
      </c>
      <c r="H1113" s="279">
        <v>126</v>
      </c>
      <c r="I1113" s="279" t="s">
        <v>2246</v>
      </c>
      <c r="J1113" s="279" t="s">
        <v>677</v>
      </c>
      <c r="K1113" s="279">
        <v>70</v>
      </c>
      <c r="L1113" s="270" t="s">
        <v>3220</v>
      </c>
      <c r="M1113" s="279" t="s">
        <v>2247</v>
      </c>
      <c r="N1113" s="279" t="s">
        <v>2248</v>
      </c>
      <c r="O1113" s="279" t="s">
        <v>566</v>
      </c>
      <c r="P1113" s="283">
        <v>976</v>
      </c>
      <c r="Q1113" s="279" t="s">
        <v>2971</v>
      </c>
      <c r="R1113" s="279" t="s">
        <v>2249</v>
      </c>
      <c r="S1113" s="279" t="s">
        <v>683</v>
      </c>
      <c r="T1113" s="279">
        <v>3</v>
      </c>
      <c r="U1113" s="267"/>
      <c r="V1113" s="267">
        <v>3</v>
      </c>
      <c r="W1113" s="224">
        <v>3</v>
      </c>
      <c r="X1113" s="267"/>
      <c r="Y1113" s="267"/>
      <c r="Z1113" s="267"/>
      <c r="AA1113" s="267">
        <v>3</v>
      </c>
      <c r="AB1113" s="224">
        <v>3</v>
      </c>
      <c r="AC1113" s="267"/>
      <c r="AD1113" s="267"/>
      <c r="AE1113" s="267"/>
      <c r="AF1113" s="267">
        <v>3</v>
      </c>
      <c r="AG1113" s="224">
        <v>3</v>
      </c>
      <c r="AH1113" s="267"/>
      <c r="AI1113" s="267"/>
      <c r="AJ1113" s="267"/>
      <c r="AK1113" s="267">
        <v>3</v>
      </c>
      <c r="AL1113" s="224">
        <v>3</v>
      </c>
      <c r="AM1113" s="104">
        <v>3</v>
      </c>
      <c r="AN1113" s="103" t="s">
        <v>686</v>
      </c>
      <c r="AO1113" s="103" t="s">
        <v>1212</v>
      </c>
      <c r="AP1113" s="103" t="s">
        <v>1229</v>
      </c>
      <c r="AQ1113" s="103" t="s">
        <v>1207</v>
      </c>
      <c r="AR1113" s="103" t="s">
        <v>951</v>
      </c>
      <c r="AS1113" s="271"/>
      <c r="AT1113" s="271"/>
      <c r="AU1113" s="271"/>
      <c r="AV1113" s="271">
        <v>18169000</v>
      </c>
      <c r="AW1113" s="271"/>
      <c r="AX1113" s="271"/>
      <c r="AY1113" s="271"/>
      <c r="AZ1113" s="271"/>
      <c r="BA1113" s="271"/>
      <c r="BB1113" s="271"/>
      <c r="BC1113" s="271"/>
      <c r="BD1113" s="271"/>
      <c r="BE1113" s="271"/>
      <c r="BF1113" s="271"/>
      <c r="BG1113" s="271"/>
      <c r="BH1113" s="235">
        <f t="shared" si="557"/>
        <v>18169000</v>
      </c>
      <c r="BI1113" s="271"/>
      <c r="BJ1113" s="271"/>
      <c r="BK1113" s="271"/>
      <c r="BL1113" s="271">
        <f t="shared" si="562"/>
        <v>18714070</v>
      </c>
      <c r="BM1113" s="271"/>
      <c r="BN1113" s="271"/>
      <c r="BO1113" s="271"/>
      <c r="BP1113" s="271"/>
      <c r="BQ1113" s="271"/>
      <c r="BR1113" s="271"/>
      <c r="BS1113" s="271"/>
      <c r="BT1113" s="271"/>
      <c r="BU1113" s="271"/>
      <c r="BV1113" s="271"/>
      <c r="BW1113" s="271"/>
      <c r="BX1113" s="235">
        <f t="shared" si="558"/>
        <v>18714070</v>
      </c>
      <c r="BY1113" s="271"/>
      <c r="BZ1113" s="271"/>
      <c r="CA1113" s="271"/>
      <c r="CB1113" s="271">
        <v>19275492</v>
      </c>
      <c r="CC1113" s="271"/>
      <c r="CD1113" s="271"/>
      <c r="CE1113" s="271"/>
      <c r="CF1113" s="271"/>
      <c r="CG1113" s="271"/>
      <c r="CH1113" s="271"/>
      <c r="CI1113" s="271"/>
      <c r="CJ1113" s="271"/>
      <c r="CK1113" s="271"/>
      <c r="CL1113" s="271"/>
      <c r="CM1113" s="271"/>
      <c r="CN1113" s="235">
        <f t="shared" si="559"/>
        <v>19275492</v>
      </c>
      <c r="CO1113" s="271"/>
      <c r="CP1113" s="271"/>
      <c r="CQ1113" s="271"/>
      <c r="CR1113" s="271">
        <f t="shared" si="564"/>
        <v>19853756.760000002</v>
      </c>
      <c r="CS1113" s="271"/>
      <c r="CT1113" s="271"/>
      <c r="CU1113" s="271"/>
      <c r="CV1113" s="271"/>
      <c r="CW1113" s="271"/>
      <c r="CX1113" s="271"/>
      <c r="CY1113" s="271"/>
      <c r="CZ1113" s="271"/>
      <c r="DA1113" s="271"/>
      <c r="DB1113" s="271"/>
      <c r="DC1113" s="271"/>
      <c r="DD1113" s="234">
        <f t="shared" si="560"/>
        <v>19853756.760000002</v>
      </c>
      <c r="DE1113" s="244">
        <f t="shared" si="561"/>
        <v>76012318.760000005</v>
      </c>
    </row>
    <row r="1114" spans="1:109" s="99" customFormat="1" ht="143.1" customHeight="1">
      <c r="A1114" s="103" t="s">
        <v>1259</v>
      </c>
      <c r="B1114" s="279" t="s">
        <v>2051</v>
      </c>
      <c r="C1114" s="279" t="s">
        <v>2208</v>
      </c>
      <c r="D1114" s="279">
        <v>104</v>
      </c>
      <c r="E1114" s="279" t="s">
        <v>2241</v>
      </c>
      <c r="F1114" s="280" t="s">
        <v>2242</v>
      </c>
      <c r="G1114" s="279" t="s">
        <v>3218</v>
      </c>
      <c r="H1114" s="279">
        <v>126</v>
      </c>
      <c r="I1114" s="279" t="s">
        <v>2246</v>
      </c>
      <c r="J1114" s="279" t="s">
        <v>677</v>
      </c>
      <c r="K1114" s="279">
        <v>70</v>
      </c>
      <c r="L1114" s="270" t="s">
        <v>3220</v>
      </c>
      <c r="M1114" s="279" t="s">
        <v>2247</v>
      </c>
      <c r="N1114" s="279" t="s">
        <v>2248</v>
      </c>
      <c r="O1114" s="279" t="s">
        <v>566</v>
      </c>
      <c r="P1114" s="283">
        <v>977</v>
      </c>
      <c r="Q1114" s="279" t="s">
        <v>2972</v>
      </c>
      <c r="R1114" s="279" t="s">
        <v>2249</v>
      </c>
      <c r="S1114" s="279" t="s">
        <v>683</v>
      </c>
      <c r="T1114" s="279">
        <v>3</v>
      </c>
      <c r="U1114" s="267"/>
      <c r="V1114" s="267">
        <v>0.25</v>
      </c>
      <c r="W1114" s="224">
        <v>0.25</v>
      </c>
      <c r="X1114" s="267"/>
      <c r="Y1114" s="267"/>
      <c r="Z1114" s="267"/>
      <c r="AA1114" s="267">
        <v>0.75</v>
      </c>
      <c r="AB1114" s="224">
        <v>0.75</v>
      </c>
      <c r="AC1114" s="267"/>
      <c r="AD1114" s="267"/>
      <c r="AE1114" s="267"/>
      <c r="AF1114" s="267">
        <v>1</v>
      </c>
      <c r="AG1114" s="224">
        <v>1</v>
      </c>
      <c r="AH1114" s="267"/>
      <c r="AI1114" s="267">
        <v>1</v>
      </c>
      <c r="AJ1114" s="267"/>
      <c r="AK1114" s="267"/>
      <c r="AL1114" s="224">
        <v>1</v>
      </c>
      <c r="AM1114" s="104">
        <v>3</v>
      </c>
      <c r="AN1114" s="103" t="s">
        <v>685</v>
      </c>
      <c r="AO1114" s="103" t="s">
        <v>1212</v>
      </c>
      <c r="AP1114" s="103" t="s">
        <v>1229</v>
      </c>
      <c r="AQ1114" s="103" t="s">
        <v>1207</v>
      </c>
      <c r="AR1114" s="103" t="s">
        <v>951</v>
      </c>
      <c r="AS1114" s="271"/>
      <c r="AT1114" s="271"/>
      <c r="AU1114" s="271"/>
      <c r="AV1114" s="271">
        <v>150000000</v>
      </c>
      <c r="AW1114" s="271"/>
      <c r="AX1114" s="271"/>
      <c r="AY1114" s="271"/>
      <c r="AZ1114" s="271"/>
      <c r="BA1114" s="271"/>
      <c r="BB1114" s="271"/>
      <c r="BC1114" s="271"/>
      <c r="BD1114" s="271"/>
      <c r="BE1114" s="271"/>
      <c r="BF1114" s="271"/>
      <c r="BG1114" s="271"/>
      <c r="BH1114" s="235">
        <f t="shared" si="557"/>
        <v>150000000</v>
      </c>
      <c r="BI1114" s="271"/>
      <c r="BJ1114" s="271"/>
      <c r="BK1114" s="271"/>
      <c r="BL1114" s="271">
        <f t="shared" si="562"/>
        <v>154500000</v>
      </c>
      <c r="BM1114" s="271"/>
      <c r="BN1114" s="271"/>
      <c r="BO1114" s="271"/>
      <c r="BP1114" s="271"/>
      <c r="BQ1114" s="271"/>
      <c r="BR1114" s="271"/>
      <c r="BS1114" s="271"/>
      <c r="BT1114" s="271"/>
      <c r="BU1114" s="271"/>
      <c r="BV1114" s="271"/>
      <c r="BW1114" s="271"/>
      <c r="BX1114" s="235">
        <f t="shared" si="558"/>
        <v>154500000</v>
      </c>
      <c r="BY1114" s="271"/>
      <c r="BZ1114" s="271"/>
      <c r="CA1114" s="271"/>
      <c r="CB1114" s="271">
        <f t="shared" si="563"/>
        <v>159135000</v>
      </c>
      <c r="CC1114" s="271"/>
      <c r="CD1114" s="271"/>
      <c r="CE1114" s="271"/>
      <c r="CF1114" s="271"/>
      <c r="CG1114" s="271"/>
      <c r="CH1114" s="271"/>
      <c r="CI1114" s="271"/>
      <c r="CJ1114" s="271"/>
      <c r="CK1114" s="271"/>
      <c r="CL1114" s="271"/>
      <c r="CM1114" s="271"/>
      <c r="CN1114" s="235">
        <f t="shared" si="559"/>
        <v>159135000</v>
      </c>
      <c r="CO1114" s="271"/>
      <c r="CP1114" s="271"/>
      <c r="CQ1114" s="271"/>
      <c r="CR1114" s="271">
        <f t="shared" si="564"/>
        <v>163909050</v>
      </c>
      <c r="CS1114" s="271"/>
      <c r="CT1114" s="271"/>
      <c r="CU1114" s="271"/>
      <c r="CV1114" s="271"/>
      <c r="CW1114" s="271"/>
      <c r="CX1114" s="271"/>
      <c r="CY1114" s="271"/>
      <c r="CZ1114" s="271"/>
      <c r="DA1114" s="271"/>
      <c r="DB1114" s="271"/>
      <c r="DC1114" s="271"/>
      <c r="DD1114" s="234">
        <f t="shared" si="560"/>
        <v>163909050</v>
      </c>
      <c r="DE1114" s="244">
        <f t="shared" si="561"/>
        <v>627544050</v>
      </c>
    </row>
    <row r="1115" spans="1:109" s="99" customFormat="1" ht="143.1" customHeight="1">
      <c r="A1115" s="103" t="s">
        <v>1259</v>
      </c>
      <c r="B1115" s="279" t="s">
        <v>2051</v>
      </c>
      <c r="C1115" s="279" t="s">
        <v>2208</v>
      </c>
      <c r="D1115" s="279">
        <v>104</v>
      </c>
      <c r="E1115" s="279" t="s">
        <v>2241</v>
      </c>
      <c r="F1115" s="280" t="s">
        <v>2242</v>
      </c>
      <c r="G1115" s="279" t="s">
        <v>3218</v>
      </c>
      <c r="H1115" s="279">
        <v>126</v>
      </c>
      <c r="I1115" s="279" t="s">
        <v>2246</v>
      </c>
      <c r="J1115" s="279" t="s">
        <v>677</v>
      </c>
      <c r="K1115" s="279">
        <v>70</v>
      </c>
      <c r="L1115" s="270" t="s">
        <v>3220</v>
      </c>
      <c r="M1115" s="279" t="s">
        <v>2247</v>
      </c>
      <c r="N1115" s="279" t="s">
        <v>2248</v>
      </c>
      <c r="O1115" s="279" t="s">
        <v>566</v>
      </c>
      <c r="P1115" s="283">
        <v>978</v>
      </c>
      <c r="Q1115" s="279" t="s">
        <v>2973</v>
      </c>
      <c r="R1115" s="279" t="s">
        <v>2250</v>
      </c>
      <c r="S1115" s="279" t="s">
        <v>2211</v>
      </c>
      <c r="T1115" s="110">
        <v>1239230022</v>
      </c>
      <c r="U1115" s="314"/>
      <c r="V1115" s="314">
        <v>100000000</v>
      </c>
      <c r="W1115" s="228">
        <v>100000000</v>
      </c>
      <c r="X1115" s="314"/>
      <c r="Y1115" s="314">
        <v>1400000000</v>
      </c>
      <c r="Z1115" s="314"/>
      <c r="AA1115" s="314"/>
      <c r="AB1115" s="228">
        <v>1400000000</v>
      </c>
      <c r="AC1115" s="314"/>
      <c r="AD1115" s="314"/>
      <c r="AE1115" s="314">
        <v>850000000</v>
      </c>
      <c r="AF1115" s="314"/>
      <c r="AG1115" s="228">
        <v>850000000</v>
      </c>
      <c r="AH1115" s="314">
        <v>850000000</v>
      </c>
      <c r="AI1115" s="314"/>
      <c r="AJ1115" s="314"/>
      <c r="AK1115" s="314"/>
      <c r="AL1115" s="228">
        <v>850000000</v>
      </c>
      <c r="AM1115" s="110">
        <v>3200000000</v>
      </c>
      <c r="AN1115" s="103" t="s">
        <v>685</v>
      </c>
      <c r="AO1115" s="103" t="s">
        <v>1212</v>
      </c>
      <c r="AP1115" s="103" t="s">
        <v>1229</v>
      </c>
      <c r="AQ1115" s="103" t="s">
        <v>1207</v>
      </c>
      <c r="AR1115" s="103" t="s">
        <v>951</v>
      </c>
      <c r="AS1115" s="271"/>
      <c r="AT1115" s="271"/>
      <c r="AU1115" s="271"/>
      <c r="AV1115" s="271">
        <f>200000000+341620000</f>
        <v>541620000</v>
      </c>
      <c r="AW1115" s="271"/>
      <c r="AX1115" s="271"/>
      <c r="AY1115" s="271"/>
      <c r="AZ1115" s="271"/>
      <c r="BA1115" s="271"/>
      <c r="BB1115" s="271"/>
      <c r="BC1115" s="271"/>
      <c r="BD1115" s="271"/>
      <c r="BE1115" s="271"/>
      <c r="BF1115" s="271"/>
      <c r="BG1115" s="271"/>
      <c r="BH1115" s="235">
        <f t="shared" si="557"/>
        <v>541620000</v>
      </c>
      <c r="BI1115" s="271"/>
      <c r="BJ1115" s="271"/>
      <c r="BK1115" s="271"/>
      <c r="BL1115" s="271">
        <f t="shared" si="562"/>
        <v>557868600</v>
      </c>
      <c r="BM1115" s="271"/>
      <c r="BN1115" s="271"/>
      <c r="BO1115" s="271"/>
      <c r="BP1115" s="271"/>
      <c r="BQ1115" s="271"/>
      <c r="BR1115" s="271"/>
      <c r="BS1115" s="271"/>
      <c r="BT1115" s="271"/>
      <c r="BU1115" s="271"/>
      <c r="BV1115" s="271"/>
      <c r="BW1115" s="271"/>
      <c r="BX1115" s="235">
        <f t="shared" si="558"/>
        <v>557868600</v>
      </c>
      <c r="BY1115" s="271"/>
      <c r="BZ1115" s="271"/>
      <c r="CA1115" s="271"/>
      <c r="CB1115" s="271">
        <f t="shared" si="563"/>
        <v>574604658</v>
      </c>
      <c r="CC1115" s="271"/>
      <c r="CD1115" s="271"/>
      <c r="CE1115" s="271"/>
      <c r="CF1115" s="271"/>
      <c r="CG1115" s="271"/>
      <c r="CH1115" s="271"/>
      <c r="CI1115" s="271"/>
      <c r="CJ1115" s="271"/>
      <c r="CK1115" s="271"/>
      <c r="CL1115" s="271"/>
      <c r="CM1115" s="271"/>
      <c r="CN1115" s="235">
        <f t="shared" si="559"/>
        <v>574604658</v>
      </c>
      <c r="CO1115" s="271"/>
      <c r="CP1115" s="271"/>
      <c r="CQ1115" s="271"/>
      <c r="CR1115" s="271">
        <f t="shared" si="564"/>
        <v>591842797.74000001</v>
      </c>
      <c r="CS1115" s="271"/>
      <c r="CT1115" s="271"/>
      <c r="CU1115" s="271"/>
      <c r="CV1115" s="271"/>
      <c r="CW1115" s="271"/>
      <c r="CX1115" s="271"/>
      <c r="CY1115" s="271"/>
      <c r="CZ1115" s="271"/>
      <c r="DA1115" s="271"/>
      <c r="DB1115" s="271"/>
      <c r="DC1115" s="271"/>
      <c r="DD1115" s="234">
        <f t="shared" si="560"/>
        <v>591842797.74000001</v>
      </c>
      <c r="DE1115" s="244">
        <f t="shared" si="561"/>
        <v>2265936055.7399998</v>
      </c>
    </row>
    <row r="1116" spans="1:109" s="99" customFormat="1" ht="143.1" customHeight="1">
      <c r="A1116" s="103" t="s">
        <v>1259</v>
      </c>
      <c r="B1116" s="279" t="s">
        <v>2051</v>
      </c>
      <c r="C1116" s="279" t="s">
        <v>2208</v>
      </c>
      <c r="D1116" s="279">
        <v>104</v>
      </c>
      <c r="E1116" s="279" t="s">
        <v>2241</v>
      </c>
      <c r="F1116" s="280" t="s">
        <v>2242</v>
      </c>
      <c r="G1116" s="279" t="s">
        <v>3218</v>
      </c>
      <c r="H1116" s="279">
        <v>126</v>
      </c>
      <c r="I1116" s="279" t="s">
        <v>2246</v>
      </c>
      <c r="J1116" s="279" t="s">
        <v>677</v>
      </c>
      <c r="K1116" s="279">
        <v>70</v>
      </c>
      <c r="L1116" s="270" t="s">
        <v>3220</v>
      </c>
      <c r="M1116" s="279" t="s">
        <v>2247</v>
      </c>
      <c r="N1116" s="279" t="s">
        <v>2248</v>
      </c>
      <c r="O1116" s="279" t="s">
        <v>566</v>
      </c>
      <c r="P1116" s="283">
        <v>979</v>
      </c>
      <c r="Q1116" s="279" t="s">
        <v>2974</v>
      </c>
      <c r="R1116" s="279" t="s">
        <v>569</v>
      </c>
      <c r="S1116" s="279" t="s">
        <v>2211</v>
      </c>
      <c r="T1116" s="110">
        <v>5350321604</v>
      </c>
      <c r="U1116" s="314">
        <v>350000000</v>
      </c>
      <c r="V1116" s="314">
        <v>350000000</v>
      </c>
      <c r="W1116" s="228">
        <v>700000000</v>
      </c>
      <c r="X1116" s="314">
        <v>200000000</v>
      </c>
      <c r="Y1116" s="314">
        <v>300000000</v>
      </c>
      <c r="Z1116" s="314">
        <v>300000000</v>
      </c>
      <c r="AA1116" s="314">
        <v>400000000</v>
      </c>
      <c r="AB1116" s="228">
        <v>1200000000</v>
      </c>
      <c r="AC1116" s="314">
        <v>350000000</v>
      </c>
      <c r="AD1116" s="314">
        <v>400000000</v>
      </c>
      <c r="AE1116" s="314">
        <v>500000000</v>
      </c>
      <c r="AF1116" s="314">
        <v>357328036</v>
      </c>
      <c r="AG1116" s="228">
        <v>1607328036</v>
      </c>
      <c r="AH1116" s="314">
        <v>600000000</v>
      </c>
      <c r="AI1116" s="314">
        <v>550000000</v>
      </c>
      <c r="AJ1116" s="314">
        <v>400000000</v>
      </c>
      <c r="AK1116" s="314">
        <v>400000000</v>
      </c>
      <c r="AL1116" s="228">
        <v>1950000000</v>
      </c>
      <c r="AM1116" s="110">
        <v>5457328036</v>
      </c>
      <c r="AN1116" s="103" t="s">
        <v>685</v>
      </c>
      <c r="AO1116" s="103" t="s">
        <v>1212</v>
      </c>
      <c r="AP1116" s="103" t="s">
        <v>1229</v>
      </c>
      <c r="AQ1116" s="103" t="s">
        <v>1207</v>
      </c>
      <c r="AR1116" s="103" t="s">
        <v>951</v>
      </c>
      <c r="AS1116" s="271"/>
      <c r="AT1116" s="271"/>
      <c r="AU1116" s="271"/>
      <c r="AV1116" s="271">
        <v>1500000000</v>
      </c>
      <c r="AW1116" s="271"/>
      <c r="AX1116" s="271"/>
      <c r="AY1116" s="271"/>
      <c r="AZ1116" s="271"/>
      <c r="BA1116" s="271"/>
      <c r="BB1116" s="271"/>
      <c r="BC1116" s="271"/>
      <c r="BD1116" s="271"/>
      <c r="BE1116" s="271"/>
      <c r="BF1116" s="271"/>
      <c r="BG1116" s="271"/>
      <c r="BH1116" s="235">
        <f t="shared" si="557"/>
        <v>1500000000</v>
      </c>
      <c r="BI1116" s="271"/>
      <c r="BJ1116" s="271"/>
      <c r="BK1116" s="271"/>
      <c r="BL1116" s="271">
        <f t="shared" si="562"/>
        <v>1545000000</v>
      </c>
      <c r="BM1116" s="271"/>
      <c r="BN1116" s="271"/>
      <c r="BO1116" s="271"/>
      <c r="BP1116" s="271"/>
      <c r="BQ1116" s="271"/>
      <c r="BR1116" s="271"/>
      <c r="BS1116" s="271"/>
      <c r="BT1116" s="271"/>
      <c r="BU1116" s="271"/>
      <c r="BV1116" s="271"/>
      <c r="BW1116" s="271"/>
      <c r="BX1116" s="235">
        <f t="shared" si="558"/>
        <v>1545000000</v>
      </c>
      <c r="BY1116" s="271"/>
      <c r="BZ1116" s="271"/>
      <c r="CA1116" s="271"/>
      <c r="CB1116" s="271">
        <f t="shared" si="563"/>
        <v>1591350000</v>
      </c>
      <c r="CC1116" s="271"/>
      <c r="CD1116" s="271"/>
      <c r="CE1116" s="271"/>
      <c r="CF1116" s="271"/>
      <c r="CG1116" s="271"/>
      <c r="CH1116" s="271"/>
      <c r="CI1116" s="271"/>
      <c r="CJ1116" s="271"/>
      <c r="CK1116" s="271"/>
      <c r="CL1116" s="271"/>
      <c r="CM1116" s="271"/>
      <c r="CN1116" s="235">
        <f t="shared" si="559"/>
        <v>1591350000</v>
      </c>
      <c r="CO1116" s="271"/>
      <c r="CP1116" s="271"/>
      <c r="CQ1116" s="271"/>
      <c r="CR1116" s="271">
        <f t="shared" si="564"/>
        <v>1639090500</v>
      </c>
      <c r="CS1116" s="271"/>
      <c r="CT1116" s="271"/>
      <c r="CU1116" s="271"/>
      <c r="CV1116" s="271"/>
      <c r="CW1116" s="271"/>
      <c r="CX1116" s="271"/>
      <c r="CY1116" s="271"/>
      <c r="CZ1116" s="271"/>
      <c r="DA1116" s="271"/>
      <c r="DB1116" s="271"/>
      <c r="DC1116" s="271"/>
      <c r="DD1116" s="234">
        <f t="shared" si="560"/>
        <v>1639090500</v>
      </c>
      <c r="DE1116" s="244">
        <f t="shared" si="561"/>
        <v>6275440500</v>
      </c>
    </row>
    <row r="1117" spans="1:109" s="99" customFormat="1" ht="143.1" customHeight="1">
      <c r="A1117" s="103" t="s">
        <v>1259</v>
      </c>
      <c r="B1117" s="279" t="s">
        <v>2051</v>
      </c>
      <c r="C1117" s="279" t="s">
        <v>2208</v>
      </c>
      <c r="D1117" s="279">
        <v>104</v>
      </c>
      <c r="E1117" s="279" t="s">
        <v>2241</v>
      </c>
      <c r="F1117" s="280" t="s">
        <v>2242</v>
      </c>
      <c r="G1117" s="279" t="s">
        <v>3218</v>
      </c>
      <c r="H1117" s="279">
        <v>126</v>
      </c>
      <c r="I1117" s="279" t="s">
        <v>2246</v>
      </c>
      <c r="J1117" s="279" t="s">
        <v>677</v>
      </c>
      <c r="K1117" s="279">
        <v>70</v>
      </c>
      <c r="L1117" s="270" t="s">
        <v>3220</v>
      </c>
      <c r="M1117" s="279" t="s">
        <v>2247</v>
      </c>
      <c r="N1117" s="279" t="s">
        <v>2248</v>
      </c>
      <c r="O1117" s="279" t="s">
        <v>566</v>
      </c>
      <c r="P1117" s="283">
        <v>980</v>
      </c>
      <c r="Q1117" s="279" t="s">
        <v>2975</v>
      </c>
      <c r="R1117" s="279" t="s">
        <v>570</v>
      </c>
      <c r="S1117" s="279" t="s">
        <v>2211</v>
      </c>
      <c r="T1117" s="110">
        <v>628387495</v>
      </c>
      <c r="U1117" s="314">
        <v>92803495</v>
      </c>
      <c r="V1117" s="314">
        <v>59256775</v>
      </c>
      <c r="W1117" s="228">
        <v>152060270</v>
      </c>
      <c r="X1117" s="314">
        <v>38000000</v>
      </c>
      <c r="Y1117" s="314">
        <v>38000000</v>
      </c>
      <c r="Z1117" s="314">
        <v>38000000</v>
      </c>
      <c r="AA1117" s="314">
        <v>38000000</v>
      </c>
      <c r="AB1117" s="228">
        <v>152000000</v>
      </c>
      <c r="AC1117" s="314">
        <v>39900000</v>
      </c>
      <c r="AD1117" s="314">
        <v>39900000</v>
      </c>
      <c r="AE1117" s="314">
        <v>39900000</v>
      </c>
      <c r="AF1117" s="314">
        <v>39900000</v>
      </c>
      <c r="AG1117" s="228">
        <v>159600000</v>
      </c>
      <c r="AH1117" s="314">
        <v>41496000</v>
      </c>
      <c r="AI1117" s="314">
        <v>41496000</v>
      </c>
      <c r="AJ1117" s="314">
        <v>41496000</v>
      </c>
      <c r="AK1117" s="314">
        <v>41496000</v>
      </c>
      <c r="AL1117" s="228">
        <v>165984000</v>
      </c>
      <c r="AM1117" s="110">
        <v>629644270</v>
      </c>
      <c r="AN1117" s="103" t="s">
        <v>685</v>
      </c>
      <c r="AO1117" s="103" t="s">
        <v>1212</v>
      </c>
      <c r="AP1117" s="103" t="s">
        <v>1229</v>
      </c>
      <c r="AQ1117" s="103" t="s">
        <v>1207</v>
      </c>
      <c r="AR1117" s="103" t="s">
        <v>951</v>
      </c>
      <c r="AS1117" s="271"/>
      <c r="AT1117" s="271"/>
      <c r="AU1117" s="271"/>
      <c r="AV1117" s="271">
        <v>33000000</v>
      </c>
      <c r="AW1117" s="271"/>
      <c r="AX1117" s="271"/>
      <c r="AY1117" s="271"/>
      <c r="AZ1117" s="271"/>
      <c r="BA1117" s="271"/>
      <c r="BB1117" s="271"/>
      <c r="BC1117" s="271"/>
      <c r="BD1117" s="271"/>
      <c r="BE1117" s="271"/>
      <c r="BF1117" s="271"/>
      <c r="BG1117" s="271"/>
      <c r="BH1117" s="235">
        <f t="shared" si="557"/>
        <v>33000000</v>
      </c>
      <c r="BI1117" s="271"/>
      <c r="BJ1117" s="271"/>
      <c r="BK1117" s="271"/>
      <c r="BL1117" s="271">
        <f t="shared" si="562"/>
        <v>33990000</v>
      </c>
      <c r="BM1117" s="271"/>
      <c r="BN1117" s="271"/>
      <c r="BO1117" s="271"/>
      <c r="BP1117" s="271"/>
      <c r="BQ1117" s="271"/>
      <c r="BR1117" s="271"/>
      <c r="BS1117" s="271"/>
      <c r="BT1117" s="271"/>
      <c r="BU1117" s="271"/>
      <c r="BV1117" s="271"/>
      <c r="BW1117" s="271"/>
      <c r="BX1117" s="235">
        <f t="shared" si="558"/>
        <v>33990000</v>
      </c>
      <c r="BY1117" s="271"/>
      <c r="BZ1117" s="271"/>
      <c r="CA1117" s="271"/>
      <c r="CB1117" s="271">
        <f t="shared" si="563"/>
        <v>35009700</v>
      </c>
      <c r="CC1117" s="271"/>
      <c r="CD1117" s="271"/>
      <c r="CE1117" s="271"/>
      <c r="CF1117" s="271"/>
      <c r="CG1117" s="271"/>
      <c r="CH1117" s="271"/>
      <c r="CI1117" s="271"/>
      <c r="CJ1117" s="271"/>
      <c r="CK1117" s="271"/>
      <c r="CL1117" s="271"/>
      <c r="CM1117" s="271"/>
      <c r="CN1117" s="235">
        <f t="shared" si="559"/>
        <v>35009700</v>
      </c>
      <c r="CO1117" s="271"/>
      <c r="CP1117" s="271"/>
      <c r="CQ1117" s="271"/>
      <c r="CR1117" s="271">
        <f t="shared" si="564"/>
        <v>36059991</v>
      </c>
      <c r="CS1117" s="271"/>
      <c r="CT1117" s="271"/>
      <c r="CU1117" s="271"/>
      <c r="CV1117" s="271"/>
      <c r="CW1117" s="271"/>
      <c r="CX1117" s="271"/>
      <c r="CY1117" s="271"/>
      <c r="CZ1117" s="271"/>
      <c r="DA1117" s="271"/>
      <c r="DB1117" s="271"/>
      <c r="DC1117" s="271"/>
      <c r="DD1117" s="234">
        <f t="shared" si="560"/>
        <v>36059991</v>
      </c>
      <c r="DE1117" s="244">
        <f t="shared" si="561"/>
        <v>138059691</v>
      </c>
    </row>
    <row r="1118" spans="1:109" s="99" customFormat="1" ht="143.1" customHeight="1">
      <c r="A1118" s="103" t="s">
        <v>1259</v>
      </c>
      <c r="B1118" s="279" t="s">
        <v>2051</v>
      </c>
      <c r="C1118" s="279" t="s">
        <v>2208</v>
      </c>
      <c r="D1118" s="279">
        <v>104</v>
      </c>
      <c r="E1118" s="279" t="s">
        <v>2241</v>
      </c>
      <c r="F1118" s="280" t="s">
        <v>2242</v>
      </c>
      <c r="G1118" s="279" t="s">
        <v>3218</v>
      </c>
      <c r="H1118" s="279">
        <v>126</v>
      </c>
      <c r="I1118" s="279" t="s">
        <v>2246</v>
      </c>
      <c r="J1118" s="279" t="s">
        <v>677</v>
      </c>
      <c r="K1118" s="279">
        <v>70</v>
      </c>
      <c r="L1118" s="270" t="s">
        <v>3220</v>
      </c>
      <c r="M1118" s="279" t="s">
        <v>2247</v>
      </c>
      <c r="N1118" s="279" t="s">
        <v>2248</v>
      </c>
      <c r="O1118" s="279" t="s">
        <v>566</v>
      </c>
      <c r="P1118" s="283">
        <v>981</v>
      </c>
      <c r="Q1118" s="279" t="s">
        <v>3260</v>
      </c>
      <c r="R1118" s="279" t="s">
        <v>2251</v>
      </c>
      <c r="S1118" s="279" t="s">
        <v>677</v>
      </c>
      <c r="T1118" s="279">
        <v>0</v>
      </c>
      <c r="U1118" s="267">
        <v>0.25</v>
      </c>
      <c r="V1118" s="267">
        <v>0.75</v>
      </c>
      <c r="W1118" s="224">
        <v>1</v>
      </c>
      <c r="X1118" s="267">
        <v>1</v>
      </c>
      <c r="Y1118" s="267">
        <v>1</v>
      </c>
      <c r="Z1118" s="267">
        <v>1</v>
      </c>
      <c r="AA1118" s="267">
        <v>1</v>
      </c>
      <c r="AB1118" s="224">
        <v>4</v>
      </c>
      <c r="AC1118" s="267">
        <v>1</v>
      </c>
      <c r="AD1118" s="267">
        <v>1</v>
      </c>
      <c r="AE1118" s="267">
        <v>1</v>
      </c>
      <c r="AF1118" s="267">
        <v>2</v>
      </c>
      <c r="AG1118" s="224">
        <v>5</v>
      </c>
      <c r="AH1118" s="267">
        <v>1</v>
      </c>
      <c r="AI1118" s="267">
        <v>1</v>
      </c>
      <c r="AJ1118" s="267">
        <v>1</v>
      </c>
      <c r="AK1118" s="267">
        <v>2</v>
      </c>
      <c r="AL1118" s="224">
        <v>5</v>
      </c>
      <c r="AM1118" s="104">
        <v>15</v>
      </c>
      <c r="AN1118" s="103" t="s">
        <v>685</v>
      </c>
      <c r="AO1118" s="103" t="s">
        <v>1212</v>
      </c>
      <c r="AP1118" s="103" t="s">
        <v>1229</v>
      </c>
      <c r="AQ1118" s="103" t="s">
        <v>1207</v>
      </c>
      <c r="AR1118" s="103" t="s">
        <v>951</v>
      </c>
      <c r="AS1118" s="271"/>
      <c r="AT1118" s="271"/>
      <c r="AU1118" s="271"/>
      <c r="AV1118" s="271">
        <v>1000000</v>
      </c>
      <c r="AW1118" s="271"/>
      <c r="AX1118" s="271"/>
      <c r="AY1118" s="271"/>
      <c r="AZ1118" s="271"/>
      <c r="BA1118" s="271"/>
      <c r="BB1118" s="271"/>
      <c r="BC1118" s="271"/>
      <c r="BD1118" s="271"/>
      <c r="BE1118" s="271"/>
      <c r="BF1118" s="271"/>
      <c r="BG1118" s="271"/>
      <c r="BH1118" s="235">
        <f t="shared" si="557"/>
        <v>1000000</v>
      </c>
      <c r="BI1118" s="271"/>
      <c r="BJ1118" s="271"/>
      <c r="BK1118" s="271"/>
      <c r="BL1118" s="271">
        <f t="shared" si="562"/>
        <v>1030000</v>
      </c>
      <c r="BM1118" s="271"/>
      <c r="BN1118" s="271"/>
      <c r="BO1118" s="271"/>
      <c r="BP1118" s="271"/>
      <c r="BQ1118" s="271"/>
      <c r="BR1118" s="271"/>
      <c r="BS1118" s="271"/>
      <c r="BT1118" s="271"/>
      <c r="BU1118" s="271"/>
      <c r="BV1118" s="271"/>
      <c r="BW1118" s="271"/>
      <c r="BX1118" s="235">
        <f t="shared" si="558"/>
        <v>1030000</v>
      </c>
      <c r="BY1118" s="271"/>
      <c r="BZ1118" s="271"/>
      <c r="CA1118" s="271"/>
      <c r="CB1118" s="271">
        <f t="shared" si="563"/>
        <v>1060900</v>
      </c>
      <c r="CC1118" s="271"/>
      <c r="CD1118" s="271"/>
      <c r="CE1118" s="271"/>
      <c r="CF1118" s="271"/>
      <c r="CG1118" s="271"/>
      <c r="CH1118" s="271"/>
      <c r="CI1118" s="271"/>
      <c r="CJ1118" s="271"/>
      <c r="CK1118" s="271"/>
      <c r="CL1118" s="271"/>
      <c r="CM1118" s="271"/>
      <c r="CN1118" s="235">
        <f t="shared" si="559"/>
        <v>1060900</v>
      </c>
      <c r="CO1118" s="271"/>
      <c r="CP1118" s="271"/>
      <c r="CQ1118" s="271"/>
      <c r="CR1118" s="271">
        <f t="shared" si="564"/>
        <v>1092727</v>
      </c>
      <c r="CS1118" s="271"/>
      <c r="CT1118" s="271"/>
      <c r="CU1118" s="271"/>
      <c r="CV1118" s="271"/>
      <c r="CW1118" s="271"/>
      <c r="CX1118" s="271"/>
      <c r="CY1118" s="271"/>
      <c r="CZ1118" s="271"/>
      <c r="DA1118" s="271"/>
      <c r="DB1118" s="271"/>
      <c r="DC1118" s="271"/>
      <c r="DD1118" s="234">
        <f t="shared" si="560"/>
        <v>1092727</v>
      </c>
      <c r="DE1118" s="244">
        <f t="shared" si="561"/>
        <v>4183627</v>
      </c>
    </row>
    <row r="1119" spans="1:109" s="99" customFormat="1" ht="143.1" customHeight="1">
      <c r="A1119" s="120" t="s">
        <v>1259</v>
      </c>
      <c r="B1119" s="281" t="s">
        <v>2051</v>
      </c>
      <c r="C1119" s="281" t="s">
        <v>2208</v>
      </c>
      <c r="D1119" s="281">
        <v>104</v>
      </c>
      <c r="E1119" s="281" t="s">
        <v>2241</v>
      </c>
      <c r="F1119" s="282" t="s">
        <v>2242</v>
      </c>
      <c r="G1119" s="281" t="s">
        <v>3218</v>
      </c>
      <c r="H1119" s="281">
        <v>126</v>
      </c>
      <c r="I1119" s="281" t="s">
        <v>2246</v>
      </c>
      <c r="J1119" s="281" t="s">
        <v>677</v>
      </c>
      <c r="K1119" s="281">
        <v>70</v>
      </c>
      <c r="L1119" s="274" t="s">
        <v>3220</v>
      </c>
      <c r="M1119" s="281" t="s">
        <v>2247</v>
      </c>
      <c r="N1119" s="281" t="s">
        <v>2248</v>
      </c>
      <c r="O1119" s="281" t="s">
        <v>566</v>
      </c>
      <c r="P1119" s="283">
        <v>982</v>
      </c>
      <c r="Q1119" s="281" t="s">
        <v>2976</v>
      </c>
      <c r="R1119" s="281" t="s">
        <v>571</v>
      </c>
      <c r="S1119" s="281" t="s">
        <v>683</v>
      </c>
      <c r="T1119" s="281">
        <v>2</v>
      </c>
      <c r="U1119" s="275"/>
      <c r="V1119" s="275">
        <v>0.5</v>
      </c>
      <c r="W1119" s="225">
        <v>0.5</v>
      </c>
      <c r="X1119" s="275"/>
      <c r="Y1119" s="275">
        <v>0.5</v>
      </c>
      <c r="Z1119" s="275"/>
      <c r="AA1119" s="275"/>
      <c r="AB1119" s="225">
        <v>0.5</v>
      </c>
      <c r="AC1119" s="275"/>
      <c r="AD1119" s="275"/>
      <c r="AE1119" s="275"/>
      <c r="AF1119" s="275">
        <v>1</v>
      </c>
      <c r="AG1119" s="225">
        <v>1</v>
      </c>
      <c r="AH1119" s="275"/>
      <c r="AI1119" s="275"/>
      <c r="AJ1119" s="275"/>
      <c r="AK1119" s="275">
        <v>1</v>
      </c>
      <c r="AL1119" s="225">
        <v>1</v>
      </c>
      <c r="AM1119" s="119">
        <v>3</v>
      </c>
      <c r="AN1119" s="120" t="s">
        <v>685</v>
      </c>
      <c r="AO1119" s="120" t="s">
        <v>1212</v>
      </c>
      <c r="AP1119" s="120" t="s">
        <v>1229</v>
      </c>
      <c r="AQ1119" s="120" t="s">
        <v>1207</v>
      </c>
      <c r="AR1119" s="120" t="s">
        <v>951</v>
      </c>
      <c r="AS1119" s="276"/>
      <c r="AT1119" s="276"/>
      <c r="AU1119" s="276"/>
      <c r="AV1119" s="276">
        <v>1000000</v>
      </c>
      <c r="AW1119" s="276"/>
      <c r="AX1119" s="276"/>
      <c r="AY1119" s="276"/>
      <c r="AZ1119" s="276"/>
      <c r="BA1119" s="276"/>
      <c r="BB1119" s="276"/>
      <c r="BC1119" s="276"/>
      <c r="BD1119" s="276"/>
      <c r="BE1119" s="276"/>
      <c r="BF1119" s="276"/>
      <c r="BG1119" s="276"/>
      <c r="BH1119" s="236">
        <f t="shared" si="557"/>
        <v>1000000</v>
      </c>
      <c r="BI1119" s="276"/>
      <c r="BJ1119" s="276"/>
      <c r="BK1119" s="276"/>
      <c r="BL1119" s="276">
        <f t="shared" si="562"/>
        <v>1030000</v>
      </c>
      <c r="BM1119" s="276"/>
      <c r="BN1119" s="276"/>
      <c r="BO1119" s="276"/>
      <c r="BP1119" s="276"/>
      <c r="BQ1119" s="276"/>
      <c r="BR1119" s="276"/>
      <c r="BS1119" s="276"/>
      <c r="BT1119" s="276"/>
      <c r="BU1119" s="276"/>
      <c r="BV1119" s="276"/>
      <c r="BW1119" s="276"/>
      <c r="BX1119" s="236">
        <f t="shared" si="558"/>
        <v>1030000</v>
      </c>
      <c r="BY1119" s="276"/>
      <c r="BZ1119" s="276"/>
      <c r="CA1119" s="276"/>
      <c r="CB1119" s="276">
        <f t="shared" si="563"/>
        <v>1060900</v>
      </c>
      <c r="CC1119" s="276"/>
      <c r="CD1119" s="276"/>
      <c r="CE1119" s="276"/>
      <c r="CF1119" s="276"/>
      <c r="CG1119" s="276"/>
      <c r="CH1119" s="276"/>
      <c r="CI1119" s="276"/>
      <c r="CJ1119" s="276"/>
      <c r="CK1119" s="276"/>
      <c r="CL1119" s="276"/>
      <c r="CM1119" s="276"/>
      <c r="CN1119" s="236">
        <f t="shared" si="559"/>
        <v>1060900</v>
      </c>
      <c r="CO1119" s="276"/>
      <c r="CP1119" s="276"/>
      <c r="CQ1119" s="276"/>
      <c r="CR1119" s="276">
        <f t="shared" si="564"/>
        <v>1092727</v>
      </c>
      <c r="CS1119" s="276"/>
      <c r="CT1119" s="276"/>
      <c r="CU1119" s="276"/>
      <c r="CV1119" s="276"/>
      <c r="CW1119" s="276"/>
      <c r="CX1119" s="276"/>
      <c r="CY1119" s="276"/>
      <c r="CZ1119" s="276"/>
      <c r="DA1119" s="276"/>
      <c r="DB1119" s="276"/>
      <c r="DC1119" s="276"/>
      <c r="DD1119" s="240">
        <f t="shared" si="560"/>
        <v>1092727</v>
      </c>
      <c r="DE1119" s="245">
        <f t="shared" ref="DE1119" si="565">SUM(DD1119+CN1119+BX1119+BH1119)</f>
        <v>4183627</v>
      </c>
    </row>
    <row r="1120" spans="1:109" s="46" customFormat="1" ht="65.099999999999994" customHeight="1">
      <c r="A1120" s="134" t="s">
        <v>1259</v>
      </c>
      <c r="B1120" s="134" t="s">
        <v>2051</v>
      </c>
      <c r="C1120" s="134" t="s">
        <v>2208</v>
      </c>
      <c r="D1120" s="134">
        <v>104</v>
      </c>
      <c r="E1120" s="134" t="s">
        <v>2241</v>
      </c>
      <c r="F1120" s="135"/>
      <c r="G1120" s="136"/>
      <c r="H1120" s="137"/>
      <c r="I1120" s="137"/>
      <c r="J1120" s="137"/>
      <c r="K1120" s="138"/>
      <c r="L1120" s="137"/>
      <c r="M1120" s="137"/>
      <c r="N1120" s="137"/>
      <c r="O1120" s="137"/>
      <c r="P1120" s="137"/>
      <c r="Q1120" s="136"/>
      <c r="R1120" s="139"/>
      <c r="S1120" s="137"/>
      <c r="T1120" s="137"/>
      <c r="U1120" s="140"/>
      <c r="V1120" s="140"/>
      <c r="W1120" s="138"/>
      <c r="X1120" s="140"/>
      <c r="Y1120" s="140"/>
      <c r="Z1120" s="140"/>
      <c r="AA1120" s="140"/>
      <c r="AB1120" s="138"/>
      <c r="AC1120" s="140"/>
      <c r="AD1120" s="140"/>
      <c r="AE1120" s="140"/>
      <c r="AF1120" s="140"/>
      <c r="AG1120" s="138"/>
      <c r="AH1120" s="140"/>
      <c r="AI1120" s="140"/>
      <c r="AJ1120" s="140"/>
      <c r="AK1120" s="140"/>
      <c r="AL1120" s="138"/>
      <c r="AM1120" s="141"/>
      <c r="AN1120" s="142"/>
      <c r="AO1120" s="142"/>
      <c r="AP1120" s="143"/>
      <c r="AQ1120" s="143"/>
      <c r="AR1120" s="144"/>
      <c r="AS1120" s="132">
        <f>SUM(AS1108:AS1119)</f>
        <v>0</v>
      </c>
      <c r="AT1120" s="132">
        <f t="shared" ref="AT1120:DE1120" si="566">SUM(AT1108:AT1119)</f>
        <v>0</v>
      </c>
      <c r="AU1120" s="132">
        <f t="shared" si="566"/>
        <v>0</v>
      </c>
      <c r="AV1120" s="132">
        <f t="shared" si="566"/>
        <v>4168789000</v>
      </c>
      <c r="AW1120" s="132">
        <f t="shared" si="566"/>
        <v>0</v>
      </c>
      <c r="AX1120" s="132">
        <f t="shared" si="566"/>
        <v>0</v>
      </c>
      <c r="AY1120" s="132">
        <f t="shared" si="566"/>
        <v>0</v>
      </c>
      <c r="AZ1120" s="132">
        <f t="shared" si="566"/>
        <v>0</v>
      </c>
      <c r="BA1120" s="132">
        <f t="shared" si="566"/>
        <v>0</v>
      </c>
      <c r="BB1120" s="132">
        <f t="shared" si="566"/>
        <v>0</v>
      </c>
      <c r="BC1120" s="132">
        <f t="shared" si="566"/>
        <v>0</v>
      </c>
      <c r="BD1120" s="132">
        <f t="shared" si="566"/>
        <v>0</v>
      </c>
      <c r="BE1120" s="132">
        <f t="shared" si="566"/>
        <v>0</v>
      </c>
      <c r="BF1120" s="132">
        <f t="shared" si="566"/>
        <v>0</v>
      </c>
      <c r="BG1120" s="132">
        <f t="shared" si="566"/>
        <v>0</v>
      </c>
      <c r="BH1120" s="133">
        <f>IF(OR(AND(BH1108=0,W1108&lt;&gt;0),AND(BH1109=0,W1109&lt;&gt;0),AND(BH1110=0,W1110&lt;&gt;0),AND(BH1111=0,W1111&lt;&gt;0),AND(BH1112=0,W1112&lt;&gt;0),AND(BH1113=0,W1113&lt;&gt;0),AND(BH1114=0,W1114&lt;&gt;0),AND(BH1115=0,W1115&lt;&gt;0),AND(BH1116=0,W1116&lt;&gt;0),AND(BH1117=0,W1117&lt;&gt;0),AND(BH1118=0,W1118&lt;&gt;0),AND(BH1119=0,W1119&lt;&gt;0)),"NO DEBEN QUEDAR CELDAS EN ROJO",SUM(BH1108:BH1119))</f>
        <v>4168789000</v>
      </c>
      <c r="BI1120" s="132">
        <f t="shared" si="566"/>
        <v>0</v>
      </c>
      <c r="BJ1120" s="132">
        <f t="shared" si="566"/>
        <v>0</v>
      </c>
      <c r="BK1120" s="132">
        <f t="shared" si="566"/>
        <v>0</v>
      </c>
      <c r="BL1120" s="132">
        <f t="shared" si="566"/>
        <v>4293852670</v>
      </c>
      <c r="BM1120" s="132">
        <f t="shared" si="566"/>
        <v>0</v>
      </c>
      <c r="BN1120" s="132">
        <f t="shared" si="566"/>
        <v>0</v>
      </c>
      <c r="BO1120" s="132">
        <f t="shared" si="566"/>
        <v>0</v>
      </c>
      <c r="BP1120" s="132">
        <f t="shared" si="566"/>
        <v>0</v>
      </c>
      <c r="BQ1120" s="132">
        <f t="shared" si="566"/>
        <v>0</v>
      </c>
      <c r="BR1120" s="132">
        <f t="shared" si="566"/>
        <v>0</v>
      </c>
      <c r="BS1120" s="132">
        <f t="shared" si="566"/>
        <v>0</v>
      </c>
      <c r="BT1120" s="132">
        <f t="shared" si="566"/>
        <v>0</v>
      </c>
      <c r="BU1120" s="132">
        <f t="shared" si="566"/>
        <v>0</v>
      </c>
      <c r="BV1120" s="132">
        <f t="shared" si="566"/>
        <v>0</v>
      </c>
      <c r="BW1120" s="132">
        <f t="shared" si="566"/>
        <v>0</v>
      </c>
      <c r="BX1120" s="133">
        <f>IF(OR(AND(BX1108=0,AB1108&lt;&gt;0),AND(BX1109=0,AB1109&lt;&gt;0),AND(BX1110=0,AB1110&lt;&gt;0),AND(BX1111=0,AB1111&lt;&gt;0),AND(BX1112=0,AB1112&lt;&gt;0),AND(BX1113=0,AB1113&lt;&gt;0),AND(BX1114=0,AB1114&lt;&gt;0),AND(BX1115=0,AB1115&lt;&gt;0),AND(BX1116=0,AB1116&lt;&gt;0),AND(BX1117=0,AB1117&lt;&gt;0),AND(BX1118=0,AB1118&lt;&gt;0),AND(BX1119=0,AB1119&lt;&gt;0)),"NO DEBEN QUEDAR CELDAS EN ROJO",SUM(BX1108:BX1119))</f>
        <v>4293852670</v>
      </c>
      <c r="BY1120" s="132">
        <f t="shared" si="566"/>
        <v>0</v>
      </c>
      <c r="BZ1120" s="132">
        <f t="shared" si="566"/>
        <v>0</v>
      </c>
      <c r="CA1120" s="132">
        <f t="shared" si="566"/>
        <v>0</v>
      </c>
      <c r="CB1120" s="132">
        <f t="shared" si="566"/>
        <v>4422668250</v>
      </c>
      <c r="CC1120" s="132">
        <f t="shared" si="566"/>
        <v>0</v>
      </c>
      <c r="CD1120" s="132">
        <f t="shared" si="566"/>
        <v>0</v>
      </c>
      <c r="CE1120" s="132">
        <f t="shared" si="566"/>
        <v>0</v>
      </c>
      <c r="CF1120" s="132">
        <f t="shared" si="566"/>
        <v>0</v>
      </c>
      <c r="CG1120" s="132">
        <f t="shared" si="566"/>
        <v>0</v>
      </c>
      <c r="CH1120" s="132">
        <f t="shared" si="566"/>
        <v>0</v>
      </c>
      <c r="CI1120" s="132">
        <f t="shared" si="566"/>
        <v>0</v>
      </c>
      <c r="CJ1120" s="132">
        <f t="shared" si="566"/>
        <v>0</v>
      </c>
      <c r="CK1120" s="132">
        <f t="shared" si="566"/>
        <v>0</v>
      </c>
      <c r="CL1120" s="132">
        <f t="shared" si="566"/>
        <v>0</v>
      </c>
      <c r="CM1120" s="132">
        <f t="shared" si="566"/>
        <v>0</v>
      </c>
      <c r="CN1120" s="133">
        <f>IF(OR(AND(CN1108=0,AG1108&lt;&gt;0),AND(CN1109=0,AG1109&lt;&gt;0),AND(CN1110=0,AG1110&lt;&gt;0),AND(CN1111=0,AG1111&lt;&gt;0),AND(CN1112=0,AG1112&lt;&gt;0),AND(CN1113=0,AG1113&lt;&gt;0),AND(CN1114=0,AG1114&lt;&gt;0),AND(CN1115=0,AG1115&lt;&gt;0),AND(CN1116=0,AG1116&lt;&gt;0),AND(CN1117=0,AG1117&lt;&gt;0),AND(CN1118=0,AG1118&lt;&gt;0),AND(CN1119=0,AG1119&lt;&gt;0)),"NO DEBEN QUEDAR CELDAS EN ROJO",SUM(CN1108:CN1119))</f>
        <v>4422668250</v>
      </c>
      <c r="CO1120" s="132">
        <f t="shared" si="566"/>
        <v>0</v>
      </c>
      <c r="CP1120" s="132">
        <f t="shared" si="566"/>
        <v>0</v>
      </c>
      <c r="CQ1120" s="132">
        <f t="shared" si="566"/>
        <v>0</v>
      </c>
      <c r="CR1120" s="132">
        <f t="shared" si="566"/>
        <v>4555348298</v>
      </c>
      <c r="CS1120" s="132">
        <f t="shared" si="566"/>
        <v>0</v>
      </c>
      <c r="CT1120" s="132">
        <f t="shared" si="566"/>
        <v>0</v>
      </c>
      <c r="CU1120" s="132">
        <f t="shared" si="566"/>
        <v>0</v>
      </c>
      <c r="CV1120" s="132">
        <f t="shared" si="566"/>
        <v>0</v>
      </c>
      <c r="CW1120" s="132">
        <f t="shared" si="566"/>
        <v>0</v>
      </c>
      <c r="CX1120" s="132">
        <f t="shared" si="566"/>
        <v>0</v>
      </c>
      <c r="CY1120" s="132">
        <f t="shared" si="566"/>
        <v>0</v>
      </c>
      <c r="CZ1120" s="132">
        <f t="shared" si="566"/>
        <v>0</v>
      </c>
      <c r="DA1120" s="132">
        <f t="shared" si="566"/>
        <v>0</v>
      </c>
      <c r="DB1120" s="132">
        <f t="shared" si="566"/>
        <v>0</v>
      </c>
      <c r="DC1120" s="132">
        <f t="shared" si="566"/>
        <v>0</v>
      </c>
      <c r="DD1120" s="133">
        <f>IF(OR(AND(DD1108=0,AL1108&lt;&gt;0),AND(DD1109=0,AL1109&lt;&gt;0),AND(DD1110=0,AL1110&lt;&gt;0),AND(DD1111=0,AL1111&lt;&gt;0),AND(DD1112=0,AL1112&lt;&gt;0),AND(DD1113=0,AL1113&lt;&gt;0),AND(DD1114=0,AL1114&lt;&gt;0),AND(DD1115=0,AL1115&lt;&gt;0),AND(DD1116=0,AL1116&lt;&gt;0),AND(DD1117=0,AL1117&lt;&gt;0),AND(DD1118=0,AL1118&lt;&gt;0),AND(DD1119=0,AL1119&lt;&gt;0)),"NO DEBEN QUEDAR CELDAS EN ROJO",SUM(DD1108:DD1119))</f>
        <v>4555348298</v>
      </c>
      <c r="DE1120" s="133">
        <f t="shared" si="566"/>
        <v>17440658218</v>
      </c>
    </row>
    <row r="1121" spans="1:109" s="99" customFormat="1" ht="119.1" customHeight="1">
      <c r="A1121" s="103" t="s">
        <v>1259</v>
      </c>
      <c r="B1121" s="103" t="s">
        <v>2051</v>
      </c>
      <c r="C1121" s="103" t="s">
        <v>2208</v>
      </c>
      <c r="D1121" s="103">
        <v>105</v>
      </c>
      <c r="E1121" s="103" t="s">
        <v>2252</v>
      </c>
      <c r="F1121" s="278" t="s">
        <v>2253</v>
      </c>
      <c r="G1121" s="103" t="s">
        <v>2977</v>
      </c>
      <c r="H1121" s="103">
        <v>127</v>
      </c>
      <c r="I1121" s="103" t="s">
        <v>572</v>
      </c>
      <c r="J1121" s="103" t="s">
        <v>677</v>
      </c>
      <c r="K1121" s="103">
        <v>0</v>
      </c>
      <c r="L1121" s="103">
        <v>30</v>
      </c>
      <c r="M1121" s="103" t="s">
        <v>2254</v>
      </c>
      <c r="N1121" s="103" t="s">
        <v>2255</v>
      </c>
      <c r="O1121" s="103" t="s">
        <v>573</v>
      </c>
      <c r="P1121" s="283">
        <v>983</v>
      </c>
      <c r="Q1121" s="103" t="s">
        <v>2978</v>
      </c>
      <c r="R1121" s="103" t="s">
        <v>2256</v>
      </c>
      <c r="S1121" s="103" t="s">
        <v>683</v>
      </c>
      <c r="T1121" s="103">
        <v>3</v>
      </c>
      <c r="U1121" s="267">
        <v>2</v>
      </c>
      <c r="V1121" s="267">
        <v>1</v>
      </c>
      <c r="W1121" s="224">
        <v>3</v>
      </c>
      <c r="X1121" s="267"/>
      <c r="Y1121" s="267">
        <v>1</v>
      </c>
      <c r="Z1121" s="267">
        <v>1</v>
      </c>
      <c r="AA1121" s="267">
        <v>1</v>
      </c>
      <c r="AB1121" s="224">
        <v>3</v>
      </c>
      <c r="AC1121" s="267"/>
      <c r="AD1121" s="267">
        <v>1</v>
      </c>
      <c r="AE1121" s="267">
        <v>1</v>
      </c>
      <c r="AF1121" s="267">
        <v>1</v>
      </c>
      <c r="AG1121" s="224">
        <v>3</v>
      </c>
      <c r="AH1121" s="267"/>
      <c r="AI1121" s="267">
        <v>1</v>
      </c>
      <c r="AJ1121" s="267">
        <v>1</v>
      </c>
      <c r="AK1121" s="267">
        <v>1</v>
      </c>
      <c r="AL1121" s="224">
        <v>3</v>
      </c>
      <c r="AM1121" s="102">
        <v>3</v>
      </c>
      <c r="AN1121" s="103" t="s">
        <v>686</v>
      </c>
      <c r="AO1121" s="103" t="s">
        <v>1212</v>
      </c>
      <c r="AP1121" s="103" t="s">
        <v>1229</v>
      </c>
      <c r="AQ1121" s="103" t="s">
        <v>1207</v>
      </c>
      <c r="AR1121" s="103" t="s">
        <v>951</v>
      </c>
      <c r="AS1121" s="268"/>
      <c r="AT1121" s="268"/>
      <c r="AU1121" s="268"/>
      <c r="AV1121" s="268">
        <v>200000000</v>
      </c>
      <c r="AW1121" s="268"/>
      <c r="AX1121" s="268"/>
      <c r="AY1121" s="268"/>
      <c r="AZ1121" s="268"/>
      <c r="BA1121" s="268"/>
      <c r="BB1121" s="268"/>
      <c r="BC1121" s="268"/>
      <c r="BD1121" s="268"/>
      <c r="BE1121" s="268"/>
      <c r="BF1121" s="268"/>
      <c r="BG1121" s="268"/>
      <c r="BH1121" s="234">
        <f t="shared" ref="BH1121:BH1133" si="567">IF(W1121=0,0,BG1121+BF1121+BE1121+BD1121+BC1121+BB1121+BA1121+AZ1121+AY1121+AX1121+AW1121+AV1121+AU1121+AT1121+AS1121)</f>
        <v>200000000</v>
      </c>
      <c r="BI1121" s="268"/>
      <c r="BJ1121" s="268"/>
      <c r="BK1121" s="268"/>
      <c r="BL1121" s="268">
        <f>(1+0.03)*AV1121</f>
        <v>206000000</v>
      </c>
      <c r="BM1121" s="268"/>
      <c r="BN1121" s="268"/>
      <c r="BO1121" s="268"/>
      <c r="BP1121" s="268"/>
      <c r="BQ1121" s="268"/>
      <c r="BR1121" s="268"/>
      <c r="BS1121" s="268"/>
      <c r="BT1121" s="268"/>
      <c r="BU1121" s="268"/>
      <c r="BV1121" s="268"/>
      <c r="BW1121" s="268"/>
      <c r="BX1121" s="234">
        <f t="shared" ref="BX1121:BX1133" si="568">IF(AB1121=0,0,BI1121+BJ1121+BK1121+BL1121+BM1121+BN1121+BO1121+BP1121+BQ1121+BR1121+BS1121+BT1121+BU1121+BV1121+BW1121)</f>
        <v>206000000</v>
      </c>
      <c r="BY1121" s="268"/>
      <c r="BZ1121" s="268"/>
      <c r="CA1121" s="268"/>
      <c r="CB1121" s="268">
        <f>(1+0.03)*BL1121</f>
        <v>212180000</v>
      </c>
      <c r="CC1121" s="268"/>
      <c r="CD1121" s="268"/>
      <c r="CE1121" s="268"/>
      <c r="CF1121" s="268"/>
      <c r="CG1121" s="268"/>
      <c r="CH1121" s="268"/>
      <c r="CI1121" s="268"/>
      <c r="CJ1121" s="268"/>
      <c r="CK1121" s="268"/>
      <c r="CL1121" s="268"/>
      <c r="CM1121" s="268"/>
      <c r="CN1121" s="234">
        <f t="shared" ref="CN1121:CN1133" si="569">IF(AG1121=0,0,(BY1121+BZ1121+CA1121+CB1121+CC1121+CD1121+CE1121+CF1121+CG1121+CH1121+CI1121+CJ1121+CK1121+CL1121+CM1121))</f>
        <v>212180000</v>
      </c>
      <c r="CO1121" s="268"/>
      <c r="CP1121" s="268"/>
      <c r="CQ1121" s="268"/>
      <c r="CR1121" s="268">
        <f>(1+0.03)*CB1121</f>
        <v>218545400</v>
      </c>
      <c r="CS1121" s="268"/>
      <c r="CT1121" s="268"/>
      <c r="CU1121" s="268"/>
      <c r="CV1121" s="268"/>
      <c r="CW1121" s="268"/>
      <c r="CX1121" s="268"/>
      <c r="CY1121" s="268"/>
      <c r="CZ1121" s="268"/>
      <c r="DA1121" s="268"/>
      <c r="DB1121" s="268"/>
      <c r="DC1121" s="268"/>
      <c r="DD1121" s="234">
        <f t="shared" ref="DD1121:DD1133" si="570">IF(AL1121=0,0,(CO1121+CP1121+CQ1121+CR1121+CS1121+CT1121+CU1121+CV1121+CW1121+CX1121+CY1121+CZ1121+DA1121+DB1121+DC1121))</f>
        <v>218545400</v>
      </c>
      <c r="DE1121" s="243">
        <f t="shared" ref="DE1121:DE1133" si="571">SUM(DD1121+CN1121+BX1121+BH1121)</f>
        <v>836725400</v>
      </c>
    </row>
    <row r="1122" spans="1:109" s="99" customFormat="1" ht="119.1" customHeight="1">
      <c r="A1122" s="103" t="s">
        <v>1259</v>
      </c>
      <c r="B1122" s="279" t="s">
        <v>2051</v>
      </c>
      <c r="C1122" s="279" t="s">
        <v>2208</v>
      </c>
      <c r="D1122" s="279">
        <v>105</v>
      </c>
      <c r="E1122" s="279" t="s">
        <v>2252</v>
      </c>
      <c r="F1122" s="280" t="s">
        <v>2253</v>
      </c>
      <c r="G1122" s="279" t="s">
        <v>2977</v>
      </c>
      <c r="H1122" s="279">
        <v>127</v>
      </c>
      <c r="I1122" s="279" t="s">
        <v>572</v>
      </c>
      <c r="J1122" s="279" t="s">
        <v>677</v>
      </c>
      <c r="K1122" s="279">
        <v>0</v>
      </c>
      <c r="L1122" s="279">
        <v>30</v>
      </c>
      <c r="M1122" s="279" t="s">
        <v>2254</v>
      </c>
      <c r="N1122" s="279" t="s">
        <v>2255</v>
      </c>
      <c r="O1122" s="279" t="s">
        <v>573</v>
      </c>
      <c r="P1122" s="283">
        <v>984</v>
      </c>
      <c r="Q1122" s="279" t="s">
        <v>3261</v>
      </c>
      <c r="R1122" s="279" t="s">
        <v>2257</v>
      </c>
      <c r="S1122" s="279" t="s">
        <v>683</v>
      </c>
      <c r="T1122" s="279">
        <v>0</v>
      </c>
      <c r="U1122" s="267"/>
      <c r="V1122" s="267">
        <v>1</v>
      </c>
      <c r="W1122" s="224">
        <v>1</v>
      </c>
      <c r="X1122" s="267"/>
      <c r="Y1122" s="267"/>
      <c r="Z1122" s="267"/>
      <c r="AA1122" s="267">
        <v>1</v>
      </c>
      <c r="AB1122" s="224">
        <v>1</v>
      </c>
      <c r="AC1122" s="267"/>
      <c r="AD1122" s="267">
        <v>1</v>
      </c>
      <c r="AE1122" s="267">
        <v>1</v>
      </c>
      <c r="AF1122" s="267"/>
      <c r="AG1122" s="224">
        <v>2</v>
      </c>
      <c r="AH1122" s="267">
        <v>1</v>
      </c>
      <c r="AI1122" s="267"/>
      <c r="AJ1122" s="267"/>
      <c r="AK1122" s="267"/>
      <c r="AL1122" s="224">
        <v>1</v>
      </c>
      <c r="AM1122" s="104">
        <v>5</v>
      </c>
      <c r="AN1122" s="103" t="s">
        <v>685</v>
      </c>
      <c r="AO1122" s="103" t="s">
        <v>1212</v>
      </c>
      <c r="AP1122" s="103" t="s">
        <v>1229</v>
      </c>
      <c r="AQ1122" s="103" t="s">
        <v>1207</v>
      </c>
      <c r="AR1122" s="103" t="s">
        <v>951</v>
      </c>
      <c r="AS1122" s="271"/>
      <c r="AT1122" s="271"/>
      <c r="AU1122" s="271"/>
      <c r="AV1122" s="271">
        <v>75000000</v>
      </c>
      <c r="AW1122" s="271"/>
      <c r="AX1122" s="271"/>
      <c r="AY1122" s="271"/>
      <c r="AZ1122" s="271"/>
      <c r="BA1122" s="271"/>
      <c r="BB1122" s="271"/>
      <c r="BC1122" s="271"/>
      <c r="BD1122" s="271"/>
      <c r="BE1122" s="271"/>
      <c r="BF1122" s="271"/>
      <c r="BG1122" s="271"/>
      <c r="BH1122" s="235">
        <f t="shared" si="567"/>
        <v>75000000</v>
      </c>
      <c r="BI1122" s="271"/>
      <c r="BJ1122" s="271"/>
      <c r="BK1122" s="271"/>
      <c r="BL1122" s="271">
        <f t="shared" ref="BL1122:BL1132" si="572">(1+0.03)*AV1122</f>
        <v>77250000</v>
      </c>
      <c r="BM1122" s="271"/>
      <c r="BN1122" s="271"/>
      <c r="BO1122" s="271"/>
      <c r="BP1122" s="271"/>
      <c r="BQ1122" s="271"/>
      <c r="BR1122" s="271"/>
      <c r="BS1122" s="271"/>
      <c r="BT1122" s="271"/>
      <c r="BU1122" s="271"/>
      <c r="BV1122" s="271"/>
      <c r="BW1122" s="271"/>
      <c r="BX1122" s="235">
        <f t="shared" si="568"/>
        <v>77250000</v>
      </c>
      <c r="BY1122" s="271"/>
      <c r="BZ1122" s="271"/>
      <c r="CA1122" s="271"/>
      <c r="CB1122" s="271">
        <f t="shared" ref="CB1122:CB1131" si="573">(1+0.03)*BL1122</f>
        <v>79567500</v>
      </c>
      <c r="CC1122" s="271"/>
      <c r="CD1122" s="271"/>
      <c r="CE1122" s="271"/>
      <c r="CF1122" s="271"/>
      <c r="CG1122" s="271"/>
      <c r="CH1122" s="271"/>
      <c r="CI1122" s="271"/>
      <c r="CJ1122" s="271"/>
      <c r="CK1122" s="271"/>
      <c r="CL1122" s="271"/>
      <c r="CM1122" s="271"/>
      <c r="CN1122" s="235">
        <f t="shared" si="569"/>
        <v>79567500</v>
      </c>
      <c r="CO1122" s="271"/>
      <c r="CP1122" s="271"/>
      <c r="CQ1122" s="271"/>
      <c r="CR1122" s="271">
        <f t="shared" ref="CR1122:CR1131" si="574">(1+0.03)*CB1122</f>
        <v>81954525</v>
      </c>
      <c r="CS1122" s="271"/>
      <c r="CT1122" s="271"/>
      <c r="CU1122" s="271"/>
      <c r="CV1122" s="271"/>
      <c r="CW1122" s="271"/>
      <c r="CX1122" s="271"/>
      <c r="CY1122" s="271"/>
      <c r="CZ1122" s="271"/>
      <c r="DA1122" s="271"/>
      <c r="DB1122" s="271"/>
      <c r="DC1122" s="271"/>
      <c r="DD1122" s="234">
        <f t="shared" si="570"/>
        <v>81954525</v>
      </c>
      <c r="DE1122" s="244">
        <f t="shared" si="571"/>
        <v>313772025</v>
      </c>
    </row>
    <row r="1123" spans="1:109" s="99" customFormat="1" ht="119.1" customHeight="1">
      <c r="A1123" s="103" t="s">
        <v>1259</v>
      </c>
      <c r="B1123" s="279" t="s">
        <v>2051</v>
      </c>
      <c r="C1123" s="279" t="s">
        <v>2208</v>
      </c>
      <c r="D1123" s="279">
        <v>105</v>
      </c>
      <c r="E1123" s="279" t="s">
        <v>2252</v>
      </c>
      <c r="F1123" s="280" t="s">
        <v>2253</v>
      </c>
      <c r="G1123" s="279" t="s">
        <v>2977</v>
      </c>
      <c r="H1123" s="279">
        <v>127</v>
      </c>
      <c r="I1123" s="279" t="s">
        <v>572</v>
      </c>
      <c r="J1123" s="279" t="s">
        <v>677</v>
      </c>
      <c r="K1123" s="279">
        <v>0</v>
      </c>
      <c r="L1123" s="279">
        <v>30</v>
      </c>
      <c r="M1123" s="279" t="s">
        <v>2254</v>
      </c>
      <c r="N1123" s="279" t="s">
        <v>2255</v>
      </c>
      <c r="O1123" s="279" t="s">
        <v>573</v>
      </c>
      <c r="P1123" s="283">
        <v>985</v>
      </c>
      <c r="Q1123" s="279" t="s">
        <v>3814</v>
      </c>
      <c r="R1123" s="279" t="s">
        <v>2258</v>
      </c>
      <c r="S1123" s="279" t="s">
        <v>683</v>
      </c>
      <c r="T1123" s="279">
        <v>0</v>
      </c>
      <c r="U1123" s="267"/>
      <c r="V1123" s="267">
        <v>0.5</v>
      </c>
      <c r="W1123" s="224">
        <v>0.5</v>
      </c>
      <c r="X1123" s="267">
        <v>0.25</v>
      </c>
      <c r="Y1123" s="267">
        <v>0.25</v>
      </c>
      <c r="Z1123" s="267"/>
      <c r="AA1123" s="267"/>
      <c r="AB1123" s="224">
        <v>0.5</v>
      </c>
      <c r="AC1123" s="267">
        <v>0.25</v>
      </c>
      <c r="AD1123" s="267"/>
      <c r="AE1123" s="267">
        <v>0.25</v>
      </c>
      <c r="AF1123" s="267"/>
      <c r="AG1123" s="224">
        <v>0.5</v>
      </c>
      <c r="AH1123" s="267"/>
      <c r="AI1123" s="267">
        <v>0.25</v>
      </c>
      <c r="AJ1123" s="267">
        <v>0.25</v>
      </c>
      <c r="AK1123" s="267"/>
      <c r="AL1123" s="224">
        <v>0.5</v>
      </c>
      <c r="AM1123" s="104">
        <v>2</v>
      </c>
      <c r="AN1123" s="103" t="s">
        <v>685</v>
      </c>
      <c r="AO1123" s="103" t="s">
        <v>1212</v>
      </c>
      <c r="AP1123" s="103" t="s">
        <v>1229</v>
      </c>
      <c r="AQ1123" s="103" t="s">
        <v>1207</v>
      </c>
      <c r="AR1123" s="103" t="s">
        <v>951</v>
      </c>
      <c r="AS1123" s="271"/>
      <c r="AT1123" s="271"/>
      <c r="AU1123" s="271"/>
      <c r="AV1123" s="271">
        <v>240000000</v>
      </c>
      <c r="AW1123" s="271"/>
      <c r="AX1123" s="271"/>
      <c r="AY1123" s="271"/>
      <c r="AZ1123" s="271"/>
      <c r="BA1123" s="271"/>
      <c r="BB1123" s="271"/>
      <c r="BC1123" s="271"/>
      <c r="BD1123" s="271"/>
      <c r="BE1123" s="271"/>
      <c r="BF1123" s="271"/>
      <c r="BG1123" s="271"/>
      <c r="BH1123" s="235">
        <f t="shared" si="567"/>
        <v>240000000</v>
      </c>
      <c r="BI1123" s="271"/>
      <c r="BJ1123" s="271"/>
      <c r="BK1123" s="271"/>
      <c r="BL1123" s="271">
        <f t="shared" si="572"/>
        <v>247200000</v>
      </c>
      <c r="BM1123" s="271"/>
      <c r="BN1123" s="271"/>
      <c r="BO1123" s="271"/>
      <c r="BP1123" s="271"/>
      <c r="BQ1123" s="271"/>
      <c r="BR1123" s="271"/>
      <c r="BS1123" s="271"/>
      <c r="BT1123" s="271"/>
      <c r="BU1123" s="271"/>
      <c r="BV1123" s="271"/>
      <c r="BW1123" s="271"/>
      <c r="BX1123" s="235">
        <f t="shared" si="568"/>
        <v>247200000</v>
      </c>
      <c r="BY1123" s="271"/>
      <c r="BZ1123" s="271"/>
      <c r="CA1123" s="271"/>
      <c r="CB1123" s="271">
        <f t="shared" si="573"/>
        <v>254616000</v>
      </c>
      <c r="CC1123" s="271"/>
      <c r="CD1123" s="271"/>
      <c r="CE1123" s="271"/>
      <c r="CF1123" s="271"/>
      <c r="CG1123" s="271"/>
      <c r="CH1123" s="271"/>
      <c r="CI1123" s="271"/>
      <c r="CJ1123" s="271"/>
      <c r="CK1123" s="271"/>
      <c r="CL1123" s="271"/>
      <c r="CM1123" s="271"/>
      <c r="CN1123" s="235">
        <f t="shared" si="569"/>
        <v>254616000</v>
      </c>
      <c r="CO1123" s="271"/>
      <c r="CP1123" s="271"/>
      <c r="CQ1123" s="271"/>
      <c r="CR1123" s="271">
        <f t="shared" si="574"/>
        <v>262254480</v>
      </c>
      <c r="CS1123" s="271"/>
      <c r="CT1123" s="271"/>
      <c r="CU1123" s="271"/>
      <c r="CV1123" s="271"/>
      <c r="CW1123" s="271"/>
      <c r="CX1123" s="271"/>
      <c r="CY1123" s="271"/>
      <c r="CZ1123" s="271"/>
      <c r="DA1123" s="271"/>
      <c r="DB1123" s="271"/>
      <c r="DC1123" s="271"/>
      <c r="DD1123" s="234">
        <f t="shared" si="570"/>
        <v>262254480</v>
      </c>
      <c r="DE1123" s="244">
        <f t="shared" si="571"/>
        <v>1004070480</v>
      </c>
    </row>
    <row r="1124" spans="1:109" s="99" customFormat="1" ht="119.1" customHeight="1">
      <c r="A1124" s="103" t="s">
        <v>1259</v>
      </c>
      <c r="B1124" s="279" t="s">
        <v>2051</v>
      </c>
      <c r="C1124" s="279" t="s">
        <v>2208</v>
      </c>
      <c r="D1124" s="279">
        <v>105</v>
      </c>
      <c r="E1124" s="279" t="s">
        <v>2252</v>
      </c>
      <c r="F1124" s="280" t="s">
        <v>2253</v>
      </c>
      <c r="G1124" s="279" t="s">
        <v>2977</v>
      </c>
      <c r="H1124" s="279">
        <v>127</v>
      </c>
      <c r="I1124" s="279" t="s">
        <v>572</v>
      </c>
      <c r="J1124" s="279" t="s">
        <v>677</v>
      </c>
      <c r="K1124" s="279">
        <v>0</v>
      </c>
      <c r="L1124" s="279">
        <v>30</v>
      </c>
      <c r="M1124" s="279" t="s">
        <v>2254</v>
      </c>
      <c r="N1124" s="279" t="s">
        <v>2255</v>
      </c>
      <c r="O1124" s="279" t="s">
        <v>573</v>
      </c>
      <c r="P1124" s="283">
        <v>986</v>
      </c>
      <c r="Q1124" s="279" t="s">
        <v>3262</v>
      </c>
      <c r="R1124" s="279" t="s">
        <v>574</v>
      </c>
      <c r="S1124" s="279" t="s">
        <v>683</v>
      </c>
      <c r="T1124" s="279">
        <v>1</v>
      </c>
      <c r="U1124" s="267">
        <v>1</v>
      </c>
      <c r="V1124" s="267">
        <v>1</v>
      </c>
      <c r="W1124" s="224">
        <v>1</v>
      </c>
      <c r="X1124" s="267">
        <v>1</v>
      </c>
      <c r="Y1124" s="267">
        <v>1</v>
      </c>
      <c r="Z1124" s="267">
        <v>1</v>
      </c>
      <c r="AA1124" s="267">
        <v>1</v>
      </c>
      <c r="AB1124" s="224">
        <v>1</v>
      </c>
      <c r="AC1124" s="267">
        <v>1</v>
      </c>
      <c r="AD1124" s="267">
        <v>1</v>
      </c>
      <c r="AE1124" s="267">
        <v>1</v>
      </c>
      <c r="AF1124" s="267">
        <v>1</v>
      </c>
      <c r="AG1124" s="224">
        <v>1</v>
      </c>
      <c r="AH1124" s="267">
        <v>1</v>
      </c>
      <c r="AI1124" s="267">
        <v>1</v>
      </c>
      <c r="AJ1124" s="267">
        <v>1</v>
      </c>
      <c r="AK1124" s="267">
        <v>1</v>
      </c>
      <c r="AL1124" s="224">
        <v>1</v>
      </c>
      <c r="AM1124" s="104">
        <v>1</v>
      </c>
      <c r="AN1124" s="103" t="s">
        <v>686</v>
      </c>
      <c r="AO1124" s="103" t="s">
        <v>1212</v>
      </c>
      <c r="AP1124" s="103" t="s">
        <v>1229</v>
      </c>
      <c r="AQ1124" s="103" t="s">
        <v>1207</v>
      </c>
      <c r="AR1124" s="103" t="s">
        <v>951</v>
      </c>
      <c r="AS1124" s="271"/>
      <c r="AT1124" s="271"/>
      <c r="AU1124" s="271"/>
      <c r="AV1124" s="271">
        <v>112211000</v>
      </c>
      <c r="AW1124" s="271"/>
      <c r="AX1124" s="271"/>
      <c r="AY1124" s="271"/>
      <c r="AZ1124" s="271"/>
      <c r="BA1124" s="271"/>
      <c r="BB1124" s="271"/>
      <c r="BC1124" s="271"/>
      <c r="BD1124" s="271"/>
      <c r="BE1124" s="271"/>
      <c r="BF1124" s="271"/>
      <c r="BG1124" s="271"/>
      <c r="BH1124" s="235">
        <f t="shared" si="567"/>
        <v>112211000</v>
      </c>
      <c r="BI1124" s="271"/>
      <c r="BJ1124" s="271"/>
      <c r="BK1124" s="271"/>
      <c r="BL1124" s="271">
        <f t="shared" si="572"/>
        <v>115577330</v>
      </c>
      <c r="BM1124" s="271"/>
      <c r="BN1124" s="271"/>
      <c r="BO1124" s="271"/>
      <c r="BP1124" s="271"/>
      <c r="BQ1124" s="271"/>
      <c r="BR1124" s="271"/>
      <c r="BS1124" s="271"/>
      <c r="BT1124" s="271"/>
      <c r="BU1124" s="271"/>
      <c r="BV1124" s="271"/>
      <c r="BW1124" s="271"/>
      <c r="BX1124" s="235">
        <f t="shared" si="568"/>
        <v>115577330</v>
      </c>
      <c r="BY1124" s="271"/>
      <c r="BZ1124" s="271"/>
      <c r="CA1124" s="271"/>
      <c r="CB1124" s="271">
        <f t="shared" si="573"/>
        <v>119044649.90000001</v>
      </c>
      <c r="CC1124" s="271"/>
      <c r="CD1124" s="271"/>
      <c r="CE1124" s="271"/>
      <c r="CF1124" s="271"/>
      <c r="CG1124" s="271"/>
      <c r="CH1124" s="271"/>
      <c r="CI1124" s="271"/>
      <c r="CJ1124" s="271"/>
      <c r="CK1124" s="271"/>
      <c r="CL1124" s="271"/>
      <c r="CM1124" s="271"/>
      <c r="CN1124" s="235">
        <f t="shared" si="569"/>
        <v>119044649.90000001</v>
      </c>
      <c r="CO1124" s="271"/>
      <c r="CP1124" s="271"/>
      <c r="CQ1124" s="271"/>
      <c r="CR1124" s="271">
        <f>(1+0.03)*CB1124-0.5</f>
        <v>122615988.89700001</v>
      </c>
      <c r="CS1124" s="271"/>
      <c r="CT1124" s="271"/>
      <c r="CU1124" s="271"/>
      <c r="CV1124" s="271"/>
      <c r="CW1124" s="271"/>
      <c r="CX1124" s="271"/>
      <c r="CY1124" s="271"/>
      <c r="CZ1124" s="271"/>
      <c r="DA1124" s="271"/>
      <c r="DB1124" s="271"/>
      <c r="DC1124" s="271"/>
      <c r="DD1124" s="234">
        <f t="shared" si="570"/>
        <v>122615988.89700001</v>
      </c>
      <c r="DE1124" s="244">
        <f t="shared" si="571"/>
        <v>469448968.79700005</v>
      </c>
    </row>
    <row r="1125" spans="1:109" s="99" customFormat="1" ht="119.1" customHeight="1">
      <c r="A1125" s="103" t="s">
        <v>1259</v>
      </c>
      <c r="B1125" s="279" t="s">
        <v>2051</v>
      </c>
      <c r="C1125" s="279" t="s">
        <v>2208</v>
      </c>
      <c r="D1125" s="279">
        <v>105</v>
      </c>
      <c r="E1125" s="279" t="s">
        <v>2252</v>
      </c>
      <c r="F1125" s="280" t="s">
        <v>2253</v>
      </c>
      <c r="G1125" s="279" t="s">
        <v>2977</v>
      </c>
      <c r="H1125" s="279">
        <v>127</v>
      </c>
      <c r="I1125" s="279" t="s">
        <v>572</v>
      </c>
      <c r="J1125" s="279" t="s">
        <v>677</v>
      </c>
      <c r="K1125" s="279">
        <v>0</v>
      </c>
      <c r="L1125" s="279">
        <v>30</v>
      </c>
      <c r="M1125" s="279" t="s">
        <v>2254</v>
      </c>
      <c r="N1125" s="279" t="s">
        <v>2255</v>
      </c>
      <c r="O1125" s="279" t="s">
        <v>573</v>
      </c>
      <c r="P1125" s="283">
        <v>987</v>
      </c>
      <c r="Q1125" s="279" t="s">
        <v>2979</v>
      </c>
      <c r="R1125" s="279" t="s">
        <v>574</v>
      </c>
      <c r="S1125" s="279" t="s">
        <v>683</v>
      </c>
      <c r="T1125" s="279">
        <v>1</v>
      </c>
      <c r="U1125" s="267"/>
      <c r="V1125" s="267">
        <v>0.5</v>
      </c>
      <c r="W1125" s="224">
        <v>0.5</v>
      </c>
      <c r="X1125" s="267">
        <v>0.5</v>
      </c>
      <c r="Y1125" s="267"/>
      <c r="Z1125" s="267"/>
      <c r="AA1125" s="267"/>
      <c r="AB1125" s="224">
        <v>0.5</v>
      </c>
      <c r="AC1125" s="267"/>
      <c r="AD1125" s="267"/>
      <c r="AE1125" s="267"/>
      <c r="AF1125" s="267">
        <v>0.5</v>
      </c>
      <c r="AG1125" s="224">
        <v>0.5</v>
      </c>
      <c r="AH1125" s="267">
        <v>0.5</v>
      </c>
      <c r="AI1125" s="267"/>
      <c r="AJ1125" s="267"/>
      <c r="AK1125" s="267"/>
      <c r="AL1125" s="224">
        <v>0.5</v>
      </c>
      <c r="AM1125" s="104">
        <v>2</v>
      </c>
      <c r="AN1125" s="103" t="s">
        <v>685</v>
      </c>
      <c r="AO1125" s="103" t="s">
        <v>1212</v>
      </c>
      <c r="AP1125" s="103" t="s">
        <v>1229</v>
      </c>
      <c r="AQ1125" s="103" t="s">
        <v>1207</v>
      </c>
      <c r="AR1125" s="103" t="s">
        <v>951</v>
      </c>
      <c r="AS1125" s="271"/>
      <c r="AT1125" s="271"/>
      <c r="AU1125" s="271"/>
      <c r="AV1125" s="271">
        <f>224000000+122000000</f>
        <v>346000000</v>
      </c>
      <c r="AW1125" s="271"/>
      <c r="AX1125" s="271"/>
      <c r="AY1125" s="271"/>
      <c r="AZ1125" s="271"/>
      <c r="BA1125" s="271"/>
      <c r="BB1125" s="271"/>
      <c r="BC1125" s="271"/>
      <c r="BD1125" s="271"/>
      <c r="BE1125" s="271"/>
      <c r="BF1125" s="271"/>
      <c r="BG1125" s="271"/>
      <c r="BH1125" s="235">
        <f t="shared" si="567"/>
        <v>346000000</v>
      </c>
      <c r="BI1125" s="271"/>
      <c r="BJ1125" s="271"/>
      <c r="BK1125" s="271"/>
      <c r="BL1125" s="271">
        <f>(1+0.03)*AV1125-125660000</f>
        <v>230720000</v>
      </c>
      <c r="BM1125" s="271"/>
      <c r="BN1125" s="271"/>
      <c r="BO1125" s="271"/>
      <c r="BP1125" s="271"/>
      <c r="BQ1125" s="271"/>
      <c r="BR1125" s="271"/>
      <c r="BS1125" s="271"/>
      <c r="BT1125" s="271"/>
      <c r="BU1125" s="271"/>
      <c r="BV1125" s="271"/>
      <c r="BW1125" s="271"/>
      <c r="BX1125" s="235">
        <f t="shared" si="568"/>
        <v>230720000</v>
      </c>
      <c r="BY1125" s="271"/>
      <c r="BZ1125" s="271"/>
      <c r="CA1125" s="271"/>
      <c r="CB1125" s="271">
        <f t="shared" si="573"/>
        <v>237641600</v>
      </c>
      <c r="CC1125" s="271"/>
      <c r="CD1125" s="271"/>
      <c r="CE1125" s="271"/>
      <c r="CF1125" s="271"/>
      <c r="CG1125" s="271"/>
      <c r="CH1125" s="271"/>
      <c r="CI1125" s="271"/>
      <c r="CJ1125" s="271"/>
      <c r="CK1125" s="271"/>
      <c r="CL1125" s="271"/>
      <c r="CM1125" s="271"/>
      <c r="CN1125" s="235">
        <f t="shared" si="569"/>
        <v>237641600</v>
      </c>
      <c r="CO1125" s="271"/>
      <c r="CP1125" s="271"/>
      <c r="CQ1125" s="271"/>
      <c r="CR1125" s="271">
        <f>(1+0.03)*CB1125-70000000</f>
        <v>174770848</v>
      </c>
      <c r="CS1125" s="271"/>
      <c r="CT1125" s="271"/>
      <c r="CU1125" s="271"/>
      <c r="CV1125" s="271"/>
      <c r="CW1125" s="271"/>
      <c r="CX1125" s="271"/>
      <c r="CY1125" s="271"/>
      <c r="CZ1125" s="271"/>
      <c r="DA1125" s="271"/>
      <c r="DB1125" s="271"/>
      <c r="DC1125" s="271"/>
      <c r="DD1125" s="234">
        <f t="shared" si="570"/>
        <v>174770848</v>
      </c>
      <c r="DE1125" s="244">
        <f t="shared" si="571"/>
        <v>989132448</v>
      </c>
    </row>
    <row r="1126" spans="1:109" s="99" customFormat="1" ht="119.1" customHeight="1">
      <c r="A1126" s="103" t="s">
        <v>1259</v>
      </c>
      <c r="B1126" s="279" t="s">
        <v>2051</v>
      </c>
      <c r="C1126" s="279" t="s">
        <v>2208</v>
      </c>
      <c r="D1126" s="279">
        <v>105</v>
      </c>
      <c r="E1126" s="279" t="s">
        <v>2252</v>
      </c>
      <c r="F1126" s="280" t="s">
        <v>2253</v>
      </c>
      <c r="G1126" s="279" t="s">
        <v>2977</v>
      </c>
      <c r="H1126" s="279">
        <v>127</v>
      </c>
      <c r="I1126" s="279" t="s">
        <v>572</v>
      </c>
      <c r="J1126" s="279" t="s">
        <v>677</v>
      </c>
      <c r="K1126" s="279">
        <v>0</v>
      </c>
      <c r="L1126" s="279">
        <v>30</v>
      </c>
      <c r="M1126" s="279" t="s">
        <v>2254</v>
      </c>
      <c r="N1126" s="279" t="s">
        <v>2255</v>
      </c>
      <c r="O1126" s="279" t="s">
        <v>573</v>
      </c>
      <c r="P1126" s="283">
        <v>988</v>
      </c>
      <c r="Q1126" s="279" t="s">
        <v>3815</v>
      </c>
      <c r="R1126" s="279" t="s">
        <v>2259</v>
      </c>
      <c r="S1126" s="279" t="s">
        <v>683</v>
      </c>
      <c r="T1126" s="279">
        <v>1</v>
      </c>
      <c r="U1126" s="267">
        <v>1</v>
      </c>
      <c r="V1126" s="267">
        <v>1</v>
      </c>
      <c r="W1126" s="224">
        <v>1</v>
      </c>
      <c r="X1126" s="267">
        <v>1</v>
      </c>
      <c r="Y1126" s="267">
        <v>1</v>
      </c>
      <c r="Z1126" s="267">
        <v>1</v>
      </c>
      <c r="AA1126" s="267">
        <v>1</v>
      </c>
      <c r="AB1126" s="224">
        <v>1</v>
      </c>
      <c r="AC1126" s="267">
        <v>1</v>
      </c>
      <c r="AD1126" s="267">
        <v>1</v>
      </c>
      <c r="AE1126" s="267">
        <v>1</v>
      </c>
      <c r="AF1126" s="267">
        <v>1</v>
      </c>
      <c r="AG1126" s="224">
        <v>1</v>
      </c>
      <c r="AH1126" s="267">
        <v>1</v>
      </c>
      <c r="AI1126" s="267">
        <v>1</v>
      </c>
      <c r="AJ1126" s="267">
        <v>1</v>
      </c>
      <c r="AK1126" s="267">
        <v>1</v>
      </c>
      <c r="AL1126" s="224">
        <v>1</v>
      </c>
      <c r="AM1126" s="104">
        <v>1</v>
      </c>
      <c r="AN1126" s="103" t="s">
        <v>686</v>
      </c>
      <c r="AO1126" s="103" t="s">
        <v>1212</v>
      </c>
      <c r="AP1126" s="103" t="s">
        <v>1229</v>
      </c>
      <c r="AQ1126" s="103" t="s">
        <v>1207</v>
      </c>
      <c r="AR1126" s="103" t="s">
        <v>951</v>
      </c>
      <c r="AS1126" s="271"/>
      <c r="AT1126" s="271"/>
      <c r="AU1126" s="271"/>
      <c r="AV1126" s="271">
        <v>20000000</v>
      </c>
      <c r="AW1126" s="271"/>
      <c r="AX1126" s="271"/>
      <c r="AY1126" s="271"/>
      <c r="AZ1126" s="271"/>
      <c r="BA1126" s="271"/>
      <c r="BB1126" s="271"/>
      <c r="BC1126" s="271"/>
      <c r="BD1126" s="271"/>
      <c r="BE1126" s="271"/>
      <c r="BF1126" s="271"/>
      <c r="BG1126" s="271"/>
      <c r="BH1126" s="235">
        <f t="shared" si="567"/>
        <v>20000000</v>
      </c>
      <c r="BI1126" s="271"/>
      <c r="BJ1126" s="271"/>
      <c r="BK1126" s="271"/>
      <c r="BL1126" s="271">
        <f>(1+0.03)*AV1126+8240000</f>
        <v>28840000</v>
      </c>
      <c r="BM1126" s="271"/>
      <c r="BN1126" s="271"/>
      <c r="BO1126" s="271"/>
      <c r="BP1126" s="271"/>
      <c r="BQ1126" s="271"/>
      <c r="BR1126" s="271"/>
      <c r="BS1126" s="271"/>
      <c r="BT1126" s="271"/>
      <c r="BU1126" s="271"/>
      <c r="BV1126" s="271"/>
      <c r="BW1126" s="271"/>
      <c r="BX1126" s="235">
        <f t="shared" si="568"/>
        <v>28840000</v>
      </c>
      <c r="BY1126" s="271"/>
      <c r="BZ1126" s="271"/>
      <c r="CA1126" s="271"/>
      <c r="CB1126" s="271">
        <f t="shared" si="573"/>
        <v>29705200</v>
      </c>
      <c r="CC1126" s="271"/>
      <c r="CD1126" s="271"/>
      <c r="CE1126" s="271"/>
      <c r="CF1126" s="271"/>
      <c r="CG1126" s="271"/>
      <c r="CH1126" s="271"/>
      <c r="CI1126" s="271"/>
      <c r="CJ1126" s="271"/>
      <c r="CK1126" s="271"/>
      <c r="CL1126" s="271"/>
      <c r="CM1126" s="271"/>
      <c r="CN1126" s="235">
        <f t="shared" si="569"/>
        <v>29705200</v>
      </c>
      <c r="CO1126" s="271"/>
      <c r="CP1126" s="271"/>
      <c r="CQ1126" s="271"/>
      <c r="CR1126" s="271">
        <f t="shared" si="574"/>
        <v>30596356</v>
      </c>
      <c r="CS1126" s="271"/>
      <c r="CT1126" s="271"/>
      <c r="CU1126" s="271"/>
      <c r="CV1126" s="271"/>
      <c r="CW1126" s="271"/>
      <c r="CX1126" s="271"/>
      <c r="CY1126" s="271"/>
      <c r="CZ1126" s="271"/>
      <c r="DA1126" s="271"/>
      <c r="DB1126" s="271"/>
      <c r="DC1126" s="271"/>
      <c r="DD1126" s="234">
        <f t="shared" si="570"/>
        <v>30596356</v>
      </c>
      <c r="DE1126" s="244">
        <f t="shared" si="571"/>
        <v>109141556</v>
      </c>
    </row>
    <row r="1127" spans="1:109" s="99" customFormat="1" ht="119.1" customHeight="1">
      <c r="A1127" s="103" t="s">
        <v>1259</v>
      </c>
      <c r="B1127" s="279" t="s">
        <v>2051</v>
      </c>
      <c r="C1127" s="279" t="s">
        <v>2208</v>
      </c>
      <c r="D1127" s="279">
        <v>105</v>
      </c>
      <c r="E1127" s="279" t="s">
        <v>2252</v>
      </c>
      <c r="F1127" s="280" t="s">
        <v>2253</v>
      </c>
      <c r="G1127" s="279" t="s">
        <v>2977</v>
      </c>
      <c r="H1127" s="279">
        <v>127</v>
      </c>
      <c r="I1127" s="279" t="s">
        <v>572</v>
      </c>
      <c r="J1127" s="279" t="s">
        <v>677</v>
      </c>
      <c r="K1127" s="279">
        <v>0</v>
      </c>
      <c r="L1127" s="279">
        <v>30</v>
      </c>
      <c r="M1127" s="279" t="s">
        <v>2254</v>
      </c>
      <c r="N1127" s="279" t="s">
        <v>2255</v>
      </c>
      <c r="O1127" s="279" t="s">
        <v>573</v>
      </c>
      <c r="P1127" s="283">
        <v>989</v>
      </c>
      <c r="Q1127" s="279" t="s">
        <v>3816</v>
      </c>
      <c r="R1127" s="279" t="s">
        <v>2259</v>
      </c>
      <c r="S1127" s="279" t="s">
        <v>683</v>
      </c>
      <c r="T1127" s="279">
        <v>1</v>
      </c>
      <c r="U1127" s="267"/>
      <c r="V1127" s="267"/>
      <c r="W1127" s="224">
        <v>0</v>
      </c>
      <c r="X1127" s="267"/>
      <c r="Y1127" s="267"/>
      <c r="Z1127" s="267"/>
      <c r="AA1127" s="267"/>
      <c r="AB1127" s="224">
        <v>0</v>
      </c>
      <c r="AC1127" s="267"/>
      <c r="AD1127" s="267"/>
      <c r="AE1127" s="267"/>
      <c r="AF1127" s="267"/>
      <c r="AG1127" s="224">
        <v>0</v>
      </c>
      <c r="AH1127" s="267"/>
      <c r="AI1127" s="267"/>
      <c r="AJ1127" s="267"/>
      <c r="AK1127" s="267">
        <v>1</v>
      </c>
      <c r="AL1127" s="224">
        <v>1</v>
      </c>
      <c r="AM1127" s="104">
        <v>1</v>
      </c>
      <c r="AN1127" s="103" t="s">
        <v>685</v>
      </c>
      <c r="AO1127" s="103" t="s">
        <v>1212</v>
      </c>
      <c r="AP1127" s="103" t="s">
        <v>1229</v>
      </c>
      <c r="AQ1127" s="103" t="s">
        <v>1207</v>
      </c>
      <c r="AR1127" s="103" t="s">
        <v>951</v>
      </c>
      <c r="AS1127" s="271"/>
      <c r="AT1127" s="271"/>
      <c r="AU1127" s="271"/>
      <c r="AV1127" s="271"/>
      <c r="AW1127" s="271"/>
      <c r="AX1127" s="271"/>
      <c r="AY1127" s="271"/>
      <c r="AZ1127" s="271"/>
      <c r="BA1127" s="271"/>
      <c r="BB1127" s="271"/>
      <c r="BC1127" s="271"/>
      <c r="BD1127" s="271"/>
      <c r="BE1127" s="271"/>
      <c r="BF1127" s="271"/>
      <c r="BG1127" s="271"/>
      <c r="BH1127" s="235">
        <f t="shared" si="567"/>
        <v>0</v>
      </c>
      <c r="BI1127" s="271"/>
      <c r="BJ1127" s="271"/>
      <c r="BK1127" s="271"/>
      <c r="BL1127" s="271"/>
      <c r="BM1127" s="271"/>
      <c r="BN1127" s="271"/>
      <c r="BO1127" s="271"/>
      <c r="BP1127" s="271"/>
      <c r="BQ1127" s="271"/>
      <c r="BR1127" s="271"/>
      <c r="BS1127" s="271"/>
      <c r="BT1127" s="271"/>
      <c r="BU1127" s="271"/>
      <c r="BV1127" s="271"/>
      <c r="BW1127" s="271"/>
      <c r="BX1127" s="235">
        <f t="shared" si="568"/>
        <v>0</v>
      </c>
      <c r="BY1127" s="271"/>
      <c r="BZ1127" s="271"/>
      <c r="CA1127" s="271"/>
      <c r="CB1127" s="271"/>
      <c r="CC1127" s="271"/>
      <c r="CD1127" s="271"/>
      <c r="CE1127" s="271"/>
      <c r="CF1127" s="271"/>
      <c r="CG1127" s="271"/>
      <c r="CH1127" s="271"/>
      <c r="CI1127" s="271"/>
      <c r="CJ1127" s="271"/>
      <c r="CK1127" s="271"/>
      <c r="CL1127" s="271"/>
      <c r="CM1127" s="271"/>
      <c r="CN1127" s="235">
        <f t="shared" si="569"/>
        <v>0</v>
      </c>
      <c r="CO1127" s="271"/>
      <c r="CP1127" s="271"/>
      <c r="CQ1127" s="271"/>
      <c r="CR1127" s="271">
        <v>70000000</v>
      </c>
      <c r="CS1127" s="271"/>
      <c r="CT1127" s="271"/>
      <c r="CU1127" s="271"/>
      <c r="CV1127" s="271"/>
      <c r="CW1127" s="271"/>
      <c r="CX1127" s="271"/>
      <c r="CY1127" s="271"/>
      <c r="CZ1127" s="271"/>
      <c r="DA1127" s="271"/>
      <c r="DB1127" s="271"/>
      <c r="DC1127" s="271"/>
      <c r="DD1127" s="234">
        <f t="shared" si="570"/>
        <v>70000000</v>
      </c>
      <c r="DE1127" s="244">
        <f t="shared" si="571"/>
        <v>70000000</v>
      </c>
    </row>
    <row r="1128" spans="1:109" s="99" customFormat="1" ht="119.1" customHeight="1">
      <c r="A1128" s="103" t="s">
        <v>1259</v>
      </c>
      <c r="B1128" s="279" t="s">
        <v>2051</v>
      </c>
      <c r="C1128" s="279" t="s">
        <v>2208</v>
      </c>
      <c r="D1128" s="279">
        <v>105</v>
      </c>
      <c r="E1128" s="279" t="s">
        <v>2252</v>
      </c>
      <c r="F1128" s="280" t="s">
        <v>2253</v>
      </c>
      <c r="G1128" s="279" t="s">
        <v>2977</v>
      </c>
      <c r="H1128" s="279">
        <v>127</v>
      </c>
      <c r="I1128" s="279" t="s">
        <v>572</v>
      </c>
      <c r="J1128" s="279" t="s">
        <v>677</v>
      </c>
      <c r="K1128" s="279">
        <v>0</v>
      </c>
      <c r="L1128" s="279">
        <v>30</v>
      </c>
      <c r="M1128" s="279" t="s">
        <v>2254</v>
      </c>
      <c r="N1128" s="279" t="s">
        <v>2255</v>
      </c>
      <c r="O1128" s="279" t="s">
        <v>573</v>
      </c>
      <c r="P1128" s="283">
        <v>990</v>
      </c>
      <c r="Q1128" s="279" t="s">
        <v>3263</v>
      </c>
      <c r="R1128" s="279" t="s">
        <v>575</v>
      </c>
      <c r="S1128" s="279" t="s">
        <v>683</v>
      </c>
      <c r="T1128" s="279">
        <v>0</v>
      </c>
      <c r="U1128" s="267"/>
      <c r="V1128" s="267">
        <v>1</v>
      </c>
      <c r="W1128" s="224">
        <v>1</v>
      </c>
      <c r="X1128" s="267"/>
      <c r="Y1128" s="267"/>
      <c r="Z1128" s="267"/>
      <c r="AA1128" s="267"/>
      <c r="AB1128" s="224">
        <v>0</v>
      </c>
      <c r="AC1128" s="267"/>
      <c r="AD1128" s="267"/>
      <c r="AE1128" s="267"/>
      <c r="AF1128" s="267"/>
      <c r="AG1128" s="224">
        <v>0</v>
      </c>
      <c r="AH1128" s="267"/>
      <c r="AI1128" s="267"/>
      <c r="AJ1128" s="267"/>
      <c r="AK1128" s="267"/>
      <c r="AL1128" s="224">
        <v>0</v>
      </c>
      <c r="AM1128" s="104">
        <v>1</v>
      </c>
      <c r="AN1128" s="103" t="s">
        <v>685</v>
      </c>
      <c r="AO1128" s="103" t="s">
        <v>1212</v>
      </c>
      <c r="AP1128" s="103" t="s">
        <v>1229</v>
      </c>
      <c r="AQ1128" s="103" t="s">
        <v>1207</v>
      </c>
      <c r="AR1128" s="103" t="s">
        <v>951</v>
      </c>
      <c r="AS1128" s="271"/>
      <c r="AT1128" s="271"/>
      <c r="AU1128" s="271"/>
      <c r="AV1128" s="271">
        <v>8000000</v>
      </c>
      <c r="AW1128" s="271"/>
      <c r="AX1128" s="271"/>
      <c r="AY1128" s="271"/>
      <c r="AZ1128" s="271"/>
      <c r="BA1128" s="271"/>
      <c r="BB1128" s="271"/>
      <c r="BC1128" s="271"/>
      <c r="BD1128" s="271"/>
      <c r="BE1128" s="271"/>
      <c r="BF1128" s="271"/>
      <c r="BG1128" s="271"/>
      <c r="BH1128" s="235">
        <f t="shared" si="567"/>
        <v>8000000</v>
      </c>
      <c r="BI1128" s="271"/>
      <c r="BJ1128" s="271"/>
      <c r="BK1128" s="271"/>
      <c r="BL1128" s="271"/>
      <c r="BM1128" s="271"/>
      <c r="BN1128" s="271"/>
      <c r="BO1128" s="271"/>
      <c r="BP1128" s="271"/>
      <c r="BQ1128" s="271"/>
      <c r="BR1128" s="271"/>
      <c r="BS1128" s="271"/>
      <c r="BT1128" s="271"/>
      <c r="BU1128" s="271"/>
      <c r="BV1128" s="271"/>
      <c r="BW1128" s="271"/>
      <c r="BX1128" s="235">
        <f t="shared" si="568"/>
        <v>0</v>
      </c>
      <c r="BY1128" s="271"/>
      <c r="BZ1128" s="271"/>
      <c r="CA1128" s="271"/>
      <c r="CB1128" s="271"/>
      <c r="CC1128" s="271"/>
      <c r="CD1128" s="271"/>
      <c r="CE1128" s="271"/>
      <c r="CF1128" s="271"/>
      <c r="CG1128" s="271"/>
      <c r="CH1128" s="271"/>
      <c r="CI1128" s="271"/>
      <c r="CJ1128" s="271"/>
      <c r="CK1128" s="271"/>
      <c r="CL1128" s="271"/>
      <c r="CM1128" s="271"/>
      <c r="CN1128" s="235">
        <f t="shared" si="569"/>
        <v>0</v>
      </c>
      <c r="CO1128" s="271"/>
      <c r="CP1128" s="271"/>
      <c r="CQ1128" s="271"/>
      <c r="CR1128" s="271"/>
      <c r="CS1128" s="271"/>
      <c r="CT1128" s="271"/>
      <c r="CU1128" s="271"/>
      <c r="CV1128" s="271"/>
      <c r="CW1128" s="271"/>
      <c r="CX1128" s="271"/>
      <c r="CY1128" s="271"/>
      <c r="CZ1128" s="271"/>
      <c r="DA1128" s="271"/>
      <c r="DB1128" s="271"/>
      <c r="DC1128" s="271"/>
      <c r="DD1128" s="234">
        <f t="shared" si="570"/>
        <v>0</v>
      </c>
      <c r="DE1128" s="244">
        <f t="shared" si="571"/>
        <v>8000000</v>
      </c>
    </row>
    <row r="1129" spans="1:109" s="99" customFormat="1" ht="119.1" customHeight="1">
      <c r="A1129" s="103" t="s">
        <v>1259</v>
      </c>
      <c r="B1129" s="279" t="s">
        <v>2051</v>
      </c>
      <c r="C1129" s="279" t="s">
        <v>2208</v>
      </c>
      <c r="D1129" s="279">
        <v>105</v>
      </c>
      <c r="E1129" s="279" t="s">
        <v>2252</v>
      </c>
      <c r="F1129" s="280" t="s">
        <v>2253</v>
      </c>
      <c r="G1129" s="279" t="s">
        <v>2977</v>
      </c>
      <c r="H1129" s="279">
        <v>127</v>
      </c>
      <c r="I1129" s="279" t="s">
        <v>572</v>
      </c>
      <c r="J1129" s="279" t="s">
        <v>677</v>
      </c>
      <c r="K1129" s="279">
        <v>0</v>
      </c>
      <c r="L1129" s="279">
        <v>30</v>
      </c>
      <c r="M1129" s="279" t="s">
        <v>2254</v>
      </c>
      <c r="N1129" s="279" t="s">
        <v>2255</v>
      </c>
      <c r="O1129" s="279" t="s">
        <v>573</v>
      </c>
      <c r="P1129" s="283">
        <v>991</v>
      </c>
      <c r="Q1129" s="279" t="s">
        <v>2980</v>
      </c>
      <c r="R1129" s="279" t="s">
        <v>2260</v>
      </c>
      <c r="S1129" s="279" t="s">
        <v>683</v>
      </c>
      <c r="T1129" s="279">
        <v>0</v>
      </c>
      <c r="U1129" s="267"/>
      <c r="V1129" s="267">
        <v>1</v>
      </c>
      <c r="W1129" s="224">
        <v>1</v>
      </c>
      <c r="X1129" s="267"/>
      <c r="Y1129" s="267"/>
      <c r="Z1129" s="267"/>
      <c r="AA1129" s="267">
        <v>3</v>
      </c>
      <c r="AB1129" s="224">
        <v>3</v>
      </c>
      <c r="AC1129" s="267"/>
      <c r="AD1129" s="267"/>
      <c r="AE1129" s="267"/>
      <c r="AF1129" s="267">
        <v>4</v>
      </c>
      <c r="AG1129" s="224">
        <v>4</v>
      </c>
      <c r="AH1129" s="267"/>
      <c r="AI1129" s="267"/>
      <c r="AJ1129" s="267"/>
      <c r="AK1129" s="267">
        <v>4</v>
      </c>
      <c r="AL1129" s="224">
        <v>4</v>
      </c>
      <c r="AM1129" s="104">
        <v>12</v>
      </c>
      <c r="AN1129" s="103" t="s">
        <v>685</v>
      </c>
      <c r="AO1129" s="103" t="s">
        <v>1212</v>
      </c>
      <c r="AP1129" s="103" t="s">
        <v>1229</v>
      </c>
      <c r="AQ1129" s="103" t="s">
        <v>1207</v>
      </c>
      <c r="AR1129" s="103" t="s">
        <v>951</v>
      </c>
      <c r="AS1129" s="271"/>
      <c r="AT1129" s="271"/>
      <c r="AU1129" s="271"/>
      <c r="AV1129" s="271">
        <v>30000000</v>
      </c>
      <c r="AW1129" s="271"/>
      <c r="AX1129" s="271"/>
      <c r="AY1129" s="271"/>
      <c r="AZ1129" s="271"/>
      <c r="BA1129" s="271"/>
      <c r="BB1129" s="271"/>
      <c r="BC1129" s="271"/>
      <c r="BD1129" s="271"/>
      <c r="BE1129" s="271"/>
      <c r="BF1129" s="271"/>
      <c r="BG1129" s="271"/>
      <c r="BH1129" s="235">
        <f t="shared" si="567"/>
        <v>30000000</v>
      </c>
      <c r="BI1129" s="271"/>
      <c r="BJ1129" s="271"/>
      <c r="BK1129" s="271"/>
      <c r="BL1129" s="271">
        <f t="shared" si="572"/>
        <v>30900000</v>
      </c>
      <c r="BM1129" s="271"/>
      <c r="BN1129" s="271"/>
      <c r="BO1129" s="271"/>
      <c r="BP1129" s="271"/>
      <c r="BQ1129" s="271"/>
      <c r="BR1129" s="271"/>
      <c r="BS1129" s="271"/>
      <c r="BT1129" s="271"/>
      <c r="BU1129" s="271"/>
      <c r="BV1129" s="271"/>
      <c r="BW1129" s="271"/>
      <c r="BX1129" s="235">
        <f t="shared" si="568"/>
        <v>30900000</v>
      </c>
      <c r="BY1129" s="271"/>
      <c r="BZ1129" s="271"/>
      <c r="CA1129" s="271"/>
      <c r="CB1129" s="271">
        <f t="shared" si="573"/>
        <v>31827000</v>
      </c>
      <c r="CC1129" s="271"/>
      <c r="CD1129" s="271"/>
      <c r="CE1129" s="271"/>
      <c r="CF1129" s="271"/>
      <c r="CG1129" s="271"/>
      <c r="CH1129" s="271"/>
      <c r="CI1129" s="271"/>
      <c r="CJ1129" s="271"/>
      <c r="CK1129" s="271"/>
      <c r="CL1129" s="271"/>
      <c r="CM1129" s="271"/>
      <c r="CN1129" s="235">
        <f t="shared" si="569"/>
        <v>31827000</v>
      </c>
      <c r="CO1129" s="271"/>
      <c r="CP1129" s="271"/>
      <c r="CQ1129" s="271"/>
      <c r="CR1129" s="271">
        <f t="shared" si="574"/>
        <v>32781810</v>
      </c>
      <c r="CS1129" s="271"/>
      <c r="CT1129" s="271"/>
      <c r="CU1129" s="271"/>
      <c r="CV1129" s="271"/>
      <c r="CW1129" s="271"/>
      <c r="CX1129" s="271"/>
      <c r="CY1129" s="271"/>
      <c r="CZ1129" s="271"/>
      <c r="DA1129" s="271"/>
      <c r="DB1129" s="271"/>
      <c r="DC1129" s="271"/>
      <c r="DD1129" s="234">
        <f t="shared" si="570"/>
        <v>32781810</v>
      </c>
      <c r="DE1129" s="244">
        <f t="shared" si="571"/>
        <v>125508810</v>
      </c>
    </row>
    <row r="1130" spans="1:109" s="99" customFormat="1" ht="119.1" customHeight="1">
      <c r="A1130" s="103" t="s">
        <v>1259</v>
      </c>
      <c r="B1130" s="279" t="s">
        <v>2051</v>
      </c>
      <c r="C1130" s="279" t="s">
        <v>2208</v>
      </c>
      <c r="D1130" s="279">
        <v>105</v>
      </c>
      <c r="E1130" s="279" t="s">
        <v>2252</v>
      </c>
      <c r="F1130" s="280" t="s">
        <v>2253</v>
      </c>
      <c r="G1130" s="279" t="s">
        <v>2977</v>
      </c>
      <c r="H1130" s="279">
        <v>127</v>
      </c>
      <c r="I1130" s="279" t="s">
        <v>572</v>
      </c>
      <c r="J1130" s="279" t="s">
        <v>677</v>
      </c>
      <c r="K1130" s="279">
        <v>0</v>
      </c>
      <c r="L1130" s="279">
        <v>30</v>
      </c>
      <c r="M1130" s="279" t="s">
        <v>2254</v>
      </c>
      <c r="N1130" s="279" t="s">
        <v>2255</v>
      </c>
      <c r="O1130" s="279" t="s">
        <v>573</v>
      </c>
      <c r="P1130" s="283">
        <v>992</v>
      </c>
      <c r="Q1130" s="279" t="s">
        <v>3264</v>
      </c>
      <c r="R1130" s="279" t="s">
        <v>2261</v>
      </c>
      <c r="S1130" s="279" t="s">
        <v>683</v>
      </c>
      <c r="T1130" s="279">
        <v>1</v>
      </c>
      <c r="U1130" s="267">
        <v>1</v>
      </c>
      <c r="V1130" s="267">
        <v>1</v>
      </c>
      <c r="W1130" s="224">
        <v>1</v>
      </c>
      <c r="X1130" s="267">
        <v>1</v>
      </c>
      <c r="Y1130" s="267">
        <v>1</v>
      </c>
      <c r="Z1130" s="267">
        <v>1</v>
      </c>
      <c r="AA1130" s="267">
        <v>1</v>
      </c>
      <c r="AB1130" s="224">
        <v>1</v>
      </c>
      <c r="AC1130" s="267">
        <v>1</v>
      </c>
      <c r="AD1130" s="267">
        <v>1</v>
      </c>
      <c r="AE1130" s="267">
        <v>1</v>
      </c>
      <c r="AF1130" s="267">
        <v>1</v>
      </c>
      <c r="AG1130" s="224">
        <v>1</v>
      </c>
      <c r="AH1130" s="267">
        <v>1</v>
      </c>
      <c r="AI1130" s="267">
        <v>1</v>
      </c>
      <c r="AJ1130" s="267">
        <v>1</v>
      </c>
      <c r="AK1130" s="267">
        <v>1</v>
      </c>
      <c r="AL1130" s="224">
        <v>1</v>
      </c>
      <c r="AM1130" s="104">
        <v>1</v>
      </c>
      <c r="AN1130" s="103" t="s">
        <v>686</v>
      </c>
      <c r="AO1130" s="103" t="s">
        <v>1212</v>
      </c>
      <c r="AP1130" s="103" t="s">
        <v>1229</v>
      </c>
      <c r="AQ1130" s="103" t="s">
        <v>1207</v>
      </c>
      <c r="AR1130" s="103" t="s">
        <v>951</v>
      </c>
      <c r="AS1130" s="271"/>
      <c r="AT1130" s="271"/>
      <c r="AU1130" s="271"/>
      <c r="AV1130" s="271">
        <v>28000000</v>
      </c>
      <c r="AW1130" s="271"/>
      <c r="AX1130" s="271"/>
      <c r="AY1130" s="271"/>
      <c r="AZ1130" s="271"/>
      <c r="BA1130" s="271"/>
      <c r="BB1130" s="271"/>
      <c r="BC1130" s="271"/>
      <c r="BD1130" s="271"/>
      <c r="BE1130" s="271"/>
      <c r="BF1130" s="271"/>
      <c r="BG1130" s="271"/>
      <c r="BH1130" s="235">
        <f t="shared" si="567"/>
        <v>28000000</v>
      </c>
      <c r="BI1130" s="271"/>
      <c r="BJ1130" s="271"/>
      <c r="BK1130" s="271"/>
      <c r="BL1130" s="271">
        <f t="shared" si="572"/>
        <v>28840000</v>
      </c>
      <c r="BM1130" s="271"/>
      <c r="BN1130" s="271"/>
      <c r="BO1130" s="271"/>
      <c r="BP1130" s="271"/>
      <c r="BQ1130" s="271"/>
      <c r="BR1130" s="271"/>
      <c r="BS1130" s="271"/>
      <c r="BT1130" s="271"/>
      <c r="BU1130" s="271"/>
      <c r="BV1130" s="271"/>
      <c r="BW1130" s="271"/>
      <c r="BX1130" s="235">
        <f t="shared" si="568"/>
        <v>28840000</v>
      </c>
      <c r="BY1130" s="271"/>
      <c r="BZ1130" s="271"/>
      <c r="CA1130" s="271"/>
      <c r="CB1130" s="271">
        <f t="shared" si="573"/>
        <v>29705200</v>
      </c>
      <c r="CC1130" s="271"/>
      <c r="CD1130" s="271"/>
      <c r="CE1130" s="271"/>
      <c r="CF1130" s="271"/>
      <c r="CG1130" s="271"/>
      <c r="CH1130" s="271"/>
      <c r="CI1130" s="271"/>
      <c r="CJ1130" s="271"/>
      <c r="CK1130" s="271"/>
      <c r="CL1130" s="271"/>
      <c r="CM1130" s="271"/>
      <c r="CN1130" s="235">
        <f t="shared" si="569"/>
        <v>29705200</v>
      </c>
      <c r="CO1130" s="271"/>
      <c r="CP1130" s="271"/>
      <c r="CQ1130" s="271"/>
      <c r="CR1130" s="271">
        <f t="shared" si="574"/>
        <v>30596356</v>
      </c>
      <c r="CS1130" s="271"/>
      <c r="CT1130" s="271"/>
      <c r="CU1130" s="271"/>
      <c r="CV1130" s="271"/>
      <c r="CW1130" s="271"/>
      <c r="CX1130" s="271"/>
      <c r="CY1130" s="271"/>
      <c r="CZ1130" s="271"/>
      <c r="DA1130" s="271"/>
      <c r="DB1130" s="271"/>
      <c r="DC1130" s="271"/>
      <c r="DD1130" s="234">
        <f t="shared" si="570"/>
        <v>30596356</v>
      </c>
      <c r="DE1130" s="244">
        <f t="shared" si="571"/>
        <v>117141556</v>
      </c>
    </row>
    <row r="1131" spans="1:109" s="99" customFormat="1" ht="119.1" customHeight="1">
      <c r="A1131" s="103" t="s">
        <v>1259</v>
      </c>
      <c r="B1131" s="279" t="s">
        <v>2051</v>
      </c>
      <c r="C1131" s="279" t="s">
        <v>2208</v>
      </c>
      <c r="D1131" s="279">
        <v>105</v>
      </c>
      <c r="E1131" s="279" t="s">
        <v>2252</v>
      </c>
      <c r="F1131" s="280" t="s">
        <v>2253</v>
      </c>
      <c r="G1131" s="279" t="s">
        <v>2977</v>
      </c>
      <c r="H1131" s="279">
        <v>127</v>
      </c>
      <c r="I1131" s="279" t="s">
        <v>572</v>
      </c>
      <c r="J1131" s="279" t="s">
        <v>677</v>
      </c>
      <c r="K1131" s="279">
        <v>0</v>
      </c>
      <c r="L1131" s="279">
        <v>30</v>
      </c>
      <c r="M1131" s="279" t="s">
        <v>2254</v>
      </c>
      <c r="N1131" s="279" t="s">
        <v>2255</v>
      </c>
      <c r="O1131" s="279" t="s">
        <v>573</v>
      </c>
      <c r="P1131" s="283">
        <v>993</v>
      </c>
      <c r="Q1131" s="279" t="s">
        <v>3265</v>
      </c>
      <c r="R1131" s="279" t="s">
        <v>2262</v>
      </c>
      <c r="S1131" s="279" t="s">
        <v>683</v>
      </c>
      <c r="T1131" s="279">
        <v>1</v>
      </c>
      <c r="U1131" s="267">
        <v>1</v>
      </c>
      <c r="V1131" s="267">
        <v>1</v>
      </c>
      <c r="W1131" s="224">
        <v>1</v>
      </c>
      <c r="X1131" s="267">
        <v>1</v>
      </c>
      <c r="Y1131" s="267">
        <v>1</v>
      </c>
      <c r="Z1131" s="267">
        <v>1</v>
      </c>
      <c r="AA1131" s="267">
        <v>1</v>
      </c>
      <c r="AB1131" s="224">
        <v>1</v>
      </c>
      <c r="AC1131" s="267">
        <v>1</v>
      </c>
      <c r="AD1131" s="267">
        <v>1</v>
      </c>
      <c r="AE1131" s="267">
        <v>1</v>
      </c>
      <c r="AF1131" s="267">
        <v>1</v>
      </c>
      <c r="AG1131" s="224">
        <v>1</v>
      </c>
      <c r="AH1131" s="267">
        <v>1</v>
      </c>
      <c r="AI1131" s="267">
        <v>1</v>
      </c>
      <c r="AJ1131" s="267">
        <v>1</v>
      </c>
      <c r="AK1131" s="267">
        <v>1</v>
      </c>
      <c r="AL1131" s="224">
        <v>1</v>
      </c>
      <c r="AM1131" s="104">
        <v>1</v>
      </c>
      <c r="AN1131" s="103" t="s">
        <v>686</v>
      </c>
      <c r="AO1131" s="103" t="s">
        <v>1212</v>
      </c>
      <c r="AP1131" s="103" t="s">
        <v>1229</v>
      </c>
      <c r="AQ1131" s="103" t="s">
        <v>1207</v>
      </c>
      <c r="AR1131" s="103" t="s">
        <v>951</v>
      </c>
      <c r="AS1131" s="271"/>
      <c r="AT1131" s="271"/>
      <c r="AU1131" s="271"/>
      <c r="AV1131" s="271">
        <v>17000000</v>
      </c>
      <c r="AW1131" s="271"/>
      <c r="AX1131" s="271"/>
      <c r="AY1131" s="271"/>
      <c r="AZ1131" s="271"/>
      <c r="BA1131" s="271"/>
      <c r="BB1131" s="271"/>
      <c r="BC1131" s="271"/>
      <c r="BD1131" s="271"/>
      <c r="BE1131" s="271"/>
      <c r="BF1131" s="271"/>
      <c r="BG1131" s="271"/>
      <c r="BH1131" s="235">
        <f t="shared" si="567"/>
        <v>17000000</v>
      </c>
      <c r="BI1131" s="271"/>
      <c r="BJ1131" s="271"/>
      <c r="BK1131" s="271"/>
      <c r="BL1131" s="271">
        <f t="shared" si="572"/>
        <v>17510000</v>
      </c>
      <c r="BM1131" s="271"/>
      <c r="BN1131" s="271"/>
      <c r="BO1131" s="271"/>
      <c r="BP1131" s="271"/>
      <c r="BQ1131" s="271"/>
      <c r="BR1131" s="271"/>
      <c r="BS1131" s="271"/>
      <c r="BT1131" s="271"/>
      <c r="BU1131" s="271"/>
      <c r="BV1131" s="271"/>
      <c r="BW1131" s="271"/>
      <c r="BX1131" s="235">
        <f t="shared" si="568"/>
        <v>17510000</v>
      </c>
      <c r="BY1131" s="271"/>
      <c r="BZ1131" s="271"/>
      <c r="CA1131" s="271"/>
      <c r="CB1131" s="271">
        <f t="shared" si="573"/>
        <v>18035300</v>
      </c>
      <c r="CC1131" s="271"/>
      <c r="CD1131" s="271"/>
      <c r="CE1131" s="271"/>
      <c r="CF1131" s="271"/>
      <c r="CG1131" s="271"/>
      <c r="CH1131" s="271"/>
      <c r="CI1131" s="271"/>
      <c r="CJ1131" s="271"/>
      <c r="CK1131" s="271"/>
      <c r="CL1131" s="271"/>
      <c r="CM1131" s="271"/>
      <c r="CN1131" s="235">
        <f t="shared" si="569"/>
        <v>18035300</v>
      </c>
      <c r="CO1131" s="271"/>
      <c r="CP1131" s="271"/>
      <c r="CQ1131" s="271"/>
      <c r="CR1131" s="271">
        <f t="shared" si="574"/>
        <v>18576359</v>
      </c>
      <c r="CS1131" s="271"/>
      <c r="CT1131" s="271"/>
      <c r="CU1131" s="271"/>
      <c r="CV1131" s="271"/>
      <c r="CW1131" s="271"/>
      <c r="CX1131" s="271"/>
      <c r="CY1131" s="271"/>
      <c r="CZ1131" s="271"/>
      <c r="DA1131" s="271"/>
      <c r="DB1131" s="271"/>
      <c r="DC1131" s="271"/>
      <c r="DD1131" s="234">
        <f t="shared" si="570"/>
        <v>18576359</v>
      </c>
      <c r="DE1131" s="244">
        <f t="shared" si="571"/>
        <v>71121659</v>
      </c>
    </row>
    <row r="1132" spans="1:109" s="99" customFormat="1" ht="119.1" customHeight="1">
      <c r="A1132" s="103" t="s">
        <v>1259</v>
      </c>
      <c r="B1132" s="279" t="s">
        <v>2051</v>
      </c>
      <c r="C1132" s="279" t="s">
        <v>2208</v>
      </c>
      <c r="D1132" s="279">
        <v>105</v>
      </c>
      <c r="E1132" s="279" t="s">
        <v>2252</v>
      </c>
      <c r="F1132" s="280" t="s">
        <v>2253</v>
      </c>
      <c r="G1132" s="279" t="s">
        <v>2977</v>
      </c>
      <c r="H1132" s="279">
        <v>127</v>
      </c>
      <c r="I1132" s="279" t="s">
        <v>572</v>
      </c>
      <c r="J1132" s="279" t="s">
        <v>677</v>
      </c>
      <c r="K1132" s="279">
        <v>0</v>
      </c>
      <c r="L1132" s="279">
        <v>30</v>
      </c>
      <c r="M1132" s="279" t="s">
        <v>2254</v>
      </c>
      <c r="N1132" s="279" t="s">
        <v>2255</v>
      </c>
      <c r="O1132" s="279" t="s">
        <v>573</v>
      </c>
      <c r="P1132" s="283">
        <v>994</v>
      </c>
      <c r="Q1132" s="279" t="s">
        <v>3786</v>
      </c>
      <c r="R1132" s="279" t="s">
        <v>2262</v>
      </c>
      <c r="S1132" s="279" t="s">
        <v>683</v>
      </c>
      <c r="T1132" s="279">
        <v>1</v>
      </c>
      <c r="U1132" s="267"/>
      <c r="V1132" s="267">
        <v>1</v>
      </c>
      <c r="W1132" s="224">
        <v>1</v>
      </c>
      <c r="X1132" s="267">
        <v>1</v>
      </c>
      <c r="Y1132" s="267"/>
      <c r="Z1132" s="267">
        <v>1</v>
      </c>
      <c r="AA1132" s="267"/>
      <c r="AB1132" s="224">
        <v>2</v>
      </c>
      <c r="AC1132" s="267"/>
      <c r="AD1132" s="267"/>
      <c r="AE1132" s="267"/>
      <c r="AF1132" s="267"/>
      <c r="AG1132" s="224">
        <v>0</v>
      </c>
      <c r="AH1132" s="267">
        <v>1</v>
      </c>
      <c r="AI1132" s="267"/>
      <c r="AJ1132" s="267"/>
      <c r="AK1132" s="267"/>
      <c r="AL1132" s="224">
        <v>1</v>
      </c>
      <c r="AM1132" s="104">
        <v>4</v>
      </c>
      <c r="AN1132" s="103" t="s">
        <v>685</v>
      </c>
      <c r="AO1132" s="103" t="s">
        <v>1212</v>
      </c>
      <c r="AP1132" s="103" t="s">
        <v>1229</v>
      </c>
      <c r="AQ1132" s="103" t="s">
        <v>1207</v>
      </c>
      <c r="AR1132" s="103" t="s">
        <v>951</v>
      </c>
      <c r="AS1132" s="271"/>
      <c r="AT1132" s="271"/>
      <c r="AU1132" s="271"/>
      <c r="AV1132" s="271">
        <v>36000000</v>
      </c>
      <c r="AW1132" s="271"/>
      <c r="AX1132" s="271"/>
      <c r="AY1132" s="271"/>
      <c r="AZ1132" s="271"/>
      <c r="BA1132" s="271"/>
      <c r="BB1132" s="271"/>
      <c r="BC1132" s="271"/>
      <c r="BD1132" s="271"/>
      <c r="BE1132" s="271"/>
      <c r="BF1132" s="271"/>
      <c r="BG1132" s="271"/>
      <c r="BH1132" s="235">
        <f t="shared" si="567"/>
        <v>36000000</v>
      </c>
      <c r="BI1132" s="271"/>
      <c r="BJ1132" s="271"/>
      <c r="BK1132" s="271"/>
      <c r="BL1132" s="271">
        <f t="shared" si="572"/>
        <v>37080000</v>
      </c>
      <c r="BM1132" s="271"/>
      <c r="BN1132" s="271"/>
      <c r="BO1132" s="271"/>
      <c r="BP1132" s="271"/>
      <c r="BQ1132" s="271"/>
      <c r="BR1132" s="271"/>
      <c r="BS1132" s="271"/>
      <c r="BT1132" s="271"/>
      <c r="BU1132" s="271"/>
      <c r="BV1132" s="271"/>
      <c r="BW1132" s="271"/>
      <c r="BX1132" s="235">
        <f t="shared" si="568"/>
        <v>37080000</v>
      </c>
      <c r="BY1132" s="271"/>
      <c r="BZ1132" s="271"/>
      <c r="CA1132" s="271"/>
      <c r="CB1132" s="271"/>
      <c r="CC1132" s="271"/>
      <c r="CD1132" s="271"/>
      <c r="CE1132" s="271"/>
      <c r="CF1132" s="271"/>
      <c r="CG1132" s="271"/>
      <c r="CH1132" s="271"/>
      <c r="CI1132" s="271"/>
      <c r="CJ1132" s="271"/>
      <c r="CK1132" s="271"/>
      <c r="CL1132" s="271"/>
      <c r="CM1132" s="271"/>
      <c r="CN1132" s="235">
        <f t="shared" si="569"/>
        <v>0</v>
      </c>
      <c r="CO1132" s="271"/>
      <c r="CP1132" s="271"/>
      <c r="CQ1132" s="271"/>
      <c r="CR1132" s="271">
        <v>37080000</v>
      </c>
      <c r="CS1132" s="271"/>
      <c r="CT1132" s="271"/>
      <c r="CU1132" s="271"/>
      <c r="CV1132" s="271"/>
      <c r="CW1132" s="271"/>
      <c r="CX1132" s="271"/>
      <c r="CY1132" s="271"/>
      <c r="CZ1132" s="271"/>
      <c r="DA1132" s="271"/>
      <c r="DB1132" s="271"/>
      <c r="DC1132" s="271"/>
      <c r="DD1132" s="234">
        <f t="shared" si="570"/>
        <v>37080000</v>
      </c>
      <c r="DE1132" s="244">
        <f t="shared" si="571"/>
        <v>110160000</v>
      </c>
    </row>
    <row r="1133" spans="1:109" s="99" customFormat="1" ht="119.1" customHeight="1">
      <c r="A1133" s="120" t="s">
        <v>1259</v>
      </c>
      <c r="B1133" s="281" t="s">
        <v>2051</v>
      </c>
      <c r="C1133" s="281" t="s">
        <v>2208</v>
      </c>
      <c r="D1133" s="281">
        <v>105</v>
      </c>
      <c r="E1133" s="281" t="s">
        <v>2252</v>
      </c>
      <c r="F1133" s="282" t="s">
        <v>2253</v>
      </c>
      <c r="G1133" s="281" t="s">
        <v>2977</v>
      </c>
      <c r="H1133" s="281">
        <v>127</v>
      </c>
      <c r="I1133" s="281" t="s">
        <v>572</v>
      </c>
      <c r="J1133" s="281" t="s">
        <v>677</v>
      </c>
      <c r="K1133" s="281">
        <v>0</v>
      </c>
      <c r="L1133" s="281">
        <v>30</v>
      </c>
      <c r="M1133" s="281" t="s">
        <v>2254</v>
      </c>
      <c r="N1133" s="281" t="s">
        <v>2255</v>
      </c>
      <c r="O1133" s="281" t="s">
        <v>573</v>
      </c>
      <c r="P1133" s="283">
        <v>995</v>
      </c>
      <c r="Q1133" s="281" t="s">
        <v>2981</v>
      </c>
      <c r="R1133" s="281" t="s">
        <v>2263</v>
      </c>
      <c r="S1133" s="281" t="s">
        <v>2211</v>
      </c>
      <c r="T1133" s="281">
        <v>0</v>
      </c>
      <c r="U1133" s="318"/>
      <c r="V1133" s="318"/>
      <c r="W1133" s="229">
        <v>0</v>
      </c>
      <c r="X1133" s="318"/>
      <c r="Y1133" s="318"/>
      <c r="Z1133" s="318"/>
      <c r="AA1133" s="318">
        <v>400000000</v>
      </c>
      <c r="AB1133" s="229">
        <v>400000000</v>
      </c>
      <c r="AC1133" s="318"/>
      <c r="AD1133" s="318">
        <v>100000000</v>
      </c>
      <c r="AE1133" s="318">
        <v>200000000</v>
      </c>
      <c r="AF1133" s="318">
        <v>200000000</v>
      </c>
      <c r="AG1133" s="229">
        <v>500000000</v>
      </c>
      <c r="AH1133" s="318">
        <v>100000000</v>
      </c>
      <c r="AI1133" s="318">
        <v>200000000</v>
      </c>
      <c r="AJ1133" s="318">
        <v>300000000</v>
      </c>
      <c r="AK1133" s="318"/>
      <c r="AL1133" s="229">
        <v>600000000</v>
      </c>
      <c r="AM1133" s="123">
        <v>1500000000</v>
      </c>
      <c r="AN1133" s="120" t="s">
        <v>685</v>
      </c>
      <c r="AO1133" s="120" t="s">
        <v>1212</v>
      </c>
      <c r="AP1133" s="120" t="s">
        <v>1229</v>
      </c>
      <c r="AQ1133" s="120" t="s">
        <v>1207</v>
      </c>
      <c r="AR1133" s="120" t="s">
        <v>951</v>
      </c>
      <c r="AS1133" s="276"/>
      <c r="AT1133" s="276"/>
      <c r="AU1133" s="276"/>
      <c r="AV1133" s="276"/>
      <c r="AW1133" s="276"/>
      <c r="AX1133" s="276"/>
      <c r="AY1133" s="276"/>
      <c r="AZ1133" s="276"/>
      <c r="BA1133" s="276"/>
      <c r="BB1133" s="276"/>
      <c r="BC1133" s="276"/>
      <c r="BD1133" s="276"/>
      <c r="BE1133" s="276"/>
      <c r="BF1133" s="276"/>
      <c r="BG1133" s="276"/>
      <c r="BH1133" s="236">
        <f t="shared" si="567"/>
        <v>0</v>
      </c>
      <c r="BI1133" s="276"/>
      <c r="BJ1133" s="276"/>
      <c r="BK1133" s="276"/>
      <c r="BL1133" s="276">
        <f>122000000*(1+0.03)</f>
        <v>125660000</v>
      </c>
      <c r="BM1133" s="276"/>
      <c r="BN1133" s="276"/>
      <c r="BO1133" s="276"/>
      <c r="BP1133" s="276"/>
      <c r="BQ1133" s="276"/>
      <c r="BR1133" s="276"/>
      <c r="BS1133" s="276"/>
      <c r="BT1133" s="276"/>
      <c r="BU1133" s="276"/>
      <c r="BV1133" s="276"/>
      <c r="BW1133" s="276"/>
      <c r="BX1133" s="236">
        <f t="shared" si="568"/>
        <v>125660000</v>
      </c>
      <c r="BY1133" s="276"/>
      <c r="BZ1133" s="276"/>
      <c r="CA1133" s="276"/>
      <c r="CB1133" s="276">
        <f>(1+0.03)*BL1133+38192400.1</f>
        <v>167622200.09999999</v>
      </c>
      <c r="CC1133" s="276"/>
      <c r="CD1133" s="276"/>
      <c r="CE1133" s="276"/>
      <c r="CF1133" s="276"/>
      <c r="CG1133" s="276"/>
      <c r="CH1133" s="276"/>
      <c r="CI1133" s="276"/>
      <c r="CJ1133" s="276"/>
      <c r="CK1133" s="276"/>
      <c r="CL1133" s="276"/>
      <c r="CM1133" s="276"/>
      <c r="CN1133" s="236">
        <f t="shared" si="569"/>
        <v>167622200.09999999</v>
      </c>
      <c r="CO1133" s="276"/>
      <c r="CP1133" s="276"/>
      <c r="CQ1133" s="276"/>
      <c r="CR1133" s="276">
        <f>(1+0.03)*CB1133-37080000</f>
        <v>135570866.10299999</v>
      </c>
      <c r="CS1133" s="276"/>
      <c r="CT1133" s="276"/>
      <c r="CU1133" s="276"/>
      <c r="CV1133" s="276"/>
      <c r="CW1133" s="276"/>
      <c r="CX1133" s="276"/>
      <c r="CY1133" s="276"/>
      <c r="CZ1133" s="276"/>
      <c r="DA1133" s="276"/>
      <c r="DB1133" s="276"/>
      <c r="DC1133" s="276"/>
      <c r="DD1133" s="240">
        <f t="shared" si="570"/>
        <v>135570866.10299999</v>
      </c>
      <c r="DE1133" s="245">
        <f t="shared" si="571"/>
        <v>428853066.20299995</v>
      </c>
    </row>
    <row r="1134" spans="1:109" s="46" customFormat="1" ht="65.099999999999994" customHeight="1">
      <c r="A1134" s="134" t="s">
        <v>1259</v>
      </c>
      <c r="B1134" s="134" t="s">
        <v>2051</v>
      </c>
      <c r="C1134" s="134" t="s">
        <v>2208</v>
      </c>
      <c r="D1134" s="148">
        <v>105</v>
      </c>
      <c r="E1134" s="148" t="s">
        <v>2252</v>
      </c>
      <c r="F1134" s="149"/>
      <c r="G1134" s="150"/>
      <c r="H1134" s="151"/>
      <c r="I1134" s="151"/>
      <c r="J1134" s="151"/>
      <c r="K1134" s="152"/>
      <c r="L1134" s="151"/>
      <c r="M1134" s="151"/>
      <c r="N1134" s="151"/>
      <c r="O1134" s="151"/>
      <c r="P1134" s="151"/>
      <c r="Q1134" s="150"/>
      <c r="R1134" s="153"/>
      <c r="S1134" s="151"/>
      <c r="T1134" s="151"/>
      <c r="U1134" s="154"/>
      <c r="V1134" s="154"/>
      <c r="W1134" s="152"/>
      <c r="X1134" s="154"/>
      <c r="Y1134" s="154"/>
      <c r="Z1134" s="154"/>
      <c r="AA1134" s="154"/>
      <c r="AB1134" s="152"/>
      <c r="AC1134" s="154"/>
      <c r="AD1134" s="154"/>
      <c r="AE1134" s="154"/>
      <c r="AF1134" s="154"/>
      <c r="AG1134" s="152"/>
      <c r="AH1134" s="154"/>
      <c r="AI1134" s="154"/>
      <c r="AJ1134" s="154"/>
      <c r="AK1134" s="154"/>
      <c r="AL1134" s="152"/>
      <c r="AM1134" s="155"/>
      <c r="AN1134" s="156"/>
      <c r="AO1134" s="156"/>
      <c r="AP1134" s="157"/>
      <c r="AQ1134" s="157"/>
      <c r="AR1134" s="158"/>
      <c r="AS1134" s="132">
        <f>SUM(AS1121:AS1133)</f>
        <v>0</v>
      </c>
      <c r="AT1134" s="132">
        <f t="shared" ref="AT1134:DE1134" si="575">SUM(AT1121:AT1133)</f>
        <v>0</v>
      </c>
      <c r="AU1134" s="132">
        <f t="shared" si="575"/>
        <v>0</v>
      </c>
      <c r="AV1134" s="132">
        <f t="shared" si="575"/>
        <v>1112211000</v>
      </c>
      <c r="AW1134" s="132">
        <f t="shared" si="575"/>
        <v>0</v>
      </c>
      <c r="AX1134" s="132">
        <f t="shared" si="575"/>
        <v>0</v>
      </c>
      <c r="AY1134" s="132">
        <f t="shared" si="575"/>
        <v>0</v>
      </c>
      <c r="AZ1134" s="132">
        <f t="shared" si="575"/>
        <v>0</v>
      </c>
      <c r="BA1134" s="132">
        <f t="shared" si="575"/>
        <v>0</v>
      </c>
      <c r="BB1134" s="132">
        <f t="shared" si="575"/>
        <v>0</v>
      </c>
      <c r="BC1134" s="132">
        <f t="shared" si="575"/>
        <v>0</v>
      </c>
      <c r="BD1134" s="132">
        <f t="shared" si="575"/>
        <v>0</v>
      </c>
      <c r="BE1134" s="132">
        <f t="shared" si="575"/>
        <v>0</v>
      </c>
      <c r="BF1134" s="132">
        <f t="shared" si="575"/>
        <v>0</v>
      </c>
      <c r="BG1134" s="132">
        <f t="shared" si="575"/>
        <v>0</v>
      </c>
      <c r="BH1134" s="133">
        <f>IF(OR(AND(BH1121=0,W1121&lt;&gt;0),AND(BH1122=0,W1122&lt;&gt;0),AND(BH1123=0,W1123&lt;&gt;0),AND(BH1124=0,W1124&lt;&gt;0),AND(BH1125=0,W1125&lt;&gt;0),AND(BH1126=0,W1126&lt;&gt;0),AND(BH1127=0,W1127&lt;&gt;0),AND(BH1128=0,W1128&lt;&gt;0),AND(BH1129=0,W1129&lt;&gt;0),AND(BH1130=0,W1130&lt;&gt;0),AND(BH1131=0,W1131&lt;&gt;0),AND(BH1132=0,W1132&lt;&gt;0),AND(BH1133=0,W1133&lt;&gt;0)),"NO DEBEN QUEDAR CELDAS EN ROJO",SUM(BH1121:BH1133))</f>
        <v>1112211000</v>
      </c>
      <c r="BI1134" s="132">
        <f t="shared" si="575"/>
        <v>0</v>
      </c>
      <c r="BJ1134" s="132">
        <f t="shared" si="575"/>
        <v>0</v>
      </c>
      <c r="BK1134" s="132">
        <f t="shared" si="575"/>
        <v>0</v>
      </c>
      <c r="BL1134" s="132">
        <f t="shared" si="575"/>
        <v>1145577330</v>
      </c>
      <c r="BM1134" s="132">
        <f t="shared" si="575"/>
        <v>0</v>
      </c>
      <c r="BN1134" s="132">
        <f t="shared" si="575"/>
        <v>0</v>
      </c>
      <c r="BO1134" s="132">
        <f t="shared" si="575"/>
        <v>0</v>
      </c>
      <c r="BP1134" s="132">
        <f t="shared" si="575"/>
        <v>0</v>
      </c>
      <c r="BQ1134" s="132">
        <f t="shared" si="575"/>
        <v>0</v>
      </c>
      <c r="BR1134" s="132">
        <f t="shared" si="575"/>
        <v>0</v>
      </c>
      <c r="BS1134" s="132">
        <f t="shared" si="575"/>
        <v>0</v>
      </c>
      <c r="BT1134" s="132">
        <f t="shared" si="575"/>
        <v>0</v>
      </c>
      <c r="BU1134" s="132">
        <f t="shared" si="575"/>
        <v>0</v>
      </c>
      <c r="BV1134" s="132">
        <f t="shared" si="575"/>
        <v>0</v>
      </c>
      <c r="BW1134" s="132">
        <f t="shared" si="575"/>
        <v>0</v>
      </c>
      <c r="BX1134" s="133">
        <f>IF(OR(AND(BX1121=0,AB1121&lt;&gt;0),AND(BX1122=0,AB1122&lt;&gt;0),AND(BX1123=0,AB1123&lt;&gt;0),AND(BX1124=0,AB1124&lt;&gt;0),AND(BX1125=0,AB1125&lt;&gt;0),AND(BX1126=0,AB1126&lt;&gt;0),AND(BX1127=0,AB1127&lt;&gt;0),AND(BX1128=0,AB1128&lt;&gt;0),AND(BX1129=0,AB1129&lt;&gt;0),AND(BX1130=0,AB1130&lt;&gt;0),AND(BX1131=0,AB1131&lt;&gt;0),AND(BX1132=0,AB1132&lt;&gt;0),AND(BX1133=0,AB1133&lt;&gt;0)),"NO DEBEN QUEDAR CELDAS EN ROJO",SUM(BX1121:BX1133))</f>
        <v>1145577330</v>
      </c>
      <c r="BY1134" s="132">
        <f t="shared" si="575"/>
        <v>0</v>
      </c>
      <c r="BZ1134" s="132">
        <f t="shared" si="575"/>
        <v>0</v>
      </c>
      <c r="CA1134" s="132">
        <f t="shared" si="575"/>
        <v>0</v>
      </c>
      <c r="CB1134" s="132">
        <f t="shared" si="575"/>
        <v>1179944650</v>
      </c>
      <c r="CC1134" s="132">
        <f t="shared" si="575"/>
        <v>0</v>
      </c>
      <c r="CD1134" s="132">
        <f t="shared" si="575"/>
        <v>0</v>
      </c>
      <c r="CE1134" s="132">
        <f t="shared" si="575"/>
        <v>0</v>
      </c>
      <c r="CF1134" s="132">
        <f t="shared" si="575"/>
        <v>0</v>
      </c>
      <c r="CG1134" s="132">
        <f t="shared" si="575"/>
        <v>0</v>
      </c>
      <c r="CH1134" s="132">
        <f t="shared" si="575"/>
        <v>0</v>
      </c>
      <c r="CI1134" s="132">
        <f t="shared" si="575"/>
        <v>0</v>
      </c>
      <c r="CJ1134" s="132">
        <f t="shared" si="575"/>
        <v>0</v>
      </c>
      <c r="CK1134" s="132">
        <f t="shared" si="575"/>
        <v>0</v>
      </c>
      <c r="CL1134" s="132">
        <f t="shared" si="575"/>
        <v>0</v>
      </c>
      <c r="CM1134" s="132">
        <f t="shared" si="575"/>
        <v>0</v>
      </c>
      <c r="CN1134" s="133">
        <f>IF(OR(AND(CN1121=0,AG1121&lt;&gt;0),AND(CN1122=0,AG1122&lt;&gt;0),AND(CN1123=0,AG1123&lt;&gt;0),AND(CN1124=0,AG1124&lt;&gt;0),AND(CN1125=0,AG1125&lt;&gt;0),AND(CN1126=0,AG1126&lt;&gt;0),AND(CN1127=0,AG1127&lt;&gt;0),AND(CN1128=0,AG1128&lt;&gt;0),AND(CN1129=0,AG1129&lt;&gt;0),AND(CN1130=0,AG1130&lt;&gt;0),AND(CN1131=0,AG1131&lt;&gt;0),AND(CN1132=0,AG1132&lt;&gt;0),AND(CN1133=0,AG1133&lt;&gt;0)),"NO DEBEN QUEDAR CELDAS EN ROJO",SUM(CN1121:CN1133))</f>
        <v>1179944650</v>
      </c>
      <c r="CO1134" s="132">
        <f t="shared" si="575"/>
        <v>0</v>
      </c>
      <c r="CP1134" s="132">
        <f t="shared" si="575"/>
        <v>0</v>
      </c>
      <c r="CQ1134" s="132">
        <f t="shared" si="575"/>
        <v>0</v>
      </c>
      <c r="CR1134" s="132">
        <f t="shared" si="575"/>
        <v>1215342989</v>
      </c>
      <c r="CS1134" s="132">
        <f t="shared" si="575"/>
        <v>0</v>
      </c>
      <c r="CT1134" s="132">
        <f t="shared" si="575"/>
        <v>0</v>
      </c>
      <c r="CU1134" s="132">
        <f t="shared" si="575"/>
        <v>0</v>
      </c>
      <c r="CV1134" s="132">
        <f t="shared" si="575"/>
        <v>0</v>
      </c>
      <c r="CW1134" s="132">
        <f t="shared" si="575"/>
        <v>0</v>
      </c>
      <c r="CX1134" s="132">
        <f t="shared" si="575"/>
        <v>0</v>
      </c>
      <c r="CY1134" s="132">
        <f t="shared" si="575"/>
        <v>0</v>
      </c>
      <c r="CZ1134" s="132">
        <f t="shared" si="575"/>
        <v>0</v>
      </c>
      <c r="DA1134" s="132">
        <f t="shared" si="575"/>
        <v>0</v>
      </c>
      <c r="DB1134" s="132">
        <f t="shared" si="575"/>
        <v>0</v>
      </c>
      <c r="DC1134" s="132">
        <f t="shared" si="575"/>
        <v>0</v>
      </c>
      <c r="DD1134" s="133">
        <f>IF(OR(AND(DD1121=0,AL1121&lt;&gt;0),AND(DD1122=0,AL1122&lt;&gt;0),AND(DD1123=0,AL1123&lt;&gt;0),AND(DD1124=0,AL1124&lt;&gt;0),AND(DD1125=0,AL1125&lt;&gt;0),AND(DD1126=0,AL1126&lt;&gt;0),AND(DD1127=0,AL1127&lt;&gt;0),AND(DD1128=0,AL1128&lt;&gt;0),AND(DD1129=0,AL1129&lt;&gt;0),AND(DD1130=0,AL1130&lt;&gt;0),AND(DD1131=0,AL1131&lt;&gt;0),AND(DD1132=0,AL1132&lt;&gt;0),AND(DD1133=0,AL1133&lt;&gt;0)),"NO DEBEN QUEDAR CELDAS EN ROJO",SUM(DD1121:DD1133))</f>
        <v>1215342989</v>
      </c>
      <c r="DE1134" s="133">
        <f t="shared" si="575"/>
        <v>4653075969</v>
      </c>
    </row>
    <row r="1135" spans="1:109" s="116" customFormat="1" ht="55.05" customHeight="1">
      <c r="A1135" s="124"/>
      <c r="B1135" s="125" t="s">
        <v>2051</v>
      </c>
      <c r="C1135" s="145" t="s">
        <v>2208</v>
      </c>
      <c r="D1135" s="160"/>
      <c r="E1135" s="161"/>
      <c r="F1135" s="162"/>
      <c r="G1135" s="163"/>
      <c r="H1135" s="161"/>
      <c r="I1135" s="161"/>
      <c r="J1135" s="161"/>
      <c r="K1135" s="161"/>
      <c r="L1135" s="161"/>
      <c r="M1135" s="161"/>
      <c r="N1135" s="161"/>
      <c r="O1135" s="161"/>
      <c r="P1135" s="161"/>
      <c r="Q1135" s="163"/>
      <c r="R1135" s="164"/>
      <c r="S1135" s="161"/>
      <c r="T1135" s="161"/>
      <c r="U1135" s="165"/>
      <c r="V1135" s="165"/>
      <c r="W1135" s="166"/>
      <c r="X1135" s="165"/>
      <c r="Y1135" s="165"/>
      <c r="Z1135" s="165"/>
      <c r="AA1135" s="165"/>
      <c r="AB1135" s="166"/>
      <c r="AC1135" s="165"/>
      <c r="AD1135" s="165"/>
      <c r="AE1135" s="165"/>
      <c r="AF1135" s="165"/>
      <c r="AG1135" s="166"/>
      <c r="AH1135" s="165"/>
      <c r="AI1135" s="165"/>
      <c r="AJ1135" s="165"/>
      <c r="AK1135" s="165"/>
      <c r="AL1135" s="166"/>
      <c r="AM1135" s="167"/>
      <c r="AN1135" s="168"/>
      <c r="AO1135" s="168"/>
      <c r="AP1135" s="163"/>
      <c r="AQ1135" s="163"/>
      <c r="AR1135" s="169"/>
      <c r="AS1135" s="147">
        <f>SUM(AS1134+AS1120+AS1107+AS1087)</f>
        <v>0</v>
      </c>
      <c r="AT1135" s="130">
        <f t="shared" ref="AT1135:DE1135" si="576">SUM(AT1134+AT1120+AT1107+AT1087)</f>
        <v>0</v>
      </c>
      <c r="AU1135" s="130">
        <f t="shared" si="576"/>
        <v>0</v>
      </c>
      <c r="AV1135" s="130">
        <f t="shared" si="576"/>
        <v>9750000000</v>
      </c>
      <c r="AW1135" s="130">
        <f t="shared" si="576"/>
        <v>0</v>
      </c>
      <c r="AX1135" s="130">
        <f t="shared" si="576"/>
        <v>0</v>
      </c>
      <c r="AY1135" s="130">
        <f t="shared" si="576"/>
        <v>0</v>
      </c>
      <c r="AZ1135" s="130">
        <f t="shared" si="576"/>
        <v>0</v>
      </c>
      <c r="BA1135" s="130">
        <f t="shared" si="576"/>
        <v>0</v>
      </c>
      <c r="BB1135" s="130">
        <f t="shared" si="576"/>
        <v>0</v>
      </c>
      <c r="BC1135" s="130">
        <f t="shared" si="576"/>
        <v>0</v>
      </c>
      <c r="BD1135" s="130">
        <f t="shared" si="576"/>
        <v>0</v>
      </c>
      <c r="BE1135" s="130">
        <f t="shared" si="576"/>
        <v>0</v>
      </c>
      <c r="BF1135" s="130">
        <f t="shared" si="576"/>
        <v>0</v>
      </c>
      <c r="BG1135" s="130">
        <f t="shared" si="576"/>
        <v>0</v>
      </c>
      <c r="BH1135" s="130">
        <f t="shared" si="576"/>
        <v>9750000000</v>
      </c>
      <c r="BI1135" s="130">
        <f t="shared" si="576"/>
        <v>0</v>
      </c>
      <c r="BJ1135" s="130">
        <f t="shared" si="576"/>
        <v>0</v>
      </c>
      <c r="BK1135" s="130">
        <f t="shared" si="576"/>
        <v>0</v>
      </c>
      <c r="BL1135" s="130">
        <f t="shared" si="576"/>
        <v>9933430000</v>
      </c>
      <c r="BM1135" s="130">
        <f t="shared" si="576"/>
        <v>0</v>
      </c>
      <c r="BN1135" s="130">
        <f t="shared" si="576"/>
        <v>0</v>
      </c>
      <c r="BO1135" s="130">
        <f t="shared" si="576"/>
        <v>0</v>
      </c>
      <c r="BP1135" s="130">
        <f t="shared" si="576"/>
        <v>0</v>
      </c>
      <c r="BQ1135" s="130">
        <f t="shared" si="576"/>
        <v>0</v>
      </c>
      <c r="BR1135" s="130">
        <f t="shared" si="576"/>
        <v>0</v>
      </c>
      <c r="BS1135" s="130">
        <f t="shared" si="576"/>
        <v>0</v>
      </c>
      <c r="BT1135" s="130">
        <f t="shared" si="576"/>
        <v>0</v>
      </c>
      <c r="BU1135" s="130">
        <f t="shared" si="576"/>
        <v>0</v>
      </c>
      <c r="BV1135" s="130">
        <f t="shared" si="576"/>
        <v>0</v>
      </c>
      <c r="BW1135" s="130">
        <f t="shared" si="576"/>
        <v>0</v>
      </c>
      <c r="BX1135" s="130">
        <f t="shared" si="576"/>
        <v>9933430000</v>
      </c>
      <c r="BY1135" s="130">
        <f t="shared" si="576"/>
        <v>0</v>
      </c>
      <c r="BZ1135" s="130">
        <f t="shared" si="576"/>
        <v>0</v>
      </c>
      <c r="CA1135" s="130">
        <f t="shared" si="576"/>
        <v>0</v>
      </c>
      <c r="CB1135" s="130">
        <f t="shared" si="576"/>
        <v>9542612900</v>
      </c>
      <c r="CC1135" s="130">
        <f t="shared" si="576"/>
        <v>0</v>
      </c>
      <c r="CD1135" s="130">
        <f t="shared" si="576"/>
        <v>0</v>
      </c>
      <c r="CE1135" s="130">
        <f t="shared" si="576"/>
        <v>0</v>
      </c>
      <c r="CF1135" s="130">
        <f t="shared" si="576"/>
        <v>0</v>
      </c>
      <c r="CG1135" s="130">
        <f t="shared" si="576"/>
        <v>0</v>
      </c>
      <c r="CH1135" s="130">
        <f t="shared" si="576"/>
        <v>0</v>
      </c>
      <c r="CI1135" s="130">
        <f t="shared" si="576"/>
        <v>0</v>
      </c>
      <c r="CJ1135" s="130">
        <f t="shared" si="576"/>
        <v>0</v>
      </c>
      <c r="CK1135" s="130">
        <f t="shared" si="576"/>
        <v>0</v>
      </c>
      <c r="CL1135" s="130">
        <f t="shared" si="576"/>
        <v>0</v>
      </c>
      <c r="CM1135" s="130">
        <f t="shared" si="576"/>
        <v>0</v>
      </c>
      <c r="CN1135" s="130">
        <f t="shared" si="576"/>
        <v>9542612900</v>
      </c>
      <c r="CO1135" s="130">
        <f t="shared" si="576"/>
        <v>0</v>
      </c>
      <c r="CP1135" s="130">
        <f t="shared" si="576"/>
        <v>0</v>
      </c>
      <c r="CQ1135" s="130">
        <f t="shared" si="576"/>
        <v>0</v>
      </c>
      <c r="CR1135" s="130">
        <f t="shared" si="576"/>
        <v>9746841287</v>
      </c>
      <c r="CS1135" s="130">
        <f t="shared" si="576"/>
        <v>0</v>
      </c>
      <c r="CT1135" s="130">
        <f t="shared" si="576"/>
        <v>0</v>
      </c>
      <c r="CU1135" s="130">
        <f t="shared" si="576"/>
        <v>0</v>
      </c>
      <c r="CV1135" s="130">
        <f t="shared" si="576"/>
        <v>0</v>
      </c>
      <c r="CW1135" s="130">
        <f t="shared" si="576"/>
        <v>0</v>
      </c>
      <c r="CX1135" s="130">
        <f t="shared" si="576"/>
        <v>0</v>
      </c>
      <c r="CY1135" s="130">
        <f t="shared" si="576"/>
        <v>0</v>
      </c>
      <c r="CZ1135" s="130">
        <f t="shared" si="576"/>
        <v>0</v>
      </c>
      <c r="DA1135" s="130">
        <f t="shared" si="576"/>
        <v>0</v>
      </c>
      <c r="DB1135" s="130">
        <f t="shared" si="576"/>
        <v>0</v>
      </c>
      <c r="DC1135" s="130">
        <f t="shared" si="576"/>
        <v>0</v>
      </c>
      <c r="DD1135" s="130">
        <f t="shared" si="576"/>
        <v>9746841287</v>
      </c>
      <c r="DE1135" s="130">
        <f t="shared" si="576"/>
        <v>38972884187</v>
      </c>
    </row>
    <row r="1136" spans="1:109" s="98" customFormat="1" ht="119.1" customHeight="1">
      <c r="A1136" s="103" t="s">
        <v>1249</v>
      </c>
      <c r="B1136" s="103" t="s">
        <v>2051</v>
      </c>
      <c r="C1136" s="103" t="s">
        <v>2264</v>
      </c>
      <c r="D1136" s="103">
        <v>106</v>
      </c>
      <c r="E1136" s="103" t="s">
        <v>2265</v>
      </c>
      <c r="F1136" s="278" t="s">
        <v>2266</v>
      </c>
      <c r="G1136" s="103" t="s">
        <v>3274</v>
      </c>
      <c r="H1136" s="103">
        <v>128</v>
      </c>
      <c r="I1136" s="103" t="s">
        <v>2267</v>
      </c>
      <c r="J1136" s="103" t="s">
        <v>683</v>
      </c>
      <c r="K1136" s="103">
        <v>0</v>
      </c>
      <c r="L1136" s="103">
        <v>10</v>
      </c>
      <c r="M1136" s="103" t="s">
        <v>2268</v>
      </c>
      <c r="N1136" s="103" t="s">
        <v>2269</v>
      </c>
      <c r="O1136" s="103" t="s">
        <v>2270</v>
      </c>
      <c r="P1136" s="283">
        <v>996</v>
      </c>
      <c r="Q1136" s="103" t="s">
        <v>2938</v>
      </c>
      <c r="R1136" s="103" t="s">
        <v>435</v>
      </c>
      <c r="S1136" s="103" t="s">
        <v>683</v>
      </c>
      <c r="T1136" s="103">
        <v>123</v>
      </c>
      <c r="U1136" s="267">
        <v>60</v>
      </c>
      <c r="V1136" s="267">
        <v>63</v>
      </c>
      <c r="W1136" s="224">
        <v>123</v>
      </c>
      <c r="X1136" s="267">
        <v>30</v>
      </c>
      <c r="Y1136" s="267">
        <v>30</v>
      </c>
      <c r="Z1136" s="267">
        <v>30</v>
      </c>
      <c r="AA1136" s="267">
        <v>33</v>
      </c>
      <c r="AB1136" s="224">
        <v>123</v>
      </c>
      <c r="AC1136" s="267">
        <v>30</v>
      </c>
      <c r="AD1136" s="267">
        <v>30</v>
      </c>
      <c r="AE1136" s="267">
        <v>30</v>
      </c>
      <c r="AF1136" s="267">
        <v>33</v>
      </c>
      <c r="AG1136" s="224">
        <v>123</v>
      </c>
      <c r="AH1136" s="267">
        <v>30</v>
      </c>
      <c r="AI1136" s="267">
        <v>30</v>
      </c>
      <c r="AJ1136" s="267">
        <v>30</v>
      </c>
      <c r="AK1136" s="267">
        <v>33</v>
      </c>
      <c r="AL1136" s="224">
        <v>123</v>
      </c>
      <c r="AM1136" s="102">
        <v>123</v>
      </c>
      <c r="AN1136" s="103" t="s">
        <v>686</v>
      </c>
      <c r="AO1136" s="103" t="s">
        <v>1212</v>
      </c>
      <c r="AP1136" s="103" t="s">
        <v>1229</v>
      </c>
      <c r="AQ1136" s="103" t="s">
        <v>1195</v>
      </c>
      <c r="AR1136" s="103" t="s">
        <v>951</v>
      </c>
      <c r="AS1136" s="268"/>
      <c r="AT1136" s="268"/>
      <c r="AU1136" s="268"/>
      <c r="AV1136" s="268"/>
      <c r="AW1136" s="268">
        <v>1000000</v>
      </c>
      <c r="AX1136" s="268"/>
      <c r="AY1136" s="268"/>
      <c r="AZ1136" s="268"/>
      <c r="BA1136" s="268"/>
      <c r="BB1136" s="268"/>
      <c r="BC1136" s="268"/>
      <c r="BD1136" s="268"/>
      <c r="BE1136" s="268"/>
      <c r="BF1136" s="268"/>
      <c r="BG1136" s="268"/>
      <c r="BH1136" s="234">
        <f t="shared" ref="BH1136:BH1152" si="577">IF(W1136=0,0,BG1136+BF1136+BE1136+BD1136+BC1136+BB1136+BA1136+AZ1136+AY1136+AX1136+AW1136+AV1136+AU1136+AT1136+AS1136)</f>
        <v>1000000</v>
      </c>
      <c r="BI1136" s="268"/>
      <c r="BJ1136" s="268"/>
      <c r="BK1136" s="268"/>
      <c r="BL1136" s="268"/>
      <c r="BM1136" s="268">
        <v>1000000</v>
      </c>
      <c r="BN1136" s="268"/>
      <c r="BO1136" s="268"/>
      <c r="BP1136" s="268"/>
      <c r="BQ1136" s="268"/>
      <c r="BR1136" s="268"/>
      <c r="BS1136" s="268"/>
      <c r="BT1136" s="268"/>
      <c r="BU1136" s="268"/>
      <c r="BV1136" s="268"/>
      <c r="BW1136" s="268"/>
      <c r="BX1136" s="234">
        <f t="shared" ref="BX1136:BX1152" si="578">IF(AB1136=0,0,BI1136+BJ1136+BK1136+BL1136+BM1136+BN1136+BO1136+BP1136+BQ1136+BR1136+BS1136+BT1136+BU1136+BV1136+BW1136)</f>
        <v>1000000</v>
      </c>
      <c r="BY1136" s="268"/>
      <c r="BZ1136" s="268"/>
      <c r="CA1136" s="268"/>
      <c r="CB1136" s="268"/>
      <c r="CC1136" s="268">
        <v>1000000</v>
      </c>
      <c r="CD1136" s="268"/>
      <c r="CE1136" s="268"/>
      <c r="CF1136" s="268"/>
      <c r="CG1136" s="268"/>
      <c r="CH1136" s="268"/>
      <c r="CI1136" s="268"/>
      <c r="CJ1136" s="268"/>
      <c r="CK1136" s="268"/>
      <c r="CL1136" s="268"/>
      <c r="CM1136" s="268"/>
      <c r="CN1136" s="234">
        <f t="shared" ref="CN1136:CN1152" si="579">IF(AG1136=0,0,(BY1136+BZ1136+CA1136+CB1136+CC1136+CD1136+CE1136+CF1136+CG1136+CH1136+CI1136+CJ1136+CK1136+CL1136+CM1136))</f>
        <v>1000000</v>
      </c>
      <c r="CO1136" s="268"/>
      <c r="CP1136" s="268"/>
      <c r="CQ1136" s="268"/>
      <c r="CR1136" s="268"/>
      <c r="CS1136" s="268">
        <v>1000000</v>
      </c>
      <c r="CT1136" s="268"/>
      <c r="CU1136" s="268"/>
      <c r="CV1136" s="268"/>
      <c r="CW1136" s="268"/>
      <c r="CX1136" s="268"/>
      <c r="CY1136" s="268"/>
      <c r="CZ1136" s="268"/>
      <c r="DA1136" s="268"/>
      <c r="DB1136" s="268"/>
      <c r="DC1136" s="268"/>
      <c r="DD1136" s="234">
        <f t="shared" ref="DD1136:DD1152" si="580">IF(AL1136=0,0,(CO1136+CP1136+CQ1136+CR1136+CS1136+CT1136+CU1136+CV1136+CW1136+CX1136+CY1136+CZ1136+DA1136+DB1136+DC1136))</f>
        <v>1000000</v>
      </c>
      <c r="DE1136" s="243">
        <f t="shared" ref="DE1136:DE1152" si="581">SUM(DD1136+CN1136+BX1136+BH1136)</f>
        <v>4000000</v>
      </c>
    </row>
    <row r="1137" spans="1:109" s="98" customFormat="1" ht="119.1" customHeight="1">
      <c r="A1137" s="103" t="s">
        <v>1249</v>
      </c>
      <c r="B1137" s="279" t="s">
        <v>2051</v>
      </c>
      <c r="C1137" s="279" t="s">
        <v>2264</v>
      </c>
      <c r="D1137" s="279">
        <v>106</v>
      </c>
      <c r="E1137" s="279" t="s">
        <v>2265</v>
      </c>
      <c r="F1137" s="280" t="s">
        <v>2266</v>
      </c>
      <c r="G1137" s="279" t="s">
        <v>3274</v>
      </c>
      <c r="H1137" s="279">
        <v>128</v>
      </c>
      <c r="I1137" s="279" t="s">
        <v>2267</v>
      </c>
      <c r="J1137" s="279" t="s">
        <v>683</v>
      </c>
      <c r="K1137" s="279">
        <v>0</v>
      </c>
      <c r="L1137" s="279">
        <v>10</v>
      </c>
      <c r="M1137" s="279" t="s">
        <v>2268</v>
      </c>
      <c r="N1137" s="279" t="s">
        <v>2269</v>
      </c>
      <c r="O1137" s="279" t="s">
        <v>2270</v>
      </c>
      <c r="P1137" s="283">
        <v>997</v>
      </c>
      <c r="Q1137" s="279" t="s">
        <v>2939</v>
      </c>
      <c r="R1137" s="279" t="s">
        <v>2271</v>
      </c>
      <c r="S1137" s="279" t="s">
        <v>683</v>
      </c>
      <c r="T1137" s="279">
        <v>0</v>
      </c>
      <c r="U1137" s="267"/>
      <c r="V1137" s="267"/>
      <c r="W1137" s="224">
        <v>0</v>
      </c>
      <c r="X1137" s="267"/>
      <c r="Y1137" s="267">
        <v>1</v>
      </c>
      <c r="Z1137" s="267"/>
      <c r="AA1137" s="267">
        <v>1</v>
      </c>
      <c r="AB1137" s="224">
        <v>2</v>
      </c>
      <c r="AC1137" s="267"/>
      <c r="AD1137" s="267">
        <v>1</v>
      </c>
      <c r="AE1137" s="267"/>
      <c r="AF1137" s="267">
        <v>1</v>
      </c>
      <c r="AG1137" s="224">
        <v>2</v>
      </c>
      <c r="AH1137" s="267"/>
      <c r="AI1137" s="267">
        <v>1</v>
      </c>
      <c r="AJ1137" s="267"/>
      <c r="AK1137" s="267">
        <v>1</v>
      </c>
      <c r="AL1137" s="224">
        <v>2</v>
      </c>
      <c r="AM1137" s="104">
        <v>6</v>
      </c>
      <c r="AN1137" s="103" t="s">
        <v>685</v>
      </c>
      <c r="AO1137" s="103" t="s">
        <v>1212</v>
      </c>
      <c r="AP1137" s="103" t="s">
        <v>1229</v>
      </c>
      <c r="AQ1137" s="103" t="s">
        <v>1195</v>
      </c>
      <c r="AR1137" s="103" t="s">
        <v>951</v>
      </c>
      <c r="AS1137" s="271"/>
      <c r="AT1137" s="271"/>
      <c r="AU1137" s="271"/>
      <c r="AV1137" s="271"/>
      <c r="AW1137" s="271"/>
      <c r="AX1137" s="271"/>
      <c r="AY1137" s="271"/>
      <c r="AZ1137" s="271"/>
      <c r="BA1137" s="271"/>
      <c r="BB1137" s="271"/>
      <c r="BC1137" s="271"/>
      <c r="BD1137" s="271"/>
      <c r="BE1137" s="271"/>
      <c r="BF1137" s="271"/>
      <c r="BG1137" s="271"/>
      <c r="BH1137" s="235">
        <f t="shared" si="577"/>
        <v>0</v>
      </c>
      <c r="BI1137" s="271"/>
      <c r="BJ1137" s="271"/>
      <c r="BK1137" s="271"/>
      <c r="BL1137" s="271"/>
      <c r="BM1137" s="271">
        <v>1000000</v>
      </c>
      <c r="BN1137" s="271"/>
      <c r="BO1137" s="271"/>
      <c r="BP1137" s="271"/>
      <c r="BQ1137" s="271"/>
      <c r="BR1137" s="271"/>
      <c r="BS1137" s="271"/>
      <c r="BT1137" s="271"/>
      <c r="BU1137" s="271"/>
      <c r="BV1137" s="271"/>
      <c r="BW1137" s="271"/>
      <c r="BX1137" s="235">
        <f t="shared" si="578"/>
        <v>1000000</v>
      </c>
      <c r="BY1137" s="271"/>
      <c r="BZ1137" s="271"/>
      <c r="CA1137" s="271"/>
      <c r="CB1137" s="271"/>
      <c r="CC1137" s="271">
        <v>1000000</v>
      </c>
      <c r="CD1137" s="271"/>
      <c r="CE1137" s="271"/>
      <c r="CF1137" s="271"/>
      <c r="CG1137" s="271"/>
      <c r="CH1137" s="271"/>
      <c r="CI1137" s="271"/>
      <c r="CJ1137" s="271"/>
      <c r="CK1137" s="271"/>
      <c r="CL1137" s="271"/>
      <c r="CM1137" s="271"/>
      <c r="CN1137" s="235">
        <f t="shared" si="579"/>
        <v>1000000</v>
      </c>
      <c r="CO1137" s="271"/>
      <c r="CP1137" s="271"/>
      <c r="CQ1137" s="271"/>
      <c r="CR1137" s="271"/>
      <c r="CS1137" s="271">
        <v>1000000</v>
      </c>
      <c r="CT1137" s="271"/>
      <c r="CU1137" s="271"/>
      <c r="CV1137" s="271"/>
      <c r="CW1137" s="271"/>
      <c r="CX1137" s="271"/>
      <c r="CY1137" s="271"/>
      <c r="CZ1137" s="271"/>
      <c r="DA1137" s="271"/>
      <c r="DB1137" s="271"/>
      <c r="DC1137" s="271"/>
      <c r="DD1137" s="234">
        <f t="shared" si="580"/>
        <v>1000000</v>
      </c>
      <c r="DE1137" s="244">
        <f t="shared" si="581"/>
        <v>3000000</v>
      </c>
    </row>
    <row r="1138" spans="1:109" s="98" customFormat="1" ht="119.1" customHeight="1">
      <c r="A1138" s="103" t="s">
        <v>1249</v>
      </c>
      <c r="B1138" s="279" t="s">
        <v>2051</v>
      </c>
      <c r="C1138" s="279" t="s">
        <v>2264</v>
      </c>
      <c r="D1138" s="279">
        <v>106</v>
      </c>
      <c r="E1138" s="279" t="s">
        <v>2265</v>
      </c>
      <c r="F1138" s="280" t="s">
        <v>2266</v>
      </c>
      <c r="G1138" s="279" t="s">
        <v>3274</v>
      </c>
      <c r="H1138" s="279">
        <v>128</v>
      </c>
      <c r="I1138" s="279" t="s">
        <v>2267</v>
      </c>
      <c r="J1138" s="279" t="s">
        <v>683</v>
      </c>
      <c r="K1138" s="279">
        <v>0</v>
      </c>
      <c r="L1138" s="279">
        <v>10</v>
      </c>
      <c r="M1138" s="279" t="s">
        <v>2268</v>
      </c>
      <c r="N1138" s="279" t="s">
        <v>2269</v>
      </c>
      <c r="O1138" s="279" t="s">
        <v>2270</v>
      </c>
      <c r="P1138" s="283">
        <v>998</v>
      </c>
      <c r="Q1138" s="279" t="s">
        <v>2940</v>
      </c>
      <c r="R1138" s="279" t="s">
        <v>436</v>
      </c>
      <c r="S1138" s="279" t="s">
        <v>683</v>
      </c>
      <c r="T1138" s="279">
        <v>25</v>
      </c>
      <c r="U1138" s="267">
        <v>12</v>
      </c>
      <c r="V1138" s="267">
        <v>13</v>
      </c>
      <c r="W1138" s="224">
        <v>25</v>
      </c>
      <c r="X1138" s="267">
        <v>6</v>
      </c>
      <c r="Y1138" s="267">
        <v>6</v>
      </c>
      <c r="Z1138" s="267">
        <v>6</v>
      </c>
      <c r="AA1138" s="267">
        <v>7</v>
      </c>
      <c r="AB1138" s="224">
        <v>25</v>
      </c>
      <c r="AC1138" s="267">
        <v>6</v>
      </c>
      <c r="AD1138" s="267">
        <v>6</v>
      </c>
      <c r="AE1138" s="267">
        <v>6</v>
      </c>
      <c r="AF1138" s="267">
        <v>7</v>
      </c>
      <c r="AG1138" s="224">
        <v>25</v>
      </c>
      <c r="AH1138" s="267">
        <v>6</v>
      </c>
      <c r="AI1138" s="267">
        <v>6</v>
      </c>
      <c r="AJ1138" s="267">
        <v>6</v>
      </c>
      <c r="AK1138" s="267">
        <v>7</v>
      </c>
      <c r="AL1138" s="224">
        <v>25</v>
      </c>
      <c r="AM1138" s="104">
        <v>25</v>
      </c>
      <c r="AN1138" s="103" t="s">
        <v>686</v>
      </c>
      <c r="AO1138" s="103" t="s">
        <v>1212</v>
      </c>
      <c r="AP1138" s="103" t="s">
        <v>1229</v>
      </c>
      <c r="AQ1138" s="103" t="s">
        <v>1193</v>
      </c>
      <c r="AR1138" s="103" t="s">
        <v>951</v>
      </c>
      <c r="AS1138" s="271"/>
      <c r="AT1138" s="271"/>
      <c r="AU1138" s="271"/>
      <c r="AV1138" s="271"/>
      <c r="AW1138" s="271">
        <v>1000000</v>
      </c>
      <c r="AX1138" s="271"/>
      <c r="AY1138" s="271"/>
      <c r="AZ1138" s="271"/>
      <c r="BA1138" s="271"/>
      <c r="BB1138" s="271"/>
      <c r="BC1138" s="271"/>
      <c r="BD1138" s="271"/>
      <c r="BE1138" s="271"/>
      <c r="BF1138" s="271"/>
      <c r="BG1138" s="271"/>
      <c r="BH1138" s="235">
        <f t="shared" si="577"/>
        <v>1000000</v>
      </c>
      <c r="BI1138" s="271"/>
      <c r="BJ1138" s="271"/>
      <c r="BK1138" s="271"/>
      <c r="BL1138" s="271"/>
      <c r="BM1138" s="271">
        <v>1000000</v>
      </c>
      <c r="BN1138" s="271"/>
      <c r="BO1138" s="271"/>
      <c r="BP1138" s="271"/>
      <c r="BQ1138" s="271"/>
      <c r="BR1138" s="271"/>
      <c r="BS1138" s="271"/>
      <c r="BT1138" s="271"/>
      <c r="BU1138" s="271"/>
      <c r="BV1138" s="271"/>
      <c r="BW1138" s="271"/>
      <c r="BX1138" s="235">
        <f t="shared" si="578"/>
        <v>1000000</v>
      </c>
      <c r="BY1138" s="271"/>
      <c r="BZ1138" s="271"/>
      <c r="CA1138" s="271"/>
      <c r="CB1138" s="271"/>
      <c r="CC1138" s="271">
        <v>1000000</v>
      </c>
      <c r="CD1138" s="271"/>
      <c r="CE1138" s="271"/>
      <c r="CF1138" s="271"/>
      <c r="CG1138" s="271"/>
      <c r="CH1138" s="271"/>
      <c r="CI1138" s="271"/>
      <c r="CJ1138" s="271"/>
      <c r="CK1138" s="271"/>
      <c r="CL1138" s="271"/>
      <c r="CM1138" s="271"/>
      <c r="CN1138" s="235">
        <f t="shared" si="579"/>
        <v>1000000</v>
      </c>
      <c r="CO1138" s="271"/>
      <c r="CP1138" s="271"/>
      <c r="CQ1138" s="271"/>
      <c r="CR1138" s="271"/>
      <c r="CS1138" s="271">
        <v>1000000</v>
      </c>
      <c r="CT1138" s="271"/>
      <c r="CU1138" s="271"/>
      <c r="CV1138" s="271"/>
      <c r="CW1138" s="271"/>
      <c r="CX1138" s="271"/>
      <c r="CY1138" s="271"/>
      <c r="CZ1138" s="271"/>
      <c r="DA1138" s="271"/>
      <c r="DB1138" s="271"/>
      <c r="DC1138" s="271"/>
      <c r="DD1138" s="234">
        <f t="shared" si="580"/>
        <v>1000000</v>
      </c>
      <c r="DE1138" s="244">
        <f t="shared" si="581"/>
        <v>4000000</v>
      </c>
    </row>
    <row r="1139" spans="1:109" s="98" customFormat="1" ht="119.1" customHeight="1">
      <c r="A1139" s="103" t="s">
        <v>1249</v>
      </c>
      <c r="B1139" s="279" t="s">
        <v>2051</v>
      </c>
      <c r="C1139" s="279" t="s">
        <v>2264</v>
      </c>
      <c r="D1139" s="279">
        <v>106</v>
      </c>
      <c r="E1139" s="279" t="s">
        <v>2265</v>
      </c>
      <c r="F1139" s="280" t="s">
        <v>2266</v>
      </c>
      <c r="G1139" s="279" t="s">
        <v>3274</v>
      </c>
      <c r="H1139" s="279">
        <v>128</v>
      </c>
      <c r="I1139" s="279" t="s">
        <v>2267</v>
      </c>
      <c r="J1139" s="279" t="s">
        <v>683</v>
      </c>
      <c r="K1139" s="279">
        <v>0</v>
      </c>
      <c r="L1139" s="279">
        <v>10</v>
      </c>
      <c r="M1139" s="279" t="s">
        <v>2268</v>
      </c>
      <c r="N1139" s="279" t="s">
        <v>2269</v>
      </c>
      <c r="O1139" s="279" t="s">
        <v>2270</v>
      </c>
      <c r="P1139" s="283">
        <v>999</v>
      </c>
      <c r="Q1139" s="279" t="s">
        <v>3817</v>
      </c>
      <c r="R1139" s="279" t="s">
        <v>436</v>
      </c>
      <c r="S1139" s="279" t="s">
        <v>683</v>
      </c>
      <c r="T1139" s="279">
        <v>25</v>
      </c>
      <c r="U1139" s="267"/>
      <c r="V1139" s="267">
        <v>2</v>
      </c>
      <c r="W1139" s="224">
        <v>2</v>
      </c>
      <c r="X1139" s="267"/>
      <c r="Y1139" s="267">
        <v>3</v>
      </c>
      <c r="Z1139" s="267">
        <v>3</v>
      </c>
      <c r="AA1139" s="267"/>
      <c r="AB1139" s="224">
        <v>6</v>
      </c>
      <c r="AC1139" s="267"/>
      <c r="AD1139" s="267">
        <v>3</v>
      </c>
      <c r="AE1139" s="267">
        <v>3</v>
      </c>
      <c r="AF1139" s="267"/>
      <c r="AG1139" s="224">
        <v>6</v>
      </c>
      <c r="AH1139" s="267"/>
      <c r="AI1139" s="267">
        <v>3</v>
      </c>
      <c r="AJ1139" s="267">
        <v>3</v>
      </c>
      <c r="AK1139" s="267"/>
      <c r="AL1139" s="224">
        <v>6</v>
      </c>
      <c r="AM1139" s="104">
        <v>20</v>
      </c>
      <c r="AN1139" s="103" t="s">
        <v>685</v>
      </c>
      <c r="AO1139" s="103" t="s">
        <v>1212</v>
      </c>
      <c r="AP1139" s="103" t="s">
        <v>1229</v>
      </c>
      <c r="AQ1139" s="103" t="s">
        <v>1193</v>
      </c>
      <c r="AR1139" s="103" t="s">
        <v>951</v>
      </c>
      <c r="AS1139" s="271"/>
      <c r="AT1139" s="271"/>
      <c r="AU1139" s="271"/>
      <c r="AV1139" s="271"/>
      <c r="AW1139" s="271">
        <v>1000000</v>
      </c>
      <c r="AX1139" s="271"/>
      <c r="AY1139" s="271"/>
      <c r="AZ1139" s="271"/>
      <c r="BA1139" s="271"/>
      <c r="BB1139" s="271"/>
      <c r="BC1139" s="271"/>
      <c r="BD1139" s="271"/>
      <c r="BE1139" s="271"/>
      <c r="BF1139" s="271"/>
      <c r="BG1139" s="271"/>
      <c r="BH1139" s="235">
        <f t="shared" si="577"/>
        <v>1000000</v>
      </c>
      <c r="BI1139" s="271"/>
      <c r="BJ1139" s="271"/>
      <c r="BK1139" s="271"/>
      <c r="BL1139" s="271"/>
      <c r="BM1139" s="271">
        <v>1000000</v>
      </c>
      <c r="BN1139" s="271"/>
      <c r="BO1139" s="271"/>
      <c r="BP1139" s="271"/>
      <c r="BQ1139" s="271"/>
      <c r="BR1139" s="271"/>
      <c r="BS1139" s="271"/>
      <c r="BT1139" s="271"/>
      <c r="BU1139" s="271"/>
      <c r="BV1139" s="271"/>
      <c r="BW1139" s="271"/>
      <c r="BX1139" s="235">
        <f t="shared" si="578"/>
        <v>1000000</v>
      </c>
      <c r="BY1139" s="271"/>
      <c r="BZ1139" s="271"/>
      <c r="CA1139" s="271"/>
      <c r="CB1139" s="271"/>
      <c r="CC1139" s="271">
        <v>1000000</v>
      </c>
      <c r="CD1139" s="271"/>
      <c r="CE1139" s="271"/>
      <c r="CF1139" s="271"/>
      <c r="CG1139" s="271"/>
      <c r="CH1139" s="271"/>
      <c r="CI1139" s="271"/>
      <c r="CJ1139" s="271"/>
      <c r="CK1139" s="271"/>
      <c r="CL1139" s="271"/>
      <c r="CM1139" s="271"/>
      <c r="CN1139" s="235">
        <f t="shared" si="579"/>
        <v>1000000</v>
      </c>
      <c r="CO1139" s="271"/>
      <c r="CP1139" s="271"/>
      <c r="CQ1139" s="271"/>
      <c r="CR1139" s="271"/>
      <c r="CS1139" s="271">
        <v>1000000</v>
      </c>
      <c r="CT1139" s="271"/>
      <c r="CU1139" s="271"/>
      <c r="CV1139" s="271"/>
      <c r="CW1139" s="271"/>
      <c r="CX1139" s="271"/>
      <c r="CY1139" s="271"/>
      <c r="CZ1139" s="271"/>
      <c r="DA1139" s="271"/>
      <c r="DB1139" s="271"/>
      <c r="DC1139" s="271"/>
      <c r="DD1139" s="234">
        <f t="shared" si="580"/>
        <v>1000000</v>
      </c>
      <c r="DE1139" s="244">
        <f t="shared" si="581"/>
        <v>4000000</v>
      </c>
    </row>
    <row r="1140" spans="1:109" s="98" customFormat="1" ht="119.1" customHeight="1">
      <c r="A1140" s="103" t="s">
        <v>1249</v>
      </c>
      <c r="B1140" s="279" t="s">
        <v>2051</v>
      </c>
      <c r="C1140" s="279" t="s">
        <v>2264</v>
      </c>
      <c r="D1140" s="279">
        <v>106</v>
      </c>
      <c r="E1140" s="279" t="s">
        <v>2265</v>
      </c>
      <c r="F1140" s="280" t="s">
        <v>2266</v>
      </c>
      <c r="G1140" s="279" t="s">
        <v>3274</v>
      </c>
      <c r="H1140" s="279">
        <v>128</v>
      </c>
      <c r="I1140" s="279" t="s">
        <v>2267</v>
      </c>
      <c r="J1140" s="279" t="s">
        <v>683</v>
      </c>
      <c r="K1140" s="279">
        <v>0</v>
      </c>
      <c r="L1140" s="279">
        <v>10</v>
      </c>
      <c r="M1140" s="279" t="s">
        <v>2268</v>
      </c>
      <c r="N1140" s="279" t="s">
        <v>2269</v>
      </c>
      <c r="O1140" s="279" t="s">
        <v>2270</v>
      </c>
      <c r="P1140" s="283">
        <v>1000</v>
      </c>
      <c r="Q1140" s="279" t="s">
        <v>3223</v>
      </c>
      <c r="R1140" s="279" t="s">
        <v>2272</v>
      </c>
      <c r="S1140" s="279" t="s">
        <v>689</v>
      </c>
      <c r="T1140" s="279">
        <v>75.099999999999994</v>
      </c>
      <c r="U1140" s="267"/>
      <c r="V1140" s="267"/>
      <c r="W1140" s="224">
        <v>0</v>
      </c>
      <c r="X1140" s="267"/>
      <c r="Y1140" s="267"/>
      <c r="Z1140" s="267">
        <v>2</v>
      </c>
      <c r="AA1140" s="267"/>
      <c r="AB1140" s="224">
        <v>2</v>
      </c>
      <c r="AC1140" s="267"/>
      <c r="AD1140" s="267"/>
      <c r="AE1140" s="267">
        <v>2</v>
      </c>
      <c r="AF1140" s="267"/>
      <c r="AG1140" s="224">
        <v>2</v>
      </c>
      <c r="AH1140" s="267"/>
      <c r="AI1140" s="267"/>
      <c r="AJ1140" s="267">
        <v>1</v>
      </c>
      <c r="AK1140" s="267"/>
      <c r="AL1140" s="224">
        <v>1</v>
      </c>
      <c r="AM1140" s="104">
        <v>5</v>
      </c>
      <c r="AN1140" s="103" t="s">
        <v>685</v>
      </c>
      <c r="AO1140" s="103" t="s">
        <v>1212</v>
      </c>
      <c r="AP1140" s="103" t="s">
        <v>1229</v>
      </c>
      <c r="AQ1140" s="103" t="s">
        <v>1199</v>
      </c>
      <c r="AR1140" s="103" t="s">
        <v>951</v>
      </c>
      <c r="AS1140" s="271"/>
      <c r="AT1140" s="271"/>
      <c r="AU1140" s="271"/>
      <c r="AV1140" s="271"/>
      <c r="AW1140" s="271"/>
      <c r="AX1140" s="271"/>
      <c r="AY1140" s="271"/>
      <c r="AZ1140" s="271"/>
      <c r="BA1140" s="271"/>
      <c r="BB1140" s="271"/>
      <c r="BC1140" s="271"/>
      <c r="BD1140" s="271"/>
      <c r="BE1140" s="271"/>
      <c r="BF1140" s="271"/>
      <c r="BG1140" s="271"/>
      <c r="BH1140" s="235">
        <f t="shared" si="577"/>
        <v>0</v>
      </c>
      <c r="BI1140" s="271"/>
      <c r="BJ1140" s="271"/>
      <c r="BK1140" s="271"/>
      <c r="BL1140" s="271"/>
      <c r="BM1140" s="271">
        <v>1000000</v>
      </c>
      <c r="BN1140" s="271"/>
      <c r="BO1140" s="271"/>
      <c r="BP1140" s="271"/>
      <c r="BQ1140" s="271"/>
      <c r="BR1140" s="271"/>
      <c r="BS1140" s="271"/>
      <c r="BT1140" s="271"/>
      <c r="BU1140" s="271"/>
      <c r="BV1140" s="271"/>
      <c r="BW1140" s="271"/>
      <c r="BX1140" s="235">
        <f t="shared" si="578"/>
        <v>1000000</v>
      </c>
      <c r="BY1140" s="271"/>
      <c r="BZ1140" s="271"/>
      <c r="CA1140" s="271"/>
      <c r="CB1140" s="271"/>
      <c r="CC1140" s="271">
        <v>1000000</v>
      </c>
      <c r="CD1140" s="271"/>
      <c r="CE1140" s="271"/>
      <c r="CF1140" s="271"/>
      <c r="CG1140" s="271"/>
      <c r="CH1140" s="271"/>
      <c r="CI1140" s="271"/>
      <c r="CJ1140" s="271"/>
      <c r="CK1140" s="271"/>
      <c r="CL1140" s="271"/>
      <c r="CM1140" s="271"/>
      <c r="CN1140" s="235">
        <f t="shared" si="579"/>
        <v>1000000</v>
      </c>
      <c r="CO1140" s="271"/>
      <c r="CP1140" s="271"/>
      <c r="CQ1140" s="271"/>
      <c r="CR1140" s="271"/>
      <c r="CS1140" s="271">
        <v>1000000</v>
      </c>
      <c r="CT1140" s="271"/>
      <c r="CU1140" s="271"/>
      <c r="CV1140" s="271"/>
      <c r="CW1140" s="271"/>
      <c r="CX1140" s="271"/>
      <c r="CY1140" s="271"/>
      <c r="CZ1140" s="271"/>
      <c r="DA1140" s="271"/>
      <c r="DB1140" s="271"/>
      <c r="DC1140" s="271"/>
      <c r="DD1140" s="234">
        <f t="shared" si="580"/>
        <v>1000000</v>
      </c>
      <c r="DE1140" s="244">
        <f t="shared" si="581"/>
        <v>3000000</v>
      </c>
    </row>
    <row r="1141" spans="1:109" s="98" customFormat="1" ht="119.1" customHeight="1">
      <c r="A1141" s="103" t="s">
        <v>1249</v>
      </c>
      <c r="B1141" s="279" t="s">
        <v>2051</v>
      </c>
      <c r="C1141" s="279" t="s">
        <v>2264</v>
      </c>
      <c r="D1141" s="279">
        <v>106</v>
      </c>
      <c r="E1141" s="279" t="s">
        <v>2265</v>
      </c>
      <c r="F1141" s="280" t="s">
        <v>2266</v>
      </c>
      <c r="G1141" s="279" t="s">
        <v>3274</v>
      </c>
      <c r="H1141" s="279">
        <v>128</v>
      </c>
      <c r="I1141" s="279" t="s">
        <v>2267</v>
      </c>
      <c r="J1141" s="279" t="s">
        <v>683</v>
      </c>
      <c r="K1141" s="279">
        <v>0</v>
      </c>
      <c r="L1141" s="279">
        <v>10</v>
      </c>
      <c r="M1141" s="279" t="s">
        <v>2268</v>
      </c>
      <c r="N1141" s="279" t="s">
        <v>2269</v>
      </c>
      <c r="O1141" s="279" t="s">
        <v>2270</v>
      </c>
      <c r="P1141" s="283">
        <v>1001</v>
      </c>
      <c r="Q1141" s="279" t="s">
        <v>3818</v>
      </c>
      <c r="R1141" s="279" t="s">
        <v>2273</v>
      </c>
      <c r="S1141" s="279" t="s">
        <v>677</v>
      </c>
      <c r="T1141" s="279">
        <v>76</v>
      </c>
      <c r="U1141" s="267"/>
      <c r="V1141" s="267"/>
      <c r="W1141" s="224">
        <v>0</v>
      </c>
      <c r="X1141" s="267"/>
      <c r="Y1141" s="267">
        <v>2</v>
      </c>
      <c r="Z1141" s="267"/>
      <c r="AA1141" s="267"/>
      <c r="AB1141" s="224">
        <v>2</v>
      </c>
      <c r="AC1141" s="267"/>
      <c r="AD1141" s="267">
        <v>2</v>
      </c>
      <c r="AE1141" s="267"/>
      <c r="AF1141" s="267"/>
      <c r="AG1141" s="224">
        <v>2</v>
      </c>
      <c r="AH1141" s="267"/>
      <c r="AI1141" s="267">
        <v>1</v>
      </c>
      <c r="AJ1141" s="267"/>
      <c r="AK1141" s="267"/>
      <c r="AL1141" s="224">
        <v>1</v>
      </c>
      <c r="AM1141" s="104">
        <v>5</v>
      </c>
      <c r="AN1141" s="103" t="s">
        <v>685</v>
      </c>
      <c r="AO1141" s="103" t="s">
        <v>1212</v>
      </c>
      <c r="AP1141" s="103" t="s">
        <v>1229</v>
      </c>
      <c r="AQ1141" s="103" t="s">
        <v>1199</v>
      </c>
      <c r="AR1141" s="103" t="s">
        <v>951</v>
      </c>
      <c r="AS1141" s="271"/>
      <c r="AT1141" s="271"/>
      <c r="AU1141" s="271"/>
      <c r="AV1141" s="271"/>
      <c r="AW1141" s="271"/>
      <c r="AX1141" s="271"/>
      <c r="AY1141" s="271"/>
      <c r="AZ1141" s="271"/>
      <c r="BA1141" s="271"/>
      <c r="BB1141" s="271"/>
      <c r="BC1141" s="271"/>
      <c r="BD1141" s="271"/>
      <c r="BE1141" s="271"/>
      <c r="BF1141" s="271"/>
      <c r="BG1141" s="271"/>
      <c r="BH1141" s="235">
        <f t="shared" si="577"/>
        <v>0</v>
      </c>
      <c r="BI1141" s="271"/>
      <c r="BJ1141" s="271"/>
      <c r="BK1141" s="271"/>
      <c r="BL1141" s="271"/>
      <c r="BM1141" s="271">
        <v>1000000</v>
      </c>
      <c r="BN1141" s="271"/>
      <c r="BO1141" s="271"/>
      <c r="BP1141" s="271"/>
      <c r="BQ1141" s="271"/>
      <c r="BR1141" s="271"/>
      <c r="BS1141" s="271"/>
      <c r="BT1141" s="271"/>
      <c r="BU1141" s="271"/>
      <c r="BV1141" s="271"/>
      <c r="BW1141" s="271"/>
      <c r="BX1141" s="235">
        <f t="shared" si="578"/>
        <v>1000000</v>
      </c>
      <c r="BY1141" s="271"/>
      <c r="BZ1141" s="271"/>
      <c r="CA1141" s="271"/>
      <c r="CB1141" s="271"/>
      <c r="CC1141" s="271">
        <v>1000000</v>
      </c>
      <c r="CD1141" s="271"/>
      <c r="CE1141" s="271"/>
      <c r="CF1141" s="271"/>
      <c r="CG1141" s="271"/>
      <c r="CH1141" s="271"/>
      <c r="CI1141" s="271"/>
      <c r="CJ1141" s="271"/>
      <c r="CK1141" s="271"/>
      <c r="CL1141" s="271"/>
      <c r="CM1141" s="271"/>
      <c r="CN1141" s="235">
        <f t="shared" si="579"/>
        <v>1000000</v>
      </c>
      <c r="CO1141" s="271"/>
      <c r="CP1141" s="271"/>
      <c r="CQ1141" s="271"/>
      <c r="CR1141" s="271"/>
      <c r="CS1141" s="271">
        <v>1000000</v>
      </c>
      <c r="CT1141" s="271"/>
      <c r="CU1141" s="271"/>
      <c r="CV1141" s="271"/>
      <c r="CW1141" s="271"/>
      <c r="CX1141" s="271"/>
      <c r="CY1141" s="271"/>
      <c r="CZ1141" s="271"/>
      <c r="DA1141" s="271"/>
      <c r="DB1141" s="271"/>
      <c r="DC1141" s="271"/>
      <c r="DD1141" s="234">
        <f t="shared" si="580"/>
        <v>1000000</v>
      </c>
      <c r="DE1141" s="244">
        <f t="shared" si="581"/>
        <v>3000000</v>
      </c>
    </row>
    <row r="1142" spans="1:109" s="98" customFormat="1" ht="119.1" customHeight="1">
      <c r="A1142" s="103" t="s">
        <v>1249</v>
      </c>
      <c r="B1142" s="279" t="s">
        <v>2051</v>
      </c>
      <c r="C1142" s="279" t="s">
        <v>2264</v>
      </c>
      <c r="D1142" s="279">
        <v>106</v>
      </c>
      <c r="E1142" s="279" t="s">
        <v>2265</v>
      </c>
      <c r="F1142" s="280" t="s">
        <v>2266</v>
      </c>
      <c r="G1142" s="279" t="s">
        <v>3239</v>
      </c>
      <c r="H1142" s="279">
        <v>129</v>
      </c>
      <c r="I1142" s="279" t="s">
        <v>576</v>
      </c>
      <c r="J1142" s="279" t="s">
        <v>677</v>
      </c>
      <c r="K1142" s="279">
        <v>45</v>
      </c>
      <c r="L1142" s="279" t="s">
        <v>2274</v>
      </c>
      <c r="M1142" s="279" t="s">
        <v>2275</v>
      </c>
      <c r="N1142" s="279" t="s">
        <v>2276</v>
      </c>
      <c r="O1142" s="279" t="s">
        <v>2277</v>
      </c>
      <c r="P1142" s="283">
        <v>1002</v>
      </c>
      <c r="Q1142" s="279" t="s">
        <v>2941</v>
      </c>
      <c r="R1142" s="279" t="s">
        <v>577</v>
      </c>
      <c r="S1142" s="279" t="s">
        <v>677</v>
      </c>
      <c r="T1142" s="279">
        <v>68</v>
      </c>
      <c r="U1142" s="267">
        <v>34</v>
      </c>
      <c r="V1142" s="267">
        <v>34</v>
      </c>
      <c r="W1142" s="224">
        <v>68</v>
      </c>
      <c r="X1142" s="267">
        <v>17</v>
      </c>
      <c r="Y1142" s="267">
        <v>17</v>
      </c>
      <c r="Z1142" s="267">
        <v>17</v>
      </c>
      <c r="AA1142" s="267">
        <v>17</v>
      </c>
      <c r="AB1142" s="224">
        <v>68</v>
      </c>
      <c r="AC1142" s="267">
        <v>17</v>
      </c>
      <c r="AD1142" s="267">
        <v>17</v>
      </c>
      <c r="AE1142" s="267">
        <v>17</v>
      </c>
      <c r="AF1142" s="267">
        <v>17</v>
      </c>
      <c r="AG1142" s="224">
        <v>68</v>
      </c>
      <c r="AH1142" s="267">
        <v>17</v>
      </c>
      <c r="AI1142" s="267">
        <v>17</v>
      </c>
      <c r="AJ1142" s="267">
        <v>17</v>
      </c>
      <c r="AK1142" s="267">
        <v>17</v>
      </c>
      <c r="AL1142" s="224">
        <v>68</v>
      </c>
      <c r="AM1142" s="104">
        <v>68</v>
      </c>
      <c r="AN1142" s="103" t="s">
        <v>686</v>
      </c>
      <c r="AO1142" s="103" t="s">
        <v>1212</v>
      </c>
      <c r="AP1142" s="103" t="s">
        <v>1229</v>
      </c>
      <c r="AQ1142" s="103" t="s">
        <v>1207</v>
      </c>
      <c r="AR1142" s="103" t="s">
        <v>951</v>
      </c>
      <c r="AS1142" s="271"/>
      <c r="AT1142" s="271"/>
      <c r="AU1142" s="271"/>
      <c r="AV1142" s="271"/>
      <c r="AW1142" s="271">
        <v>3774175</v>
      </c>
      <c r="AX1142" s="271"/>
      <c r="AY1142" s="271"/>
      <c r="AZ1142" s="271"/>
      <c r="BA1142" s="271"/>
      <c r="BB1142" s="271"/>
      <c r="BC1142" s="271"/>
      <c r="BD1142" s="271"/>
      <c r="BE1142" s="271"/>
      <c r="BF1142" s="271"/>
      <c r="BG1142" s="271"/>
      <c r="BH1142" s="235">
        <f t="shared" si="577"/>
        <v>3774175</v>
      </c>
      <c r="BI1142" s="271"/>
      <c r="BJ1142" s="271"/>
      <c r="BK1142" s="271"/>
      <c r="BL1142" s="271"/>
      <c r="BM1142" s="271">
        <v>20599200</v>
      </c>
      <c r="BN1142" s="271"/>
      <c r="BO1142" s="271"/>
      <c r="BP1142" s="271"/>
      <c r="BQ1142" s="271"/>
      <c r="BR1142" s="271"/>
      <c r="BS1142" s="271"/>
      <c r="BT1142" s="271"/>
      <c r="BU1142" s="271"/>
      <c r="BV1142" s="271"/>
      <c r="BW1142" s="271"/>
      <c r="BX1142" s="235">
        <f t="shared" si="578"/>
        <v>20599200</v>
      </c>
      <c r="BY1142" s="271"/>
      <c r="BZ1142" s="271"/>
      <c r="CA1142" s="271"/>
      <c r="CB1142" s="271"/>
      <c r="CC1142" s="271">
        <v>22299200</v>
      </c>
      <c r="CD1142" s="271"/>
      <c r="CE1142" s="271"/>
      <c r="CF1142" s="271"/>
      <c r="CG1142" s="271"/>
      <c r="CH1142" s="271"/>
      <c r="CI1142" s="271"/>
      <c r="CJ1142" s="271"/>
      <c r="CK1142" s="271"/>
      <c r="CL1142" s="271"/>
      <c r="CM1142" s="271"/>
      <c r="CN1142" s="235">
        <f t="shared" si="579"/>
        <v>22299200</v>
      </c>
      <c r="CO1142" s="271"/>
      <c r="CP1142" s="271"/>
      <c r="CQ1142" s="271"/>
      <c r="CR1142" s="271"/>
      <c r="CS1142" s="271">
        <v>20120285</v>
      </c>
      <c r="CT1142" s="271"/>
      <c r="CU1142" s="271"/>
      <c r="CV1142" s="271"/>
      <c r="CW1142" s="271"/>
      <c r="CX1142" s="271"/>
      <c r="CY1142" s="271"/>
      <c r="CZ1142" s="271"/>
      <c r="DA1142" s="271"/>
      <c r="DB1142" s="271"/>
      <c r="DC1142" s="271"/>
      <c r="DD1142" s="234">
        <f t="shared" si="580"/>
        <v>20120285</v>
      </c>
      <c r="DE1142" s="244">
        <f t="shared" si="581"/>
        <v>66792860</v>
      </c>
    </row>
    <row r="1143" spans="1:109" s="98" customFormat="1" ht="119.1" customHeight="1">
      <c r="A1143" s="103" t="s">
        <v>1249</v>
      </c>
      <c r="B1143" s="279" t="s">
        <v>2051</v>
      </c>
      <c r="C1143" s="279" t="s">
        <v>2264</v>
      </c>
      <c r="D1143" s="279">
        <v>106</v>
      </c>
      <c r="E1143" s="279" t="s">
        <v>2265</v>
      </c>
      <c r="F1143" s="280" t="s">
        <v>2266</v>
      </c>
      <c r="G1143" s="279" t="s">
        <v>3239</v>
      </c>
      <c r="H1143" s="279">
        <v>129</v>
      </c>
      <c r="I1143" s="279" t="s">
        <v>576</v>
      </c>
      <c r="J1143" s="279" t="s">
        <v>677</v>
      </c>
      <c r="K1143" s="279">
        <v>45</v>
      </c>
      <c r="L1143" s="279" t="s">
        <v>2274</v>
      </c>
      <c r="M1143" s="279" t="s">
        <v>2275</v>
      </c>
      <c r="N1143" s="279" t="s">
        <v>2276</v>
      </c>
      <c r="O1143" s="279" t="s">
        <v>2277</v>
      </c>
      <c r="P1143" s="283">
        <v>1003</v>
      </c>
      <c r="Q1143" s="279" t="s">
        <v>2942</v>
      </c>
      <c r="R1143" s="279" t="s">
        <v>577</v>
      </c>
      <c r="S1143" s="279" t="s">
        <v>677</v>
      </c>
      <c r="T1143" s="279">
        <v>68</v>
      </c>
      <c r="U1143" s="267"/>
      <c r="V1143" s="267"/>
      <c r="W1143" s="224">
        <v>0</v>
      </c>
      <c r="X1143" s="267"/>
      <c r="Y1143" s="267">
        <v>4</v>
      </c>
      <c r="Z1143" s="267"/>
      <c r="AA1143" s="267">
        <v>4</v>
      </c>
      <c r="AB1143" s="224">
        <v>8</v>
      </c>
      <c r="AC1143" s="267"/>
      <c r="AD1143" s="267">
        <v>4</v>
      </c>
      <c r="AE1143" s="267"/>
      <c r="AF1143" s="267">
        <v>6</v>
      </c>
      <c r="AG1143" s="224">
        <v>10</v>
      </c>
      <c r="AH1143" s="267"/>
      <c r="AI1143" s="267">
        <v>4</v>
      </c>
      <c r="AJ1143" s="267"/>
      <c r="AK1143" s="267"/>
      <c r="AL1143" s="224">
        <v>4</v>
      </c>
      <c r="AM1143" s="104">
        <v>22</v>
      </c>
      <c r="AN1143" s="103" t="s">
        <v>685</v>
      </c>
      <c r="AO1143" s="103" t="s">
        <v>1212</v>
      </c>
      <c r="AP1143" s="103" t="s">
        <v>1229</v>
      </c>
      <c r="AQ1143" s="103" t="s">
        <v>1207</v>
      </c>
      <c r="AR1143" s="103" t="s">
        <v>951</v>
      </c>
      <c r="AS1143" s="271"/>
      <c r="AT1143" s="271"/>
      <c r="AU1143" s="271"/>
      <c r="AV1143" s="271"/>
      <c r="AW1143" s="271"/>
      <c r="AX1143" s="271"/>
      <c r="AY1143" s="271"/>
      <c r="AZ1143" s="271"/>
      <c r="BA1143" s="271"/>
      <c r="BB1143" s="271"/>
      <c r="BC1143" s="271"/>
      <c r="BD1143" s="271"/>
      <c r="BE1143" s="271"/>
      <c r="BF1143" s="271"/>
      <c r="BG1143" s="271"/>
      <c r="BH1143" s="235">
        <f t="shared" si="577"/>
        <v>0</v>
      </c>
      <c r="BI1143" s="271"/>
      <c r="BJ1143" s="271"/>
      <c r="BK1143" s="271"/>
      <c r="BL1143" s="271"/>
      <c r="BM1143" s="271">
        <v>20599200</v>
      </c>
      <c r="BN1143" s="271"/>
      <c r="BO1143" s="271"/>
      <c r="BP1143" s="271"/>
      <c r="BQ1143" s="271"/>
      <c r="BR1143" s="271"/>
      <c r="BS1143" s="271"/>
      <c r="BT1143" s="271"/>
      <c r="BU1143" s="271"/>
      <c r="BV1143" s="271"/>
      <c r="BW1143" s="271"/>
      <c r="BX1143" s="235">
        <f t="shared" si="578"/>
        <v>20599200</v>
      </c>
      <c r="BY1143" s="271"/>
      <c r="BZ1143" s="271"/>
      <c r="CA1143" s="271"/>
      <c r="CB1143" s="271"/>
      <c r="CC1143" s="271">
        <v>22299200</v>
      </c>
      <c r="CD1143" s="271"/>
      <c r="CE1143" s="271"/>
      <c r="CF1143" s="271"/>
      <c r="CG1143" s="271"/>
      <c r="CH1143" s="271"/>
      <c r="CI1143" s="271"/>
      <c r="CJ1143" s="271"/>
      <c r="CK1143" s="271"/>
      <c r="CL1143" s="271"/>
      <c r="CM1143" s="271"/>
      <c r="CN1143" s="235">
        <f t="shared" si="579"/>
        <v>22299200</v>
      </c>
      <c r="CO1143" s="271"/>
      <c r="CP1143" s="271"/>
      <c r="CQ1143" s="271"/>
      <c r="CR1143" s="271"/>
      <c r="CS1143" s="271">
        <v>20120285</v>
      </c>
      <c r="CT1143" s="271"/>
      <c r="CU1143" s="271"/>
      <c r="CV1143" s="271"/>
      <c r="CW1143" s="271"/>
      <c r="CX1143" s="271"/>
      <c r="CY1143" s="271"/>
      <c r="CZ1143" s="271"/>
      <c r="DA1143" s="271"/>
      <c r="DB1143" s="271"/>
      <c r="DC1143" s="271"/>
      <c r="DD1143" s="234">
        <f t="shared" si="580"/>
        <v>20120285</v>
      </c>
      <c r="DE1143" s="244">
        <f t="shared" si="581"/>
        <v>63018685</v>
      </c>
    </row>
    <row r="1144" spans="1:109" s="98" customFormat="1" ht="119.1" customHeight="1">
      <c r="A1144" s="103" t="s">
        <v>1249</v>
      </c>
      <c r="B1144" s="279" t="s">
        <v>2051</v>
      </c>
      <c r="C1144" s="279" t="s">
        <v>2264</v>
      </c>
      <c r="D1144" s="279">
        <v>106</v>
      </c>
      <c r="E1144" s="279" t="s">
        <v>2265</v>
      </c>
      <c r="F1144" s="280" t="s">
        <v>2266</v>
      </c>
      <c r="G1144" s="279" t="s">
        <v>3239</v>
      </c>
      <c r="H1144" s="279">
        <v>129</v>
      </c>
      <c r="I1144" s="279" t="s">
        <v>576</v>
      </c>
      <c r="J1144" s="279" t="s">
        <v>677</v>
      </c>
      <c r="K1144" s="279">
        <v>45</v>
      </c>
      <c r="L1144" s="279" t="s">
        <v>2274</v>
      </c>
      <c r="M1144" s="279" t="s">
        <v>2275</v>
      </c>
      <c r="N1144" s="279" t="s">
        <v>2276</v>
      </c>
      <c r="O1144" s="279" t="s">
        <v>2277</v>
      </c>
      <c r="P1144" s="283">
        <v>1004</v>
      </c>
      <c r="Q1144" s="279" t="s">
        <v>2943</v>
      </c>
      <c r="R1144" s="279" t="s">
        <v>578</v>
      </c>
      <c r="S1144" s="279" t="s">
        <v>677</v>
      </c>
      <c r="T1144" s="279">
        <v>74</v>
      </c>
      <c r="U1144" s="267"/>
      <c r="V1144" s="267">
        <v>74</v>
      </c>
      <c r="W1144" s="224">
        <v>74</v>
      </c>
      <c r="X1144" s="267">
        <v>18</v>
      </c>
      <c r="Y1144" s="267">
        <v>18</v>
      </c>
      <c r="Z1144" s="267">
        <v>18</v>
      </c>
      <c r="AA1144" s="267">
        <v>20</v>
      </c>
      <c r="AB1144" s="224">
        <v>74</v>
      </c>
      <c r="AC1144" s="267">
        <v>18</v>
      </c>
      <c r="AD1144" s="267">
        <v>18</v>
      </c>
      <c r="AE1144" s="267">
        <v>18</v>
      </c>
      <c r="AF1144" s="267">
        <v>20</v>
      </c>
      <c r="AG1144" s="224">
        <v>74</v>
      </c>
      <c r="AH1144" s="267">
        <v>18</v>
      </c>
      <c r="AI1144" s="267">
        <v>18</v>
      </c>
      <c r="AJ1144" s="267">
        <v>18</v>
      </c>
      <c r="AK1144" s="267">
        <v>20</v>
      </c>
      <c r="AL1144" s="224">
        <v>74</v>
      </c>
      <c r="AM1144" s="104">
        <v>74</v>
      </c>
      <c r="AN1144" s="103" t="s">
        <v>686</v>
      </c>
      <c r="AO1144" s="103" t="s">
        <v>1212</v>
      </c>
      <c r="AP1144" s="103" t="s">
        <v>1229</v>
      </c>
      <c r="AQ1144" s="103" t="s">
        <v>1207</v>
      </c>
      <c r="AR1144" s="103" t="s">
        <v>951</v>
      </c>
      <c r="AS1144" s="271"/>
      <c r="AT1144" s="271"/>
      <c r="AU1144" s="271"/>
      <c r="AV1144" s="271"/>
      <c r="AW1144" s="271">
        <v>1000000</v>
      </c>
      <c r="AX1144" s="271"/>
      <c r="AY1144" s="271"/>
      <c r="AZ1144" s="271"/>
      <c r="BA1144" s="271"/>
      <c r="BB1144" s="271"/>
      <c r="BC1144" s="271"/>
      <c r="BD1144" s="271"/>
      <c r="BE1144" s="271"/>
      <c r="BF1144" s="271"/>
      <c r="BG1144" s="271"/>
      <c r="BH1144" s="235">
        <f t="shared" si="577"/>
        <v>1000000</v>
      </c>
      <c r="BI1144" s="271"/>
      <c r="BJ1144" s="271"/>
      <c r="BK1144" s="271"/>
      <c r="BL1144" s="271"/>
      <c r="BM1144" s="271">
        <v>1000000</v>
      </c>
      <c r="BN1144" s="271"/>
      <c r="BO1144" s="271"/>
      <c r="BP1144" s="271"/>
      <c r="BQ1144" s="271"/>
      <c r="BR1144" s="271"/>
      <c r="BS1144" s="271"/>
      <c r="BT1144" s="271"/>
      <c r="BU1144" s="271"/>
      <c r="BV1144" s="271"/>
      <c r="BW1144" s="271"/>
      <c r="BX1144" s="235">
        <f t="shared" si="578"/>
        <v>1000000</v>
      </c>
      <c r="BY1144" s="271"/>
      <c r="BZ1144" s="271"/>
      <c r="CA1144" s="271"/>
      <c r="CB1144" s="271"/>
      <c r="CC1144" s="271">
        <v>1000000</v>
      </c>
      <c r="CD1144" s="271"/>
      <c r="CE1144" s="271"/>
      <c r="CF1144" s="271"/>
      <c r="CG1144" s="271"/>
      <c r="CH1144" s="271"/>
      <c r="CI1144" s="271"/>
      <c r="CJ1144" s="271"/>
      <c r="CK1144" s="271"/>
      <c r="CL1144" s="271"/>
      <c r="CM1144" s="271"/>
      <c r="CN1144" s="235">
        <f t="shared" si="579"/>
        <v>1000000</v>
      </c>
      <c r="CO1144" s="271"/>
      <c r="CP1144" s="271"/>
      <c r="CQ1144" s="271"/>
      <c r="CR1144" s="271"/>
      <c r="CS1144" s="271">
        <v>1000000</v>
      </c>
      <c r="CT1144" s="271"/>
      <c r="CU1144" s="271"/>
      <c r="CV1144" s="271"/>
      <c r="CW1144" s="271"/>
      <c r="CX1144" s="271"/>
      <c r="CY1144" s="271"/>
      <c r="CZ1144" s="271"/>
      <c r="DA1144" s="271"/>
      <c r="DB1144" s="271"/>
      <c r="DC1144" s="271"/>
      <c r="DD1144" s="234">
        <f t="shared" si="580"/>
        <v>1000000</v>
      </c>
      <c r="DE1144" s="244">
        <f t="shared" si="581"/>
        <v>4000000</v>
      </c>
    </row>
    <row r="1145" spans="1:109" s="98" customFormat="1" ht="119.1" customHeight="1">
      <c r="A1145" s="103" t="s">
        <v>1249</v>
      </c>
      <c r="B1145" s="279" t="s">
        <v>2051</v>
      </c>
      <c r="C1145" s="279" t="s">
        <v>2264</v>
      </c>
      <c r="D1145" s="279">
        <v>106</v>
      </c>
      <c r="E1145" s="279" t="s">
        <v>2265</v>
      </c>
      <c r="F1145" s="280" t="s">
        <v>2266</v>
      </c>
      <c r="G1145" s="279" t="s">
        <v>3239</v>
      </c>
      <c r="H1145" s="279">
        <v>129</v>
      </c>
      <c r="I1145" s="279" t="s">
        <v>576</v>
      </c>
      <c r="J1145" s="279" t="s">
        <v>677</v>
      </c>
      <c r="K1145" s="279">
        <v>45</v>
      </c>
      <c r="L1145" s="279" t="s">
        <v>2274</v>
      </c>
      <c r="M1145" s="279" t="s">
        <v>2275</v>
      </c>
      <c r="N1145" s="279" t="s">
        <v>2276</v>
      </c>
      <c r="O1145" s="279" t="s">
        <v>2277</v>
      </c>
      <c r="P1145" s="283">
        <v>1005</v>
      </c>
      <c r="Q1145" s="279" t="s">
        <v>2944</v>
      </c>
      <c r="R1145" s="279" t="s">
        <v>578</v>
      </c>
      <c r="S1145" s="279" t="s">
        <v>677</v>
      </c>
      <c r="T1145" s="279">
        <v>74</v>
      </c>
      <c r="U1145" s="267"/>
      <c r="V1145" s="267"/>
      <c r="W1145" s="224">
        <v>0</v>
      </c>
      <c r="X1145" s="267"/>
      <c r="Y1145" s="267"/>
      <c r="Z1145" s="267">
        <v>4</v>
      </c>
      <c r="AA1145" s="267">
        <v>4</v>
      </c>
      <c r="AB1145" s="224">
        <v>8</v>
      </c>
      <c r="AC1145" s="267"/>
      <c r="AD1145" s="267"/>
      <c r="AE1145" s="267">
        <v>4</v>
      </c>
      <c r="AF1145" s="267">
        <v>4</v>
      </c>
      <c r="AG1145" s="224">
        <v>8</v>
      </c>
      <c r="AH1145" s="267">
        <v>3</v>
      </c>
      <c r="AI1145" s="267">
        <v>2</v>
      </c>
      <c r="AJ1145" s="267"/>
      <c r="AK1145" s="267"/>
      <c r="AL1145" s="224">
        <v>5</v>
      </c>
      <c r="AM1145" s="104">
        <v>21</v>
      </c>
      <c r="AN1145" s="103" t="s">
        <v>685</v>
      </c>
      <c r="AO1145" s="103" t="s">
        <v>1212</v>
      </c>
      <c r="AP1145" s="103" t="s">
        <v>1229</v>
      </c>
      <c r="AQ1145" s="103" t="s">
        <v>1207</v>
      </c>
      <c r="AR1145" s="103" t="s">
        <v>951</v>
      </c>
      <c r="AS1145" s="271"/>
      <c r="AT1145" s="271"/>
      <c r="AU1145" s="271"/>
      <c r="AV1145" s="271"/>
      <c r="AW1145" s="271"/>
      <c r="AX1145" s="271"/>
      <c r="AY1145" s="271"/>
      <c r="AZ1145" s="271"/>
      <c r="BA1145" s="271"/>
      <c r="BB1145" s="271"/>
      <c r="BC1145" s="271"/>
      <c r="BD1145" s="271"/>
      <c r="BE1145" s="271"/>
      <c r="BF1145" s="271"/>
      <c r="BG1145" s="271"/>
      <c r="BH1145" s="235">
        <f t="shared" si="577"/>
        <v>0</v>
      </c>
      <c r="BI1145" s="271"/>
      <c r="BJ1145" s="271"/>
      <c r="BK1145" s="271"/>
      <c r="BL1145" s="271"/>
      <c r="BM1145" s="271">
        <v>20599200</v>
      </c>
      <c r="BN1145" s="271"/>
      <c r="BO1145" s="271"/>
      <c r="BP1145" s="271"/>
      <c r="BQ1145" s="271"/>
      <c r="BR1145" s="271"/>
      <c r="BS1145" s="271"/>
      <c r="BT1145" s="271"/>
      <c r="BU1145" s="271"/>
      <c r="BV1145" s="271"/>
      <c r="BW1145" s="271"/>
      <c r="BX1145" s="235">
        <f t="shared" si="578"/>
        <v>20599200</v>
      </c>
      <c r="BY1145" s="271"/>
      <c r="BZ1145" s="271"/>
      <c r="CA1145" s="271"/>
      <c r="CB1145" s="271"/>
      <c r="CC1145" s="271">
        <v>22299200</v>
      </c>
      <c r="CD1145" s="271"/>
      <c r="CE1145" s="271"/>
      <c r="CF1145" s="271"/>
      <c r="CG1145" s="271"/>
      <c r="CH1145" s="271"/>
      <c r="CI1145" s="271"/>
      <c r="CJ1145" s="271"/>
      <c r="CK1145" s="271"/>
      <c r="CL1145" s="271"/>
      <c r="CM1145" s="271"/>
      <c r="CN1145" s="235">
        <f t="shared" si="579"/>
        <v>22299200</v>
      </c>
      <c r="CO1145" s="271"/>
      <c r="CP1145" s="271"/>
      <c r="CQ1145" s="271"/>
      <c r="CR1145" s="271"/>
      <c r="CS1145" s="271">
        <v>20120285</v>
      </c>
      <c r="CT1145" s="271"/>
      <c r="CU1145" s="271"/>
      <c r="CV1145" s="271"/>
      <c r="CW1145" s="271"/>
      <c r="CX1145" s="271"/>
      <c r="CY1145" s="271"/>
      <c r="CZ1145" s="271"/>
      <c r="DA1145" s="271"/>
      <c r="DB1145" s="271"/>
      <c r="DC1145" s="271"/>
      <c r="DD1145" s="234">
        <f t="shared" si="580"/>
        <v>20120285</v>
      </c>
      <c r="DE1145" s="244">
        <f t="shared" si="581"/>
        <v>63018685</v>
      </c>
    </row>
    <row r="1146" spans="1:109" s="98" customFormat="1" ht="119.1" customHeight="1">
      <c r="A1146" s="103" t="s">
        <v>1249</v>
      </c>
      <c r="B1146" s="279" t="s">
        <v>2051</v>
      </c>
      <c r="C1146" s="279" t="s">
        <v>2264</v>
      </c>
      <c r="D1146" s="279">
        <v>106</v>
      </c>
      <c r="E1146" s="279" t="s">
        <v>2265</v>
      </c>
      <c r="F1146" s="280" t="s">
        <v>2266</v>
      </c>
      <c r="G1146" s="279" t="s">
        <v>3239</v>
      </c>
      <c r="H1146" s="279">
        <v>129</v>
      </c>
      <c r="I1146" s="279" t="s">
        <v>576</v>
      </c>
      <c r="J1146" s="279" t="s">
        <v>677</v>
      </c>
      <c r="K1146" s="279">
        <v>45</v>
      </c>
      <c r="L1146" s="279" t="s">
        <v>2274</v>
      </c>
      <c r="M1146" s="279" t="s">
        <v>2275</v>
      </c>
      <c r="N1146" s="279" t="s">
        <v>2276</v>
      </c>
      <c r="O1146" s="279" t="s">
        <v>2277</v>
      </c>
      <c r="P1146" s="283">
        <v>1006</v>
      </c>
      <c r="Q1146" s="279" t="s">
        <v>2945</v>
      </c>
      <c r="R1146" s="279" t="s">
        <v>579</v>
      </c>
      <c r="S1146" s="279" t="s">
        <v>683</v>
      </c>
      <c r="T1146" s="279">
        <v>3</v>
      </c>
      <c r="U1146" s="267"/>
      <c r="V1146" s="267">
        <v>3</v>
      </c>
      <c r="W1146" s="224">
        <v>3</v>
      </c>
      <c r="X1146" s="267"/>
      <c r="Y1146" s="267"/>
      <c r="Z1146" s="267"/>
      <c r="AA1146" s="267">
        <v>3</v>
      </c>
      <c r="AB1146" s="224">
        <v>3</v>
      </c>
      <c r="AC1146" s="267"/>
      <c r="AD1146" s="267"/>
      <c r="AE1146" s="267"/>
      <c r="AF1146" s="267">
        <v>3</v>
      </c>
      <c r="AG1146" s="224">
        <v>3</v>
      </c>
      <c r="AH1146" s="267"/>
      <c r="AI1146" s="267"/>
      <c r="AJ1146" s="267"/>
      <c r="AK1146" s="267">
        <v>3</v>
      </c>
      <c r="AL1146" s="224">
        <v>3</v>
      </c>
      <c r="AM1146" s="104">
        <v>3</v>
      </c>
      <c r="AN1146" s="103" t="s">
        <v>686</v>
      </c>
      <c r="AO1146" s="103" t="s">
        <v>1212</v>
      </c>
      <c r="AP1146" s="103" t="s">
        <v>1229</v>
      </c>
      <c r="AQ1146" s="103" t="s">
        <v>1207</v>
      </c>
      <c r="AR1146" s="103" t="s">
        <v>951</v>
      </c>
      <c r="AS1146" s="271"/>
      <c r="AT1146" s="271"/>
      <c r="AU1146" s="271"/>
      <c r="AV1146" s="271"/>
      <c r="AW1146" s="271">
        <v>3774175</v>
      </c>
      <c r="AX1146" s="271"/>
      <c r="AY1146" s="271"/>
      <c r="AZ1146" s="271"/>
      <c r="BA1146" s="271"/>
      <c r="BB1146" s="271"/>
      <c r="BC1146" s="271"/>
      <c r="BD1146" s="271"/>
      <c r="BE1146" s="271"/>
      <c r="BF1146" s="271"/>
      <c r="BG1146" s="271"/>
      <c r="BH1146" s="235">
        <f t="shared" si="577"/>
        <v>3774175</v>
      </c>
      <c r="BI1146" s="271"/>
      <c r="BJ1146" s="271"/>
      <c r="BK1146" s="271"/>
      <c r="BL1146" s="271"/>
      <c r="BM1146" s="271">
        <v>20599200</v>
      </c>
      <c r="BN1146" s="271"/>
      <c r="BO1146" s="271"/>
      <c r="BP1146" s="271"/>
      <c r="BQ1146" s="271"/>
      <c r="BR1146" s="271"/>
      <c r="BS1146" s="271"/>
      <c r="BT1146" s="271"/>
      <c r="BU1146" s="271"/>
      <c r="BV1146" s="271"/>
      <c r="BW1146" s="271"/>
      <c r="BX1146" s="235">
        <f t="shared" si="578"/>
        <v>20599200</v>
      </c>
      <c r="BY1146" s="271"/>
      <c r="BZ1146" s="271"/>
      <c r="CA1146" s="271"/>
      <c r="CB1146" s="271"/>
      <c r="CC1146" s="271">
        <v>22299200</v>
      </c>
      <c r="CD1146" s="271"/>
      <c r="CE1146" s="271"/>
      <c r="CF1146" s="271"/>
      <c r="CG1146" s="271"/>
      <c r="CH1146" s="271"/>
      <c r="CI1146" s="271"/>
      <c r="CJ1146" s="271"/>
      <c r="CK1146" s="271"/>
      <c r="CL1146" s="271"/>
      <c r="CM1146" s="271"/>
      <c r="CN1146" s="235">
        <f t="shared" si="579"/>
        <v>22299200</v>
      </c>
      <c r="CO1146" s="271"/>
      <c r="CP1146" s="271"/>
      <c r="CQ1146" s="271"/>
      <c r="CR1146" s="271"/>
      <c r="CS1146" s="271">
        <v>20120285</v>
      </c>
      <c r="CT1146" s="271"/>
      <c r="CU1146" s="271"/>
      <c r="CV1146" s="271"/>
      <c r="CW1146" s="271"/>
      <c r="CX1146" s="271"/>
      <c r="CY1146" s="271"/>
      <c r="CZ1146" s="271"/>
      <c r="DA1146" s="271"/>
      <c r="DB1146" s="271"/>
      <c r="DC1146" s="271"/>
      <c r="DD1146" s="234">
        <f t="shared" si="580"/>
        <v>20120285</v>
      </c>
      <c r="DE1146" s="244">
        <f t="shared" si="581"/>
        <v>66792860</v>
      </c>
    </row>
    <row r="1147" spans="1:109" s="98" customFormat="1" ht="119.1" customHeight="1">
      <c r="A1147" s="103" t="s">
        <v>1249</v>
      </c>
      <c r="B1147" s="279" t="s">
        <v>2051</v>
      </c>
      <c r="C1147" s="279" t="s">
        <v>2264</v>
      </c>
      <c r="D1147" s="279">
        <v>106</v>
      </c>
      <c r="E1147" s="279" t="s">
        <v>2265</v>
      </c>
      <c r="F1147" s="280" t="s">
        <v>2266</v>
      </c>
      <c r="G1147" s="279" t="s">
        <v>3239</v>
      </c>
      <c r="H1147" s="279">
        <v>129</v>
      </c>
      <c r="I1147" s="279" t="s">
        <v>576</v>
      </c>
      <c r="J1147" s="279" t="s">
        <v>677</v>
      </c>
      <c r="K1147" s="279">
        <v>45</v>
      </c>
      <c r="L1147" s="279" t="s">
        <v>2274</v>
      </c>
      <c r="M1147" s="279" t="s">
        <v>2275</v>
      </c>
      <c r="N1147" s="279" t="s">
        <v>2276</v>
      </c>
      <c r="O1147" s="279" t="s">
        <v>2277</v>
      </c>
      <c r="P1147" s="283">
        <v>1007</v>
      </c>
      <c r="Q1147" s="279" t="s">
        <v>2946</v>
      </c>
      <c r="R1147" s="279" t="s">
        <v>579</v>
      </c>
      <c r="S1147" s="279" t="s">
        <v>683</v>
      </c>
      <c r="T1147" s="279">
        <v>3</v>
      </c>
      <c r="U1147" s="267"/>
      <c r="V1147" s="267">
        <v>1</v>
      </c>
      <c r="W1147" s="224">
        <v>1</v>
      </c>
      <c r="X1147" s="267"/>
      <c r="Y1147" s="267"/>
      <c r="Z1147" s="267"/>
      <c r="AA1147" s="267">
        <v>1</v>
      </c>
      <c r="AB1147" s="224">
        <v>1</v>
      </c>
      <c r="AC1147" s="267"/>
      <c r="AD1147" s="267"/>
      <c r="AE1147" s="267"/>
      <c r="AF1147" s="267">
        <v>1</v>
      </c>
      <c r="AG1147" s="224">
        <v>1</v>
      </c>
      <c r="AH1147" s="267"/>
      <c r="AI1147" s="267"/>
      <c r="AJ1147" s="267"/>
      <c r="AK1147" s="267"/>
      <c r="AL1147" s="224">
        <v>0</v>
      </c>
      <c r="AM1147" s="104">
        <v>3</v>
      </c>
      <c r="AN1147" s="103" t="s">
        <v>685</v>
      </c>
      <c r="AO1147" s="103" t="s">
        <v>1212</v>
      </c>
      <c r="AP1147" s="103" t="s">
        <v>1229</v>
      </c>
      <c r="AQ1147" s="103" t="s">
        <v>1207</v>
      </c>
      <c r="AR1147" s="103" t="s">
        <v>951</v>
      </c>
      <c r="AS1147" s="271"/>
      <c r="AT1147" s="271"/>
      <c r="AU1147" s="271"/>
      <c r="AV1147" s="271"/>
      <c r="AW1147" s="271">
        <v>3774175</v>
      </c>
      <c r="AX1147" s="271"/>
      <c r="AY1147" s="271"/>
      <c r="AZ1147" s="271"/>
      <c r="BA1147" s="271"/>
      <c r="BB1147" s="271"/>
      <c r="BC1147" s="271"/>
      <c r="BD1147" s="271"/>
      <c r="BE1147" s="271"/>
      <c r="BF1147" s="271"/>
      <c r="BG1147" s="271"/>
      <c r="BH1147" s="235">
        <f t="shared" si="577"/>
        <v>3774175</v>
      </c>
      <c r="BI1147" s="271"/>
      <c r="BJ1147" s="271"/>
      <c r="BK1147" s="271"/>
      <c r="BL1147" s="271"/>
      <c r="BM1147" s="271">
        <v>20599200</v>
      </c>
      <c r="BN1147" s="271"/>
      <c r="BO1147" s="271"/>
      <c r="BP1147" s="271"/>
      <c r="BQ1147" s="271"/>
      <c r="BR1147" s="271"/>
      <c r="BS1147" s="271"/>
      <c r="BT1147" s="271"/>
      <c r="BU1147" s="271"/>
      <c r="BV1147" s="271"/>
      <c r="BW1147" s="271"/>
      <c r="BX1147" s="235">
        <f t="shared" si="578"/>
        <v>20599200</v>
      </c>
      <c r="BY1147" s="271"/>
      <c r="BZ1147" s="271"/>
      <c r="CA1147" s="271"/>
      <c r="CB1147" s="271"/>
      <c r="CC1147" s="271">
        <v>22299200</v>
      </c>
      <c r="CD1147" s="271"/>
      <c r="CE1147" s="271"/>
      <c r="CF1147" s="271"/>
      <c r="CG1147" s="271"/>
      <c r="CH1147" s="271"/>
      <c r="CI1147" s="271"/>
      <c r="CJ1147" s="271"/>
      <c r="CK1147" s="271"/>
      <c r="CL1147" s="271"/>
      <c r="CM1147" s="271"/>
      <c r="CN1147" s="235">
        <f t="shared" si="579"/>
        <v>22299200</v>
      </c>
      <c r="CO1147" s="271"/>
      <c r="CP1147" s="271"/>
      <c r="CQ1147" s="271"/>
      <c r="CR1147" s="271"/>
      <c r="CS1147" s="271"/>
      <c r="CT1147" s="271"/>
      <c r="CU1147" s="271"/>
      <c r="CV1147" s="271"/>
      <c r="CW1147" s="271"/>
      <c r="CX1147" s="271"/>
      <c r="CY1147" s="271"/>
      <c r="CZ1147" s="271"/>
      <c r="DA1147" s="271"/>
      <c r="DB1147" s="271"/>
      <c r="DC1147" s="271"/>
      <c r="DD1147" s="234">
        <f t="shared" si="580"/>
        <v>0</v>
      </c>
      <c r="DE1147" s="244">
        <f t="shared" si="581"/>
        <v>46672575</v>
      </c>
    </row>
    <row r="1148" spans="1:109" s="98" customFormat="1" ht="119.1" customHeight="1">
      <c r="A1148" s="103" t="s">
        <v>1249</v>
      </c>
      <c r="B1148" s="279" t="s">
        <v>2051</v>
      </c>
      <c r="C1148" s="279" t="s">
        <v>2264</v>
      </c>
      <c r="D1148" s="279">
        <v>106</v>
      </c>
      <c r="E1148" s="279" t="s">
        <v>2265</v>
      </c>
      <c r="F1148" s="280" t="s">
        <v>2266</v>
      </c>
      <c r="G1148" s="279" t="s">
        <v>3239</v>
      </c>
      <c r="H1148" s="279">
        <v>129</v>
      </c>
      <c r="I1148" s="279" t="s">
        <v>576</v>
      </c>
      <c r="J1148" s="279" t="s">
        <v>677</v>
      </c>
      <c r="K1148" s="279">
        <v>45</v>
      </c>
      <c r="L1148" s="279" t="s">
        <v>2274</v>
      </c>
      <c r="M1148" s="279" t="s">
        <v>2275</v>
      </c>
      <c r="N1148" s="279" t="s">
        <v>2276</v>
      </c>
      <c r="O1148" s="279" t="s">
        <v>2277</v>
      </c>
      <c r="P1148" s="283">
        <v>1008</v>
      </c>
      <c r="Q1148" s="279" t="s">
        <v>2947</v>
      </c>
      <c r="R1148" s="279" t="s">
        <v>580</v>
      </c>
      <c r="S1148" s="279" t="s">
        <v>683</v>
      </c>
      <c r="T1148" s="279">
        <v>0</v>
      </c>
      <c r="U1148" s="267">
        <v>1</v>
      </c>
      <c r="V1148" s="267"/>
      <c r="W1148" s="224">
        <v>1</v>
      </c>
      <c r="X1148" s="267"/>
      <c r="Y1148" s="267"/>
      <c r="Z1148" s="267">
        <v>1</v>
      </c>
      <c r="AA1148" s="267"/>
      <c r="AB1148" s="224">
        <v>1</v>
      </c>
      <c r="AC1148" s="267"/>
      <c r="AD1148" s="267"/>
      <c r="AE1148" s="267">
        <v>1</v>
      </c>
      <c r="AF1148" s="267"/>
      <c r="AG1148" s="224">
        <v>1</v>
      </c>
      <c r="AH1148" s="267"/>
      <c r="AI1148" s="267"/>
      <c r="AJ1148" s="267">
        <v>1</v>
      </c>
      <c r="AK1148" s="267"/>
      <c r="AL1148" s="224">
        <v>1</v>
      </c>
      <c r="AM1148" s="104">
        <v>4</v>
      </c>
      <c r="AN1148" s="103" t="s">
        <v>685</v>
      </c>
      <c r="AO1148" s="103" t="s">
        <v>1212</v>
      </c>
      <c r="AP1148" s="103" t="s">
        <v>1229</v>
      </c>
      <c r="AQ1148" s="103" t="s">
        <v>1207</v>
      </c>
      <c r="AR1148" s="103" t="s">
        <v>951</v>
      </c>
      <c r="AS1148" s="271"/>
      <c r="AT1148" s="271"/>
      <c r="AU1148" s="271"/>
      <c r="AV1148" s="271"/>
      <c r="AW1148" s="271">
        <v>3774175</v>
      </c>
      <c r="AX1148" s="271"/>
      <c r="AY1148" s="271"/>
      <c r="AZ1148" s="271"/>
      <c r="BA1148" s="271"/>
      <c r="BB1148" s="271"/>
      <c r="BC1148" s="271"/>
      <c r="BD1148" s="271"/>
      <c r="BE1148" s="271"/>
      <c r="BF1148" s="271"/>
      <c r="BG1148" s="271"/>
      <c r="BH1148" s="235">
        <f t="shared" si="577"/>
        <v>3774175</v>
      </c>
      <c r="BI1148" s="271"/>
      <c r="BJ1148" s="271"/>
      <c r="BK1148" s="271"/>
      <c r="BL1148" s="271"/>
      <c r="BM1148" s="271">
        <v>20599200</v>
      </c>
      <c r="BN1148" s="271"/>
      <c r="BO1148" s="271"/>
      <c r="BP1148" s="271"/>
      <c r="BQ1148" s="271"/>
      <c r="BR1148" s="271"/>
      <c r="BS1148" s="271"/>
      <c r="BT1148" s="271"/>
      <c r="BU1148" s="271"/>
      <c r="BV1148" s="271"/>
      <c r="BW1148" s="271"/>
      <c r="BX1148" s="235">
        <f t="shared" si="578"/>
        <v>20599200</v>
      </c>
      <c r="BY1148" s="271"/>
      <c r="BZ1148" s="271"/>
      <c r="CA1148" s="271"/>
      <c r="CB1148" s="271"/>
      <c r="CC1148" s="271">
        <v>22299200</v>
      </c>
      <c r="CD1148" s="271"/>
      <c r="CE1148" s="271"/>
      <c r="CF1148" s="271"/>
      <c r="CG1148" s="271"/>
      <c r="CH1148" s="271"/>
      <c r="CI1148" s="271"/>
      <c r="CJ1148" s="271"/>
      <c r="CK1148" s="271"/>
      <c r="CL1148" s="271"/>
      <c r="CM1148" s="271"/>
      <c r="CN1148" s="235">
        <f t="shared" si="579"/>
        <v>22299200</v>
      </c>
      <c r="CO1148" s="271"/>
      <c r="CP1148" s="271"/>
      <c r="CQ1148" s="271"/>
      <c r="CR1148" s="271"/>
      <c r="CS1148" s="271">
        <v>20120285</v>
      </c>
      <c r="CT1148" s="271"/>
      <c r="CU1148" s="271"/>
      <c r="CV1148" s="271"/>
      <c r="CW1148" s="271"/>
      <c r="CX1148" s="271"/>
      <c r="CY1148" s="271"/>
      <c r="CZ1148" s="271"/>
      <c r="DA1148" s="271"/>
      <c r="DB1148" s="271"/>
      <c r="DC1148" s="271"/>
      <c r="DD1148" s="234">
        <f t="shared" si="580"/>
        <v>20120285</v>
      </c>
      <c r="DE1148" s="244">
        <f t="shared" si="581"/>
        <v>66792860</v>
      </c>
    </row>
    <row r="1149" spans="1:109" s="98" customFormat="1" ht="119.1" customHeight="1">
      <c r="A1149" s="103" t="s">
        <v>1249</v>
      </c>
      <c r="B1149" s="279" t="s">
        <v>2051</v>
      </c>
      <c r="C1149" s="279" t="s">
        <v>2264</v>
      </c>
      <c r="D1149" s="279">
        <v>106</v>
      </c>
      <c r="E1149" s="279" t="s">
        <v>2265</v>
      </c>
      <c r="F1149" s="280" t="s">
        <v>2266</v>
      </c>
      <c r="G1149" s="279" t="s">
        <v>2948</v>
      </c>
      <c r="H1149" s="279">
        <v>130</v>
      </c>
      <c r="I1149" s="279" t="s">
        <v>581</v>
      </c>
      <c r="J1149" s="279" t="s">
        <v>677</v>
      </c>
      <c r="K1149" s="279">
        <v>0</v>
      </c>
      <c r="L1149" s="279">
        <v>15</v>
      </c>
      <c r="M1149" s="279" t="s">
        <v>2278</v>
      </c>
      <c r="N1149" s="279" t="s">
        <v>2279</v>
      </c>
      <c r="O1149" s="279" t="s">
        <v>2280</v>
      </c>
      <c r="P1149" s="283">
        <v>1009</v>
      </c>
      <c r="Q1149" s="279" t="s">
        <v>3819</v>
      </c>
      <c r="R1149" s="279" t="s">
        <v>582</v>
      </c>
      <c r="S1149" s="279" t="s">
        <v>683</v>
      </c>
      <c r="T1149" s="279">
        <v>9</v>
      </c>
      <c r="U1149" s="267">
        <v>2</v>
      </c>
      <c r="V1149" s="267">
        <v>7</v>
      </c>
      <c r="W1149" s="224">
        <v>9</v>
      </c>
      <c r="X1149" s="267">
        <v>1</v>
      </c>
      <c r="Y1149" s="267">
        <v>2</v>
      </c>
      <c r="Z1149" s="267">
        <v>3</v>
      </c>
      <c r="AA1149" s="267">
        <v>3</v>
      </c>
      <c r="AB1149" s="224">
        <v>9</v>
      </c>
      <c r="AC1149" s="267">
        <v>1</v>
      </c>
      <c r="AD1149" s="267">
        <v>2</v>
      </c>
      <c r="AE1149" s="267">
        <v>3</v>
      </c>
      <c r="AF1149" s="267">
        <v>3</v>
      </c>
      <c r="AG1149" s="224">
        <v>9</v>
      </c>
      <c r="AH1149" s="267">
        <v>1</v>
      </c>
      <c r="AI1149" s="267">
        <v>2</v>
      </c>
      <c r="AJ1149" s="267">
        <v>3</v>
      </c>
      <c r="AK1149" s="267">
        <v>3</v>
      </c>
      <c r="AL1149" s="224">
        <v>9</v>
      </c>
      <c r="AM1149" s="104">
        <v>9</v>
      </c>
      <c r="AN1149" s="103" t="s">
        <v>686</v>
      </c>
      <c r="AO1149" s="103" t="s">
        <v>1212</v>
      </c>
      <c r="AP1149" s="103" t="s">
        <v>1229</v>
      </c>
      <c r="AQ1149" s="103" t="s">
        <v>1207</v>
      </c>
      <c r="AR1149" s="103" t="s">
        <v>951</v>
      </c>
      <c r="AS1149" s="271"/>
      <c r="AT1149" s="271"/>
      <c r="AU1149" s="271"/>
      <c r="AV1149" s="271"/>
      <c r="AW1149" s="271">
        <v>3774175</v>
      </c>
      <c r="AX1149" s="271"/>
      <c r="AY1149" s="271"/>
      <c r="AZ1149" s="271"/>
      <c r="BA1149" s="271"/>
      <c r="BB1149" s="271"/>
      <c r="BC1149" s="271"/>
      <c r="BD1149" s="271"/>
      <c r="BE1149" s="271"/>
      <c r="BF1149" s="271"/>
      <c r="BG1149" s="271"/>
      <c r="BH1149" s="235">
        <f t="shared" si="577"/>
        <v>3774175</v>
      </c>
      <c r="BI1149" s="271"/>
      <c r="BJ1149" s="271"/>
      <c r="BK1149" s="271"/>
      <c r="BL1149" s="271"/>
      <c r="BM1149" s="271">
        <v>20599200</v>
      </c>
      <c r="BN1149" s="271"/>
      <c r="BO1149" s="271"/>
      <c r="BP1149" s="271"/>
      <c r="BQ1149" s="271"/>
      <c r="BR1149" s="271"/>
      <c r="BS1149" s="271"/>
      <c r="BT1149" s="271"/>
      <c r="BU1149" s="271"/>
      <c r="BV1149" s="271"/>
      <c r="BW1149" s="271"/>
      <c r="BX1149" s="235">
        <f t="shared" si="578"/>
        <v>20599200</v>
      </c>
      <c r="BY1149" s="271"/>
      <c r="BZ1149" s="271"/>
      <c r="CA1149" s="271"/>
      <c r="CB1149" s="271"/>
      <c r="CC1149" s="271">
        <v>22299200</v>
      </c>
      <c r="CD1149" s="271"/>
      <c r="CE1149" s="271"/>
      <c r="CF1149" s="271"/>
      <c r="CG1149" s="271"/>
      <c r="CH1149" s="271"/>
      <c r="CI1149" s="271"/>
      <c r="CJ1149" s="271"/>
      <c r="CK1149" s="271"/>
      <c r="CL1149" s="271"/>
      <c r="CM1149" s="271"/>
      <c r="CN1149" s="235">
        <f t="shared" si="579"/>
        <v>22299200</v>
      </c>
      <c r="CO1149" s="271"/>
      <c r="CP1149" s="271"/>
      <c r="CQ1149" s="271"/>
      <c r="CR1149" s="271"/>
      <c r="CS1149" s="271">
        <v>20120285</v>
      </c>
      <c r="CT1149" s="271"/>
      <c r="CU1149" s="271"/>
      <c r="CV1149" s="271"/>
      <c r="CW1149" s="271"/>
      <c r="CX1149" s="271"/>
      <c r="CY1149" s="271"/>
      <c r="CZ1149" s="271"/>
      <c r="DA1149" s="271"/>
      <c r="DB1149" s="271"/>
      <c r="DC1149" s="271"/>
      <c r="DD1149" s="234">
        <f t="shared" si="580"/>
        <v>20120285</v>
      </c>
      <c r="DE1149" s="244">
        <f t="shared" si="581"/>
        <v>66792860</v>
      </c>
    </row>
    <row r="1150" spans="1:109" s="98" customFormat="1" ht="119.1" customHeight="1">
      <c r="A1150" s="103" t="s">
        <v>1249</v>
      </c>
      <c r="B1150" s="279" t="s">
        <v>2051</v>
      </c>
      <c r="C1150" s="279" t="s">
        <v>2264</v>
      </c>
      <c r="D1150" s="279">
        <v>106</v>
      </c>
      <c r="E1150" s="279" t="s">
        <v>2265</v>
      </c>
      <c r="F1150" s="280" t="s">
        <v>2266</v>
      </c>
      <c r="G1150" s="279" t="s">
        <v>2948</v>
      </c>
      <c r="H1150" s="279">
        <v>130</v>
      </c>
      <c r="I1150" s="279" t="s">
        <v>581</v>
      </c>
      <c r="J1150" s="279" t="s">
        <v>677</v>
      </c>
      <c r="K1150" s="279">
        <v>0</v>
      </c>
      <c r="L1150" s="279">
        <v>15</v>
      </c>
      <c r="M1150" s="279" t="s">
        <v>2278</v>
      </c>
      <c r="N1150" s="279" t="s">
        <v>2279</v>
      </c>
      <c r="O1150" s="279" t="s">
        <v>2280</v>
      </c>
      <c r="P1150" s="283">
        <v>1010</v>
      </c>
      <c r="Q1150" s="279" t="s">
        <v>3820</v>
      </c>
      <c r="R1150" s="279" t="s">
        <v>582</v>
      </c>
      <c r="S1150" s="279" t="s">
        <v>683</v>
      </c>
      <c r="T1150" s="279">
        <v>9</v>
      </c>
      <c r="U1150" s="267"/>
      <c r="V1150" s="267">
        <v>1</v>
      </c>
      <c r="W1150" s="224">
        <v>1</v>
      </c>
      <c r="X1150" s="267">
        <v>1</v>
      </c>
      <c r="Y1150" s="267">
        <v>1</v>
      </c>
      <c r="Z1150" s="267">
        <v>1</v>
      </c>
      <c r="AA1150" s="267">
        <v>1</v>
      </c>
      <c r="AB1150" s="224">
        <v>4</v>
      </c>
      <c r="AC1150" s="267">
        <v>1</v>
      </c>
      <c r="AD1150" s="267">
        <v>1</v>
      </c>
      <c r="AE1150" s="267">
        <v>1</v>
      </c>
      <c r="AF1150" s="267">
        <v>1</v>
      </c>
      <c r="AG1150" s="224">
        <v>4</v>
      </c>
      <c r="AH1150" s="267">
        <v>1</v>
      </c>
      <c r="AI1150" s="267">
        <v>1</v>
      </c>
      <c r="AJ1150" s="267"/>
      <c r="AK1150" s="267"/>
      <c r="AL1150" s="224">
        <v>2</v>
      </c>
      <c r="AM1150" s="104">
        <v>11</v>
      </c>
      <c r="AN1150" s="103" t="s">
        <v>685</v>
      </c>
      <c r="AO1150" s="103" t="s">
        <v>1212</v>
      </c>
      <c r="AP1150" s="103" t="s">
        <v>1229</v>
      </c>
      <c r="AQ1150" s="103" t="s">
        <v>1207</v>
      </c>
      <c r="AR1150" s="103" t="s">
        <v>951</v>
      </c>
      <c r="AS1150" s="271"/>
      <c r="AT1150" s="271"/>
      <c r="AU1150" s="271"/>
      <c r="AV1150" s="271"/>
      <c r="AW1150" s="271">
        <v>3774175</v>
      </c>
      <c r="AX1150" s="271"/>
      <c r="AY1150" s="271"/>
      <c r="AZ1150" s="271"/>
      <c r="BA1150" s="271"/>
      <c r="BB1150" s="271"/>
      <c r="BC1150" s="271"/>
      <c r="BD1150" s="271"/>
      <c r="BE1150" s="271"/>
      <c r="BF1150" s="271"/>
      <c r="BG1150" s="271"/>
      <c r="BH1150" s="235">
        <f t="shared" si="577"/>
        <v>3774175</v>
      </c>
      <c r="BI1150" s="271"/>
      <c r="BJ1150" s="271"/>
      <c r="BK1150" s="271"/>
      <c r="BL1150" s="271"/>
      <c r="BM1150" s="271">
        <v>20599200</v>
      </c>
      <c r="BN1150" s="271"/>
      <c r="BO1150" s="271"/>
      <c r="BP1150" s="271"/>
      <c r="BQ1150" s="271"/>
      <c r="BR1150" s="271"/>
      <c r="BS1150" s="271"/>
      <c r="BT1150" s="271"/>
      <c r="BU1150" s="271"/>
      <c r="BV1150" s="271"/>
      <c r="BW1150" s="271"/>
      <c r="BX1150" s="235">
        <f t="shared" si="578"/>
        <v>20599200</v>
      </c>
      <c r="BY1150" s="271"/>
      <c r="BZ1150" s="271"/>
      <c r="CA1150" s="271"/>
      <c r="CB1150" s="271"/>
      <c r="CC1150" s="271">
        <v>22299200</v>
      </c>
      <c r="CD1150" s="271"/>
      <c r="CE1150" s="271"/>
      <c r="CF1150" s="271"/>
      <c r="CG1150" s="271"/>
      <c r="CH1150" s="271"/>
      <c r="CI1150" s="271"/>
      <c r="CJ1150" s="271"/>
      <c r="CK1150" s="271"/>
      <c r="CL1150" s="271"/>
      <c r="CM1150" s="271"/>
      <c r="CN1150" s="235">
        <f t="shared" si="579"/>
        <v>22299200</v>
      </c>
      <c r="CO1150" s="271"/>
      <c r="CP1150" s="271"/>
      <c r="CQ1150" s="271"/>
      <c r="CR1150" s="271"/>
      <c r="CS1150" s="271">
        <v>50000000</v>
      </c>
      <c r="CT1150" s="271"/>
      <c r="CU1150" s="271"/>
      <c r="CV1150" s="271"/>
      <c r="CW1150" s="271"/>
      <c r="CX1150" s="271"/>
      <c r="CY1150" s="271"/>
      <c r="CZ1150" s="271"/>
      <c r="DA1150" s="271"/>
      <c r="DB1150" s="271"/>
      <c r="DC1150" s="271"/>
      <c r="DD1150" s="234">
        <f t="shared" si="580"/>
        <v>50000000</v>
      </c>
      <c r="DE1150" s="244">
        <f t="shared" si="581"/>
        <v>96672575</v>
      </c>
    </row>
    <row r="1151" spans="1:109" s="98" customFormat="1" ht="119.1" customHeight="1">
      <c r="A1151" s="103" t="s">
        <v>1249</v>
      </c>
      <c r="B1151" s="279" t="s">
        <v>2051</v>
      </c>
      <c r="C1151" s="279" t="s">
        <v>2264</v>
      </c>
      <c r="D1151" s="279">
        <v>106</v>
      </c>
      <c r="E1151" s="279" t="s">
        <v>2265</v>
      </c>
      <c r="F1151" s="280" t="s">
        <v>2266</v>
      </c>
      <c r="G1151" s="279" t="s">
        <v>2948</v>
      </c>
      <c r="H1151" s="279">
        <v>130</v>
      </c>
      <c r="I1151" s="279" t="s">
        <v>581</v>
      </c>
      <c r="J1151" s="279" t="s">
        <v>677</v>
      </c>
      <c r="K1151" s="279">
        <v>0</v>
      </c>
      <c r="L1151" s="279">
        <v>15</v>
      </c>
      <c r="M1151" s="279" t="s">
        <v>2278</v>
      </c>
      <c r="N1151" s="279" t="s">
        <v>2279</v>
      </c>
      <c r="O1151" s="279" t="s">
        <v>2280</v>
      </c>
      <c r="P1151" s="283">
        <v>1011</v>
      </c>
      <c r="Q1151" s="279" t="s">
        <v>3787</v>
      </c>
      <c r="R1151" s="279" t="s">
        <v>2281</v>
      </c>
      <c r="S1151" s="279" t="s">
        <v>683</v>
      </c>
      <c r="T1151" s="279">
        <v>16</v>
      </c>
      <c r="U1151" s="267">
        <v>8</v>
      </c>
      <c r="V1151" s="267">
        <v>8</v>
      </c>
      <c r="W1151" s="224">
        <v>16</v>
      </c>
      <c r="X1151" s="267">
        <v>4</v>
      </c>
      <c r="Y1151" s="267">
        <v>4</v>
      </c>
      <c r="Z1151" s="267">
        <v>4</v>
      </c>
      <c r="AA1151" s="267">
        <v>4</v>
      </c>
      <c r="AB1151" s="224">
        <v>16</v>
      </c>
      <c r="AC1151" s="267">
        <v>4</v>
      </c>
      <c r="AD1151" s="267">
        <v>4</v>
      </c>
      <c r="AE1151" s="267">
        <v>4</v>
      </c>
      <c r="AF1151" s="267">
        <v>4</v>
      </c>
      <c r="AG1151" s="224">
        <v>16</v>
      </c>
      <c r="AH1151" s="267">
        <v>4</v>
      </c>
      <c r="AI1151" s="267">
        <v>4</v>
      </c>
      <c r="AJ1151" s="267">
        <v>4</v>
      </c>
      <c r="AK1151" s="267">
        <v>4</v>
      </c>
      <c r="AL1151" s="224">
        <v>16</v>
      </c>
      <c r="AM1151" s="104">
        <v>16</v>
      </c>
      <c r="AN1151" s="103" t="s">
        <v>686</v>
      </c>
      <c r="AO1151" s="103" t="s">
        <v>1212</v>
      </c>
      <c r="AP1151" s="103" t="s">
        <v>1229</v>
      </c>
      <c r="AQ1151" s="103" t="s">
        <v>1207</v>
      </c>
      <c r="AR1151" s="103" t="s">
        <v>951</v>
      </c>
      <c r="AS1151" s="271"/>
      <c r="AT1151" s="271"/>
      <c r="AU1151" s="271"/>
      <c r="AV1151" s="271"/>
      <c r="AW1151" s="271">
        <v>3774175</v>
      </c>
      <c r="AX1151" s="271"/>
      <c r="AY1151" s="271"/>
      <c r="AZ1151" s="271"/>
      <c r="BA1151" s="271"/>
      <c r="BB1151" s="271"/>
      <c r="BC1151" s="271"/>
      <c r="BD1151" s="271"/>
      <c r="BE1151" s="271"/>
      <c r="BF1151" s="271"/>
      <c r="BG1151" s="271"/>
      <c r="BH1151" s="235">
        <f t="shared" si="577"/>
        <v>3774175</v>
      </c>
      <c r="BI1151" s="271"/>
      <c r="BJ1151" s="271"/>
      <c r="BK1151" s="271"/>
      <c r="BL1151" s="271"/>
      <c r="BM1151" s="271">
        <v>20599200</v>
      </c>
      <c r="BN1151" s="271"/>
      <c r="BO1151" s="271"/>
      <c r="BP1151" s="271"/>
      <c r="BQ1151" s="271"/>
      <c r="BR1151" s="271"/>
      <c r="BS1151" s="271"/>
      <c r="BT1151" s="271"/>
      <c r="BU1151" s="271"/>
      <c r="BV1151" s="271"/>
      <c r="BW1151" s="271"/>
      <c r="BX1151" s="235">
        <f t="shared" si="578"/>
        <v>20599200</v>
      </c>
      <c r="BY1151" s="271"/>
      <c r="BZ1151" s="271"/>
      <c r="CA1151" s="271"/>
      <c r="CB1151" s="271"/>
      <c r="CC1151" s="271">
        <v>22299200</v>
      </c>
      <c r="CD1151" s="271"/>
      <c r="CE1151" s="271"/>
      <c r="CF1151" s="271"/>
      <c r="CG1151" s="271"/>
      <c r="CH1151" s="271"/>
      <c r="CI1151" s="271"/>
      <c r="CJ1151" s="271"/>
      <c r="CK1151" s="271"/>
      <c r="CL1151" s="271"/>
      <c r="CM1151" s="271"/>
      <c r="CN1151" s="235">
        <f t="shared" si="579"/>
        <v>22299200</v>
      </c>
      <c r="CO1151" s="271"/>
      <c r="CP1151" s="271"/>
      <c r="CQ1151" s="271"/>
      <c r="CR1151" s="271"/>
      <c r="CS1151" s="271">
        <v>20120290</v>
      </c>
      <c r="CT1151" s="271"/>
      <c r="CU1151" s="271"/>
      <c r="CV1151" s="271"/>
      <c r="CW1151" s="271"/>
      <c r="CX1151" s="271"/>
      <c r="CY1151" s="271"/>
      <c r="CZ1151" s="271"/>
      <c r="DA1151" s="271"/>
      <c r="DB1151" s="271"/>
      <c r="DC1151" s="271"/>
      <c r="DD1151" s="234">
        <f t="shared" si="580"/>
        <v>20120290</v>
      </c>
      <c r="DE1151" s="244">
        <f t="shared" si="581"/>
        <v>66792865</v>
      </c>
    </row>
    <row r="1152" spans="1:109" s="98" customFormat="1" ht="119.1" customHeight="1">
      <c r="A1152" s="120" t="s">
        <v>1249</v>
      </c>
      <c r="B1152" s="281" t="s">
        <v>2051</v>
      </c>
      <c r="C1152" s="281" t="s">
        <v>2264</v>
      </c>
      <c r="D1152" s="281">
        <v>106</v>
      </c>
      <c r="E1152" s="281" t="s">
        <v>2265</v>
      </c>
      <c r="F1152" s="282" t="s">
        <v>2266</v>
      </c>
      <c r="G1152" s="281" t="s">
        <v>2948</v>
      </c>
      <c r="H1152" s="281">
        <v>130</v>
      </c>
      <c r="I1152" s="281" t="s">
        <v>581</v>
      </c>
      <c r="J1152" s="281" t="s">
        <v>677</v>
      </c>
      <c r="K1152" s="281">
        <v>0</v>
      </c>
      <c r="L1152" s="281">
        <v>15</v>
      </c>
      <c r="M1152" s="281" t="s">
        <v>2278</v>
      </c>
      <c r="N1152" s="281" t="s">
        <v>2279</v>
      </c>
      <c r="O1152" s="281" t="s">
        <v>2280</v>
      </c>
      <c r="P1152" s="283">
        <v>1012</v>
      </c>
      <c r="Q1152" s="281" t="s">
        <v>3788</v>
      </c>
      <c r="R1152" s="281" t="s">
        <v>2281</v>
      </c>
      <c r="S1152" s="281" t="s">
        <v>683</v>
      </c>
      <c r="T1152" s="281">
        <v>16</v>
      </c>
      <c r="U1152" s="275">
        <v>1</v>
      </c>
      <c r="V1152" s="275">
        <v>1</v>
      </c>
      <c r="W1152" s="225">
        <v>2</v>
      </c>
      <c r="X1152" s="275"/>
      <c r="Y1152" s="275"/>
      <c r="Z1152" s="275">
        <v>1</v>
      </c>
      <c r="AA1152" s="275"/>
      <c r="AB1152" s="225">
        <v>1</v>
      </c>
      <c r="AC1152" s="275"/>
      <c r="AD1152" s="275"/>
      <c r="AE1152" s="275">
        <v>2</v>
      </c>
      <c r="AF1152" s="275"/>
      <c r="AG1152" s="225">
        <v>2</v>
      </c>
      <c r="AH1152" s="275"/>
      <c r="AI1152" s="275"/>
      <c r="AJ1152" s="275">
        <v>1</v>
      </c>
      <c r="AK1152" s="275"/>
      <c r="AL1152" s="225">
        <v>1</v>
      </c>
      <c r="AM1152" s="119">
        <v>6</v>
      </c>
      <c r="AN1152" s="120" t="s">
        <v>685</v>
      </c>
      <c r="AO1152" s="120" t="s">
        <v>1212</v>
      </c>
      <c r="AP1152" s="120" t="s">
        <v>1229</v>
      </c>
      <c r="AQ1152" s="120" t="s">
        <v>1207</v>
      </c>
      <c r="AR1152" s="120" t="s">
        <v>951</v>
      </c>
      <c r="AS1152" s="276"/>
      <c r="AT1152" s="276"/>
      <c r="AU1152" s="276"/>
      <c r="AV1152" s="276"/>
      <c r="AW1152" s="276">
        <v>3774175</v>
      </c>
      <c r="AX1152" s="276"/>
      <c r="AY1152" s="276"/>
      <c r="AZ1152" s="276"/>
      <c r="BA1152" s="276"/>
      <c r="BB1152" s="276"/>
      <c r="BC1152" s="276"/>
      <c r="BD1152" s="276"/>
      <c r="BE1152" s="276"/>
      <c r="BF1152" s="276"/>
      <c r="BG1152" s="276"/>
      <c r="BH1152" s="236">
        <f t="shared" si="577"/>
        <v>3774175</v>
      </c>
      <c r="BI1152" s="276"/>
      <c r="BJ1152" s="276"/>
      <c r="BK1152" s="276"/>
      <c r="BL1152" s="276"/>
      <c r="BM1152" s="276">
        <v>20599200</v>
      </c>
      <c r="BN1152" s="276"/>
      <c r="BO1152" s="276"/>
      <c r="BP1152" s="276"/>
      <c r="BQ1152" s="276"/>
      <c r="BR1152" s="276"/>
      <c r="BS1152" s="276"/>
      <c r="BT1152" s="276"/>
      <c r="BU1152" s="276"/>
      <c r="BV1152" s="276"/>
      <c r="BW1152" s="276"/>
      <c r="BX1152" s="236">
        <f t="shared" si="578"/>
        <v>20599200</v>
      </c>
      <c r="BY1152" s="276"/>
      <c r="BZ1152" s="276"/>
      <c r="CA1152" s="276"/>
      <c r="CB1152" s="276"/>
      <c r="CC1152" s="276">
        <v>22299200</v>
      </c>
      <c r="CD1152" s="276"/>
      <c r="CE1152" s="276"/>
      <c r="CF1152" s="276"/>
      <c r="CG1152" s="276"/>
      <c r="CH1152" s="276"/>
      <c r="CI1152" s="276"/>
      <c r="CJ1152" s="276"/>
      <c r="CK1152" s="276"/>
      <c r="CL1152" s="276"/>
      <c r="CM1152" s="276"/>
      <c r="CN1152" s="236">
        <f t="shared" si="579"/>
        <v>22299200</v>
      </c>
      <c r="CO1152" s="276"/>
      <c r="CP1152" s="276"/>
      <c r="CQ1152" s="276"/>
      <c r="CR1152" s="276"/>
      <c r="CS1152" s="276">
        <v>50000000</v>
      </c>
      <c r="CT1152" s="276"/>
      <c r="CU1152" s="276"/>
      <c r="CV1152" s="276"/>
      <c r="CW1152" s="276"/>
      <c r="CX1152" s="276"/>
      <c r="CY1152" s="276"/>
      <c r="CZ1152" s="276"/>
      <c r="DA1152" s="276"/>
      <c r="DB1152" s="276"/>
      <c r="DC1152" s="276"/>
      <c r="DD1152" s="240">
        <f t="shared" si="580"/>
        <v>50000000</v>
      </c>
      <c r="DE1152" s="245">
        <f t="shared" si="581"/>
        <v>96672575</v>
      </c>
    </row>
    <row r="1153" spans="1:110" ht="65.099999999999994" customHeight="1">
      <c r="A1153" s="134" t="s">
        <v>1249</v>
      </c>
      <c r="B1153" s="134" t="s">
        <v>2051</v>
      </c>
      <c r="C1153" s="134" t="s">
        <v>2264</v>
      </c>
      <c r="D1153" s="134">
        <v>106</v>
      </c>
      <c r="E1153" s="134" t="s">
        <v>2265</v>
      </c>
      <c r="F1153" s="135"/>
      <c r="G1153" s="136"/>
      <c r="H1153" s="137"/>
      <c r="I1153" s="137"/>
      <c r="J1153" s="137"/>
      <c r="K1153" s="138"/>
      <c r="L1153" s="137"/>
      <c r="M1153" s="137"/>
      <c r="N1153" s="137"/>
      <c r="O1153" s="137"/>
      <c r="P1153" s="137"/>
      <c r="Q1153" s="136"/>
      <c r="R1153" s="139"/>
      <c r="S1153" s="137"/>
      <c r="T1153" s="137"/>
      <c r="U1153" s="140"/>
      <c r="V1153" s="140"/>
      <c r="W1153" s="138"/>
      <c r="X1153" s="140"/>
      <c r="Y1153" s="140"/>
      <c r="Z1153" s="140"/>
      <c r="AA1153" s="140"/>
      <c r="AB1153" s="138"/>
      <c r="AC1153" s="140"/>
      <c r="AD1153" s="140"/>
      <c r="AE1153" s="140"/>
      <c r="AF1153" s="140"/>
      <c r="AG1153" s="138"/>
      <c r="AH1153" s="140"/>
      <c r="AI1153" s="140"/>
      <c r="AJ1153" s="140"/>
      <c r="AK1153" s="140"/>
      <c r="AL1153" s="138"/>
      <c r="AM1153" s="141"/>
      <c r="AN1153" s="142"/>
      <c r="AO1153" s="142"/>
      <c r="AP1153" s="143"/>
      <c r="AQ1153" s="143"/>
      <c r="AR1153" s="144"/>
      <c r="AS1153" s="132">
        <f t="shared" ref="AS1153:BG1153" si="582">SUM(AS1136:AS1152)</f>
        <v>0</v>
      </c>
      <c r="AT1153" s="132">
        <f t="shared" si="582"/>
        <v>0</v>
      </c>
      <c r="AU1153" s="132">
        <f t="shared" si="582"/>
        <v>0</v>
      </c>
      <c r="AV1153" s="132">
        <f t="shared" si="582"/>
        <v>0</v>
      </c>
      <c r="AW1153" s="132">
        <f t="shared" si="582"/>
        <v>34193400</v>
      </c>
      <c r="AX1153" s="132">
        <f t="shared" si="582"/>
        <v>0</v>
      </c>
      <c r="AY1153" s="132">
        <f t="shared" si="582"/>
        <v>0</v>
      </c>
      <c r="AZ1153" s="132">
        <f t="shared" si="582"/>
        <v>0</v>
      </c>
      <c r="BA1153" s="132">
        <f t="shared" si="582"/>
        <v>0</v>
      </c>
      <c r="BB1153" s="132">
        <f t="shared" si="582"/>
        <v>0</v>
      </c>
      <c r="BC1153" s="132">
        <f t="shared" si="582"/>
        <v>0</v>
      </c>
      <c r="BD1153" s="132">
        <f t="shared" si="582"/>
        <v>0</v>
      </c>
      <c r="BE1153" s="132">
        <f t="shared" si="582"/>
        <v>0</v>
      </c>
      <c r="BF1153" s="132">
        <f t="shared" si="582"/>
        <v>0</v>
      </c>
      <c r="BG1153" s="132">
        <f t="shared" si="582"/>
        <v>0</v>
      </c>
      <c r="BH1153" s="133">
        <f>IF(OR(AND(BH1136=0,W1136&lt;&gt;0),AND(BH1137=0,W1137&lt;&gt;0),AND(BH1138=0,W1138&lt;&gt;0),AND(BH1139=0,W1139&lt;&gt;0),AND(BH1140=0,W1140&lt;&gt;0),AND(BH1141=0,W1141&lt;&gt;0),AND(BH1142=0,W1142&lt;&gt;0),AND(BH1143=0,W1143&lt;&gt;0),AND(BH1144=0,W1144&lt;&gt;0),AND(BH1145=0,W1145&lt;&gt;0),AND(BH1146=0,W1146&lt;&gt;0),AND(BH1147=0,W1147&lt;&gt;0),AND(BH1148=0,W1148&lt;&gt;0),AND(BH1149=0,W1149&lt;&gt;0),AND(BH1150=0,W1150&lt;&gt;0),AND(BH1151=0,W1151&lt;&gt;0),AND(BH1152=0,W1152&lt;&gt;0)),"NO DEBEN QUEDAR CELDAS EN ROJO",SUM(BH1136:BH1152))</f>
        <v>34193400</v>
      </c>
      <c r="BI1153" s="132">
        <f t="shared" ref="BI1153:BW1153" si="583">SUM(BI1136:BI1152)</f>
        <v>0</v>
      </c>
      <c r="BJ1153" s="132">
        <f t="shared" si="583"/>
        <v>0</v>
      </c>
      <c r="BK1153" s="132">
        <f t="shared" si="583"/>
        <v>0</v>
      </c>
      <c r="BL1153" s="132">
        <f t="shared" si="583"/>
        <v>0</v>
      </c>
      <c r="BM1153" s="132">
        <f t="shared" si="583"/>
        <v>212992000</v>
      </c>
      <c r="BN1153" s="132">
        <f t="shared" si="583"/>
        <v>0</v>
      </c>
      <c r="BO1153" s="132">
        <f t="shared" si="583"/>
        <v>0</v>
      </c>
      <c r="BP1153" s="132">
        <f t="shared" si="583"/>
        <v>0</v>
      </c>
      <c r="BQ1153" s="132">
        <f t="shared" si="583"/>
        <v>0</v>
      </c>
      <c r="BR1153" s="132">
        <f t="shared" si="583"/>
        <v>0</v>
      </c>
      <c r="BS1153" s="132">
        <f t="shared" si="583"/>
        <v>0</v>
      </c>
      <c r="BT1153" s="132">
        <f t="shared" si="583"/>
        <v>0</v>
      </c>
      <c r="BU1153" s="132">
        <f t="shared" si="583"/>
        <v>0</v>
      </c>
      <c r="BV1153" s="132">
        <f t="shared" si="583"/>
        <v>0</v>
      </c>
      <c r="BW1153" s="132">
        <f t="shared" si="583"/>
        <v>0</v>
      </c>
      <c r="BX1153" s="133">
        <f>IF(OR(AND(BX1136=0,AB1136&lt;&gt;0),AND(BX1137=0,AB1137&lt;&gt;0),AND(BX1138=0,AB1138&lt;&gt;0),AND(BX1139=0,AB1139&lt;&gt;0),AND(BX1140=0,AB1140&lt;&gt;0),AND(BX1141=0,AB1141&lt;&gt;0),AND(BX1142=0,AB1142&lt;&gt;0),AND(BX1143=0,AB1143&lt;&gt;0),AND(BX1144=0,AB1144&lt;&gt;0),AND(BX1145=0,AB1145&lt;&gt;0),AND(BX1146=0,AB1146&lt;&gt;0),AND(BX1147=0,AB1147&lt;&gt;0),AND(BX1148=0,AB1148&lt;&gt;0),AND(BX1149=0,AB1149&lt;&gt;0),AND(BX1150=0,AB1150&lt;&gt;0),AND(BX1151=0,AB1151&lt;&gt;0),AND(BX1152=0,AB1152&lt;&gt;0)),"NO DEBEN QUEDAR CELDAS EN ROJO",SUM(BX1136:BX1152))</f>
        <v>212992000</v>
      </c>
      <c r="BY1153" s="132">
        <f t="shared" ref="BY1153:CM1153" si="584">SUM(BY1136:BY1152)</f>
        <v>0</v>
      </c>
      <c r="BZ1153" s="132">
        <f t="shared" si="584"/>
        <v>0</v>
      </c>
      <c r="CA1153" s="132">
        <f t="shared" si="584"/>
        <v>0</v>
      </c>
      <c r="CB1153" s="132">
        <f t="shared" si="584"/>
        <v>0</v>
      </c>
      <c r="CC1153" s="132">
        <f t="shared" si="584"/>
        <v>229992000</v>
      </c>
      <c r="CD1153" s="132">
        <f t="shared" si="584"/>
        <v>0</v>
      </c>
      <c r="CE1153" s="132">
        <f t="shared" si="584"/>
        <v>0</v>
      </c>
      <c r="CF1153" s="132">
        <f t="shared" si="584"/>
        <v>0</v>
      </c>
      <c r="CG1153" s="132">
        <f t="shared" si="584"/>
        <v>0</v>
      </c>
      <c r="CH1153" s="132">
        <f t="shared" si="584"/>
        <v>0</v>
      </c>
      <c r="CI1153" s="132">
        <f t="shared" si="584"/>
        <v>0</v>
      </c>
      <c r="CJ1153" s="132">
        <f t="shared" si="584"/>
        <v>0</v>
      </c>
      <c r="CK1153" s="132">
        <f t="shared" si="584"/>
        <v>0</v>
      </c>
      <c r="CL1153" s="132">
        <f t="shared" si="584"/>
        <v>0</v>
      </c>
      <c r="CM1153" s="132">
        <f t="shared" si="584"/>
        <v>0</v>
      </c>
      <c r="CN1153" s="133">
        <f>IF(OR(AND(CN1136=0,AG1136&lt;&gt;0),AND(CN1137=0,AG1137&lt;&gt;0),AND(CN1138=0,AG1138&lt;&gt;0),AND(CN1139=0,AG1139&lt;&gt;0),AND(CN1140=0,AG1140&lt;&gt;0),AND(CN1141=0,AG1141&lt;&gt;0),AND(CN1142=0,AG1142&lt;&gt;0),AND(CN1143=0,AG1143&lt;&gt;0),AND(CN1144=0,AG1144&lt;&gt;0),AND(CN1145=0,AG1145&lt;&gt;0),AND(CN1146=0,AG1146&lt;&gt;0),AND(CN1147=0,AG1147&lt;&gt;0),AND(CN1148=0,AG1148&lt;&gt;0),AND(CN1149=0,AG1149&lt;&gt;0),AND(CN1150=0,AG1150&lt;&gt;0),AND(CN1151=0,AG1151&lt;&gt;0),AND(CN1152=0,AG1152&lt;&gt;0)),"NO DEBEN QUEDAR CELDAS EN ROJO",SUM(CN1136:CN1152))</f>
        <v>229992000</v>
      </c>
      <c r="CO1153" s="132">
        <f t="shared" ref="CO1153:DC1153" si="585">SUM(CO1136:CO1152)</f>
        <v>0</v>
      </c>
      <c r="CP1153" s="132">
        <f t="shared" si="585"/>
        <v>0</v>
      </c>
      <c r="CQ1153" s="132">
        <f t="shared" si="585"/>
        <v>0</v>
      </c>
      <c r="CR1153" s="132">
        <f t="shared" si="585"/>
        <v>0</v>
      </c>
      <c r="CS1153" s="132">
        <f t="shared" si="585"/>
        <v>247842000</v>
      </c>
      <c r="CT1153" s="132">
        <f t="shared" si="585"/>
        <v>0</v>
      </c>
      <c r="CU1153" s="132">
        <f t="shared" si="585"/>
        <v>0</v>
      </c>
      <c r="CV1153" s="132">
        <f t="shared" si="585"/>
        <v>0</v>
      </c>
      <c r="CW1153" s="132">
        <f t="shared" si="585"/>
        <v>0</v>
      </c>
      <c r="CX1153" s="132">
        <f t="shared" si="585"/>
        <v>0</v>
      </c>
      <c r="CY1153" s="132">
        <f t="shared" si="585"/>
        <v>0</v>
      </c>
      <c r="CZ1153" s="132">
        <f t="shared" si="585"/>
        <v>0</v>
      </c>
      <c r="DA1153" s="132">
        <f t="shared" si="585"/>
        <v>0</v>
      </c>
      <c r="DB1153" s="132">
        <f t="shared" si="585"/>
        <v>0</v>
      </c>
      <c r="DC1153" s="132">
        <f t="shared" si="585"/>
        <v>0</v>
      </c>
      <c r="DD1153" s="133">
        <f>IF(OR(AND(DD1136=0,AL1136&lt;&gt;0),AND(DD1137=0,AL1137&lt;&gt;0),AND(DD1138=0,AL1138&lt;&gt;0),AND(DD1139=0,AL1139&lt;&gt;0),AND(DD1140=0,AL1140&lt;&gt;0),AND(DD1141=0,AL1141&lt;&gt;0),AND(DD1142=0,AL1142&lt;&gt;0),AND(DD1143=0,AL1143&lt;&gt;0),AND(DD1144=0,AL1144&lt;&gt;0),AND(DD1145=0,AL1145&lt;&gt;0),AND(DD1146=0,AL1146&lt;&gt;0),AND(DD1147=0,AL1147&lt;&gt;0),AND(DD1148=0,AL1148&lt;&gt;0),AND(DD1149=0,AL1149&lt;&gt;0),AND(DD1150=0,AL1150&lt;&gt;0),AND(DD1151=0,AL1151&lt;&gt;0),AND(DD1152=0,AL1152&lt;&gt;0)),"NO DEBEN QUEDAR CELDAS EN ROJO",SUM(DD1136:DD1152))</f>
        <v>247842000</v>
      </c>
      <c r="DE1153" s="133">
        <f>SUM(DE1136:DE1152)</f>
        <v>725019400</v>
      </c>
      <c r="DF1153" s="101"/>
    </row>
    <row r="1154" spans="1:110" s="98" customFormat="1" ht="119.1" customHeight="1">
      <c r="A1154" s="103" t="s">
        <v>1240</v>
      </c>
      <c r="B1154" s="103" t="s">
        <v>2051</v>
      </c>
      <c r="C1154" s="103" t="s">
        <v>2264</v>
      </c>
      <c r="D1154" s="103">
        <v>107</v>
      </c>
      <c r="E1154" s="103" t="s">
        <v>2282</v>
      </c>
      <c r="F1154" s="278" t="s">
        <v>583</v>
      </c>
      <c r="G1154" s="103" t="s">
        <v>3903</v>
      </c>
      <c r="H1154" s="103">
        <v>131</v>
      </c>
      <c r="I1154" s="103" t="s">
        <v>2283</v>
      </c>
      <c r="J1154" s="103" t="s">
        <v>683</v>
      </c>
      <c r="K1154" s="103">
        <v>1</v>
      </c>
      <c r="L1154" s="103">
        <v>1</v>
      </c>
      <c r="M1154" s="103" t="s">
        <v>2284</v>
      </c>
      <c r="N1154" s="103" t="s">
        <v>2285</v>
      </c>
      <c r="O1154" s="103" t="s">
        <v>2286</v>
      </c>
      <c r="P1154" s="283">
        <v>1013</v>
      </c>
      <c r="Q1154" s="103" t="s">
        <v>3904</v>
      </c>
      <c r="R1154" s="103" t="s">
        <v>584</v>
      </c>
      <c r="S1154" s="103" t="s">
        <v>683</v>
      </c>
      <c r="T1154" s="103">
        <v>0</v>
      </c>
      <c r="U1154" s="267"/>
      <c r="V1154" s="267"/>
      <c r="W1154" s="224">
        <v>0</v>
      </c>
      <c r="X1154" s="267"/>
      <c r="Y1154" s="267"/>
      <c r="Z1154" s="267">
        <v>25</v>
      </c>
      <c r="AA1154" s="267"/>
      <c r="AB1154" s="224">
        <v>25</v>
      </c>
      <c r="AC1154" s="267"/>
      <c r="AD1154" s="267"/>
      <c r="AE1154" s="267">
        <v>50</v>
      </c>
      <c r="AF1154" s="267"/>
      <c r="AG1154" s="224">
        <v>50</v>
      </c>
      <c r="AH1154" s="267"/>
      <c r="AI1154" s="267"/>
      <c r="AJ1154" s="267">
        <v>48</v>
      </c>
      <c r="AK1154" s="267"/>
      <c r="AL1154" s="224">
        <v>48</v>
      </c>
      <c r="AM1154" s="102">
        <v>123</v>
      </c>
      <c r="AN1154" s="103" t="s">
        <v>685</v>
      </c>
      <c r="AO1154" s="103" t="s">
        <v>1212</v>
      </c>
      <c r="AP1154" s="103" t="s">
        <v>1229</v>
      </c>
      <c r="AQ1154" s="103" t="s">
        <v>1199</v>
      </c>
      <c r="AR1154" s="103" t="s">
        <v>951</v>
      </c>
      <c r="AS1154" s="268"/>
      <c r="AT1154" s="268"/>
      <c r="AU1154" s="268"/>
      <c r="AV1154" s="268"/>
      <c r="AW1154" s="268"/>
      <c r="AX1154" s="268"/>
      <c r="AY1154" s="268"/>
      <c r="AZ1154" s="268"/>
      <c r="BA1154" s="268"/>
      <c r="BB1154" s="268"/>
      <c r="BC1154" s="268"/>
      <c r="BD1154" s="268"/>
      <c r="BE1154" s="268"/>
      <c r="BF1154" s="268"/>
      <c r="BG1154" s="268"/>
      <c r="BH1154" s="234">
        <v>0</v>
      </c>
      <c r="BI1154" s="268"/>
      <c r="BJ1154" s="268"/>
      <c r="BK1154" s="268"/>
      <c r="BL1154" s="268"/>
      <c r="BM1154" s="268">
        <v>25000000</v>
      </c>
      <c r="BN1154" s="268"/>
      <c r="BO1154" s="268"/>
      <c r="BP1154" s="268"/>
      <c r="BQ1154" s="268"/>
      <c r="BR1154" s="268"/>
      <c r="BS1154" s="268"/>
      <c r="BT1154" s="268"/>
      <c r="BU1154" s="268"/>
      <c r="BV1154" s="268"/>
      <c r="BW1154" s="268"/>
      <c r="BX1154" s="234">
        <v>25000000</v>
      </c>
      <c r="BY1154" s="268"/>
      <c r="BZ1154" s="268"/>
      <c r="CA1154" s="268"/>
      <c r="CB1154" s="268"/>
      <c r="CC1154" s="268">
        <v>25000000</v>
      </c>
      <c r="CD1154" s="268"/>
      <c r="CE1154" s="268"/>
      <c r="CF1154" s="268"/>
      <c r="CG1154" s="268"/>
      <c r="CH1154" s="268"/>
      <c r="CI1154" s="268"/>
      <c r="CJ1154" s="268"/>
      <c r="CK1154" s="268"/>
      <c r="CL1154" s="268"/>
      <c r="CM1154" s="268"/>
      <c r="CN1154" s="234">
        <v>25000000</v>
      </c>
      <c r="CO1154" s="268"/>
      <c r="CP1154" s="268"/>
      <c r="CQ1154" s="268"/>
      <c r="CR1154" s="268"/>
      <c r="CS1154" s="268">
        <v>30000000</v>
      </c>
      <c r="CT1154" s="268"/>
      <c r="CU1154" s="268"/>
      <c r="CV1154" s="268"/>
      <c r="CW1154" s="268"/>
      <c r="CX1154" s="268"/>
      <c r="CY1154" s="268"/>
      <c r="CZ1154" s="268"/>
      <c r="DA1154" s="268"/>
      <c r="DB1154" s="268"/>
      <c r="DC1154" s="268"/>
      <c r="DD1154" s="234">
        <v>30000000</v>
      </c>
      <c r="DE1154" s="243">
        <v>80000000</v>
      </c>
    </row>
    <row r="1155" spans="1:110" s="98" customFormat="1" ht="119.1" customHeight="1">
      <c r="A1155" s="103" t="s">
        <v>1240</v>
      </c>
      <c r="B1155" s="279" t="s">
        <v>2051</v>
      </c>
      <c r="C1155" s="279" t="s">
        <v>2264</v>
      </c>
      <c r="D1155" s="279">
        <v>107</v>
      </c>
      <c r="E1155" s="279" t="s">
        <v>2282</v>
      </c>
      <c r="F1155" s="280" t="s">
        <v>583</v>
      </c>
      <c r="G1155" s="279" t="s">
        <v>3903</v>
      </c>
      <c r="H1155" s="279">
        <v>131</v>
      </c>
      <c r="I1155" s="279" t="s">
        <v>2283</v>
      </c>
      <c r="J1155" s="279" t="s">
        <v>683</v>
      </c>
      <c r="K1155" s="279">
        <v>1</v>
      </c>
      <c r="L1155" s="279">
        <v>1</v>
      </c>
      <c r="M1155" s="279" t="s">
        <v>2284</v>
      </c>
      <c r="N1155" s="279" t="s">
        <v>2285</v>
      </c>
      <c r="O1155" s="279" t="s">
        <v>2286</v>
      </c>
      <c r="P1155" s="283">
        <v>1014</v>
      </c>
      <c r="Q1155" s="279" t="s">
        <v>3905</v>
      </c>
      <c r="R1155" s="279" t="s">
        <v>2287</v>
      </c>
      <c r="S1155" s="279" t="s">
        <v>683</v>
      </c>
      <c r="T1155" s="279">
        <v>1</v>
      </c>
      <c r="U1155" s="267"/>
      <c r="V1155" s="267"/>
      <c r="W1155" s="224">
        <v>0</v>
      </c>
      <c r="X1155" s="267"/>
      <c r="Y1155" s="267"/>
      <c r="Z1155" s="267">
        <v>1</v>
      </c>
      <c r="AA1155" s="267"/>
      <c r="AB1155" s="224">
        <v>1</v>
      </c>
      <c r="AC1155" s="267"/>
      <c r="AD1155" s="267"/>
      <c r="AE1155" s="267">
        <v>1</v>
      </c>
      <c r="AF1155" s="267"/>
      <c r="AG1155" s="224">
        <v>1</v>
      </c>
      <c r="AH1155" s="267"/>
      <c r="AI1155" s="267"/>
      <c r="AJ1155" s="267">
        <v>1</v>
      </c>
      <c r="AK1155" s="267"/>
      <c r="AL1155" s="224">
        <v>1</v>
      </c>
      <c r="AM1155" s="104">
        <v>3</v>
      </c>
      <c r="AN1155" s="103" t="s">
        <v>685</v>
      </c>
      <c r="AO1155" s="103" t="s">
        <v>1212</v>
      </c>
      <c r="AP1155" s="103" t="s">
        <v>1229</v>
      </c>
      <c r="AQ1155" s="103" t="s">
        <v>1199</v>
      </c>
      <c r="AR1155" s="103" t="s">
        <v>951</v>
      </c>
      <c r="AS1155" s="271"/>
      <c r="AT1155" s="271"/>
      <c r="AU1155" s="271"/>
      <c r="AV1155" s="271"/>
      <c r="AW1155" s="271"/>
      <c r="AX1155" s="271"/>
      <c r="AY1155" s="271"/>
      <c r="AZ1155" s="271"/>
      <c r="BA1155" s="271"/>
      <c r="BB1155" s="271"/>
      <c r="BC1155" s="271"/>
      <c r="BD1155" s="271"/>
      <c r="BE1155" s="271"/>
      <c r="BF1155" s="271"/>
      <c r="BG1155" s="271"/>
      <c r="BH1155" s="235">
        <v>0</v>
      </c>
      <c r="BI1155" s="271"/>
      <c r="BJ1155" s="271"/>
      <c r="BK1155" s="271"/>
      <c r="BL1155" s="271"/>
      <c r="BM1155" s="271">
        <v>25000000</v>
      </c>
      <c r="BN1155" s="271"/>
      <c r="BO1155" s="271"/>
      <c r="BP1155" s="271"/>
      <c r="BQ1155" s="271"/>
      <c r="BR1155" s="271"/>
      <c r="BS1155" s="271"/>
      <c r="BT1155" s="271"/>
      <c r="BU1155" s="271"/>
      <c r="BV1155" s="271"/>
      <c r="BW1155" s="271"/>
      <c r="BX1155" s="235">
        <v>25000000</v>
      </c>
      <c r="BY1155" s="271"/>
      <c r="BZ1155" s="271"/>
      <c r="CA1155" s="271"/>
      <c r="CB1155" s="271"/>
      <c r="CC1155" s="271">
        <v>30000000</v>
      </c>
      <c r="CD1155" s="271"/>
      <c r="CE1155" s="271"/>
      <c r="CF1155" s="271"/>
      <c r="CG1155" s="271"/>
      <c r="CH1155" s="271"/>
      <c r="CI1155" s="271"/>
      <c r="CJ1155" s="271"/>
      <c r="CK1155" s="271"/>
      <c r="CL1155" s="271"/>
      <c r="CM1155" s="271"/>
      <c r="CN1155" s="235">
        <v>30000000</v>
      </c>
      <c r="CO1155" s="271"/>
      <c r="CP1155" s="271"/>
      <c r="CQ1155" s="271"/>
      <c r="CR1155" s="271"/>
      <c r="CS1155" s="271">
        <v>25000000</v>
      </c>
      <c r="CT1155" s="271"/>
      <c r="CU1155" s="271"/>
      <c r="CV1155" s="271"/>
      <c r="CW1155" s="271"/>
      <c r="CX1155" s="271"/>
      <c r="CY1155" s="271"/>
      <c r="CZ1155" s="271"/>
      <c r="DA1155" s="271"/>
      <c r="DB1155" s="271"/>
      <c r="DC1155" s="271"/>
      <c r="DD1155" s="234">
        <v>25000000</v>
      </c>
      <c r="DE1155" s="244">
        <v>80000000</v>
      </c>
    </row>
    <row r="1156" spans="1:110" s="98" customFormat="1" ht="119.1" customHeight="1">
      <c r="A1156" s="103" t="s">
        <v>1240</v>
      </c>
      <c r="B1156" s="279" t="s">
        <v>2051</v>
      </c>
      <c r="C1156" s="279" t="s">
        <v>2264</v>
      </c>
      <c r="D1156" s="279">
        <v>107</v>
      </c>
      <c r="E1156" s="279" t="s">
        <v>2282</v>
      </c>
      <c r="F1156" s="280" t="s">
        <v>583</v>
      </c>
      <c r="G1156" s="279" t="s">
        <v>3903</v>
      </c>
      <c r="H1156" s="279">
        <v>131</v>
      </c>
      <c r="I1156" s="279" t="s">
        <v>2283</v>
      </c>
      <c r="J1156" s="279" t="s">
        <v>683</v>
      </c>
      <c r="K1156" s="279">
        <v>1</v>
      </c>
      <c r="L1156" s="279">
        <v>1</v>
      </c>
      <c r="M1156" s="279" t="s">
        <v>2284</v>
      </c>
      <c r="N1156" s="279" t="s">
        <v>2285</v>
      </c>
      <c r="O1156" s="279" t="s">
        <v>2286</v>
      </c>
      <c r="P1156" s="283">
        <v>1015</v>
      </c>
      <c r="Q1156" s="279" t="s">
        <v>3906</v>
      </c>
      <c r="R1156" s="279" t="s">
        <v>585</v>
      </c>
      <c r="S1156" s="279" t="s">
        <v>683</v>
      </c>
      <c r="T1156" s="279">
        <v>0</v>
      </c>
      <c r="U1156" s="267"/>
      <c r="V1156" s="267"/>
      <c r="W1156" s="224">
        <v>0</v>
      </c>
      <c r="X1156" s="267"/>
      <c r="Y1156" s="267"/>
      <c r="Z1156" s="267">
        <v>25</v>
      </c>
      <c r="AA1156" s="267"/>
      <c r="AB1156" s="224">
        <v>25</v>
      </c>
      <c r="AC1156" s="267"/>
      <c r="AD1156" s="267"/>
      <c r="AE1156" s="267">
        <v>50</v>
      </c>
      <c r="AF1156" s="267"/>
      <c r="AG1156" s="224">
        <v>50</v>
      </c>
      <c r="AH1156" s="267"/>
      <c r="AI1156" s="267"/>
      <c r="AJ1156" s="267">
        <v>48</v>
      </c>
      <c r="AK1156" s="267"/>
      <c r="AL1156" s="224">
        <v>48</v>
      </c>
      <c r="AM1156" s="104">
        <v>123</v>
      </c>
      <c r="AN1156" s="103" t="s">
        <v>685</v>
      </c>
      <c r="AO1156" s="103" t="s">
        <v>1212</v>
      </c>
      <c r="AP1156" s="103" t="s">
        <v>1229</v>
      </c>
      <c r="AQ1156" s="103" t="s">
        <v>1199</v>
      </c>
      <c r="AR1156" s="103" t="s">
        <v>951</v>
      </c>
      <c r="AS1156" s="271"/>
      <c r="AT1156" s="271"/>
      <c r="AU1156" s="271"/>
      <c r="AV1156" s="271"/>
      <c r="AW1156" s="271"/>
      <c r="AX1156" s="271"/>
      <c r="AY1156" s="271"/>
      <c r="AZ1156" s="271"/>
      <c r="BA1156" s="271"/>
      <c r="BB1156" s="271"/>
      <c r="BC1156" s="271"/>
      <c r="BD1156" s="271"/>
      <c r="BE1156" s="271"/>
      <c r="BF1156" s="271"/>
      <c r="BG1156" s="271"/>
      <c r="BH1156" s="235">
        <v>0</v>
      </c>
      <c r="BI1156" s="271"/>
      <c r="BJ1156" s="271"/>
      <c r="BK1156" s="271"/>
      <c r="BL1156" s="271"/>
      <c r="BM1156" s="271">
        <v>10000000</v>
      </c>
      <c r="BN1156" s="271"/>
      <c r="BO1156" s="271"/>
      <c r="BP1156" s="271"/>
      <c r="BQ1156" s="271"/>
      <c r="BR1156" s="271"/>
      <c r="BS1156" s="271"/>
      <c r="BT1156" s="271"/>
      <c r="BU1156" s="271"/>
      <c r="BV1156" s="271"/>
      <c r="BW1156" s="271"/>
      <c r="BX1156" s="235">
        <v>10000000</v>
      </c>
      <c r="BY1156" s="271"/>
      <c r="BZ1156" s="271"/>
      <c r="CA1156" s="271"/>
      <c r="CB1156" s="271"/>
      <c r="CC1156" s="271">
        <v>15000000</v>
      </c>
      <c r="CD1156" s="271"/>
      <c r="CE1156" s="271"/>
      <c r="CF1156" s="271"/>
      <c r="CG1156" s="271"/>
      <c r="CH1156" s="271"/>
      <c r="CI1156" s="271"/>
      <c r="CJ1156" s="271"/>
      <c r="CK1156" s="271"/>
      <c r="CL1156" s="271"/>
      <c r="CM1156" s="271"/>
      <c r="CN1156" s="235">
        <v>15000000</v>
      </c>
      <c r="CO1156" s="271"/>
      <c r="CP1156" s="271"/>
      <c r="CQ1156" s="271"/>
      <c r="CR1156" s="271"/>
      <c r="CS1156" s="271">
        <v>10000000</v>
      </c>
      <c r="CT1156" s="271"/>
      <c r="CU1156" s="271"/>
      <c r="CV1156" s="271"/>
      <c r="CW1156" s="271"/>
      <c r="CX1156" s="271"/>
      <c r="CY1156" s="271"/>
      <c r="CZ1156" s="271"/>
      <c r="DA1156" s="271"/>
      <c r="DB1156" s="271"/>
      <c r="DC1156" s="271"/>
      <c r="DD1156" s="234">
        <v>10000000</v>
      </c>
      <c r="DE1156" s="244">
        <v>35000000</v>
      </c>
    </row>
    <row r="1157" spans="1:110" s="98" customFormat="1" ht="119.1" customHeight="1">
      <c r="A1157" s="103" t="s">
        <v>1240</v>
      </c>
      <c r="B1157" s="279" t="s">
        <v>2051</v>
      </c>
      <c r="C1157" s="279" t="s">
        <v>2264</v>
      </c>
      <c r="D1157" s="279">
        <v>107</v>
      </c>
      <c r="E1157" s="279" t="s">
        <v>2282</v>
      </c>
      <c r="F1157" s="280" t="s">
        <v>583</v>
      </c>
      <c r="G1157" s="279" t="s">
        <v>3903</v>
      </c>
      <c r="H1157" s="279">
        <v>131</v>
      </c>
      <c r="I1157" s="279" t="s">
        <v>2283</v>
      </c>
      <c r="J1157" s="279" t="s">
        <v>683</v>
      </c>
      <c r="K1157" s="279">
        <v>1</v>
      </c>
      <c r="L1157" s="279">
        <v>1</v>
      </c>
      <c r="M1157" s="279" t="s">
        <v>2284</v>
      </c>
      <c r="N1157" s="279" t="s">
        <v>2285</v>
      </c>
      <c r="O1157" s="279" t="s">
        <v>2286</v>
      </c>
      <c r="P1157" s="283">
        <v>1016</v>
      </c>
      <c r="Q1157" s="279" t="s">
        <v>3907</v>
      </c>
      <c r="R1157" s="279" t="s">
        <v>2288</v>
      </c>
      <c r="S1157" s="279" t="s">
        <v>683</v>
      </c>
      <c r="T1157" s="279">
        <v>4</v>
      </c>
      <c r="U1157" s="267"/>
      <c r="V1157" s="267">
        <v>1</v>
      </c>
      <c r="W1157" s="224">
        <v>1</v>
      </c>
      <c r="X1157" s="267"/>
      <c r="Y1157" s="267">
        <v>1</v>
      </c>
      <c r="Z1157" s="267"/>
      <c r="AA1157" s="267"/>
      <c r="AB1157" s="224">
        <v>1</v>
      </c>
      <c r="AC1157" s="267"/>
      <c r="AD1157" s="267">
        <v>1</v>
      </c>
      <c r="AE1157" s="267"/>
      <c r="AF1157" s="267"/>
      <c r="AG1157" s="224">
        <v>1</v>
      </c>
      <c r="AH1157" s="267"/>
      <c r="AI1157" s="267">
        <v>1</v>
      </c>
      <c r="AJ1157" s="267"/>
      <c r="AK1157" s="267"/>
      <c r="AL1157" s="224">
        <v>1</v>
      </c>
      <c r="AM1157" s="104">
        <v>4</v>
      </c>
      <c r="AN1157" s="103" t="s">
        <v>685</v>
      </c>
      <c r="AO1157" s="103" t="s">
        <v>1212</v>
      </c>
      <c r="AP1157" s="103" t="s">
        <v>1229</v>
      </c>
      <c r="AQ1157" s="103" t="s">
        <v>1199</v>
      </c>
      <c r="AR1157" s="103" t="s">
        <v>951</v>
      </c>
      <c r="AS1157" s="271"/>
      <c r="AT1157" s="271"/>
      <c r="AU1157" s="271"/>
      <c r="AV1157" s="271"/>
      <c r="AW1157" s="271">
        <v>75000000</v>
      </c>
      <c r="AX1157" s="271"/>
      <c r="AY1157" s="271"/>
      <c r="AZ1157" s="271"/>
      <c r="BA1157" s="271"/>
      <c r="BB1157" s="271"/>
      <c r="BC1157" s="271"/>
      <c r="BD1157" s="271"/>
      <c r="BE1157" s="271"/>
      <c r="BF1157" s="271"/>
      <c r="BG1157" s="271"/>
      <c r="BH1157" s="235">
        <v>75000000</v>
      </c>
      <c r="BI1157" s="271"/>
      <c r="BJ1157" s="271"/>
      <c r="BK1157" s="271"/>
      <c r="BL1157" s="271"/>
      <c r="BM1157" s="271">
        <v>41000000</v>
      </c>
      <c r="BN1157" s="271"/>
      <c r="BO1157" s="271"/>
      <c r="BP1157" s="271"/>
      <c r="BQ1157" s="271"/>
      <c r="BR1157" s="271"/>
      <c r="BS1157" s="271"/>
      <c r="BT1157" s="271"/>
      <c r="BU1157" s="271"/>
      <c r="BV1157" s="271"/>
      <c r="BW1157" s="271"/>
      <c r="BX1157" s="235">
        <v>41000000</v>
      </c>
      <c r="BY1157" s="271"/>
      <c r="BZ1157" s="271"/>
      <c r="CA1157" s="271"/>
      <c r="CB1157" s="271"/>
      <c r="CC1157" s="271">
        <v>30000000</v>
      </c>
      <c r="CD1157" s="271"/>
      <c r="CE1157" s="271"/>
      <c r="CF1157" s="271"/>
      <c r="CG1157" s="271"/>
      <c r="CH1157" s="271"/>
      <c r="CI1157" s="271"/>
      <c r="CJ1157" s="271"/>
      <c r="CK1157" s="271"/>
      <c r="CL1157" s="271"/>
      <c r="CM1157" s="271"/>
      <c r="CN1157" s="235">
        <v>30000000</v>
      </c>
      <c r="CO1157" s="271"/>
      <c r="CP1157" s="271"/>
      <c r="CQ1157" s="271"/>
      <c r="CR1157" s="271"/>
      <c r="CS1157" s="271">
        <v>30000000</v>
      </c>
      <c r="CT1157" s="271"/>
      <c r="CU1157" s="271"/>
      <c r="CV1157" s="271"/>
      <c r="CW1157" s="271"/>
      <c r="CX1157" s="271"/>
      <c r="CY1157" s="271"/>
      <c r="CZ1157" s="271"/>
      <c r="DA1157" s="271"/>
      <c r="DB1157" s="271"/>
      <c r="DC1157" s="271"/>
      <c r="DD1157" s="234">
        <v>30000000</v>
      </c>
      <c r="DE1157" s="244">
        <v>176000000</v>
      </c>
    </row>
    <row r="1158" spans="1:110" s="98" customFormat="1" ht="119.1" customHeight="1">
      <c r="A1158" s="103" t="s">
        <v>1240</v>
      </c>
      <c r="B1158" s="279" t="s">
        <v>2051</v>
      </c>
      <c r="C1158" s="279" t="s">
        <v>2264</v>
      </c>
      <c r="D1158" s="279">
        <v>107</v>
      </c>
      <c r="E1158" s="279" t="s">
        <v>2282</v>
      </c>
      <c r="F1158" s="280" t="s">
        <v>583</v>
      </c>
      <c r="G1158" s="279" t="s">
        <v>3903</v>
      </c>
      <c r="H1158" s="279">
        <v>131</v>
      </c>
      <c r="I1158" s="279" t="s">
        <v>2283</v>
      </c>
      <c r="J1158" s="279" t="s">
        <v>683</v>
      </c>
      <c r="K1158" s="279">
        <v>1</v>
      </c>
      <c r="L1158" s="279">
        <v>1</v>
      </c>
      <c r="M1158" s="279" t="s">
        <v>2284</v>
      </c>
      <c r="N1158" s="279" t="s">
        <v>2285</v>
      </c>
      <c r="O1158" s="279" t="s">
        <v>2286</v>
      </c>
      <c r="P1158" s="283">
        <v>1017</v>
      </c>
      <c r="Q1158" s="279" t="s">
        <v>3908</v>
      </c>
      <c r="R1158" s="279" t="s">
        <v>586</v>
      </c>
      <c r="S1158" s="279" t="s">
        <v>683</v>
      </c>
      <c r="T1158" s="279">
        <v>0</v>
      </c>
      <c r="U1158" s="267"/>
      <c r="V1158" s="267">
        <v>1</v>
      </c>
      <c r="W1158" s="224">
        <v>1</v>
      </c>
      <c r="X1158" s="267"/>
      <c r="Y1158" s="267"/>
      <c r="Z1158" s="267"/>
      <c r="AA1158" s="267">
        <v>1</v>
      </c>
      <c r="AB1158" s="224">
        <v>1</v>
      </c>
      <c r="AC1158" s="267"/>
      <c r="AD1158" s="267"/>
      <c r="AE1158" s="267"/>
      <c r="AF1158" s="267">
        <v>1</v>
      </c>
      <c r="AG1158" s="224">
        <v>1</v>
      </c>
      <c r="AH1158" s="267"/>
      <c r="AI1158" s="267"/>
      <c r="AJ1158" s="267"/>
      <c r="AK1158" s="267">
        <v>1</v>
      </c>
      <c r="AL1158" s="224">
        <v>1</v>
      </c>
      <c r="AM1158" s="104">
        <v>4</v>
      </c>
      <c r="AN1158" s="103" t="s">
        <v>685</v>
      </c>
      <c r="AO1158" s="103" t="s">
        <v>1212</v>
      </c>
      <c r="AP1158" s="103" t="s">
        <v>1229</v>
      </c>
      <c r="AQ1158" s="103" t="s">
        <v>1199</v>
      </c>
      <c r="AR1158" s="103" t="s">
        <v>951</v>
      </c>
      <c r="AS1158" s="271"/>
      <c r="AT1158" s="271"/>
      <c r="AU1158" s="271"/>
      <c r="AV1158" s="271"/>
      <c r="AW1158" s="271">
        <v>20000000</v>
      </c>
      <c r="AX1158" s="271"/>
      <c r="AY1158" s="271"/>
      <c r="AZ1158" s="271"/>
      <c r="BA1158" s="271"/>
      <c r="BB1158" s="271"/>
      <c r="BC1158" s="271"/>
      <c r="BD1158" s="271"/>
      <c r="BE1158" s="271"/>
      <c r="BF1158" s="271"/>
      <c r="BG1158" s="271"/>
      <c r="BH1158" s="235">
        <v>20000000</v>
      </c>
      <c r="BI1158" s="271"/>
      <c r="BJ1158" s="271"/>
      <c r="BK1158" s="271"/>
      <c r="BL1158" s="271"/>
      <c r="BM1158" s="271">
        <v>7000000</v>
      </c>
      <c r="BN1158" s="271"/>
      <c r="BO1158" s="271"/>
      <c r="BP1158" s="271"/>
      <c r="BQ1158" s="271"/>
      <c r="BR1158" s="271"/>
      <c r="BS1158" s="271"/>
      <c r="BT1158" s="271"/>
      <c r="BU1158" s="271"/>
      <c r="BV1158" s="271"/>
      <c r="BW1158" s="271"/>
      <c r="BX1158" s="235">
        <v>7000000</v>
      </c>
      <c r="BY1158" s="271"/>
      <c r="BZ1158" s="271"/>
      <c r="CA1158" s="271"/>
      <c r="CB1158" s="271"/>
      <c r="CC1158" s="271">
        <v>10000000</v>
      </c>
      <c r="CD1158" s="271"/>
      <c r="CE1158" s="271"/>
      <c r="CF1158" s="271"/>
      <c r="CG1158" s="271"/>
      <c r="CH1158" s="271"/>
      <c r="CI1158" s="271"/>
      <c r="CJ1158" s="271"/>
      <c r="CK1158" s="271"/>
      <c r="CL1158" s="271"/>
      <c r="CM1158" s="271"/>
      <c r="CN1158" s="235">
        <v>10000000</v>
      </c>
      <c r="CO1158" s="271"/>
      <c r="CP1158" s="271"/>
      <c r="CQ1158" s="271"/>
      <c r="CR1158" s="271"/>
      <c r="CS1158" s="271">
        <v>10000000</v>
      </c>
      <c r="CT1158" s="271"/>
      <c r="CU1158" s="271"/>
      <c r="CV1158" s="271"/>
      <c r="CW1158" s="271"/>
      <c r="CX1158" s="271"/>
      <c r="CY1158" s="271"/>
      <c r="CZ1158" s="271"/>
      <c r="DA1158" s="271"/>
      <c r="DB1158" s="271"/>
      <c r="DC1158" s="271"/>
      <c r="DD1158" s="234">
        <v>10000000</v>
      </c>
      <c r="DE1158" s="244">
        <v>47000000</v>
      </c>
    </row>
    <row r="1159" spans="1:110" s="98" customFormat="1" ht="119.1" customHeight="1">
      <c r="A1159" s="103" t="s">
        <v>1240</v>
      </c>
      <c r="B1159" s="279" t="s">
        <v>2051</v>
      </c>
      <c r="C1159" s="279" t="s">
        <v>2264</v>
      </c>
      <c r="D1159" s="279">
        <v>107</v>
      </c>
      <c r="E1159" s="279" t="s">
        <v>2282</v>
      </c>
      <c r="F1159" s="280" t="s">
        <v>583</v>
      </c>
      <c r="G1159" s="279" t="s">
        <v>3903</v>
      </c>
      <c r="H1159" s="279">
        <v>131</v>
      </c>
      <c r="I1159" s="279" t="s">
        <v>2283</v>
      </c>
      <c r="J1159" s="279" t="s">
        <v>683</v>
      </c>
      <c r="K1159" s="279">
        <v>1</v>
      </c>
      <c r="L1159" s="279">
        <v>1</v>
      </c>
      <c r="M1159" s="279" t="s">
        <v>2284</v>
      </c>
      <c r="N1159" s="279" t="s">
        <v>2285</v>
      </c>
      <c r="O1159" s="279" t="s">
        <v>2286</v>
      </c>
      <c r="P1159" s="283">
        <v>1018</v>
      </c>
      <c r="Q1159" s="279" t="s">
        <v>3909</v>
      </c>
      <c r="R1159" s="279" t="s">
        <v>587</v>
      </c>
      <c r="S1159" s="279" t="s">
        <v>683</v>
      </c>
      <c r="T1159" s="279">
        <v>0</v>
      </c>
      <c r="U1159" s="267"/>
      <c r="V1159" s="267">
        <v>1</v>
      </c>
      <c r="W1159" s="224">
        <v>1</v>
      </c>
      <c r="X1159" s="267"/>
      <c r="Y1159" s="267">
        <v>1</v>
      </c>
      <c r="Z1159" s="267">
        <v>1</v>
      </c>
      <c r="AA1159" s="267">
        <v>1</v>
      </c>
      <c r="AB1159" s="224">
        <v>3</v>
      </c>
      <c r="AC1159" s="267"/>
      <c r="AD1159" s="267">
        <v>1</v>
      </c>
      <c r="AE1159" s="267"/>
      <c r="AF1159" s="267">
        <v>1</v>
      </c>
      <c r="AG1159" s="224">
        <v>2</v>
      </c>
      <c r="AH1159" s="267"/>
      <c r="AI1159" s="267">
        <v>1</v>
      </c>
      <c r="AJ1159" s="267"/>
      <c r="AK1159" s="267">
        <v>1</v>
      </c>
      <c r="AL1159" s="224">
        <v>2</v>
      </c>
      <c r="AM1159" s="104">
        <v>8</v>
      </c>
      <c r="AN1159" s="103" t="s">
        <v>685</v>
      </c>
      <c r="AO1159" s="103" t="s">
        <v>1212</v>
      </c>
      <c r="AP1159" s="103" t="s">
        <v>1229</v>
      </c>
      <c r="AQ1159" s="103" t="s">
        <v>1199</v>
      </c>
      <c r="AR1159" s="103" t="s">
        <v>951</v>
      </c>
      <c r="AS1159" s="271"/>
      <c r="AT1159" s="271"/>
      <c r="AU1159" s="271"/>
      <c r="AV1159" s="271"/>
      <c r="AW1159" s="271">
        <v>5000000</v>
      </c>
      <c r="AX1159" s="271"/>
      <c r="AY1159" s="271"/>
      <c r="AZ1159" s="271"/>
      <c r="BA1159" s="271"/>
      <c r="BB1159" s="271"/>
      <c r="BC1159" s="271"/>
      <c r="BD1159" s="271"/>
      <c r="BE1159" s="271"/>
      <c r="BF1159" s="271"/>
      <c r="BG1159" s="271"/>
      <c r="BH1159" s="235">
        <v>5000000</v>
      </c>
      <c r="BI1159" s="271"/>
      <c r="BJ1159" s="271"/>
      <c r="BK1159" s="271"/>
      <c r="BL1159" s="271"/>
      <c r="BM1159" s="271">
        <v>3000000</v>
      </c>
      <c r="BN1159" s="271"/>
      <c r="BO1159" s="271"/>
      <c r="BP1159" s="271"/>
      <c r="BQ1159" s="271"/>
      <c r="BR1159" s="271"/>
      <c r="BS1159" s="271"/>
      <c r="BT1159" s="271"/>
      <c r="BU1159" s="271"/>
      <c r="BV1159" s="271"/>
      <c r="BW1159" s="271"/>
      <c r="BX1159" s="235">
        <v>3000000</v>
      </c>
      <c r="BY1159" s="271"/>
      <c r="BZ1159" s="271"/>
      <c r="CA1159" s="271"/>
      <c r="CB1159" s="271"/>
      <c r="CC1159" s="271">
        <v>3000000</v>
      </c>
      <c r="CD1159" s="271"/>
      <c r="CE1159" s="271"/>
      <c r="CF1159" s="271"/>
      <c r="CG1159" s="271"/>
      <c r="CH1159" s="271"/>
      <c r="CI1159" s="271"/>
      <c r="CJ1159" s="271"/>
      <c r="CK1159" s="271"/>
      <c r="CL1159" s="271"/>
      <c r="CM1159" s="271"/>
      <c r="CN1159" s="235">
        <v>3000000</v>
      </c>
      <c r="CO1159" s="271"/>
      <c r="CP1159" s="271"/>
      <c r="CQ1159" s="271"/>
      <c r="CR1159" s="271"/>
      <c r="CS1159" s="271">
        <v>4000000</v>
      </c>
      <c r="CT1159" s="271"/>
      <c r="CU1159" s="271"/>
      <c r="CV1159" s="271"/>
      <c r="CW1159" s="271"/>
      <c r="CX1159" s="271"/>
      <c r="CY1159" s="271"/>
      <c r="CZ1159" s="271"/>
      <c r="DA1159" s="271"/>
      <c r="DB1159" s="271"/>
      <c r="DC1159" s="271"/>
      <c r="DD1159" s="234">
        <v>4000000</v>
      </c>
      <c r="DE1159" s="244">
        <v>15000000</v>
      </c>
    </row>
    <row r="1160" spans="1:110" s="98" customFormat="1" ht="119.1" customHeight="1">
      <c r="A1160" s="103" t="s">
        <v>1240</v>
      </c>
      <c r="B1160" s="279" t="s">
        <v>2051</v>
      </c>
      <c r="C1160" s="279" t="s">
        <v>2264</v>
      </c>
      <c r="D1160" s="279">
        <v>107</v>
      </c>
      <c r="E1160" s="279" t="s">
        <v>2282</v>
      </c>
      <c r="F1160" s="280" t="s">
        <v>583</v>
      </c>
      <c r="G1160" s="279" t="s">
        <v>3903</v>
      </c>
      <c r="H1160" s="279">
        <v>131</v>
      </c>
      <c r="I1160" s="279" t="s">
        <v>2283</v>
      </c>
      <c r="J1160" s="279" t="s">
        <v>683</v>
      </c>
      <c r="K1160" s="279">
        <v>1</v>
      </c>
      <c r="L1160" s="279">
        <v>1</v>
      </c>
      <c r="M1160" s="279" t="s">
        <v>2289</v>
      </c>
      <c r="N1160" s="279" t="s">
        <v>2290</v>
      </c>
      <c r="O1160" s="279" t="s">
        <v>2291</v>
      </c>
      <c r="P1160" s="283">
        <v>1019</v>
      </c>
      <c r="Q1160" s="279" t="s">
        <v>3933</v>
      </c>
      <c r="R1160" s="279" t="s">
        <v>588</v>
      </c>
      <c r="S1160" s="279" t="s">
        <v>683</v>
      </c>
      <c r="T1160" s="279">
        <v>4</v>
      </c>
      <c r="U1160" s="267"/>
      <c r="V1160" s="267">
        <v>1</v>
      </c>
      <c r="W1160" s="224">
        <v>1</v>
      </c>
      <c r="X1160" s="267"/>
      <c r="Y1160" s="267"/>
      <c r="Z1160" s="267"/>
      <c r="AA1160" s="267">
        <v>1</v>
      </c>
      <c r="AB1160" s="224">
        <v>1</v>
      </c>
      <c r="AC1160" s="267"/>
      <c r="AD1160" s="267"/>
      <c r="AE1160" s="267"/>
      <c r="AF1160" s="267">
        <v>1</v>
      </c>
      <c r="AG1160" s="224">
        <v>1</v>
      </c>
      <c r="AH1160" s="267"/>
      <c r="AI1160" s="267"/>
      <c r="AJ1160" s="267"/>
      <c r="AK1160" s="267">
        <v>1</v>
      </c>
      <c r="AL1160" s="224">
        <v>1</v>
      </c>
      <c r="AM1160" s="104">
        <v>4</v>
      </c>
      <c r="AN1160" s="103" t="s">
        <v>685</v>
      </c>
      <c r="AO1160" s="103" t="s">
        <v>1212</v>
      </c>
      <c r="AP1160" s="103" t="s">
        <v>1229</v>
      </c>
      <c r="AQ1160" s="103" t="s">
        <v>1199</v>
      </c>
      <c r="AR1160" s="103" t="s">
        <v>951</v>
      </c>
      <c r="AS1160" s="271"/>
      <c r="AT1160" s="271"/>
      <c r="AU1160" s="271"/>
      <c r="AV1160" s="271"/>
      <c r="AW1160" s="271">
        <v>10000000</v>
      </c>
      <c r="AX1160" s="271"/>
      <c r="AY1160" s="271"/>
      <c r="AZ1160" s="271"/>
      <c r="BA1160" s="271"/>
      <c r="BB1160" s="271"/>
      <c r="BC1160" s="271"/>
      <c r="BD1160" s="271"/>
      <c r="BE1160" s="271"/>
      <c r="BF1160" s="271"/>
      <c r="BG1160" s="271"/>
      <c r="BH1160" s="235">
        <v>10000000</v>
      </c>
      <c r="BI1160" s="271"/>
      <c r="BJ1160" s="271"/>
      <c r="BK1160" s="271"/>
      <c r="BL1160" s="271"/>
      <c r="BM1160" s="271">
        <v>9000000</v>
      </c>
      <c r="BN1160" s="271"/>
      <c r="BO1160" s="271"/>
      <c r="BP1160" s="271"/>
      <c r="BQ1160" s="271"/>
      <c r="BR1160" s="271"/>
      <c r="BS1160" s="271"/>
      <c r="BT1160" s="271"/>
      <c r="BU1160" s="271"/>
      <c r="BV1160" s="271"/>
      <c r="BW1160" s="271"/>
      <c r="BX1160" s="235">
        <v>9000000</v>
      </c>
      <c r="BY1160" s="271"/>
      <c r="BZ1160" s="271"/>
      <c r="CA1160" s="271"/>
      <c r="CB1160" s="271"/>
      <c r="CC1160" s="271">
        <v>10000000</v>
      </c>
      <c r="CD1160" s="271"/>
      <c r="CE1160" s="271"/>
      <c r="CF1160" s="271"/>
      <c r="CG1160" s="271"/>
      <c r="CH1160" s="271"/>
      <c r="CI1160" s="271"/>
      <c r="CJ1160" s="271"/>
      <c r="CK1160" s="271"/>
      <c r="CL1160" s="271"/>
      <c r="CM1160" s="271"/>
      <c r="CN1160" s="235">
        <v>10000000</v>
      </c>
      <c r="CO1160" s="271"/>
      <c r="CP1160" s="271"/>
      <c r="CQ1160" s="271"/>
      <c r="CR1160" s="271"/>
      <c r="CS1160" s="271">
        <v>20000000</v>
      </c>
      <c r="CT1160" s="271"/>
      <c r="CU1160" s="271"/>
      <c r="CV1160" s="271"/>
      <c r="CW1160" s="271"/>
      <c r="CX1160" s="271"/>
      <c r="CY1160" s="271"/>
      <c r="CZ1160" s="271"/>
      <c r="DA1160" s="271"/>
      <c r="DB1160" s="271"/>
      <c r="DC1160" s="271"/>
      <c r="DD1160" s="234">
        <v>20000000</v>
      </c>
      <c r="DE1160" s="244">
        <v>49000000</v>
      </c>
    </row>
    <row r="1161" spans="1:110" s="98" customFormat="1" ht="119.1" customHeight="1">
      <c r="A1161" s="103" t="s">
        <v>1240</v>
      </c>
      <c r="B1161" s="279" t="s">
        <v>2051</v>
      </c>
      <c r="C1161" s="279" t="s">
        <v>2264</v>
      </c>
      <c r="D1161" s="279">
        <v>107</v>
      </c>
      <c r="E1161" s="279" t="s">
        <v>2282</v>
      </c>
      <c r="F1161" s="280" t="s">
        <v>583</v>
      </c>
      <c r="G1161" s="279" t="s">
        <v>3903</v>
      </c>
      <c r="H1161" s="279">
        <v>131</v>
      </c>
      <c r="I1161" s="279" t="s">
        <v>2283</v>
      </c>
      <c r="J1161" s="279" t="s">
        <v>683</v>
      </c>
      <c r="K1161" s="279">
        <v>1</v>
      </c>
      <c r="L1161" s="279">
        <v>1</v>
      </c>
      <c r="M1161" s="279" t="s">
        <v>2289</v>
      </c>
      <c r="N1161" s="279" t="s">
        <v>2290</v>
      </c>
      <c r="O1161" s="279" t="s">
        <v>2291</v>
      </c>
      <c r="P1161" s="283">
        <v>1020</v>
      </c>
      <c r="Q1161" s="279" t="s">
        <v>3910</v>
      </c>
      <c r="R1161" s="279" t="s">
        <v>589</v>
      </c>
      <c r="S1161" s="279" t="s">
        <v>683</v>
      </c>
      <c r="T1161" s="279">
        <v>4</v>
      </c>
      <c r="U1161" s="267"/>
      <c r="V1161" s="267">
        <v>1</v>
      </c>
      <c r="W1161" s="224">
        <v>1</v>
      </c>
      <c r="X1161" s="267"/>
      <c r="Y1161" s="267"/>
      <c r="Z1161" s="267"/>
      <c r="AA1161" s="267">
        <v>1</v>
      </c>
      <c r="AB1161" s="224">
        <v>1</v>
      </c>
      <c r="AC1161" s="267"/>
      <c r="AD1161" s="267"/>
      <c r="AE1161" s="267"/>
      <c r="AF1161" s="267">
        <v>1</v>
      </c>
      <c r="AG1161" s="224">
        <v>1</v>
      </c>
      <c r="AH1161" s="267"/>
      <c r="AI1161" s="267"/>
      <c r="AJ1161" s="267"/>
      <c r="AK1161" s="267">
        <v>1</v>
      </c>
      <c r="AL1161" s="224">
        <v>1</v>
      </c>
      <c r="AM1161" s="104">
        <v>4</v>
      </c>
      <c r="AN1161" s="103" t="s">
        <v>685</v>
      </c>
      <c r="AO1161" s="103" t="s">
        <v>1212</v>
      </c>
      <c r="AP1161" s="103" t="s">
        <v>1229</v>
      </c>
      <c r="AQ1161" s="103" t="s">
        <v>1199</v>
      </c>
      <c r="AR1161" s="103" t="s">
        <v>951</v>
      </c>
      <c r="AS1161" s="271"/>
      <c r="AT1161" s="271"/>
      <c r="AU1161" s="271"/>
      <c r="AV1161" s="271"/>
      <c r="AW1161" s="271">
        <v>10000000</v>
      </c>
      <c r="AX1161" s="271"/>
      <c r="AY1161" s="271"/>
      <c r="AZ1161" s="271"/>
      <c r="BA1161" s="271"/>
      <c r="BB1161" s="271"/>
      <c r="BC1161" s="271"/>
      <c r="BD1161" s="271"/>
      <c r="BE1161" s="271"/>
      <c r="BF1161" s="271"/>
      <c r="BG1161" s="271"/>
      <c r="BH1161" s="235">
        <v>10000000</v>
      </c>
      <c r="BI1161" s="271"/>
      <c r="BJ1161" s="271"/>
      <c r="BK1161" s="271"/>
      <c r="BL1161" s="271"/>
      <c r="BM1161" s="271">
        <v>5000000</v>
      </c>
      <c r="BN1161" s="271"/>
      <c r="BO1161" s="271"/>
      <c r="BP1161" s="271"/>
      <c r="BQ1161" s="271"/>
      <c r="BR1161" s="271"/>
      <c r="BS1161" s="271"/>
      <c r="BT1161" s="271"/>
      <c r="BU1161" s="271"/>
      <c r="BV1161" s="271"/>
      <c r="BW1161" s="271"/>
      <c r="BX1161" s="235">
        <v>5000000</v>
      </c>
      <c r="BY1161" s="271"/>
      <c r="BZ1161" s="271"/>
      <c r="CA1161" s="271"/>
      <c r="CB1161" s="271"/>
      <c r="CC1161" s="271">
        <v>4000000</v>
      </c>
      <c r="CD1161" s="271"/>
      <c r="CE1161" s="271"/>
      <c r="CF1161" s="271"/>
      <c r="CG1161" s="271"/>
      <c r="CH1161" s="271"/>
      <c r="CI1161" s="271"/>
      <c r="CJ1161" s="271"/>
      <c r="CK1161" s="271"/>
      <c r="CL1161" s="271"/>
      <c r="CM1161" s="271"/>
      <c r="CN1161" s="235">
        <v>4000000</v>
      </c>
      <c r="CO1161" s="271"/>
      <c r="CP1161" s="271"/>
      <c r="CQ1161" s="271"/>
      <c r="CR1161" s="271"/>
      <c r="CS1161" s="271">
        <v>10000000</v>
      </c>
      <c r="CT1161" s="271"/>
      <c r="CU1161" s="271"/>
      <c r="CV1161" s="271"/>
      <c r="CW1161" s="271"/>
      <c r="CX1161" s="271"/>
      <c r="CY1161" s="271"/>
      <c r="CZ1161" s="271"/>
      <c r="DA1161" s="271"/>
      <c r="DB1161" s="271"/>
      <c r="DC1161" s="271"/>
      <c r="DD1161" s="234">
        <v>10000000</v>
      </c>
      <c r="DE1161" s="244">
        <v>29000000</v>
      </c>
    </row>
    <row r="1162" spans="1:110" s="98" customFormat="1" ht="119.1" customHeight="1">
      <c r="A1162" s="103" t="s">
        <v>1240</v>
      </c>
      <c r="B1162" s="279" t="s">
        <v>2051</v>
      </c>
      <c r="C1162" s="279" t="s">
        <v>2264</v>
      </c>
      <c r="D1162" s="279">
        <v>107</v>
      </c>
      <c r="E1162" s="279" t="s">
        <v>2282</v>
      </c>
      <c r="F1162" s="280" t="s">
        <v>583</v>
      </c>
      <c r="G1162" s="279" t="s">
        <v>3903</v>
      </c>
      <c r="H1162" s="279">
        <v>131</v>
      </c>
      <c r="I1162" s="279" t="s">
        <v>2283</v>
      </c>
      <c r="J1162" s="279" t="s">
        <v>683</v>
      </c>
      <c r="K1162" s="279">
        <v>1</v>
      </c>
      <c r="L1162" s="279">
        <v>1</v>
      </c>
      <c r="M1162" s="279" t="s">
        <v>2289</v>
      </c>
      <c r="N1162" s="279" t="s">
        <v>2290</v>
      </c>
      <c r="O1162" s="279" t="s">
        <v>2291</v>
      </c>
      <c r="P1162" s="283">
        <v>1021</v>
      </c>
      <c r="Q1162" s="279" t="s">
        <v>3911</v>
      </c>
      <c r="R1162" s="279" t="s">
        <v>590</v>
      </c>
      <c r="S1162" s="279" t="s">
        <v>683</v>
      </c>
      <c r="T1162" s="279">
        <v>1</v>
      </c>
      <c r="U1162" s="267"/>
      <c r="V1162" s="267"/>
      <c r="W1162" s="224">
        <v>0</v>
      </c>
      <c r="X1162" s="267"/>
      <c r="Y1162" s="267"/>
      <c r="Z1162" s="267"/>
      <c r="AA1162" s="267"/>
      <c r="AB1162" s="224">
        <v>0</v>
      </c>
      <c r="AC1162" s="267"/>
      <c r="AD1162" s="267"/>
      <c r="AE1162" s="267"/>
      <c r="AF1162" s="267"/>
      <c r="AG1162" s="224">
        <v>0</v>
      </c>
      <c r="AH1162" s="267"/>
      <c r="AI1162" s="267"/>
      <c r="AJ1162" s="267"/>
      <c r="AK1162" s="267">
        <v>1</v>
      </c>
      <c r="AL1162" s="224">
        <v>1</v>
      </c>
      <c r="AM1162" s="104">
        <v>1</v>
      </c>
      <c r="AN1162" s="103" t="s">
        <v>685</v>
      </c>
      <c r="AO1162" s="103" t="s">
        <v>1212</v>
      </c>
      <c r="AP1162" s="103" t="s">
        <v>1229</v>
      </c>
      <c r="AQ1162" s="103" t="s">
        <v>1199</v>
      </c>
      <c r="AR1162" s="103" t="s">
        <v>951</v>
      </c>
      <c r="AS1162" s="271"/>
      <c r="AT1162" s="271"/>
      <c r="AU1162" s="271"/>
      <c r="AV1162" s="271"/>
      <c r="AW1162" s="271"/>
      <c r="AX1162" s="271"/>
      <c r="AY1162" s="271"/>
      <c r="AZ1162" s="271"/>
      <c r="BA1162" s="271"/>
      <c r="BB1162" s="271"/>
      <c r="BC1162" s="271"/>
      <c r="BD1162" s="271"/>
      <c r="BE1162" s="271"/>
      <c r="BF1162" s="271"/>
      <c r="BG1162" s="271"/>
      <c r="BH1162" s="235">
        <v>0</v>
      </c>
      <c r="BI1162" s="271"/>
      <c r="BJ1162" s="271"/>
      <c r="BK1162" s="271"/>
      <c r="BL1162" s="271"/>
      <c r="BM1162" s="271"/>
      <c r="BN1162" s="271"/>
      <c r="BO1162" s="271"/>
      <c r="BP1162" s="271"/>
      <c r="BQ1162" s="271"/>
      <c r="BR1162" s="271"/>
      <c r="BS1162" s="271"/>
      <c r="BT1162" s="271"/>
      <c r="BU1162" s="271"/>
      <c r="BV1162" s="271"/>
      <c r="BW1162" s="271"/>
      <c r="BX1162" s="235">
        <v>0</v>
      </c>
      <c r="BY1162" s="271"/>
      <c r="BZ1162" s="271"/>
      <c r="CA1162" s="271"/>
      <c r="CB1162" s="271"/>
      <c r="CC1162" s="271"/>
      <c r="CD1162" s="271"/>
      <c r="CE1162" s="271"/>
      <c r="CF1162" s="271"/>
      <c r="CG1162" s="271"/>
      <c r="CH1162" s="271"/>
      <c r="CI1162" s="271"/>
      <c r="CJ1162" s="271"/>
      <c r="CK1162" s="271"/>
      <c r="CL1162" s="271"/>
      <c r="CM1162" s="271"/>
      <c r="CN1162" s="235">
        <v>0</v>
      </c>
      <c r="CO1162" s="271"/>
      <c r="CP1162" s="271"/>
      <c r="CQ1162" s="271"/>
      <c r="CR1162" s="271"/>
      <c r="CS1162" s="271">
        <v>13000000</v>
      </c>
      <c r="CT1162" s="271"/>
      <c r="CU1162" s="271"/>
      <c r="CV1162" s="271"/>
      <c r="CW1162" s="271"/>
      <c r="CX1162" s="271"/>
      <c r="CY1162" s="271"/>
      <c r="CZ1162" s="271"/>
      <c r="DA1162" s="271"/>
      <c r="DB1162" s="271"/>
      <c r="DC1162" s="271"/>
      <c r="DD1162" s="234">
        <v>13000000</v>
      </c>
      <c r="DE1162" s="244">
        <v>13000000</v>
      </c>
    </row>
    <row r="1163" spans="1:110" s="98" customFormat="1" ht="119.1" customHeight="1">
      <c r="A1163" s="120" t="s">
        <v>1240</v>
      </c>
      <c r="B1163" s="281" t="s">
        <v>2051</v>
      </c>
      <c r="C1163" s="281" t="s">
        <v>2264</v>
      </c>
      <c r="D1163" s="281">
        <v>107</v>
      </c>
      <c r="E1163" s="281" t="s">
        <v>2282</v>
      </c>
      <c r="F1163" s="282" t="s">
        <v>583</v>
      </c>
      <c r="G1163" s="281" t="s">
        <v>3903</v>
      </c>
      <c r="H1163" s="281">
        <v>131</v>
      </c>
      <c r="I1163" s="281" t="s">
        <v>2283</v>
      </c>
      <c r="J1163" s="281" t="s">
        <v>683</v>
      </c>
      <c r="K1163" s="281">
        <v>1</v>
      </c>
      <c r="L1163" s="281">
        <v>1</v>
      </c>
      <c r="M1163" s="281" t="s">
        <v>2289</v>
      </c>
      <c r="N1163" s="281" t="s">
        <v>2290</v>
      </c>
      <c r="O1163" s="281" t="s">
        <v>2291</v>
      </c>
      <c r="P1163" s="283">
        <v>1022</v>
      </c>
      <c r="Q1163" s="281" t="s">
        <v>3912</v>
      </c>
      <c r="R1163" s="281" t="s">
        <v>591</v>
      </c>
      <c r="S1163" s="281" t="s">
        <v>683</v>
      </c>
      <c r="T1163" s="281">
        <v>6</v>
      </c>
      <c r="U1163" s="275"/>
      <c r="V1163" s="275">
        <v>1</v>
      </c>
      <c r="W1163" s="225">
        <v>1</v>
      </c>
      <c r="X1163" s="275"/>
      <c r="Y1163" s="275">
        <v>1</v>
      </c>
      <c r="Z1163" s="275"/>
      <c r="AA1163" s="275">
        <v>1</v>
      </c>
      <c r="AB1163" s="225">
        <v>2</v>
      </c>
      <c r="AC1163" s="275"/>
      <c r="AD1163" s="275">
        <v>1</v>
      </c>
      <c r="AE1163" s="275"/>
      <c r="AF1163" s="275">
        <v>1</v>
      </c>
      <c r="AG1163" s="225">
        <v>2</v>
      </c>
      <c r="AH1163" s="275"/>
      <c r="AI1163" s="275">
        <v>1</v>
      </c>
      <c r="AJ1163" s="275"/>
      <c r="AK1163" s="275">
        <v>1</v>
      </c>
      <c r="AL1163" s="225">
        <v>2</v>
      </c>
      <c r="AM1163" s="119">
        <v>7</v>
      </c>
      <c r="AN1163" s="120" t="s">
        <v>685</v>
      </c>
      <c r="AO1163" s="120" t="s">
        <v>1212</v>
      </c>
      <c r="AP1163" s="120" t="s">
        <v>1229</v>
      </c>
      <c r="AQ1163" s="120" t="s">
        <v>1199</v>
      </c>
      <c r="AR1163" s="120" t="s">
        <v>951</v>
      </c>
      <c r="AS1163" s="276"/>
      <c r="AT1163" s="276"/>
      <c r="AU1163" s="276"/>
      <c r="AV1163" s="276"/>
      <c r="AW1163" s="276">
        <v>10000000</v>
      </c>
      <c r="AX1163" s="276"/>
      <c r="AY1163" s="276"/>
      <c r="AZ1163" s="276"/>
      <c r="BA1163" s="276"/>
      <c r="BB1163" s="276"/>
      <c r="BC1163" s="276"/>
      <c r="BD1163" s="276"/>
      <c r="BE1163" s="276"/>
      <c r="BF1163" s="276"/>
      <c r="BG1163" s="276"/>
      <c r="BH1163" s="236">
        <v>10000000</v>
      </c>
      <c r="BI1163" s="276"/>
      <c r="BJ1163" s="276"/>
      <c r="BK1163" s="276"/>
      <c r="BL1163" s="276"/>
      <c r="BM1163" s="276">
        <v>10000000</v>
      </c>
      <c r="BN1163" s="276"/>
      <c r="BO1163" s="276"/>
      <c r="BP1163" s="276"/>
      <c r="BQ1163" s="276"/>
      <c r="BR1163" s="276"/>
      <c r="BS1163" s="276"/>
      <c r="BT1163" s="276"/>
      <c r="BU1163" s="276"/>
      <c r="BV1163" s="276"/>
      <c r="BW1163" s="276"/>
      <c r="BX1163" s="236">
        <v>10000000</v>
      </c>
      <c r="BY1163" s="276"/>
      <c r="BZ1163" s="276"/>
      <c r="CA1163" s="276"/>
      <c r="CB1163" s="276"/>
      <c r="CC1163" s="276">
        <v>13000000</v>
      </c>
      <c r="CD1163" s="276"/>
      <c r="CE1163" s="276"/>
      <c r="CF1163" s="276"/>
      <c r="CG1163" s="276"/>
      <c r="CH1163" s="276"/>
      <c r="CI1163" s="276"/>
      <c r="CJ1163" s="276"/>
      <c r="CK1163" s="276"/>
      <c r="CL1163" s="276"/>
      <c r="CM1163" s="276"/>
      <c r="CN1163" s="236">
        <v>13000000</v>
      </c>
      <c r="CO1163" s="276"/>
      <c r="CP1163" s="276"/>
      <c r="CQ1163" s="276"/>
      <c r="CR1163" s="276"/>
      <c r="CS1163" s="276">
        <v>13000000</v>
      </c>
      <c r="CT1163" s="276"/>
      <c r="CU1163" s="276"/>
      <c r="CV1163" s="276"/>
      <c r="CW1163" s="276"/>
      <c r="CX1163" s="276"/>
      <c r="CY1163" s="276"/>
      <c r="CZ1163" s="276"/>
      <c r="DA1163" s="276"/>
      <c r="DB1163" s="276"/>
      <c r="DC1163" s="276"/>
      <c r="DD1163" s="240">
        <v>13000000</v>
      </c>
      <c r="DE1163" s="245">
        <v>46000000</v>
      </c>
    </row>
    <row r="1164" spans="1:110" ht="65.099999999999994" customHeight="1">
      <c r="A1164" s="118" t="s">
        <v>1240</v>
      </c>
      <c r="B1164" s="118" t="s">
        <v>2051</v>
      </c>
      <c r="C1164" s="118" t="s">
        <v>2264</v>
      </c>
      <c r="D1164" s="118">
        <v>107</v>
      </c>
      <c r="E1164" s="118" t="s">
        <v>2282</v>
      </c>
      <c r="F1164" s="135"/>
      <c r="G1164" s="136"/>
      <c r="H1164" s="137"/>
      <c r="I1164" s="137"/>
      <c r="J1164" s="137"/>
      <c r="K1164" s="138"/>
      <c r="L1164" s="137"/>
      <c r="M1164" s="137"/>
      <c r="N1164" s="137"/>
      <c r="O1164" s="137"/>
      <c r="P1164" s="137"/>
      <c r="Q1164" s="136"/>
      <c r="R1164" s="139"/>
      <c r="S1164" s="137"/>
      <c r="T1164" s="137"/>
      <c r="U1164" s="140"/>
      <c r="V1164" s="140"/>
      <c r="W1164" s="138"/>
      <c r="X1164" s="140"/>
      <c r="Y1164" s="140"/>
      <c r="Z1164" s="140"/>
      <c r="AA1164" s="140"/>
      <c r="AB1164" s="138"/>
      <c r="AC1164" s="140"/>
      <c r="AD1164" s="140"/>
      <c r="AE1164" s="140"/>
      <c r="AF1164" s="140"/>
      <c r="AG1164" s="138"/>
      <c r="AH1164" s="140"/>
      <c r="AI1164" s="140"/>
      <c r="AJ1164" s="140"/>
      <c r="AK1164" s="140"/>
      <c r="AL1164" s="138"/>
      <c r="AM1164" s="141"/>
      <c r="AN1164" s="142"/>
      <c r="AO1164" s="142"/>
      <c r="AP1164" s="143"/>
      <c r="AQ1164" s="143"/>
      <c r="AR1164" s="144"/>
      <c r="AS1164" s="132">
        <f>SUM(AS1154:AS1163)</f>
        <v>0</v>
      </c>
      <c r="AT1164" s="132">
        <f t="shared" ref="AT1164:DE1164" si="586">SUM(AT1154:AT1163)</f>
        <v>0</v>
      </c>
      <c r="AU1164" s="132">
        <f t="shared" si="586"/>
        <v>0</v>
      </c>
      <c r="AV1164" s="132">
        <f t="shared" si="586"/>
        <v>0</v>
      </c>
      <c r="AW1164" s="132">
        <f t="shared" si="586"/>
        <v>130000000</v>
      </c>
      <c r="AX1164" s="132">
        <f t="shared" si="586"/>
        <v>0</v>
      </c>
      <c r="AY1164" s="132">
        <f t="shared" si="586"/>
        <v>0</v>
      </c>
      <c r="AZ1164" s="132">
        <f t="shared" si="586"/>
        <v>0</v>
      </c>
      <c r="BA1164" s="132">
        <f t="shared" si="586"/>
        <v>0</v>
      </c>
      <c r="BB1164" s="132">
        <f t="shared" si="586"/>
        <v>0</v>
      </c>
      <c r="BC1164" s="132">
        <f t="shared" si="586"/>
        <v>0</v>
      </c>
      <c r="BD1164" s="132">
        <f t="shared" si="586"/>
        <v>0</v>
      </c>
      <c r="BE1164" s="132">
        <f t="shared" si="586"/>
        <v>0</v>
      </c>
      <c r="BF1164" s="132">
        <f t="shared" si="586"/>
        <v>0</v>
      </c>
      <c r="BG1164" s="132">
        <f t="shared" si="586"/>
        <v>0</v>
      </c>
      <c r="BH1164" s="132">
        <f>IF(OR(AND(BH1154=0,W1154&lt;&gt;0),AND(BH1155=0,W1155&lt;&gt;0),AND(BH1156=0,W1156&lt;&gt;0),AND(BH1157=0,W1157&lt;&gt;0),AND(BH1158=0,W1158&lt;&gt;0),AND(BH1159=0,W1159&lt;&gt;0),AND(BH1160=0,W1160&lt;&gt;0),AND(BH1161=0,W1161&lt;&gt;0),AND(BH1162=0,W1162&lt;&gt;0),AND(BH1163=0,W1163&lt;&gt;0)),"NO DEBEN QUEDAR CELDAS EN ROJO",SUM(BH1154:BH1163))</f>
        <v>130000000</v>
      </c>
      <c r="BI1164" s="132">
        <f t="shared" si="586"/>
        <v>0</v>
      </c>
      <c r="BJ1164" s="132">
        <f t="shared" si="586"/>
        <v>0</v>
      </c>
      <c r="BK1164" s="132">
        <f t="shared" si="586"/>
        <v>0</v>
      </c>
      <c r="BL1164" s="132">
        <f t="shared" si="586"/>
        <v>0</v>
      </c>
      <c r="BM1164" s="132">
        <f t="shared" si="586"/>
        <v>135000000</v>
      </c>
      <c r="BN1164" s="132">
        <f t="shared" si="586"/>
        <v>0</v>
      </c>
      <c r="BO1164" s="132">
        <f t="shared" si="586"/>
        <v>0</v>
      </c>
      <c r="BP1164" s="132">
        <f t="shared" si="586"/>
        <v>0</v>
      </c>
      <c r="BQ1164" s="132">
        <f t="shared" si="586"/>
        <v>0</v>
      </c>
      <c r="BR1164" s="132">
        <f t="shared" si="586"/>
        <v>0</v>
      </c>
      <c r="BS1164" s="132">
        <f t="shared" si="586"/>
        <v>0</v>
      </c>
      <c r="BT1164" s="132">
        <f t="shared" si="586"/>
        <v>0</v>
      </c>
      <c r="BU1164" s="132">
        <f t="shared" si="586"/>
        <v>0</v>
      </c>
      <c r="BV1164" s="132">
        <f t="shared" si="586"/>
        <v>0</v>
      </c>
      <c r="BW1164" s="132">
        <f t="shared" si="586"/>
        <v>0</v>
      </c>
      <c r="BX1164" s="132">
        <f>IF(OR(AND(BX1154=0,AB1154&lt;&gt;0),AND(BX1155=0,AB1155&lt;&gt;0),AND(BX1156=0,AB1156&lt;&gt;0),AND(BX1157=0,AB1157&lt;&gt;0),AND(BX1158=0,AB1158&lt;&gt;0),AND(BX1159=0,AB1159&lt;&gt;0),AND(BX1160=0,AB1160&lt;&gt;0),AND(BX1161=0,AB1161&lt;&gt;0),AND(BX1162=0,AB1162&lt;&gt;0),AND(BX1163=0,AB1163&lt;&gt;0)),"NO DEBEN QUEDAR CELDAS EN ROJO",SUM(BX1154:BX1163))</f>
        <v>135000000</v>
      </c>
      <c r="BY1164" s="132">
        <f t="shared" si="586"/>
        <v>0</v>
      </c>
      <c r="BZ1164" s="132">
        <f t="shared" si="586"/>
        <v>0</v>
      </c>
      <c r="CA1164" s="132">
        <f t="shared" si="586"/>
        <v>0</v>
      </c>
      <c r="CB1164" s="132">
        <f t="shared" si="586"/>
        <v>0</v>
      </c>
      <c r="CC1164" s="132">
        <f t="shared" si="586"/>
        <v>140000000</v>
      </c>
      <c r="CD1164" s="132">
        <f t="shared" si="586"/>
        <v>0</v>
      </c>
      <c r="CE1164" s="132">
        <f t="shared" si="586"/>
        <v>0</v>
      </c>
      <c r="CF1164" s="132">
        <f t="shared" si="586"/>
        <v>0</v>
      </c>
      <c r="CG1164" s="132">
        <f t="shared" si="586"/>
        <v>0</v>
      </c>
      <c r="CH1164" s="132">
        <f t="shared" si="586"/>
        <v>0</v>
      </c>
      <c r="CI1164" s="132">
        <f t="shared" si="586"/>
        <v>0</v>
      </c>
      <c r="CJ1164" s="132">
        <f t="shared" si="586"/>
        <v>0</v>
      </c>
      <c r="CK1164" s="132">
        <f t="shared" si="586"/>
        <v>0</v>
      </c>
      <c r="CL1164" s="132">
        <f t="shared" si="586"/>
        <v>0</v>
      </c>
      <c r="CM1164" s="132">
        <f t="shared" si="586"/>
        <v>0</v>
      </c>
      <c r="CN1164" s="132">
        <f>IF(OR(AND(CN1154=0,AG1154&lt;&gt;0),AND(CN1155=0,AG1155&lt;&gt;0),AND(CN1156=0,AG1156&lt;&gt;0),AND(CN1157=0,AG1157&lt;&gt;0),AND(CN1158=0,AG1158&lt;&gt;0),AND(CN1159=0,AG1159&lt;&gt;0),AND(CN1160=0,AG1160&lt;&gt;0),AND(CN1161=0,AG1161&lt;&gt;0),AND(CN1162=0,AG1162&lt;&gt;0),AND(CN1163=0,AG1163&lt;&gt;0)),"NO DEBEN QUEDAR CELDAS EN ROJO",SUM(CN1154:CN1163))</f>
        <v>140000000</v>
      </c>
      <c r="CO1164" s="132">
        <f t="shared" si="586"/>
        <v>0</v>
      </c>
      <c r="CP1164" s="132">
        <f t="shared" si="586"/>
        <v>0</v>
      </c>
      <c r="CQ1164" s="132">
        <f t="shared" si="586"/>
        <v>0</v>
      </c>
      <c r="CR1164" s="132">
        <f t="shared" si="586"/>
        <v>0</v>
      </c>
      <c r="CS1164" s="132">
        <f t="shared" si="586"/>
        <v>165000000</v>
      </c>
      <c r="CT1164" s="132">
        <f t="shared" si="586"/>
        <v>0</v>
      </c>
      <c r="CU1164" s="132">
        <f t="shared" si="586"/>
        <v>0</v>
      </c>
      <c r="CV1164" s="132">
        <f t="shared" si="586"/>
        <v>0</v>
      </c>
      <c r="CW1164" s="132">
        <f t="shared" si="586"/>
        <v>0</v>
      </c>
      <c r="CX1164" s="132">
        <f t="shared" si="586"/>
        <v>0</v>
      </c>
      <c r="CY1164" s="132">
        <f t="shared" si="586"/>
        <v>0</v>
      </c>
      <c r="CZ1164" s="132">
        <f t="shared" si="586"/>
        <v>0</v>
      </c>
      <c r="DA1164" s="132">
        <f t="shared" si="586"/>
        <v>0</v>
      </c>
      <c r="DB1164" s="132">
        <f t="shared" si="586"/>
        <v>0</v>
      </c>
      <c r="DC1164" s="132">
        <f t="shared" si="586"/>
        <v>0</v>
      </c>
      <c r="DD1164" s="132">
        <f>IF(OR(AND(DD1154=0,AL1154&lt;&gt;0),AND(DD1155=0,AL1155&lt;&gt;0),AND(DD1156=0,AL1156&lt;&gt;0),AND(DD1157=0,AL1157&lt;&gt;0),AND(DD1158=0,AL1158&lt;&gt;0),AND(DD1159=0,AL1159&lt;&gt;0),AND(DD1160=0,AL1160&lt;&gt;0),AND(DD1161=0,AL1161&lt;&gt;0),AND(DD1162=0,AL1162&lt;&gt;0),AND(DD1163=0,AL1163&lt;&gt;0)),"NO DEBEN QUEDAR CELDAS EN ROJO",SUM(DD1154:DD1163))</f>
        <v>165000000</v>
      </c>
      <c r="DE1164" s="132">
        <f t="shared" si="586"/>
        <v>570000000</v>
      </c>
      <c r="DF1164" s="101"/>
    </row>
    <row r="1165" spans="1:110" s="99" customFormat="1" ht="119.1" customHeight="1">
      <c r="A1165" s="103" t="s">
        <v>1260</v>
      </c>
      <c r="B1165" s="103" t="s">
        <v>2051</v>
      </c>
      <c r="C1165" s="103" t="s">
        <v>2264</v>
      </c>
      <c r="D1165" s="103">
        <v>108</v>
      </c>
      <c r="E1165" s="103" t="s">
        <v>2692</v>
      </c>
      <c r="F1165" s="278" t="s">
        <v>592</v>
      </c>
      <c r="G1165" s="103" t="s">
        <v>2982</v>
      </c>
      <c r="H1165" s="103">
        <v>132</v>
      </c>
      <c r="I1165" s="103" t="s">
        <v>593</v>
      </c>
      <c r="J1165" s="103" t="s">
        <v>677</v>
      </c>
      <c r="K1165" s="103">
        <v>0</v>
      </c>
      <c r="L1165" s="103">
        <v>100</v>
      </c>
      <c r="M1165" s="103" t="s">
        <v>2295</v>
      </c>
      <c r="N1165" s="103" t="s">
        <v>2292</v>
      </c>
      <c r="O1165" s="103" t="s">
        <v>3227</v>
      </c>
      <c r="P1165" s="283">
        <v>1023</v>
      </c>
      <c r="Q1165" s="103" t="s">
        <v>2983</v>
      </c>
      <c r="R1165" s="103" t="s">
        <v>594</v>
      </c>
      <c r="S1165" s="103" t="s">
        <v>677</v>
      </c>
      <c r="T1165" s="103">
        <v>100</v>
      </c>
      <c r="U1165" s="267">
        <v>100</v>
      </c>
      <c r="V1165" s="267">
        <v>100</v>
      </c>
      <c r="W1165" s="224">
        <v>100</v>
      </c>
      <c r="X1165" s="267">
        <v>100</v>
      </c>
      <c r="Y1165" s="267">
        <v>100</v>
      </c>
      <c r="Z1165" s="267">
        <v>100</v>
      </c>
      <c r="AA1165" s="267">
        <v>100</v>
      </c>
      <c r="AB1165" s="224">
        <v>100</v>
      </c>
      <c r="AC1165" s="267">
        <v>100</v>
      </c>
      <c r="AD1165" s="267">
        <v>100</v>
      </c>
      <c r="AE1165" s="267">
        <v>100</v>
      </c>
      <c r="AF1165" s="267">
        <v>100</v>
      </c>
      <c r="AG1165" s="224">
        <v>100</v>
      </c>
      <c r="AH1165" s="267">
        <v>100</v>
      </c>
      <c r="AI1165" s="267">
        <v>100</v>
      </c>
      <c r="AJ1165" s="267">
        <v>100</v>
      </c>
      <c r="AK1165" s="267">
        <v>100</v>
      </c>
      <c r="AL1165" s="224">
        <v>100</v>
      </c>
      <c r="AM1165" s="102">
        <v>100</v>
      </c>
      <c r="AN1165" s="103" t="s">
        <v>686</v>
      </c>
      <c r="AO1165" s="103" t="s">
        <v>1212</v>
      </c>
      <c r="AP1165" s="103" t="s">
        <v>1229</v>
      </c>
      <c r="AQ1165" s="103" t="s">
        <v>1207</v>
      </c>
      <c r="AR1165" s="103" t="s">
        <v>951</v>
      </c>
      <c r="AS1165" s="268"/>
      <c r="AT1165" s="268"/>
      <c r="AU1165" s="268"/>
      <c r="AV1165" s="268"/>
      <c r="AW1165" s="268">
        <v>35000000</v>
      </c>
      <c r="AX1165" s="268"/>
      <c r="AY1165" s="268"/>
      <c r="AZ1165" s="268"/>
      <c r="BA1165" s="268"/>
      <c r="BB1165" s="268"/>
      <c r="BC1165" s="268"/>
      <c r="BD1165" s="268"/>
      <c r="BE1165" s="268"/>
      <c r="BF1165" s="268"/>
      <c r="BG1165" s="268"/>
      <c r="BH1165" s="234">
        <f t="shared" ref="BH1165:BH1173" si="587">IF(W1165=0,0,BG1165+BF1165+BE1165+BD1165+BC1165+BB1165+BA1165+AZ1165+AY1165+AX1165+AW1165+AV1165+AU1165+AT1165+AS1165)</f>
        <v>35000000</v>
      </c>
      <c r="BI1165" s="268"/>
      <c r="BJ1165" s="268"/>
      <c r="BK1165" s="268"/>
      <c r="BL1165" s="268"/>
      <c r="BM1165" s="268">
        <v>70000000</v>
      </c>
      <c r="BN1165" s="268"/>
      <c r="BO1165" s="268"/>
      <c r="BP1165" s="268"/>
      <c r="BQ1165" s="268"/>
      <c r="BR1165" s="268"/>
      <c r="BS1165" s="268"/>
      <c r="BT1165" s="268"/>
      <c r="BU1165" s="268"/>
      <c r="BV1165" s="268"/>
      <c r="BW1165" s="268"/>
      <c r="BX1165" s="234">
        <f t="shared" ref="BX1165:BX1173" si="588">IF(AB1165=0,0,BI1165+BJ1165+BK1165+BL1165+BM1165+BN1165+BO1165+BP1165+BQ1165+BR1165+BS1165+BT1165+BU1165+BV1165+BW1165)</f>
        <v>70000000</v>
      </c>
      <c r="BY1165" s="268"/>
      <c r="BZ1165" s="268"/>
      <c r="CA1165" s="268"/>
      <c r="CB1165" s="268"/>
      <c r="CC1165" s="268">
        <v>80000000</v>
      </c>
      <c r="CD1165" s="268"/>
      <c r="CE1165" s="268"/>
      <c r="CF1165" s="268"/>
      <c r="CG1165" s="268"/>
      <c r="CH1165" s="268"/>
      <c r="CI1165" s="268"/>
      <c r="CJ1165" s="268"/>
      <c r="CK1165" s="268"/>
      <c r="CL1165" s="268"/>
      <c r="CM1165" s="268"/>
      <c r="CN1165" s="234">
        <f t="shared" ref="CN1165:CN1173" si="589">IF(AG1165=0,0,(BY1165+BZ1165+CA1165+CB1165+CC1165+CD1165+CE1165+CF1165+CG1165+CH1165+CI1165+CJ1165+CK1165+CL1165+CM1165))</f>
        <v>80000000</v>
      </c>
      <c r="CO1165" s="268"/>
      <c r="CP1165" s="268"/>
      <c r="CQ1165" s="268"/>
      <c r="CR1165" s="268"/>
      <c r="CS1165" s="268">
        <v>80000000</v>
      </c>
      <c r="CT1165" s="268"/>
      <c r="CU1165" s="268"/>
      <c r="CV1165" s="268"/>
      <c r="CW1165" s="268"/>
      <c r="CX1165" s="268"/>
      <c r="CY1165" s="268"/>
      <c r="CZ1165" s="268"/>
      <c r="DA1165" s="268"/>
      <c r="DB1165" s="268"/>
      <c r="DC1165" s="268"/>
      <c r="DD1165" s="234">
        <f t="shared" ref="DD1165:DD1173" si="590">IF(AL1165=0,0,(CO1165+CP1165+CQ1165+CR1165+CS1165+CT1165+CU1165+CV1165+CW1165+CX1165+CY1165+CZ1165+DA1165+DB1165+DC1165))</f>
        <v>80000000</v>
      </c>
      <c r="DE1165" s="243">
        <f t="shared" ref="DE1165:DE1173" si="591">SUM(DD1165+CN1165+BX1165+BH1165)</f>
        <v>265000000</v>
      </c>
    </row>
    <row r="1166" spans="1:110" s="99" customFormat="1" ht="119.1" customHeight="1">
      <c r="A1166" s="103" t="s">
        <v>1260</v>
      </c>
      <c r="B1166" s="279" t="s">
        <v>2051</v>
      </c>
      <c r="C1166" s="279" t="s">
        <v>2264</v>
      </c>
      <c r="D1166" s="279">
        <v>108</v>
      </c>
      <c r="E1166" s="279" t="s">
        <v>2692</v>
      </c>
      <c r="F1166" s="280" t="s">
        <v>592</v>
      </c>
      <c r="G1166" s="279" t="s">
        <v>2982</v>
      </c>
      <c r="H1166" s="279">
        <v>132</v>
      </c>
      <c r="I1166" s="279" t="s">
        <v>593</v>
      </c>
      <c r="J1166" s="279" t="s">
        <v>677</v>
      </c>
      <c r="K1166" s="279">
        <v>0</v>
      </c>
      <c r="L1166" s="279">
        <v>100</v>
      </c>
      <c r="M1166" s="279" t="s">
        <v>2295</v>
      </c>
      <c r="N1166" s="279" t="s">
        <v>2292</v>
      </c>
      <c r="O1166" s="279" t="s">
        <v>3227</v>
      </c>
      <c r="P1166" s="283">
        <v>1024</v>
      </c>
      <c r="Q1166" s="279" t="s">
        <v>2984</v>
      </c>
      <c r="R1166" s="279" t="s">
        <v>595</v>
      </c>
      <c r="S1166" s="279" t="s">
        <v>683</v>
      </c>
      <c r="T1166" s="279">
        <v>200</v>
      </c>
      <c r="U1166" s="267">
        <v>20</v>
      </c>
      <c r="V1166" s="267">
        <v>20</v>
      </c>
      <c r="W1166" s="224">
        <v>40</v>
      </c>
      <c r="X1166" s="267"/>
      <c r="Y1166" s="267">
        <v>30</v>
      </c>
      <c r="Z1166" s="267">
        <v>30</v>
      </c>
      <c r="AA1166" s="267">
        <v>20</v>
      </c>
      <c r="AB1166" s="224">
        <v>80</v>
      </c>
      <c r="AC1166" s="267"/>
      <c r="AD1166" s="267">
        <v>30</v>
      </c>
      <c r="AE1166" s="267">
        <v>30</v>
      </c>
      <c r="AF1166" s="267">
        <v>20</v>
      </c>
      <c r="AG1166" s="224">
        <v>80</v>
      </c>
      <c r="AH1166" s="267">
        <v>10</v>
      </c>
      <c r="AI1166" s="267">
        <v>20</v>
      </c>
      <c r="AJ1166" s="267">
        <v>20</v>
      </c>
      <c r="AK1166" s="267">
        <v>50</v>
      </c>
      <c r="AL1166" s="224">
        <v>100</v>
      </c>
      <c r="AM1166" s="104">
        <v>300</v>
      </c>
      <c r="AN1166" s="103" t="s">
        <v>685</v>
      </c>
      <c r="AO1166" s="103" t="s">
        <v>1212</v>
      </c>
      <c r="AP1166" s="103" t="s">
        <v>1229</v>
      </c>
      <c r="AQ1166" s="103" t="s">
        <v>1207</v>
      </c>
      <c r="AR1166" s="103" t="s">
        <v>951</v>
      </c>
      <c r="AS1166" s="271"/>
      <c r="AT1166" s="271"/>
      <c r="AU1166" s="271"/>
      <c r="AV1166" s="271"/>
      <c r="AW1166" s="271">
        <v>20000000</v>
      </c>
      <c r="AX1166" s="271"/>
      <c r="AY1166" s="271"/>
      <c r="AZ1166" s="271"/>
      <c r="BA1166" s="271"/>
      <c r="BB1166" s="271"/>
      <c r="BC1166" s="271"/>
      <c r="BD1166" s="271"/>
      <c r="BE1166" s="271"/>
      <c r="BF1166" s="271"/>
      <c r="BG1166" s="271"/>
      <c r="BH1166" s="235">
        <f t="shared" si="587"/>
        <v>20000000</v>
      </c>
      <c r="BI1166" s="271"/>
      <c r="BJ1166" s="271"/>
      <c r="BK1166" s="271"/>
      <c r="BL1166" s="271"/>
      <c r="BM1166" s="271">
        <v>30000000</v>
      </c>
      <c r="BN1166" s="271"/>
      <c r="BO1166" s="271"/>
      <c r="BP1166" s="271"/>
      <c r="BQ1166" s="271"/>
      <c r="BR1166" s="271"/>
      <c r="BS1166" s="271"/>
      <c r="BT1166" s="271"/>
      <c r="BU1166" s="271"/>
      <c r="BV1166" s="271"/>
      <c r="BW1166" s="271"/>
      <c r="BX1166" s="235">
        <f t="shared" si="588"/>
        <v>30000000</v>
      </c>
      <c r="BY1166" s="271"/>
      <c r="BZ1166" s="271"/>
      <c r="CA1166" s="271"/>
      <c r="CB1166" s="271"/>
      <c r="CC1166" s="271">
        <v>30000000</v>
      </c>
      <c r="CD1166" s="271"/>
      <c r="CE1166" s="271"/>
      <c r="CF1166" s="271"/>
      <c r="CG1166" s="271"/>
      <c r="CH1166" s="271"/>
      <c r="CI1166" s="271"/>
      <c r="CJ1166" s="271"/>
      <c r="CK1166" s="271"/>
      <c r="CL1166" s="271"/>
      <c r="CM1166" s="271"/>
      <c r="CN1166" s="235">
        <f t="shared" si="589"/>
        <v>30000000</v>
      </c>
      <c r="CO1166" s="271"/>
      <c r="CP1166" s="271"/>
      <c r="CQ1166" s="271"/>
      <c r="CR1166" s="271"/>
      <c r="CS1166" s="271">
        <v>40000000</v>
      </c>
      <c r="CT1166" s="271"/>
      <c r="CU1166" s="271"/>
      <c r="CV1166" s="271"/>
      <c r="CW1166" s="271"/>
      <c r="CX1166" s="271"/>
      <c r="CY1166" s="271"/>
      <c r="CZ1166" s="271"/>
      <c r="DA1166" s="271"/>
      <c r="DB1166" s="271"/>
      <c r="DC1166" s="271"/>
      <c r="DD1166" s="234">
        <f t="shared" si="590"/>
        <v>40000000</v>
      </c>
      <c r="DE1166" s="244">
        <f t="shared" si="591"/>
        <v>120000000</v>
      </c>
    </row>
    <row r="1167" spans="1:110" s="99" customFormat="1" ht="119.1" customHeight="1">
      <c r="A1167" s="103" t="s">
        <v>1260</v>
      </c>
      <c r="B1167" s="279" t="s">
        <v>2051</v>
      </c>
      <c r="C1167" s="279" t="s">
        <v>2264</v>
      </c>
      <c r="D1167" s="279">
        <v>108</v>
      </c>
      <c r="E1167" s="279" t="s">
        <v>2692</v>
      </c>
      <c r="F1167" s="280" t="s">
        <v>592</v>
      </c>
      <c r="G1167" s="279" t="s">
        <v>2982</v>
      </c>
      <c r="H1167" s="279">
        <v>132</v>
      </c>
      <c r="I1167" s="279" t="s">
        <v>593</v>
      </c>
      <c r="J1167" s="279" t="s">
        <v>677</v>
      </c>
      <c r="K1167" s="279">
        <v>0</v>
      </c>
      <c r="L1167" s="279">
        <v>100</v>
      </c>
      <c r="M1167" s="279" t="s">
        <v>2295</v>
      </c>
      <c r="N1167" s="279" t="s">
        <v>2292</v>
      </c>
      <c r="O1167" s="279" t="s">
        <v>3227</v>
      </c>
      <c r="P1167" s="283">
        <v>1025</v>
      </c>
      <c r="Q1167" s="279" t="s">
        <v>3266</v>
      </c>
      <c r="R1167" s="279" t="s">
        <v>2293</v>
      </c>
      <c r="S1167" s="279" t="s">
        <v>683</v>
      </c>
      <c r="T1167" s="279">
        <v>0</v>
      </c>
      <c r="U1167" s="267">
        <v>11</v>
      </c>
      <c r="V1167" s="267"/>
      <c r="W1167" s="224">
        <v>11</v>
      </c>
      <c r="X1167" s="267"/>
      <c r="Y1167" s="267">
        <v>6</v>
      </c>
      <c r="Z1167" s="267">
        <v>5</v>
      </c>
      <c r="AA1167" s="267">
        <v>2</v>
      </c>
      <c r="AB1167" s="224">
        <v>13</v>
      </c>
      <c r="AC1167" s="267"/>
      <c r="AD1167" s="267">
        <v>6</v>
      </c>
      <c r="AE1167" s="267">
        <v>5</v>
      </c>
      <c r="AF1167" s="267">
        <v>2</v>
      </c>
      <c r="AG1167" s="224">
        <v>13</v>
      </c>
      <c r="AH1167" s="267">
        <v>3</v>
      </c>
      <c r="AI1167" s="267">
        <v>4</v>
      </c>
      <c r="AJ1167" s="267">
        <v>3</v>
      </c>
      <c r="AK1167" s="267">
        <v>3</v>
      </c>
      <c r="AL1167" s="224">
        <v>13</v>
      </c>
      <c r="AM1167" s="104">
        <v>50</v>
      </c>
      <c r="AN1167" s="103" t="s">
        <v>685</v>
      </c>
      <c r="AO1167" s="103" t="s">
        <v>1212</v>
      </c>
      <c r="AP1167" s="103" t="s">
        <v>1229</v>
      </c>
      <c r="AQ1167" s="103" t="s">
        <v>1207</v>
      </c>
      <c r="AR1167" s="103" t="s">
        <v>951</v>
      </c>
      <c r="AS1167" s="271"/>
      <c r="AT1167" s="271"/>
      <c r="AU1167" s="271"/>
      <c r="AV1167" s="271"/>
      <c r="AW1167" s="271">
        <v>4000000</v>
      </c>
      <c r="AX1167" s="271"/>
      <c r="AY1167" s="271"/>
      <c r="AZ1167" s="271"/>
      <c r="BA1167" s="271"/>
      <c r="BB1167" s="271"/>
      <c r="BC1167" s="271"/>
      <c r="BD1167" s="271"/>
      <c r="BE1167" s="271"/>
      <c r="BF1167" s="271"/>
      <c r="BG1167" s="271"/>
      <c r="BH1167" s="235">
        <f t="shared" si="587"/>
        <v>4000000</v>
      </c>
      <c r="BI1167" s="271"/>
      <c r="BJ1167" s="271"/>
      <c r="BK1167" s="271"/>
      <c r="BL1167" s="271"/>
      <c r="BM1167" s="271">
        <v>4000000</v>
      </c>
      <c r="BN1167" s="271"/>
      <c r="BO1167" s="271"/>
      <c r="BP1167" s="271"/>
      <c r="BQ1167" s="271"/>
      <c r="BR1167" s="271"/>
      <c r="BS1167" s="271"/>
      <c r="BT1167" s="271"/>
      <c r="BU1167" s="271"/>
      <c r="BV1167" s="271"/>
      <c r="BW1167" s="271"/>
      <c r="BX1167" s="235">
        <f t="shared" si="588"/>
        <v>4000000</v>
      </c>
      <c r="BY1167" s="271"/>
      <c r="BZ1167" s="271"/>
      <c r="CA1167" s="271"/>
      <c r="CB1167" s="271"/>
      <c r="CC1167" s="271">
        <v>4000000</v>
      </c>
      <c r="CD1167" s="271"/>
      <c r="CE1167" s="271"/>
      <c r="CF1167" s="271"/>
      <c r="CG1167" s="271"/>
      <c r="CH1167" s="271"/>
      <c r="CI1167" s="271"/>
      <c r="CJ1167" s="271"/>
      <c r="CK1167" s="271"/>
      <c r="CL1167" s="271"/>
      <c r="CM1167" s="271"/>
      <c r="CN1167" s="235">
        <f t="shared" si="589"/>
        <v>4000000</v>
      </c>
      <c r="CO1167" s="271"/>
      <c r="CP1167" s="271"/>
      <c r="CQ1167" s="271"/>
      <c r="CR1167" s="271"/>
      <c r="CS1167" s="271">
        <v>10000000</v>
      </c>
      <c r="CT1167" s="271"/>
      <c r="CU1167" s="271"/>
      <c r="CV1167" s="271"/>
      <c r="CW1167" s="271"/>
      <c r="CX1167" s="271"/>
      <c r="CY1167" s="271"/>
      <c r="CZ1167" s="271"/>
      <c r="DA1167" s="271"/>
      <c r="DB1167" s="271"/>
      <c r="DC1167" s="271"/>
      <c r="DD1167" s="234">
        <f t="shared" si="590"/>
        <v>10000000</v>
      </c>
      <c r="DE1167" s="244">
        <f t="shared" si="591"/>
        <v>22000000</v>
      </c>
    </row>
    <row r="1168" spans="1:110" s="99" customFormat="1" ht="119.1" customHeight="1">
      <c r="A1168" s="103" t="s">
        <v>1260</v>
      </c>
      <c r="B1168" s="279" t="s">
        <v>2051</v>
      </c>
      <c r="C1168" s="279" t="s">
        <v>2264</v>
      </c>
      <c r="D1168" s="279">
        <v>108</v>
      </c>
      <c r="E1168" s="279" t="s">
        <v>2692</v>
      </c>
      <c r="F1168" s="280" t="s">
        <v>592</v>
      </c>
      <c r="G1168" s="279" t="s">
        <v>2982</v>
      </c>
      <c r="H1168" s="279">
        <v>132</v>
      </c>
      <c r="I1168" s="279" t="s">
        <v>593</v>
      </c>
      <c r="J1168" s="279" t="s">
        <v>677</v>
      </c>
      <c r="K1168" s="279">
        <v>0</v>
      </c>
      <c r="L1168" s="279">
        <v>100</v>
      </c>
      <c r="M1168" s="279" t="s">
        <v>2295</v>
      </c>
      <c r="N1168" s="279" t="s">
        <v>2292</v>
      </c>
      <c r="O1168" s="279" t="s">
        <v>3227</v>
      </c>
      <c r="P1168" s="283">
        <v>1026</v>
      </c>
      <c r="Q1168" s="279" t="s">
        <v>2985</v>
      </c>
      <c r="R1168" s="279" t="s">
        <v>2294</v>
      </c>
      <c r="S1168" s="279" t="s">
        <v>683</v>
      </c>
      <c r="T1168" s="279">
        <v>0</v>
      </c>
      <c r="U1168" s="267"/>
      <c r="V1168" s="267">
        <v>0.1</v>
      </c>
      <c r="W1168" s="224">
        <v>0.1</v>
      </c>
      <c r="X1168" s="267"/>
      <c r="Y1168" s="267"/>
      <c r="Z1168" s="267"/>
      <c r="AA1168" s="267">
        <v>0.3</v>
      </c>
      <c r="AB1168" s="224">
        <v>0.3</v>
      </c>
      <c r="AC1168" s="267"/>
      <c r="AD1168" s="267"/>
      <c r="AE1168" s="267"/>
      <c r="AF1168" s="267">
        <v>0.3</v>
      </c>
      <c r="AG1168" s="224">
        <v>0.3</v>
      </c>
      <c r="AH1168" s="267"/>
      <c r="AI1168" s="267"/>
      <c r="AJ1168" s="267">
        <v>0.3</v>
      </c>
      <c r="AK1168" s="267"/>
      <c r="AL1168" s="224">
        <v>0.3</v>
      </c>
      <c r="AM1168" s="104">
        <v>1</v>
      </c>
      <c r="AN1168" s="103" t="s">
        <v>685</v>
      </c>
      <c r="AO1168" s="103" t="s">
        <v>1212</v>
      </c>
      <c r="AP1168" s="103" t="s">
        <v>1229</v>
      </c>
      <c r="AQ1168" s="103" t="s">
        <v>1207</v>
      </c>
      <c r="AR1168" s="103" t="s">
        <v>951</v>
      </c>
      <c r="AS1168" s="271"/>
      <c r="AT1168" s="271"/>
      <c r="AU1168" s="271"/>
      <c r="AV1168" s="271"/>
      <c r="AW1168" s="271">
        <v>1000000</v>
      </c>
      <c r="AX1168" s="271"/>
      <c r="AY1168" s="271"/>
      <c r="AZ1168" s="271"/>
      <c r="BA1168" s="271"/>
      <c r="BB1168" s="271"/>
      <c r="BC1168" s="271"/>
      <c r="BD1168" s="271"/>
      <c r="BE1168" s="271"/>
      <c r="BF1168" s="271"/>
      <c r="BG1168" s="271"/>
      <c r="BH1168" s="235">
        <f t="shared" si="587"/>
        <v>1000000</v>
      </c>
      <c r="BI1168" s="271"/>
      <c r="BJ1168" s="271"/>
      <c r="BK1168" s="271"/>
      <c r="BL1168" s="271"/>
      <c r="BM1168" s="271">
        <v>2000000</v>
      </c>
      <c r="BN1168" s="271"/>
      <c r="BO1168" s="271"/>
      <c r="BP1168" s="271"/>
      <c r="BQ1168" s="271"/>
      <c r="BR1168" s="271"/>
      <c r="BS1168" s="271"/>
      <c r="BT1168" s="271"/>
      <c r="BU1168" s="271"/>
      <c r="BV1168" s="271"/>
      <c r="BW1168" s="271"/>
      <c r="BX1168" s="235">
        <f t="shared" si="588"/>
        <v>2000000</v>
      </c>
      <c r="BY1168" s="271"/>
      <c r="BZ1168" s="271"/>
      <c r="CA1168" s="271"/>
      <c r="CB1168" s="271"/>
      <c r="CC1168" s="271">
        <v>8000000</v>
      </c>
      <c r="CD1168" s="271"/>
      <c r="CE1168" s="271"/>
      <c r="CF1168" s="271"/>
      <c r="CG1168" s="271"/>
      <c r="CH1168" s="271"/>
      <c r="CI1168" s="271"/>
      <c r="CJ1168" s="271"/>
      <c r="CK1168" s="271"/>
      <c r="CL1168" s="271"/>
      <c r="CM1168" s="271"/>
      <c r="CN1168" s="235">
        <f t="shared" si="589"/>
        <v>8000000</v>
      </c>
      <c r="CO1168" s="271"/>
      <c r="CP1168" s="271"/>
      <c r="CQ1168" s="271"/>
      <c r="CR1168" s="271"/>
      <c r="CS1168" s="271">
        <v>8000000</v>
      </c>
      <c r="CT1168" s="271"/>
      <c r="CU1168" s="271"/>
      <c r="CV1168" s="271"/>
      <c r="CW1168" s="271"/>
      <c r="CX1168" s="271"/>
      <c r="CY1168" s="271"/>
      <c r="CZ1168" s="271"/>
      <c r="DA1168" s="271"/>
      <c r="DB1168" s="271"/>
      <c r="DC1168" s="271"/>
      <c r="DD1168" s="234">
        <f t="shared" si="590"/>
        <v>8000000</v>
      </c>
      <c r="DE1168" s="244">
        <f t="shared" si="591"/>
        <v>19000000</v>
      </c>
    </row>
    <row r="1169" spans="1:110" s="99" customFormat="1" ht="119.1" customHeight="1">
      <c r="A1169" s="103" t="s">
        <v>1260</v>
      </c>
      <c r="B1169" s="279" t="s">
        <v>2051</v>
      </c>
      <c r="C1169" s="279" t="s">
        <v>2264</v>
      </c>
      <c r="D1169" s="279">
        <v>108</v>
      </c>
      <c r="E1169" s="279" t="s">
        <v>2692</v>
      </c>
      <c r="F1169" s="280" t="s">
        <v>592</v>
      </c>
      <c r="G1169" s="279" t="s">
        <v>2982</v>
      </c>
      <c r="H1169" s="279">
        <v>132</v>
      </c>
      <c r="I1169" s="279" t="s">
        <v>593</v>
      </c>
      <c r="J1169" s="279" t="s">
        <v>677</v>
      </c>
      <c r="K1169" s="279">
        <v>0</v>
      </c>
      <c r="L1169" s="279">
        <v>100</v>
      </c>
      <c r="M1169" s="279" t="s">
        <v>2296</v>
      </c>
      <c r="N1169" s="279" t="s">
        <v>2297</v>
      </c>
      <c r="O1169" s="279" t="s">
        <v>596</v>
      </c>
      <c r="P1169" s="283">
        <v>1027</v>
      </c>
      <c r="Q1169" s="279" t="s">
        <v>2986</v>
      </c>
      <c r="R1169" s="279" t="s">
        <v>597</v>
      </c>
      <c r="S1169" s="279" t="s">
        <v>683</v>
      </c>
      <c r="T1169" s="279">
        <v>0</v>
      </c>
      <c r="U1169" s="267">
        <v>5</v>
      </c>
      <c r="V1169" s="267">
        <v>5</v>
      </c>
      <c r="W1169" s="224">
        <v>10</v>
      </c>
      <c r="X1169" s="267">
        <v>3</v>
      </c>
      <c r="Y1169" s="267">
        <v>6</v>
      </c>
      <c r="Z1169" s="267">
        <v>6</v>
      </c>
      <c r="AA1169" s="267">
        <v>5</v>
      </c>
      <c r="AB1169" s="224">
        <v>20</v>
      </c>
      <c r="AC1169" s="267">
        <v>3</v>
      </c>
      <c r="AD1169" s="267">
        <v>6</v>
      </c>
      <c r="AE1169" s="267">
        <v>6</v>
      </c>
      <c r="AF1169" s="267">
        <v>5</v>
      </c>
      <c r="AG1169" s="224">
        <v>20</v>
      </c>
      <c r="AH1169" s="267">
        <v>3</v>
      </c>
      <c r="AI1169" s="267">
        <v>6</v>
      </c>
      <c r="AJ1169" s="267">
        <v>6</v>
      </c>
      <c r="AK1169" s="267">
        <v>5</v>
      </c>
      <c r="AL1169" s="224">
        <v>20</v>
      </c>
      <c r="AM1169" s="104">
        <v>70</v>
      </c>
      <c r="AN1169" s="103" t="s">
        <v>685</v>
      </c>
      <c r="AO1169" s="103" t="s">
        <v>1212</v>
      </c>
      <c r="AP1169" s="103" t="s">
        <v>1229</v>
      </c>
      <c r="AQ1169" s="103" t="s">
        <v>1207</v>
      </c>
      <c r="AR1169" s="103" t="s">
        <v>951</v>
      </c>
      <c r="AS1169" s="271"/>
      <c r="AT1169" s="271"/>
      <c r="AU1169" s="271"/>
      <c r="AV1169" s="271"/>
      <c r="AW1169" s="271">
        <v>60000000</v>
      </c>
      <c r="AX1169" s="271"/>
      <c r="AY1169" s="271"/>
      <c r="AZ1169" s="271"/>
      <c r="BA1169" s="271"/>
      <c r="BB1169" s="271"/>
      <c r="BC1169" s="271"/>
      <c r="BD1169" s="271"/>
      <c r="BE1169" s="271"/>
      <c r="BF1169" s="271"/>
      <c r="BG1169" s="271"/>
      <c r="BH1169" s="235">
        <f t="shared" si="587"/>
        <v>60000000</v>
      </c>
      <c r="BI1169" s="271"/>
      <c r="BJ1169" s="271"/>
      <c r="BK1169" s="271"/>
      <c r="BL1169" s="271"/>
      <c r="BM1169" s="271">
        <v>120000000</v>
      </c>
      <c r="BN1169" s="271"/>
      <c r="BO1169" s="271"/>
      <c r="BP1169" s="271"/>
      <c r="BQ1169" s="271"/>
      <c r="BR1169" s="271"/>
      <c r="BS1169" s="271"/>
      <c r="BT1169" s="271"/>
      <c r="BU1169" s="271"/>
      <c r="BV1169" s="271"/>
      <c r="BW1169" s="271"/>
      <c r="BX1169" s="235">
        <f t="shared" si="588"/>
        <v>120000000</v>
      </c>
      <c r="BY1169" s="271"/>
      <c r="BZ1169" s="271"/>
      <c r="CA1169" s="271"/>
      <c r="CB1169" s="271"/>
      <c r="CC1169" s="271">
        <v>135000000</v>
      </c>
      <c r="CD1169" s="271"/>
      <c r="CE1169" s="271"/>
      <c r="CF1169" s="271"/>
      <c r="CG1169" s="271"/>
      <c r="CH1169" s="271"/>
      <c r="CI1169" s="271"/>
      <c r="CJ1169" s="271"/>
      <c r="CK1169" s="271"/>
      <c r="CL1169" s="271"/>
      <c r="CM1169" s="271"/>
      <c r="CN1169" s="235">
        <f t="shared" si="589"/>
        <v>135000000</v>
      </c>
      <c r="CO1169" s="271"/>
      <c r="CP1169" s="271"/>
      <c r="CQ1169" s="271"/>
      <c r="CR1169" s="271"/>
      <c r="CS1169" s="271">
        <v>198125000</v>
      </c>
      <c r="CT1169" s="271"/>
      <c r="CU1169" s="271"/>
      <c r="CV1169" s="271"/>
      <c r="CW1169" s="271"/>
      <c r="CX1169" s="271"/>
      <c r="CY1169" s="271"/>
      <c r="CZ1169" s="271"/>
      <c r="DA1169" s="271"/>
      <c r="DB1169" s="271"/>
      <c r="DC1169" s="271"/>
      <c r="DD1169" s="234">
        <f t="shared" si="590"/>
        <v>198125000</v>
      </c>
      <c r="DE1169" s="244">
        <f t="shared" si="591"/>
        <v>513125000</v>
      </c>
    </row>
    <row r="1170" spans="1:110" s="99" customFormat="1" ht="119.1" customHeight="1">
      <c r="A1170" s="103" t="s">
        <v>1260</v>
      </c>
      <c r="B1170" s="279" t="s">
        <v>2051</v>
      </c>
      <c r="C1170" s="279" t="s">
        <v>2264</v>
      </c>
      <c r="D1170" s="279">
        <v>108</v>
      </c>
      <c r="E1170" s="279" t="s">
        <v>2692</v>
      </c>
      <c r="F1170" s="280" t="s">
        <v>592</v>
      </c>
      <c r="G1170" s="279" t="s">
        <v>2982</v>
      </c>
      <c r="H1170" s="279">
        <v>132</v>
      </c>
      <c r="I1170" s="279" t="s">
        <v>593</v>
      </c>
      <c r="J1170" s="279" t="s">
        <v>677</v>
      </c>
      <c r="K1170" s="279">
        <v>0</v>
      </c>
      <c r="L1170" s="279">
        <v>100</v>
      </c>
      <c r="M1170" s="279" t="s">
        <v>2296</v>
      </c>
      <c r="N1170" s="279" t="s">
        <v>2297</v>
      </c>
      <c r="O1170" s="279" t="s">
        <v>596</v>
      </c>
      <c r="P1170" s="283">
        <v>1028</v>
      </c>
      <c r="Q1170" s="279" t="s">
        <v>2987</v>
      </c>
      <c r="R1170" s="279" t="s">
        <v>2298</v>
      </c>
      <c r="S1170" s="279" t="s">
        <v>683</v>
      </c>
      <c r="T1170" s="279">
        <v>0</v>
      </c>
      <c r="U1170" s="267"/>
      <c r="V1170" s="267"/>
      <c r="W1170" s="224">
        <v>0</v>
      </c>
      <c r="X1170" s="267"/>
      <c r="Y1170" s="267"/>
      <c r="Z1170" s="267">
        <v>0.5</v>
      </c>
      <c r="AA1170" s="267"/>
      <c r="AB1170" s="224">
        <v>0.5</v>
      </c>
      <c r="AC1170" s="267"/>
      <c r="AD1170" s="267">
        <v>0.4</v>
      </c>
      <c r="AE1170" s="267"/>
      <c r="AF1170" s="267"/>
      <c r="AG1170" s="224">
        <v>0.4</v>
      </c>
      <c r="AH1170" s="267"/>
      <c r="AI1170" s="267">
        <v>0.1</v>
      </c>
      <c r="AJ1170" s="267"/>
      <c r="AK1170" s="267"/>
      <c r="AL1170" s="224">
        <v>0.1</v>
      </c>
      <c r="AM1170" s="104">
        <v>1</v>
      </c>
      <c r="AN1170" s="103" t="s">
        <v>685</v>
      </c>
      <c r="AO1170" s="103" t="s">
        <v>1212</v>
      </c>
      <c r="AP1170" s="103" t="s">
        <v>1229</v>
      </c>
      <c r="AQ1170" s="103" t="s">
        <v>1207</v>
      </c>
      <c r="AR1170" s="103" t="s">
        <v>951</v>
      </c>
      <c r="AS1170" s="271"/>
      <c r="AT1170" s="271"/>
      <c r="AU1170" s="271"/>
      <c r="AV1170" s="271"/>
      <c r="AW1170" s="271"/>
      <c r="AX1170" s="271"/>
      <c r="AY1170" s="271"/>
      <c r="AZ1170" s="271"/>
      <c r="BA1170" s="271"/>
      <c r="BB1170" s="271"/>
      <c r="BC1170" s="271"/>
      <c r="BD1170" s="271"/>
      <c r="BE1170" s="271"/>
      <c r="BF1170" s="271"/>
      <c r="BG1170" s="271"/>
      <c r="BH1170" s="235">
        <f t="shared" si="587"/>
        <v>0</v>
      </c>
      <c r="BI1170" s="271"/>
      <c r="BJ1170" s="271"/>
      <c r="BK1170" s="271"/>
      <c r="BL1170" s="271"/>
      <c r="BM1170" s="271">
        <v>89000000</v>
      </c>
      <c r="BN1170" s="271"/>
      <c r="BO1170" s="271"/>
      <c r="BP1170" s="271"/>
      <c r="BQ1170" s="271"/>
      <c r="BR1170" s="271"/>
      <c r="BS1170" s="271"/>
      <c r="BT1170" s="271"/>
      <c r="BU1170" s="271"/>
      <c r="BV1170" s="271"/>
      <c r="BW1170" s="271"/>
      <c r="BX1170" s="235">
        <f t="shared" si="588"/>
        <v>89000000</v>
      </c>
      <c r="BY1170" s="271"/>
      <c r="BZ1170" s="271"/>
      <c r="CA1170" s="271"/>
      <c r="CB1170" s="271"/>
      <c r="CC1170" s="271">
        <v>50000000</v>
      </c>
      <c r="CD1170" s="271"/>
      <c r="CE1170" s="271"/>
      <c r="CF1170" s="271"/>
      <c r="CG1170" s="271"/>
      <c r="CH1170" s="271"/>
      <c r="CI1170" s="271"/>
      <c r="CJ1170" s="271"/>
      <c r="CK1170" s="271"/>
      <c r="CL1170" s="271"/>
      <c r="CM1170" s="271"/>
      <c r="CN1170" s="235">
        <f t="shared" si="589"/>
        <v>50000000</v>
      </c>
      <c r="CO1170" s="271"/>
      <c r="CP1170" s="271"/>
      <c r="CQ1170" s="271"/>
      <c r="CR1170" s="271"/>
      <c r="CS1170" s="271">
        <v>10000000</v>
      </c>
      <c r="CT1170" s="271"/>
      <c r="CU1170" s="271"/>
      <c r="CV1170" s="271"/>
      <c r="CW1170" s="271"/>
      <c r="CX1170" s="271"/>
      <c r="CY1170" s="271"/>
      <c r="CZ1170" s="271"/>
      <c r="DA1170" s="271"/>
      <c r="DB1170" s="271"/>
      <c r="DC1170" s="271"/>
      <c r="DD1170" s="234">
        <f t="shared" si="590"/>
        <v>10000000</v>
      </c>
      <c r="DE1170" s="244">
        <f t="shared" si="591"/>
        <v>149000000</v>
      </c>
    </row>
    <row r="1171" spans="1:110" s="99" customFormat="1" ht="119.1" customHeight="1">
      <c r="A1171" s="103" t="s">
        <v>1260</v>
      </c>
      <c r="B1171" s="279" t="s">
        <v>2051</v>
      </c>
      <c r="C1171" s="279" t="s">
        <v>2264</v>
      </c>
      <c r="D1171" s="279">
        <v>108</v>
      </c>
      <c r="E1171" s="279" t="s">
        <v>2692</v>
      </c>
      <c r="F1171" s="280" t="s">
        <v>592</v>
      </c>
      <c r="G1171" s="279" t="s">
        <v>2982</v>
      </c>
      <c r="H1171" s="279">
        <v>132</v>
      </c>
      <c r="I1171" s="279" t="s">
        <v>593</v>
      </c>
      <c r="J1171" s="279" t="s">
        <v>677</v>
      </c>
      <c r="K1171" s="279">
        <v>0</v>
      </c>
      <c r="L1171" s="279">
        <v>100</v>
      </c>
      <c r="M1171" s="279" t="s">
        <v>2299</v>
      </c>
      <c r="N1171" s="279" t="s">
        <v>2300</v>
      </c>
      <c r="O1171" s="279" t="s">
        <v>598</v>
      </c>
      <c r="P1171" s="283">
        <v>1029</v>
      </c>
      <c r="Q1171" s="279" t="s">
        <v>2988</v>
      </c>
      <c r="R1171" s="279" t="s">
        <v>599</v>
      </c>
      <c r="S1171" s="279" t="s">
        <v>683</v>
      </c>
      <c r="T1171" s="279">
        <v>0</v>
      </c>
      <c r="U1171" s="267">
        <v>7</v>
      </c>
      <c r="V1171" s="267">
        <v>8</v>
      </c>
      <c r="W1171" s="224">
        <v>15</v>
      </c>
      <c r="X1171" s="267">
        <v>5</v>
      </c>
      <c r="Y1171" s="267">
        <v>15</v>
      </c>
      <c r="Z1171" s="267">
        <v>15</v>
      </c>
      <c r="AA1171" s="267">
        <v>10</v>
      </c>
      <c r="AB1171" s="224">
        <v>45</v>
      </c>
      <c r="AC1171" s="267">
        <v>5</v>
      </c>
      <c r="AD1171" s="267">
        <v>15</v>
      </c>
      <c r="AE1171" s="267">
        <v>15</v>
      </c>
      <c r="AF1171" s="267">
        <v>10</v>
      </c>
      <c r="AG1171" s="224">
        <v>45</v>
      </c>
      <c r="AH1171" s="267">
        <v>5</v>
      </c>
      <c r="AI1171" s="267">
        <v>15</v>
      </c>
      <c r="AJ1171" s="267">
        <v>15</v>
      </c>
      <c r="AK1171" s="267">
        <v>10</v>
      </c>
      <c r="AL1171" s="224">
        <v>45</v>
      </c>
      <c r="AM1171" s="104">
        <v>150</v>
      </c>
      <c r="AN1171" s="103" t="s">
        <v>685</v>
      </c>
      <c r="AO1171" s="103" t="s">
        <v>1212</v>
      </c>
      <c r="AP1171" s="103" t="s">
        <v>1229</v>
      </c>
      <c r="AQ1171" s="103" t="s">
        <v>1207</v>
      </c>
      <c r="AR1171" s="103" t="s">
        <v>951</v>
      </c>
      <c r="AS1171" s="271"/>
      <c r="AT1171" s="271"/>
      <c r="AU1171" s="271"/>
      <c r="AV1171" s="271"/>
      <c r="AW1171" s="271">
        <v>60000000</v>
      </c>
      <c r="AX1171" s="271"/>
      <c r="AY1171" s="271"/>
      <c r="AZ1171" s="271"/>
      <c r="BA1171" s="271"/>
      <c r="BB1171" s="271"/>
      <c r="BC1171" s="271"/>
      <c r="BD1171" s="271"/>
      <c r="BE1171" s="271"/>
      <c r="BF1171" s="271"/>
      <c r="BG1171" s="271"/>
      <c r="BH1171" s="235">
        <f t="shared" si="587"/>
        <v>60000000</v>
      </c>
      <c r="BI1171" s="271"/>
      <c r="BJ1171" s="271"/>
      <c r="BK1171" s="271"/>
      <c r="BL1171" s="271"/>
      <c r="BM1171" s="271">
        <v>120000000</v>
      </c>
      <c r="BN1171" s="271"/>
      <c r="BO1171" s="271"/>
      <c r="BP1171" s="271"/>
      <c r="BQ1171" s="271"/>
      <c r="BR1171" s="271"/>
      <c r="BS1171" s="271"/>
      <c r="BT1171" s="271"/>
      <c r="BU1171" s="271"/>
      <c r="BV1171" s="271"/>
      <c r="BW1171" s="271"/>
      <c r="BX1171" s="235">
        <f t="shared" si="588"/>
        <v>120000000</v>
      </c>
      <c r="BY1171" s="271"/>
      <c r="BZ1171" s="271"/>
      <c r="CA1171" s="271"/>
      <c r="CB1171" s="271"/>
      <c r="CC1171" s="271">
        <v>135000000</v>
      </c>
      <c r="CD1171" s="271"/>
      <c r="CE1171" s="271"/>
      <c r="CF1171" s="271"/>
      <c r="CG1171" s="271"/>
      <c r="CH1171" s="271"/>
      <c r="CI1171" s="271"/>
      <c r="CJ1171" s="271"/>
      <c r="CK1171" s="271"/>
      <c r="CL1171" s="271"/>
      <c r="CM1171" s="271"/>
      <c r="CN1171" s="235">
        <f t="shared" si="589"/>
        <v>135000000</v>
      </c>
      <c r="CO1171" s="271"/>
      <c r="CP1171" s="271"/>
      <c r="CQ1171" s="271"/>
      <c r="CR1171" s="271"/>
      <c r="CS1171" s="271">
        <v>135000000</v>
      </c>
      <c r="CT1171" s="271"/>
      <c r="CU1171" s="271"/>
      <c r="CV1171" s="271"/>
      <c r="CW1171" s="271"/>
      <c r="CX1171" s="271"/>
      <c r="CY1171" s="271"/>
      <c r="CZ1171" s="271"/>
      <c r="DA1171" s="271"/>
      <c r="DB1171" s="271"/>
      <c r="DC1171" s="271"/>
      <c r="DD1171" s="234">
        <f t="shared" si="590"/>
        <v>135000000</v>
      </c>
      <c r="DE1171" s="244">
        <f t="shared" si="591"/>
        <v>450000000</v>
      </c>
    </row>
    <row r="1172" spans="1:110" s="99" customFormat="1" ht="119.1" customHeight="1">
      <c r="A1172" s="103" t="s">
        <v>1260</v>
      </c>
      <c r="B1172" s="279" t="s">
        <v>2051</v>
      </c>
      <c r="C1172" s="279" t="s">
        <v>2264</v>
      </c>
      <c r="D1172" s="279">
        <v>108</v>
      </c>
      <c r="E1172" s="279" t="s">
        <v>2692</v>
      </c>
      <c r="F1172" s="280" t="s">
        <v>592</v>
      </c>
      <c r="G1172" s="279" t="s">
        <v>2982</v>
      </c>
      <c r="H1172" s="279">
        <v>132</v>
      </c>
      <c r="I1172" s="279" t="s">
        <v>593</v>
      </c>
      <c r="J1172" s="279" t="s">
        <v>677</v>
      </c>
      <c r="K1172" s="279">
        <v>0</v>
      </c>
      <c r="L1172" s="279">
        <v>100</v>
      </c>
      <c r="M1172" s="279" t="s">
        <v>2299</v>
      </c>
      <c r="N1172" s="279" t="s">
        <v>2300</v>
      </c>
      <c r="O1172" s="279" t="s">
        <v>598</v>
      </c>
      <c r="P1172" s="283">
        <v>1030</v>
      </c>
      <c r="Q1172" s="279" t="s">
        <v>2989</v>
      </c>
      <c r="R1172" s="279" t="s">
        <v>2301</v>
      </c>
      <c r="S1172" s="279" t="s">
        <v>683</v>
      </c>
      <c r="T1172" s="279">
        <v>0</v>
      </c>
      <c r="U1172" s="267"/>
      <c r="V1172" s="267">
        <v>1</v>
      </c>
      <c r="W1172" s="224">
        <v>1</v>
      </c>
      <c r="X1172" s="267">
        <v>1</v>
      </c>
      <c r="Y1172" s="267"/>
      <c r="Z1172" s="267"/>
      <c r="AA1172" s="267"/>
      <c r="AB1172" s="224">
        <v>1</v>
      </c>
      <c r="AC1172" s="267">
        <v>1</v>
      </c>
      <c r="AD1172" s="267"/>
      <c r="AE1172" s="267"/>
      <c r="AF1172" s="267"/>
      <c r="AG1172" s="224">
        <v>1</v>
      </c>
      <c r="AH1172" s="267">
        <v>1</v>
      </c>
      <c r="AI1172" s="267"/>
      <c r="AJ1172" s="267"/>
      <c r="AK1172" s="267"/>
      <c r="AL1172" s="224">
        <v>1</v>
      </c>
      <c r="AM1172" s="104">
        <v>4</v>
      </c>
      <c r="AN1172" s="103" t="s">
        <v>685</v>
      </c>
      <c r="AO1172" s="103" t="s">
        <v>1212</v>
      </c>
      <c r="AP1172" s="103" t="s">
        <v>1229</v>
      </c>
      <c r="AQ1172" s="103" t="s">
        <v>1207</v>
      </c>
      <c r="AR1172" s="103" t="s">
        <v>951</v>
      </c>
      <c r="AS1172" s="271"/>
      <c r="AT1172" s="271"/>
      <c r="AU1172" s="271"/>
      <c r="AV1172" s="271"/>
      <c r="AW1172" s="271">
        <v>5000000</v>
      </c>
      <c r="AX1172" s="271"/>
      <c r="AY1172" s="271"/>
      <c r="AZ1172" s="271"/>
      <c r="BA1172" s="271"/>
      <c r="BB1172" s="271"/>
      <c r="BC1172" s="271"/>
      <c r="BD1172" s="271"/>
      <c r="BE1172" s="271"/>
      <c r="BF1172" s="271"/>
      <c r="BG1172" s="271"/>
      <c r="BH1172" s="235">
        <f t="shared" si="587"/>
        <v>5000000</v>
      </c>
      <c r="BI1172" s="271"/>
      <c r="BJ1172" s="271"/>
      <c r="BK1172" s="271"/>
      <c r="BL1172" s="271"/>
      <c r="BM1172" s="271">
        <v>5000000</v>
      </c>
      <c r="BN1172" s="271"/>
      <c r="BO1172" s="271"/>
      <c r="BP1172" s="271"/>
      <c r="BQ1172" s="271"/>
      <c r="BR1172" s="271"/>
      <c r="BS1172" s="271"/>
      <c r="BT1172" s="271"/>
      <c r="BU1172" s="271"/>
      <c r="BV1172" s="271"/>
      <c r="BW1172" s="271"/>
      <c r="BX1172" s="235">
        <f t="shared" si="588"/>
        <v>5000000</v>
      </c>
      <c r="BY1172" s="271"/>
      <c r="BZ1172" s="271"/>
      <c r="CA1172" s="271"/>
      <c r="CB1172" s="271"/>
      <c r="CC1172" s="271">
        <v>20500000</v>
      </c>
      <c r="CD1172" s="271"/>
      <c r="CE1172" s="271"/>
      <c r="CF1172" s="271"/>
      <c r="CG1172" s="271"/>
      <c r="CH1172" s="271"/>
      <c r="CI1172" s="271"/>
      <c r="CJ1172" s="271"/>
      <c r="CK1172" s="271"/>
      <c r="CL1172" s="271"/>
      <c r="CM1172" s="271"/>
      <c r="CN1172" s="235">
        <f t="shared" si="589"/>
        <v>20500000</v>
      </c>
      <c r="CO1172" s="271"/>
      <c r="CP1172" s="271"/>
      <c r="CQ1172" s="271"/>
      <c r="CR1172" s="271"/>
      <c r="CS1172" s="271">
        <v>10000000</v>
      </c>
      <c r="CT1172" s="271"/>
      <c r="CU1172" s="271"/>
      <c r="CV1172" s="271"/>
      <c r="CW1172" s="271"/>
      <c r="CX1172" s="271"/>
      <c r="CY1172" s="271"/>
      <c r="CZ1172" s="271"/>
      <c r="DA1172" s="271"/>
      <c r="DB1172" s="271"/>
      <c r="DC1172" s="271"/>
      <c r="DD1172" s="234">
        <f t="shared" si="590"/>
        <v>10000000</v>
      </c>
      <c r="DE1172" s="244">
        <f t="shared" si="591"/>
        <v>40500000</v>
      </c>
    </row>
    <row r="1173" spans="1:110" s="99" customFormat="1" ht="119.1" customHeight="1">
      <c r="A1173" s="120" t="s">
        <v>1260</v>
      </c>
      <c r="B1173" s="281" t="s">
        <v>2051</v>
      </c>
      <c r="C1173" s="281" t="s">
        <v>2264</v>
      </c>
      <c r="D1173" s="281">
        <v>108</v>
      </c>
      <c r="E1173" s="281" t="s">
        <v>2692</v>
      </c>
      <c r="F1173" s="282" t="s">
        <v>592</v>
      </c>
      <c r="G1173" s="281" t="s">
        <v>2982</v>
      </c>
      <c r="H1173" s="281">
        <v>132</v>
      </c>
      <c r="I1173" s="281" t="s">
        <v>593</v>
      </c>
      <c r="J1173" s="281" t="s">
        <v>677</v>
      </c>
      <c r="K1173" s="281">
        <v>0</v>
      </c>
      <c r="L1173" s="281">
        <v>100</v>
      </c>
      <c r="M1173" s="281" t="s">
        <v>2299</v>
      </c>
      <c r="N1173" s="281" t="s">
        <v>2300</v>
      </c>
      <c r="O1173" s="281" t="s">
        <v>598</v>
      </c>
      <c r="P1173" s="283">
        <v>1031</v>
      </c>
      <c r="Q1173" s="281" t="s">
        <v>2990</v>
      </c>
      <c r="R1173" s="281" t="s">
        <v>600</v>
      </c>
      <c r="S1173" s="281" t="s">
        <v>683</v>
      </c>
      <c r="T1173" s="281">
        <v>0</v>
      </c>
      <c r="U1173" s="275">
        <v>1</v>
      </c>
      <c r="V1173" s="275"/>
      <c r="W1173" s="225">
        <v>1</v>
      </c>
      <c r="X1173" s="275"/>
      <c r="Y1173" s="275"/>
      <c r="Z1173" s="275">
        <v>1</v>
      </c>
      <c r="AA1173" s="275"/>
      <c r="AB1173" s="225">
        <v>1</v>
      </c>
      <c r="AC1173" s="275"/>
      <c r="AD1173" s="275">
        <v>1</v>
      </c>
      <c r="AE1173" s="275"/>
      <c r="AF1173" s="275"/>
      <c r="AG1173" s="225">
        <v>1</v>
      </c>
      <c r="AH1173" s="275"/>
      <c r="AI1173" s="275">
        <v>1</v>
      </c>
      <c r="AJ1173" s="275"/>
      <c r="AK1173" s="275"/>
      <c r="AL1173" s="225">
        <v>1</v>
      </c>
      <c r="AM1173" s="119">
        <v>4</v>
      </c>
      <c r="AN1173" s="120" t="s">
        <v>685</v>
      </c>
      <c r="AO1173" s="120" t="s">
        <v>1212</v>
      </c>
      <c r="AP1173" s="120" t="s">
        <v>1229</v>
      </c>
      <c r="AQ1173" s="120" t="s">
        <v>1207</v>
      </c>
      <c r="AR1173" s="120" t="s">
        <v>951</v>
      </c>
      <c r="AS1173" s="276"/>
      <c r="AT1173" s="276"/>
      <c r="AU1173" s="276"/>
      <c r="AV1173" s="276"/>
      <c r="AW1173" s="276">
        <v>15000000</v>
      </c>
      <c r="AX1173" s="276"/>
      <c r="AY1173" s="276"/>
      <c r="AZ1173" s="276"/>
      <c r="BA1173" s="276"/>
      <c r="BB1173" s="276"/>
      <c r="BC1173" s="276"/>
      <c r="BD1173" s="276"/>
      <c r="BE1173" s="276"/>
      <c r="BF1173" s="276"/>
      <c r="BG1173" s="276"/>
      <c r="BH1173" s="236">
        <f t="shared" si="587"/>
        <v>15000000</v>
      </c>
      <c r="BI1173" s="276"/>
      <c r="BJ1173" s="276"/>
      <c r="BK1173" s="276"/>
      <c r="BL1173" s="276"/>
      <c r="BM1173" s="276">
        <v>10000000</v>
      </c>
      <c r="BN1173" s="276"/>
      <c r="BO1173" s="276"/>
      <c r="BP1173" s="276"/>
      <c r="BQ1173" s="276"/>
      <c r="BR1173" s="276"/>
      <c r="BS1173" s="276"/>
      <c r="BT1173" s="276"/>
      <c r="BU1173" s="276"/>
      <c r="BV1173" s="276"/>
      <c r="BW1173" s="276"/>
      <c r="BX1173" s="236">
        <f t="shared" si="588"/>
        <v>10000000</v>
      </c>
      <c r="BY1173" s="276"/>
      <c r="BZ1173" s="276"/>
      <c r="CA1173" s="276"/>
      <c r="CB1173" s="276"/>
      <c r="CC1173" s="276">
        <v>10000000</v>
      </c>
      <c r="CD1173" s="276"/>
      <c r="CE1173" s="276"/>
      <c r="CF1173" s="276"/>
      <c r="CG1173" s="276"/>
      <c r="CH1173" s="276"/>
      <c r="CI1173" s="276"/>
      <c r="CJ1173" s="276"/>
      <c r="CK1173" s="276"/>
      <c r="CL1173" s="276"/>
      <c r="CM1173" s="276"/>
      <c r="CN1173" s="236">
        <f t="shared" si="589"/>
        <v>10000000</v>
      </c>
      <c r="CO1173" s="276"/>
      <c r="CP1173" s="276"/>
      <c r="CQ1173" s="276"/>
      <c r="CR1173" s="276"/>
      <c r="CS1173" s="276">
        <v>5000000</v>
      </c>
      <c r="CT1173" s="276"/>
      <c r="CU1173" s="276"/>
      <c r="CV1173" s="276"/>
      <c r="CW1173" s="276"/>
      <c r="CX1173" s="276"/>
      <c r="CY1173" s="276"/>
      <c r="CZ1173" s="276"/>
      <c r="DA1173" s="276"/>
      <c r="DB1173" s="276"/>
      <c r="DC1173" s="276"/>
      <c r="DD1173" s="240">
        <f t="shared" si="590"/>
        <v>5000000</v>
      </c>
      <c r="DE1173" s="245">
        <f t="shared" si="591"/>
        <v>40000000</v>
      </c>
    </row>
    <row r="1174" spans="1:110" s="46" customFormat="1" ht="65.099999999999994" customHeight="1">
      <c r="A1174" s="134" t="s">
        <v>1260</v>
      </c>
      <c r="B1174" s="134" t="s">
        <v>2051</v>
      </c>
      <c r="C1174" s="134" t="s">
        <v>2264</v>
      </c>
      <c r="D1174" s="148">
        <v>108</v>
      </c>
      <c r="E1174" s="148" t="s">
        <v>2692</v>
      </c>
      <c r="F1174" s="149"/>
      <c r="G1174" s="150"/>
      <c r="H1174" s="151"/>
      <c r="I1174" s="151"/>
      <c r="J1174" s="151"/>
      <c r="K1174" s="152"/>
      <c r="L1174" s="151"/>
      <c r="M1174" s="151"/>
      <c r="N1174" s="151"/>
      <c r="O1174" s="151"/>
      <c r="P1174" s="151"/>
      <c r="Q1174" s="150"/>
      <c r="R1174" s="153"/>
      <c r="S1174" s="151"/>
      <c r="T1174" s="151"/>
      <c r="U1174" s="154"/>
      <c r="V1174" s="154"/>
      <c r="W1174" s="152"/>
      <c r="X1174" s="154"/>
      <c r="Y1174" s="154"/>
      <c r="Z1174" s="154"/>
      <c r="AA1174" s="154"/>
      <c r="AB1174" s="152"/>
      <c r="AC1174" s="154"/>
      <c r="AD1174" s="154"/>
      <c r="AE1174" s="154"/>
      <c r="AF1174" s="154"/>
      <c r="AG1174" s="152"/>
      <c r="AH1174" s="154"/>
      <c r="AI1174" s="154"/>
      <c r="AJ1174" s="154"/>
      <c r="AK1174" s="154"/>
      <c r="AL1174" s="152"/>
      <c r="AM1174" s="155"/>
      <c r="AN1174" s="156"/>
      <c r="AO1174" s="156"/>
      <c r="AP1174" s="157"/>
      <c r="AQ1174" s="157"/>
      <c r="AR1174" s="158"/>
      <c r="AS1174" s="132">
        <f>SUM(AS1165:AS1173)</f>
        <v>0</v>
      </c>
      <c r="AT1174" s="132">
        <f t="shared" ref="AT1174:DE1174" si="592">SUM(AT1165:AT1173)</f>
        <v>0</v>
      </c>
      <c r="AU1174" s="132">
        <f t="shared" si="592"/>
        <v>0</v>
      </c>
      <c r="AV1174" s="132">
        <f t="shared" si="592"/>
        <v>0</v>
      </c>
      <c r="AW1174" s="132">
        <f t="shared" si="592"/>
        <v>200000000</v>
      </c>
      <c r="AX1174" s="132">
        <f t="shared" si="592"/>
        <v>0</v>
      </c>
      <c r="AY1174" s="132">
        <f t="shared" si="592"/>
        <v>0</v>
      </c>
      <c r="AZ1174" s="132">
        <f t="shared" si="592"/>
        <v>0</v>
      </c>
      <c r="BA1174" s="132">
        <f t="shared" si="592"/>
        <v>0</v>
      </c>
      <c r="BB1174" s="132">
        <f t="shared" si="592"/>
        <v>0</v>
      </c>
      <c r="BC1174" s="132">
        <f t="shared" si="592"/>
        <v>0</v>
      </c>
      <c r="BD1174" s="132">
        <f t="shared" si="592"/>
        <v>0</v>
      </c>
      <c r="BE1174" s="132">
        <f t="shared" si="592"/>
        <v>0</v>
      </c>
      <c r="BF1174" s="132">
        <f t="shared" si="592"/>
        <v>0</v>
      </c>
      <c r="BG1174" s="132">
        <f t="shared" si="592"/>
        <v>0</v>
      </c>
      <c r="BH1174" s="133">
        <f>IF(OR(AND(BH1165=0,W1165&lt;&gt;0),AND(BH1166=0,W1166&lt;&gt;0),AND(BH1167=0,W1167&lt;&gt;0),AND(BH1168=0,W1168&lt;&gt;0),AND(BH1169=0,W1169&lt;&gt;0),AND(BH1170=0,W1170&lt;&gt;0),AND(BH1171=0,W1171&lt;&gt;0),AND(BH1172=0,W1172&lt;&gt;0),AND(BH1173=0,W1173&lt;&gt;0)),"NO DEBEN QUEDAR CELDAS EN ROJO",SUM(BH1165:BH1173))</f>
        <v>200000000</v>
      </c>
      <c r="BI1174" s="132">
        <f t="shared" si="592"/>
        <v>0</v>
      </c>
      <c r="BJ1174" s="132">
        <f t="shared" si="592"/>
        <v>0</v>
      </c>
      <c r="BK1174" s="132">
        <f t="shared" si="592"/>
        <v>0</v>
      </c>
      <c r="BL1174" s="132">
        <f t="shared" si="592"/>
        <v>0</v>
      </c>
      <c r="BM1174" s="132">
        <f t="shared" si="592"/>
        <v>450000000</v>
      </c>
      <c r="BN1174" s="132">
        <f t="shared" si="592"/>
        <v>0</v>
      </c>
      <c r="BO1174" s="132">
        <f t="shared" si="592"/>
        <v>0</v>
      </c>
      <c r="BP1174" s="132">
        <f t="shared" si="592"/>
        <v>0</v>
      </c>
      <c r="BQ1174" s="132">
        <f t="shared" si="592"/>
        <v>0</v>
      </c>
      <c r="BR1174" s="132">
        <f t="shared" si="592"/>
        <v>0</v>
      </c>
      <c r="BS1174" s="132">
        <f t="shared" si="592"/>
        <v>0</v>
      </c>
      <c r="BT1174" s="132">
        <f t="shared" si="592"/>
        <v>0</v>
      </c>
      <c r="BU1174" s="132">
        <f t="shared" si="592"/>
        <v>0</v>
      </c>
      <c r="BV1174" s="132">
        <f t="shared" si="592"/>
        <v>0</v>
      </c>
      <c r="BW1174" s="132">
        <f t="shared" si="592"/>
        <v>0</v>
      </c>
      <c r="BX1174" s="133">
        <f>IF(OR(AND(BX1165=0,AB1165&lt;&gt;0),AND(BX1166=0,AB1166&lt;&gt;0),AND(BX1167=0,AB1167&lt;&gt;0),AND(BX1168=0,AB1168&lt;&gt;0),AND(BX1169=0,AB1169&lt;&gt;0),AND(BX1170=0,AB1170&lt;&gt;0),AND(BX1171=0,AB1171&lt;&gt;0),AND(BX1172=0,AB1172&lt;&gt;0),AND(BX1173=0,AB1173&lt;&gt;0)),"NO DEBEN QUEDAR CELDAS EN ROJO",SUM(BX1165:BX1173))</f>
        <v>450000000</v>
      </c>
      <c r="BY1174" s="132">
        <f t="shared" si="592"/>
        <v>0</v>
      </c>
      <c r="BZ1174" s="132">
        <f t="shared" si="592"/>
        <v>0</v>
      </c>
      <c r="CA1174" s="132">
        <f t="shared" si="592"/>
        <v>0</v>
      </c>
      <c r="CB1174" s="132">
        <f t="shared" si="592"/>
        <v>0</v>
      </c>
      <c r="CC1174" s="132">
        <f t="shared" si="592"/>
        <v>472500000</v>
      </c>
      <c r="CD1174" s="132">
        <f t="shared" si="592"/>
        <v>0</v>
      </c>
      <c r="CE1174" s="132">
        <f t="shared" si="592"/>
        <v>0</v>
      </c>
      <c r="CF1174" s="132">
        <f t="shared" si="592"/>
        <v>0</v>
      </c>
      <c r="CG1174" s="132">
        <f t="shared" si="592"/>
        <v>0</v>
      </c>
      <c r="CH1174" s="132">
        <f t="shared" si="592"/>
        <v>0</v>
      </c>
      <c r="CI1174" s="132">
        <f t="shared" si="592"/>
        <v>0</v>
      </c>
      <c r="CJ1174" s="132">
        <f t="shared" si="592"/>
        <v>0</v>
      </c>
      <c r="CK1174" s="132">
        <f t="shared" si="592"/>
        <v>0</v>
      </c>
      <c r="CL1174" s="132">
        <f t="shared" si="592"/>
        <v>0</v>
      </c>
      <c r="CM1174" s="132">
        <f t="shared" si="592"/>
        <v>0</v>
      </c>
      <c r="CN1174" s="133">
        <f>IF(OR(AND(CN1165=0,AG1165&lt;&gt;0),AND(CN1166=0,AG1166&lt;&gt;0),AND(CN1167=0,AG1167&lt;&gt;0),AND(CN1168=0,AG1168&lt;&gt;0),AND(CN1169=0,AG1169&lt;&gt;0),AND(CN1170=0,AG1170&lt;&gt;0),AND(CN1171=0,AG1171&lt;&gt;0),AND(CN1172=0,AG1172&lt;&gt;0),AND(CN1173=0,AG1173&lt;&gt;0)),"NO DEBEN QUEDAR CELDAS EN ROJO",SUM(CN1165:CN1173))</f>
        <v>472500000</v>
      </c>
      <c r="CO1174" s="132">
        <f t="shared" si="592"/>
        <v>0</v>
      </c>
      <c r="CP1174" s="132">
        <f t="shared" si="592"/>
        <v>0</v>
      </c>
      <c r="CQ1174" s="132">
        <f t="shared" si="592"/>
        <v>0</v>
      </c>
      <c r="CR1174" s="132">
        <f t="shared" si="592"/>
        <v>0</v>
      </c>
      <c r="CS1174" s="132">
        <f t="shared" si="592"/>
        <v>496125000</v>
      </c>
      <c r="CT1174" s="132">
        <f t="shared" si="592"/>
        <v>0</v>
      </c>
      <c r="CU1174" s="132">
        <f t="shared" si="592"/>
        <v>0</v>
      </c>
      <c r="CV1174" s="132">
        <f t="shared" si="592"/>
        <v>0</v>
      </c>
      <c r="CW1174" s="132">
        <f t="shared" si="592"/>
        <v>0</v>
      </c>
      <c r="CX1174" s="132">
        <f t="shared" si="592"/>
        <v>0</v>
      </c>
      <c r="CY1174" s="132">
        <f t="shared" si="592"/>
        <v>0</v>
      </c>
      <c r="CZ1174" s="132">
        <f t="shared" si="592"/>
        <v>0</v>
      </c>
      <c r="DA1174" s="132">
        <f t="shared" si="592"/>
        <v>0</v>
      </c>
      <c r="DB1174" s="132">
        <f t="shared" si="592"/>
        <v>0</v>
      </c>
      <c r="DC1174" s="132">
        <f t="shared" si="592"/>
        <v>0</v>
      </c>
      <c r="DD1174" s="133">
        <f>IF(OR(AND(DD1165=0,AL1165&lt;&gt;0),AND(DD1166=0,AL1166&lt;&gt;0),AND(DD1167=0,AL1167&lt;&gt;0),AND(DD1168=0,AL1168&lt;&gt;0),AND(DD1169=0,AL1169&lt;&gt;0),AND(DD1170=0,AL1170&lt;&gt;0),AND(DD1171=0,AL1171&lt;&gt;0),AND(DD1172=0,AL1172&lt;&gt;0),AND(DD1173=0,AL1173&lt;&gt;0)),"NO DEBEN QUEDAR CELDAS EN ROJO",SUM(DD1165:DD1173))</f>
        <v>496125000</v>
      </c>
      <c r="DE1174" s="133">
        <f t="shared" si="592"/>
        <v>1618625000</v>
      </c>
    </row>
    <row r="1175" spans="1:110" s="116" customFormat="1" ht="55.05" customHeight="1">
      <c r="A1175" s="124"/>
      <c r="B1175" s="125" t="s">
        <v>2051</v>
      </c>
      <c r="C1175" s="145" t="s">
        <v>2264</v>
      </c>
      <c r="D1175" s="160"/>
      <c r="E1175" s="161"/>
      <c r="F1175" s="162"/>
      <c r="G1175" s="163"/>
      <c r="H1175" s="161"/>
      <c r="I1175" s="161"/>
      <c r="J1175" s="161"/>
      <c r="K1175" s="161"/>
      <c r="L1175" s="161"/>
      <c r="M1175" s="161"/>
      <c r="N1175" s="161"/>
      <c r="O1175" s="161"/>
      <c r="P1175" s="161"/>
      <c r="Q1175" s="163"/>
      <c r="R1175" s="164"/>
      <c r="S1175" s="161"/>
      <c r="T1175" s="161"/>
      <c r="U1175" s="165"/>
      <c r="V1175" s="165"/>
      <c r="W1175" s="166"/>
      <c r="X1175" s="165"/>
      <c r="Y1175" s="165"/>
      <c r="Z1175" s="165"/>
      <c r="AA1175" s="165"/>
      <c r="AB1175" s="166"/>
      <c r="AC1175" s="165"/>
      <c r="AD1175" s="165"/>
      <c r="AE1175" s="165"/>
      <c r="AF1175" s="165"/>
      <c r="AG1175" s="166"/>
      <c r="AH1175" s="165"/>
      <c r="AI1175" s="165"/>
      <c r="AJ1175" s="165"/>
      <c r="AK1175" s="165"/>
      <c r="AL1175" s="166"/>
      <c r="AM1175" s="167"/>
      <c r="AN1175" s="168"/>
      <c r="AO1175" s="168"/>
      <c r="AP1175" s="163"/>
      <c r="AQ1175" s="163"/>
      <c r="AR1175" s="169"/>
      <c r="AS1175" s="147">
        <f>SUM(AS1174+AS1164+AS1153)</f>
        <v>0</v>
      </c>
      <c r="AT1175" s="130">
        <f t="shared" ref="AT1175:DE1175" si="593">SUM(AT1174+AT1164+AT1153)</f>
        <v>0</v>
      </c>
      <c r="AU1175" s="130">
        <f t="shared" si="593"/>
        <v>0</v>
      </c>
      <c r="AV1175" s="130">
        <f t="shared" si="593"/>
        <v>0</v>
      </c>
      <c r="AW1175" s="130">
        <f t="shared" si="593"/>
        <v>364193400</v>
      </c>
      <c r="AX1175" s="130">
        <f t="shared" si="593"/>
        <v>0</v>
      </c>
      <c r="AY1175" s="130">
        <f t="shared" si="593"/>
        <v>0</v>
      </c>
      <c r="AZ1175" s="130">
        <f t="shared" si="593"/>
        <v>0</v>
      </c>
      <c r="BA1175" s="130">
        <f t="shared" si="593"/>
        <v>0</v>
      </c>
      <c r="BB1175" s="130">
        <f t="shared" si="593"/>
        <v>0</v>
      </c>
      <c r="BC1175" s="130">
        <f t="shared" si="593"/>
        <v>0</v>
      </c>
      <c r="BD1175" s="130">
        <f t="shared" si="593"/>
        <v>0</v>
      </c>
      <c r="BE1175" s="130">
        <f t="shared" si="593"/>
        <v>0</v>
      </c>
      <c r="BF1175" s="130">
        <f t="shared" si="593"/>
        <v>0</v>
      </c>
      <c r="BG1175" s="130">
        <f t="shared" si="593"/>
        <v>0</v>
      </c>
      <c r="BH1175" s="130">
        <f t="shared" si="593"/>
        <v>364193400</v>
      </c>
      <c r="BI1175" s="130">
        <f t="shared" si="593"/>
        <v>0</v>
      </c>
      <c r="BJ1175" s="130">
        <f t="shared" si="593"/>
        <v>0</v>
      </c>
      <c r="BK1175" s="130">
        <f t="shared" si="593"/>
        <v>0</v>
      </c>
      <c r="BL1175" s="130">
        <f t="shared" si="593"/>
        <v>0</v>
      </c>
      <c r="BM1175" s="130">
        <f t="shared" si="593"/>
        <v>797992000</v>
      </c>
      <c r="BN1175" s="130">
        <f t="shared" si="593"/>
        <v>0</v>
      </c>
      <c r="BO1175" s="130">
        <f t="shared" si="593"/>
        <v>0</v>
      </c>
      <c r="BP1175" s="130">
        <f t="shared" si="593"/>
        <v>0</v>
      </c>
      <c r="BQ1175" s="130">
        <f t="shared" si="593"/>
        <v>0</v>
      </c>
      <c r="BR1175" s="130">
        <f t="shared" si="593"/>
        <v>0</v>
      </c>
      <c r="BS1175" s="130">
        <f t="shared" si="593"/>
        <v>0</v>
      </c>
      <c r="BT1175" s="130">
        <f t="shared" si="593"/>
        <v>0</v>
      </c>
      <c r="BU1175" s="130">
        <f t="shared" si="593"/>
        <v>0</v>
      </c>
      <c r="BV1175" s="130">
        <f t="shared" si="593"/>
        <v>0</v>
      </c>
      <c r="BW1175" s="130">
        <f t="shared" si="593"/>
        <v>0</v>
      </c>
      <c r="BX1175" s="130">
        <f t="shared" si="593"/>
        <v>797992000</v>
      </c>
      <c r="BY1175" s="130">
        <f t="shared" si="593"/>
        <v>0</v>
      </c>
      <c r="BZ1175" s="130">
        <f t="shared" si="593"/>
        <v>0</v>
      </c>
      <c r="CA1175" s="130">
        <f t="shared" si="593"/>
        <v>0</v>
      </c>
      <c r="CB1175" s="130">
        <f t="shared" si="593"/>
        <v>0</v>
      </c>
      <c r="CC1175" s="130">
        <f t="shared" si="593"/>
        <v>842492000</v>
      </c>
      <c r="CD1175" s="130">
        <f t="shared" si="593"/>
        <v>0</v>
      </c>
      <c r="CE1175" s="130">
        <f t="shared" si="593"/>
        <v>0</v>
      </c>
      <c r="CF1175" s="130">
        <f t="shared" si="593"/>
        <v>0</v>
      </c>
      <c r="CG1175" s="130">
        <f t="shared" si="593"/>
        <v>0</v>
      </c>
      <c r="CH1175" s="130">
        <f t="shared" si="593"/>
        <v>0</v>
      </c>
      <c r="CI1175" s="130">
        <f t="shared" si="593"/>
        <v>0</v>
      </c>
      <c r="CJ1175" s="130">
        <f t="shared" si="593"/>
        <v>0</v>
      </c>
      <c r="CK1175" s="130">
        <f t="shared" si="593"/>
        <v>0</v>
      </c>
      <c r="CL1175" s="130">
        <f t="shared" si="593"/>
        <v>0</v>
      </c>
      <c r="CM1175" s="130">
        <f t="shared" si="593"/>
        <v>0</v>
      </c>
      <c r="CN1175" s="130">
        <f t="shared" si="593"/>
        <v>842492000</v>
      </c>
      <c r="CO1175" s="130">
        <f t="shared" si="593"/>
        <v>0</v>
      </c>
      <c r="CP1175" s="130">
        <f t="shared" si="593"/>
        <v>0</v>
      </c>
      <c r="CQ1175" s="130">
        <f t="shared" si="593"/>
        <v>0</v>
      </c>
      <c r="CR1175" s="130">
        <f t="shared" si="593"/>
        <v>0</v>
      </c>
      <c r="CS1175" s="130">
        <f t="shared" si="593"/>
        <v>908967000</v>
      </c>
      <c r="CT1175" s="130">
        <f t="shared" si="593"/>
        <v>0</v>
      </c>
      <c r="CU1175" s="130">
        <f t="shared" si="593"/>
        <v>0</v>
      </c>
      <c r="CV1175" s="130">
        <f t="shared" si="593"/>
        <v>0</v>
      </c>
      <c r="CW1175" s="130">
        <f t="shared" si="593"/>
        <v>0</v>
      </c>
      <c r="CX1175" s="130">
        <f t="shared" si="593"/>
        <v>0</v>
      </c>
      <c r="CY1175" s="130">
        <f t="shared" si="593"/>
        <v>0</v>
      </c>
      <c r="CZ1175" s="130">
        <f t="shared" si="593"/>
        <v>0</v>
      </c>
      <c r="DA1175" s="130">
        <f t="shared" si="593"/>
        <v>0</v>
      </c>
      <c r="DB1175" s="130">
        <f t="shared" si="593"/>
        <v>0</v>
      </c>
      <c r="DC1175" s="130">
        <f t="shared" si="593"/>
        <v>0</v>
      </c>
      <c r="DD1175" s="130">
        <f t="shared" si="593"/>
        <v>908967000</v>
      </c>
      <c r="DE1175" s="130">
        <f t="shared" si="593"/>
        <v>2913644400</v>
      </c>
    </row>
    <row r="1176" spans="1:110" s="98" customFormat="1" ht="119.1" customHeight="1">
      <c r="A1176" s="103" t="s">
        <v>1240</v>
      </c>
      <c r="B1176" s="103" t="s">
        <v>2051</v>
      </c>
      <c r="C1176" s="103" t="s">
        <v>601</v>
      </c>
      <c r="D1176" s="103">
        <v>109</v>
      </c>
      <c r="E1176" s="103" t="s">
        <v>2302</v>
      </c>
      <c r="F1176" s="278" t="s">
        <v>602</v>
      </c>
      <c r="G1176" s="103" t="s">
        <v>3934</v>
      </c>
      <c r="H1176" s="103">
        <v>133</v>
      </c>
      <c r="I1176" s="103" t="s">
        <v>2303</v>
      </c>
      <c r="J1176" s="103" t="s">
        <v>683</v>
      </c>
      <c r="K1176" s="103">
        <v>0</v>
      </c>
      <c r="L1176" s="103">
        <v>1</v>
      </c>
      <c r="M1176" s="103" t="s">
        <v>2304</v>
      </c>
      <c r="N1176" s="103" t="s">
        <v>2305</v>
      </c>
      <c r="O1176" s="103" t="s">
        <v>2306</v>
      </c>
      <c r="P1176" s="283">
        <v>1032</v>
      </c>
      <c r="Q1176" s="103" t="s">
        <v>3913</v>
      </c>
      <c r="R1176" s="103" t="s">
        <v>2307</v>
      </c>
      <c r="S1176" s="103" t="s">
        <v>683</v>
      </c>
      <c r="T1176" s="103">
        <v>0</v>
      </c>
      <c r="U1176" s="267"/>
      <c r="V1176" s="267">
        <v>0.05</v>
      </c>
      <c r="W1176" s="224">
        <v>0.05</v>
      </c>
      <c r="X1176" s="267">
        <v>0.08</v>
      </c>
      <c r="Y1176" s="267">
        <v>0.08</v>
      </c>
      <c r="Z1176" s="267">
        <v>0.08</v>
      </c>
      <c r="AA1176" s="267">
        <v>0.08</v>
      </c>
      <c r="AB1176" s="224">
        <v>0.32</v>
      </c>
      <c r="AC1176" s="267">
        <v>0.08</v>
      </c>
      <c r="AD1176" s="267">
        <v>0.08</v>
      </c>
      <c r="AE1176" s="267">
        <v>0.08</v>
      </c>
      <c r="AF1176" s="267">
        <v>7.0000000000000007E-2</v>
      </c>
      <c r="AG1176" s="224">
        <v>0.31</v>
      </c>
      <c r="AH1176" s="267">
        <v>0.08</v>
      </c>
      <c r="AI1176" s="267">
        <v>0.08</v>
      </c>
      <c r="AJ1176" s="267">
        <v>0.08</v>
      </c>
      <c r="AK1176" s="267">
        <v>0.08</v>
      </c>
      <c r="AL1176" s="224">
        <v>0.32</v>
      </c>
      <c r="AM1176" s="102">
        <v>1</v>
      </c>
      <c r="AN1176" s="103" t="s">
        <v>685</v>
      </c>
      <c r="AO1176" s="103" t="s">
        <v>1212</v>
      </c>
      <c r="AP1176" s="103" t="s">
        <v>1229</v>
      </c>
      <c r="AQ1176" s="103" t="s">
        <v>1199</v>
      </c>
      <c r="AR1176" s="103" t="s">
        <v>951</v>
      </c>
      <c r="AS1176" s="268"/>
      <c r="AT1176" s="268"/>
      <c r="AU1176" s="268"/>
      <c r="AV1176" s="268"/>
      <c r="AW1176" s="268">
        <v>99000000</v>
      </c>
      <c r="AX1176" s="268"/>
      <c r="AY1176" s="268"/>
      <c r="AZ1176" s="268"/>
      <c r="BA1176" s="268"/>
      <c r="BB1176" s="268"/>
      <c r="BC1176" s="268"/>
      <c r="BD1176" s="268"/>
      <c r="BE1176" s="268"/>
      <c r="BF1176" s="268"/>
      <c r="BG1176" s="268"/>
      <c r="BH1176" s="234">
        <v>99000000</v>
      </c>
      <c r="BI1176" s="268"/>
      <c r="BJ1176" s="268"/>
      <c r="BK1176" s="268"/>
      <c r="BL1176" s="268"/>
      <c r="BM1176" s="268">
        <v>90000000</v>
      </c>
      <c r="BN1176" s="268"/>
      <c r="BO1176" s="268"/>
      <c r="BP1176" s="268"/>
      <c r="BQ1176" s="268"/>
      <c r="BR1176" s="268"/>
      <c r="BS1176" s="268"/>
      <c r="BT1176" s="268"/>
      <c r="BU1176" s="268"/>
      <c r="BV1176" s="268"/>
      <c r="BW1176" s="268"/>
      <c r="BX1176" s="234">
        <v>90000000</v>
      </c>
      <c r="BY1176" s="268"/>
      <c r="BZ1176" s="268"/>
      <c r="CA1176" s="268"/>
      <c r="CB1176" s="268"/>
      <c r="CC1176" s="268">
        <v>90000000</v>
      </c>
      <c r="CD1176" s="268"/>
      <c r="CE1176" s="268"/>
      <c r="CF1176" s="268"/>
      <c r="CG1176" s="268"/>
      <c r="CH1176" s="268"/>
      <c r="CI1176" s="268"/>
      <c r="CJ1176" s="268"/>
      <c r="CK1176" s="268"/>
      <c r="CL1176" s="268"/>
      <c r="CM1176" s="268">
        <v>1000000000</v>
      </c>
      <c r="CN1176" s="234">
        <v>1090000000</v>
      </c>
      <c r="CO1176" s="268"/>
      <c r="CP1176" s="268"/>
      <c r="CQ1176" s="268"/>
      <c r="CR1176" s="268"/>
      <c r="CS1176" s="268">
        <v>100000000</v>
      </c>
      <c r="CT1176" s="268"/>
      <c r="CU1176" s="268"/>
      <c r="CV1176" s="268"/>
      <c r="CW1176" s="268"/>
      <c r="CX1176" s="268"/>
      <c r="CY1176" s="268"/>
      <c r="CZ1176" s="268"/>
      <c r="DA1176" s="268"/>
      <c r="DB1176" s="268"/>
      <c r="DC1176" s="268"/>
      <c r="DD1176" s="234">
        <v>100000000</v>
      </c>
      <c r="DE1176" s="243">
        <v>1379000000</v>
      </c>
    </row>
    <row r="1177" spans="1:110" s="98" customFormat="1" ht="119.1" customHeight="1">
      <c r="A1177" s="120" t="s">
        <v>1240</v>
      </c>
      <c r="B1177" s="281" t="s">
        <v>2051</v>
      </c>
      <c r="C1177" s="281" t="s">
        <v>601</v>
      </c>
      <c r="D1177" s="281">
        <v>109</v>
      </c>
      <c r="E1177" s="281" t="s">
        <v>2302</v>
      </c>
      <c r="F1177" s="282" t="s">
        <v>602</v>
      </c>
      <c r="G1177" s="281" t="s">
        <v>3934</v>
      </c>
      <c r="H1177" s="281">
        <v>133</v>
      </c>
      <c r="I1177" s="281" t="s">
        <v>2303</v>
      </c>
      <c r="J1177" s="281" t="s">
        <v>683</v>
      </c>
      <c r="K1177" s="281">
        <v>0</v>
      </c>
      <c r="L1177" s="281">
        <v>1</v>
      </c>
      <c r="M1177" s="281" t="s">
        <v>2304</v>
      </c>
      <c r="N1177" s="281" t="s">
        <v>2305</v>
      </c>
      <c r="O1177" s="281" t="s">
        <v>2306</v>
      </c>
      <c r="P1177" s="284">
        <v>1033</v>
      </c>
      <c r="Q1177" s="281" t="s">
        <v>3914</v>
      </c>
      <c r="R1177" s="281" t="s">
        <v>2308</v>
      </c>
      <c r="S1177" s="281" t="s">
        <v>683</v>
      </c>
      <c r="T1177" s="281">
        <v>0</v>
      </c>
      <c r="U1177" s="275"/>
      <c r="V1177" s="275"/>
      <c r="W1177" s="225">
        <v>0</v>
      </c>
      <c r="X1177" s="275"/>
      <c r="Y1177" s="275"/>
      <c r="Z1177" s="275">
        <v>1</v>
      </c>
      <c r="AA1177" s="275">
        <v>1</v>
      </c>
      <c r="AB1177" s="225">
        <v>2</v>
      </c>
      <c r="AC1177" s="275"/>
      <c r="AD1177" s="275">
        <v>1</v>
      </c>
      <c r="AE1177" s="275"/>
      <c r="AF1177" s="275">
        <v>1</v>
      </c>
      <c r="AG1177" s="225">
        <v>2</v>
      </c>
      <c r="AH1177" s="275"/>
      <c r="AI1177" s="275">
        <v>1</v>
      </c>
      <c r="AJ1177" s="275"/>
      <c r="AK1177" s="275">
        <v>1</v>
      </c>
      <c r="AL1177" s="225">
        <v>2</v>
      </c>
      <c r="AM1177" s="119">
        <v>6</v>
      </c>
      <c r="AN1177" s="120" t="s">
        <v>685</v>
      </c>
      <c r="AO1177" s="120" t="s">
        <v>1212</v>
      </c>
      <c r="AP1177" s="120" t="s">
        <v>1229</v>
      </c>
      <c r="AQ1177" s="120" t="s">
        <v>1199</v>
      </c>
      <c r="AR1177" s="120" t="s">
        <v>951</v>
      </c>
      <c r="AS1177" s="276"/>
      <c r="AT1177" s="276"/>
      <c r="AU1177" s="276"/>
      <c r="AV1177" s="276"/>
      <c r="AW1177" s="276"/>
      <c r="AX1177" s="276"/>
      <c r="AY1177" s="276"/>
      <c r="AZ1177" s="276"/>
      <c r="BA1177" s="276"/>
      <c r="BB1177" s="276"/>
      <c r="BC1177" s="276"/>
      <c r="BD1177" s="276"/>
      <c r="BE1177" s="276"/>
      <c r="BF1177" s="276"/>
      <c r="BG1177" s="276"/>
      <c r="BH1177" s="236">
        <v>0</v>
      </c>
      <c r="BI1177" s="276"/>
      <c r="BJ1177" s="276"/>
      <c r="BK1177" s="276"/>
      <c r="BL1177" s="276"/>
      <c r="BM1177" s="276">
        <v>12000000</v>
      </c>
      <c r="BN1177" s="276"/>
      <c r="BO1177" s="276"/>
      <c r="BP1177" s="276"/>
      <c r="BQ1177" s="276"/>
      <c r="BR1177" s="276"/>
      <c r="BS1177" s="276"/>
      <c r="BT1177" s="276"/>
      <c r="BU1177" s="276"/>
      <c r="BV1177" s="276"/>
      <c r="BW1177" s="276"/>
      <c r="BX1177" s="236">
        <v>12000000</v>
      </c>
      <c r="BY1177" s="276"/>
      <c r="BZ1177" s="276"/>
      <c r="CA1177" s="276"/>
      <c r="CB1177" s="276"/>
      <c r="CC1177" s="276">
        <v>15000000</v>
      </c>
      <c r="CD1177" s="276"/>
      <c r="CE1177" s="276"/>
      <c r="CF1177" s="276"/>
      <c r="CG1177" s="276"/>
      <c r="CH1177" s="276"/>
      <c r="CI1177" s="276"/>
      <c r="CJ1177" s="276"/>
      <c r="CK1177" s="276"/>
      <c r="CL1177" s="276"/>
      <c r="CM1177" s="276"/>
      <c r="CN1177" s="236">
        <v>15000000</v>
      </c>
      <c r="CO1177" s="276"/>
      <c r="CP1177" s="276"/>
      <c r="CQ1177" s="276"/>
      <c r="CR1177" s="276"/>
      <c r="CS1177" s="276">
        <v>9000000</v>
      </c>
      <c r="CT1177" s="276"/>
      <c r="CU1177" s="276"/>
      <c r="CV1177" s="276"/>
      <c r="CW1177" s="276"/>
      <c r="CX1177" s="276"/>
      <c r="CY1177" s="276"/>
      <c r="CZ1177" s="276"/>
      <c r="DA1177" s="276"/>
      <c r="DB1177" s="276"/>
      <c r="DC1177" s="276"/>
      <c r="DD1177" s="240">
        <v>9000000</v>
      </c>
      <c r="DE1177" s="245">
        <v>36000000</v>
      </c>
    </row>
    <row r="1178" spans="1:110" ht="65.099999999999994" customHeight="1">
      <c r="A1178" s="118" t="s">
        <v>1240</v>
      </c>
      <c r="B1178" s="118" t="s">
        <v>2051</v>
      </c>
      <c r="C1178" s="118" t="s">
        <v>601</v>
      </c>
      <c r="D1178" s="118">
        <v>109</v>
      </c>
      <c r="E1178" s="118" t="s">
        <v>2302</v>
      </c>
      <c r="F1178" s="135"/>
      <c r="G1178" s="136"/>
      <c r="H1178" s="137"/>
      <c r="I1178" s="137"/>
      <c r="J1178" s="137"/>
      <c r="K1178" s="138"/>
      <c r="L1178" s="137"/>
      <c r="M1178" s="137"/>
      <c r="N1178" s="137"/>
      <c r="O1178" s="137"/>
      <c r="P1178" s="137"/>
      <c r="Q1178" s="136"/>
      <c r="R1178" s="139"/>
      <c r="S1178" s="137"/>
      <c r="T1178" s="137"/>
      <c r="U1178" s="140"/>
      <c r="V1178" s="140"/>
      <c r="W1178" s="138"/>
      <c r="X1178" s="140"/>
      <c r="Y1178" s="140"/>
      <c r="Z1178" s="140"/>
      <c r="AA1178" s="140"/>
      <c r="AB1178" s="138"/>
      <c r="AC1178" s="140"/>
      <c r="AD1178" s="140"/>
      <c r="AE1178" s="140"/>
      <c r="AF1178" s="140"/>
      <c r="AG1178" s="138"/>
      <c r="AH1178" s="140"/>
      <c r="AI1178" s="140"/>
      <c r="AJ1178" s="140"/>
      <c r="AK1178" s="140"/>
      <c r="AL1178" s="138"/>
      <c r="AM1178" s="141"/>
      <c r="AN1178" s="142"/>
      <c r="AO1178" s="142"/>
      <c r="AP1178" s="143"/>
      <c r="AQ1178" s="143"/>
      <c r="AR1178" s="144"/>
      <c r="AS1178" s="132">
        <f>SUM(AS1176:AS1177)</f>
        <v>0</v>
      </c>
      <c r="AT1178" s="132">
        <f t="shared" ref="AT1178:DE1178" si="594">SUM(AT1176:AT1177)</f>
        <v>0</v>
      </c>
      <c r="AU1178" s="132">
        <f t="shared" si="594"/>
        <v>0</v>
      </c>
      <c r="AV1178" s="132">
        <f t="shared" si="594"/>
        <v>0</v>
      </c>
      <c r="AW1178" s="132">
        <f t="shared" si="594"/>
        <v>99000000</v>
      </c>
      <c r="AX1178" s="132">
        <f t="shared" si="594"/>
        <v>0</v>
      </c>
      <c r="AY1178" s="132">
        <f t="shared" si="594"/>
        <v>0</v>
      </c>
      <c r="AZ1178" s="132">
        <f t="shared" si="594"/>
        <v>0</v>
      </c>
      <c r="BA1178" s="132">
        <f t="shared" si="594"/>
        <v>0</v>
      </c>
      <c r="BB1178" s="132">
        <f t="shared" si="594"/>
        <v>0</v>
      </c>
      <c r="BC1178" s="132">
        <f t="shared" si="594"/>
        <v>0</v>
      </c>
      <c r="BD1178" s="132">
        <f t="shared" si="594"/>
        <v>0</v>
      </c>
      <c r="BE1178" s="132">
        <f t="shared" si="594"/>
        <v>0</v>
      </c>
      <c r="BF1178" s="132">
        <f t="shared" si="594"/>
        <v>0</v>
      </c>
      <c r="BG1178" s="132">
        <f t="shared" si="594"/>
        <v>0</v>
      </c>
      <c r="BH1178" s="132">
        <f>IF(OR(AND(BH1176=0,W1176&lt;&gt;0),AND(BH1177=0,W1177&lt;&gt;0)),"NO DEBEN QUEDAR CELDAS EN ROJO",SUM(BH1176:BH1177))</f>
        <v>99000000</v>
      </c>
      <c r="BI1178" s="132">
        <f t="shared" si="594"/>
        <v>0</v>
      </c>
      <c r="BJ1178" s="132">
        <f t="shared" si="594"/>
        <v>0</v>
      </c>
      <c r="BK1178" s="132">
        <f t="shared" si="594"/>
        <v>0</v>
      </c>
      <c r="BL1178" s="132">
        <f t="shared" si="594"/>
        <v>0</v>
      </c>
      <c r="BM1178" s="132">
        <f t="shared" si="594"/>
        <v>102000000</v>
      </c>
      <c r="BN1178" s="132">
        <f t="shared" si="594"/>
        <v>0</v>
      </c>
      <c r="BO1178" s="132">
        <f t="shared" si="594"/>
        <v>0</v>
      </c>
      <c r="BP1178" s="132">
        <f t="shared" si="594"/>
        <v>0</v>
      </c>
      <c r="BQ1178" s="132">
        <f t="shared" si="594"/>
        <v>0</v>
      </c>
      <c r="BR1178" s="132">
        <f t="shared" si="594"/>
        <v>0</v>
      </c>
      <c r="BS1178" s="132">
        <f t="shared" si="594"/>
        <v>0</v>
      </c>
      <c r="BT1178" s="132">
        <f t="shared" si="594"/>
        <v>0</v>
      </c>
      <c r="BU1178" s="132">
        <f t="shared" si="594"/>
        <v>0</v>
      </c>
      <c r="BV1178" s="132">
        <f t="shared" si="594"/>
        <v>0</v>
      </c>
      <c r="BW1178" s="132">
        <f t="shared" si="594"/>
        <v>0</v>
      </c>
      <c r="BX1178" s="132">
        <f>IF(OR(AND(BX1176=0,AB1176&lt;&gt;0),AND(BX1177=0,AB1177&lt;&gt;0)),"NO DEBEN QUEDAR CELDAS EN ROJO",SUM(BX1176:BX1177))</f>
        <v>102000000</v>
      </c>
      <c r="BY1178" s="132">
        <f t="shared" si="594"/>
        <v>0</v>
      </c>
      <c r="BZ1178" s="132">
        <f t="shared" si="594"/>
        <v>0</v>
      </c>
      <c r="CA1178" s="132">
        <f t="shared" si="594"/>
        <v>0</v>
      </c>
      <c r="CB1178" s="132">
        <f t="shared" si="594"/>
        <v>0</v>
      </c>
      <c r="CC1178" s="132">
        <f t="shared" si="594"/>
        <v>105000000</v>
      </c>
      <c r="CD1178" s="132">
        <f t="shared" si="594"/>
        <v>0</v>
      </c>
      <c r="CE1178" s="132">
        <f t="shared" si="594"/>
        <v>0</v>
      </c>
      <c r="CF1178" s="132">
        <f t="shared" si="594"/>
        <v>0</v>
      </c>
      <c r="CG1178" s="132">
        <f t="shared" si="594"/>
        <v>0</v>
      </c>
      <c r="CH1178" s="132">
        <f t="shared" si="594"/>
        <v>0</v>
      </c>
      <c r="CI1178" s="132">
        <f t="shared" si="594"/>
        <v>0</v>
      </c>
      <c r="CJ1178" s="132">
        <f t="shared" si="594"/>
        <v>0</v>
      </c>
      <c r="CK1178" s="132">
        <f t="shared" si="594"/>
        <v>0</v>
      </c>
      <c r="CL1178" s="132">
        <f t="shared" si="594"/>
        <v>0</v>
      </c>
      <c r="CM1178" s="132">
        <f t="shared" si="594"/>
        <v>1000000000</v>
      </c>
      <c r="CN1178" s="132">
        <f>IF(OR(AND(CN1176=0,AG1176&lt;&gt;0),AND(CN1177=0,AG1177&lt;&gt;0)),"NO DEBEN QUEDAR CELDAS EN ROJO",SUM(CN1176:CN1177))</f>
        <v>1105000000</v>
      </c>
      <c r="CO1178" s="132">
        <f t="shared" si="594"/>
        <v>0</v>
      </c>
      <c r="CP1178" s="132">
        <f t="shared" si="594"/>
        <v>0</v>
      </c>
      <c r="CQ1178" s="132">
        <f t="shared" si="594"/>
        <v>0</v>
      </c>
      <c r="CR1178" s="132">
        <f t="shared" si="594"/>
        <v>0</v>
      </c>
      <c r="CS1178" s="132">
        <f t="shared" si="594"/>
        <v>109000000</v>
      </c>
      <c r="CT1178" s="132">
        <f t="shared" si="594"/>
        <v>0</v>
      </c>
      <c r="CU1178" s="132">
        <f t="shared" si="594"/>
        <v>0</v>
      </c>
      <c r="CV1178" s="132">
        <f t="shared" si="594"/>
        <v>0</v>
      </c>
      <c r="CW1178" s="132">
        <f t="shared" si="594"/>
        <v>0</v>
      </c>
      <c r="CX1178" s="132">
        <f t="shared" si="594"/>
        <v>0</v>
      </c>
      <c r="CY1178" s="132">
        <f t="shared" si="594"/>
        <v>0</v>
      </c>
      <c r="CZ1178" s="132">
        <f t="shared" si="594"/>
        <v>0</v>
      </c>
      <c r="DA1178" s="132">
        <f t="shared" si="594"/>
        <v>0</v>
      </c>
      <c r="DB1178" s="132">
        <f t="shared" si="594"/>
        <v>0</v>
      </c>
      <c r="DC1178" s="132">
        <f t="shared" si="594"/>
        <v>0</v>
      </c>
      <c r="DD1178" s="132">
        <f>IF(OR(AND(DD1176=0,AL1176&lt;&gt;0),AND(DD1177=0,AL1177&lt;&gt;0)),"NO DEBEN QUEDAR CELDAS EN ROJO",SUM(DD1176:DD1177))</f>
        <v>109000000</v>
      </c>
      <c r="DE1178" s="132">
        <f t="shared" si="594"/>
        <v>1415000000</v>
      </c>
      <c r="DF1178" s="101"/>
    </row>
    <row r="1179" spans="1:110" s="98" customFormat="1" ht="119.1" customHeight="1">
      <c r="A1179" s="103" t="s">
        <v>1249</v>
      </c>
      <c r="B1179" s="103" t="s">
        <v>2051</v>
      </c>
      <c r="C1179" s="103" t="s">
        <v>601</v>
      </c>
      <c r="D1179" s="103">
        <v>110</v>
      </c>
      <c r="E1179" s="103" t="s">
        <v>2309</v>
      </c>
      <c r="F1179" s="278" t="s">
        <v>2310</v>
      </c>
      <c r="G1179" s="103" t="s">
        <v>3275</v>
      </c>
      <c r="H1179" s="103">
        <v>134</v>
      </c>
      <c r="I1179" s="103" t="s">
        <v>603</v>
      </c>
      <c r="J1179" s="103" t="s">
        <v>683</v>
      </c>
      <c r="K1179" s="103">
        <v>0</v>
      </c>
      <c r="L1179" s="103">
        <v>25</v>
      </c>
      <c r="M1179" s="103">
        <v>110.1</v>
      </c>
      <c r="N1179" s="103" t="s">
        <v>2311</v>
      </c>
      <c r="O1179" s="103" t="s">
        <v>604</v>
      </c>
      <c r="P1179" s="283">
        <v>1034</v>
      </c>
      <c r="Q1179" s="103" t="s">
        <v>2949</v>
      </c>
      <c r="R1179" s="103" t="s">
        <v>2312</v>
      </c>
      <c r="S1179" s="103" t="s">
        <v>683</v>
      </c>
      <c r="T1179" s="103">
        <v>6</v>
      </c>
      <c r="U1179" s="267"/>
      <c r="V1179" s="267">
        <v>4</v>
      </c>
      <c r="W1179" s="224">
        <v>4</v>
      </c>
      <c r="X1179" s="267"/>
      <c r="Y1179" s="267">
        <v>2</v>
      </c>
      <c r="Z1179" s="267">
        <v>3</v>
      </c>
      <c r="AA1179" s="267"/>
      <c r="AB1179" s="224">
        <v>5</v>
      </c>
      <c r="AC1179" s="267"/>
      <c r="AD1179" s="267">
        <v>2</v>
      </c>
      <c r="AE1179" s="267">
        <v>3</v>
      </c>
      <c r="AF1179" s="267"/>
      <c r="AG1179" s="224">
        <v>5</v>
      </c>
      <c r="AH1179" s="267"/>
      <c r="AI1179" s="267">
        <v>2</v>
      </c>
      <c r="AJ1179" s="267">
        <v>3</v>
      </c>
      <c r="AK1179" s="267"/>
      <c r="AL1179" s="224">
        <v>5</v>
      </c>
      <c r="AM1179" s="102">
        <v>19</v>
      </c>
      <c r="AN1179" s="103" t="s">
        <v>685</v>
      </c>
      <c r="AO1179" s="103" t="s">
        <v>1212</v>
      </c>
      <c r="AP1179" s="103" t="s">
        <v>1229</v>
      </c>
      <c r="AQ1179" s="108" t="s">
        <v>1207</v>
      </c>
      <c r="AR1179" s="108" t="s">
        <v>951</v>
      </c>
      <c r="AS1179" s="268"/>
      <c r="AT1179" s="268"/>
      <c r="AU1179" s="268"/>
      <c r="AV1179" s="268"/>
      <c r="AW1179" s="268">
        <v>4884774</v>
      </c>
      <c r="AX1179" s="268"/>
      <c r="AY1179" s="268"/>
      <c r="AZ1179" s="268"/>
      <c r="BA1179" s="268"/>
      <c r="BB1179" s="268"/>
      <c r="BC1179" s="268"/>
      <c r="BD1179" s="268"/>
      <c r="BE1179" s="268"/>
      <c r="BF1179" s="268"/>
      <c r="BG1179" s="268"/>
      <c r="BH1179" s="234">
        <f t="shared" ref="BH1179:BH1187" si="595">IF(W1179=0,0,BG1179+BF1179+BE1179+BD1179+BC1179+BB1179+BA1179+AZ1179+AY1179+AX1179+AW1179+AV1179+AU1179+AT1179+AS1179)</f>
        <v>4884774</v>
      </c>
      <c r="BI1179" s="268"/>
      <c r="BJ1179" s="268"/>
      <c r="BK1179" s="268"/>
      <c r="BL1179" s="268"/>
      <c r="BM1179" s="268">
        <v>23665778</v>
      </c>
      <c r="BN1179" s="268"/>
      <c r="BO1179" s="268"/>
      <c r="BP1179" s="268"/>
      <c r="BQ1179" s="268"/>
      <c r="BR1179" s="268"/>
      <c r="BS1179" s="268"/>
      <c r="BT1179" s="268"/>
      <c r="BU1179" s="268"/>
      <c r="BV1179" s="268"/>
      <c r="BW1179" s="268"/>
      <c r="BX1179" s="234">
        <f t="shared" ref="BX1179:BX1187" si="596">IF(AB1179=0,0,BI1179+BJ1179+BK1179+BL1179+BM1179+BN1179+BO1179+BP1179+BQ1179+BR1179+BS1179+BT1179+BU1179+BV1179+BW1179)</f>
        <v>23665778</v>
      </c>
      <c r="BY1179" s="268"/>
      <c r="BZ1179" s="268"/>
      <c r="CA1179" s="268"/>
      <c r="CB1179" s="268"/>
      <c r="CC1179" s="268">
        <v>28749000</v>
      </c>
      <c r="CD1179" s="268"/>
      <c r="CE1179" s="268"/>
      <c r="CF1179" s="268"/>
      <c r="CG1179" s="268"/>
      <c r="CH1179" s="268"/>
      <c r="CI1179" s="268"/>
      <c r="CJ1179" s="268"/>
      <c r="CK1179" s="268"/>
      <c r="CL1179" s="268"/>
      <c r="CM1179" s="268"/>
      <c r="CN1179" s="234">
        <f t="shared" ref="CN1179:CN1187" si="597">IF(AG1179=0,0,(BY1179+BZ1179+CA1179+CB1179+CC1179+CD1179+CE1179+CF1179+CG1179+CH1179+CI1179+CJ1179+CK1179+CL1179+CM1179))</f>
        <v>28749000</v>
      </c>
      <c r="CO1179" s="268"/>
      <c r="CP1179" s="268"/>
      <c r="CQ1179" s="268"/>
      <c r="CR1179" s="268"/>
      <c r="CS1179" s="268">
        <v>35406000</v>
      </c>
      <c r="CT1179" s="268"/>
      <c r="CU1179" s="268"/>
      <c r="CV1179" s="268"/>
      <c r="CW1179" s="268"/>
      <c r="CX1179" s="268"/>
      <c r="CY1179" s="268"/>
      <c r="CZ1179" s="268"/>
      <c r="DA1179" s="268"/>
      <c r="DB1179" s="268"/>
      <c r="DC1179" s="268"/>
      <c r="DD1179" s="234">
        <f t="shared" ref="DD1179:DD1187" si="598">IF(AL1179=0,0,(CO1179+CP1179+CQ1179+CR1179+CS1179+CT1179+CU1179+CV1179+CW1179+CX1179+CY1179+CZ1179+DA1179+DB1179+DC1179))</f>
        <v>35406000</v>
      </c>
      <c r="DE1179" s="243">
        <f t="shared" ref="DE1179:DE1187" si="599">SUM(DD1179+CN1179+BX1179+BH1179)</f>
        <v>92705552</v>
      </c>
    </row>
    <row r="1180" spans="1:110" s="98" customFormat="1" ht="119.1" customHeight="1">
      <c r="A1180" s="103" t="s">
        <v>1249</v>
      </c>
      <c r="B1180" s="279" t="s">
        <v>2051</v>
      </c>
      <c r="C1180" s="279" t="s">
        <v>601</v>
      </c>
      <c r="D1180" s="279">
        <v>110</v>
      </c>
      <c r="E1180" s="279" t="s">
        <v>2309</v>
      </c>
      <c r="F1180" s="280" t="s">
        <v>2310</v>
      </c>
      <c r="G1180" s="279" t="s">
        <v>3275</v>
      </c>
      <c r="H1180" s="279">
        <v>134</v>
      </c>
      <c r="I1180" s="279" t="s">
        <v>603</v>
      </c>
      <c r="J1180" s="279" t="s">
        <v>683</v>
      </c>
      <c r="K1180" s="279">
        <v>0</v>
      </c>
      <c r="L1180" s="279">
        <v>25</v>
      </c>
      <c r="M1180" s="279">
        <v>110.1</v>
      </c>
      <c r="N1180" s="279" t="s">
        <v>2311</v>
      </c>
      <c r="O1180" s="279" t="s">
        <v>604</v>
      </c>
      <c r="P1180" s="283">
        <v>1035</v>
      </c>
      <c r="Q1180" s="279" t="s">
        <v>2950</v>
      </c>
      <c r="R1180" s="279" t="s">
        <v>605</v>
      </c>
      <c r="S1180" s="279" t="s">
        <v>683</v>
      </c>
      <c r="T1180" s="279">
        <v>0</v>
      </c>
      <c r="U1180" s="267"/>
      <c r="V1180" s="267">
        <v>2</v>
      </c>
      <c r="W1180" s="224">
        <v>2</v>
      </c>
      <c r="X1180" s="267"/>
      <c r="Y1180" s="267">
        <v>4</v>
      </c>
      <c r="Z1180" s="267"/>
      <c r="AA1180" s="267"/>
      <c r="AB1180" s="224">
        <v>4</v>
      </c>
      <c r="AC1180" s="267"/>
      <c r="AD1180" s="267">
        <v>4</v>
      </c>
      <c r="AE1180" s="267"/>
      <c r="AF1180" s="267"/>
      <c r="AG1180" s="224">
        <v>4</v>
      </c>
      <c r="AH1180" s="267"/>
      <c r="AI1180" s="267">
        <v>2</v>
      </c>
      <c r="AJ1180" s="267"/>
      <c r="AK1180" s="267"/>
      <c r="AL1180" s="224">
        <v>2</v>
      </c>
      <c r="AM1180" s="104">
        <v>12</v>
      </c>
      <c r="AN1180" s="103" t="s">
        <v>685</v>
      </c>
      <c r="AO1180" s="103" t="s">
        <v>1212</v>
      </c>
      <c r="AP1180" s="103" t="s">
        <v>1229</v>
      </c>
      <c r="AQ1180" s="108" t="s">
        <v>1207</v>
      </c>
      <c r="AR1180" s="108" t="s">
        <v>951</v>
      </c>
      <c r="AS1180" s="271"/>
      <c r="AT1180" s="271"/>
      <c r="AU1180" s="271"/>
      <c r="AV1180" s="271"/>
      <c r="AW1180" s="271">
        <v>4884771</v>
      </c>
      <c r="AX1180" s="271"/>
      <c r="AY1180" s="271"/>
      <c r="AZ1180" s="271"/>
      <c r="BA1180" s="271"/>
      <c r="BB1180" s="271"/>
      <c r="BC1180" s="271"/>
      <c r="BD1180" s="271"/>
      <c r="BE1180" s="271"/>
      <c r="BF1180" s="271"/>
      <c r="BG1180" s="271"/>
      <c r="BH1180" s="235">
        <f t="shared" si="595"/>
        <v>4884771</v>
      </c>
      <c r="BI1180" s="271"/>
      <c r="BJ1180" s="271"/>
      <c r="BK1180" s="271"/>
      <c r="BL1180" s="271"/>
      <c r="BM1180" s="271">
        <v>23665778</v>
      </c>
      <c r="BN1180" s="271"/>
      <c r="BO1180" s="271"/>
      <c r="BP1180" s="271"/>
      <c r="BQ1180" s="271"/>
      <c r="BR1180" s="271"/>
      <c r="BS1180" s="271"/>
      <c r="BT1180" s="271"/>
      <c r="BU1180" s="271"/>
      <c r="BV1180" s="271"/>
      <c r="BW1180" s="271"/>
      <c r="BX1180" s="235">
        <f t="shared" si="596"/>
        <v>23665778</v>
      </c>
      <c r="BY1180" s="271"/>
      <c r="BZ1180" s="271"/>
      <c r="CA1180" s="271"/>
      <c r="CB1180" s="271"/>
      <c r="CC1180" s="271">
        <v>28749000</v>
      </c>
      <c r="CD1180" s="271"/>
      <c r="CE1180" s="271"/>
      <c r="CF1180" s="271"/>
      <c r="CG1180" s="271"/>
      <c r="CH1180" s="271"/>
      <c r="CI1180" s="271"/>
      <c r="CJ1180" s="271"/>
      <c r="CK1180" s="271"/>
      <c r="CL1180" s="271"/>
      <c r="CM1180" s="271"/>
      <c r="CN1180" s="235">
        <f t="shared" si="597"/>
        <v>28749000</v>
      </c>
      <c r="CO1180" s="271"/>
      <c r="CP1180" s="271"/>
      <c r="CQ1180" s="271"/>
      <c r="CR1180" s="271"/>
      <c r="CS1180" s="271">
        <v>35406000</v>
      </c>
      <c r="CT1180" s="271"/>
      <c r="CU1180" s="271"/>
      <c r="CV1180" s="271"/>
      <c r="CW1180" s="271"/>
      <c r="CX1180" s="271"/>
      <c r="CY1180" s="271"/>
      <c r="CZ1180" s="271"/>
      <c r="DA1180" s="271"/>
      <c r="DB1180" s="271"/>
      <c r="DC1180" s="271"/>
      <c r="DD1180" s="234">
        <f t="shared" si="598"/>
        <v>35406000</v>
      </c>
      <c r="DE1180" s="244">
        <f t="shared" si="599"/>
        <v>92705549</v>
      </c>
    </row>
    <row r="1181" spans="1:110" s="98" customFormat="1" ht="119.1" customHeight="1">
      <c r="A1181" s="103" t="s">
        <v>1249</v>
      </c>
      <c r="B1181" s="279" t="s">
        <v>2051</v>
      </c>
      <c r="C1181" s="279" t="s">
        <v>601</v>
      </c>
      <c r="D1181" s="279">
        <v>110</v>
      </c>
      <c r="E1181" s="279" t="s">
        <v>2309</v>
      </c>
      <c r="F1181" s="280" t="s">
        <v>2310</v>
      </c>
      <c r="G1181" s="279" t="s">
        <v>3275</v>
      </c>
      <c r="H1181" s="279">
        <v>134</v>
      </c>
      <c r="I1181" s="279" t="s">
        <v>603</v>
      </c>
      <c r="J1181" s="279" t="s">
        <v>683</v>
      </c>
      <c r="K1181" s="279">
        <v>0</v>
      </c>
      <c r="L1181" s="279">
        <v>25</v>
      </c>
      <c r="M1181" s="279">
        <v>110.1</v>
      </c>
      <c r="N1181" s="279" t="s">
        <v>2311</v>
      </c>
      <c r="O1181" s="279" t="s">
        <v>604</v>
      </c>
      <c r="P1181" s="283">
        <v>1036</v>
      </c>
      <c r="Q1181" s="279" t="s">
        <v>2951</v>
      </c>
      <c r="R1181" s="279" t="s">
        <v>606</v>
      </c>
      <c r="S1181" s="279" t="s">
        <v>683</v>
      </c>
      <c r="T1181" s="279">
        <v>0</v>
      </c>
      <c r="U1181" s="267"/>
      <c r="V1181" s="267">
        <v>2</v>
      </c>
      <c r="W1181" s="224">
        <v>2</v>
      </c>
      <c r="X1181" s="267"/>
      <c r="Y1181" s="267">
        <v>3</v>
      </c>
      <c r="Z1181" s="267"/>
      <c r="AA1181" s="267"/>
      <c r="AB1181" s="224">
        <v>3</v>
      </c>
      <c r="AC1181" s="267"/>
      <c r="AD1181" s="267">
        <v>3</v>
      </c>
      <c r="AE1181" s="267"/>
      <c r="AF1181" s="267"/>
      <c r="AG1181" s="224">
        <v>3</v>
      </c>
      <c r="AH1181" s="267"/>
      <c r="AI1181" s="267">
        <v>2</v>
      </c>
      <c r="AJ1181" s="267"/>
      <c r="AK1181" s="267"/>
      <c r="AL1181" s="224">
        <v>2</v>
      </c>
      <c r="AM1181" s="104">
        <v>10</v>
      </c>
      <c r="AN1181" s="103" t="s">
        <v>685</v>
      </c>
      <c r="AO1181" s="103" t="s">
        <v>1212</v>
      </c>
      <c r="AP1181" s="103" t="s">
        <v>1229</v>
      </c>
      <c r="AQ1181" s="108" t="s">
        <v>1207</v>
      </c>
      <c r="AR1181" s="108" t="s">
        <v>951</v>
      </c>
      <c r="AS1181" s="271"/>
      <c r="AT1181" s="271"/>
      <c r="AU1181" s="271"/>
      <c r="AV1181" s="271"/>
      <c r="AW1181" s="271">
        <v>4884771</v>
      </c>
      <c r="AX1181" s="271"/>
      <c r="AY1181" s="271"/>
      <c r="AZ1181" s="271"/>
      <c r="BA1181" s="271"/>
      <c r="BB1181" s="271"/>
      <c r="BC1181" s="271"/>
      <c r="BD1181" s="271"/>
      <c r="BE1181" s="271"/>
      <c r="BF1181" s="271"/>
      <c r="BG1181" s="271"/>
      <c r="BH1181" s="235">
        <f t="shared" si="595"/>
        <v>4884771</v>
      </c>
      <c r="BI1181" s="271"/>
      <c r="BJ1181" s="271"/>
      <c r="BK1181" s="271"/>
      <c r="BL1181" s="271"/>
      <c r="BM1181" s="271">
        <v>23665778</v>
      </c>
      <c r="BN1181" s="271"/>
      <c r="BO1181" s="271"/>
      <c r="BP1181" s="271"/>
      <c r="BQ1181" s="271"/>
      <c r="BR1181" s="271"/>
      <c r="BS1181" s="271"/>
      <c r="BT1181" s="271"/>
      <c r="BU1181" s="271"/>
      <c r="BV1181" s="271"/>
      <c r="BW1181" s="271"/>
      <c r="BX1181" s="235">
        <f t="shared" si="596"/>
        <v>23665778</v>
      </c>
      <c r="BY1181" s="271"/>
      <c r="BZ1181" s="271"/>
      <c r="CA1181" s="271"/>
      <c r="CB1181" s="271"/>
      <c r="CC1181" s="271">
        <v>28749000</v>
      </c>
      <c r="CD1181" s="271"/>
      <c r="CE1181" s="271"/>
      <c r="CF1181" s="271"/>
      <c r="CG1181" s="271"/>
      <c r="CH1181" s="271"/>
      <c r="CI1181" s="271"/>
      <c r="CJ1181" s="271"/>
      <c r="CK1181" s="271"/>
      <c r="CL1181" s="271"/>
      <c r="CM1181" s="271"/>
      <c r="CN1181" s="235">
        <f t="shared" si="597"/>
        <v>28749000</v>
      </c>
      <c r="CO1181" s="271"/>
      <c r="CP1181" s="271"/>
      <c r="CQ1181" s="271"/>
      <c r="CR1181" s="271"/>
      <c r="CS1181" s="271">
        <v>35406000</v>
      </c>
      <c r="CT1181" s="271"/>
      <c r="CU1181" s="271"/>
      <c r="CV1181" s="271"/>
      <c r="CW1181" s="271"/>
      <c r="CX1181" s="271"/>
      <c r="CY1181" s="271"/>
      <c r="CZ1181" s="271"/>
      <c r="DA1181" s="271"/>
      <c r="DB1181" s="271"/>
      <c r="DC1181" s="271"/>
      <c r="DD1181" s="234">
        <f t="shared" si="598"/>
        <v>35406000</v>
      </c>
      <c r="DE1181" s="244">
        <f t="shared" si="599"/>
        <v>92705549</v>
      </c>
    </row>
    <row r="1182" spans="1:110" s="98" customFormat="1" ht="119.1" customHeight="1">
      <c r="A1182" s="103" t="s">
        <v>1249</v>
      </c>
      <c r="B1182" s="279" t="s">
        <v>2051</v>
      </c>
      <c r="C1182" s="279" t="s">
        <v>601</v>
      </c>
      <c r="D1182" s="279">
        <v>110</v>
      </c>
      <c r="E1182" s="279" t="s">
        <v>2309</v>
      </c>
      <c r="F1182" s="280" t="s">
        <v>2310</v>
      </c>
      <c r="G1182" s="279" t="s">
        <v>3275</v>
      </c>
      <c r="H1182" s="279">
        <v>134</v>
      </c>
      <c r="I1182" s="279" t="s">
        <v>603</v>
      </c>
      <c r="J1182" s="279" t="s">
        <v>683</v>
      </c>
      <c r="K1182" s="279">
        <v>0</v>
      </c>
      <c r="L1182" s="279">
        <v>25</v>
      </c>
      <c r="M1182" s="279">
        <v>110.1</v>
      </c>
      <c r="N1182" s="279" t="s">
        <v>2311</v>
      </c>
      <c r="O1182" s="279" t="s">
        <v>604</v>
      </c>
      <c r="P1182" s="283">
        <v>1037</v>
      </c>
      <c r="Q1182" s="279" t="s">
        <v>3821</v>
      </c>
      <c r="R1182" s="279" t="s">
        <v>607</v>
      </c>
      <c r="S1182" s="279" t="s">
        <v>683</v>
      </c>
      <c r="T1182" s="279">
        <v>0</v>
      </c>
      <c r="U1182" s="267"/>
      <c r="V1182" s="267">
        <v>2</v>
      </c>
      <c r="W1182" s="224">
        <v>2</v>
      </c>
      <c r="X1182" s="267"/>
      <c r="Y1182" s="267"/>
      <c r="Z1182" s="267"/>
      <c r="AA1182" s="267">
        <v>2</v>
      </c>
      <c r="AB1182" s="224">
        <v>2</v>
      </c>
      <c r="AC1182" s="267"/>
      <c r="AD1182" s="267"/>
      <c r="AE1182" s="267"/>
      <c r="AF1182" s="267">
        <v>2</v>
      </c>
      <c r="AG1182" s="224">
        <v>2</v>
      </c>
      <c r="AH1182" s="267"/>
      <c r="AI1182" s="267"/>
      <c r="AJ1182" s="267"/>
      <c r="AK1182" s="267"/>
      <c r="AL1182" s="224">
        <v>0</v>
      </c>
      <c r="AM1182" s="104">
        <v>6</v>
      </c>
      <c r="AN1182" s="103" t="s">
        <v>685</v>
      </c>
      <c r="AO1182" s="103" t="s">
        <v>1212</v>
      </c>
      <c r="AP1182" s="103" t="s">
        <v>1229</v>
      </c>
      <c r="AQ1182" s="108" t="s">
        <v>1207</v>
      </c>
      <c r="AR1182" s="108" t="s">
        <v>951</v>
      </c>
      <c r="AS1182" s="271"/>
      <c r="AT1182" s="271"/>
      <c r="AU1182" s="271"/>
      <c r="AV1182" s="271"/>
      <c r="AW1182" s="271">
        <v>4884771</v>
      </c>
      <c r="AX1182" s="271"/>
      <c r="AY1182" s="271"/>
      <c r="AZ1182" s="271"/>
      <c r="BA1182" s="271"/>
      <c r="BB1182" s="271"/>
      <c r="BC1182" s="271"/>
      <c r="BD1182" s="271"/>
      <c r="BE1182" s="271"/>
      <c r="BF1182" s="271"/>
      <c r="BG1182" s="271"/>
      <c r="BH1182" s="235">
        <f t="shared" si="595"/>
        <v>4884771</v>
      </c>
      <c r="BI1182" s="271"/>
      <c r="BJ1182" s="271"/>
      <c r="BK1182" s="271"/>
      <c r="BL1182" s="271"/>
      <c r="BM1182" s="271">
        <v>23665778</v>
      </c>
      <c r="BN1182" s="271"/>
      <c r="BO1182" s="271"/>
      <c r="BP1182" s="271"/>
      <c r="BQ1182" s="271"/>
      <c r="BR1182" s="271"/>
      <c r="BS1182" s="271"/>
      <c r="BT1182" s="271"/>
      <c r="BU1182" s="271"/>
      <c r="BV1182" s="271"/>
      <c r="BW1182" s="271"/>
      <c r="BX1182" s="235">
        <f t="shared" si="596"/>
        <v>23665778</v>
      </c>
      <c r="BY1182" s="271"/>
      <c r="BZ1182" s="271"/>
      <c r="CA1182" s="271"/>
      <c r="CB1182" s="271"/>
      <c r="CC1182" s="271">
        <v>28749000</v>
      </c>
      <c r="CD1182" s="271"/>
      <c r="CE1182" s="271"/>
      <c r="CF1182" s="271"/>
      <c r="CG1182" s="271"/>
      <c r="CH1182" s="271"/>
      <c r="CI1182" s="271"/>
      <c r="CJ1182" s="271"/>
      <c r="CK1182" s="271"/>
      <c r="CL1182" s="271"/>
      <c r="CM1182" s="271"/>
      <c r="CN1182" s="235">
        <f t="shared" si="597"/>
        <v>28749000</v>
      </c>
      <c r="CO1182" s="271"/>
      <c r="CP1182" s="271"/>
      <c r="CQ1182" s="271"/>
      <c r="CR1182" s="271"/>
      <c r="CS1182" s="271"/>
      <c r="CT1182" s="271"/>
      <c r="CU1182" s="271"/>
      <c r="CV1182" s="271"/>
      <c r="CW1182" s="271"/>
      <c r="CX1182" s="271"/>
      <c r="CY1182" s="271"/>
      <c r="CZ1182" s="271"/>
      <c r="DA1182" s="271"/>
      <c r="DB1182" s="271"/>
      <c r="DC1182" s="271"/>
      <c r="DD1182" s="234">
        <f t="shared" si="598"/>
        <v>0</v>
      </c>
      <c r="DE1182" s="244">
        <f t="shared" si="599"/>
        <v>57299549</v>
      </c>
    </row>
    <row r="1183" spans="1:110" s="98" customFormat="1" ht="119.1" customHeight="1">
      <c r="A1183" s="103" t="s">
        <v>1249</v>
      </c>
      <c r="B1183" s="279" t="s">
        <v>2051</v>
      </c>
      <c r="C1183" s="279" t="s">
        <v>601</v>
      </c>
      <c r="D1183" s="279">
        <v>110</v>
      </c>
      <c r="E1183" s="279" t="s">
        <v>2309</v>
      </c>
      <c r="F1183" s="280" t="s">
        <v>2310</v>
      </c>
      <c r="G1183" s="279" t="s">
        <v>3275</v>
      </c>
      <c r="H1183" s="279">
        <v>134</v>
      </c>
      <c r="I1183" s="279" t="s">
        <v>603</v>
      </c>
      <c r="J1183" s="279" t="s">
        <v>683</v>
      </c>
      <c r="K1183" s="279">
        <v>0</v>
      </c>
      <c r="L1183" s="279">
        <v>25</v>
      </c>
      <c r="M1183" s="279">
        <v>110.1</v>
      </c>
      <c r="N1183" s="279" t="s">
        <v>2311</v>
      </c>
      <c r="O1183" s="279" t="s">
        <v>604</v>
      </c>
      <c r="P1183" s="283">
        <v>1038</v>
      </c>
      <c r="Q1183" s="279" t="s">
        <v>2952</v>
      </c>
      <c r="R1183" s="279" t="s">
        <v>608</v>
      </c>
      <c r="S1183" s="279" t="s">
        <v>683</v>
      </c>
      <c r="T1183" s="279">
        <v>0</v>
      </c>
      <c r="U1183" s="267"/>
      <c r="V1183" s="267">
        <v>3</v>
      </c>
      <c r="W1183" s="224">
        <v>3</v>
      </c>
      <c r="X1183" s="267"/>
      <c r="Y1183" s="267">
        <v>4</v>
      </c>
      <c r="Z1183" s="267"/>
      <c r="AA1183" s="267"/>
      <c r="AB1183" s="224">
        <v>4</v>
      </c>
      <c r="AC1183" s="267"/>
      <c r="AD1183" s="267">
        <v>4</v>
      </c>
      <c r="AE1183" s="267"/>
      <c r="AF1183" s="267"/>
      <c r="AG1183" s="224">
        <v>4</v>
      </c>
      <c r="AH1183" s="267"/>
      <c r="AI1183" s="267">
        <v>4</v>
      </c>
      <c r="AJ1183" s="267"/>
      <c r="AK1183" s="267"/>
      <c r="AL1183" s="224">
        <v>4</v>
      </c>
      <c r="AM1183" s="104">
        <v>15</v>
      </c>
      <c r="AN1183" s="103" t="s">
        <v>685</v>
      </c>
      <c r="AO1183" s="103" t="s">
        <v>1212</v>
      </c>
      <c r="AP1183" s="103" t="s">
        <v>1229</v>
      </c>
      <c r="AQ1183" s="108" t="s">
        <v>1207</v>
      </c>
      <c r="AR1183" s="108" t="s">
        <v>951</v>
      </c>
      <c r="AS1183" s="271"/>
      <c r="AT1183" s="271"/>
      <c r="AU1183" s="271"/>
      <c r="AV1183" s="271"/>
      <c r="AW1183" s="271">
        <v>4884771</v>
      </c>
      <c r="AX1183" s="271"/>
      <c r="AY1183" s="271"/>
      <c r="AZ1183" s="271"/>
      <c r="BA1183" s="271"/>
      <c r="BB1183" s="271"/>
      <c r="BC1183" s="271"/>
      <c r="BD1183" s="271"/>
      <c r="BE1183" s="271"/>
      <c r="BF1183" s="271"/>
      <c r="BG1183" s="271"/>
      <c r="BH1183" s="235">
        <f t="shared" si="595"/>
        <v>4884771</v>
      </c>
      <c r="BI1183" s="271"/>
      <c r="BJ1183" s="271"/>
      <c r="BK1183" s="271"/>
      <c r="BL1183" s="271"/>
      <c r="BM1183" s="271">
        <v>23665778</v>
      </c>
      <c r="BN1183" s="271"/>
      <c r="BO1183" s="271"/>
      <c r="BP1183" s="271"/>
      <c r="BQ1183" s="271"/>
      <c r="BR1183" s="271"/>
      <c r="BS1183" s="271"/>
      <c r="BT1183" s="271"/>
      <c r="BU1183" s="271"/>
      <c r="BV1183" s="271"/>
      <c r="BW1183" s="271"/>
      <c r="BX1183" s="235">
        <f t="shared" si="596"/>
        <v>23665778</v>
      </c>
      <c r="BY1183" s="271"/>
      <c r="BZ1183" s="271"/>
      <c r="CA1183" s="271"/>
      <c r="CB1183" s="271"/>
      <c r="CC1183" s="271">
        <v>28749000</v>
      </c>
      <c r="CD1183" s="271"/>
      <c r="CE1183" s="271"/>
      <c r="CF1183" s="271"/>
      <c r="CG1183" s="271"/>
      <c r="CH1183" s="271"/>
      <c r="CI1183" s="271"/>
      <c r="CJ1183" s="271"/>
      <c r="CK1183" s="271"/>
      <c r="CL1183" s="271"/>
      <c r="CM1183" s="271"/>
      <c r="CN1183" s="235">
        <f t="shared" si="597"/>
        <v>28749000</v>
      </c>
      <c r="CO1183" s="271"/>
      <c r="CP1183" s="271"/>
      <c r="CQ1183" s="271"/>
      <c r="CR1183" s="271"/>
      <c r="CS1183" s="271">
        <v>35406000</v>
      </c>
      <c r="CT1183" s="271"/>
      <c r="CU1183" s="271"/>
      <c r="CV1183" s="271"/>
      <c r="CW1183" s="271"/>
      <c r="CX1183" s="271"/>
      <c r="CY1183" s="271"/>
      <c r="CZ1183" s="271"/>
      <c r="DA1183" s="271"/>
      <c r="DB1183" s="271"/>
      <c r="DC1183" s="271"/>
      <c r="DD1183" s="234">
        <f t="shared" si="598"/>
        <v>35406000</v>
      </c>
      <c r="DE1183" s="244">
        <f t="shared" si="599"/>
        <v>92705549</v>
      </c>
    </row>
    <row r="1184" spans="1:110" s="98" customFormat="1" ht="119.1" customHeight="1">
      <c r="A1184" s="103" t="s">
        <v>1249</v>
      </c>
      <c r="B1184" s="279" t="s">
        <v>2051</v>
      </c>
      <c r="C1184" s="279" t="s">
        <v>601</v>
      </c>
      <c r="D1184" s="279">
        <v>110</v>
      </c>
      <c r="E1184" s="279" t="s">
        <v>2309</v>
      </c>
      <c r="F1184" s="280" t="s">
        <v>2310</v>
      </c>
      <c r="G1184" s="279" t="s">
        <v>2953</v>
      </c>
      <c r="H1184" s="279">
        <v>135</v>
      </c>
      <c r="I1184" s="279" t="s">
        <v>609</v>
      </c>
      <c r="J1184" s="279" t="s">
        <v>683</v>
      </c>
      <c r="K1184" s="279">
        <v>0</v>
      </c>
      <c r="L1184" s="279">
        <v>22</v>
      </c>
      <c r="M1184" s="279" t="s">
        <v>2313</v>
      </c>
      <c r="N1184" s="279" t="s">
        <v>2314</v>
      </c>
      <c r="O1184" s="279" t="s">
        <v>2315</v>
      </c>
      <c r="P1184" s="283">
        <v>1039</v>
      </c>
      <c r="Q1184" s="279" t="s">
        <v>3224</v>
      </c>
      <c r="R1184" s="279" t="s">
        <v>2316</v>
      </c>
      <c r="S1184" s="279" t="s">
        <v>677</v>
      </c>
      <c r="T1184" s="279">
        <v>30</v>
      </c>
      <c r="U1184" s="267"/>
      <c r="V1184" s="267">
        <v>15</v>
      </c>
      <c r="W1184" s="224">
        <v>15</v>
      </c>
      <c r="X1184" s="267"/>
      <c r="Y1184" s="267">
        <v>15</v>
      </c>
      <c r="Z1184" s="267"/>
      <c r="AA1184" s="267"/>
      <c r="AB1184" s="224">
        <v>15</v>
      </c>
      <c r="AC1184" s="267"/>
      <c r="AD1184" s="267">
        <v>15</v>
      </c>
      <c r="AE1184" s="267"/>
      <c r="AF1184" s="267"/>
      <c r="AG1184" s="224">
        <v>15</v>
      </c>
      <c r="AH1184" s="267"/>
      <c r="AI1184" s="267">
        <v>15</v>
      </c>
      <c r="AJ1184" s="267"/>
      <c r="AK1184" s="267"/>
      <c r="AL1184" s="224">
        <v>15</v>
      </c>
      <c r="AM1184" s="104">
        <v>60</v>
      </c>
      <c r="AN1184" s="103" t="s">
        <v>685</v>
      </c>
      <c r="AO1184" s="103" t="s">
        <v>1212</v>
      </c>
      <c r="AP1184" s="103" t="s">
        <v>1229</v>
      </c>
      <c r="AQ1184" s="108" t="s">
        <v>1207</v>
      </c>
      <c r="AR1184" s="108" t="s">
        <v>951</v>
      </c>
      <c r="AS1184" s="271"/>
      <c r="AT1184" s="271"/>
      <c r="AU1184" s="271"/>
      <c r="AV1184" s="271"/>
      <c r="AW1184" s="271">
        <v>4884771</v>
      </c>
      <c r="AX1184" s="271"/>
      <c r="AY1184" s="271"/>
      <c r="AZ1184" s="271"/>
      <c r="BA1184" s="271"/>
      <c r="BB1184" s="271"/>
      <c r="BC1184" s="271"/>
      <c r="BD1184" s="271"/>
      <c r="BE1184" s="271"/>
      <c r="BF1184" s="271"/>
      <c r="BG1184" s="271"/>
      <c r="BH1184" s="235">
        <f t="shared" si="595"/>
        <v>4884771</v>
      </c>
      <c r="BI1184" s="271"/>
      <c r="BJ1184" s="271"/>
      <c r="BK1184" s="271"/>
      <c r="BL1184" s="271"/>
      <c r="BM1184" s="271">
        <v>23665778</v>
      </c>
      <c r="BN1184" s="271"/>
      <c r="BO1184" s="271"/>
      <c r="BP1184" s="271"/>
      <c r="BQ1184" s="271"/>
      <c r="BR1184" s="271"/>
      <c r="BS1184" s="271"/>
      <c r="BT1184" s="271"/>
      <c r="BU1184" s="271"/>
      <c r="BV1184" s="271"/>
      <c r="BW1184" s="271"/>
      <c r="BX1184" s="235">
        <f t="shared" si="596"/>
        <v>23665778</v>
      </c>
      <c r="BY1184" s="271"/>
      <c r="BZ1184" s="271"/>
      <c r="CA1184" s="271"/>
      <c r="CB1184" s="271"/>
      <c r="CC1184" s="271">
        <v>28749000</v>
      </c>
      <c r="CD1184" s="271"/>
      <c r="CE1184" s="271"/>
      <c r="CF1184" s="271"/>
      <c r="CG1184" s="271"/>
      <c r="CH1184" s="271"/>
      <c r="CI1184" s="271"/>
      <c r="CJ1184" s="271"/>
      <c r="CK1184" s="271"/>
      <c r="CL1184" s="271"/>
      <c r="CM1184" s="271"/>
      <c r="CN1184" s="235">
        <f t="shared" si="597"/>
        <v>28749000</v>
      </c>
      <c r="CO1184" s="271"/>
      <c r="CP1184" s="271"/>
      <c r="CQ1184" s="271"/>
      <c r="CR1184" s="271"/>
      <c r="CS1184" s="271">
        <v>35406000</v>
      </c>
      <c r="CT1184" s="271"/>
      <c r="CU1184" s="271"/>
      <c r="CV1184" s="271"/>
      <c r="CW1184" s="271"/>
      <c r="CX1184" s="271"/>
      <c r="CY1184" s="271"/>
      <c r="CZ1184" s="271"/>
      <c r="DA1184" s="271"/>
      <c r="DB1184" s="271"/>
      <c r="DC1184" s="271"/>
      <c r="DD1184" s="234">
        <f t="shared" si="598"/>
        <v>35406000</v>
      </c>
      <c r="DE1184" s="244">
        <f t="shared" si="599"/>
        <v>92705549</v>
      </c>
    </row>
    <row r="1185" spans="1:110" s="98" customFormat="1" ht="119.1" customHeight="1">
      <c r="A1185" s="103" t="s">
        <v>1249</v>
      </c>
      <c r="B1185" s="279" t="s">
        <v>2051</v>
      </c>
      <c r="C1185" s="279" t="s">
        <v>601</v>
      </c>
      <c r="D1185" s="279">
        <v>110</v>
      </c>
      <c r="E1185" s="279" t="s">
        <v>2309</v>
      </c>
      <c r="F1185" s="280" t="s">
        <v>2310</v>
      </c>
      <c r="G1185" s="279" t="s">
        <v>2953</v>
      </c>
      <c r="H1185" s="279">
        <v>135</v>
      </c>
      <c r="I1185" s="279" t="s">
        <v>609</v>
      </c>
      <c r="J1185" s="279" t="s">
        <v>683</v>
      </c>
      <c r="K1185" s="279">
        <v>0</v>
      </c>
      <c r="L1185" s="279">
        <v>22</v>
      </c>
      <c r="M1185" s="279" t="s">
        <v>2313</v>
      </c>
      <c r="N1185" s="279" t="s">
        <v>2314</v>
      </c>
      <c r="O1185" s="279" t="s">
        <v>2315</v>
      </c>
      <c r="P1185" s="283">
        <v>1040</v>
      </c>
      <c r="Q1185" s="279" t="s">
        <v>3225</v>
      </c>
      <c r="R1185" s="279" t="s">
        <v>610</v>
      </c>
      <c r="S1185" s="279" t="s">
        <v>677</v>
      </c>
      <c r="T1185" s="279">
        <v>50</v>
      </c>
      <c r="U1185" s="267"/>
      <c r="V1185" s="267">
        <v>4</v>
      </c>
      <c r="W1185" s="224">
        <v>4</v>
      </c>
      <c r="X1185" s="267"/>
      <c r="Y1185" s="267"/>
      <c r="Z1185" s="267"/>
      <c r="AA1185" s="267">
        <v>7</v>
      </c>
      <c r="AB1185" s="224">
        <v>7</v>
      </c>
      <c r="AC1185" s="267"/>
      <c r="AD1185" s="267"/>
      <c r="AE1185" s="267"/>
      <c r="AF1185" s="267">
        <v>7</v>
      </c>
      <c r="AG1185" s="224">
        <v>7</v>
      </c>
      <c r="AH1185" s="267"/>
      <c r="AI1185" s="267"/>
      <c r="AJ1185" s="267"/>
      <c r="AK1185" s="267">
        <v>7</v>
      </c>
      <c r="AL1185" s="224">
        <v>7</v>
      </c>
      <c r="AM1185" s="104">
        <v>25</v>
      </c>
      <c r="AN1185" s="103" t="s">
        <v>685</v>
      </c>
      <c r="AO1185" s="103" t="s">
        <v>1212</v>
      </c>
      <c r="AP1185" s="103" t="s">
        <v>1229</v>
      </c>
      <c r="AQ1185" s="108" t="s">
        <v>1207</v>
      </c>
      <c r="AR1185" s="108" t="s">
        <v>951</v>
      </c>
      <c r="AS1185" s="271"/>
      <c r="AT1185" s="271"/>
      <c r="AU1185" s="271"/>
      <c r="AV1185" s="271"/>
      <c r="AW1185" s="271">
        <v>4884771</v>
      </c>
      <c r="AX1185" s="271"/>
      <c r="AY1185" s="271"/>
      <c r="AZ1185" s="271"/>
      <c r="BA1185" s="271"/>
      <c r="BB1185" s="271"/>
      <c r="BC1185" s="271"/>
      <c r="BD1185" s="271"/>
      <c r="BE1185" s="271"/>
      <c r="BF1185" s="271"/>
      <c r="BG1185" s="271"/>
      <c r="BH1185" s="235">
        <f t="shared" si="595"/>
        <v>4884771</v>
      </c>
      <c r="BI1185" s="271"/>
      <c r="BJ1185" s="271"/>
      <c r="BK1185" s="271"/>
      <c r="BL1185" s="271"/>
      <c r="BM1185" s="271">
        <v>23665778</v>
      </c>
      <c r="BN1185" s="271"/>
      <c r="BO1185" s="271"/>
      <c r="BP1185" s="271"/>
      <c r="BQ1185" s="271"/>
      <c r="BR1185" s="271"/>
      <c r="BS1185" s="271"/>
      <c r="BT1185" s="271"/>
      <c r="BU1185" s="271"/>
      <c r="BV1185" s="271"/>
      <c r="BW1185" s="271"/>
      <c r="BX1185" s="235">
        <f t="shared" si="596"/>
        <v>23665778</v>
      </c>
      <c r="BY1185" s="271"/>
      <c r="BZ1185" s="271"/>
      <c r="CA1185" s="271"/>
      <c r="CB1185" s="271"/>
      <c r="CC1185" s="271">
        <v>28749000</v>
      </c>
      <c r="CD1185" s="271"/>
      <c r="CE1185" s="271"/>
      <c r="CF1185" s="271"/>
      <c r="CG1185" s="271"/>
      <c r="CH1185" s="271"/>
      <c r="CI1185" s="271"/>
      <c r="CJ1185" s="271"/>
      <c r="CK1185" s="271"/>
      <c r="CL1185" s="271"/>
      <c r="CM1185" s="271"/>
      <c r="CN1185" s="235">
        <f t="shared" si="597"/>
        <v>28749000</v>
      </c>
      <c r="CO1185" s="271"/>
      <c r="CP1185" s="271"/>
      <c r="CQ1185" s="271"/>
      <c r="CR1185" s="271"/>
      <c r="CS1185" s="271">
        <v>35406000</v>
      </c>
      <c r="CT1185" s="271"/>
      <c r="CU1185" s="271"/>
      <c r="CV1185" s="271"/>
      <c r="CW1185" s="271"/>
      <c r="CX1185" s="271"/>
      <c r="CY1185" s="271"/>
      <c r="CZ1185" s="271"/>
      <c r="DA1185" s="271"/>
      <c r="DB1185" s="271"/>
      <c r="DC1185" s="271"/>
      <c r="DD1185" s="234">
        <f t="shared" si="598"/>
        <v>35406000</v>
      </c>
      <c r="DE1185" s="244">
        <f t="shared" si="599"/>
        <v>92705549</v>
      </c>
    </row>
    <row r="1186" spans="1:110" s="98" customFormat="1" ht="119.1" customHeight="1">
      <c r="A1186" s="103" t="s">
        <v>1249</v>
      </c>
      <c r="B1186" s="279" t="s">
        <v>2051</v>
      </c>
      <c r="C1186" s="279" t="s">
        <v>601</v>
      </c>
      <c r="D1186" s="279">
        <v>110</v>
      </c>
      <c r="E1186" s="279" t="s">
        <v>2309</v>
      </c>
      <c r="F1186" s="280" t="s">
        <v>2310</v>
      </c>
      <c r="G1186" s="279" t="s">
        <v>2953</v>
      </c>
      <c r="H1186" s="279">
        <v>135</v>
      </c>
      <c r="I1186" s="279" t="s">
        <v>609</v>
      </c>
      <c r="J1186" s="279" t="s">
        <v>683</v>
      </c>
      <c r="K1186" s="279">
        <v>0</v>
      </c>
      <c r="L1186" s="279">
        <v>22</v>
      </c>
      <c r="M1186" s="279" t="s">
        <v>2313</v>
      </c>
      <c r="N1186" s="279" t="s">
        <v>2314</v>
      </c>
      <c r="O1186" s="279" t="s">
        <v>2315</v>
      </c>
      <c r="P1186" s="283">
        <v>1041</v>
      </c>
      <c r="Q1186" s="279" t="s">
        <v>3226</v>
      </c>
      <c r="R1186" s="279" t="s">
        <v>2317</v>
      </c>
      <c r="S1186" s="279" t="s">
        <v>683</v>
      </c>
      <c r="T1186" s="279">
        <v>0</v>
      </c>
      <c r="U1186" s="267"/>
      <c r="V1186" s="267"/>
      <c r="W1186" s="224">
        <v>0</v>
      </c>
      <c r="X1186" s="267"/>
      <c r="Y1186" s="267"/>
      <c r="Z1186" s="267"/>
      <c r="AA1186" s="267">
        <v>1</v>
      </c>
      <c r="AB1186" s="224">
        <v>1</v>
      </c>
      <c r="AC1186" s="267"/>
      <c r="AD1186" s="267"/>
      <c r="AE1186" s="267"/>
      <c r="AF1186" s="267"/>
      <c r="AG1186" s="224">
        <v>0</v>
      </c>
      <c r="AH1186" s="267"/>
      <c r="AI1186" s="267"/>
      <c r="AJ1186" s="267"/>
      <c r="AK1186" s="267"/>
      <c r="AL1186" s="224">
        <v>0</v>
      </c>
      <c r="AM1186" s="104">
        <v>1</v>
      </c>
      <c r="AN1186" s="103" t="s">
        <v>685</v>
      </c>
      <c r="AO1186" s="103" t="s">
        <v>1212</v>
      </c>
      <c r="AP1186" s="103" t="s">
        <v>1229</v>
      </c>
      <c r="AQ1186" s="108" t="s">
        <v>1207</v>
      </c>
      <c r="AR1186" s="108" t="s">
        <v>951</v>
      </c>
      <c r="AS1186" s="271"/>
      <c r="AT1186" s="271"/>
      <c r="AU1186" s="271"/>
      <c r="AV1186" s="271"/>
      <c r="AW1186" s="271"/>
      <c r="AX1186" s="271"/>
      <c r="AY1186" s="271"/>
      <c r="AZ1186" s="271"/>
      <c r="BA1186" s="271"/>
      <c r="BB1186" s="271"/>
      <c r="BC1186" s="271"/>
      <c r="BD1186" s="271"/>
      <c r="BE1186" s="271"/>
      <c r="BF1186" s="271"/>
      <c r="BG1186" s="271"/>
      <c r="BH1186" s="235">
        <f t="shared" si="595"/>
        <v>0</v>
      </c>
      <c r="BI1186" s="271"/>
      <c r="BJ1186" s="271"/>
      <c r="BK1186" s="271"/>
      <c r="BL1186" s="271"/>
      <c r="BM1186" s="271">
        <v>23665778</v>
      </c>
      <c r="BN1186" s="271"/>
      <c r="BO1186" s="271"/>
      <c r="BP1186" s="271"/>
      <c r="BQ1186" s="271"/>
      <c r="BR1186" s="271"/>
      <c r="BS1186" s="271"/>
      <c r="BT1186" s="271"/>
      <c r="BU1186" s="271"/>
      <c r="BV1186" s="271"/>
      <c r="BW1186" s="271"/>
      <c r="BX1186" s="235">
        <f t="shared" si="596"/>
        <v>23665778</v>
      </c>
      <c r="BY1186" s="271"/>
      <c r="BZ1186" s="271"/>
      <c r="CA1186" s="271"/>
      <c r="CB1186" s="271"/>
      <c r="CC1186" s="271"/>
      <c r="CD1186" s="271"/>
      <c r="CE1186" s="271"/>
      <c r="CF1186" s="271"/>
      <c r="CG1186" s="271"/>
      <c r="CH1186" s="271"/>
      <c r="CI1186" s="271"/>
      <c r="CJ1186" s="271"/>
      <c r="CK1186" s="271"/>
      <c r="CL1186" s="271"/>
      <c r="CM1186" s="271"/>
      <c r="CN1186" s="235">
        <f t="shared" si="597"/>
        <v>0</v>
      </c>
      <c r="CO1186" s="271"/>
      <c r="CP1186" s="271"/>
      <c r="CQ1186" s="271"/>
      <c r="CR1186" s="271"/>
      <c r="CS1186" s="271"/>
      <c r="CT1186" s="271"/>
      <c r="CU1186" s="271"/>
      <c r="CV1186" s="271"/>
      <c r="CW1186" s="271"/>
      <c r="CX1186" s="271"/>
      <c r="CY1186" s="271"/>
      <c r="CZ1186" s="271"/>
      <c r="DA1186" s="271"/>
      <c r="DB1186" s="271"/>
      <c r="DC1186" s="271"/>
      <c r="DD1186" s="234">
        <f t="shared" si="598"/>
        <v>0</v>
      </c>
      <c r="DE1186" s="244">
        <f t="shared" si="599"/>
        <v>23665778</v>
      </c>
    </row>
    <row r="1187" spans="1:110" s="98" customFormat="1" ht="119.1" customHeight="1">
      <c r="A1187" s="120" t="s">
        <v>1249</v>
      </c>
      <c r="B1187" s="281" t="s">
        <v>2051</v>
      </c>
      <c r="C1187" s="281" t="s">
        <v>601</v>
      </c>
      <c r="D1187" s="281">
        <v>110</v>
      </c>
      <c r="E1187" s="281" t="s">
        <v>2309</v>
      </c>
      <c r="F1187" s="282" t="s">
        <v>2310</v>
      </c>
      <c r="G1187" s="281" t="s">
        <v>2953</v>
      </c>
      <c r="H1187" s="281">
        <v>135</v>
      </c>
      <c r="I1187" s="281" t="s">
        <v>609</v>
      </c>
      <c r="J1187" s="281" t="s">
        <v>683</v>
      </c>
      <c r="K1187" s="281">
        <v>0</v>
      </c>
      <c r="L1187" s="281">
        <v>22</v>
      </c>
      <c r="M1187" s="281" t="s">
        <v>2313</v>
      </c>
      <c r="N1187" s="281" t="s">
        <v>2314</v>
      </c>
      <c r="O1187" s="281" t="s">
        <v>2315</v>
      </c>
      <c r="P1187" s="283">
        <v>1042</v>
      </c>
      <c r="Q1187" s="281" t="s">
        <v>3267</v>
      </c>
      <c r="R1187" s="281" t="s">
        <v>611</v>
      </c>
      <c r="S1187" s="281" t="s">
        <v>677</v>
      </c>
      <c r="T1187" s="281">
        <v>10</v>
      </c>
      <c r="U1187" s="275"/>
      <c r="V1187" s="275"/>
      <c r="W1187" s="225">
        <v>0</v>
      </c>
      <c r="X1187" s="275"/>
      <c r="Y1187" s="275"/>
      <c r="Z1187" s="275"/>
      <c r="AA1187" s="275">
        <v>15</v>
      </c>
      <c r="AB1187" s="225">
        <v>15</v>
      </c>
      <c r="AC1187" s="275"/>
      <c r="AD1187" s="275"/>
      <c r="AE1187" s="275"/>
      <c r="AF1187" s="275">
        <v>15</v>
      </c>
      <c r="AG1187" s="225">
        <v>15</v>
      </c>
      <c r="AH1187" s="275"/>
      <c r="AI1187" s="275"/>
      <c r="AJ1187" s="275"/>
      <c r="AK1187" s="275">
        <v>15</v>
      </c>
      <c r="AL1187" s="225">
        <v>15</v>
      </c>
      <c r="AM1187" s="119">
        <v>45</v>
      </c>
      <c r="AN1187" s="120" t="s">
        <v>685</v>
      </c>
      <c r="AO1187" s="120" t="s">
        <v>1212</v>
      </c>
      <c r="AP1187" s="120" t="s">
        <v>1229</v>
      </c>
      <c r="AQ1187" s="122" t="s">
        <v>1207</v>
      </c>
      <c r="AR1187" s="122" t="s">
        <v>951</v>
      </c>
      <c r="AS1187" s="276"/>
      <c r="AT1187" s="276"/>
      <c r="AU1187" s="276"/>
      <c r="AV1187" s="276"/>
      <c r="AW1187" s="276"/>
      <c r="AX1187" s="276"/>
      <c r="AY1187" s="276"/>
      <c r="AZ1187" s="276"/>
      <c r="BA1187" s="276"/>
      <c r="BB1187" s="276"/>
      <c r="BC1187" s="276"/>
      <c r="BD1187" s="276"/>
      <c r="BE1187" s="276"/>
      <c r="BF1187" s="276"/>
      <c r="BG1187" s="276"/>
      <c r="BH1187" s="236">
        <f t="shared" si="595"/>
        <v>0</v>
      </c>
      <c r="BI1187" s="276"/>
      <c r="BJ1187" s="276"/>
      <c r="BK1187" s="276"/>
      <c r="BL1187" s="276"/>
      <c r="BM1187" s="276">
        <v>23665776</v>
      </c>
      <c r="BN1187" s="276"/>
      <c r="BO1187" s="276"/>
      <c r="BP1187" s="276"/>
      <c r="BQ1187" s="276"/>
      <c r="BR1187" s="276"/>
      <c r="BS1187" s="276"/>
      <c r="BT1187" s="276"/>
      <c r="BU1187" s="276"/>
      <c r="BV1187" s="276"/>
      <c r="BW1187" s="276"/>
      <c r="BX1187" s="236">
        <f t="shared" si="596"/>
        <v>23665776</v>
      </c>
      <c r="BY1187" s="276"/>
      <c r="BZ1187" s="276"/>
      <c r="CA1187" s="276"/>
      <c r="CB1187" s="276"/>
      <c r="CC1187" s="276">
        <v>28749000</v>
      </c>
      <c r="CD1187" s="276"/>
      <c r="CE1187" s="276"/>
      <c r="CF1187" s="276"/>
      <c r="CG1187" s="276"/>
      <c r="CH1187" s="276"/>
      <c r="CI1187" s="276"/>
      <c r="CJ1187" s="276"/>
      <c r="CK1187" s="276"/>
      <c r="CL1187" s="276"/>
      <c r="CM1187" s="276"/>
      <c r="CN1187" s="236">
        <f t="shared" si="597"/>
        <v>28749000</v>
      </c>
      <c r="CO1187" s="276"/>
      <c r="CP1187" s="276"/>
      <c r="CQ1187" s="276"/>
      <c r="CR1187" s="276"/>
      <c r="CS1187" s="276">
        <v>35406000</v>
      </c>
      <c r="CT1187" s="276"/>
      <c r="CU1187" s="276"/>
      <c r="CV1187" s="276"/>
      <c r="CW1187" s="276"/>
      <c r="CX1187" s="276"/>
      <c r="CY1187" s="276"/>
      <c r="CZ1187" s="276"/>
      <c r="DA1187" s="276"/>
      <c r="DB1187" s="276"/>
      <c r="DC1187" s="276"/>
      <c r="DD1187" s="240">
        <f t="shared" si="598"/>
        <v>35406000</v>
      </c>
      <c r="DE1187" s="245">
        <f t="shared" si="599"/>
        <v>87820776</v>
      </c>
    </row>
    <row r="1188" spans="1:110" ht="65.099999999999994" customHeight="1">
      <c r="A1188" s="134" t="s">
        <v>1249</v>
      </c>
      <c r="B1188" s="134" t="s">
        <v>2051</v>
      </c>
      <c r="C1188" s="134" t="s">
        <v>601</v>
      </c>
      <c r="D1188" s="134">
        <v>110</v>
      </c>
      <c r="E1188" s="134" t="s">
        <v>2309</v>
      </c>
      <c r="F1188" s="135"/>
      <c r="G1188" s="136"/>
      <c r="H1188" s="137"/>
      <c r="I1188" s="137"/>
      <c r="J1188" s="137"/>
      <c r="K1188" s="138"/>
      <c r="L1188" s="137"/>
      <c r="M1188" s="137"/>
      <c r="N1188" s="137"/>
      <c r="O1188" s="137"/>
      <c r="P1188" s="137"/>
      <c r="Q1188" s="136"/>
      <c r="R1188" s="139"/>
      <c r="S1188" s="137"/>
      <c r="T1188" s="137"/>
      <c r="U1188" s="140"/>
      <c r="V1188" s="140"/>
      <c r="W1188" s="138"/>
      <c r="X1188" s="140"/>
      <c r="Y1188" s="140"/>
      <c r="Z1188" s="140"/>
      <c r="AA1188" s="140"/>
      <c r="AB1188" s="138"/>
      <c r="AC1188" s="140"/>
      <c r="AD1188" s="140"/>
      <c r="AE1188" s="140"/>
      <c r="AF1188" s="140"/>
      <c r="AG1188" s="138"/>
      <c r="AH1188" s="140"/>
      <c r="AI1188" s="140"/>
      <c r="AJ1188" s="140"/>
      <c r="AK1188" s="140"/>
      <c r="AL1188" s="138"/>
      <c r="AM1188" s="141"/>
      <c r="AN1188" s="142"/>
      <c r="AO1188" s="142"/>
      <c r="AP1188" s="143"/>
      <c r="AQ1188" s="143"/>
      <c r="AR1188" s="144"/>
      <c r="AS1188" s="132">
        <f t="shared" ref="AS1188:BG1188" si="600">SUM(AS1179:AS1187)</f>
        <v>0</v>
      </c>
      <c r="AT1188" s="132">
        <f t="shared" si="600"/>
        <v>0</v>
      </c>
      <c r="AU1188" s="132">
        <f t="shared" si="600"/>
        <v>0</v>
      </c>
      <c r="AV1188" s="132">
        <f t="shared" si="600"/>
        <v>0</v>
      </c>
      <c r="AW1188" s="132">
        <f t="shared" si="600"/>
        <v>34193400</v>
      </c>
      <c r="AX1188" s="132">
        <f t="shared" si="600"/>
        <v>0</v>
      </c>
      <c r="AY1188" s="132">
        <f t="shared" si="600"/>
        <v>0</v>
      </c>
      <c r="AZ1188" s="132">
        <f t="shared" si="600"/>
        <v>0</v>
      </c>
      <c r="BA1188" s="132">
        <f t="shared" si="600"/>
        <v>0</v>
      </c>
      <c r="BB1188" s="132">
        <f t="shared" si="600"/>
        <v>0</v>
      </c>
      <c r="BC1188" s="132">
        <f t="shared" si="600"/>
        <v>0</v>
      </c>
      <c r="BD1188" s="132">
        <f t="shared" si="600"/>
        <v>0</v>
      </c>
      <c r="BE1188" s="132">
        <f t="shared" si="600"/>
        <v>0</v>
      </c>
      <c r="BF1188" s="132">
        <f t="shared" si="600"/>
        <v>0</v>
      </c>
      <c r="BG1188" s="132">
        <f t="shared" si="600"/>
        <v>0</v>
      </c>
      <c r="BH1188" s="133">
        <f>IF(OR(AND(BH1179=0,W1179&lt;&gt;0),AND(BH1180=0,W1180&lt;&gt;0),AND(BH1181=0,W1181&lt;&gt;0),AND(BH1182=0,W1182&lt;&gt;0),AND(BH1183=0,W1183&lt;&gt;0),AND(BH1184=0,W1184&lt;&gt;0),AND(BH1185=0,W1185&lt;&gt;0),AND(BH1186=0,W1186&lt;&gt;0),AND(BH1187=0,W1187&lt;&gt;0)),"NO DEBEN QUEDAR CELDAS EN ROJO",SUM(BH1179:BH1187))</f>
        <v>34193400</v>
      </c>
      <c r="BI1188" s="132">
        <f t="shared" ref="BI1188:BW1188" si="601">SUM(BI1179:BI1187)</f>
        <v>0</v>
      </c>
      <c r="BJ1188" s="132">
        <f t="shared" si="601"/>
        <v>0</v>
      </c>
      <c r="BK1188" s="132">
        <f t="shared" si="601"/>
        <v>0</v>
      </c>
      <c r="BL1188" s="132">
        <f t="shared" si="601"/>
        <v>0</v>
      </c>
      <c r="BM1188" s="132">
        <f t="shared" si="601"/>
        <v>212992000</v>
      </c>
      <c r="BN1188" s="132">
        <f t="shared" si="601"/>
        <v>0</v>
      </c>
      <c r="BO1188" s="132">
        <f t="shared" si="601"/>
        <v>0</v>
      </c>
      <c r="BP1188" s="132">
        <f t="shared" si="601"/>
        <v>0</v>
      </c>
      <c r="BQ1188" s="132">
        <f t="shared" si="601"/>
        <v>0</v>
      </c>
      <c r="BR1188" s="132">
        <f t="shared" si="601"/>
        <v>0</v>
      </c>
      <c r="BS1188" s="132">
        <f t="shared" si="601"/>
        <v>0</v>
      </c>
      <c r="BT1188" s="132">
        <f t="shared" si="601"/>
        <v>0</v>
      </c>
      <c r="BU1188" s="132">
        <f t="shared" si="601"/>
        <v>0</v>
      </c>
      <c r="BV1188" s="132">
        <f t="shared" si="601"/>
        <v>0</v>
      </c>
      <c r="BW1188" s="132">
        <f t="shared" si="601"/>
        <v>0</v>
      </c>
      <c r="BX1188" s="133">
        <f>IF(OR(AND(BX1179=0,AB1179&lt;&gt;0),AND(BX1180=0,AB1180&lt;&gt;0),AND(BX1181=0,AB1181&lt;&gt;0),AND(BX1182=0,AB1182&lt;&gt;0),AND(BX1183=0,AB1183&lt;&gt;0),AND(BX1184=0,AB1184&lt;&gt;0),AND(BX1185=0,AB1185&lt;&gt;0),AND(BX1186=0,AB1186&lt;&gt;0),AND(BX1187=0,AB1187&lt;&gt;0)),"NO DEBEN QUEDAR CELDAS EN ROJO",SUM(BX1179:BX1187))</f>
        <v>212992000</v>
      </c>
      <c r="BY1188" s="132">
        <f t="shared" ref="BY1188:CM1188" si="602">SUM(BY1179:BY1187)</f>
        <v>0</v>
      </c>
      <c r="BZ1188" s="132">
        <f t="shared" si="602"/>
        <v>0</v>
      </c>
      <c r="CA1188" s="132">
        <f t="shared" si="602"/>
        <v>0</v>
      </c>
      <c r="CB1188" s="132">
        <f t="shared" si="602"/>
        <v>0</v>
      </c>
      <c r="CC1188" s="132">
        <f t="shared" si="602"/>
        <v>229992000</v>
      </c>
      <c r="CD1188" s="132">
        <f t="shared" si="602"/>
        <v>0</v>
      </c>
      <c r="CE1188" s="132">
        <f t="shared" si="602"/>
        <v>0</v>
      </c>
      <c r="CF1188" s="132">
        <f t="shared" si="602"/>
        <v>0</v>
      </c>
      <c r="CG1188" s="132">
        <f t="shared" si="602"/>
        <v>0</v>
      </c>
      <c r="CH1188" s="132">
        <f t="shared" si="602"/>
        <v>0</v>
      </c>
      <c r="CI1188" s="132">
        <f t="shared" si="602"/>
        <v>0</v>
      </c>
      <c r="CJ1188" s="132">
        <f t="shared" si="602"/>
        <v>0</v>
      </c>
      <c r="CK1188" s="132">
        <f t="shared" si="602"/>
        <v>0</v>
      </c>
      <c r="CL1188" s="132">
        <f t="shared" si="602"/>
        <v>0</v>
      </c>
      <c r="CM1188" s="132">
        <f t="shared" si="602"/>
        <v>0</v>
      </c>
      <c r="CN1188" s="133">
        <f>IF(OR(AND(CN1179=0,AG1179&lt;&gt;0),AND(CN1180=0,AG1180&lt;&gt;0),AND(CN1181=0,AG1181&lt;&gt;0),AND(CN1182=0,AG1182&lt;&gt;0),AND(CN1183=0,AG1183&lt;&gt;0),AND(CN1184=0,AG1184&lt;&gt;0),AND(CN1185=0,AG1185&lt;&gt;0),AND(CN1186=0,AG1186&lt;&gt;0),AND(CN1187=0,AG1187&lt;&gt;0)),"NO DEBEN QUEDAR CELDAS EN ROJO",SUM(CN1179:CN1187))</f>
        <v>229992000</v>
      </c>
      <c r="CO1188" s="132">
        <f t="shared" ref="CO1188:DC1188" si="603">SUM(CO1179:CO1187)</f>
        <v>0</v>
      </c>
      <c r="CP1188" s="132">
        <f t="shared" si="603"/>
        <v>0</v>
      </c>
      <c r="CQ1188" s="132">
        <f t="shared" si="603"/>
        <v>0</v>
      </c>
      <c r="CR1188" s="132">
        <f t="shared" si="603"/>
        <v>0</v>
      </c>
      <c r="CS1188" s="132">
        <f t="shared" si="603"/>
        <v>247842000</v>
      </c>
      <c r="CT1188" s="132">
        <f t="shared" si="603"/>
        <v>0</v>
      </c>
      <c r="CU1188" s="132">
        <f t="shared" si="603"/>
        <v>0</v>
      </c>
      <c r="CV1188" s="132">
        <f t="shared" si="603"/>
        <v>0</v>
      </c>
      <c r="CW1188" s="132">
        <f t="shared" si="603"/>
        <v>0</v>
      </c>
      <c r="CX1188" s="132">
        <f t="shared" si="603"/>
        <v>0</v>
      </c>
      <c r="CY1188" s="132">
        <f t="shared" si="603"/>
        <v>0</v>
      </c>
      <c r="CZ1188" s="132">
        <f t="shared" si="603"/>
        <v>0</v>
      </c>
      <c r="DA1188" s="132">
        <f t="shared" si="603"/>
        <v>0</v>
      </c>
      <c r="DB1188" s="132">
        <f t="shared" si="603"/>
        <v>0</v>
      </c>
      <c r="DC1188" s="132">
        <f t="shared" si="603"/>
        <v>0</v>
      </c>
      <c r="DD1188" s="133">
        <f>IF(OR(AND(DD1179=0,AL1179&lt;&gt;0),AND(DD1180=0,AL1180&lt;&gt;0),AND(DD1181=0,AL1181&lt;&gt;0),AND(DD1182=0,AL1182&lt;&gt;0),AND(DD1183=0,AL1183&lt;&gt;0),AND(DD1184=0,AL1184&lt;&gt;0),AND(DD1185=0,AL1185&lt;&gt;0),AND(DD1186=0,AL1186&lt;&gt;0),AND(DD1187=0,AL1187&lt;&gt;0)),"NO DEBEN QUEDAR CELDAS EN ROJO",SUM(DD1179:DD1187))</f>
        <v>247842000</v>
      </c>
      <c r="DE1188" s="133">
        <f>SUM(DE1179:DE1187)</f>
        <v>725019400</v>
      </c>
      <c r="DF1188" s="101"/>
    </row>
    <row r="1189" spans="1:110" s="98" customFormat="1" ht="119.1" customHeight="1">
      <c r="A1189" s="120" t="s">
        <v>1249</v>
      </c>
      <c r="B1189" s="120" t="s">
        <v>2051</v>
      </c>
      <c r="C1189" s="120" t="s">
        <v>601</v>
      </c>
      <c r="D1189" s="120">
        <v>111</v>
      </c>
      <c r="E1189" s="120" t="s">
        <v>2318</v>
      </c>
      <c r="F1189" s="319" t="s">
        <v>2319</v>
      </c>
      <c r="G1189" s="120" t="s">
        <v>2954</v>
      </c>
      <c r="H1189" s="120">
        <v>136</v>
      </c>
      <c r="I1189" s="120" t="s">
        <v>2320</v>
      </c>
      <c r="J1189" s="120" t="s">
        <v>683</v>
      </c>
      <c r="K1189" s="120">
        <v>0</v>
      </c>
      <c r="L1189" s="120">
        <v>1</v>
      </c>
      <c r="M1189" s="120" t="s">
        <v>2321</v>
      </c>
      <c r="N1189" s="120" t="s">
        <v>2322</v>
      </c>
      <c r="O1189" s="120" t="s">
        <v>2323</v>
      </c>
      <c r="P1189" s="284">
        <v>1043</v>
      </c>
      <c r="Q1189" s="120" t="s">
        <v>3268</v>
      </c>
      <c r="R1189" s="120" t="s">
        <v>2324</v>
      </c>
      <c r="S1189" s="120" t="s">
        <v>683</v>
      </c>
      <c r="T1189" s="120">
        <v>0</v>
      </c>
      <c r="U1189" s="275"/>
      <c r="V1189" s="275">
        <v>0.1</v>
      </c>
      <c r="W1189" s="225">
        <v>0.1</v>
      </c>
      <c r="X1189" s="275">
        <v>0.3</v>
      </c>
      <c r="Y1189" s="275"/>
      <c r="Z1189" s="275"/>
      <c r="AA1189" s="275"/>
      <c r="AB1189" s="225">
        <v>0.3</v>
      </c>
      <c r="AC1189" s="275">
        <v>0.3</v>
      </c>
      <c r="AD1189" s="275"/>
      <c r="AE1189" s="275"/>
      <c r="AF1189" s="275"/>
      <c r="AG1189" s="225">
        <v>0.3</v>
      </c>
      <c r="AH1189" s="275">
        <v>0.3</v>
      </c>
      <c r="AI1189" s="275"/>
      <c r="AJ1189" s="275"/>
      <c r="AK1189" s="275"/>
      <c r="AL1189" s="225">
        <v>0.3</v>
      </c>
      <c r="AM1189" s="128">
        <v>1</v>
      </c>
      <c r="AN1189" s="120" t="s">
        <v>685</v>
      </c>
      <c r="AO1189" s="120" t="s">
        <v>617</v>
      </c>
      <c r="AP1189" s="120" t="s">
        <v>1230</v>
      </c>
      <c r="AQ1189" s="120" t="s">
        <v>1202</v>
      </c>
      <c r="AR1189" s="120" t="s">
        <v>952</v>
      </c>
      <c r="AS1189" s="320"/>
      <c r="AT1189" s="320"/>
      <c r="AU1189" s="320"/>
      <c r="AV1189" s="320"/>
      <c r="AW1189" s="320">
        <v>11332000</v>
      </c>
      <c r="AX1189" s="320"/>
      <c r="AY1189" s="320"/>
      <c r="AZ1189" s="320"/>
      <c r="BA1189" s="320"/>
      <c r="BB1189" s="320"/>
      <c r="BC1189" s="320"/>
      <c r="BD1189" s="320"/>
      <c r="BE1189" s="320"/>
      <c r="BF1189" s="320"/>
      <c r="BG1189" s="320"/>
      <c r="BH1189" s="240">
        <f>IF(W1189=0,0,BG1189+BF1189+BE1189+BD1189+BC1189+BB1189+BA1189+AZ1189+AY1189+AX1189+AW1189+AV1189+AU1189+AT1189+AS1189)</f>
        <v>11332000</v>
      </c>
      <c r="BI1189" s="320"/>
      <c r="BJ1189" s="320"/>
      <c r="BK1189" s="320"/>
      <c r="BL1189" s="320"/>
      <c r="BM1189" s="320">
        <v>28224000</v>
      </c>
      <c r="BN1189" s="320"/>
      <c r="BO1189" s="320"/>
      <c r="BP1189" s="320"/>
      <c r="BQ1189" s="320"/>
      <c r="BR1189" s="320"/>
      <c r="BS1189" s="320"/>
      <c r="BT1189" s="320"/>
      <c r="BU1189" s="320"/>
      <c r="BV1189" s="320"/>
      <c r="BW1189" s="320"/>
      <c r="BX1189" s="240">
        <f>IF(AB1189=0,0,BI1189+BJ1189+BK1189+BL1189+BM1189+BN1189+BO1189+BP1189+BQ1189+BR1189+BS1189+BT1189+BU1189+BV1189+BW1189)</f>
        <v>28224000</v>
      </c>
      <c r="BY1189" s="320"/>
      <c r="BZ1189" s="320"/>
      <c r="CA1189" s="320"/>
      <c r="CB1189" s="320"/>
      <c r="CC1189" s="320">
        <v>28224000</v>
      </c>
      <c r="CD1189" s="320"/>
      <c r="CE1189" s="320"/>
      <c r="CF1189" s="320"/>
      <c r="CG1189" s="320"/>
      <c r="CH1189" s="320"/>
      <c r="CI1189" s="320"/>
      <c r="CJ1189" s="320"/>
      <c r="CK1189" s="320"/>
      <c r="CL1189" s="320"/>
      <c r="CM1189" s="320"/>
      <c r="CN1189" s="240">
        <f>IF(AG1189=0,0,(BY1189+BZ1189+CA1189+CB1189+CC1189+CD1189+CE1189+CF1189+CG1189+CH1189+CI1189+CJ1189+CK1189+CL1189+CM1189))</f>
        <v>28224000</v>
      </c>
      <c r="CO1189" s="320"/>
      <c r="CP1189" s="320"/>
      <c r="CQ1189" s="320"/>
      <c r="CR1189" s="320"/>
      <c r="CS1189" s="320">
        <v>28224000</v>
      </c>
      <c r="CT1189" s="320"/>
      <c r="CU1189" s="320"/>
      <c r="CV1189" s="320"/>
      <c r="CW1189" s="320"/>
      <c r="CX1189" s="320"/>
      <c r="CY1189" s="320"/>
      <c r="CZ1189" s="320"/>
      <c r="DA1189" s="320"/>
      <c r="DB1189" s="320"/>
      <c r="DC1189" s="320"/>
      <c r="DD1189" s="240">
        <f>IF(AL1189=0,0,(CO1189+CP1189+CQ1189+CR1189+CS1189+CT1189+CU1189+CV1189+CW1189+CX1189+CY1189+CZ1189+DA1189+DB1189+DC1189))</f>
        <v>28224000</v>
      </c>
      <c r="DE1189" s="249">
        <f t="shared" ref="DE1189" si="604">SUM(DD1189+CN1189+BX1189+BH1189)</f>
        <v>96004000</v>
      </c>
    </row>
    <row r="1190" spans="1:110" ht="65.099999999999994" customHeight="1" thickBot="1">
      <c r="A1190" s="148"/>
      <c r="B1190" s="148" t="s">
        <v>2051</v>
      </c>
      <c r="C1190" s="148" t="s">
        <v>601</v>
      </c>
      <c r="D1190" s="148">
        <v>111</v>
      </c>
      <c r="E1190" s="148" t="s">
        <v>2318</v>
      </c>
      <c r="F1190" s="149"/>
      <c r="G1190" s="150"/>
      <c r="H1190" s="151"/>
      <c r="I1190" s="151"/>
      <c r="J1190" s="151"/>
      <c r="K1190" s="152"/>
      <c r="L1190" s="151"/>
      <c r="M1190" s="151"/>
      <c r="N1190" s="151"/>
      <c r="O1190" s="151"/>
      <c r="P1190" s="151"/>
      <c r="Q1190" s="150"/>
      <c r="R1190" s="153"/>
      <c r="S1190" s="151"/>
      <c r="T1190" s="151"/>
      <c r="U1190" s="154"/>
      <c r="V1190" s="154"/>
      <c r="W1190" s="152"/>
      <c r="X1190" s="154"/>
      <c r="Y1190" s="154"/>
      <c r="Z1190" s="154"/>
      <c r="AA1190" s="154"/>
      <c r="AB1190" s="152"/>
      <c r="AC1190" s="154"/>
      <c r="AD1190" s="154"/>
      <c r="AE1190" s="154"/>
      <c r="AF1190" s="154"/>
      <c r="AG1190" s="152"/>
      <c r="AH1190" s="154"/>
      <c r="AI1190" s="154"/>
      <c r="AJ1190" s="154"/>
      <c r="AK1190" s="154"/>
      <c r="AL1190" s="152"/>
      <c r="AM1190" s="155"/>
      <c r="AN1190" s="156"/>
      <c r="AO1190" s="156"/>
      <c r="AP1190" s="157"/>
      <c r="AQ1190" s="157"/>
      <c r="AR1190" s="158"/>
      <c r="AS1190" s="132">
        <f>AS1189</f>
        <v>0</v>
      </c>
      <c r="AT1190" s="132">
        <f t="shared" ref="AT1190:DE1190" si="605">AT1189</f>
        <v>0</v>
      </c>
      <c r="AU1190" s="132">
        <f t="shared" si="605"/>
        <v>0</v>
      </c>
      <c r="AV1190" s="132">
        <f t="shared" si="605"/>
        <v>0</v>
      </c>
      <c r="AW1190" s="132">
        <f t="shared" si="605"/>
        <v>11332000</v>
      </c>
      <c r="AX1190" s="132">
        <f t="shared" si="605"/>
        <v>0</v>
      </c>
      <c r="AY1190" s="132">
        <f t="shared" si="605"/>
        <v>0</v>
      </c>
      <c r="AZ1190" s="132">
        <f t="shared" si="605"/>
        <v>0</v>
      </c>
      <c r="BA1190" s="132">
        <f t="shared" si="605"/>
        <v>0</v>
      </c>
      <c r="BB1190" s="132">
        <f t="shared" si="605"/>
        <v>0</v>
      </c>
      <c r="BC1190" s="132">
        <f t="shared" si="605"/>
        <v>0</v>
      </c>
      <c r="BD1190" s="132">
        <f t="shared" si="605"/>
        <v>0</v>
      </c>
      <c r="BE1190" s="132">
        <f t="shared" si="605"/>
        <v>0</v>
      </c>
      <c r="BF1190" s="132">
        <f t="shared" si="605"/>
        <v>0</v>
      </c>
      <c r="BG1190" s="132">
        <f t="shared" si="605"/>
        <v>0</v>
      </c>
      <c r="BH1190" s="132">
        <f t="shared" si="605"/>
        <v>11332000</v>
      </c>
      <c r="BI1190" s="132">
        <f t="shared" si="605"/>
        <v>0</v>
      </c>
      <c r="BJ1190" s="132">
        <f t="shared" si="605"/>
        <v>0</v>
      </c>
      <c r="BK1190" s="132">
        <f t="shared" si="605"/>
        <v>0</v>
      </c>
      <c r="BL1190" s="132">
        <f t="shared" si="605"/>
        <v>0</v>
      </c>
      <c r="BM1190" s="132">
        <f t="shared" si="605"/>
        <v>28224000</v>
      </c>
      <c r="BN1190" s="132">
        <f t="shared" si="605"/>
        <v>0</v>
      </c>
      <c r="BO1190" s="132">
        <f t="shared" si="605"/>
        <v>0</v>
      </c>
      <c r="BP1190" s="132">
        <f t="shared" si="605"/>
        <v>0</v>
      </c>
      <c r="BQ1190" s="132">
        <f t="shared" si="605"/>
        <v>0</v>
      </c>
      <c r="BR1190" s="132">
        <f t="shared" si="605"/>
        <v>0</v>
      </c>
      <c r="BS1190" s="132">
        <f t="shared" si="605"/>
        <v>0</v>
      </c>
      <c r="BT1190" s="132">
        <f t="shared" si="605"/>
        <v>0</v>
      </c>
      <c r="BU1190" s="132">
        <f t="shared" si="605"/>
        <v>0</v>
      </c>
      <c r="BV1190" s="132">
        <f t="shared" si="605"/>
        <v>0</v>
      </c>
      <c r="BW1190" s="132">
        <f t="shared" si="605"/>
        <v>0</v>
      </c>
      <c r="BX1190" s="132">
        <f t="shared" si="605"/>
        <v>28224000</v>
      </c>
      <c r="BY1190" s="132">
        <f t="shared" si="605"/>
        <v>0</v>
      </c>
      <c r="BZ1190" s="132">
        <f t="shared" si="605"/>
        <v>0</v>
      </c>
      <c r="CA1190" s="132">
        <f t="shared" si="605"/>
        <v>0</v>
      </c>
      <c r="CB1190" s="132">
        <f t="shared" si="605"/>
        <v>0</v>
      </c>
      <c r="CC1190" s="132">
        <f t="shared" si="605"/>
        <v>28224000</v>
      </c>
      <c r="CD1190" s="132">
        <f t="shared" si="605"/>
        <v>0</v>
      </c>
      <c r="CE1190" s="132">
        <f t="shared" si="605"/>
        <v>0</v>
      </c>
      <c r="CF1190" s="132">
        <f t="shared" si="605"/>
        <v>0</v>
      </c>
      <c r="CG1190" s="132">
        <f t="shared" si="605"/>
        <v>0</v>
      </c>
      <c r="CH1190" s="132">
        <f t="shared" si="605"/>
        <v>0</v>
      </c>
      <c r="CI1190" s="132">
        <f t="shared" si="605"/>
        <v>0</v>
      </c>
      <c r="CJ1190" s="132">
        <f t="shared" si="605"/>
        <v>0</v>
      </c>
      <c r="CK1190" s="132">
        <f t="shared" si="605"/>
        <v>0</v>
      </c>
      <c r="CL1190" s="132">
        <f t="shared" si="605"/>
        <v>0</v>
      </c>
      <c r="CM1190" s="132">
        <f t="shared" si="605"/>
        <v>0</v>
      </c>
      <c r="CN1190" s="132">
        <f t="shared" si="605"/>
        <v>28224000</v>
      </c>
      <c r="CO1190" s="132">
        <f t="shared" si="605"/>
        <v>0</v>
      </c>
      <c r="CP1190" s="132">
        <f t="shared" si="605"/>
        <v>0</v>
      </c>
      <c r="CQ1190" s="132">
        <f t="shared" si="605"/>
        <v>0</v>
      </c>
      <c r="CR1190" s="132">
        <f t="shared" si="605"/>
        <v>0</v>
      </c>
      <c r="CS1190" s="132">
        <f t="shared" si="605"/>
        <v>28224000</v>
      </c>
      <c r="CT1190" s="132">
        <f t="shared" si="605"/>
        <v>0</v>
      </c>
      <c r="CU1190" s="132">
        <f t="shared" si="605"/>
        <v>0</v>
      </c>
      <c r="CV1190" s="132">
        <f t="shared" si="605"/>
        <v>0</v>
      </c>
      <c r="CW1190" s="132">
        <f t="shared" si="605"/>
        <v>0</v>
      </c>
      <c r="CX1190" s="132">
        <f t="shared" si="605"/>
        <v>0</v>
      </c>
      <c r="CY1190" s="132">
        <f t="shared" si="605"/>
        <v>0</v>
      </c>
      <c r="CZ1190" s="132">
        <f t="shared" si="605"/>
        <v>0</v>
      </c>
      <c r="DA1190" s="132">
        <f t="shared" si="605"/>
        <v>0</v>
      </c>
      <c r="DB1190" s="132">
        <f t="shared" si="605"/>
        <v>0</v>
      </c>
      <c r="DC1190" s="132">
        <f t="shared" si="605"/>
        <v>0</v>
      </c>
      <c r="DD1190" s="132">
        <f t="shared" si="605"/>
        <v>28224000</v>
      </c>
      <c r="DE1190" s="132">
        <f t="shared" si="605"/>
        <v>96004000</v>
      </c>
      <c r="DF1190" s="101"/>
    </row>
    <row r="1191" spans="1:110" s="117" customFormat="1" ht="55.05" customHeight="1" thickBot="1">
      <c r="A1191" s="230"/>
      <c r="B1191" s="231" t="s">
        <v>2051</v>
      </c>
      <c r="C1191" s="232" t="s">
        <v>601</v>
      </c>
      <c r="D1191" s="171"/>
      <c r="E1191" s="171"/>
      <c r="F1191" s="172"/>
      <c r="G1191" s="173"/>
      <c r="H1191" s="171"/>
      <c r="I1191" s="171"/>
      <c r="J1191" s="171"/>
      <c r="K1191" s="171"/>
      <c r="L1191" s="171"/>
      <c r="M1191" s="171"/>
      <c r="N1191" s="171"/>
      <c r="O1191" s="171"/>
      <c r="P1191" s="171"/>
      <c r="Q1191" s="173"/>
      <c r="R1191" s="174"/>
      <c r="S1191" s="171"/>
      <c r="T1191" s="171"/>
      <c r="U1191" s="175"/>
      <c r="V1191" s="175"/>
      <c r="W1191" s="176"/>
      <c r="X1191" s="175"/>
      <c r="Y1191" s="175"/>
      <c r="Z1191" s="175"/>
      <c r="AA1191" s="175"/>
      <c r="AB1191" s="176"/>
      <c r="AC1191" s="175"/>
      <c r="AD1191" s="175"/>
      <c r="AE1191" s="175"/>
      <c r="AF1191" s="175"/>
      <c r="AG1191" s="176"/>
      <c r="AH1191" s="175"/>
      <c r="AI1191" s="175"/>
      <c r="AJ1191" s="175"/>
      <c r="AK1191" s="175"/>
      <c r="AL1191" s="176"/>
      <c r="AM1191" s="177"/>
      <c r="AN1191" s="178"/>
      <c r="AO1191" s="178"/>
      <c r="AP1191" s="173"/>
      <c r="AQ1191" s="173"/>
      <c r="AR1191" s="179"/>
      <c r="AS1191" s="147">
        <f>SUM(AS1190+AS1188+AS1178)</f>
        <v>0</v>
      </c>
      <c r="AT1191" s="130">
        <f t="shared" ref="AT1191:DE1191" si="606">SUM(AT1190+AT1188+AT1178)</f>
        <v>0</v>
      </c>
      <c r="AU1191" s="130">
        <f t="shared" si="606"/>
        <v>0</v>
      </c>
      <c r="AV1191" s="130">
        <f t="shared" si="606"/>
        <v>0</v>
      </c>
      <c r="AW1191" s="130">
        <f t="shared" si="606"/>
        <v>144525400</v>
      </c>
      <c r="AX1191" s="130">
        <f t="shared" si="606"/>
        <v>0</v>
      </c>
      <c r="AY1191" s="130">
        <f t="shared" si="606"/>
        <v>0</v>
      </c>
      <c r="AZ1191" s="130">
        <f t="shared" si="606"/>
        <v>0</v>
      </c>
      <c r="BA1191" s="130">
        <f t="shared" si="606"/>
        <v>0</v>
      </c>
      <c r="BB1191" s="130">
        <f t="shared" si="606"/>
        <v>0</v>
      </c>
      <c r="BC1191" s="130">
        <f t="shared" si="606"/>
        <v>0</v>
      </c>
      <c r="BD1191" s="130">
        <f t="shared" si="606"/>
        <v>0</v>
      </c>
      <c r="BE1191" s="130">
        <f t="shared" si="606"/>
        <v>0</v>
      </c>
      <c r="BF1191" s="130">
        <f t="shared" si="606"/>
        <v>0</v>
      </c>
      <c r="BG1191" s="130">
        <f t="shared" si="606"/>
        <v>0</v>
      </c>
      <c r="BH1191" s="130">
        <f t="shared" si="606"/>
        <v>144525400</v>
      </c>
      <c r="BI1191" s="130">
        <f t="shared" si="606"/>
        <v>0</v>
      </c>
      <c r="BJ1191" s="130">
        <f t="shared" si="606"/>
        <v>0</v>
      </c>
      <c r="BK1191" s="130">
        <f t="shared" si="606"/>
        <v>0</v>
      </c>
      <c r="BL1191" s="130">
        <f t="shared" si="606"/>
        <v>0</v>
      </c>
      <c r="BM1191" s="130">
        <f t="shared" si="606"/>
        <v>343216000</v>
      </c>
      <c r="BN1191" s="130">
        <f t="shared" si="606"/>
        <v>0</v>
      </c>
      <c r="BO1191" s="130">
        <f t="shared" si="606"/>
        <v>0</v>
      </c>
      <c r="BP1191" s="130">
        <f t="shared" si="606"/>
        <v>0</v>
      </c>
      <c r="BQ1191" s="130">
        <f t="shared" si="606"/>
        <v>0</v>
      </c>
      <c r="BR1191" s="130">
        <f t="shared" si="606"/>
        <v>0</v>
      </c>
      <c r="BS1191" s="130">
        <f t="shared" si="606"/>
        <v>0</v>
      </c>
      <c r="BT1191" s="130">
        <f t="shared" si="606"/>
        <v>0</v>
      </c>
      <c r="BU1191" s="130">
        <f t="shared" si="606"/>
        <v>0</v>
      </c>
      <c r="BV1191" s="130">
        <f t="shared" si="606"/>
        <v>0</v>
      </c>
      <c r="BW1191" s="130">
        <f t="shared" si="606"/>
        <v>0</v>
      </c>
      <c r="BX1191" s="130">
        <f t="shared" si="606"/>
        <v>343216000</v>
      </c>
      <c r="BY1191" s="130">
        <f t="shared" si="606"/>
        <v>0</v>
      </c>
      <c r="BZ1191" s="130">
        <f t="shared" si="606"/>
        <v>0</v>
      </c>
      <c r="CA1191" s="130">
        <f t="shared" si="606"/>
        <v>0</v>
      </c>
      <c r="CB1191" s="130">
        <f t="shared" si="606"/>
        <v>0</v>
      </c>
      <c r="CC1191" s="130">
        <f t="shared" si="606"/>
        <v>363216000</v>
      </c>
      <c r="CD1191" s="130">
        <f t="shared" si="606"/>
        <v>0</v>
      </c>
      <c r="CE1191" s="130">
        <f t="shared" si="606"/>
        <v>0</v>
      </c>
      <c r="CF1191" s="130">
        <f t="shared" si="606"/>
        <v>0</v>
      </c>
      <c r="CG1191" s="130">
        <f t="shared" si="606"/>
        <v>0</v>
      </c>
      <c r="CH1191" s="130">
        <f t="shared" si="606"/>
        <v>0</v>
      </c>
      <c r="CI1191" s="130">
        <f t="shared" si="606"/>
        <v>0</v>
      </c>
      <c r="CJ1191" s="130">
        <f t="shared" si="606"/>
        <v>0</v>
      </c>
      <c r="CK1191" s="130">
        <f t="shared" si="606"/>
        <v>0</v>
      </c>
      <c r="CL1191" s="130">
        <f t="shared" si="606"/>
        <v>0</v>
      </c>
      <c r="CM1191" s="130">
        <f t="shared" si="606"/>
        <v>1000000000</v>
      </c>
      <c r="CN1191" s="130">
        <f t="shared" si="606"/>
        <v>1363216000</v>
      </c>
      <c r="CO1191" s="130">
        <f t="shared" si="606"/>
        <v>0</v>
      </c>
      <c r="CP1191" s="130">
        <f t="shared" si="606"/>
        <v>0</v>
      </c>
      <c r="CQ1191" s="130">
        <f t="shared" si="606"/>
        <v>0</v>
      </c>
      <c r="CR1191" s="130">
        <f t="shared" si="606"/>
        <v>0</v>
      </c>
      <c r="CS1191" s="130">
        <f t="shared" si="606"/>
        <v>385066000</v>
      </c>
      <c r="CT1191" s="130">
        <f t="shared" si="606"/>
        <v>0</v>
      </c>
      <c r="CU1191" s="130">
        <f t="shared" si="606"/>
        <v>0</v>
      </c>
      <c r="CV1191" s="130">
        <f t="shared" si="606"/>
        <v>0</v>
      </c>
      <c r="CW1191" s="130">
        <f t="shared" si="606"/>
        <v>0</v>
      </c>
      <c r="CX1191" s="130">
        <f t="shared" si="606"/>
        <v>0</v>
      </c>
      <c r="CY1191" s="130">
        <f t="shared" si="606"/>
        <v>0</v>
      </c>
      <c r="CZ1191" s="130">
        <f t="shared" si="606"/>
        <v>0</v>
      </c>
      <c r="DA1191" s="130">
        <f t="shared" si="606"/>
        <v>0</v>
      </c>
      <c r="DB1191" s="130">
        <f t="shared" si="606"/>
        <v>0</v>
      </c>
      <c r="DC1191" s="130">
        <f t="shared" si="606"/>
        <v>0</v>
      </c>
      <c r="DD1191" s="130">
        <f t="shared" si="606"/>
        <v>385066000</v>
      </c>
      <c r="DE1191" s="130">
        <f t="shared" si="606"/>
        <v>2236023400</v>
      </c>
    </row>
    <row r="1192" spans="1:110" s="115" customFormat="1" ht="51" customHeight="1" thickBot="1">
      <c r="A1192" s="671" t="s">
        <v>2051</v>
      </c>
      <c r="B1192" s="672"/>
      <c r="C1192" s="670"/>
      <c r="D1192" s="252"/>
      <c r="E1192" s="253"/>
      <c r="F1192" s="211"/>
      <c r="G1192" s="212"/>
      <c r="H1192" s="253"/>
      <c r="I1192" s="253"/>
      <c r="J1192" s="253"/>
      <c r="K1192" s="253"/>
      <c r="L1192" s="253"/>
      <c r="M1192" s="253"/>
      <c r="N1192" s="253"/>
      <c r="O1192" s="253"/>
      <c r="P1192" s="213"/>
      <c r="Q1192" s="212"/>
      <c r="R1192" s="253"/>
      <c r="S1192" s="253"/>
      <c r="T1192" s="253"/>
      <c r="U1192" s="214"/>
      <c r="V1192" s="214"/>
      <c r="W1192" s="215"/>
      <c r="X1192" s="214"/>
      <c r="Y1192" s="214"/>
      <c r="Z1192" s="214"/>
      <c r="AA1192" s="214"/>
      <c r="AB1192" s="215"/>
      <c r="AC1192" s="214"/>
      <c r="AD1192" s="214"/>
      <c r="AE1192" s="214"/>
      <c r="AF1192" s="214"/>
      <c r="AG1192" s="216"/>
      <c r="AH1192" s="214"/>
      <c r="AI1192" s="214"/>
      <c r="AJ1192" s="214"/>
      <c r="AK1192" s="214"/>
      <c r="AL1192" s="216"/>
      <c r="AM1192" s="217"/>
      <c r="AN1192" s="218"/>
      <c r="AO1192" s="218"/>
      <c r="AP1192" s="219"/>
      <c r="AQ1192" s="219"/>
      <c r="AR1192" s="220"/>
      <c r="AS1192" s="221">
        <f>SUM(AS1191+AS1175+AS1135+AS1068)</f>
        <v>0</v>
      </c>
      <c r="AT1192" s="222">
        <f t="shared" ref="AT1192:DD1192" si="607">SUM(AT1191+AT1175+AT1135+AT1068)</f>
        <v>0</v>
      </c>
      <c r="AU1192" s="222">
        <f t="shared" si="607"/>
        <v>0</v>
      </c>
      <c r="AV1192" s="222">
        <f t="shared" si="607"/>
        <v>9750000000</v>
      </c>
      <c r="AW1192" s="222">
        <f t="shared" si="607"/>
        <v>15089528893</v>
      </c>
      <c r="AX1192" s="222">
        <f t="shared" si="607"/>
        <v>0</v>
      </c>
      <c r="AY1192" s="222">
        <f t="shared" si="607"/>
        <v>0</v>
      </c>
      <c r="AZ1192" s="222">
        <f t="shared" si="607"/>
        <v>0</v>
      </c>
      <c r="BA1192" s="222">
        <f t="shared" si="607"/>
        <v>0</v>
      </c>
      <c r="BB1192" s="222">
        <f t="shared" si="607"/>
        <v>0</v>
      </c>
      <c r="BC1192" s="222">
        <f t="shared" si="607"/>
        <v>0</v>
      </c>
      <c r="BD1192" s="222">
        <f t="shared" si="607"/>
        <v>0</v>
      </c>
      <c r="BE1192" s="222">
        <f t="shared" si="607"/>
        <v>0</v>
      </c>
      <c r="BF1192" s="222">
        <f t="shared" si="607"/>
        <v>0</v>
      </c>
      <c r="BG1192" s="222">
        <f t="shared" si="607"/>
        <v>657737017</v>
      </c>
      <c r="BH1192" s="222">
        <f t="shared" si="607"/>
        <v>25497265910</v>
      </c>
      <c r="BI1192" s="222">
        <f t="shared" si="607"/>
        <v>0</v>
      </c>
      <c r="BJ1192" s="222">
        <f t="shared" si="607"/>
        <v>0</v>
      </c>
      <c r="BK1192" s="222">
        <f t="shared" si="607"/>
        <v>0</v>
      </c>
      <c r="BL1192" s="222">
        <f t="shared" si="607"/>
        <v>9933430000</v>
      </c>
      <c r="BM1192" s="222">
        <f t="shared" si="607"/>
        <v>22269979503.275612</v>
      </c>
      <c r="BN1192" s="222">
        <f t="shared" si="607"/>
        <v>0</v>
      </c>
      <c r="BO1192" s="222">
        <f t="shared" si="607"/>
        <v>0</v>
      </c>
      <c r="BP1192" s="222">
        <f t="shared" si="607"/>
        <v>0</v>
      </c>
      <c r="BQ1192" s="222">
        <f t="shared" si="607"/>
        <v>0</v>
      </c>
      <c r="BR1192" s="222">
        <f t="shared" si="607"/>
        <v>0</v>
      </c>
      <c r="BS1192" s="222">
        <f t="shared" si="607"/>
        <v>0</v>
      </c>
      <c r="BT1192" s="222">
        <f t="shared" si="607"/>
        <v>0</v>
      </c>
      <c r="BU1192" s="222">
        <f t="shared" si="607"/>
        <v>0</v>
      </c>
      <c r="BV1192" s="222">
        <f t="shared" si="607"/>
        <v>0</v>
      </c>
      <c r="BW1192" s="222">
        <f t="shared" si="607"/>
        <v>177185680</v>
      </c>
      <c r="BX1192" s="222">
        <f t="shared" si="607"/>
        <v>32380595183.275612</v>
      </c>
      <c r="BY1192" s="222">
        <f t="shared" si="607"/>
        <v>0</v>
      </c>
      <c r="BZ1192" s="222">
        <f t="shared" si="607"/>
        <v>0</v>
      </c>
      <c r="CA1192" s="222">
        <f t="shared" si="607"/>
        <v>0</v>
      </c>
      <c r="CB1192" s="222">
        <f t="shared" si="607"/>
        <v>9542612900</v>
      </c>
      <c r="CC1192" s="222">
        <f t="shared" si="607"/>
        <v>25529005340.550819</v>
      </c>
      <c r="CD1192" s="222">
        <f t="shared" si="607"/>
        <v>0</v>
      </c>
      <c r="CE1192" s="222">
        <f t="shared" si="607"/>
        <v>0</v>
      </c>
      <c r="CF1192" s="222">
        <f t="shared" si="607"/>
        <v>0</v>
      </c>
      <c r="CG1192" s="222">
        <f t="shared" si="607"/>
        <v>0</v>
      </c>
      <c r="CH1192" s="222">
        <f t="shared" si="607"/>
        <v>0</v>
      </c>
      <c r="CI1192" s="222">
        <f t="shared" si="607"/>
        <v>0</v>
      </c>
      <c r="CJ1192" s="222">
        <f t="shared" si="607"/>
        <v>0</v>
      </c>
      <c r="CK1192" s="222">
        <f t="shared" si="607"/>
        <v>0</v>
      </c>
      <c r="CL1192" s="222">
        <f t="shared" si="607"/>
        <v>0</v>
      </c>
      <c r="CM1192" s="222">
        <f t="shared" si="607"/>
        <v>5182501250</v>
      </c>
      <c r="CN1192" s="222">
        <f t="shared" si="607"/>
        <v>40254119490.550819</v>
      </c>
      <c r="CO1192" s="222">
        <f t="shared" si="607"/>
        <v>0</v>
      </c>
      <c r="CP1192" s="222">
        <f t="shared" si="607"/>
        <v>0</v>
      </c>
      <c r="CQ1192" s="222">
        <f t="shared" si="607"/>
        <v>0</v>
      </c>
      <c r="CR1192" s="222">
        <f t="shared" si="607"/>
        <v>9746841287</v>
      </c>
      <c r="CS1192" s="222">
        <f t="shared" si="607"/>
        <v>28167182821.630264</v>
      </c>
      <c r="CT1192" s="222">
        <f t="shared" si="607"/>
        <v>0</v>
      </c>
      <c r="CU1192" s="222">
        <f t="shared" si="607"/>
        <v>0</v>
      </c>
      <c r="CV1192" s="222">
        <f t="shared" si="607"/>
        <v>0</v>
      </c>
      <c r="CW1192" s="222">
        <f t="shared" si="607"/>
        <v>0</v>
      </c>
      <c r="CX1192" s="222">
        <f t="shared" si="607"/>
        <v>0</v>
      </c>
      <c r="CY1192" s="222">
        <f t="shared" si="607"/>
        <v>0</v>
      </c>
      <c r="CZ1192" s="222">
        <f t="shared" si="607"/>
        <v>0</v>
      </c>
      <c r="DA1192" s="222">
        <f t="shared" si="607"/>
        <v>0</v>
      </c>
      <c r="DB1192" s="222">
        <f t="shared" si="607"/>
        <v>0</v>
      </c>
      <c r="DC1192" s="222">
        <f>SUM(DC1191+DC1175+DC1135+DC1068)</f>
        <v>187976288</v>
      </c>
      <c r="DD1192" s="222">
        <f t="shared" si="607"/>
        <v>38102000396.630264</v>
      </c>
      <c r="DE1192" s="223">
        <f>SUM(DE1191+DE1175+DE1135+DE1068)</f>
        <v>136233980980.4567</v>
      </c>
    </row>
    <row r="1193" spans="1:110" s="210" customFormat="1" ht="55.05" customHeight="1" thickBot="1">
      <c r="A1193" s="666" t="s">
        <v>2681</v>
      </c>
      <c r="B1193" s="667"/>
      <c r="C1193" s="321"/>
      <c r="D1193" s="209"/>
      <c r="E1193" s="209"/>
      <c r="F1193" s="322"/>
      <c r="G1193" s="209"/>
      <c r="H1193" s="209"/>
      <c r="I1193" s="209"/>
      <c r="J1193" s="209"/>
      <c r="K1193" s="209"/>
      <c r="L1193" s="209"/>
      <c r="M1193" s="209"/>
      <c r="N1193" s="208"/>
      <c r="O1193" s="209"/>
      <c r="P1193" s="323"/>
      <c r="Q1193" s="209"/>
      <c r="R1193" s="324"/>
      <c r="S1193" s="208"/>
      <c r="T1193" s="208"/>
      <c r="U1193" s="325"/>
      <c r="V1193" s="325"/>
      <c r="W1193" s="207"/>
      <c r="X1193" s="325"/>
      <c r="Y1193" s="325"/>
      <c r="Z1193" s="325"/>
      <c r="AA1193" s="325"/>
      <c r="AB1193" s="207"/>
      <c r="AC1193" s="325"/>
      <c r="AD1193" s="325"/>
      <c r="AE1193" s="325"/>
      <c r="AF1193" s="325"/>
      <c r="AG1193" s="207"/>
      <c r="AH1193" s="325"/>
      <c r="AI1193" s="325"/>
      <c r="AJ1193" s="325"/>
      <c r="AK1193" s="325"/>
      <c r="AL1193" s="207"/>
      <c r="AM1193" s="208"/>
      <c r="AN1193" s="209"/>
      <c r="AO1193" s="209"/>
      <c r="AP1193" s="209"/>
      <c r="AQ1193" s="209"/>
      <c r="AR1193" s="326"/>
      <c r="AS1193" s="327">
        <f t="shared" ref="AS1193:BX1193" si="608">SUM(AS1192+AS957+AS916+AS865+AS696+AS538)</f>
        <v>100000000</v>
      </c>
      <c r="AT1193" s="327">
        <f t="shared" si="608"/>
        <v>103783792889</v>
      </c>
      <c r="AU1193" s="327">
        <f t="shared" si="608"/>
        <v>0</v>
      </c>
      <c r="AV1193" s="327">
        <f t="shared" si="608"/>
        <v>33219237200</v>
      </c>
      <c r="AW1193" s="327">
        <f t="shared" si="608"/>
        <v>170028843626.0332</v>
      </c>
      <c r="AX1193" s="327">
        <f t="shared" si="608"/>
        <v>0</v>
      </c>
      <c r="AY1193" s="327">
        <f t="shared" si="608"/>
        <v>9376814166</v>
      </c>
      <c r="AZ1193" s="327">
        <f t="shared" si="608"/>
        <v>0</v>
      </c>
      <c r="BA1193" s="327">
        <f t="shared" si="608"/>
        <v>0</v>
      </c>
      <c r="BB1193" s="327">
        <f t="shared" si="608"/>
        <v>578290652443</v>
      </c>
      <c r="BC1193" s="327">
        <f t="shared" si="608"/>
        <v>0</v>
      </c>
      <c r="BD1193" s="327">
        <f t="shared" si="608"/>
        <v>0</v>
      </c>
      <c r="BE1193" s="327">
        <f t="shared" si="608"/>
        <v>0</v>
      </c>
      <c r="BF1193" s="327">
        <f t="shared" si="608"/>
        <v>23287954188</v>
      </c>
      <c r="BG1193" s="327">
        <f t="shared" si="608"/>
        <v>93888571053.529999</v>
      </c>
      <c r="BH1193" s="328">
        <f t="shared" si="608"/>
        <v>1011975865565.5632</v>
      </c>
      <c r="BI1193" s="327">
        <f t="shared" si="608"/>
        <v>110000000</v>
      </c>
      <c r="BJ1193" s="327">
        <f t="shared" si="608"/>
        <v>60000000000</v>
      </c>
      <c r="BK1193" s="327">
        <f t="shared" si="608"/>
        <v>0</v>
      </c>
      <c r="BL1193" s="327">
        <f t="shared" si="608"/>
        <v>19299430000</v>
      </c>
      <c r="BM1193" s="327">
        <f t="shared" si="608"/>
        <v>201344846502.88608</v>
      </c>
      <c r="BN1193" s="327">
        <f t="shared" si="608"/>
        <v>0</v>
      </c>
      <c r="BO1193" s="327">
        <f t="shared" si="608"/>
        <v>9658118590.9799995</v>
      </c>
      <c r="BP1193" s="327">
        <f t="shared" si="608"/>
        <v>0</v>
      </c>
      <c r="BQ1193" s="327">
        <f t="shared" si="608"/>
        <v>0</v>
      </c>
      <c r="BR1193" s="327">
        <f t="shared" si="608"/>
        <v>595639372016.29004</v>
      </c>
      <c r="BS1193" s="327">
        <f t="shared" si="608"/>
        <v>0</v>
      </c>
      <c r="BT1193" s="327">
        <f t="shared" si="608"/>
        <v>0</v>
      </c>
      <c r="BU1193" s="327">
        <f t="shared" si="608"/>
        <v>0</v>
      </c>
      <c r="BV1193" s="327">
        <f t="shared" si="608"/>
        <v>23986592813.639999</v>
      </c>
      <c r="BW1193" s="327">
        <f t="shared" si="608"/>
        <v>107144851827.60907</v>
      </c>
      <c r="BX1193" s="328">
        <f t="shared" si="608"/>
        <v>1017183211751.4052</v>
      </c>
      <c r="BY1193" s="327">
        <f t="shared" ref="BY1193:DD1193" si="609">SUM(BY1192+BY957+BY916+BY865+BY696+BY538)</f>
        <v>115000000</v>
      </c>
      <c r="BZ1193" s="327">
        <f t="shared" si="609"/>
        <v>35000000000</v>
      </c>
      <c r="CA1193" s="327">
        <f t="shared" si="609"/>
        <v>25000000000</v>
      </c>
      <c r="CB1193" s="327">
        <f t="shared" si="609"/>
        <v>19321892900</v>
      </c>
      <c r="CC1193" s="327">
        <f t="shared" si="609"/>
        <v>216877737825.7847</v>
      </c>
      <c r="CD1193" s="327">
        <f t="shared" si="609"/>
        <v>0</v>
      </c>
      <c r="CE1193" s="327">
        <f t="shared" si="609"/>
        <v>9947862149</v>
      </c>
      <c r="CF1193" s="327">
        <f t="shared" si="609"/>
        <v>0</v>
      </c>
      <c r="CG1193" s="327">
        <f t="shared" si="609"/>
        <v>0</v>
      </c>
      <c r="CH1193" s="327">
        <f t="shared" si="609"/>
        <v>613508553176.77869</v>
      </c>
      <c r="CI1193" s="327">
        <f t="shared" si="609"/>
        <v>0</v>
      </c>
      <c r="CJ1193" s="327">
        <f t="shared" si="609"/>
        <v>0</v>
      </c>
      <c r="CK1193" s="327">
        <f t="shared" si="609"/>
        <v>0</v>
      </c>
      <c r="CL1193" s="327">
        <f t="shared" si="609"/>
        <v>24706190598.049198</v>
      </c>
      <c r="CM1193" s="327">
        <f t="shared" si="609"/>
        <v>107012252420.5864</v>
      </c>
      <c r="CN1193" s="328">
        <f t="shared" si="609"/>
        <v>1051489489070.199</v>
      </c>
      <c r="CO1193" s="327">
        <f t="shared" si="609"/>
        <v>135000000</v>
      </c>
      <c r="CP1193" s="327">
        <f t="shared" si="609"/>
        <v>0</v>
      </c>
      <c r="CQ1193" s="327">
        <f t="shared" si="609"/>
        <v>0</v>
      </c>
      <c r="CR1193" s="327">
        <f t="shared" si="609"/>
        <v>19815469687</v>
      </c>
      <c r="CS1193" s="327">
        <f t="shared" si="609"/>
        <v>230156077404.86615</v>
      </c>
      <c r="CT1193" s="327">
        <f t="shared" si="609"/>
        <v>0</v>
      </c>
      <c r="CU1193" s="327">
        <f t="shared" si="609"/>
        <v>10246298013</v>
      </c>
      <c r="CV1193" s="327">
        <f t="shared" si="609"/>
        <v>0</v>
      </c>
      <c r="CW1193" s="327">
        <f t="shared" si="609"/>
        <v>0</v>
      </c>
      <c r="CX1193" s="327">
        <f t="shared" si="609"/>
        <v>631913809772.08215</v>
      </c>
      <c r="CY1193" s="327">
        <f t="shared" si="609"/>
        <v>0</v>
      </c>
      <c r="CZ1193" s="327">
        <f t="shared" si="609"/>
        <v>0</v>
      </c>
      <c r="DA1193" s="327">
        <f t="shared" si="609"/>
        <v>0</v>
      </c>
      <c r="DB1193" s="327">
        <f t="shared" si="609"/>
        <v>25447376315.9907</v>
      </c>
      <c r="DC1193" s="327">
        <f t="shared" si="609"/>
        <v>109060776021.10501</v>
      </c>
      <c r="DD1193" s="328">
        <f t="shared" si="609"/>
        <v>1026774807214.0441</v>
      </c>
      <c r="DE1193" s="329">
        <f t="shared" ref="DE1193" si="610">SUM(DE1192+DE957+DE916+DE865+DE696+DE538)</f>
        <v>4107423373601.2109</v>
      </c>
    </row>
    <row r="1194" spans="1:110">
      <c r="A1194" s="45"/>
      <c r="B1194" s="100"/>
      <c r="C1194" s="100"/>
      <c r="D1194" s="100"/>
      <c r="E1194" s="100"/>
      <c r="F1194" s="330"/>
      <c r="G1194" s="100"/>
      <c r="H1194" s="100"/>
      <c r="I1194" s="100"/>
      <c r="J1194" s="100"/>
      <c r="K1194" s="100"/>
      <c r="L1194" s="100"/>
      <c r="M1194" s="100"/>
      <c r="N1194" s="45"/>
      <c r="O1194" s="100"/>
      <c r="P1194" s="331"/>
      <c r="Q1194" s="100"/>
      <c r="R1194" s="332"/>
      <c r="S1194" s="45"/>
      <c r="T1194" s="45"/>
      <c r="U1194" s="333"/>
      <c r="V1194" s="333"/>
      <c r="W1194" s="44"/>
      <c r="X1194" s="333"/>
      <c r="Y1194" s="333"/>
      <c r="Z1194" s="333"/>
      <c r="AA1194" s="333"/>
      <c r="AB1194" s="44"/>
      <c r="AC1194" s="333"/>
      <c r="AD1194" s="333"/>
      <c r="AE1194" s="333"/>
      <c r="AF1194" s="333"/>
      <c r="AG1194" s="44"/>
      <c r="AH1194" s="333"/>
      <c r="AI1194" s="333"/>
      <c r="AJ1194" s="333"/>
      <c r="AK1194" s="333"/>
      <c r="AL1194" s="44"/>
      <c r="AM1194" s="45"/>
      <c r="AN1194" s="100"/>
      <c r="AO1194" s="100"/>
      <c r="AP1194" s="100"/>
      <c r="AQ1194" s="100"/>
      <c r="AR1194" s="100"/>
      <c r="AS1194" s="334"/>
      <c r="AT1194" s="334"/>
      <c r="AU1194" s="334"/>
      <c r="AV1194" s="334"/>
      <c r="AW1194" s="334"/>
      <c r="AX1194" s="334"/>
      <c r="AY1194" s="334"/>
      <c r="AZ1194" s="334"/>
      <c r="BA1194" s="334"/>
      <c r="BB1194" s="334"/>
      <c r="BC1194" s="334"/>
      <c r="BD1194" s="334"/>
      <c r="BE1194" s="334"/>
      <c r="BF1194" s="334"/>
      <c r="BG1194" s="334"/>
      <c r="BI1194" s="334"/>
      <c r="BJ1194" s="334"/>
      <c r="BK1194" s="334"/>
      <c r="BL1194" s="334"/>
      <c r="BM1194" s="334"/>
      <c r="BN1194" s="334"/>
      <c r="BO1194" s="334"/>
      <c r="BP1194" s="334"/>
      <c r="BQ1194" s="334"/>
      <c r="BR1194" s="334"/>
      <c r="BS1194" s="334"/>
      <c r="BT1194" s="334"/>
      <c r="BU1194" s="334"/>
      <c r="BV1194" s="334"/>
      <c r="BW1194" s="334"/>
      <c r="BY1194" s="334"/>
      <c r="BZ1194" s="334"/>
      <c r="CA1194" s="334"/>
      <c r="CB1194" s="334"/>
      <c r="CC1194" s="334"/>
      <c r="CD1194" s="334"/>
      <c r="CE1194" s="334"/>
      <c r="CF1194" s="334"/>
      <c r="CG1194" s="334"/>
      <c r="CH1194" s="334"/>
      <c r="CI1194" s="334"/>
      <c r="CJ1194" s="334"/>
      <c r="CK1194" s="334"/>
      <c r="CL1194" s="334"/>
      <c r="CM1194" s="334"/>
      <c r="CO1194" s="334"/>
      <c r="CP1194" s="334"/>
      <c r="CQ1194" s="334"/>
      <c r="CR1194" s="334"/>
      <c r="CS1194" s="334"/>
      <c r="CT1194" s="334"/>
      <c r="CU1194" s="334"/>
      <c r="CV1194" s="334"/>
      <c r="CW1194" s="334"/>
      <c r="CX1194" s="334"/>
      <c r="CY1194" s="334"/>
      <c r="CZ1194" s="334"/>
      <c r="DA1194" s="334"/>
      <c r="DB1194" s="334"/>
      <c r="DC1194" s="334"/>
      <c r="DE1194" s="250"/>
    </row>
    <row r="1195" spans="1:110">
      <c r="A1195" s="45"/>
      <c r="B1195" s="100"/>
      <c r="C1195" s="100"/>
      <c r="D1195" s="100"/>
      <c r="E1195" s="100"/>
      <c r="F1195" s="330"/>
      <c r="G1195" s="100"/>
      <c r="H1195" s="100"/>
      <c r="I1195" s="100"/>
      <c r="J1195" s="100"/>
      <c r="K1195" s="100"/>
      <c r="L1195" s="100"/>
      <c r="M1195" s="100"/>
      <c r="N1195" s="45"/>
      <c r="O1195" s="100"/>
      <c r="P1195" s="331"/>
      <c r="Q1195" s="100"/>
      <c r="R1195" s="332"/>
      <c r="S1195" s="45"/>
      <c r="T1195" s="45"/>
      <c r="U1195" s="333"/>
      <c r="V1195" s="333"/>
      <c r="W1195" s="44"/>
      <c r="X1195" s="333"/>
      <c r="Y1195" s="333"/>
      <c r="Z1195" s="333"/>
      <c r="AA1195" s="333"/>
      <c r="AB1195" s="44"/>
      <c r="AC1195" s="333"/>
      <c r="AD1195" s="333"/>
      <c r="AE1195" s="333"/>
      <c r="AF1195" s="333"/>
      <c r="AG1195" s="44"/>
      <c r="AH1195" s="333"/>
      <c r="AI1195" s="333"/>
      <c r="AJ1195" s="333"/>
      <c r="AK1195" s="333"/>
      <c r="AL1195" s="44"/>
      <c r="AM1195" s="45"/>
      <c r="AN1195" s="100"/>
      <c r="AO1195" s="100"/>
      <c r="AP1195" s="100"/>
      <c r="AQ1195" s="100"/>
      <c r="AR1195" s="100"/>
      <c r="AS1195" s="334"/>
      <c r="AT1195" s="334"/>
      <c r="AU1195" s="334"/>
      <c r="AV1195" s="334"/>
      <c r="AW1195" s="334"/>
      <c r="AX1195" s="334"/>
      <c r="AY1195" s="334"/>
      <c r="AZ1195" s="334"/>
      <c r="BA1195" s="334"/>
      <c r="BB1195" s="334"/>
      <c r="BC1195" s="334"/>
      <c r="BD1195" s="334"/>
      <c r="BE1195" s="334"/>
      <c r="BF1195" s="334"/>
      <c r="BG1195" s="334"/>
      <c r="BI1195" s="334"/>
      <c r="BJ1195" s="334"/>
      <c r="BK1195" s="334"/>
      <c r="BL1195" s="334"/>
      <c r="BM1195" s="334"/>
      <c r="BN1195" s="334"/>
      <c r="BO1195" s="334"/>
      <c r="BP1195" s="334"/>
      <c r="BQ1195" s="334"/>
      <c r="BR1195" s="334"/>
      <c r="BS1195" s="334"/>
      <c r="BT1195" s="334"/>
      <c r="BU1195" s="334"/>
      <c r="BV1195" s="334"/>
      <c r="BW1195" s="334"/>
      <c r="BY1195" s="334"/>
      <c r="BZ1195" s="334"/>
      <c r="CA1195" s="334"/>
      <c r="CB1195" s="334"/>
      <c r="CC1195" s="334"/>
      <c r="CD1195" s="334"/>
      <c r="CE1195" s="334"/>
      <c r="CF1195" s="334"/>
      <c r="CG1195" s="334"/>
      <c r="CH1195" s="334"/>
      <c r="CI1195" s="334"/>
      <c r="CJ1195" s="334"/>
      <c r="CK1195" s="334"/>
      <c r="CL1195" s="334"/>
      <c r="CM1195" s="334"/>
      <c r="CO1195" s="334"/>
      <c r="CP1195" s="334"/>
      <c r="CQ1195" s="334"/>
      <c r="CR1195" s="334"/>
      <c r="CS1195" s="334"/>
      <c r="CT1195" s="334"/>
      <c r="CU1195" s="334"/>
      <c r="CV1195" s="334"/>
      <c r="CW1195" s="334"/>
      <c r="CX1195" s="334"/>
      <c r="CY1195" s="334"/>
      <c r="CZ1195" s="334"/>
      <c r="DA1195" s="334"/>
      <c r="DB1195" s="334"/>
      <c r="DC1195" s="334"/>
      <c r="DE1195" s="250"/>
    </row>
    <row r="1196" spans="1:110">
      <c r="A1196" s="45"/>
      <c r="B1196" s="100"/>
      <c r="C1196" s="100"/>
      <c r="D1196" s="100"/>
      <c r="E1196" s="100"/>
      <c r="F1196" s="330"/>
      <c r="G1196" s="100"/>
      <c r="H1196" s="100"/>
      <c r="I1196" s="100"/>
      <c r="J1196" s="100"/>
      <c r="K1196" s="100"/>
      <c r="L1196" s="100"/>
      <c r="M1196" s="100"/>
      <c r="N1196" s="45"/>
      <c r="O1196" s="100"/>
      <c r="P1196" s="331"/>
      <c r="Q1196" s="100"/>
      <c r="R1196" s="332"/>
      <c r="S1196" s="45"/>
      <c r="T1196" s="45"/>
      <c r="U1196" s="333"/>
      <c r="V1196" s="333"/>
      <c r="W1196" s="44"/>
      <c r="X1196" s="333"/>
      <c r="Y1196" s="333"/>
      <c r="Z1196" s="333"/>
      <c r="AA1196" s="333"/>
      <c r="AB1196" s="44"/>
      <c r="AC1196" s="333"/>
      <c r="AD1196" s="333"/>
      <c r="AE1196" s="333"/>
      <c r="AF1196" s="333"/>
      <c r="AG1196" s="44"/>
      <c r="AH1196" s="333"/>
      <c r="AI1196" s="333"/>
      <c r="AJ1196" s="333"/>
      <c r="AK1196" s="333"/>
      <c r="AL1196" s="44"/>
      <c r="AM1196" s="45"/>
      <c r="AN1196" s="100"/>
      <c r="AO1196" s="100"/>
      <c r="AP1196" s="100"/>
      <c r="AQ1196" s="100"/>
      <c r="AR1196" s="100"/>
      <c r="AS1196" s="334"/>
      <c r="AT1196" s="334"/>
      <c r="AU1196" s="334"/>
      <c r="AV1196" s="334"/>
      <c r="AW1196" s="334"/>
      <c r="AX1196" s="334"/>
      <c r="AY1196" s="334"/>
      <c r="AZ1196" s="334"/>
      <c r="BA1196" s="334"/>
      <c r="BB1196" s="334"/>
      <c r="BC1196" s="334"/>
      <c r="BD1196" s="334"/>
      <c r="BE1196" s="334"/>
      <c r="BF1196" s="334"/>
      <c r="BG1196" s="334"/>
      <c r="BI1196" s="334"/>
      <c r="BJ1196" s="334"/>
      <c r="BK1196" s="334"/>
      <c r="BL1196" s="334"/>
      <c r="BM1196" s="334"/>
      <c r="BN1196" s="334"/>
      <c r="BO1196" s="334"/>
      <c r="BP1196" s="334"/>
      <c r="BQ1196" s="334"/>
      <c r="BR1196" s="334"/>
      <c r="BS1196" s="334"/>
      <c r="BT1196" s="334"/>
      <c r="BU1196" s="334"/>
      <c r="BV1196" s="334"/>
      <c r="BW1196" s="334"/>
      <c r="BY1196" s="334"/>
      <c r="BZ1196" s="334"/>
      <c r="CA1196" s="334"/>
      <c r="CB1196" s="334"/>
      <c r="CC1196" s="334"/>
      <c r="CD1196" s="334"/>
      <c r="CE1196" s="334"/>
      <c r="CF1196" s="334"/>
      <c r="CG1196" s="334"/>
      <c r="CH1196" s="334"/>
      <c r="CI1196" s="334"/>
      <c r="CJ1196" s="334"/>
      <c r="CK1196" s="334"/>
      <c r="CL1196" s="334"/>
      <c r="CM1196" s="334"/>
      <c r="CO1196" s="334"/>
      <c r="CP1196" s="334"/>
      <c r="CQ1196" s="334"/>
      <c r="CR1196" s="334"/>
      <c r="CS1196" s="334"/>
      <c r="CT1196" s="334"/>
      <c r="CU1196" s="334"/>
      <c r="CV1196" s="334"/>
      <c r="CW1196" s="334"/>
      <c r="CX1196" s="334"/>
      <c r="CY1196" s="334"/>
      <c r="CZ1196" s="334"/>
      <c r="DA1196" s="334"/>
      <c r="DB1196" s="334"/>
      <c r="DC1196" s="334"/>
      <c r="DE1196" s="250"/>
    </row>
    <row r="1197" spans="1:110">
      <c r="A1197" s="45"/>
      <c r="B1197" s="100"/>
      <c r="C1197" s="100"/>
      <c r="D1197" s="100"/>
      <c r="E1197" s="100"/>
      <c r="F1197" s="330"/>
      <c r="G1197" s="100"/>
      <c r="H1197" s="100"/>
      <c r="I1197" s="100"/>
      <c r="J1197" s="100"/>
      <c r="K1197" s="100"/>
      <c r="L1197" s="100"/>
      <c r="M1197" s="100"/>
      <c r="N1197" s="45"/>
      <c r="O1197" s="100"/>
      <c r="P1197" s="331"/>
      <c r="Q1197" s="100"/>
      <c r="R1197" s="332"/>
      <c r="S1197" s="45"/>
      <c r="T1197" s="45"/>
      <c r="U1197" s="333"/>
      <c r="V1197" s="333"/>
      <c r="W1197" s="44"/>
      <c r="X1197" s="333"/>
      <c r="Y1197" s="333"/>
      <c r="Z1197" s="333"/>
      <c r="AA1197" s="333"/>
      <c r="AB1197" s="44"/>
      <c r="AC1197" s="333"/>
      <c r="AD1197" s="333"/>
      <c r="AE1197" s="333"/>
      <c r="AF1197" s="333"/>
      <c r="AG1197" s="44"/>
      <c r="AH1197" s="333"/>
      <c r="AI1197" s="333"/>
      <c r="AJ1197" s="333"/>
      <c r="AK1197" s="333"/>
      <c r="AL1197" s="44"/>
      <c r="AM1197" s="45"/>
      <c r="AN1197" s="100"/>
      <c r="AO1197" s="100"/>
      <c r="AP1197" s="100"/>
      <c r="AQ1197" s="100"/>
      <c r="AR1197" s="100"/>
      <c r="AS1197" s="334"/>
      <c r="AT1197" s="334"/>
      <c r="AU1197" s="334"/>
      <c r="AV1197" s="334"/>
      <c r="AW1197" s="334"/>
      <c r="AX1197" s="334"/>
      <c r="AY1197" s="334"/>
      <c r="AZ1197" s="334"/>
      <c r="BA1197" s="334"/>
      <c r="BB1197" s="334"/>
      <c r="BC1197" s="334"/>
      <c r="BD1197" s="334"/>
      <c r="BE1197" s="334"/>
      <c r="BF1197" s="334"/>
      <c r="BG1197" s="334"/>
      <c r="BI1197" s="334"/>
      <c r="BJ1197" s="334"/>
      <c r="BK1197" s="334"/>
      <c r="BL1197" s="334"/>
      <c r="BM1197" s="334"/>
      <c r="BN1197" s="334"/>
      <c r="BO1197" s="334"/>
      <c r="BP1197" s="334"/>
      <c r="BQ1197" s="334"/>
      <c r="BR1197" s="334"/>
      <c r="BS1197" s="334"/>
      <c r="BT1197" s="334"/>
      <c r="BU1197" s="334"/>
      <c r="BV1197" s="334"/>
      <c r="BW1197" s="334"/>
      <c r="BY1197" s="334"/>
      <c r="BZ1197" s="334"/>
      <c r="CA1197" s="334"/>
      <c r="CB1197" s="334"/>
      <c r="CC1197" s="334"/>
      <c r="CD1197" s="334"/>
      <c r="CE1197" s="334"/>
      <c r="CF1197" s="334"/>
      <c r="CG1197" s="334"/>
      <c r="CH1197" s="334"/>
      <c r="CI1197" s="334"/>
      <c r="CJ1197" s="334"/>
      <c r="CK1197" s="334"/>
      <c r="CL1197" s="334"/>
      <c r="CM1197" s="334"/>
      <c r="CO1197" s="334"/>
      <c r="CP1197" s="334"/>
      <c r="CQ1197" s="334"/>
      <c r="CR1197" s="334"/>
      <c r="CS1197" s="334"/>
      <c r="CT1197" s="334"/>
      <c r="CU1197" s="334"/>
      <c r="CV1197" s="334"/>
      <c r="CW1197" s="334"/>
      <c r="CX1197" s="334"/>
      <c r="CY1197" s="334"/>
      <c r="CZ1197" s="334"/>
      <c r="DA1197" s="334"/>
      <c r="DB1197" s="334"/>
      <c r="DC1197" s="334"/>
      <c r="DE1197" s="250"/>
    </row>
    <row r="1198" spans="1:110">
      <c r="A1198" s="45"/>
      <c r="B1198" s="100"/>
      <c r="C1198" s="100"/>
      <c r="D1198" s="100"/>
      <c r="E1198" s="100"/>
      <c r="F1198" s="330"/>
      <c r="G1198" s="100"/>
      <c r="H1198" s="100"/>
      <c r="I1198" s="100"/>
      <c r="J1198" s="100"/>
      <c r="K1198" s="100"/>
      <c r="L1198" s="100"/>
      <c r="M1198" s="100"/>
      <c r="N1198" s="45"/>
      <c r="O1198" s="100"/>
      <c r="P1198" s="331"/>
      <c r="Q1198" s="100"/>
      <c r="R1198" s="332"/>
      <c r="S1198" s="45"/>
      <c r="T1198" s="45"/>
      <c r="U1198" s="333"/>
      <c r="V1198" s="333"/>
      <c r="W1198" s="44"/>
      <c r="X1198" s="333"/>
      <c r="Y1198" s="333"/>
      <c r="Z1198" s="333"/>
      <c r="AA1198" s="333"/>
      <c r="AB1198" s="44"/>
      <c r="AC1198" s="333"/>
      <c r="AD1198" s="333"/>
      <c r="AE1198" s="333"/>
      <c r="AF1198" s="333"/>
      <c r="AG1198" s="44"/>
      <c r="AH1198" s="333"/>
      <c r="AI1198" s="333"/>
      <c r="AJ1198" s="333"/>
      <c r="AK1198" s="333"/>
      <c r="AL1198" s="44"/>
      <c r="AM1198" s="45"/>
      <c r="AN1198" s="100"/>
      <c r="AO1198" s="100"/>
      <c r="AP1198" s="100"/>
      <c r="AQ1198" s="100"/>
      <c r="AR1198" s="100"/>
      <c r="AS1198" s="334"/>
      <c r="AT1198" s="334"/>
      <c r="AU1198" s="334"/>
      <c r="AV1198" s="334"/>
      <c r="AW1198" s="334"/>
      <c r="AX1198" s="334"/>
      <c r="AY1198" s="334"/>
      <c r="AZ1198" s="334"/>
      <c r="BA1198" s="334"/>
      <c r="BB1198" s="334"/>
      <c r="BC1198" s="334"/>
      <c r="BD1198" s="334"/>
      <c r="BE1198" s="334"/>
      <c r="BF1198" s="334"/>
      <c r="BG1198" s="334"/>
      <c r="BI1198" s="334"/>
      <c r="BJ1198" s="334"/>
      <c r="BK1198" s="334"/>
      <c r="BL1198" s="334"/>
      <c r="BM1198" s="334"/>
      <c r="BN1198" s="334"/>
      <c r="BO1198" s="334"/>
      <c r="BP1198" s="334"/>
      <c r="BQ1198" s="334"/>
      <c r="BR1198" s="334"/>
      <c r="BS1198" s="334"/>
      <c r="BT1198" s="334"/>
      <c r="BU1198" s="334"/>
      <c r="BV1198" s="334"/>
      <c r="BW1198" s="334"/>
      <c r="BY1198" s="334"/>
      <c r="BZ1198" s="334"/>
      <c r="CA1198" s="334"/>
      <c r="CB1198" s="334"/>
      <c r="CC1198" s="334"/>
      <c r="CD1198" s="334"/>
      <c r="CE1198" s="334"/>
      <c r="CF1198" s="334"/>
      <c r="CG1198" s="334"/>
      <c r="CH1198" s="334"/>
      <c r="CI1198" s="334"/>
      <c r="CJ1198" s="334"/>
      <c r="CK1198" s="334"/>
      <c r="CL1198" s="334"/>
      <c r="CM1198" s="334"/>
      <c r="CO1198" s="334"/>
      <c r="CP1198" s="334"/>
      <c r="CQ1198" s="334"/>
      <c r="CR1198" s="334"/>
      <c r="CS1198" s="334"/>
      <c r="CT1198" s="334"/>
      <c r="CU1198" s="334"/>
      <c r="CV1198" s="334"/>
      <c r="CW1198" s="334"/>
      <c r="CX1198" s="334"/>
      <c r="CY1198" s="334"/>
      <c r="CZ1198" s="334"/>
      <c r="DA1198" s="334"/>
      <c r="DB1198" s="334"/>
      <c r="DC1198" s="334"/>
      <c r="DE1198" s="250"/>
    </row>
    <row r="1199" spans="1:110">
      <c r="A1199" s="45"/>
      <c r="B1199" s="100"/>
      <c r="C1199" s="100"/>
      <c r="D1199" s="100"/>
      <c r="E1199" s="100"/>
      <c r="F1199" s="330"/>
      <c r="G1199" s="100"/>
      <c r="H1199" s="100"/>
      <c r="I1199" s="100"/>
      <c r="J1199" s="100"/>
      <c r="K1199" s="100"/>
      <c r="L1199" s="100"/>
      <c r="M1199" s="100"/>
      <c r="N1199" s="45"/>
      <c r="O1199" s="100"/>
      <c r="P1199" s="331"/>
      <c r="Q1199" s="100"/>
      <c r="R1199" s="332"/>
      <c r="S1199" s="45"/>
      <c r="T1199" s="45"/>
      <c r="U1199" s="333"/>
      <c r="V1199" s="333"/>
      <c r="W1199" s="44"/>
      <c r="X1199" s="333"/>
      <c r="Y1199" s="333"/>
      <c r="Z1199" s="333"/>
      <c r="AA1199" s="333"/>
      <c r="AB1199" s="44"/>
      <c r="AC1199" s="333"/>
      <c r="AD1199" s="333"/>
      <c r="AE1199" s="333"/>
      <c r="AF1199" s="333"/>
      <c r="AG1199" s="44"/>
      <c r="AH1199" s="333"/>
      <c r="AI1199" s="333"/>
      <c r="AJ1199" s="333"/>
      <c r="AK1199" s="333"/>
      <c r="AL1199" s="44"/>
      <c r="AM1199" s="45"/>
      <c r="AN1199" s="100"/>
      <c r="AO1199" s="100"/>
      <c r="AP1199" s="100"/>
      <c r="AQ1199" s="100"/>
      <c r="AR1199" s="100"/>
      <c r="AS1199" s="334"/>
      <c r="AT1199" s="334"/>
      <c r="AU1199" s="334"/>
      <c r="AV1199" s="334"/>
      <c r="AW1199" s="334"/>
      <c r="AX1199" s="334"/>
      <c r="AY1199" s="334"/>
      <c r="AZ1199" s="334"/>
      <c r="BA1199" s="334"/>
      <c r="BB1199" s="334"/>
      <c r="BC1199" s="334"/>
      <c r="BD1199" s="334"/>
      <c r="BE1199" s="334"/>
      <c r="BF1199" s="334"/>
      <c r="BG1199" s="334"/>
      <c r="BI1199" s="334"/>
      <c r="BJ1199" s="334"/>
      <c r="BK1199" s="334"/>
      <c r="BL1199" s="334"/>
      <c r="BM1199" s="334"/>
      <c r="BN1199" s="334"/>
      <c r="BO1199" s="334"/>
      <c r="BP1199" s="334"/>
      <c r="BQ1199" s="334"/>
      <c r="BR1199" s="334"/>
      <c r="BS1199" s="334"/>
      <c r="BT1199" s="334"/>
      <c r="BU1199" s="334"/>
      <c r="BV1199" s="334"/>
      <c r="BW1199" s="334"/>
      <c r="BY1199" s="334"/>
      <c r="BZ1199" s="334"/>
      <c r="CA1199" s="334"/>
      <c r="CB1199" s="334"/>
      <c r="CC1199" s="334"/>
      <c r="CD1199" s="334"/>
      <c r="CE1199" s="334"/>
      <c r="CF1199" s="334"/>
      <c r="CG1199" s="334"/>
      <c r="CH1199" s="334"/>
      <c r="CI1199" s="334"/>
      <c r="CJ1199" s="334"/>
      <c r="CK1199" s="334"/>
      <c r="CL1199" s="334"/>
      <c r="CM1199" s="334"/>
      <c r="CO1199" s="334"/>
      <c r="CP1199" s="334"/>
      <c r="CQ1199" s="334"/>
      <c r="CR1199" s="334"/>
      <c r="CS1199" s="334"/>
      <c r="CT1199" s="334"/>
      <c r="CU1199" s="334"/>
      <c r="CV1199" s="334"/>
      <c r="CW1199" s="334"/>
      <c r="CX1199" s="334"/>
      <c r="CY1199" s="334"/>
      <c r="CZ1199" s="334"/>
      <c r="DA1199" s="334"/>
      <c r="DB1199" s="334"/>
      <c r="DC1199" s="334"/>
      <c r="DE1199" s="250"/>
    </row>
    <row r="1200" spans="1:110">
      <c r="A1200" s="45"/>
      <c r="B1200" s="100"/>
      <c r="C1200" s="100"/>
      <c r="D1200" s="100"/>
      <c r="E1200" s="100"/>
      <c r="F1200" s="330"/>
      <c r="G1200" s="100"/>
      <c r="H1200" s="100"/>
      <c r="I1200" s="100"/>
      <c r="J1200" s="100"/>
      <c r="K1200" s="100"/>
      <c r="L1200" s="100"/>
      <c r="M1200" s="100"/>
      <c r="N1200" s="45"/>
      <c r="O1200" s="100"/>
      <c r="P1200" s="331"/>
      <c r="Q1200" s="100"/>
      <c r="R1200" s="332"/>
      <c r="S1200" s="45"/>
      <c r="T1200" s="45"/>
      <c r="U1200" s="333"/>
      <c r="V1200" s="333"/>
      <c r="W1200" s="44"/>
      <c r="X1200" s="333"/>
      <c r="Y1200" s="333"/>
      <c r="Z1200" s="333"/>
      <c r="AA1200" s="333"/>
      <c r="AB1200" s="44"/>
      <c r="AC1200" s="333"/>
      <c r="AD1200" s="333"/>
      <c r="AE1200" s="333"/>
      <c r="AF1200" s="333"/>
      <c r="AG1200" s="44"/>
      <c r="AH1200" s="333"/>
      <c r="AI1200" s="333"/>
      <c r="AJ1200" s="333"/>
      <c r="AK1200" s="333"/>
      <c r="AL1200" s="44"/>
      <c r="AM1200" s="45"/>
      <c r="AN1200" s="100"/>
      <c r="AO1200" s="100"/>
      <c r="AP1200" s="100"/>
      <c r="AQ1200" s="100"/>
      <c r="AR1200" s="100"/>
      <c r="AS1200" s="334"/>
      <c r="AT1200" s="334"/>
      <c r="AU1200" s="334"/>
      <c r="AV1200" s="334"/>
      <c r="AW1200" s="334"/>
      <c r="AX1200" s="334"/>
      <c r="AY1200" s="334"/>
      <c r="AZ1200" s="334"/>
      <c r="BA1200" s="334"/>
      <c r="BB1200" s="334"/>
      <c r="BC1200" s="334"/>
      <c r="BD1200" s="334"/>
      <c r="BE1200" s="334"/>
      <c r="BF1200" s="334"/>
      <c r="BG1200" s="334"/>
      <c r="BI1200" s="334"/>
      <c r="BJ1200" s="334"/>
      <c r="BK1200" s="334"/>
      <c r="BL1200" s="334"/>
      <c r="BM1200" s="334"/>
      <c r="BN1200" s="334"/>
      <c r="BO1200" s="334"/>
      <c r="BP1200" s="334"/>
      <c r="BQ1200" s="334"/>
      <c r="BR1200" s="334"/>
      <c r="BS1200" s="334"/>
      <c r="BT1200" s="334"/>
      <c r="BU1200" s="334"/>
      <c r="BV1200" s="334"/>
      <c r="BW1200" s="334"/>
      <c r="BY1200" s="334"/>
      <c r="BZ1200" s="334"/>
      <c r="CA1200" s="334"/>
      <c r="CB1200" s="334"/>
      <c r="CC1200" s="334"/>
      <c r="CD1200" s="334"/>
      <c r="CE1200" s="334"/>
      <c r="CF1200" s="334"/>
      <c r="CG1200" s="334"/>
      <c r="CH1200" s="334"/>
      <c r="CI1200" s="334"/>
      <c r="CJ1200" s="334"/>
      <c r="CK1200" s="334"/>
      <c r="CL1200" s="334"/>
      <c r="CM1200" s="334"/>
      <c r="CO1200" s="334"/>
      <c r="CP1200" s="334"/>
      <c r="CQ1200" s="334"/>
      <c r="CR1200" s="334"/>
      <c r="CS1200" s="334"/>
      <c r="CT1200" s="334"/>
      <c r="CU1200" s="334"/>
      <c r="CV1200" s="334"/>
      <c r="CW1200" s="334"/>
      <c r="CX1200" s="334"/>
      <c r="CY1200" s="334"/>
      <c r="CZ1200" s="334"/>
      <c r="DA1200" s="334"/>
      <c r="DB1200" s="334"/>
      <c r="DC1200" s="334"/>
      <c r="DE1200" s="250"/>
    </row>
    <row r="1201" spans="1:109">
      <c r="A1201" s="45"/>
      <c r="B1201" s="100"/>
      <c r="C1201" s="100"/>
      <c r="D1201" s="100"/>
      <c r="E1201" s="100"/>
      <c r="F1201" s="330"/>
      <c r="G1201" s="100"/>
      <c r="H1201" s="100"/>
      <c r="I1201" s="100"/>
      <c r="J1201" s="100"/>
      <c r="K1201" s="100"/>
      <c r="L1201" s="100"/>
      <c r="M1201" s="100"/>
      <c r="N1201" s="45"/>
      <c r="O1201" s="100"/>
      <c r="P1201" s="331"/>
      <c r="Q1201" s="100"/>
      <c r="R1201" s="332"/>
      <c r="S1201" s="45"/>
      <c r="T1201" s="45"/>
      <c r="U1201" s="333"/>
      <c r="V1201" s="333"/>
      <c r="W1201" s="44"/>
      <c r="X1201" s="333"/>
      <c r="Y1201" s="333"/>
      <c r="Z1201" s="333"/>
      <c r="AA1201" s="333"/>
      <c r="AB1201" s="44"/>
      <c r="AC1201" s="333"/>
      <c r="AD1201" s="333"/>
      <c r="AE1201" s="333"/>
      <c r="AF1201" s="333"/>
      <c r="AG1201" s="44"/>
      <c r="AH1201" s="333"/>
      <c r="AI1201" s="333"/>
      <c r="AJ1201" s="333"/>
      <c r="AK1201" s="333"/>
      <c r="AL1201" s="44"/>
      <c r="AM1201" s="45"/>
      <c r="AN1201" s="100"/>
      <c r="AO1201" s="100"/>
      <c r="AP1201" s="100"/>
      <c r="AQ1201" s="100"/>
      <c r="AR1201" s="100"/>
      <c r="AS1201" s="334"/>
      <c r="AT1201" s="334"/>
      <c r="AU1201" s="334"/>
      <c r="AV1201" s="334"/>
      <c r="AW1201" s="334"/>
      <c r="AX1201" s="334"/>
      <c r="AY1201" s="334"/>
      <c r="AZ1201" s="334"/>
      <c r="BA1201" s="334"/>
      <c r="BB1201" s="334"/>
      <c r="BC1201" s="334"/>
      <c r="BD1201" s="334"/>
      <c r="BE1201" s="334"/>
      <c r="BF1201" s="334"/>
      <c r="BG1201" s="334"/>
      <c r="BI1201" s="334"/>
      <c r="BJ1201" s="334"/>
      <c r="BK1201" s="334"/>
      <c r="BL1201" s="334"/>
      <c r="BM1201" s="334"/>
      <c r="BN1201" s="334"/>
      <c r="BO1201" s="334"/>
      <c r="BP1201" s="334"/>
      <c r="BQ1201" s="334"/>
      <c r="BR1201" s="334"/>
      <c r="BS1201" s="334"/>
      <c r="BT1201" s="334"/>
      <c r="BU1201" s="334"/>
      <c r="BV1201" s="334"/>
      <c r="BW1201" s="334"/>
      <c r="BY1201" s="334"/>
      <c r="BZ1201" s="334"/>
      <c r="CA1201" s="334"/>
      <c r="CB1201" s="334"/>
      <c r="CC1201" s="334"/>
      <c r="CD1201" s="334"/>
      <c r="CE1201" s="334"/>
      <c r="CF1201" s="334"/>
      <c r="CG1201" s="334"/>
      <c r="CH1201" s="334"/>
      <c r="CI1201" s="334"/>
      <c r="CJ1201" s="334"/>
      <c r="CK1201" s="334"/>
      <c r="CL1201" s="334"/>
      <c r="CM1201" s="334"/>
      <c r="CO1201" s="334"/>
      <c r="CP1201" s="334"/>
      <c r="CQ1201" s="334"/>
      <c r="CR1201" s="334"/>
      <c r="CS1201" s="334"/>
      <c r="CT1201" s="334"/>
      <c r="CU1201" s="334"/>
      <c r="CV1201" s="334"/>
      <c r="CW1201" s="334"/>
      <c r="CX1201" s="334"/>
      <c r="CY1201" s="334"/>
      <c r="CZ1201" s="334"/>
      <c r="DA1201" s="334"/>
      <c r="DB1201" s="334"/>
      <c r="DC1201" s="334"/>
      <c r="DE1201" s="250"/>
    </row>
    <row r="1202" spans="1:109">
      <c r="A1202" s="45"/>
      <c r="B1202" s="100"/>
      <c r="C1202" s="100"/>
      <c r="D1202" s="100"/>
      <c r="E1202" s="100"/>
      <c r="F1202" s="330"/>
      <c r="G1202" s="100"/>
      <c r="H1202" s="100"/>
      <c r="I1202" s="100"/>
      <c r="J1202" s="100"/>
      <c r="K1202" s="100"/>
      <c r="L1202" s="100"/>
      <c r="M1202" s="100"/>
      <c r="N1202" s="45"/>
      <c r="O1202" s="100"/>
      <c r="P1202" s="331"/>
      <c r="Q1202" s="100"/>
      <c r="R1202" s="332"/>
      <c r="S1202" s="45"/>
      <c r="T1202" s="45"/>
      <c r="U1202" s="333"/>
      <c r="V1202" s="333"/>
      <c r="W1202" s="44"/>
      <c r="X1202" s="333"/>
      <c r="Y1202" s="333"/>
      <c r="Z1202" s="333"/>
      <c r="AA1202" s="333"/>
      <c r="AB1202" s="44"/>
      <c r="AC1202" s="333"/>
      <c r="AD1202" s="333"/>
      <c r="AE1202" s="333"/>
      <c r="AF1202" s="333"/>
      <c r="AG1202" s="44"/>
      <c r="AH1202" s="333"/>
      <c r="AI1202" s="333"/>
      <c r="AJ1202" s="333"/>
      <c r="AK1202" s="333"/>
      <c r="AL1202" s="44"/>
      <c r="AM1202" s="45"/>
      <c r="AN1202" s="100"/>
      <c r="AO1202" s="100"/>
      <c r="AP1202" s="100"/>
      <c r="AQ1202" s="100"/>
      <c r="AR1202" s="100"/>
      <c r="AS1202" s="334"/>
      <c r="AT1202" s="334"/>
      <c r="AU1202" s="334"/>
      <c r="AV1202" s="334"/>
      <c r="AW1202" s="334"/>
      <c r="AX1202" s="334"/>
      <c r="AY1202" s="334"/>
      <c r="AZ1202" s="334"/>
      <c r="BA1202" s="334"/>
      <c r="BB1202" s="334"/>
      <c r="BC1202" s="334"/>
      <c r="BD1202" s="334"/>
      <c r="BE1202" s="334"/>
      <c r="BF1202" s="334"/>
      <c r="BG1202" s="334"/>
      <c r="BI1202" s="334"/>
      <c r="BJ1202" s="334"/>
      <c r="BK1202" s="334"/>
      <c r="BL1202" s="334"/>
      <c r="BM1202" s="334"/>
      <c r="BN1202" s="334"/>
      <c r="BO1202" s="334"/>
      <c r="BP1202" s="334"/>
      <c r="BQ1202" s="334"/>
      <c r="BR1202" s="334"/>
      <c r="BS1202" s="334"/>
      <c r="BT1202" s="334"/>
      <c r="BU1202" s="334"/>
      <c r="BV1202" s="334"/>
      <c r="BW1202" s="334"/>
      <c r="BY1202" s="334"/>
      <c r="BZ1202" s="334"/>
      <c r="CA1202" s="334"/>
      <c r="CB1202" s="334"/>
      <c r="CC1202" s="334"/>
      <c r="CD1202" s="334"/>
      <c r="CE1202" s="334"/>
      <c r="CF1202" s="334"/>
      <c r="CG1202" s="334"/>
      <c r="CH1202" s="334"/>
      <c r="CI1202" s="334"/>
      <c r="CJ1202" s="334"/>
      <c r="CK1202" s="334"/>
      <c r="CL1202" s="334"/>
      <c r="CM1202" s="334"/>
      <c r="CO1202" s="334"/>
      <c r="CP1202" s="334"/>
      <c r="CQ1202" s="334"/>
      <c r="CR1202" s="334"/>
      <c r="CS1202" s="334"/>
      <c r="CT1202" s="334"/>
      <c r="CU1202" s="334"/>
      <c r="CV1202" s="334"/>
      <c r="CW1202" s="334"/>
      <c r="CX1202" s="334"/>
      <c r="CY1202" s="334"/>
      <c r="CZ1202" s="334"/>
      <c r="DA1202" s="334"/>
      <c r="DB1202" s="334"/>
      <c r="DC1202" s="334"/>
      <c r="DE1202" s="250"/>
    </row>
    <row r="1203" spans="1:109">
      <c r="A1203" s="45"/>
      <c r="B1203" s="100"/>
      <c r="C1203" s="100"/>
      <c r="D1203" s="100"/>
      <c r="E1203" s="100"/>
      <c r="F1203" s="330"/>
      <c r="G1203" s="100"/>
      <c r="H1203" s="100"/>
      <c r="I1203" s="100"/>
      <c r="J1203" s="100"/>
      <c r="K1203" s="100"/>
      <c r="L1203" s="100"/>
      <c r="M1203" s="100"/>
      <c r="N1203" s="45"/>
      <c r="O1203" s="100"/>
      <c r="P1203" s="331"/>
      <c r="Q1203" s="100"/>
      <c r="R1203" s="332"/>
      <c r="S1203" s="45"/>
      <c r="T1203" s="45"/>
      <c r="U1203" s="333"/>
      <c r="V1203" s="333"/>
      <c r="W1203" s="44"/>
      <c r="X1203" s="333"/>
      <c r="Y1203" s="333"/>
      <c r="Z1203" s="333"/>
      <c r="AA1203" s="333"/>
      <c r="AB1203" s="44"/>
      <c r="AC1203" s="333"/>
      <c r="AD1203" s="333"/>
      <c r="AE1203" s="333"/>
      <c r="AF1203" s="333"/>
      <c r="AG1203" s="44"/>
      <c r="AH1203" s="333"/>
      <c r="AI1203" s="333"/>
      <c r="AJ1203" s="333"/>
      <c r="AK1203" s="333"/>
      <c r="AL1203" s="44"/>
      <c r="AM1203" s="45"/>
      <c r="AN1203" s="100"/>
      <c r="AO1203" s="100"/>
      <c r="AP1203" s="100"/>
      <c r="AQ1203" s="100"/>
      <c r="AR1203" s="100"/>
      <c r="AS1203" s="334"/>
      <c r="AT1203" s="334"/>
      <c r="AU1203" s="334"/>
      <c r="AV1203" s="334"/>
      <c r="AW1203" s="334"/>
      <c r="AX1203" s="334"/>
      <c r="AY1203" s="334"/>
      <c r="AZ1203" s="334"/>
      <c r="BA1203" s="334"/>
      <c r="BB1203" s="334"/>
      <c r="BC1203" s="334"/>
      <c r="BD1203" s="334"/>
      <c r="BE1203" s="334"/>
      <c r="BF1203" s="334"/>
      <c r="BG1203" s="334"/>
      <c r="BI1203" s="334"/>
      <c r="BJ1203" s="334"/>
      <c r="BK1203" s="334"/>
      <c r="BL1203" s="334"/>
      <c r="BM1203" s="334"/>
      <c r="BN1203" s="334"/>
      <c r="BO1203" s="334"/>
      <c r="BP1203" s="334"/>
      <c r="BQ1203" s="334"/>
      <c r="BR1203" s="334"/>
      <c r="BS1203" s="334"/>
      <c r="BT1203" s="334"/>
      <c r="BU1203" s="334"/>
      <c r="BV1203" s="334"/>
      <c r="BW1203" s="334"/>
      <c r="BY1203" s="334"/>
      <c r="BZ1203" s="334"/>
      <c r="CA1203" s="334"/>
      <c r="CB1203" s="334"/>
      <c r="CC1203" s="334"/>
      <c r="CD1203" s="334"/>
      <c r="CE1203" s="334"/>
      <c r="CF1203" s="334"/>
      <c r="CG1203" s="334"/>
      <c r="CH1203" s="334"/>
      <c r="CI1203" s="334"/>
      <c r="CJ1203" s="334"/>
      <c r="CK1203" s="334"/>
      <c r="CL1203" s="334"/>
      <c r="CM1203" s="334"/>
      <c r="CO1203" s="334"/>
      <c r="CP1203" s="334"/>
      <c r="CQ1203" s="334"/>
      <c r="CR1203" s="334"/>
      <c r="CS1203" s="334"/>
      <c r="CT1203" s="334"/>
      <c r="CU1203" s="334"/>
      <c r="CV1203" s="334"/>
      <c r="CW1203" s="334"/>
      <c r="CX1203" s="334"/>
      <c r="CY1203" s="334"/>
      <c r="CZ1203" s="334"/>
      <c r="DA1203" s="334"/>
      <c r="DB1203" s="334"/>
      <c r="DC1203" s="334"/>
      <c r="DE1203" s="250"/>
    </row>
    <row r="1204" spans="1:109">
      <c r="A1204" s="45"/>
      <c r="B1204" s="100"/>
      <c r="C1204" s="100"/>
      <c r="D1204" s="100"/>
      <c r="E1204" s="100"/>
      <c r="F1204" s="330"/>
      <c r="G1204" s="100"/>
      <c r="H1204" s="100"/>
      <c r="I1204" s="100"/>
      <c r="J1204" s="100"/>
      <c r="K1204" s="100"/>
      <c r="L1204" s="100"/>
      <c r="M1204" s="100"/>
      <c r="N1204" s="45"/>
      <c r="O1204" s="100"/>
      <c r="P1204" s="331"/>
      <c r="Q1204" s="100"/>
      <c r="R1204" s="332"/>
      <c r="S1204" s="45"/>
      <c r="T1204" s="45"/>
      <c r="U1204" s="333"/>
      <c r="V1204" s="333"/>
      <c r="W1204" s="44"/>
      <c r="X1204" s="333"/>
      <c r="Y1204" s="333"/>
      <c r="Z1204" s="333"/>
      <c r="AA1204" s="333"/>
      <c r="AB1204" s="44"/>
      <c r="AC1204" s="333"/>
      <c r="AD1204" s="333"/>
      <c r="AE1204" s="333"/>
      <c r="AF1204" s="333"/>
      <c r="AG1204" s="44"/>
      <c r="AH1204" s="333"/>
      <c r="AI1204" s="333"/>
      <c r="AJ1204" s="333"/>
      <c r="AK1204" s="333"/>
      <c r="AL1204" s="44"/>
      <c r="AM1204" s="45"/>
      <c r="AN1204" s="100"/>
      <c r="AO1204" s="100"/>
      <c r="AP1204" s="100"/>
      <c r="AQ1204" s="100"/>
      <c r="AR1204" s="100"/>
      <c r="AS1204" s="334"/>
      <c r="AT1204" s="334"/>
      <c r="AU1204" s="334"/>
      <c r="AV1204" s="334"/>
      <c r="AW1204" s="334"/>
      <c r="AX1204" s="334"/>
      <c r="AY1204" s="334"/>
      <c r="AZ1204" s="334"/>
      <c r="BA1204" s="334"/>
      <c r="BB1204" s="334"/>
      <c r="BC1204" s="334"/>
      <c r="BD1204" s="334"/>
      <c r="BE1204" s="334"/>
      <c r="BF1204" s="334"/>
      <c r="BG1204" s="334"/>
      <c r="BI1204" s="334"/>
      <c r="BJ1204" s="334"/>
      <c r="BK1204" s="334"/>
      <c r="BL1204" s="334"/>
      <c r="BM1204" s="334"/>
      <c r="BN1204" s="334"/>
      <c r="BO1204" s="334"/>
      <c r="BP1204" s="334"/>
      <c r="BQ1204" s="334"/>
      <c r="BR1204" s="334"/>
      <c r="BS1204" s="334"/>
      <c r="BT1204" s="334"/>
      <c r="BU1204" s="334"/>
      <c r="BV1204" s="334"/>
      <c r="BW1204" s="334"/>
      <c r="BY1204" s="334"/>
      <c r="BZ1204" s="334"/>
      <c r="CA1204" s="334"/>
      <c r="CB1204" s="334"/>
      <c r="CC1204" s="334"/>
      <c r="CD1204" s="334"/>
      <c r="CE1204" s="334"/>
      <c r="CF1204" s="334"/>
      <c r="CG1204" s="334"/>
      <c r="CH1204" s="334"/>
      <c r="CI1204" s="334"/>
      <c r="CJ1204" s="334"/>
      <c r="CK1204" s="334"/>
      <c r="CL1204" s="334"/>
      <c r="CM1204" s="334"/>
      <c r="CO1204" s="334"/>
      <c r="CP1204" s="334"/>
      <c r="CQ1204" s="334"/>
      <c r="CR1204" s="334"/>
      <c r="CS1204" s="334"/>
      <c r="CT1204" s="334"/>
      <c r="CU1204" s="334"/>
      <c r="CV1204" s="334"/>
      <c r="CW1204" s="334"/>
      <c r="CX1204" s="334"/>
      <c r="CY1204" s="334"/>
      <c r="CZ1204" s="334"/>
      <c r="DA1204" s="334"/>
      <c r="DB1204" s="334"/>
      <c r="DC1204" s="334"/>
      <c r="DE1204" s="250"/>
    </row>
    <row r="1205" spans="1:109">
      <c r="A1205" s="45"/>
      <c r="B1205" s="100"/>
      <c r="C1205" s="100"/>
      <c r="D1205" s="100"/>
      <c r="E1205" s="100"/>
      <c r="F1205" s="330"/>
      <c r="G1205" s="100"/>
      <c r="H1205" s="100"/>
      <c r="I1205" s="100"/>
      <c r="J1205" s="100"/>
      <c r="K1205" s="100"/>
      <c r="L1205" s="100"/>
      <c r="M1205" s="100"/>
      <c r="N1205" s="45"/>
      <c r="O1205" s="100"/>
      <c r="P1205" s="331"/>
      <c r="Q1205" s="100"/>
      <c r="R1205" s="332"/>
      <c r="S1205" s="45"/>
      <c r="T1205" s="45"/>
      <c r="U1205" s="333"/>
      <c r="V1205" s="333"/>
      <c r="W1205" s="44"/>
      <c r="X1205" s="333"/>
      <c r="Y1205" s="333"/>
      <c r="Z1205" s="333"/>
      <c r="AA1205" s="333"/>
      <c r="AB1205" s="44"/>
      <c r="AC1205" s="333"/>
      <c r="AD1205" s="333"/>
      <c r="AE1205" s="333"/>
      <c r="AF1205" s="333"/>
      <c r="AG1205" s="44"/>
      <c r="AH1205" s="333"/>
      <c r="AI1205" s="333"/>
      <c r="AJ1205" s="333"/>
      <c r="AK1205" s="333"/>
      <c r="AL1205" s="44"/>
      <c r="AM1205" s="45"/>
      <c r="AN1205" s="100"/>
      <c r="AO1205" s="100"/>
      <c r="AP1205" s="100"/>
      <c r="AQ1205" s="100"/>
      <c r="AR1205" s="100"/>
      <c r="AS1205" s="334"/>
      <c r="AT1205" s="334"/>
      <c r="AU1205" s="334"/>
      <c r="AV1205" s="334"/>
      <c r="AW1205" s="334"/>
      <c r="AX1205" s="334"/>
      <c r="AY1205" s="334"/>
      <c r="AZ1205" s="334"/>
      <c r="BA1205" s="334"/>
      <c r="BB1205" s="334"/>
      <c r="BC1205" s="334"/>
      <c r="BD1205" s="334"/>
      <c r="BE1205" s="334"/>
      <c r="BF1205" s="334"/>
      <c r="BG1205" s="334"/>
      <c r="BI1205" s="334"/>
      <c r="BJ1205" s="334"/>
      <c r="BK1205" s="334"/>
      <c r="BL1205" s="334"/>
      <c r="BM1205" s="334"/>
      <c r="BN1205" s="334"/>
      <c r="BO1205" s="334"/>
      <c r="BP1205" s="334"/>
      <c r="BQ1205" s="334"/>
      <c r="BR1205" s="334"/>
      <c r="BS1205" s="334"/>
      <c r="BT1205" s="334"/>
      <c r="BU1205" s="334"/>
      <c r="BV1205" s="334"/>
      <c r="BW1205" s="334"/>
      <c r="BY1205" s="334"/>
      <c r="BZ1205" s="334"/>
      <c r="CA1205" s="334"/>
      <c r="CB1205" s="334"/>
      <c r="CC1205" s="334"/>
      <c r="CD1205" s="334"/>
      <c r="CE1205" s="334"/>
      <c r="CF1205" s="334"/>
      <c r="CG1205" s="334"/>
      <c r="CH1205" s="334"/>
      <c r="CI1205" s="334"/>
      <c r="CJ1205" s="334"/>
      <c r="CK1205" s="334"/>
      <c r="CL1205" s="334"/>
      <c r="CM1205" s="334"/>
      <c r="CO1205" s="334"/>
      <c r="CP1205" s="334"/>
      <c r="CQ1205" s="334"/>
      <c r="CR1205" s="334"/>
      <c r="CS1205" s="334"/>
      <c r="CT1205" s="334"/>
      <c r="CU1205" s="334"/>
      <c r="CV1205" s="334"/>
      <c r="CW1205" s="334"/>
      <c r="CX1205" s="334"/>
      <c r="CY1205" s="334"/>
      <c r="CZ1205" s="334"/>
      <c r="DA1205" s="334"/>
      <c r="DB1205" s="334"/>
      <c r="DC1205" s="334"/>
      <c r="DE1205" s="250"/>
    </row>
    <row r="1206" spans="1:109">
      <c r="A1206" s="45"/>
      <c r="B1206" s="100"/>
      <c r="C1206" s="100"/>
      <c r="D1206" s="100"/>
      <c r="E1206" s="100"/>
      <c r="F1206" s="330"/>
      <c r="G1206" s="100"/>
      <c r="H1206" s="100"/>
      <c r="I1206" s="100"/>
      <c r="J1206" s="100"/>
      <c r="K1206" s="100"/>
      <c r="L1206" s="100"/>
      <c r="M1206" s="100"/>
      <c r="N1206" s="45"/>
      <c r="O1206" s="100"/>
      <c r="P1206" s="331"/>
      <c r="Q1206" s="100"/>
      <c r="R1206" s="332"/>
      <c r="S1206" s="45"/>
      <c r="T1206" s="45"/>
      <c r="U1206" s="333"/>
      <c r="V1206" s="333"/>
      <c r="W1206" s="44"/>
      <c r="X1206" s="333"/>
      <c r="Y1206" s="333"/>
      <c r="Z1206" s="333"/>
      <c r="AA1206" s="333"/>
      <c r="AB1206" s="44"/>
      <c r="AC1206" s="333"/>
      <c r="AD1206" s="333"/>
      <c r="AE1206" s="333"/>
      <c r="AF1206" s="333"/>
      <c r="AG1206" s="44"/>
      <c r="AH1206" s="333"/>
      <c r="AI1206" s="333"/>
      <c r="AJ1206" s="333"/>
      <c r="AK1206" s="333"/>
      <c r="AL1206" s="44"/>
      <c r="AM1206" s="45"/>
      <c r="AN1206" s="100"/>
      <c r="AO1206" s="100"/>
      <c r="AP1206" s="100"/>
      <c r="AQ1206" s="100"/>
      <c r="AR1206" s="100"/>
      <c r="AS1206" s="334"/>
      <c r="AT1206" s="334"/>
      <c r="AU1206" s="334"/>
      <c r="AV1206" s="334"/>
      <c r="AW1206" s="334"/>
      <c r="AX1206" s="334"/>
      <c r="AY1206" s="334"/>
      <c r="AZ1206" s="334"/>
      <c r="BA1206" s="334"/>
      <c r="BB1206" s="334"/>
      <c r="BC1206" s="334"/>
      <c r="BD1206" s="334"/>
      <c r="BE1206" s="334"/>
      <c r="BF1206" s="334"/>
      <c r="BG1206" s="334"/>
      <c r="BI1206" s="334"/>
      <c r="BJ1206" s="334"/>
      <c r="BK1206" s="334"/>
      <c r="BL1206" s="334"/>
      <c r="BM1206" s="334"/>
      <c r="BN1206" s="334"/>
      <c r="BO1206" s="334"/>
      <c r="BP1206" s="334"/>
      <c r="BQ1206" s="334"/>
      <c r="BR1206" s="334"/>
      <c r="BS1206" s="334"/>
      <c r="BT1206" s="334"/>
      <c r="BU1206" s="334"/>
      <c r="BV1206" s="334"/>
      <c r="BW1206" s="334"/>
      <c r="BY1206" s="334"/>
      <c r="BZ1206" s="334"/>
      <c r="CA1206" s="334"/>
      <c r="CB1206" s="334"/>
      <c r="CC1206" s="334"/>
      <c r="CD1206" s="334"/>
      <c r="CE1206" s="334"/>
      <c r="CF1206" s="334"/>
      <c r="CG1206" s="334"/>
      <c r="CH1206" s="334"/>
      <c r="CI1206" s="334"/>
      <c r="CJ1206" s="334"/>
      <c r="CK1206" s="334"/>
      <c r="CL1206" s="334"/>
      <c r="CM1206" s="334"/>
      <c r="CO1206" s="334"/>
      <c r="CP1206" s="334"/>
      <c r="CQ1206" s="334"/>
      <c r="CR1206" s="334"/>
      <c r="CS1206" s="334"/>
      <c r="CT1206" s="334"/>
      <c r="CU1206" s="334"/>
      <c r="CV1206" s="334"/>
      <c r="CW1206" s="334"/>
      <c r="CX1206" s="334"/>
      <c r="CY1206" s="334"/>
      <c r="CZ1206" s="334"/>
      <c r="DA1206" s="334"/>
      <c r="DB1206" s="334"/>
      <c r="DC1206" s="334"/>
      <c r="DE1206" s="250"/>
    </row>
    <row r="1207" spans="1:109">
      <c r="A1207" s="45"/>
      <c r="B1207" s="100"/>
      <c r="C1207" s="100"/>
      <c r="D1207" s="100"/>
      <c r="E1207" s="100"/>
      <c r="F1207" s="330"/>
      <c r="G1207" s="100"/>
      <c r="H1207" s="100"/>
      <c r="I1207" s="100"/>
      <c r="J1207" s="100"/>
      <c r="K1207" s="100"/>
      <c r="L1207" s="100"/>
      <c r="M1207" s="100"/>
      <c r="N1207" s="45"/>
      <c r="O1207" s="100"/>
      <c r="P1207" s="331"/>
      <c r="Q1207" s="100"/>
      <c r="R1207" s="332"/>
      <c r="S1207" s="45"/>
      <c r="T1207" s="45"/>
      <c r="U1207" s="333"/>
      <c r="V1207" s="333"/>
      <c r="W1207" s="44"/>
      <c r="X1207" s="333"/>
      <c r="Y1207" s="333"/>
      <c r="Z1207" s="333"/>
      <c r="AA1207" s="333"/>
      <c r="AB1207" s="44"/>
      <c r="AC1207" s="333"/>
      <c r="AD1207" s="333"/>
      <c r="AE1207" s="333"/>
      <c r="AF1207" s="333"/>
      <c r="AG1207" s="44"/>
      <c r="AH1207" s="333"/>
      <c r="AI1207" s="333"/>
      <c r="AJ1207" s="333"/>
      <c r="AK1207" s="333"/>
      <c r="AL1207" s="44"/>
      <c r="AM1207" s="45"/>
      <c r="AN1207" s="100"/>
      <c r="AO1207" s="100"/>
      <c r="AP1207" s="100"/>
      <c r="AQ1207" s="100"/>
      <c r="AR1207" s="100"/>
      <c r="AS1207" s="334"/>
      <c r="AT1207" s="334"/>
      <c r="AU1207" s="334"/>
      <c r="AV1207" s="334"/>
      <c r="AW1207" s="334"/>
      <c r="AX1207" s="334"/>
      <c r="AY1207" s="334"/>
      <c r="AZ1207" s="334"/>
      <c r="BA1207" s="334"/>
      <c r="BB1207" s="334"/>
      <c r="BC1207" s="334"/>
      <c r="BD1207" s="334"/>
      <c r="BE1207" s="334"/>
      <c r="BF1207" s="334"/>
      <c r="BG1207" s="334"/>
      <c r="BI1207" s="334"/>
      <c r="BJ1207" s="334"/>
      <c r="BK1207" s="334"/>
      <c r="BL1207" s="334"/>
      <c r="BM1207" s="334"/>
      <c r="BN1207" s="334"/>
      <c r="BO1207" s="334"/>
      <c r="BP1207" s="334"/>
      <c r="BQ1207" s="334"/>
      <c r="BR1207" s="334"/>
      <c r="BS1207" s="334"/>
      <c r="BT1207" s="334"/>
      <c r="BU1207" s="334"/>
      <c r="BV1207" s="334"/>
      <c r="BW1207" s="334"/>
      <c r="BY1207" s="334"/>
      <c r="BZ1207" s="334"/>
      <c r="CA1207" s="334"/>
      <c r="CB1207" s="334"/>
      <c r="CC1207" s="334"/>
      <c r="CD1207" s="334"/>
      <c r="CE1207" s="334"/>
      <c r="CF1207" s="334"/>
      <c r="CG1207" s="334"/>
      <c r="CH1207" s="334"/>
      <c r="CI1207" s="334"/>
      <c r="CJ1207" s="334"/>
      <c r="CK1207" s="334"/>
      <c r="CL1207" s="334"/>
      <c r="CM1207" s="334"/>
      <c r="CO1207" s="334"/>
      <c r="CP1207" s="334"/>
      <c r="CQ1207" s="334"/>
      <c r="CR1207" s="334"/>
      <c r="CS1207" s="334"/>
      <c r="CT1207" s="334"/>
      <c r="CU1207" s="334"/>
      <c r="CV1207" s="334"/>
      <c r="CW1207" s="334"/>
      <c r="CX1207" s="334"/>
      <c r="CY1207" s="334"/>
      <c r="CZ1207" s="334"/>
      <c r="DA1207" s="334"/>
      <c r="DB1207" s="334"/>
      <c r="DC1207" s="334"/>
      <c r="DE1207" s="250"/>
    </row>
    <row r="1208" spans="1:109">
      <c r="A1208" s="45"/>
      <c r="B1208" s="100"/>
      <c r="C1208" s="100"/>
      <c r="D1208" s="100"/>
      <c r="E1208" s="100"/>
      <c r="F1208" s="330"/>
      <c r="G1208" s="100"/>
      <c r="H1208" s="100"/>
      <c r="I1208" s="100"/>
      <c r="J1208" s="100"/>
      <c r="K1208" s="100"/>
      <c r="L1208" s="100"/>
      <c r="M1208" s="100"/>
      <c r="N1208" s="45"/>
      <c r="O1208" s="100"/>
      <c r="P1208" s="331"/>
      <c r="Q1208" s="100"/>
      <c r="R1208" s="332"/>
      <c r="S1208" s="45"/>
      <c r="T1208" s="45"/>
      <c r="U1208" s="333"/>
      <c r="V1208" s="333"/>
      <c r="W1208" s="44"/>
      <c r="X1208" s="333"/>
      <c r="Y1208" s="333"/>
      <c r="Z1208" s="333"/>
      <c r="AA1208" s="333"/>
      <c r="AB1208" s="44"/>
      <c r="AC1208" s="333"/>
      <c r="AD1208" s="333"/>
      <c r="AE1208" s="333"/>
      <c r="AF1208" s="333"/>
      <c r="AG1208" s="44"/>
      <c r="AH1208" s="333"/>
      <c r="AI1208" s="333"/>
      <c r="AJ1208" s="333"/>
      <c r="AK1208" s="333"/>
      <c r="AL1208" s="44"/>
      <c r="AM1208" s="45"/>
      <c r="AN1208" s="100"/>
      <c r="AO1208" s="100"/>
      <c r="AP1208" s="100"/>
      <c r="AQ1208" s="100"/>
      <c r="AR1208" s="100"/>
      <c r="AS1208" s="334"/>
      <c r="AT1208" s="334"/>
      <c r="AU1208" s="334"/>
      <c r="AV1208" s="334"/>
      <c r="AW1208" s="334"/>
      <c r="AX1208" s="334"/>
      <c r="AY1208" s="334"/>
      <c r="AZ1208" s="334"/>
      <c r="BA1208" s="334"/>
      <c r="BB1208" s="334"/>
      <c r="BC1208" s="334"/>
      <c r="BD1208" s="334"/>
      <c r="BE1208" s="334"/>
      <c r="BF1208" s="334"/>
      <c r="BG1208" s="334"/>
      <c r="BI1208" s="334"/>
      <c r="BJ1208" s="334"/>
      <c r="BK1208" s="334"/>
      <c r="BL1208" s="334"/>
      <c r="BM1208" s="334"/>
      <c r="BN1208" s="334"/>
      <c r="BO1208" s="334"/>
      <c r="BP1208" s="334"/>
      <c r="BQ1208" s="334"/>
      <c r="BR1208" s="334"/>
      <c r="BS1208" s="334"/>
      <c r="BT1208" s="334"/>
      <c r="BU1208" s="334"/>
      <c r="BV1208" s="334"/>
      <c r="BW1208" s="334"/>
      <c r="BY1208" s="334"/>
      <c r="BZ1208" s="334"/>
      <c r="CA1208" s="334"/>
      <c r="CB1208" s="334"/>
      <c r="CC1208" s="334"/>
      <c r="CD1208" s="334"/>
      <c r="CE1208" s="334"/>
      <c r="CF1208" s="334"/>
      <c r="CG1208" s="334"/>
      <c r="CH1208" s="334"/>
      <c r="CI1208" s="334"/>
      <c r="CJ1208" s="334"/>
      <c r="CK1208" s="334"/>
      <c r="CL1208" s="334"/>
      <c r="CM1208" s="334"/>
      <c r="CO1208" s="334"/>
      <c r="CP1208" s="334"/>
      <c r="CQ1208" s="334"/>
      <c r="CR1208" s="334"/>
      <c r="CS1208" s="334"/>
      <c r="CT1208" s="334"/>
      <c r="CU1208" s="334"/>
      <c r="CV1208" s="334"/>
      <c r="CW1208" s="334"/>
      <c r="CX1208" s="334"/>
      <c r="CY1208" s="334"/>
      <c r="CZ1208" s="334"/>
      <c r="DA1208" s="334"/>
      <c r="DB1208" s="334"/>
      <c r="DC1208" s="334"/>
      <c r="DE1208" s="250"/>
    </row>
    <row r="1209" spans="1:109">
      <c r="A1209" s="45"/>
      <c r="B1209" s="100"/>
      <c r="C1209" s="100"/>
      <c r="D1209" s="100"/>
      <c r="E1209" s="100"/>
      <c r="F1209" s="330"/>
      <c r="G1209" s="100"/>
      <c r="H1209" s="100"/>
      <c r="I1209" s="100"/>
      <c r="J1209" s="100"/>
      <c r="K1209" s="100"/>
      <c r="L1209" s="100"/>
      <c r="M1209" s="100"/>
      <c r="N1209" s="45"/>
      <c r="O1209" s="100"/>
      <c r="P1209" s="331"/>
      <c r="Q1209" s="100"/>
      <c r="R1209" s="332"/>
      <c r="S1209" s="45"/>
      <c r="T1209" s="45"/>
      <c r="U1209" s="333"/>
      <c r="V1209" s="333"/>
      <c r="W1209" s="44"/>
      <c r="X1209" s="333"/>
      <c r="Y1209" s="333"/>
      <c r="Z1209" s="333"/>
      <c r="AA1209" s="333"/>
      <c r="AB1209" s="44"/>
      <c r="AC1209" s="333"/>
      <c r="AD1209" s="333"/>
      <c r="AE1209" s="333"/>
      <c r="AF1209" s="333"/>
      <c r="AG1209" s="44"/>
      <c r="AH1209" s="333"/>
      <c r="AI1209" s="333"/>
      <c r="AJ1209" s="333"/>
      <c r="AK1209" s="333"/>
      <c r="AL1209" s="44"/>
      <c r="AM1209" s="45"/>
      <c r="AN1209" s="100"/>
      <c r="AO1209" s="100"/>
      <c r="AP1209" s="100"/>
      <c r="AQ1209" s="100"/>
      <c r="AR1209" s="100"/>
      <c r="AS1209" s="334"/>
      <c r="AT1209" s="334"/>
      <c r="AU1209" s="334"/>
      <c r="AV1209" s="334"/>
      <c r="AW1209" s="334"/>
      <c r="AX1209" s="334"/>
      <c r="AY1209" s="334"/>
      <c r="AZ1209" s="334"/>
      <c r="BA1209" s="334"/>
      <c r="BB1209" s="334"/>
      <c r="BC1209" s="334"/>
      <c r="BD1209" s="334"/>
      <c r="BE1209" s="334"/>
      <c r="BF1209" s="334"/>
      <c r="BG1209" s="334"/>
      <c r="BI1209" s="334"/>
      <c r="BJ1209" s="334"/>
      <c r="BK1209" s="334"/>
      <c r="BL1209" s="334"/>
      <c r="BM1209" s="334"/>
      <c r="BN1209" s="334"/>
      <c r="BO1209" s="334"/>
      <c r="BP1209" s="334"/>
      <c r="BQ1209" s="334"/>
      <c r="BR1209" s="334"/>
      <c r="BS1209" s="334"/>
      <c r="BT1209" s="334"/>
      <c r="BU1209" s="334"/>
      <c r="BV1209" s="334"/>
      <c r="BW1209" s="334"/>
      <c r="BY1209" s="334"/>
      <c r="BZ1209" s="334"/>
      <c r="CA1209" s="334"/>
      <c r="CB1209" s="334"/>
      <c r="CC1209" s="334"/>
      <c r="CD1209" s="334"/>
      <c r="CE1209" s="334"/>
      <c r="CF1209" s="334"/>
      <c r="CG1209" s="334"/>
      <c r="CH1209" s="334"/>
      <c r="CI1209" s="334"/>
      <c r="CJ1209" s="334"/>
      <c r="CK1209" s="334"/>
      <c r="CL1209" s="334"/>
      <c r="CM1209" s="334"/>
      <c r="CO1209" s="334"/>
      <c r="CP1209" s="334"/>
      <c r="CQ1209" s="334"/>
      <c r="CR1209" s="334"/>
      <c r="CS1209" s="334"/>
      <c r="CT1209" s="334"/>
      <c r="CU1209" s="334"/>
      <c r="CV1209" s="334"/>
      <c r="CW1209" s="334"/>
      <c r="CX1209" s="334"/>
      <c r="CY1209" s="334"/>
      <c r="CZ1209" s="334"/>
      <c r="DA1209" s="334"/>
      <c r="DB1209" s="334"/>
      <c r="DC1209" s="334"/>
      <c r="DE1209" s="250"/>
    </row>
    <row r="1210" spans="1:109">
      <c r="A1210" s="45"/>
      <c r="B1210" s="100"/>
      <c r="C1210" s="100"/>
      <c r="D1210" s="100"/>
      <c r="E1210" s="100"/>
      <c r="F1210" s="330"/>
      <c r="G1210" s="100"/>
      <c r="H1210" s="100"/>
      <c r="I1210" s="100"/>
      <c r="J1210" s="100"/>
      <c r="K1210" s="100"/>
      <c r="L1210" s="100"/>
      <c r="M1210" s="100"/>
      <c r="N1210" s="45"/>
      <c r="O1210" s="100"/>
      <c r="P1210" s="331"/>
      <c r="Q1210" s="100"/>
      <c r="R1210" s="332"/>
      <c r="S1210" s="45"/>
      <c r="T1210" s="45"/>
      <c r="U1210" s="333"/>
      <c r="V1210" s="333"/>
      <c r="W1210" s="44"/>
      <c r="X1210" s="333"/>
      <c r="Y1210" s="333"/>
      <c r="Z1210" s="333"/>
      <c r="AA1210" s="333"/>
      <c r="AB1210" s="44"/>
      <c r="AC1210" s="333"/>
      <c r="AD1210" s="333"/>
      <c r="AE1210" s="333"/>
      <c r="AF1210" s="333"/>
      <c r="AG1210" s="44"/>
      <c r="AH1210" s="333"/>
      <c r="AI1210" s="333"/>
      <c r="AJ1210" s="333"/>
      <c r="AK1210" s="333"/>
      <c r="AL1210" s="44"/>
      <c r="AM1210" s="45"/>
      <c r="AN1210" s="100"/>
      <c r="AO1210" s="100"/>
      <c r="AP1210" s="100"/>
      <c r="AQ1210" s="100"/>
      <c r="AR1210" s="100"/>
      <c r="AS1210" s="334"/>
      <c r="AT1210" s="334"/>
      <c r="AU1210" s="334"/>
      <c r="AV1210" s="334"/>
      <c r="AW1210" s="334"/>
      <c r="AX1210" s="334"/>
      <c r="AY1210" s="334"/>
      <c r="AZ1210" s="334"/>
      <c r="BA1210" s="334"/>
      <c r="BB1210" s="334"/>
      <c r="BC1210" s="334"/>
      <c r="BD1210" s="334"/>
      <c r="BE1210" s="334"/>
      <c r="BF1210" s="334"/>
      <c r="BG1210" s="334"/>
      <c r="BI1210" s="334"/>
      <c r="BJ1210" s="334"/>
      <c r="BK1210" s="334"/>
      <c r="BL1210" s="334"/>
      <c r="BM1210" s="334"/>
      <c r="BN1210" s="334"/>
      <c r="BO1210" s="334"/>
      <c r="BP1210" s="334"/>
      <c r="BQ1210" s="334"/>
      <c r="BR1210" s="334"/>
      <c r="BS1210" s="334"/>
      <c r="BT1210" s="334"/>
      <c r="BU1210" s="334"/>
      <c r="BV1210" s="334"/>
      <c r="BW1210" s="334"/>
      <c r="BY1210" s="334"/>
      <c r="BZ1210" s="334"/>
      <c r="CA1210" s="334"/>
      <c r="CB1210" s="334"/>
      <c r="CC1210" s="334"/>
      <c r="CD1210" s="334"/>
      <c r="CE1210" s="334"/>
      <c r="CF1210" s="334"/>
      <c r="CG1210" s="334"/>
      <c r="CH1210" s="334"/>
      <c r="CI1210" s="334"/>
      <c r="CJ1210" s="334"/>
      <c r="CK1210" s="334"/>
      <c r="CL1210" s="334"/>
      <c r="CM1210" s="334"/>
      <c r="CO1210" s="334"/>
      <c r="CP1210" s="334"/>
      <c r="CQ1210" s="334"/>
      <c r="CR1210" s="334"/>
      <c r="CS1210" s="334"/>
      <c r="CT1210" s="334"/>
      <c r="CU1210" s="334"/>
      <c r="CV1210" s="334"/>
      <c r="CW1210" s="334"/>
      <c r="CX1210" s="334"/>
      <c r="CY1210" s="334"/>
      <c r="CZ1210" s="334"/>
      <c r="DA1210" s="334"/>
      <c r="DB1210" s="334"/>
      <c r="DC1210" s="334"/>
      <c r="DE1210" s="250"/>
    </row>
    <row r="1211" spans="1:109">
      <c r="A1211" s="45"/>
      <c r="B1211" s="100"/>
      <c r="C1211" s="100"/>
      <c r="D1211" s="100"/>
      <c r="E1211" s="100"/>
      <c r="F1211" s="330"/>
      <c r="G1211" s="100"/>
      <c r="H1211" s="100"/>
      <c r="I1211" s="100"/>
      <c r="J1211" s="100"/>
      <c r="K1211" s="100"/>
      <c r="L1211" s="100"/>
      <c r="M1211" s="100"/>
      <c r="N1211" s="45"/>
      <c r="O1211" s="100"/>
      <c r="P1211" s="331"/>
      <c r="Q1211" s="100"/>
      <c r="R1211" s="332"/>
      <c r="S1211" s="45"/>
      <c r="T1211" s="45"/>
      <c r="U1211" s="333"/>
      <c r="V1211" s="333"/>
      <c r="W1211" s="44"/>
      <c r="X1211" s="333"/>
      <c r="Y1211" s="333"/>
      <c r="Z1211" s="333"/>
      <c r="AA1211" s="333"/>
      <c r="AB1211" s="44"/>
      <c r="AC1211" s="333"/>
      <c r="AD1211" s="333"/>
      <c r="AE1211" s="333"/>
      <c r="AF1211" s="333"/>
      <c r="AG1211" s="44"/>
      <c r="AH1211" s="333"/>
      <c r="AI1211" s="333"/>
      <c r="AJ1211" s="333"/>
      <c r="AK1211" s="333"/>
      <c r="AL1211" s="44"/>
      <c r="AM1211" s="45"/>
      <c r="AN1211" s="100"/>
      <c r="AO1211" s="100"/>
      <c r="AP1211" s="100"/>
      <c r="AQ1211" s="100"/>
      <c r="AR1211" s="100"/>
      <c r="AS1211" s="334"/>
      <c r="AT1211" s="334"/>
      <c r="AU1211" s="334"/>
      <c r="AV1211" s="334"/>
      <c r="AW1211" s="334"/>
      <c r="AX1211" s="334"/>
      <c r="AY1211" s="334"/>
      <c r="AZ1211" s="334"/>
      <c r="BA1211" s="334"/>
      <c r="BB1211" s="334"/>
      <c r="BC1211" s="334"/>
      <c r="BD1211" s="334"/>
      <c r="BE1211" s="334"/>
      <c r="BF1211" s="334"/>
      <c r="BG1211" s="334"/>
      <c r="BI1211" s="334"/>
      <c r="BJ1211" s="334"/>
      <c r="BK1211" s="334"/>
      <c r="BL1211" s="334"/>
      <c r="BM1211" s="334"/>
      <c r="BN1211" s="334"/>
      <c r="BO1211" s="334"/>
      <c r="BP1211" s="334"/>
      <c r="BQ1211" s="334"/>
      <c r="BR1211" s="334"/>
      <c r="BS1211" s="334"/>
      <c r="BT1211" s="334"/>
      <c r="BU1211" s="334"/>
      <c r="BV1211" s="334"/>
      <c r="BW1211" s="334"/>
      <c r="BY1211" s="334"/>
      <c r="BZ1211" s="334"/>
      <c r="CA1211" s="334"/>
      <c r="CB1211" s="334"/>
      <c r="CC1211" s="334"/>
      <c r="CD1211" s="334"/>
      <c r="CE1211" s="334"/>
      <c r="CF1211" s="334"/>
      <c r="CG1211" s="334"/>
      <c r="CH1211" s="334"/>
      <c r="CI1211" s="334"/>
      <c r="CJ1211" s="334"/>
      <c r="CK1211" s="334"/>
      <c r="CL1211" s="334"/>
      <c r="CM1211" s="334"/>
      <c r="CO1211" s="334"/>
      <c r="CP1211" s="334"/>
      <c r="CQ1211" s="334"/>
      <c r="CR1211" s="334"/>
      <c r="CS1211" s="334"/>
      <c r="CT1211" s="334"/>
      <c r="CU1211" s="334"/>
      <c r="CV1211" s="334"/>
      <c r="CW1211" s="334"/>
      <c r="CX1211" s="334"/>
      <c r="CY1211" s="334"/>
      <c r="CZ1211" s="334"/>
      <c r="DA1211" s="334"/>
      <c r="DB1211" s="334"/>
      <c r="DC1211" s="334"/>
      <c r="DE1211" s="250"/>
    </row>
    <row r="1212" spans="1:109">
      <c r="A1212" s="45"/>
      <c r="B1212" s="100"/>
      <c r="C1212" s="100"/>
      <c r="D1212" s="100"/>
      <c r="E1212" s="100"/>
      <c r="F1212" s="330"/>
      <c r="G1212" s="100"/>
      <c r="H1212" s="100"/>
      <c r="I1212" s="100"/>
      <c r="J1212" s="100"/>
      <c r="K1212" s="100"/>
      <c r="L1212" s="100"/>
      <c r="M1212" s="100"/>
      <c r="N1212" s="45"/>
      <c r="O1212" s="100"/>
      <c r="P1212" s="331"/>
      <c r="Q1212" s="100"/>
      <c r="R1212" s="332"/>
      <c r="S1212" s="45"/>
      <c r="T1212" s="45"/>
      <c r="U1212" s="333"/>
      <c r="V1212" s="333"/>
      <c r="W1212" s="44"/>
      <c r="X1212" s="333"/>
      <c r="Y1212" s="333"/>
      <c r="Z1212" s="333"/>
      <c r="AA1212" s="333"/>
      <c r="AB1212" s="44"/>
      <c r="AC1212" s="333"/>
      <c r="AD1212" s="333"/>
      <c r="AE1212" s="333"/>
      <c r="AF1212" s="333"/>
      <c r="AG1212" s="44"/>
      <c r="AH1212" s="333"/>
      <c r="AI1212" s="333"/>
      <c r="AJ1212" s="333"/>
      <c r="AK1212" s="333"/>
      <c r="AL1212" s="44"/>
      <c r="AM1212" s="45"/>
      <c r="AN1212" s="100"/>
      <c r="AO1212" s="100"/>
      <c r="AP1212" s="100"/>
      <c r="AQ1212" s="100"/>
      <c r="AR1212" s="100"/>
      <c r="AS1212" s="334"/>
      <c r="AT1212" s="334"/>
      <c r="AU1212" s="334"/>
      <c r="AV1212" s="334"/>
      <c r="AW1212" s="334"/>
      <c r="AX1212" s="334"/>
      <c r="AY1212" s="334"/>
      <c r="AZ1212" s="334"/>
      <c r="BA1212" s="334"/>
      <c r="BB1212" s="334"/>
      <c r="BC1212" s="334"/>
      <c r="BD1212" s="334"/>
      <c r="BE1212" s="334"/>
      <c r="BF1212" s="334"/>
      <c r="BG1212" s="334"/>
      <c r="BI1212" s="334"/>
      <c r="BJ1212" s="334"/>
      <c r="BK1212" s="334"/>
      <c r="BL1212" s="334"/>
      <c r="BM1212" s="334"/>
      <c r="BN1212" s="334"/>
      <c r="BO1212" s="334"/>
      <c r="BP1212" s="334"/>
      <c r="BQ1212" s="334"/>
      <c r="BR1212" s="334"/>
      <c r="BS1212" s="334"/>
      <c r="BT1212" s="334"/>
      <c r="BU1212" s="334"/>
      <c r="BV1212" s="334"/>
      <c r="BW1212" s="334"/>
      <c r="BY1212" s="334"/>
      <c r="BZ1212" s="334"/>
      <c r="CA1212" s="334"/>
      <c r="CB1212" s="334"/>
      <c r="CC1212" s="334"/>
      <c r="CD1212" s="334"/>
      <c r="CE1212" s="334"/>
      <c r="CF1212" s="334"/>
      <c r="CG1212" s="334"/>
      <c r="CH1212" s="334"/>
      <c r="CI1212" s="334"/>
      <c r="CJ1212" s="334"/>
      <c r="CK1212" s="334"/>
      <c r="CL1212" s="334"/>
      <c r="CM1212" s="334"/>
      <c r="CO1212" s="334"/>
      <c r="CP1212" s="334"/>
      <c r="CQ1212" s="334"/>
      <c r="CR1212" s="334"/>
      <c r="CS1212" s="334"/>
      <c r="CT1212" s="334"/>
      <c r="CU1212" s="334"/>
      <c r="CV1212" s="334"/>
      <c r="CW1212" s="334"/>
      <c r="CX1212" s="334"/>
      <c r="CY1212" s="334"/>
      <c r="CZ1212" s="334"/>
      <c r="DA1212" s="334"/>
      <c r="DB1212" s="334"/>
      <c r="DC1212" s="334"/>
      <c r="DE1212" s="250"/>
    </row>
    <row r="1213" spans="1:109">
      <c r="A1213" s="45"/>
      <c r="B1213" s="100"/>
      <c r="C1213" s="100"/>
      <c r="D1213" s="100"/>
      <c r="E1213" s="100"/>
      <c r="F1213" s="330"/>
      <c r="G1213" s="100"/>
      <c r="H1213" s="100"/>
      <c r="I1213" s="100"/>
      <c r="J1213" s="100"/>
      <c r="K1213" s="100"/>
      <c r="L1213" s="100"/>
      <c r="M1213" s="100"/>
      <c r="N1213" s="45"/>
      <c r="O1213" s="100"/>
      <c r="P1213" s="331"/>
      <c r="Q1213" s="100"/>
      <c r="R1213" s="332"/>
      <c r="S1213" s="45"/>
      <c r="T1213" s="45"/>
      <c r="U1213" s="333"/>
      <c r="V1213" s="333"/>
      <c r="W1213" s="44"/>
      <c r="X1213" s="333"/>
      <c r="Y1213" s="333"/>
      <c r="Z1213" s="333"/>
      <c r="AA1213" s="333"/>
      <c r="AB1213" s="44"/>
      <c r="AC1213" s="333"/>
      <c r="AD1213" s="333"/>
      <c r="AE1213" s="333"/>
      <c r="AF1213" s="333"/>
      <c r="AG1213" s="44"/>
      <c r="AH1213" s="333"/>
      <c r="AI1213" s="333"/>
      <c r="AJ1213" s="333"/>
      <c r="AK1213" s="333"/>
      <c r="AL1213" s="44"/>
      <c r="AM1213" s="45"/>
      <c r="AN1213" s="100"/>
      <c r="AO1213" s="100"/>
      <c r="AP1213" s="100"/>
      <c r="AQ1213" s="100"/>
      <c r="AR1213" s="100"/>
      <c r="AS1213" s="334"/>
      <c r="AT1213" s="334"/>
      <c r="AU1213" s="334"/>
      <c r="AV1213" s="334"/>
      <c r="AW1213" s="334"/>
      <c r="AX1213" s="334"/>
      <c r="AY1213" s="334"/>
      <c r="AZ1213" s="334"/>
      <c r="BA1213" s="334"/>
      <c r="BB1213" s="334"/>
      <c r="BC1213" s="334"/>
      <c r="BD1213" s="334"/>
      <c r="BE1213" s="334"/>
      <c r="BF1213" s="334"/>
      <c r="BG1213" s="334"/>
      <c r="BI1213" s="334"/>
      <c r="BJ1213" s="334"/>
      <c r="BK1213" s="334"/>
      <c r="BL1213" s="334"/>
      <c r="BM1213" s="334"/>
      <c r="BN1213" s="334"/>
      <c r="BO1213" s="334"/>
      <c r="BP1213" s="334"/>
      <c r="BQ1213" s="334"/>
      <c r="BR1213" s="334"/>
      <c r="BS1213" s="334"/>
      <c r="BT1213" s="334"/>
      <c r="BU1213" s="334"/>
      <c r="BV1213" s="334"/>
      <c r="BW1213" s="334"/>
      <c r="BY1213" s="334"/>
      <c r="BZ1213" s="334"/>
      <c r="CA1213" s="334"/>
      <c r="CB1213" s="334"/>
      <c r="CC1213" s="334"/>
      <c r="CD1213" s="334"/>
      <c r="CE1213" s="334"/>
      <c r="CF1213" s="334"/>
      <c r="CG1213" s="334"/>
      <c r="CH1213" s="334"/>
      <c r="CI1213" s="334"/>
      <c r="CJ1213" s="334"/>
      <c r="CK1213" s="334"/>
      <c r="CL1213" s="334"/>
      <c r="CM1213" s="334"/>
      <c r="CO1213" s="334"/>
      <c r="CP1213" s="334"/>
      <c r="CQ1213" s="334"/>
      <c r="CR1213" s="334"/>
      <c r="CS1213" s="334"/>
      <c r="CT1213" s="334"/>
      <c r="CU1213" s="334"/>
      <c r="CV1213" s="334"/>
      <c r="CW1213" s="334"/>
      <c r="CX1213" s="334"/>
      <c r="CY1213" s="334"/>
      <c r="CZ1213" s="334"/>
      <c r="DA1213" s="334"/>
      <c r="DB1213" s="334"/>
      <c r="DC1213" s="334"/>
      <c r="DE1213" s="250"/>
    </row>
    <row r="1214" spans="1:109">
      <c r="A1214" s="45"/>
      <c r="B1214" s="100"/>
      <c r="C1214" s="100"/>
      <c r="D1214" s="100"/>
      <c r="E1214" s="100"/>
      <c r="F1214" s="330"/>
      <c r="G1214" s="100"/>
      <c r="H1214" s="100"/>
      <c r="I1214" s="100"/>
      <c r="J1214" s="100"/>
      <c r="K1214" s="100"/>
      <c r="L1214" s="100"/>
      <c r="M1214" s="100"/>
      <c r="N1214" s="45"/>
      <c r="O1214" s="100"/>
      <c r="P1214" s="331"/>
      <c r="Q1214" s="100"/>
      <c r="R1214" s="332"/>
      <c r="S1214" s="45"/>
      <c r="T1214" s="45"/>
      <c r="U1214" s="333"/>
      <c r="V1214" s="333"/>
      <c r="W1214" s="44"/>
      <c r="X1214" s="333"/>
      <c r="Y1214" s="333"/>
      <c r="Z1214" s="333"/>
      <c r="AA1214" s="333"/>
      <c r="AB1214" s="44"/>
      <c r="AC1214" s="333"/>
      <c r="AD1214" s="333"/>
      <c r="AE1214" s="333"/>
      <c r="AF1214" s="333"/>
      <c r="AG1214" s="44"/>
      <c r="AH1214" s="333"/>
      <c r="AI1214" s="333"/>
      <c r="AJ1214" s="333"/>
      <c r="AK1214" s="333"/>
      <c r="AL1214" s="44"/>
      <c r="AM1214" s="45"/>
      <c r="AN1214" s="100"/>
      <c r="AO1214" s="100"/>
      <c r="AP1214" s="100"/>
      <c r="AQ1214" s="100"/>
      <c r="AR1214" s="100"/>
      <c r="AS1214" s="334"/>
      <c r="AT1214" s="334"/>
      <c r="AU1214" s="334"/>
      <c r="AV1214" s="334"/>
      <c r="AW1214" s="334"/>
      <c r="AX1214" s="334"/>
      <c r="AY1214" s="334"/>
      <c r="AZ1214" s="334"/>
      <c r="BA1214" s="334"/>
      <c r="BB1214" s="334"/>
      <c r="BC1214" s="334"/>
      <c r="BD1214" s="334"/>
      <c r="BE1214" s="334"/>
      <c r="BF1214" s="334"/>
      <c r="BG1214" s="334"/>
      <c r="BI1214" s="334"/>
      <c r="BJ1214" s="334"/>
      <c r="BK1214" s="334"/>
      <c r="BL1214" s="334"/>
      <c r="BM1214" s="334"/>
      <c r="BN1214" s="334"/>
      <c r="BO1214" s="334"/>
      <c r="BP1214" s="334"/>
      <c r="BQ1214" s="334"/>
      <c r="BR1214" s="334"/>
      <c r="BS1214" s="334"/>
      <c r="BT1214" s="334"/>
      <c r="BU1214" s="334"/>
      <c r="BV1214" s="334"/>
      <c r="BW1214" s="334"/>
      <c r="BY1214" s="334"/>
      <c r="BZ1214" s="334"/>
      <c r="CA1214" s="334"/>
      <c r="CB1214" s="334"/>
      <c r="CC1214" s="334"/>
      <c r="CD1214" s="334"/>
      <c r="CE1214" s="334"/>
      <c r="CF1214" s="334"/>
      <c r="CG1214" s="334"/>
      <c r="CH1214" s="334"/>
      <c r="CI1214" s="334"/>
      <c r="CJ1214" s="334"/>
      <c r="CK1214" s="334"/>
      <c r="CL1214" s="334"/>
      <c r="CM1214" s="334"/>
      <c r="CO1214" s="334"/>
      <c r="CP1214" s="334"/>
      <c r="CQ1214" s="334"/>
      <c r="CR1214" s="334"/>
      <c r="CS1214" s="334"/>
      <c r="CT1214" s="334"/>
      <c r="CU1214" s="334"/>
      <c r="CV1214" s="334"/>
      <c r="CW1214" s="334"/>
      <c r="CX1214" s="334"/>
      <c r="CY1214" s="334"/>
      <c r="CZ1214" s="334"/>
      <c r="DA1214" s="334"/>
      <c r="DB1214" s="334"/>
      <c r="DC1214" s="334"/>
      <c r="DE1214" s="250"/>
    </row>
    <row r="1215" spans="1:109">
      <c r="A1215" s="45"/>
      <c r="B1215" s="100"/>
      <c r="C1215" s="100"/>
      <c r="D1215" s="100"/>
      <c r="E1215" s="100"/>
      <c r="F1215" s="330"/>
      <c r="G1215" s="100"/>
      <c r="H1215" s="100"/>
      <c r="I1215" s="100"/>
      <c r="J1215" s="100"/>
      <c r="K1215" s="100"/>
      <c r="L1215" s="100"/>
      <c r="M1215" s="100"/>
      <c r="N1215" s="45"/>
      <c r="O1215" s="100"/>
      <c r="P1215" s="331"/>
      <c r="Q1215" s="100"/>
      <c r="R1215" s="332"/>
      <c r="S1215" s="45"/>
      <c r="T1215" s="45"/>
      <c r="U1215" s="333"/>
      <c r="V1215" s="333"/>
      <c r="W1215" s="44"/>
      <c r="X1215" s="333"/>
      <c r="Y1215" s="333"/>
      <c r="Z1215" s="333"/>
      <c r="AA1215" s="333"/>
      <c r="AB1215" s="44"/>
      <c r="AC1215" s="333"/>
      <c r="AD1215" s="333"/>
      <c r="AE1215" s="333"/>
      <c r="AF1215" s="333"/>
      <c r="AG1215" s="44"/>
      <c r="AH1215" s="333"/>
      <c r="AI1215" s="333"/>
      <c r="AJ1215" s="333"/>
      <c r="AK1215" s="333"/>
      <c r="AL1215" s="44"/>
      <c r="AM1215" s="45"/>
      <c r="AN1215" s="100"/>
      <c r="AO1215" s="100"/>
      <c r="AP1215" s="100"/>
      <c r="AQ1215" s="100"/>
      <c r="AR1215" s="100"/>
      <c r="AS1215" s="334"/>
      <c r="AT1215" s="334"/>
      <c r="AU1215" s="334"/>
      <c r="AV1215" s="334"/>
      <c r="AW1215" s="334"/>
      <c r="AX1215" s="334"/>
      <c r="AY1215" s="334"/>
      <c r="AZ1215" s="334"/>
      <c r="BA1215" s="334"/>
      <c r="BB1215" s="334"/>
      <c r="BC1215" s="334"/>
      <c r="BD1215" s="334"/>
      <c r="BE1215" s="334"/>
      <c r="BF1215" s="334"/>
      <c r="BG1215" s="334"/>
      <c r="BI1215" s="334"/>
      <c r="BJ1215" s="334"/>
      <c r="BK1215" s="334"/>
      <c r="BL1215" s="334"/>
      <c r="BM1215" s="334"/>
      <c r="BN1215" s="334"/>
      <c r="BO1215" s="334"/>
      <c r="BP1215" s="334"/>
      <c r="BQ1215" s="334"/>
      <c r="BR1215" s="334"/>
      <c r="BS1215" s="334"/>
      <c r="BT1215" s="334"/>
      <c r="BU1215" s="334"/>
      <c r="BV1215" s="334"/>
      <c r="BW1215" s="334"/>
      <c r="BY1215" s="334"/>
      <c r="BZ1215" s="334"/>
      <c r="CA1215" s="334"/>
      <c r="CB1215" s="334"/>
      <c r="CC1215" s="334"/>
      <c r="CD1215" s="334"/>
      <c r="CE1215" s="334"/>
      <c r="CF1215" s="334"/>
      <c r="CG1215" s="334"/>
      <c r="CH1215" s="334"/>
      <c r="CI1215" s="334"/>
      <c r="CJ1215" s="334"/>
      <c r="CK1215" s="334"/>
      <c r="CL1215" s="334"/>
      <c r="CM1215" s="334"/>
      <c r="CO1215" s="334"/>
      <c r="CP1215" s="334"/>
      <c r="CQ1215" s="334"/>
      <c r="CR1215" s="334"/>
      <c r="CS1215" s="334"/>
      <c r="CT1215" s="334"/>
      <c r="CU1215" s="334"/>
      <c r="CV1215" s="334"/>
      <c r="CW1215" s="334"/>
      <c r="CX1215" s="334"/>
      <c r="CY1215" s="334"/>
      <c r="CZ1215" s="334"/>
      <c r="DA1215" s="334"/>
      <c r="DB1215" s="334"/>
      <c r="DC1215" s="334"/>
      <c r="DE1215" s="250"/>
    </row>
    <row r="1216" spans="1:109">
      <c r="A1216" s="45"/>
      <c r="B1216" s="100"/>
      <c r="C1216" s="100"/>
      <c r="D1216" s="100"/>
      <c r="E1216" s="100"/>
      <c r="F1216" s="330"/>
      <c r="G1216" s="100"/>
      <c r="H1216" s="100"/>
      <c r="I1216" s="100"/>
      <c r="J1216" s="100"/>
      <c r="K1216" s="100"/>
      <c r="L1216" s="100"/>
      <c r="M1216" s="100"/>
      <c r="N1216" s="45"/>
      <c r="O1216" s="100"/>
      <c r="P1216" s="331"/>
      <c r="Q1216" s="100"/>
      <c r="R1216" s="332"/>
      <c r="S1216" s="45"/>
      <c r="T1216" s="45"/>
      <c r="U1216" s="333"/>
      <c r="V1216" s="333"/>
      <c r="W1216" s="44"/>
      <c r="X1216" s="333"/>
      <c r="Y1216" s="333"/>
      <c r="Z1216" s="333"/>
      <c r="AA1216" s="333"/>
      <c r="AB1216" s="44"/>
      <c r="AC1216" s="333"/>
      <c r="AD1216" s="333"/>
      <c r="AE1216" s="333"/>
      <c r="AF1216" s="333"/>
      <c r="AG1216" s="44"/>
      <c r="AH1216" s="333"/>
      <c r="AI1216" s="333"/>
      <c r="AJ1216" s="333"/>
      <c r="AK1216" s="333"/>
      <c r="AL1216" s="44"/>
      <c r="AM1216" s="45"/>
      <c r="AN1216" s="100"/>
      <c r="AO1216" s="100"/>
      <c r="AP1216" s="100"/>
      <c r="AQ1216" s="100"/>
      <c r="AR1216" s="100"/>
      <c r="AS1216" s="334"/>
      <c r="AT1216" s="334"/>
      <c r="AU1216" s="334"/>
      <c r="AV1216" s="334"/>
      <c r="AW1216" s="334"/>
      <c r="AX1216" s="334"/>
      <c r="AY1216" s="334"/>
      <c r="AZ1216" s="334"/>
      <c r="BA1216" s="334"/>
      <c r="BB1216" s="334"/>
      <c r="BC1216" s="334"/>
      <c r="BD1216" s="334"/>
      <c r="BE1216" s="334"/>
      <c r="BF1216" s="334"/>
      <c r="BG1216" s="334"/>
      <c r="BI1216" s="334"/>
      <c r="BJ1216" s="334"/>
      <c r="BK1216" s="334"/>
      <c r="BL1216" s="334"/>
      <c r="BM1216" s="334"/>
      <c r="BN1216" s="334"/>
      <c r="BO1216" s="334"/>
      <c r="BP1216" s="334"/>
      <c r="BQ1216" s="334"/>
      <c r="BR1216" s="334"/>
      <c r="BS1216" s="334"/>
      <c r="BT1216" s="334"/>
      <c r="BU1216" s="334"/>
      <c r="BV1216" s="334"/>
      <c r="BW1216" s="334"/>
      <c r="BY1216" s="334"/>
      <c r="BZ1216" s="334"/>
      <c r="CA1216" s="334"/>
      <c r="CB1216" s="334"/>
      <c r="CC1216" s="334"/>
      <c r="CD1216" s="334"/>
      <c r="CE1216" s="334"/>
      <c r="CF1216" s="334"/>
      <c r="CG1216" s="334"/>
      <c r="CH1216" s="334"/>
      <c r="CI1216" s="334"/>
      <c r="CJ1216" s="334"/>
      <c r="CK1216" s="334"/>
      <c r="CL1216" s="334"/>
      <c r="CM1216" s="334"/>
      <c r="CO1216" s="334"/>
      <c r="CP1216" s="334"/>
      <c r="CQ1216" s="334"/>
      <c r="CR1216" s="334"/>
      <c r="CS1216" s="334"/>
      <c r="CT1216" s="334"/>
      <c r="CU1216" s="334"/>
      <c r="CV1216" s="334"/>
      <c r="CW1216" s="334"/>
      <c r="CX1216" s="334"/>
      <c r="CY1216" s="334"/>
      <c r="CZ1216" s="334"/>
      <c r="DA1216" s="334"/>
      <c r="DB1216" s="334"/>
      <c r="DC1216" s="334"/>
      <c r="DE1216" s="250"/>
    </row>
    <row r="1217" spans="1:109">
      <c r="A1217" s="45"/>
      <c r="B1217" s="100"/>
      <c r="C1217" s="100"/>
      <c r="D1217" s="100"/>
      <c r="E1217" s="100"/>
      <c r="F1217" s="330"/>
      <c r="G1217" s="100"/>
      <c r="H1217" s="100"/>
      <c r="I1217" s="100"/>
      <c r="J1217" s="100"/>
      <c r="K1217" s="100"/>
      <c r="L1217" s="100"/>
      <c r="M1217" s="100"/>
      <c r="N1217" s="45"/>
      <c r="O1217" s="100"/>
      <c r="P1217" s="331"/>
      <c r="Q1217" s="100"/>
      <c r="R1217" s="332"/>
      <c r="S1217" s="45"/>
      <c r="T1217" s="45"/>
      <c r="U1217" s="333"/>
      <c r="V1217" s="333"/>
      <c r="W1217" s="44"/>
      <c r="X1217" s="333"/>
      <c r="Y1217" s="333"/>
      <c r="Z1217" s="333"/>
      <c r="AA1217" s="333"/>
      <c r="AB1217" s="44"/>
      <c r="AC1217" s="333"/>
      <c r="AD1217" s="333"/>
      <c r="AE1217" s="333"/>
      <c r="AF1217" s="333"/>
      <c r="AG1217" s="44"/>
      <c r="AH1217" s="333"/>
      <c r="AI1217" s="333"/>
      <c r="AJ1217" s="333"/>
      <c r="AK1217" s="333"/>
      <c r="AL1217" s="44"/>
      <c r="AM1217" s="45"/>
      <c r="AN1217" s="100"/>
      <c r="AO1217" s="100"/>
      <c r="AP1217" s="100"/>
      <c r="AQ1217" s="100"/>
      <c r="AR1217" s="100"/>
      <c r="AS1217" s="334"/>
      <c r="AT1217" s="334"/>
      <c r="AU1217" s="334"/>
      <c r="AV1217" s="334"/>
      <c r="AW1217" s="334"/>
      <c r="AX1217" s="334"/>
      <c r="AY1217" s="334"/>
      <c r="AZ1217" s="334"/>
      <c r="BA1217" s="334"/>
      <c r="BB1217" s="334"/>
      <c r="BC1217" s="334"/>
      <c r="BD1217" s="334"/>
      <c r="BE1217" s="334"/>
      <c r="BF1217" s="334"/>
      <c r="BG1217" s="334"/>
      <c r="BI1217" s="334"/>
      <c r="BJ1217" s="334"/>
      <c r="BK1217" s="334"/>
      <c r="BL1217" s="334"/>
      <c r="BM1217" s="334"/>
      <c r="BN1217" s="334"/>
      <c r="BO1217" s="334"/>
      <c r="BP1217" s="334"/>
      <c r="BQ1217" s="334"/>
      <c r="BR1217" s="334"/>
      <c r="BS1217" s="334"/>
      <c r="BT1217" s="334"/>
      <c r="BU1217" s="334"/>
      <c r="BV1217" s="334"/>
      <c r="BW1217" s="334"/>
      <c r="BY1217" s="334"/>
      <c r="BZ1217" s="334"/>
      <c r="CA1217" s="334"/>
      <c r="CB1217" s="334"/>
      <c r="CC1217" s="334"/>
      <c r="CD1217" s="334"/>
      <c r="CE1217" s="334"/>
      <c r="CF1217" s="334"/>
      <c r="CG1217" s="334"/>
      <c r="CH1217" s="334"/>
      <c r="CI1217" s="334"/>
      <c r="CJ1217" s="334"/>
      <c r="CK1217" s="334"/>
      <c r="CL1217" s="334"/>
      <c r="CM1217" s="334"/>
      <c r="CO1217" s="334"/>
      <c r="CP1217" s="334"/>
      <c r="CQ1217" s="334"/>
      <c r="CR1217" s="334"/>
      <c r="CS1217" s="334"/>
      <c r="CT1217" s="334"/>
      <c r="CU1217" s="334"/>
      <c r="CV1217" s="334"/>
      <c r="CW1217" s="334"/>
      <c r="CX1217" s="334"/>
      <c r="CY1217" s="334"/>
      <c r="CZ1217" s="334"/>
      <c r="DA1217" s="334"/>
      <c r="DB1217" s="334"/>
      <c r="DC1217" s="334"/>
      <c r="DE1217" s="250"/>
    </row>
    <row r="1218" spans="1:109">
      <c r="A1218" s="45"/>
      <c r="B1218" s="100"/>
      <c r="C1218" s="100"/>
      <c r="D1218" s="100"/>
      <c r="E1218" s="100"/>
      <c r="F1218" s="330"/>
      <c r="G1218" s="100"/>
      <c r="H1218" s="100"/>
      <c r="I1218" s="100"/>
      <c r="J1218" s="100"/>
      <c r="K1218" s="100"/>
      <c r="L1218" s="100"/>
      <c r="M1218" s="100"/>
      <c r="N1218" s="45"/>
      <c r="O1218" s="100"/>
      <c r="P1218" s="331"/>
      <c r="Q1218" s="100"/>
      <c r="R1218" s="332"/>
      <c r="S1218" s="45"/>
      <c r="T1218" s="45"/>
      <c r="U1218" s="333"/>
      <c r="V1218" s="333"/>
      <c r="W1218" s="44"/>
      <c r="X1218" s="333"/>
      <c r="Y1218" s="333"/>
      <c r="Z1218" s="333"/>
      <c r="AA1218" s="333"/>
      <c r="AB1218" s="44"/>
      <c r="AC1218" s="333"/>
      <c r="AD1218" s="333"/>
      <c r="AE1218" s="333"/>
      <c r="AF1218" s="333"/>
      <c r="AG1218" s="44"/>
      <c r="AH1218" s="333"/>
      <c r="AI1218" s="333"/>
      <c r="AJ1218" s="333"/>
      <c r="AK1218" s="333"/>
      <c r="AL1218" s="44"/>
      <c r="AM1218" s="45"/>
      <c r="AN1218" s="100"/>
      <c r="AO1218" s="100"/>
      <c r="AP1218" s="100"/>
      <c r="AQ1218" s="100"/>
      <c r="AR1218" s="100"/>
      <c r="AS1218" s="334"/>
      <c r="AT1218" s="334"/>
      <c r="AU1218" s="334"/>
      <c r="AV1218" s="334"/>
      <c r="AW1218" s="334"/>
      <c r="AX1218" s="334"/>
      <c r="AY1218" s="334"/>
      <c r="AZ1218" s="334"/>
      <c r="BA1218" s="334"/>
      <c r="BB1218" s="334"/>
      <c r="BC1218" s="334"/>
      <c r="BD1218" s="334"/>
      <c r="BE1218" s="334"/>
      <c r="BF1218" s="334"/>
      <c r="BG1218" s="334"/>
      <c r="BI1218" s="334"/>
      <c r="BJ1218" s="334"/>
      <c r="BK1218" s="334"/>
      <c r="BL1218" s="334"/>
      <c r="BM1218" s="334"/>
      <c r="BN1218" s="334"/>
      <c r="BO1218" s="334"/>
      <c r="BP1218" s="334"/>
      <c r="BQ1218" s="334"/>
      <c r="BR1218" s="334"/>
      <c r="BS1218" s="334"/>
      <c r="BT1218" s="334"/>
      <c r="BU1218" s="334"/>
      <c r="BV1218" s="334"/>
      <c r="BW1218" s="334"/>
      <c r="BY1218" s="334"/>
      <c r="BZ1218" s="334"/>
      <c r="CA1218" s="334"/>
      <c r="CB1218" s="334"/>
      <c r="CC1218" s="334"/>
      <c r="CD1218" s="334"/>
      <c r="CE1218" s="334"/>
      <c r="CF1218" s="334"/>
      <c r="CG1218" s="334"/>
      <c r="CH1218" s="334"/>
      <c r="CI1218" s="334"/>
      <c r="CJ1218" s="334"/>
      <c r="CK1218" s="334"/>
      <c r="CL1218" s="334"/>
      <c r="CM1218" s="334"/>
      <c r="CO1218" s="334"/>
      <c r="CP1218" s="334"/>
      <c r="CQ1218" s="334"/>
      <c r="CR1218" s="334"/>
      <c r="CS1218" s="334"/>
      <c r="CT1218" s="334"/>
      <c r="CU1218" s="334"/>
      <c r="CV1218" s="334"/>
      <c r="CW1218" s="334"/>
      <c r="CX1218" s="334"/>
      <c r="CY1218" s="334"/>
      <c r="CZ1218" s="334"/>
      <c r="DA1218" s="334"/>
      <c r="DB1218" s="334"/>
      <c r="DC1218" s="334"/>
      <c r="DE1218" s="250"/>
    </row>
    <row r="1219" spans="1:109">
      <c r="A1219" s="45"/>
      <c r="B1219" s="100"/>
      <c r="C1219" s="100"/>
      <c r="D1219" s="100"/>
      <c r="E1219" s="100"/>
      <c r="F1219" s="330"/>
      <c r="G1219" s="100"/>
      <c r="H1219" s="100"/>
      <c r="I1219" s="100"/>
      <c r="J1219" s="100"/>
      <c r="K1219" s="100"/>
      <c r="L1219" s="100"/>
      <c r="M1219" s="100"/>
      <c r="N1219" s="45"/>
      <c r="O1219" s="100"/>
      <c r="P1219" s="331"/>
      <c r="Q1219" s="100"/>
      <c r="R1219" s="332"/>
      <c r="S1219" s="45"/>
      <c r="T1219" s="45"/>
      <c r="U1219" s="333"/>
      <c r="V1219" s="333"/>
      <c r="W1219" s="44"/>
      <c r="X1219" s="333"/>
      <c r="Y1219" s="333"/>
      <c r="Z1219" s="333"/>
      <c r="AA1219" s="333"/>
      <c r="AB1219" s="44"/>
      <c r="AC1219" s="333"/>
      <c r="AD1219" s="333"/>
      <c r="AE1219" s="333"/>
      <c r="AF1219" s="333"/>
      <c r="AG1219" s="44"/>
      <c r="AH1219" s="333"/>
      <c r="AI1219" s="333"/>
      <c r="AJ1219" s="333"/>
      <c r="AK1219" s="333"/>
      <c r="AL1219" s="44"/>
      <c r="AM1219" s="45"/>
      <c r="AN1219" s="100"/>
      <c r="AO1219" s="100"/>
      <c r="AP1219" s="100"/>
      <c r="AQ1219" s="100"/>
      <c r="AR1219" s="100"/>
      <c r="AS1219" s="334"/>
      <c r="AT1219" s="334"/>
      <c r="AU1219" s="334"/>
      <c r="AV1219" s="334"/>
      <c r="AW1219" s="334"/>
      <c r="AX1219" s="334"/>
      <c r="AY1219" s="334"/>
      <c r="AZ1219" s="334"/>
      <c r="BA1219" s="334"/>
      <c r="BB1219" s="334"/>
      <c r="BC1219" s="334"/>
      <c r="BD1219" s="334"/>
      <c r="BE1219" s="334"/>
      <c r="BF1219" s="334"/>
      <c r="BG1219" s="334"/>
      <c r="BI1219" s="334"/>
      <c r="BJ1219" s="334"/>
      <c r="BK1219" s="334"/>
      <c r="BL1219" s="334"/>
      <c r="BM1219" s="334"/>
      <c r="BN1219" s="334"/>
      <c r="BO1219" s="334"/>
      <c r="BP1219" s="334"/>
      <c r="BQ1219" s="334"/>
      <c r="BR1219" s="334"/>
      <c r="BS1219" s="334"/>
      <c r="BT1219" s="334"/>
      <c r="BU1219" s="334"/>
      <c r="BV1219" s="334"/>
      <c r="BW1219" s="334"/>
      <c r="BY1219" s="334"/>
      <c r="BZ1219" s="334"/>
      <c r="CA1219" s="334"/>
      <c r="CB1219" s="334"/>
      <c r="CC1219" s="334"/>
      <c r="CD1219" s="334"/>
      <c r="CE1219" s="334"/>
      <c r="CF1219" s="334"/>
      <c r="CG1219" s="334"/>
      <c r="CH1219" s="334"/>
      <c r="CI1219" s="334"/>
      <c r="CJ1219" s="334"/>
      <c r="CK1219" s="334"/>
      <c r="CL1219" s="334"/>
      <c r="CM1219" s="334"/>
      <c r="CO1219" s="334"/>
      <c r="CP1219" s="334"/>
      <c r="CQ1219" s="334"/>
      <c r="CR1219" s="334"/>
      <c r="CS1219" s="334"/>
      <c r="CT1219" s="334"/>
      <c r="CU1219" s="334"/>
      <c r="CV1219" s="334"/>
      <c r="CW1219" s="334"/>
      <c r="CX1219" s="334"/>
      <c r="CY1219" s="334"/>
      <c r="CZ1219" s="334"/>
      <c r="DA1219" s="334"/>
      <c r="DB1219" s="334"/>
      <c r="DC1219" s="334"/>
      <c r="DE1219" s="250"/>
    </row>
    <row r="1220" spans="1:109">
      <c r="A1220" s="45"/>
      <c r="B1220" s="100"/>
      <c r="C1220" s="100"/>
      <c r="D1220" s="100"/>
      <c r="E1220" s="100"/>
      <c r="F1220" s="330"/>
      <c r="G1220" s="100"/>
      <c r="H1220" s="100"/>
      <c r="I1220" s="100"/>
      <c r="J1220" s="100"/>
      <c r="K1220" s="100"/>
      <c r="L1220" s="100"/>
      <c r="M1220" s="100"/>
      <c r="N1220" s="45"/>
      <c r="O1220" s="100"/>
      <c r="P1220" s="331"/>
      <c r="Q1220" s="100"/>
      <c r="R1220" s="332"/>
      <c r="S1220" s="45"/>
      <c r="T1220" s="45"/>
      <c r="U1220" s="333"/>
      <c r="V1220" s="333"/>
      <c r="W1220" s="44"/>
      <c r="X1220" s="333"/>
      <c r="Y1220" s="333"/>
      <c r="Z1220" s="333"/>
      <c r="AA1220" s="333"/>
      <c r="AB1220" s="44"/>
      <c r="AC1220" s="333"/>
      <c r="AD1220" s="333"/>
      <c r="AE1220" s="333"/>
      <c r="AF1220" s="333"/>
      <c r="AG1220" s="44"/>
      <c r="AH1220" s="333"/>
      <c r="AI1220" s="333"/>
      <c r="AJ1220" s="333"/>
      <c r="AK1220" s="333"/>
      <c r="AL1220" s="44"/>
      <c r="AM1220" s="45"/>
      <c r="AN1220" s="100"/>
      <c r="AO1220" s="100"/>
      <c r="AP1220" s="100"/>
      <c r="AQ1220" s="100"/>
      <c r="AR1220" s="100"/>
      <c r="AS1220" s="334"/>
      <c r="AT1220" s="334"/>
      <c r="AU1220" s="334"/>
      <c r="AV1220" s="334"/>
      <c r="AW1220" s="334"/>
      <c r="AX1220" s="334"/>
      <c r="AY1220" s="334"/>
      <c r="AZ1220" s="334"/>
      <c r="BA1220" s="334"/>
      <c r="BB1220" s="334"/>
      <c r="BC1220" s="334"/>
      <c r="BD1220" s="334"/>
      <c r="BE1220" s="334"/>
      <c r="BF1220" s="334"/>
      <c r="BG1220" s="334"/>
      <c r="BI1220" s="334"/>
      <c r="BJ1220" s="334"/>
      <c r="BK1220" s="334"/>
      <c r="BL1220" s="334"/>
      <c r="BM1220" s="334"/>
      <c r="BN1220" s="334"/>
      <c r="BO1220" s="334"/>
      <c r="BP1220" s="334"/>
      <c r="BQ1220" s="334"/>
      <c r="BR1220" s="334"/>
      <c r="BS1220" s="334"/>
      <c r="BT1220" s="334"/>
      <c r="BU1220" s="334"/>
      <c r="BV1220" s="334"/>
      <c r="BW1220" s="334"/>
      <c r="BY1220" s="334"/>
      <c r="BZ1220" s="334"/>
      <c r="CA1220" s="334"/>
      <c r="CB1220" s="334"/>
      <c r="CC1220" s="334"/>
      <c r="CD1220" s="334"/>
      <c r="CE1220" s="334"/>
      <c r="CF1220" s="334"/>
      <c r="CG1220" s="334"/>
      <c r="CH1220" s="334"/>
      <c r="CI1220" s="334"/>
      <c r="CJ1220" s="334"/>
      <c r="CK1220" s="334"/>
      <c r="CL1220" s="334"/>
      <c r="CM1220" s="334"/>
      <c r="CO1220" s="334"/>
      <c r="CP1220" s="334"/>
      <c r="CQ1220" s="334"/>
      <c r="CR1220" s="334"/>
      <c r="CS1220" s="334"/>
      <c r="CT1220" s="334"/>
      <c r="CU1220" s="334"/>
      <c r="CV1220" s="334"/>
      <c r="CW1220" s="334"/>
      <c r="CX1220" s="334"/>
      <c r="CY1220" s="334"/>
      <c r="CZ1220" s="334"/>
      <c r="DA1220" s="334"/>
      <c r="DB1220" s="334"/>
      <c r="DC1220" s="334"/>
      <c r="DE1220" s="250"/>
    </row>
    <row r="1221" spans="1:109">
      <c r="A1221" s="45"/>
      <c r="B1221" s="100"/>
      <c r="C1221" s="100"/>
      <c r="D1221" s="100"/>
      <c r="E1221" s="100"/>
      <c r="F1221" s="330"/>
      <c r="G1221" s="100"/>
      <c r="H1221" s="100"/>
      <c r="I1221" s="100"/>
      <c r="J1221" s="100"/>
      <c r="K1221" s="100"/>
      <c r="L1221" s="100"/>
      <c r="M1221" s="100"/>
      <c r="N1221" s="45"/>
      <c r="O1221" s="100"/>
      <c r="P1221" s="331"/>
      <c r="Q1221" s="100"/>
      <c r="R1221" s="332"/>
      <c r="S1221" s="45"/>
      <c r="T1221" s="45"/>
      <c r="U1221" s="333"/>
      <c r="V1221" s="333"/>
      <c r="W1221" s="44"/>
      <c r="X1221" s="333"/>
      <c r="Y1221" s="333"/>
      <c r="Z1221" s="333"/>
      <c r="AA1221" s="333"/>
      <c r="AB1221" s="44"/>
      <c r="AC1221" s="333"/>
      <c r="AD1221" s="333"/>
      <c r="AE1221" s="333"/>
      <c r="AF1221" s="333"/>
      <c r="AG1221" s="44"/>
      <c r="AH1221" s="333"/>
      <c r="AI1221" s="333"/>
      <c r="AJ1221" s="333"/>
      <c r="AK1221" s="333"/>
      <c r="AL1221" s="44"/>
      <c r="AM1221" s="45"/>
      <c r="AN1221" s="100"/>
      <c r="AO1221" s="100"/>
      <c r="AP1221" s="100"/>
      <c r="AQ1221" s="100"/>
      <c r="AR1221" s="100"/>
      <c r="AS1221" s="334"/>
      <c r="AT1221" s="334"/>
      <c r="AU1221" s="334"/>
      <c r="AV1221" s="334"/>
      <c r="AW1221" s="334"/>
      <c r="AX1221" s="334"/>
      <c r="AY1221" s="334"/>
      <c r="AZ1221" s="334"/>
      <c r="BA1221" s="334"/>
      <c r="BB1221" s="334"/>
      <c r="BC1221" s="334"/>
      <c r="BD1221" s="334"/>
      <c r="BE1221" s="334"/>
      <c r="BF1221" s="334"/>
      <c r="BG1221" s="334"/>
      <c r="BI1221" s="334"/>
      <c r="BJ1221" s="334"/>
      <c r="BK1221" s="334"/>
      <c r="BL1221" s="334"/>
      <c r="BM1221" s="334"/>
      <c r="BN1221" s="334"/>
      <c r="BO1221" s="334"/>
      <c r="BP1221" s="334"/>
      <c r="BQ1221" s="334"/>
      <c r="BR1221" s="334"/>
      <c r="BS1221" s="334"/>
      <c r="BT1221" s="334"/>
      <c r="BU1221" s="334"/>
      <c r="BV1221" s="334"/>
      <c r="BW1221" s="334"/>
      <c r="BY1221" s="334"/>
      <c r="BZ1221" s="334"/>
      <c r="CA1221" s="334"/>
      <c r="CB1221" s="334"/>
      <c r="CC1221" s="334"/>
      <c r="CD1221" s="334"/>
      <c r="CE1221" s="334"/>
      <c r="CF1221" s="334"/>
      <c r="CG1221" s="334"/>
      <c r="CH1221" s="334"/>
      <c r="CI1221" s="334"/>
      <c r="CJ1221" s="334"/>
      <c r="CK1221" s="334"/>
      <c r="CL1221" s="334"/>
      <c r="CM1221" s="334"/>
      <c r="CO1221" s="334"/>
      <c r="CP1221" s="334"/>
      <c r="CQ1221" s="334"/>
      <c r="CR1221" s="334"/>
      <c r="CS1221" s="334"/>
      <c r="CT1221" s="334"/>
      <c r="CU1221" s="334"/>
      <c r="CV1221" s="334"/>
      <c r="CW1221" s="334"/>
      <c r="CX1221" s="334"/>
      <c r="CY1221" s="334"/>
      <c r="CZ1221" s="334"/>
      <c r="DA1221" s="334"/>
      <c r="DB1221" s="334"/>
      <c r="DC1221" s="334"/>
      <c r="DE1221" s="250"/>
    </row>
    <row r="1222" spans="1:109">
      <c r="A1222" s="45"/>
      <c r="B1222" s="100"/>
      <c r="C1222" s="100"/>
      <c r="D1222" s="100"/>
      <c r="E1222" s="100"/>
      <c r="F1222" s="330"/>
      <c r="G1222" s="100"/>
      <c r="H1222" s="100"/>
      <c r="I1222" s="100"/>
      <c r="J1222" s="100"/>
      <c r="K1222" s="100"/>
      <c r="L1222" s="100"/>
      <c r="M1222" s="100"/>
      <c r="N1222" s="45"/>
      <c r="O1222" s="100"/>
      <c r="P1222" s="331"/>
      <c r="Q1222" s="100"/>
      <c r="R1222" s="332"/>
      <c r="S1222" s="45"/>
      <c r="T1222" s="45"/>
      <c r="U1222" s="333"/>
      <c r="V1222" s="333"/>
      <c r="W1222" s="44"/>
      <c r="X1222" s="333"/>
      <c r="Y1222" s="333"/>
      <c r="Z1222" s="333"/>
      <c r="AA1222" s="333"/>
      <c r="AB1222" s="44"/>
      <c r="AC1222" s="333"/>
      <c r="AD1222" s="333"/>
      <c r="AE1222" s="333"/>
      <c r="AF1222" s="333"/>
      <c r="AG1222" s="44"/>
      <c r="AH1222" s="333"/>
      <c r="AI1222" s="333"/>
      <c r="AJ1222" s="333"/>
      <c r="AK1222" s="333"/>
      <c r="AL1222" s="44"/>
      <c r="AM1222" s="45"/>
      <c r="AN1222" s="100"/>
      <c r="AO1222" s="100"/>
      <c r="AP1222" s="100"/>
      <c r="AQ1222" s="100"/>
      <c r="AR1222" s="100"/>
      <c r="AS1222" s="334"/>
      <c r="AT1222" s="334"/>
      <c r="AU1222" s="334"/>
      <c r="AV1222" s="334"/>
      <c r="AW1222" s="334"/>
      <c r="AX1222" s="334"/>
      <c r="AY1222" s="334"/>
      <c r="AZ1222" s="334"/>
      <c r="BA1222" s="334"/>
      <c r="BB1222" s="334"/>
      <c r="BC1222" s="334"/>
      <c r="BD1222" s="334"/>
      <c r="BE1222" s="334"/>
      <c r="BF1222" s="334"/>
      <c r="BG1222" s="334"/>
      <c r="BI1222" s="334"/>
      <c r="BJ1222" s="334"/>
      <c r="BK1222" s="334"/>
      <c r="BL1222" s="334"/>
      <c r="BM1222" s="334"/>
      <c r="BN1222" s="334"/>
      <c r="BO1222" s="334"/>
      <c r="BP1222" s="334"/>
      <c r="BQ1222" s="334"/>
      <c r="BR1222" s="334"/>
      <c r="BS1222" s="334"/>
      <c r="BT1222" s="334"/>
      <c r="BU1222" s="334"/>
      <c r="BV1222" s="334"/>
      <c r="BW1222" s="334"/>
      <c r="BY1222" s="334"/>
      <c r="BZ1222" s="334"/>
      <c r="CA1222" s="334"/>
      <c r="CB1222" s="334"/>
      <c r="CC1222" s="334"/>
      <c r="CD1222" s="334"/>
      <c r="CE1222" s="334"/>
      <c r="CF1222" s="334"/>
      <c r="CG1222" s="334"/>
      <c r="CH1222" s="334"/>
      <c r="CI1222" s="334"/>
      <c r="CJ1222" s="334"/>
      <c r="CK1222" s="334"/>
      <c r="CL1222" s="334"/>
      <c r="CM1222" s="334"/>
      <c r="CO1222" s="334"/>
      <c r="CP1222" s="334"/>
      <c r="CQ1222" s="334"/>
      <c r="CR1222" s="334"/>
      <c r="CS1222" s="334"/>
      <c r="CT1222" s="334"/>
      <c r="CU1222" s="334"/>
      <c r="CV1222" s="334"/>
      <c r="CW1222" s="334"/>
      <c r="CX1222" s="334"/>
      <c r="CY1222" s="334"/>
      <c r="CZ1222" s="334"/>
      <c r="DA1222" s="334"/>
      <c r="DB1222" s="334"/>
      <c r="DC1222" s="334"/>
      <c r="DE1222" s="250"/>
    </row>
    <row r="1223" spans="1:109">
      <c r="A1223" s="45"/>
      <c r="B1223" s="100"/>
      <c r="C1223" s="100"/>
      <c r="D1223" s="100"/>
      <c r="E1223" s="100"/>
      <c r="F1223" s="330"/>
      <c r="G1223" s="100"/>
      <c r="H1223" s="100"/>
      <c r="I1223" s="100"/>
      <c r="J1223" s="100"/>
      <c r="K1223" s="100"/>
      <c r="L1223" s="100"/>
      <c r="M1223" s="100"/>
      <c r="N1223" s="45"/>
      <c r="O1223" s="100"/>
      <c r="P1223" s="331"/>
      <c r="Q1223" s="100"/>
      <c r="R1223" s="332"/>
      <c r="S1223" s="45"/>
      <c r="T1223" s="45"/>
      <c r="U1223" s="333"/>
      <c r="V1223" s="333"/>
      <c r="W1223" s="44"/>
      <c r="X1223" s="333"/>
      <c r="Y1223" s="333"/>
      <c r="Z1223" s="333"/>
      <c r="AA1223" s="333"/>
      <c r="AB1223" s="44"/>
      <c r="AC1223" s="333"/>
      <c r="AD1223" s="333"/>
      <c r="AE1223" s="333"/>
      <c r="AF1223" s="333"/>
      <c r="AG1223" s="44"/>
      <c r="AH1223" s="333"/>
      <c r="AI1223" s="333"/>
      <c r="AJ1223" s="333"/>
      <c r="AK1223" s="333"/>
      <c r="AL1223" s="44"/>
      <c r="AM1223" s="45"/>
      <c r="AN1223" s="100"/>
      <c r="AO1223" s="100"/>
      <c r="AP1223" s="100"/>
      <c r="AQ1223" s="100"/>
      <c r="AR1223" s="100"/>
      <c r="AS1223" s="334"/>
      <c r="AT1223" s="334"/>
      <c r="AU1223" s="334"/>
      <c r="AV1223" s="334"/>
      <c r="AW1223" s="334"/>
      <c r="AX1223" s="334"/>
      <c r="AY1223" s="334"/>
      <c r="AZ1223" s="334"/>
      <c r="BA1223" s="334"/>
      <c r="BB1223" s="334"/>
      <c r="BC1223" s="334"/>
      <c r="BD1223" s="334"/>
      <c r="BE1223" s="334"/>
      <c r="BF1223" s="334"/>
      <c r="BG1223" s="334"/>
      <c r="BI1223" s="334"/>
      <c r="BJ1223" s="334"/>
      <c r="BK1223" s="334"/>
      <c r="BL1223" s="334"/>
      <c r="BM1223" s="334"/>
      <c r="BN1223" s="334"/>
      <c r="BO1223" s="334"/>
      <c r="BP1223" s="334"/>
      <c r="BQ1223" s="334"/>
      <c r="BR1223" s="334"/>
      <c r="BS1223" s="334"/>
      <c r="BT1223" s="334"/>
      <c r="BU1223" s="334"/>
      <c r="BV1223" s="334"/>
      <c r="BW1223" s="334"/>
      <c r="BY1223" s="334"/>
      <c r="BZ1223" s="334"/>
      <c r="CA1223" s="334"/>
      <c r="CB1223" s="334"/>
      <c r="CC1223" s="334"/>
      <c r="CD1223" s="334"/>
      <c r="CE1223" s="334"/>
      <c r="CF1223" s="334"/>
      <c r="CG1223" s="334"/>
      <c r="CH1223" s="334"/>
      <c r="CI1223" s="334"/>
      <c r="CJ1223" s="334"/>
      <c r="CK1223" s="334"/>
      <c r="CL1223" s="334"/>
      <c r="CM1223" s="334"/>
      <c r="CO1223" s="334"/>
      <c r="CP1223" s="334"/>
      <c r="CQ1223" s="334"/>
      <c r="CR1223" s="334"/>
      <c r="CS1223" s="334"/>
      <c r="CT1223" s="334"/>
      <c r="CU1223" s="334"/>
      <c r="CV1223" s="334"/>
      <c r="CW1223" s="334"/>
      <c r="CX1223" s="334"/>
      <c r="CY1223" s="334"/>
      <c r="CZ1223" s="334"/>
      <c r="DA1223" s="334"/>
      <c r="DB1223" s="334"/>
      <c r="DC1223" s="334"/>
      <c r="DE1223" s="250"/>
    </row>
    <row r="1224" spans="1:109">
      <c r="A1224" s="45"/>
      <c r="B1224" s="100"/>
      <c r="C1224" s="100"/>
      <c r="D1224" s="100"/>
      <c r="E1224" s="100"/>
      <c r="F1224" s="330"/>
      <c r="G1224" s="100"/>
      <c r="H1224" s="100"/>
      <c r="I1224" s="100"/>
      <c r="J1224" s="100"/>
      <c r="K1224" s="100"/>
      <c r="L1224" s="100"/>
      <c r="M1224" s="100"/>
      <c r="N1224" s="45"/>
      <c r="O1224" s="100"/>
      <c r="P1224" s="331"/>
      <c r="Q1224" s="100"/>
      <c r="R1224" s="332"/>
      <c r="S1224" s="45"/>
      <c r="T1224" s="45"/>
      <c r="U1224" s="333"/>
      <c r="V1224" s="333"/>
      <c r="W1224" s="44"/>
      <c r="X1224" s="333"/>
      <c r="Y1224" s="333"/>
      <c r="Z1224" s="333"/>
      <c r="AA1224" s="333"/>
      <c r="AB1224" s="44"/>
      <c r="AC1224" s="333"/>
      <c r="AD1224" s="333"/>
      <c r="AE1224" s="333"/>
      <c r="AF1224" s="333"/>
      <c r="AG1224" s="44"/>
      <c r="AH1224" s="333"/>
      <c r="AI1224" s="333"/>
      <c r="AJ1224" s="333"/>
      <c r="AK1224" s="333"/>
      <c r="AL1224" s="44"/>
      <c r="AM1224" s="45"/>
      <c r="AN1224" s="100"/>
      <c r="AO1224" s="100"/>
      <c r="AP1224" s="100"/>
      <c r="AQ1224" s="100"/>
      <c r="AR1224" s="100"/>
      <c r="AS1224" s="334"/>
      <c r="AT1224" s="334"/>
      <c r="AU1224" s="334"/>
      <c r="AV1224" s="334"/>
      <c r="AW1224" s="334"/>
      <c r="AX1224" s="334"/>
      <c r="AY1224" s="334"/>
      <c r="AZ1224" s="334"/>
      <c r="BA1224" s="334"/>
      <c r="BB1224" s="334"/>
      <c r="BC1224" s="334"/>
      <c r="BD1224" s="334"/>
      <c r="BE1224" s="334"/>
      <c r="BF1224" s="334"/>
      <c r="BG1224" s="334"/>
      <c r="BI1224" s="334"/>
      <c r="BJ1224" s="334"/>
      <c r="BK1224" s="334"/>
      <c r="BL1224" s="334"/>
      <c r="BM1224" s="334"/>
      <c r="BN1224" s="334"/>
      <c r="BO1224" s="334"/>
      <c r="BP1224" s="334"/>
      <c r="BQ1224" s="334"/>
      <c r="BR1224" s="334"/>
      <c r="BS1224" s="334"/>
      <c r="BT1224" s="334"/>
      <c r="BU1224" s="334"/>
      <c r="BV1224" s="334"/>
      <c r="BW1224" s="334"/>
      <c r="BY1224" s="334"/>
      <c r="BZ1224" s="334"/>
      <c r="CA1224" s="334"/>
      <c r="CB1224" s="334"/>
      <c r="CC1224" s="334"/>
      <c r="CD1224" s="334"/>
      <c r="CE1224" s="334"/>
      <c r="CF1224" s="334"/>
      <c r="CG1224" s="334"/>
      <c r="CH1224" s="334"/>
      <c r="CI1224" s="334"/>
      <c r="CJ1224" s="334"/>
      <c r="CK1224" s="334"/>
      <c r="CL1224" s="334"/>
      <c r="CM1224" s="334"/>
      <c r="CO1224" s="334"/>
      <c r="CP1224" s="334"/>
      <c r="CQ1224" s="334"/>
      <c r="CR1224" s="334"/>
      <c r="CS1224" s="334"/>
      <c r="CT1224" s="334"/>
      <c r="CU1224" s="334"/>
      <c r="CV1224" s="334"/>
      <c r="CW1224" s="334"/>
      <c r="CX1224" s="334"/>
      <c r="CY1224" s="334"/>
      <c r="CZ1224" s="334"/>
      <c r="DA1224" s="334"/>
      <c r="DB1224" s="334"/>
      <c r="DC1224" s="334"/>
      <c r="DE1224" s="250"/>
    </row>
    <row r="1225" spans="1:109">
      <c r="A1225" s="45"/>
      <c r="B1225" s="100"/>
      <c r="C1225" s="100"/>
      <c r="D1225" s="100"/>
      <c r="E1225" s="100"/>
      <c r="F1225" s="330"/>
      <c r="G1225" s="100"/>
      <c r="H1225" s="100"/>
      <c r="I1225" s="100"/>
      <c r="J1225" s="100"/>
      <c r="K1225" s="100"/>
      <c r="L1225" s="100"/>
      <c r="M1225" s="100"/>
      <c r="N1225" s="45"/>
      <c r="O1225" s="100"/>
      <c r="P1225" s="331"/>
      <c r="Q1225" s="100"/>
      <c r="R1225" s="332"/>
      <c r="S1225" s="45"/>
      <c r="T1225" s="45"/>
      <c r="U1225" s="333"/>
      <c r="V1225" s="333"/>
      <c r="W1225" s="44"/>
      <c r="X1225" s="333"/>
      <c r="Y1225" s="333"/>
      <c r="Z1225" s="333"/>
      <c r="AA1225" s="333"/>
      <c r="AB1225" s="44"/>
      <c r="AC1225" s="333"/>
      <c r="AD1225" s="333"/>
      <c r="AE1225" s="333"/>
      <c r="AF1225" s="333"/>
      <c r="AG1225" s="44"/>
      <c r="AH1225" s="333"/>
      <c r="AI1225" s="333"/>
      <c r="AJ1225" s="333"/>
      <c r="AK1225" s="333"/>
      <c r="AL1225" s="44"/>
      <c r="AM1225" s="45"/>
      <c r="AN1225" s="100"/>
      <c r="AO1225" s="100"/>
      <c r="AP1225" s="100"/>
      <c r="AQ1225" s="100"/>
      <c r="AR1225" s="100"/>
      <c r="AS1225" s="334"/>
      <c r="AT1225" s="334"/>
      <c r="AU1225" s="334"/>
      <c r="AV1225" s="334"/>
      <c r="AW1225" s="334"/>
      <c r="AX1225" s="334"/>
      <c r="AY1225" s="334"/>
      <c r="AZ1225" s="334"/>
      <c r="BA1225" s="334"/>
      <c r="BB1225" s="334"/>
      <c r="BC1225" s="334"/>
      <c r="BD1225" s="334"/>
      <c r="BE1225" s="334"/>
      <c r="BF1225" s="334"/>
      <c r="BG1225" s="334"/>
      <c r="BI1225" s="334"/>
      <c r="BJ1225" s="334"/>
      <c r="BK1225" s="334"/>
      <c r="BL1225" s="334"/>
      <c r="BM1225" s="334"/>
      <c r="BN1225" s="334"/>
      <c r="BO1225" s="334"/>
      <c r="BP1225" s="334"/>
      <c r="BQ1225" s="334"/>
      <c r="BR1225" s="334"/>
      <c r="BS1225" s="334"/>
      <c r="BT1225" s="334"/>
      <c r="BU1225" s="334"/>
      <c r="BV1225" s="334"/>
      <c r="BW1225" s="334"/>
      <c r="BY1225" s="334"/>
      <c r="BZ1225" s="334"/>
      <c r="CA1225" s="334"/>
      <c r="CB1225" s="334"/>
      <c r="CC1225" s="334"/>
      <c r="CD1225" s="334"/>
      <c r="CE1225" s="334"/>
      <c r="CF1225" s="334"/>
      <c r="CG1225" s="334"/>
      <c r="CH1225" s="334"/>
      <c r="CI1225" s="334"/>
      <c r="CJ1225" s="334"/>
      <c r="CK1225" s="334"/>
      <c r="CL1225" s="334"/>
      <c r="CM1225" s="334"/>
      <c r="CO1225" s="334"/>
      <c r="CP1225" s="334"/>
      <c r="CQ1225" s="334"/>
      <c r="CR1225" s="334"/>
      <c r="CS1225" s="334"/>
      <c r="CT1225" s="334"/>
      <c r="CU1225" s="334"/>
      <c r="CV1225" s="334"/>
      <c r="CW1225" s="334"/>
      <c r="CX1225" s="334"/>
      <c r="CY1225" s="334"/>
      <c r="CZ1225" s="334"/>
      <c r="DA1225" s="334"/>
      <c r="DB1225" s="334"/>
      <c r="DC1225" s="334"/>
      <c r="DE1225" s="250"/>
    </row>
    <row r="1226" spans="1:109">
      <c r="A1226" s="45"/>
      <c r="B1226" s="100"/>
      <c r="C1226" s="100"/>
      <c r="D1226" s="100"/>
      <c r="E1226" s="100"/>
      <c r="F1226" s="330"/>
      <c r="G1226" s="100"/>
      <c r="H1226" s="100"/>
      <c r="I1226" s="100"/>
      <c r="J1226" s="100"/>
      <c r="K1226" s="100"/>
      <c r="L1226" s="100"/>
      <c r="M1226" s="100"/>
      <c r="N1226" s="45"/>
      <c r="O1226" s="100"/>
      <c r="P1226" s="331"/>
      <c r="Q1226" s="100"/>
      <c r="R1226" s="332"/>
      <c r="S1226" s="45"/>
      <c r="T1226" s="45"/>
      <c r="U1226" s="333"/>
      <c r="V1226" s="333"/>
      <c r="W1226" s="44"/>
      <c r="X1226" s="333"/>
      <c r="Y1226" s="333"/>
      <c r="Z1226" s="333"/>
      <c r="AA1226" s="333"/>
      <c r="AB1226" s="44"/>
      <c r="AC1226" s="333"/>
      <c r="AD1226" s="333"/>
      <c r="AE1226" s="333"/>
      <c r="AF1226" s="333"/>
      <c r="AG1226" s="44"/>
      <c r="AH1226" s="333"/>
      <c r="AI1226" s="333"/>
      <c r="AJ1226" s="333"/>
      <c r="AK1226" s="333"/>
      <c r="AL1226" s="44"/>
      <c r="AM1226" s="45"/>
      <c r="AN1226" s="100"/>
      <c r="AO1226" s="100"/>
      <c r="AP1226" s="100"/>
      <c r="AQ1226" s="100"/>
      <c r="AR1226" s="100"/>
      <c r="AS1226" s="334"/>
      <c r="AT1226" s="334"/>
      <c r="AU1226" s="334"/>
      <c r="AV1226" s="334"/>
      <c r="AW1226" s="334"/>
      <c r="AX1226" s="334"/>
      <c r="AY1226" s="334"/>
      <c r="AZ1226" s="334"/>
      <c r="BA1226" s="334"/>
      <c r="BB1226" s="334"/>
      <c r="BC1226" s="334"/>
      <c r="BD1226" s="334"/>
      <c r="BE1226" s="334"/>
      <c r="BF1226" s="334"/>
      <c r="BG1226" s="334"/>
      <c r="BI1226" s="334"/>
      <c r="BJ1226" s="334"/>
      <c r="BK1226" s="334"/>
      <c r="BL1226" s="334"/>
      <c r="BM1226" s="334"/>
      <c r="BN1226" s="334"/>
      <c r="BO1226" s="334"/>
      <c r="BP1226" s="334"/>
      <c r="BQ1226" s="334"/>
      <c r="BR1226" s="334"/>
      <c r="BS1226" s="334"/>
      <c r="BT1226" s="334"/>
      <c r="BU1226" s="334"/>
      <c r="BV1226" s="334"/>
      <c r="BW1226" s="334"/>
      <c r="BY1226" s="334"/>
      <c r="BZ1226" s="334"/>
      <c r="CA1226" s="334"/>
      <c r="CB1226" s="334"/>
      <c r="CC1226" s="334"/>
      <c r="CD1226" s="334"/>
      <c r="CE1226" s="334"/>
      <c r="CF1226" s="334"/>
      <c r="CG1226" s="334"/>
      <c r="CH1226" s="334"/>
      <c r="CI1226" s="334"/>
      <c r="CJ1226" s="334"/>
      <c r="CK1226" s="334"/>
      <c r="CL1226" s="334"/>
      <c r="CM1226" s="334"/>
      <c r="CO1226" s="334"/>
      <c r="CP1226" s="334"/>
      <c r="CQ1226" s="334"/>
      <c r="CR1226" s="334"/>
      <c r="CS1226" s="334"/>
      <c r="CT1226" s="334"/>
      <c r="CU1226" s="334"/>
      <c r="CV1226" s="334"/>
      <c r="CW1226" s="334"/>
      <c r="CX1226" s="334"/>
      <c r="CY1226" s="334"/>
      <c r="CZ1226" s="334"/>
      <c r="DA1226" s="334"/>
      <c r="DB1226" s="334"/>
      <c r="DC1226" s="334"/>
      <c r="DE1226" s="250"/>
    </row>
    <row r="1227" spans="1:109">
      <c r="A1227" s="45"/>
      <c r="B1227" s="100"/>
      <c r="C1227" s="100"/>
      <c r="D1227" s="100"/>
      <c r="E1227" s="100"/>
      <c r="F1227" s="330"/>
      <c r="G1227" s="100"/>
      <c r="H1227" s="100"/>
      <c r="I1227" s="100"/>
      <c r="J1227" s="100"/>
      <c r="K1227" s="100"/>
      <c r="L1227" s="100"/>
      <c r="M1227" s="100"/>
      <c r="N1227" s="45"/>
      <c r="O1227" s="100"/>
      <c r="P1227" s="331"/>
      <c r="Q1227" s="100"/>
      <c r="R1227" s="332"/>
      <c r="S1227" s="45"/>
      <c r="T1227" s="45"/>
      <c r="U1227" s="333"/>
      <c r="V1227" s="333"/>
      <c r="W1227" s="44"/>
      <c r="X1227" s="333"/>
      <c r="Y1227" s="333"/>
      <c r="Z1227" s="333"/>
      <c r="AA1227" s="333"/>
      <c r="AB1227" s="44"/>
      <c r="AC1227" s="333"/>
      <c r="AD1227" s="333"/>
      <c r="AE1227" s="333"/>
      <c r="AF1227" s="333"/>
      <c r="AG1227" s="44"/>
      <c r="AH1227" s="333"/>
      <c r="AI1227" s="333"/>
      <c r="AJ1227" s="333"/>
      <c r="AK1227" s="333"/>
      <c r="AL1227" s="44"/>
      <c r="AM1227" s="45"/>
      <c r="AN1227" s="100"/>
      <c r="AO1227" s="100"/>
      <c r="AP1227" s="100"/>
      <c r="AQ1227" s="100"/>
      <c r="AR1227" s="100"/>
      <c r="AS1227" s="334"/>
      <c r="AT1227" s="334"/>
      <c r="AU1227" s="334"/>
      <c r="AV1227" s="334"/>
      <c r="AW1227" s="334"/>
      <c r="AX1227" s="334"/>
      <c r="AY1227" s="334"/>
      <c r="AZ1227" s="334"/>
      <c r="BA1227" s="334"/>
      <c r="BB1227" s="334"/>
      <c r="BC1227" s="334"/>
      <c r="BD1227" s="334"/>
      <c r="BE1227" s="334"/>
      <c r="BF1227" s="334"/>
      <c r="BG1227" s="334"/>
      <c r="BI1227" s="334"/>
      <c r="BJ1227" s="334"/>
      <c r="BK1227" s="334"/>
      <c r="BL1227" s="334"/>
      <c r="BM1227" s="334"/>
      <c r="BN1227" s="334"/>
      <c r="BO1227" s="334"/>
      <c r="BP1227" s="334"/>
      <c r="BQ1227" s="334"/>
      <c r="BR1227" s="334"/>
      <c r="BS1227" s="334"/>
      <c r="BT1227" s="334"/>
      <c r="BU1227" s="334"/>
      <c r="BV1227" s="334"/>
      <c r="BW1227" s="334"/>
      <c r="BY1227" s="334"/>
      <c r="BZ1227" s="334"/>
      <c r="CA1227" s="334"/>
      <c r="CB1227" s="334"/>
      <c r="CC1227" s="334"/>
      <c r="CD1227" s="334"/>
      <c r="CE1227" s="334"/>
      <c r="CF1227" s="334"/>
      <c r="CG1227" s="334"/>
      <c r="CH1227" s="334"/>
      <c r="CI1227" s="334"/>
      <c r="CJ1227" s="334"/>
      <c r="CK1227" s="334"/>
      <c r="CL1227" s="334"/>
      <c r="CM1227" s="334"/>
      <c r="CO1227" s="334"/>
      <c r="CP1227" s="334"/>
      <c r="CQ1227" s="334"/>
      <c r="CR1227" s="334"/>
      <c r="CS1227" s="334"/>
      <c r="CT1227" s="334"/>
      <c r="CU1227" s="334"/>
      <c r="CV1227" s="334"/>
      <c r="CW1227" s="334"/>
      <c r="CX1227" s="334"/>
      <c r="CY1227" s="334"/>
      <c r="CZ1227" s="334"/>
      <c r="DA1227" s="334"/>
      <c r="DB1227" s="334"/>
      <c r="DC1227" s="334"/>
      <c r="DE1227" s="250"/>
    </row>
    <row r="1228" spans="1:109">
      <c r="A1228" s="45"/>
      <c r="B1228" s="100"/>
      <c r="C1228" s="100"/>
      <c r="D1228" s="100"/>
      <c r="E1228" s="100"/>
      <c r="F1228" s="330"/>
      <c r="G1228" s="100"/>
      <c r="H1228" s="100"/>
      <c r="I1228" s="100"/>
      <c r="J1228" s="100"/>
      <c r="K1228" s="100"/>
      <c r="L1228" s="100"/>
      <c r="M1228" s="100"/>
      <c r="N1228" s="45"/>
      <c r="O1228" s="100"/>
      <c r="P1228" s="331"/>
      <c r="Q1228" s="100"/>
      <c r="R1228" s="332"/>
      <c r="S1228" s="45"/>
      <c r="T1228" s="45"/>
      <c r="U1228" s="333"/>
      <c r="V1228" s="333"/>
      <c r="W1228" s="44"/>
      <c r="X1228" s="333"/>
      <c r="Y1228" s="333"/>
      <c r="Z1228" s="333"/>
      <c r="AA1228" s="333"/>
      <c r="AB1228" s="44"/>
      <c r="AC1228" s="333"/>
      <c r="AD1228" s="333"/>
      <c r="AE1228" s="333"/>
      <c r="AF1228" s="333"/>
      <c r="AG1228" s="44"/>
      <c r="AH1228" s="333"/>
      <c r="AI1228" s="333"/>
      <c r="AJ1228" s="333"/>
      <c r="AK1228" s="333"/>
      <c r="AL1228" s="44"/>
      <c r="AM1228" s="45"/>
      <c r="AN1228" s="100"/>
      <c r="AO1228" s="100"/>
      <c r="AP1228" s="100"/>
      <c r="AQ1228" s="100"/>
      <c r="AR1228" s="100"/>
      <c r="AS1228" s="334"/>
      <c r="AT1228" s="334"/>
      <c r="AU1228" s="334"/>
      <c r="AV1228" s="334"/>
      <c r="AW1228" s="334"/>
      <c r="AX1228" s="334"/>
      <c r="AY1228" s="334"/>
      <c r="AZ1228" s="334"/>
      <c r="BA1228" s="334"/>
      <c r="BB1228" s="334"/>
      <c r="BC1228" s="334"/>
      <c r="BD1228" s="334"/>
      <c r="BE1228" s="334"/>
      <c r="BF1228" s="334"/>
      <c r="BG1228" s="334"/>
      <c r="BI1228" s="334"/>
      <c r="BJ1228" s="334"/>
      <c r="BK1228" s="334"/>
      <c r="BL1228" s="334"/>
      <c r="BM1228" s="334"/>
      <c r="BN1228" s="334"/>
      <c r="BO1228" s="334"/>
      <c r="BP1228" s="334"/>
      <c r="BQ1228" s="334"/>
      <c r="BR1228" s="334"/>
      <c r="BS1228" s="334"/>
      <c r="BT1228" s="334"/>
      <c r="BU1228" s="334"/>
      <c r="BV1228" s="334"/>
      <c r="BW1228" s="334"/>
      <c r="BY1228" s="334"/>
      <c r="BZ1228" s="334"/>
      <c r="CA1228" s="334"/>
      <c r="CB1228" s="334"/>
      <c r="CC1228" s="334"/>
      <c r="CD1228" s="334"/>
      <c r="CE1228" s="334"/>
      <c r="CF1228" s="334"/>
      <c r="CG1228" s="334"/>
      <c r="CH1228" s="334"/>
      <c r="CI1228" s="334"/>
      <c r="CJ1228" s="334"/>
      <c r="CK1228" s="334"/>
      <c r="CL1228" s="334"/>
      <c r="CM1228" s="334"/>
      <c r="CO1228" s="334"/>
      <c r="CP1228" s="334"/>
      <c r="CQ1228" s="334"/>
      <c r="CR1228" s="334"/>
      <c r="CS1228" s="334"/>
      <c r="CT1228" s="334"/>
      <c r="CU1228" s="334"/>
      <c r="CV1228" s="334"/>
      <c r="CW1228" s="334"/>
      <c r="CX1228" s="334"/>
      <c r="CY1228" s="334"/>
      <c r="CZ1228" s="334"/>
      <c r="DA1228" s="334"/>
      <c r="DB1228" s="334"/>
      <c r="DC1228" s="334"/>
      <c r="DE1228" s="250"/>
    </row>
    <row r="1229" spans="1:109">
      <c r="A1229" s="45"/>
      <c r="B1229" s="100"/>
      <c r="C1229" s="100"/>
      <c r="D1229" s="100"/>
      <c r="E1229" s="100"/>
      <c r="F1229" s="330"/>
      <c r="G1229" s="100"/>
      <c r="H1229" s="100"/>
      <c r="I1229" s="100"/>
      <c r="J1229" s="100"/>
      <c r="K1229" s="100"/>
      <c r="L1229" s="100"/>
      <c r="M1229" s="100"/>
      <c r="N1229" s="45"/>
      <c r="O1229" s="100"/>
      <c r="P1229" s="331"/>
      <c r="Q1229" s="100"/>
      <c r="R1229" s="332"/>
      <c r="S1229" s="45"/>
      <c r="T1229" s="45"/>
      <c r="U1229" s="333"/>
      <c r="V1229" s="333"/>
      <c r="W1229" s="44"/>
      <c r="X1229" s="333"/>
      <c r="Y1229" s="333"/>
      <c r="Z1229" s="333"/>
      <c r="AA1229" s="333"/>
      <c r="AB1229" s="44"/>
      <c r="AC1229" s="333"/>
      <c r="AD1229" s="333"/>
      <c r="AE1229" s="333"/>
      <c r="AF1229" s="333"/>
      <c r="AG1229" s="44"/>
      <c r="AH1229" s="333"/>
      <c r="AI1229" s="333"/>
      <c r="AJ1229" s="333"/>
      <c r="AK1229" s="333"/>
      <c r="AL1229" s="44"/>
      <c r="AM1229" s="45"/>
      <c r="AN1229" s="100"/>
      <c r="AO1229" s="100"/>
      <c r="AP1229" s="100"/>
      <c r="AQ1229" s="100"/>
      <c r="AR1229" s="100"/>
      <c r="AS1229" s="334"/>
      <c r="AT1229" s="334"/>
      <c r="AU1229" s="334"/>
      <c r="AV1229" s="334"/>
      <c r="AW1229" s="334"/>
      <c r="AX1229" s="334"/>
      <c r="AY1229" s="334"/>
      <c r="AZ1229" s="334"/>
      <c r="BA1229" s="334"/>
      <c r="BB1229" s="334"/>
      <c r="BC1229" s="334"/>
      <c r="BD1229" s="334"/>
      <c r="BE1229" s="334"/>
      <c r="BF1229" s="334"/>
      <c r="BG1229" s="334"/>
      <c r="BI1229" s="334"/>
      <c r="BJ1229" s="334"/>
      <c r="BK1229" s="334"/>
      <c r="BL1229" s="334"/>
      <c r="BM1229" s="334"/>
      <c r="BN1229" s="334"/>
      <c r="BO1229" s="334"/>
      <c r="BP1229" s="334"/>
      <c r="BQ1229" s="334"/>
      <c r="BR1229" s="334"/>
      <c r="BS1229" s="334"/>
      <c r="BT1229" s="334"/>
      <c r="BU1229" s="334"/>
      <c r="BV1229" s="334"/>
      <c r="BW1229" s="334"/>
      <c r="BY1229" s="334"/>
      <c r="BZ1229" s="334"/>
      <c r="CA1229" s="334"/>
      <c r="CB1229" s="334"/>
      <c r="CC1229" s="334"/>
      <c r="CD1229" s="334"/>
      <c r="CE1229" s="334"/>
      <c r="CF1229" s="334"/>
      <c r="CG1229" s="334"/>
      <c r="CH1229" s="334"/>
      <c r="CI1229" s="334"/>
      <c r="CJ1229" s="334"/>
      <c r="CK1229" s="334"/>
      <c r="CL1229" s="334"/>
      <c r="CM1229" s="334"/>
      <c r="CO1229" s="334"/>
      <c r="CP1229" s="334"/>
      <c r="CQ1229" s="334"/>
      <c r="CR1229" s="334"/>
      <c r="CS1229" s="334"/>
      <c r="CT1229" s="334"/>
      <c r="CU1229" s="334"/>
      <c r="CV1229" s="334"/>
      <c r="CW1229" s="334"/>
      <c r="CX1229" s="334"/>
      <c r="CY1229" s="334"/>
      <c r="CZ1229" s="334"/>
      <c r="DA1229" s="334"/>
      <c r="DB1229" s="334"/>
      <c r="DC1229" s="334"/>
      <c r="DE1229" s="250"/>
    </row>
    <row r="1230" spans="1:109">
      <c r="A1230" s="45"/>
      <c r="B1230" s="100"/>
      <c r="C1230" s="100"/>
      <c r="D1230" s="100"/>
      <c r="E1230" s="100"/>
      <c r="F1230" s="330"/>
      <c r="G1230" s="100"/>
      <c r="H1230" s="100"/>
      <c r="I1230" s="100"/>
      <c r="J1230" s="100"/>
      <c r="K1230" s="100"/>
      <c r="L1230" s="100"/>
      <c r="M1230" s="100"/>
      <c r="N1230" s="45"/>
      <c r="O1230" s="100"/>
      <c r="P1230" s="331"/>
      <c r="Q1230" s="100"/>
      <c r="R1230" s="332"/>
      <c r="S1230" s="45"/>
      <c r="T1230" s="45"/>
      <c r="U1230" s="333"/>
      <c r="V1230" s="333"/>
      <c r="W1230" s="44"/>
      <c r="X1230" s="333"/>
      <c r="Y1230" s="333"/>
      <c r="Z1230" s="333"/>
      <c r="AA1230" s="333"/>
      <c r="AB1230" s="44"/>
      <c r="AC1230" s="333"/>
      <c r="AD1230" s="333"/>
      <c r="AE1230" s="333"/>
      <c r="AF1230" s="333"/>
      <c r="AG1230" s="44"/>
      <c r="AH1230" s="333"/>
      <c r="AI1230" s="333"/>
      <c r="AJ1230" s="333"/>
      <c r="AK1230" s="333"/>
      <c r="AL1230" s="44"/>
      <c r="AM1230" s="45"/>
      <c r="AN1230" s="100"/>
      <c r="AO1230" s="100"/>
      <c r="AP1230" s="100"/>
      <c r="AQ1230" s="100"/>
      <c r="AR1230" s="100"/>
      <c r="AS1230" s="334"/>
      <c r="AT1230" s="334"/>
      <c r="AU1230" s="334"/>
      <c r="AV1230" s="334"/>
      <c r="AW1230" s="334"/>
      <c r="AX1230" s="334"/>
      <c r="AY1230" s="334"/>
      <c r="AZ1230" s="334"/>
      <c r="BA1230" s="334"/>
      <c r="BB1230" s="334"/>
      <c r="BC1230" s="334"/>
      <c r="BD1230" s="334"/>
      <c r="BE1230" s="334"/>
      <c r="BF1230" s="334"/>
      <c r="BG1230" s="334"/>
      <c r="BI1230" s="334"/>
      <c r="BJ1230" s="334"/>
      <c r="BK1230" s="334"/>
      <c r="BL1230" s="334"/>
      <c r="BM1230" s="334"/>
      <c r="BN1230" s="334"/>
      <c r="BO1230" s="334"/>
      <c r="BP1230" s="334"/>
      <c r="BQ1230" s="334"/>
      <c r="BR1230" s="334"/>
      <c r="BS1230" s="334"/>
      <c r="BT1230" s="334"/>
      <c r="BU1230" s="334"/>
      <c r="BV1230" s="334"/>
      <c r="BW1230" s="334"/>
      <c r="BY1230" s="334"/>
      <c r="BZ1230" s="334"/>
      <c r="CA1230" s="334"/>
      <c r="CB1230" s="334"/>
      <c r="CC1230" s="334"/>
      <c r="CD1230" s="334"/>
      <c r="CE1230" s="334"/>
      <c r="CF1230" s="334"/>
      <c r="CG1230" s="334"/>
      <c r="CH1230" s="334"/>
      <c r="CI1230" s="334"/>
      <c r="CJ1230" s="334"/>
      <c r="CK1230" s="334"/>
      <c r="CL1230" s="334"/>
      <c r="CM1230" s="334"/>
      <c r="CO1230" s="334"/>
      <c r="CP1230" s="334"/>
      <c r="CQ1230" s="334"/>
      <c r="CR1230" s="334"/>
      <c r="CS1230" s="334"/>
      <c r="CT1230" s="334"/>
      <c r="CU1230" s="334"/>
      <c r="CV1230" s="334"/>
      <c r="CW1230" s="334"/>
      <c r="CX1230" s="334"/>
      <c r="CY1230" s="334"/>
      <c r="CZ1230" s="334"/>
      <c r="DA1230" s="334"/>
      <c r="DB1230" s="334"/>
      <c r="DC1230" s="334"/>
      <c r="DE1230" s="250"/>
    </row>
    <row r="1231" spans="1:109">
      <c r="A1231" s="45"/>
      <c r="B1231" s="100"/>
      <c r="C1231" s="100"/>
      <c r="D1231" s="100"/>
      <c r="E1231" s="100"/>
      <c r="F1231" s="330"/>
      <c r="G1231" s="100"/>
      <c r="H1231" s="100"/>
      <c r="I1231" s="100"/>
      <c r="J1231" s="100"/>
      <c r="K1231" s="100"/>
      <c r="L1231" s="100"/>
      <c r="M1231" s="100"/>
      <c r="N1231" s="45"/>
      <c r="O1231" s="100"/>
      <c r="P1231" s="331"/>
      <c r="Q1231" s="100"/>
      <c r="R1231" s="332"/>
      <c r="S1231" s="45"/>
      <c r="T1231" s="45"/>
      <c r="U1231" s="333"/>
      <c r="V1231" s="333"/>
      <c r="W1231" s="44"/>
      <c r="X1231" s="333"/>
      <c r="Y1231" s="333"/>
      <c r="Z1231" s="333"/>
      <c r="AA1231" s="333"/>
      <c r="AB1231" s="44"/>
      <c r="AC1231" s="333"/>
      <c r="AD1231" s="333"/>
      <c r="AE1231" s="333"/>
      <c r="AF1231" s="333"/>
      <c r="AG1231" s="44"/>
      <c r="AH1231" s="333"/>
      <c r="AI1231" s="333"/>
      <c r="AJ1231" s="333"/>
      <c r="AK1231" s="333"/>
      <c r="AL1231" s="44"/>
      <c r="AM1231" s="45"/>
      <c r="AN1231" s="100"/>
      <c r="AO1231" s="100"/>
      <c r="AP1231" s="100"/>
      <c r="AQ1231" s="100"/>
      <c r="AR1231" s="100"/>
      <c r="AS1231" s="334"/>
      <c r="AT1231" s="334"/>
      <c r="AU1231" s="334"/>
      <c r="AV1231" s="334"/>
      <c r="AW1231" s="334"/>
      <c r="AX1231" s="334"/>
      <c r="AY1231" s="334"/>
      <c r="AZ1231" s="334"/>
      <c r="BA1231" s="334"/>
      <c r="BB1231" s="334"/>
      <c r="BC1231" s="334"/>
      <c r="BD1231" s="334"/>
      <c r="BE1231" s="334"/>
      <c r="BF1231" s="334"/>
      <c r="BG1231" s="334"/>
      <c r="BI1231" s="334"/>
      <c r="BJ1231" s="334"/>
      <c r="BK1231" s="334"/>
      <c r="BL1231" s="334"/>
      <c r="BM1231" s="334"/>
      <c r="BN1231" s="334"/>
      <c r="BO1231" s="334"/>
      <c r="BP1231" s="334"/>
      <c r="BQ1231" s="334"/>
      <c r="BR1231" s="334"/>
      <c r="BS1231" s="334"/>
      <c r="BT1231" s="334"/>
      <c r="BU1231" s="334"/>
      <c r="BV1231" s="334"/>
      <c r="BW1231" s="334"/>
      <c r="BY1231" s="334"/>
      <c r="BZ1231" s="334"/>
      <c r="CA1231" s="334"/>
      <c r="CB1231" s="334"/>
      <c r="CC1231" s="334"/>
      <c r="CD1231" s="334"/>
      <c r="CE1231" s="334"/>
      <c r="CF1231" s="334"/>
      <c r="CG1231" s="334"/>
      <c r="CH1231" s="334"/>
      <c r="CI1231" s="334"/>
      <c r="CJ1231" s="334"/>
      <c r="CK1231" s="334"/>
      <c r="CL1231" s="334"/>
      <c r="CM1231" s="334"/>
      <c r="CO1231" s="334"/>
      <c r="CP1231" s="334"/>
      <c r="CQ1231" s="334"/>
      <c r="CR1231" s="334"/>
      <c r="CS1231" s="334"/>
      <c r="CT1231" s="334"/>
      <c r="CU1231" s="334"/>
      <c r="CV1231" s="334"/>
      <c r="CW1231" s="334"/>
      <c r="CX1231" s="334"/>
      <c r="CY1231" s="334"/>
      <c r="CZ1231" s="334"/>
      <c r="DA1231" s="334"/>
      <c r="DB1231" s="334"/>
      <c r="DC1231" s="334"/>
      <c r="DE1231" s="250"/>
    </row>
    <row r="1232" spans="1:109">
      <c r="A1232" s="45"/>
      <c r="B1232" s="100"/>
      <c r="C1232" s="100"/>
      <c r="D1232" s="100"/>
      <c r="E1232" s="100"/>
      <c r="F1232" s="330"/>
      <c r="G1232" s="100"/>
      <c r="H1232" s="100"/>
      <c r="I1232" s="100"/>
      <c r="J1232" s="100"/>
      <c r="K1232" s="100"/>
      <c r="L1232" s="100"/>
      <c r="M1232" s="100"/>
      <c r="N1232" s="45"/>
      <c r="O1232" s="100"/>
      <c r="P1232" s="331"/>
      <c r="Q1232" s="100"/>
      <c r="R1232" s="332"/>
      <c r="S1232" s="45"/>
      <c r="T1232" s="45"/>
      <c r="U1232" s="333"/>
      <c r="V1232" s="333"/>
      <c r="W1232" s="44"/>
      <c r="X1232" s="333"/>
      <c r="Y1232" s="333"/>
      <c r="Z1232" s="333"/>
      <c r="AA1232" s="333"/>
      <c r="AB1232" s="44"/>
      <c r="AC1232" s="333"/>
      <c r="AD1232" s="333"/>
      <c r="AE1232" s="333"/>
      <c r="AF1232" s="333"/>
      <c r="AG1232" s="44"/>
      <c r="AH1232" s="333"/>
      <c r="AI1232" s="333"/>
      <c r="AJ1232" s="333"/>
      <c r="AK1232" s="333"/>
      <c r="AL1232" s="44"/>
      <c r="AM1232" s="45"/>
      <c r="AN1232" s="100"/>
      <c r="AO1232" s="100"/>
      <c r="AP1232" s="100"/>
      <c r="AQ1232" s="100"/>
      <c r="AR1232" s="100"/>
      <c r="AS1232" s="334"/>
      <c r="AT1232" s="334"/>
      <c r="AU1232" s="334"/>
      <c r="AV1232" s="334"/>
      <c r="AW1232" s="334"/>
      <c r="AX1232" s="334"/>
      <c r="AY1232" s="334"/>
      <c r="AZ1232" s="334"/>
      <c r="BA1232" s="334"/>
      <c r="BB1232" s="334"/>
      <c r="BC1232" s="334"/>
      <c r="BD1232" s="334"/>
      <c r="BE1232" s="334"/>
      <c r="BF1232" s="334"/>
      <c r="BG1232" s="334"/>
      <c r="BI1232" s="334"/>
      <c r="BJ1232" s="334"/>
      <c r="BK1232" s="334"/>
      <c r="BL1232" s="334"/>
      <c r="BM1232" s="334"/>
      <c r="BN1232" s="334"/>
      <c r="BO1232" s="334"/>
      <c r="BP1232" s="334"/>
      <c r="BQ1232" s="334"/>
      <c r="BR1232" s="334"/>
      <c r="BS1232" s="334"/>
      <c r="BT1232" s="334"/>
      <c r="BU1232" s="334"/>
      <c r="BV1232" s="334"/>
      <c r="BW1232" s="334"/>
      <c r="BY1232" s="334"/>
      <c r="BZ1232" s="334"/>
      <c r="CA1232" s="334"/>
      <c r="CB1232" s="334"/>
      <c r="CC1232" s="334"/>
      <c r="CD1232" s="334"/>
      <c r="CE1232" s="334"/>
      <c r="CF1232" s="334"/>
      <c r="CG1232" s="334"/>
      <c r="CH1232" s="334"/>
      <c r="CI1232" s="334"/>
      <c r="CJ1232" s="334"/>
      <c r="CK1232" s="334"/>
      <c r="CL1232" s="334"/>
      <c r="CM1232" s="334"/>
      <c r="CO1232" s="334"/>
      <c r="CP1232" s="334"/>
      <c r="CQ1232" s="334"/>
      <c r="CR1232" s="334"/>
      <c r="CS1232" s="334"/>
      <c r="CT1232" s="334"/>
      <c r="CU1232" s="334"/>
      <c r="CV1232" s="334"/>
      <c r="CW1232" s="334"/>
      <c r="CX1232" s="334"/>
      <c r="CY1232" s="334"/>
      <c r="CZ1232" s="334"/>
      <c r="DA1232" s="334"/>
      <c r="DB1232" s="334"/>
      <c r="DC1232" s="334"/>
      <c r="DE1232" s="250"/>
    </row>
    <row r="1233" spans="1:109">
      <c r="A1233" s="45"/>
      <c r="B1233" s="100"/>
      <c r="C1233" s="100"/>
      <c r="D1233" s="100"/>
      <c r="E1233" s="100"/>
      <c r="F1233" s="330"/>
      <c r="G1233" s="100"/>
      <c r="H1233" s="100"/>
      <c r="I1233" s="100"/>
      <c r="J1233" s="100"/>
      <c r="K1233" s="100"/>
      <c r="L1233" s="100"/>
      <c r="M1233" s="100"/>
      <c r="N1233" s="45"/>
      <c r="O1233" s="100"/>
      <c r="P1233" s="331"/>
      <c r="Q1233" s="100"/>
      <c r="R1233" s="332"/>
      <c r="S1233" s="45"/>
      <c r="T1233" s="45"/>
      <c r="U1233" s="333"/>
      <c r="V1233" s="333"/>
      <c r="W1233" s="44"/>
      <c r="X1233" s="333"/>
      <c r="Y1233" s="333"/>
      <c r="Z1233" s="333"/>
      <c r="AA1233" s="333"/>
      <c r="AB1233" s="44"/>
      <c r="AC1233" s="333"/>
      <c r="AD1233" s="333"/>
      <c r="AE1233" s="333"/>
      <c r="AF1233" s="333"/>
      <c r="AG1233" s="44"/>
      <c r="AH1233" s="333"/>
      <c r="AI1233" s="333"/>
      <c r="AJ1233" s="333"/>
      <c r="AK1233" s="333"/>
      <c r="AL1233" s="44"/>
      <c r="AM1233" s="45"/>
      <c r="AN1233" s="100"/>
      <c r="AO1233" s="100"/>
      <c r="AP1233" s="100"/>
      <c r="AQ1233" s="100"/>
      <c r="AR1233" s="100"/>
      <c r="AS1233" s="334"/>
      <c r="AT1233" s="334"/>
      <c r="AU1233" s="334"/>
      <c r="AV1233" s="334"/>
      <c r="AW1233" s="334"/>
      <c r="AX1233" s="334"/>
      <c r="AY1233" s="334"/>
      <c r="AZ1233" s="334"/>
      <c r="BA1233" s="334"/>
      <c r="BB1233" s="334"/>
      <c r="BC1233" s="334"/>
      <c r="BD1233" s="334"/>
      <c r="BE1233" s="334"/>
      <c r="BF1233" s="334"/>
      <c r="BG1233" s="334"/>
      <c r="BI1233" s="334"/>
      <c r="BJ1233" s="334"/>
      <c r="BK1233" s="334"/>
      <c r="BL1233" s="334"/>
      <c r="BM1233" s="334"/>
      <c r="BN1233" s="334"/>
      <c r="BO1233" s="334"/>
      <c r="BP1233" s="334"/>
      <c r="BQ1233" s="334"/>
      <c r="BR1233" s="334"/>
      <c r="BS1233" s="334"/>
      <c r="BT1233" s="334"/>
      <c r="BU1233" s="334"/>
      <c r="BV1233" s="334"/>
      <c r="BW1233" s="334"/>
      <c r="BY1233" s="334"/>
      <c r="BZ1233" s="334"/>
      <c r="CA1233" s="334"/>
      <c r="CB1233" s="334"/>
      <c r="CC1233" s="334"/>
      <c r="CD1233" s="334"/>
      <c r="CE1233" s="334"/>
      <c r="CF1233" s="334"/>
      <c r="CG1233" s="334"/>
      <c r="CH1233" s="334"/>
      <c r="CI1233" s="334"/>
      <c r="CJ1233" s="334"/>
      <c r="CK1233" s="334"/>
      <c r="CL1233" s="334"/>
      <c r="CM1233" s="334"/>
      <c r="CO1233" s="334"/>
      <c r="CP1233" s="334"/>
      <c r="CQ1233" s="334"/>
      <c r="CR1233" s="334"/>
      <c r="CS1233" s="334"/>
      <c r="CT1233" s="334"/>
      <c r="CU1233" s="334"/>
      <c r="CV1233" s="334"/>
      <c r="CW1233" s="334"/>
      <c r="CX1233" s="334"/>
      <c r="CY1233" s="334"/>
      <c r="CZ1233" s="334"/>
      <c r="DA1233" s="334"/>
      <c r="DB1233" s="334"/>
      <c r="DC1233" s="334"/>
      <c r="DE1233" s="250"/>
    </row>
    <row r="1234" spans="1:109">
      <c r="A1234" s="45"/>
      <c r="B1234" s="100"/>
      <c r="C1234" s="100"/>
      <c r="D1234" s="100"/>
      <c r="E1234" s="100"/>
      <c r="F1234" s="330"/>
      <c r="G1234" s="100"/>
      <c r="H1234" s="100"/>
      <c r="I1234" s="100"/>
      <c r="J1234" s="100"/>
      <c r="K1234" s="100"/>
      <c r="L1234" s="100"/>
      <c r="M1234" s="100"/>
      <c r="N1234" s="45"/>
      <c r="O1234" s="100"/>
      <c r="P1234" s="331"/>
      <c r="Q1234" s="100"/>
      <c r="R1234" s="332"/>
      <c r="S1234" s="45"/>
      <c r="T1234" s="45"/>
      <c r="U1234" s="333"/>
      <c r="V1234" s="333"/>
      <c r="W1234" s="44"/>
      <c r="X1234" s="333"/>
      <c r="Y1234" s="333"/>
      <c r="Z1234" s="333"/>
      <c r="AA1234" s="333"/>
      <c r="AB1234" s="44"/>
      <c r="AC1234" s="333"/>
      <c r="AD1234" s="333"/>
      <c r="AE1234" s="333"/>
      <c r="AF1234" s="333"/>
      <c r="AG1234" s="44"/>
      <c r="AH1234" s="333"/>
      <c r="AI1234" s="333"/>
      <c r="AJ1234" s="333"/>
      <c r="AK1234" s="333"/>
      <c r="AL1234" s="44"/>
      <c r="AM1234" s="45"/>
      <c r="AN1234" s="100"/>
      <c r="AO1234" s="100"/>
      <c r="AP1234" s="100"/>
      <c r="AQ1234" s="100"/>
      <c r="AR1234" s="100"/>
      <c r="AS1234" s="334"/>
      <c r="AT1234" s="334"/>
      <c r="AU1234" s="334"/>
      <c r="AV1234" s="334"/>
      <c r="AW1234" s="334"/>
      <c r="AX1234" s="334"/>
      <c r="AY1234" s="334"/>
      <c r="AZ1234" s="334"/>
      <c r="BA1234" s="334"/>
      <c r="BB1234" s="334"/>
      <c r="BC1234" s="334"/>
      <c r="BD1234" s="334"/>
      <c r="BE1234" s="334"/>
      <c r="BF1234" s="334"/>
      <c r="BG1234" s="334"/>
      <c r="BI1234" s="334"/>
      <c r="BJ1234" s="334"/>
      <c r="BK1234" s="334"/>
      <c r="BL1234" s="334"/>
      <c r="BM1234" s="334"/>
      <c r="BN1234" s="334"/>
      <c r="BO1234" s="334"/>
      <c r="BP1234" s="334"/>
      <c r="BQ1234" s="334"/>
      <c r="BR1234" s="334"/>
      <c r="BS1234" s="334"/>
      <c r="BT1234" s="334"/>
      <c r="BU1234" s="334"/>
      <c r="BV1234" s="334"/>
      <c r="BW1234" s="334"/>
      <c r="BY1234" s="334"/>
      <c r="BZ1234" s="334"/>
      <c r="CA1234" s="334"/>
      <c r="CB1234" s="334"/>
      <c r="CC1234" s="334"/>
      <c r="CD1234" s="334"/>
      <c r="CE1234" s="334"/>
      <c r="CF1234" s="334"/>
      <c r="CG1234" s="334"/>
      <c r="CH1234" s="334"/>
      <c r="CI1234" s="334"/>
      <c r="CJ1234" s="334"/>
      <c r="CK1234" s="334"/>
      <c r="CL1234" s="334"/>
      <c r="CM1234" s="334"/>
      <c r="CO1234" s="334"/>
      <c r="CP1234" s="334"/>
      <c r="CQ1234" s="334"/>
      <c r="CR1234" s="334"/>
      <c r="CS1234" s="334"/>
      <c r="CT1234" s="334"/>
      <c r="CU1234" s="334"/>
      <c r="CV1234" s="334"/>
      <c r="CW1234" s="334"/>
      <c r="CX1234" s="334"/>
      <c r="CY1234" s="334"/>
      <c r="CZ1234" s="334"/>
      <c r="DA1234" s="334"/>
      <c r="DB1234" s="334"/>
      <c r="DC1234" s="334"/>
      <c r="DE1234" s="250"/>
    </row>
    <row r="1235" spans="1:109">
      <c r="A1235" s="45"/>
      <c r="B1235" s="100"/>
      <c r="C1235" s="100"/>
      <c r="D1235" s="100"/>
      <c r="E1235" s="100"/>
      <c r="F1235" s="330"/>
      <c r="G1235" s="100"/>
      <c r="H1235" s="100"/>
      <c r="I1235" s="100"/>
      <c r="J1235" s="100"/>
      <c r="K1235" s="100"/>
      <c r="L1235" s="100"/>
      <c r="M1235" s="100"/>
      <c r="N1235" s="45"/>
      <c r="O1235" s="100"/>
      <c r="P1235" s="331"/>
      <c r="Q1235" s="100"/>
      <c r="R1235" s="332"/>
      <c r="S1235" s="45"/>
      <c r="T1235" s="45"/>
      <c r="U1235" s="333"/>
      <c r="V1235" s="333"/>
      <c r="W1235" s="44"/>
      <c r="X1235" s="333"/>
      <c r="Y1235" s="333"/>
      <c r="Z1235" s="333"/>
      <c r="AA1235" s="333"/>
      <c r="AB1235" s="44"/>
      <c r="AC1235" s="333"/>
      <c r="AD1235" s="333"/>
      <c r="AE1235" s="333"/>
      <c r="AF1235" s="333"/>
      <c r="AG1235" s="44"/>
      <c r="AH1235" s="333"/>
      <c r="AI1235" s="333"/>
      <c r="AJ1235" s="333"/>
      <c r="AK1235" s="333"/>
      <c r="AL1235" s="44"/>
      <c r="AM1235" s="45"/>
      <c r="AN1235" s="100"/>
      <c r="AO1235" s="100"/>
      <c r="AP1235" s="100"/>
      <c r="AQ1235" s="100"/>
      <c r="AR1235" s="100"/>
      <c r="AS1235" s="334"/>
      <c r="AT1235" s="334"/>
      <c r="AU1235" s="334"/>
      <c r="AV1235" s="334"/>
      <c r="AW1235" s="334"/>
      <c r="AX1235" s="334"/>
      <c r="AY1235" s="334"/>
      <c r="AZ1235" s="334"/>
      <c r="BA1235" s="334"/>
      <c r="BB1235" s="334"/>
      <c r="BC1235" s="334"/>
      <c r="BD1235" s="334"/>
      <c r="BE1235" s="334"/>
      <c r="BF1235" s="334"/>
      <c r="BG1235" s="334"/>
      <c r="BI1235" s="334"/>
      <c r="BJ1235" s="334"/>
      <c r="BK1235" s="334"/>
      <c r="BL1235" s="334"/>
      <c r="BM1235" s="334"/>
      <c r="BN1235" s="334"/>
      <c r="BO1235" s="334"/>
      <c r="BP1235" s="334"/>
      <c r="BQ1235" s="334"/>
      <c r="BR1235" s="334"/>
      <c r="BS1235" s="334"/>
      <c r="BT1235" s="334"/>
      <c r="BU1235" s="334"/>
      <c r="BV1235" s="334"/>
      <c r="BW1235" s="334"/>
      <c r="BY1235" s="334"/>
      <c r="BZ1235" s="334"/>
      <c r="CA1235" s="334"/>
      <c r="CB1235" s="334"/>
      <c r="CC1235" s="334"/>
      <c r="CD1235" s="334"/>
      <c r="CE1235" s="334"/>
      <c r="CF1235" s="334"/>
      <c r="CG1235" s="334"/>
      <c r="CH1235" s="334"/>
      <c r="CI1235" s="334"/>
      <c r="CJ1235" s="334"/>
      <c r="CK1235" s="334"/>
      <c r="CL1235" s="334"/>
      <c r="CM1235" s="334"/>
      <c r="CO1235" s="334"/>
      <c r="CP1235" s="334"/>
      <c r="CQ1235" s="334"/>
      <c r="CR1235" s="334"/>
      <c r="CS1235" s="334"/>
      <c r="CT1235" s="334"/>
      <c r="CU1235" s="334"/>
      <c r="CV1235" s="334"/>
      <c r="CW1235" s="334"/>
      <c r="CX1235" s="334"/>
      <c r="CY1235" s="334"/>
      <c r="CZ1235" s="334"/>
      <c r="DA1235" s="334"/>
      <c r="DB1235" s="334"/>
      <c r="DC1235" s="334"/>
      <c r="DE1235" s="250"/>
    </row>
    <row r="1236" spans="1:109">
      <c r="A1236" s="45"/>
      <c r="B1236" s="100"/>
      <c r="C1236" s="100"/>
      <c r="D1236" s="100"/>
      <c r="E1236" s="100"/>
      <c r="F1236" s="330"/>
      <c r="G1236" s="100"/>
      <c r="H1236" s="100"/>
      <c r="I1236" s="100"/>
      <c r="J1236" s="100"/>
      <c r="K1236" s="100"/>
      <c r="L1236" s="100"/>
      <c r="M1236" s="100"/>
      <c r="N1236" s="45"/>
      <c r="O1236" s="100"/>
      <c r="P1236" s="331"/>
      <c r="Q1236" s="100"/>
      <c r="R1236" s="332"/>
      <c r="S1236" s="45"/>
      <c r="T1236" s="45"/>
      <c r="U1236" s="333"/>
      <c r="V1236" s="333"/>
      <c r="W1236" s="44"/>
      <c r="X1236" s="333"/>
      <c r="Y1236" s="333"/>
      <c r="Z1236" s="333"/>
      <c r="AA1236" s="333"/>
      <c r="AB1236" s="44"/>
      <c r="AC1236" s="333"/>
      <c r="AD1236" s="333"/>
      <c r="AE1236" s="333"/>
      <c r="AF1236" s="333"/>
      <c r="AG1236" s="44"/>
      <c r="AH1236" s="333"/>
      <c r="AI1236" s="333"/>
      <c r="AJ1236" s="333"/>
      <c r="AK1236" s="333"/>
      <c r="AL1236" s="44"/>
      <c r="AM1236" s="45"/>
      <c r="AN1236" s="100"/>
      <c r="AO1236" s="100"/>
      <c r="AP1236" s="100"/>
      <c r="AQ1236" s="100"/>
      <c r="AR1236" s="100"/>
      <c r="AS1236" s="334"/>
      <c r="AT1236" s="334"/>
      <c r="AU1236" s="334"/>
      <c r="AV1236" s="334"/>
      <c r="AW1236" s="334"/>
      <c r="AX1236" s="334"/>
      <c r="AY1236" s="334"/>
      <c r="AZ1236" s="334"/>
      <c r="BA1236" s="334"/>
      <c r="BB1236" s="334"/>
      <c r="BC1236" s="334"/>
      <c r="BD1236" s="334"/>
      <c r="BE1236" s="334"/>
      <c r="BF1236" s="334"/>
      <c r="BG1236" s="334"/>
      <c r="BI1236" s="334"/>
      <c r="BJ1236" s="334"/>
      <c r="BK1236" s="334"/>
      <c r="BL1236" s="334"/>
      <c r="BM1236" s="334"/>
      <c r="BN1236" s="334"/>
      <c r="BO1236" s="334"/>
      <c r="BP1236" s="334"/>
      <c r="BQ1236" s="334"/>
      <c r="BR1236" s="334"/>
      <c r="BS1236" s="334"/>
      <c r="BT1236" s="334"/>
      <c r="BU1236" s="334"/>
      <c r="BV1236" s="334"/>
      <c r="BW1236" s="334"/>
      <c r="BY1236" s="334"/>
      <c r="BZ1236" s="334"/>
      <c r="CA1236" s="334"/>
      <c r="CB1236" s="334"/>
      <c r="CC1236" s="334"/>
      <c r="CD1236" s="334"/>
      <c r="CE1236" s="334"/>
      <c r="CF1236" s="334"/>
      <c r="CG1236" s="334"/>
      <c r="CH1236" s="334"/>
      <c r="CI1236" s="334"/>
      <c r="CJ1236" s="334"/>
      <c r="CK1236" s="334"/>
      <c r="CL1236" s="334"/>
      <c r="CM1236" s="334"/>
      <c r="CO1236" s="334"/>
      <c r="CP1236" s="334"/>
      <c r="CQ1236" s="334"/>
      <c r="CR1236" s="334"/>
      <c r="CS1236" s="334"/>
      <c r="CT1236" s="334"/>
      <c r="CU1236" s="334"/>
      <c r="CV1236" s="334"/>
      <c r="CW1236" s="334"/>
      <c r="CX1236" s="334"/>
      <c r="CY1236" s="334"/>
      <c r="CZ1236" s="334"/>
      <c r="DA1236" s="334"/>
      <c r="DB1236" s="334"/>
      <c r="DC1236" s="334"/>
      <c r="DE1236" s="250"/>
    </row>
    <row r="1237" spans="1:109">
      <c r="A1237" s="45"/>
      <c r="B1237" s="100"/>
      <c r="C1237" s="100"/>
      <c r="D1237" s="100"/>
      <c r="E1237" s="100"/>
      <c r="F1237" s="330"/>
      <c r="G1237" s="100"/>
      <c r="H1237" s="100"/>
      <c r="I1237" s="100"/>
      <c r="J1237" s="100"/>
      <c r="K1237" s="100"/>
      <c r="L1237" s="100"/>
      <c r="M1237" s="100"/>
      <c r="N1237" s="45"/>
      <c r="O1237" s="100"/>
      <c r="P1237" s="331"/>
      <c r="Q1237" s="100"/>
      <c r="R1237" s="332"/>
      <c r="S1237" s="45"/>
      <c r="T1237" s="45"/>
      <c r="U1237" s="333"/>
      <c r="V1237" s="333"/>
      <c r="W1237" s="44"/>
      <c r="X1237" s="333"/>
      <c r="Y1237" s="333"/>
      <c r="Z1237" s="333"/>
      <c r="AA1237" s="333"/>
      <c r="AB1237" s="44"/>
      <c r="AC1237" s="333"/>
      <c r="AD1237" s="333"/>
      <c r="AE1237" s="333"/>
      <c r="AF1237" s="333"/>
      <c r="AG1237" s="44"/>
      <c r="AH1237" s="333"/>
      <c r="AI1237" s="333"/>
      <c r="AJ1237" s="333"/>
      <c r="AK1237" s="333"/>
      <c r="AL1237" s="44"/>
      <c r="AM1237" s="45"/>
      <c r="AN1237" s="100"/>
      <c r="AO1237" s="100"/>
      <c r="AP1237" s="100"/>
      <c r="AQ1237" s="100"/>
      <c r="AR1237" s="100"/>
      <c r="AS1237" s="334"/>
      <c r="AT1237" s="334"/>
      <c r="AU1237" s="334"/>
      <c r="AV1237" s="334"/>
      <c r="AW1237" s="334"/>
      <c r="AX1237" s="334"/>
      <c r="AY1237" s="334"/>
      <c r="AZ1237" s="334"/>
      <c r="BA1237" s="334"/>
      <c r="BB1237" s="334"/>
      <c r="BC1237" s="334"/>
      <c r="BD1237" s="334"/>
      <c r="BE1237" s="334"/>
      <c r="BF1237" s="334"/>
      <c r="BG1237" s="334"/>
      <c r="BI1237" s="334"/>
      <c r="BJ1237" s="334"/>
      <c r="BK1237" s="334"/>
      <c r="BL1237" s="334"/>
      <c r="BM1237" s="334"/>
      <c r="BN1237" s="334"/>
      <c r="BO1237" s="334"/>
      <c r="BP1237" s="334"/>
      <c r="BQ1237" s="334"/>
      <c r="BR1237" s="334"/>
      <c r="BS1237" s="334"/>
      <c r="BT1237" s="334"/>
      <c r="BU1237" s="334"/>
      <c r="BV1237" s="334"/>
      <c r="BW1237" s="334"/>
      <c r="BY1237" s="334"/>
      <c r="BZ1237" s="334"/>
      <c r="CA1237" s="334"/>
      <c r="CB1237" s="334"/>
      <c r="CC1237" s="334"/>
      <c r="CD1237" s="334"/>
      <c r="CE1237" s="334"/>
      <c r="CF1237" s="334"/>
      <c r="CG1237" s="334"/>
      <c r="CH1237" s="334"/>
      <c r="CI1237" s="334"/>
      <c r="CJ1237" s="334"/>
      <c r="CK1237" s="334"/>
      <c r="CL1237" s="334"/>
      <c r="CM1237" s="334"/>
      <c r="CO1237" s="334"/>
      <c r="CP1237" s="334"/>
      <c r="CQ1237" s="334"/>
      <c r="CR1237" s="334"/>
      <c r="CS1237" s="334"/>
      <c r="CT1237" s="334"/>
      <c r="CU1237" s="334"/>
      <c r="CV1237" s="334"/>
      <c r="CW1237" s="334"/>
      <c r="CX1237" s="334"/>
      <c r="CY1237" s="334"/>
      <c r="CZ1237" s="334"/>
      <c r="DA1237" s="334"/>
      <c r="DB1237" s="334"/>
      <c r="DC1237" s="334"/>
      <c r="DE1237" s="250"/>
    </row>
    <row r="1238" spans="1:109">
      <c r="A1238" s="45"/>
      <c r="B1238" s="100"/>
      <c r="C1238" s="100"/>
      <c r="D1238" s="100"/>
      <c r="E1238" s="100"/>
      <c r="F1238" s="330"/>
      <c r="G1238" s="100"/>
      <c r="H1238" s="100"/>
      <c r="I1238" s="100"/>
      <c r="J1238" s="100"/>
      <c r="K1238" s="100"/>
      <c r="L1238" s="100"/>
      <c r="M1238" s="100"/>
      <c r="N1238" s="45"/>
      <c r="O1238" s="100"/>
      <c r="P1238" s="331"/>
      <c r="Q1238" s="100"/>
      <c r="R1238" s="332"/>
      <c r="S1238" s="45"/>
      <c r="T1238" s="45"/>
      <c r="U1238" s="333"/>
      <c r="V1238" s="333"/>
      <c r="W1238" s="44"/>
      <c r="X1238" s="333"/>
      <c r="Y1238" s="333"/>
      <c r="Z1238" s="333"/>
      <c r="AA1238" s="333"/>
      <c r="AB1238" s="44"/>
      <c r="AC1238" s="333"/>
      <c r="AD1238" s="333"/>
      <c r="AE1238" s="333"/>
      <c r="AF1238" s="333"/>
      <c r="AG1238" s="44"/>
      <c r="AH1238" s="333"/>
      <c r="AI1238" s="333"/>
      <c r="AJ1238" s="333"/>
      <c r="AK1238" s="333"/>
      <c r="AL1238" s="44"/>
      <c r="AM1238" s="45"/>
      <c r="AN1238" s="100"/>
      <c r="AO1238" s="100"/>
      <c r="AP1238" s="100"/>
      <c r="AQ1238" s="100"/>
      <c r="AR1238" s="100"/>
      <c r="AS1238" s="334"/>
      <c r="AT1238" s="334"/>
      <c r="AU1238" s="334"/>
      <c r="AV1238" s="334"/>
      <c r="AW1238" s="334"/>
      <c r="AX1238" s="334"/>
      <c r="AY1238" s="334"/>
      <c r="AZ1238" s="334"/>
      <c r="BA1238" s="334"/>
      <c r="BB1238" s="334"/>
      <c r="BC1238" s="334"/>
      <c r="BD1238" s="334"/>
      <c r="BE1238" s="334"/>
      <c r="BF1238" s="334"/>
      <c r="BG1238" s="334"/>
      <c r="BI1238" s="334"/>
      <c r="BJ1238" s="334"/>
      <c r="BK1238" s="334"/>
      <c r="BL1238" s="334"/>
      <c r="BM1238" s="334"/>
      <c r="BN1238" s="334"/>
      <c r="BO1238" s="334"/>
      <c r="BP1238" s="334"/>
      <c r="BQ1238" s="334"/>
      <c r="BR1238" s="334"/>
      <c r="BS1238" s="334"/>
      <c r="BT1238" s="334"/>
      <c r="BU1238" s="334"/>
      <c r="BV1238" s="334"/>
      <c r="BW1238" s="334"/>
      <c r="BY1238" s="334"/>
      <c r="BZ1238" s="334"/>
      <c r="CA1238" s="334"/>
      <c r="CB1238" s="334"/>
      <c r="CC1238" s="334"/>
      <c r="CD1238" s="334"/>
      <c r="CE1238" s="334"/>
      <c r="CF1238" s="334"/>
      <c r="CG1238" s="334"/>
      <c r="CH1238" s="334"/>
      <c r="CI1238" s="334"/>
      <c r="CJ1238" s="334"/>
      <c r="CK1238" s="334"/>
      <c r="CL1238" s="334"/>
      <c r="CM1238" s="334"/>
      <c r="CO1238" s="334"/>
      <c r="CP1238" s="334"/>
      <c r="CQ1238" s="334"/>
      <c r="CR1238" s="334"/>
      <c r="CS1238" s="334"/>
      <c r="CT1238" s="334"/>
      <c r="CU1238" s="334"/>
      <c r="CV1238" s="334"/>
      <c r="CW1238" s="334"/>
      <c r="CX1238" s="334"/>
      <c r="CY1238" s="334"/>
      <c r="CZ1238" s="334"/>
      <c r="DA1238" s="334"/>
      <c r="DB1238" s="334"/>
      <c r="DC1238" s="334"/>
      <c r="DE1238" s="250"/>
    </row>
    <row r="1239" spans="1:109">
      <c r="A1239" s="45"/>
      <c r="B1239" s="100"/>
      <c r="C1239" s="100"/>
      <c r="D1239" s="100"/>
      <c r="E1239" s="100"/>
      <c r="F1239" s="330"/>
      <c r="G1239" s="100"/>
      <c r="H1239" s="100"/>
      <c r="I1239" s="100"/>
      <c r="J1239" s="100"/>
      <c r="K1239" s="100"/>
      <c r="L1239" s="100"/>
      <c r="M1239" s="100"/>
      <c r="N1239" s="45"/>
      <c r="O1239" s="100"/>
      <c r="P1239" s="331"/>
      <c r="Q1239" s="100"/>
      <c r="R1239" s="332"/>
      <c r="S1239" s="45"/>
      <c r="T1239" s="45"/>
      <c r="U1239" s="333"/>
      <c r="V1239" s="333"/>
      <c r="W1239" s="44"/>
      <c r="X1239" s="333"/>
      <c r="Y1239" s="333"/>
      <c r="Z1239" s="333"/>
      <c r="AA1239" s="333"/>
      <c r="AB1239" s="44"/>
      <c r="AC1239" s="333"/>
      <c r="AD1239" s="333"/>
      <c r="AE1239" s="333"/>
      <c r="AF1239" s="333"/>
      <c r="AG1239" s="44"/>
      <c r="AH1239" s="333"/>
      <c r="AI1239" s="333"/>
      <c r="AJ1239" s="333"/>
      <c r="AK1239" s="333"/>
      <c r="AL1239" s="44"/>
      <c r="AM1239" s="45"/>
      <c r="AN1239" s="100"/>
      <c r="AO1239" s="100"/>
      <c r="AP1239" s="100"/>
      <c r="AQ1239" s="100"/>
      <c r="AR1239" s="100"/>
      <c r="AS1239" s="334"/>
      <c r="AT1239" s="334"/>
      <c r="AU1239" s="334"/>
      <c r="AV1239" s="334"/>
      <c r="AW1239" s="334"/>
      <c r="AX1239" s="334"/>
      <c r="AY1239" s="334"/>
      <c r="AZ1239" s="334"/>
      <c r="BA1239" s="334"/>
      <c r="BB1239" s="334"/>
      <c r="BC1239" s="334"/>
      <c r="BD1239" s="334"/>
      <c r="BE1239" s="334"/>
      <c r="BF1239" s="334"/>
      <c r="BG1239" s="334"/>
      <c r="BI1239" s="334"/>
      <c r="BJ1239" s="334"/>
      <c r="BK1239" s="334"/>
      <c r="BL1239" s="334"/>
      <c r="BM1239" s="334"/>
      <c r="BN1239" s="334"/>
      <c r="BO1239" s="334"/>
      <c r="BP1239" s="334"/>
      <c r="BQ1239" s="334"/>
      <c r="BR1239" s="334"/>
      <c r="BS1239" s="334"/>
      <c r="BT1239" s="334"/>
      <c r="BU1239" s="334"/>
      <c r="BV1239" s="334"/>
      <c r="BW1239" s="334"/>
      <c r="BY1239" s="334"/>
      <c r="BZ1239" s="334"/>
      <c r="CA1239" s="334"/>
      <c r="CB1239" s="334"/>
      <c r="CC1239" s="334"/>
      <c r="CD1239" s="334"/>
      <c r="CE1239" s="334"/>
      <c r="CF1239" s="334"/>
      <c r="CG1239" s="334"/>
      <c r="CH1239" s="334"/>
      <c r="CI1239" s="334"/>
      <c r="CJ1239" s="334"/>
      <c r="CK1239" s="334"/>
      <c r="CL1239" s="334"/>
      <c r="CM1239" s="334"/>
      <c r="CO1239" s="334"/>
      <c r="CP1239" s="334"/>
      <c r="CQ1239" s="334"/>
      <c r="CR1239" s="334"/>
      <c r="CS1239" s="334"/>
      <c r="CT1239" s="334"/>
      <c r="CU1239" s="334"/>
      <c r="CV1239" s="334"/>
      <c r="CW1239" s="334"/>
      <c r="CX1239" s="334"/>
      <c r="CY1239" s="334"/>
      <c r="CZ1239" s="334"/>
      <c r="DA1239" s="334"/>
      <c r="DB1239" s="334"/>
      <c r="DC1239" s="334"/>
      <c r="DE1239" s="250"/>
    </row>
    <row r="1240" spans="1:109">
      <c r="A1240" s="45"/>
      <c r="B1240" s="100"/>
      <c r="C1240" s="100"/>
      <c r="D1240" s="100"/>
      <c r="E1240" s="100"/>
      <c r="F1240" s="330"/>
      <c r="G1240" s="100"/>
      <c r="H1240" s="100"/>
      <c r="I1240" s="100"/>
      <c r="J1240" s="100"/>
      <c r="K1240" s="100"/>
      <c r="L1240" s="100"/>
      <c r="M1240" s="100"/>
      <c r="N1240" s="45"/>
      <c r="O1240" s="100"/>
      <c r="P1240" s="331"/>
      <c r="Q1240" s="100"/>
      <c r="R1240" s="332"/>
      <c r="S1240" s="45"/>
      <c r="T1240" s="45"/>
      <c r="U1240" s="333"/>
      <c r="V1240" s="333"/>
      <c r="W1240" s="44"/>
      <c r="X1240" s="333"/>
      <c r="Y1240" s="333"/>
      <c r="Z1240" s="333"/>
      <c r="AA1240" s="333"/>
      <c r="AB1240" s="44"/>
      <c r="AC1240" s="333"/>
      <c r="AD1240" s="333"/>
      <c r="AE1240" s="333"/>
      <c r="AF1240" s="333"/>
      <c r="AG1240" s="44"/>
      <c r="AH1240" s="333"/>
      <c r="AI1240" s="333"/>
      <c r="AJ1240" s="333"/>
      <c r="AK1240" s="333"/>
      <c r="AL1240" s="44"/>
      <c r="AM1240" s="45"/>
      <c r="AN1240" s="100"/>
      <c r="AO1240" s="100"/>
      <c r="AP1240" s="100"/>
      <c r="AQ1240" s="100"/>
      <c r="AR1240" s="100"/>
      <c r="AS1240" s="334"/>
      <c r="AT1240" s="334"/>
      <c r="AU1240" s="334"/>
      <c r="AV1240" s="334"/>
      <c r="AW1240" s="334"/>
      <c r="AX1240" s="334"/>
      <c r="AY1240" s="334"/>
      <c r="AZ1240" s="334"/>
      <c r="BA1240" s="334"/>
      <c r="BB1240" s="334"/>
      <c r="BC1240" s="334"/>
      <c r="BD1240" s="334"/>
      <c r="BE1240" s="334"/>
      <c r="BF1240" s="334"/>
      <c r="BG1240" s="334"/>
      <c r="BI1240" s="334"/>
      <c r="BJ1240" s="334"/>
      <c r="BK1240" s="334"/>
      <c r="BL1240" s="334"/>
      <c r="BM1240" s="334"/>
      <c r="BN1240" s="334"/>
      <c r="BO1240" s="334"/>
      <c r="BP1240" s="334"/>
      <c r="BQ1240" s="334"/>
      <c r="BR1240" s="334"/>
      <c r="BS1240" s="334"/>
      <c r="BT1240" s="334"/>
      <c r="BU1240" s="334"/>
      <c r="BV1240" s="334"/>
      <c r="BW1240" s="334"/>
      <c r="BY1240" s="334"/>
      <c r="BZ1240" s="334"/>
      <c r="CA1240" s="334"/>
      <c r="CB1240" s="334"/>
      <c r="CC1240" s="334"/>
      <c r="CD1240" s="334"/>
      <c r="CE1240" s="334"/>
      <c r="CF1240" s="334"/>
      <c r="CG1240" s="334"/>
      <c r="CH1240" s="334"/>
      <c r="CI1240" s="334"/>
      <c r="CJ1240" s="334"/>
      <c r="CK1240" s="334"/>
      <c r="CL1240" s="334"/>
      <c r="CM1240" s="334"/>
      <c r="CO1240" s="334"/>
      <c r="CP1240" s="334"/>
      <c r="CQ1240" s="334"/>
      <c r="CR1240" s="334"/>
      <c r="CS1240" s="334"/>
      <c r="CT1240" s="334"/>
      <c r="CU1240" s="334"/>
      <c r="CV1240" s="334"/>
      <c r="CW1240" s="334"/>
      <c r="CX1240" s="334"/>
      <c r="CY1240" s="334"/>
      <c r="CZ1240" s="334"/>
      <c r="DA1240" s="334"/>
      <c r="DB1240" s="334"/>
      <c r="DC1240" s="334"/>
      <c r="DE1240" s="250"/>
    </row>
    <row r="1241" spans="1:109">
      <c r="A1241" s="45"/>
      <c r="B1241" s="100"/>
      <c r="C1241" s="100"/>
      <c r="D1241" s="100"/>
      <c r="E1241" s="100"/>
      <c r="F1241" s="330"/>
      <c r="G1241" s="100"/>
      <c r="H1241" s="100"/>
      <c r="I1241" s="100"/>
      <c r="J1241" s="100"/>
      <c r="K1241" s="100"/>
      <c r="L1241" s="100"/>
      <c r="M1241" s="100"/>
      <c r="N1241" s="45"/>
      <c r="O1241" s="100"/>
      <c r="P1241" s="331"/>
      <c r="Q1241" s="100"/>
      <c r="R1241" s="332"/>
      <c r="S1241" s="45"/>
      <c r="T1241" s="45"/>
      <c r="U1241" s="333"/>
      <c r="V1241" s="333"/>
      <c r="W1241" s="44"/>
      <c r="X1241" s="333"/>
      <c r="Y1241" s="333"/>
      <c r="Z1241" s="333"/>
      <c r="AA1241" s="333"/>
      <c r="AB1241" s="44"/>
      <c r="AC1241" s="333"/>
      <c r="AD1241" s="333"/>
      <c r="AE1241" s="333"/>
      <c r="AF1241" s="333"/>
      <c r="AG1241" s="44"/>
      <c r="AH1241" s="333"/>
      <c r="AI1241" s="333"/>
      <c r="AJ1241" s="333"/>
      <c r="AK1241" s="333"/>
      <c r="AL1241" s="44"/>
      <c r="AM1241" s="45"/>
      <c r="AN1241" s="100"/>
      <c r="AO1241" s="100"/>
      <c r="AP1241" s="100"/>
      <c r="AQ1241" s="100"/>
      <c r="AR1241" s="100"/>
      <c r="AS1241" s="334"/>
      <c r="AT1241" s="334"/>
      <c r="AU1241" s="334"/>
      <c r="AV1241" s="334"/>
      <c r="AW1241" s="334"/>
      <c r="AX1241" s="334"/>
      <c r="AY1241" s="334"/>
      <c r="AZ1241" s="334"/>
      <c r="BA1241" s="334"/>
      <c r="BB1241" s="334"/>
      <c r="BC1241" s="334"/>
      <c r="BD1241" s="334"/>
      <c r="BE1241" s="334"/>
      <c r="BF1241" s="334"/>
      <c r="BG1241" s="334"/>
      <c r="BI1241" s="334"/>
      <c r="BJ1241" s="334"/>
      <c r="BK1241" s="334"/>
      <c r="BL1241" s="334"/>
      <c r="BM1241" s="334"/>
      <c r="BN1241" s="334"/>
      <c r="BO1241" s="334"/>
      <c r="BP1241" s="334"/>
      <c r="BQ1241" s="334"/>
      <c r="BR1241" s="334"/>
      <c r="BS1241" s="334"/>
      <c r="BT1241" s="334"/>
      <c r="BU1241" s="334"/>
      <c r="BV1241" s="334"/>
      <c r="BW1241" s="334"/>
      <c r="BY1241" s="334"/>
      <c r="BZ1241" s="334"/>
      <c r="CA1241" s="334"/>
      <c r="CB1241" s="334"/>
      <c r="CC1241" s="334"/>
      <c r="CD1241" s="334"/>
      <c r="CE1241" s="334"/>
      <c r="CF1241" s="334"/>
      <c r="CG1241" s="334"/>
      <c r="CH1241" s="334"/>
      <c r="CI1241" s="334"/>
      <c r="CJ1241" s="334"/>
      <c r="CK1241" s="334"/>
      <c r="CL1241" s="334"/>
      <c r="CM1241" s="334"/>
      <c r="CO1241" s="334"/>
      <c r="CP1241" s="334"/>
      <c r="CQ1241" s="334"/>
      <c r="CR1241" s="334"/>
      <c r="CS1241" s="334"/>
      <c r="CT1241" s="334"/>
      <c r="CU1241" s="334"/>
      <c r="CV1241" s="334"/>
      <c r="CW1241" s="334"/>
      <c r="CX1241" s="334"/>
      <c r="CY1241" s="334"/>
      <c r="CZ1241" s="334"/>
      <c r="DA1241" s="334"/>
      <c r="DB1241" s="334"/>
      <c r="DC1241" s="334"/>
      <c r="DE1241" s="250"/>
    </row>
    <row r="1242" spans="1:109">
      <c r="A1242" s="45"/>
      <c r="B1242" s="100"/>
      <c r="C1242" s="100"/>
      <c r="D1242" s="100"/>
      <c r="E1242" s="100"/>
      <c r="F1242" s="330"/>
      <c r="G1242" s="100"/>
      <c r="H1242" s="100"/>
      <c r="I1242" s="100"/>
      <c r="J1242" s="100"/>
      <c r="K1242" s="100"/>
      <c r="L1242" s="100"/>
      <c r="M1242" s="100"/>
      <c r="N1242" s="45"/>
      <c r="O1242" s="100"/>
      <c r="P1242" s="331"/>
      <c r="Q1242" s="100"/>
      <c r="R1242" s="332"/>
      <c r="S1242" s="45"/>
      <c r="T1242" s="45"/>
      <c r="U1242" s="333"/>
      <c r="V1242" s="333"/>
      <c r="W1242" s="44"/>
      <c r="X1242" s="333"/>
      <c r="Y1242" s="333"/>
      <c r="Z1242" s="333"/>
      <c r="AA1242" s="333"/>
      <c r="AB1242" s="44"/>
      <c r="AC1242" s="333"/>
      <c r="AD1242" s="333"/>
      <c r="AE1242" s="333"/>
      <c r="AF1242" s="333"/>
      <c r="AG1242" s="44"/>
      <c r="AH1242" s="333"/>
      <c r="AI1242" s="333"/>
      <c r="AJ1242" s="333"/>
      <c r="AK1242" s="333"/>
      <c r="AL1242" s="44"/>
      <c r="AM1242" s="45"/>
      <c r="AN1242" s="100"/>
      <c r="AO1242" s="100"/>
      <c r="AP1242" s="100"/>
      <c r="AQ1242" s="100"/>
      <c r="AR1242" s="100"/>
      <c r="AS1242" s="334"/>
      <c r="AT1242" s="334"/>
      <c r="AU1242" s="334"/>
      <c r="AV1242" s="334"/>
      <c r="AW1242" s="334"/>
      <c r="AX1242" s="334"/>
      <c r="AY1242" s="334"/>
      <c r="AZ1242" s="334"/>
      <c r="BA1242" s="334"/>
      <c r="BB1242" s="334"/>
      <c r="BC1242" s="334"/>
      <c r="BD1242" s="334"/>
      <c r="BE1242" s="334"/>
      <c r="BF1242" s="334"/>
      <c r="BG1242" s="334"/>
      <c r="BI1242" s="334"/>
      <c r="BJ1242" s="334"/>
      <c r="BK1242" s="334"/>
      <c r="BL1242" s="334"/>
      <c r="BM1242" s="334"/>
      <c r="BN1242" s="334"/>
      <c r="BO1242" s="334"/>
      <c r="BP1242" s="334"/>
      <c r="BQ1242" s="334"/>
      <c r="BR1242" s="334"/>
      <c r="BS1242" s="334"/>
      <c r="BT1242" s="334"/>
      <c r="BU1242" s="334"/>
      <c r="BV1242" s="334"/>
      <c r="BW1242" s="334"/>
      <c r="BY1242" s="334"/>
      <c r="BZ1242" s="334"/>
      <c r="CA1242" s="334"/>
      <c r="CB1242" s="334"/>
      <c r="CC1242" s="334"/>
      <c r="CD1242" s="334"/>
      <c r="CE1242" s="334"/>
      <c r="CF1242" s="334"/>
      <c r="CG1242" s="334"/>
      <c r="CH1242" s="334"/>
      <c r="CI1242" s="334"/>
      <c r="CJ1242" s="334"/>
      <c r="CK1242" s="334"/>
      <c r="CL1242" s="334"/>
      <c r="CM1242" s="334"/>
      <c r="CO1242" s="334"/>
      <c r="CP1242" s="334"/>
      <c r="CQ1242" s="334"/>
      <c r="CR1242" s="334"/>
      <c r="CS1242" s="334"/>
      <c r="CT1242" s="334"/>
      <c r="CU1242" s="334"/>
      <c r="CV1242" s="334"/>
      <c r="CW1242" s="334"/>
      <c r="CX1242" s="334"/>
      <c r="CY1242" s="334"/>
      <c r="CZ1242" s="334"/>
      <c r="DA1242" s="334"/>
      <c r="DB1242" s="334"/>
      <c r="DC1242" s="334"/>
      <c r="DE1242" s="250"/>
    </row>
    <row r="1243" spans="1:109">
      <c r="A1243" s="45"/>
      <c r="B1243" s="100"/>
      <c r="C1243" s="100"/>
      <c r="D1243" s="100"/>
      <c r="E1243" s="100"/>
      <c r="F1243" s="330"/>
      <c r="G1243" s="100"/>
      <c r="H1243" s="100"/>
      <c r="I1243" s="100"/>
      <c r="J1243" s="100"/>
      <c r="K1243" s="100"/>
      <c r="L1243" s="100"/>
      <c r="M1243" s="100"/>
      <c r="N1243" s="45"/>
      <c r="O1243" s="100"/>
      <c r="P1243" s="331"/>
      <c r="Q1243" s="100"/>
      <c r="R1243" s="332"/>
      <c r="S1243" s="45"/>
      <c r="T1243" s="45"/>
      <c r="U1243" s="333"/>
      <c r="V1243" s="333"/>
      <c r="W1243" s="44"/>
      <c r="X1243" s="333"/>
      <c r="Y1243" s="333"/>
      <c r="Z1243" s="333"/>
      <c r="AA1243" s="333"/>
      <c r="AB1243" s="44"/>
      <c r="AC1243" s="333"/>
      <c r="AD1243" s="333"/>
      <c r="AE1243" s="333"/>
      <c r="AF1243" s="333"/>
      <c r="AG1243" s="44"/>
      <c r="AH1243" s="333"/>
      <c r="AI1243" s="333"/>
      <c r="AJ1243" s="333"/>
      <c r="AK1243" s="333"/>
      <c r="AL1243" s="44"/>
      <c r="AM1243" s="45"/>
      <c r="AN1243" s="100"/>
      <c r="AO1243" s="100"/>
      <c r="AP1243" s="100"/>
      <c r="AQ1243" s="100"/>
      <c r="AR1243" s="100"/>
      <c r="AS1243" s="334"/>
      <c r="AT1243" s="334"/>
      <c r="AU1243" s="334"/>
      <c r="AV1243" s="334"/>
      <c r="AW1243" s="334"/>
      <c r="AX1243" s="334"/>
      <c r="AY1243" s="334"/>
      <c r="AZ1243" s="334"/>
      <c r="BA1243" s="334"/>
      <c r="BB1243" s="334"/>
      <c r="BC1243" s="334"/>
      <c r="BD1243" s="334"/>
      <c r="BE1243" s="334"/>
      <c r="BF1243" s="334"/>
      <c r="BG1243" s="334"/>
      <c r="BI1243" s="334"/>
      <c r="BJ1243" s="334"/>
      <c r="BK1243" s="334"/>
      <c r="BL1243" s="334"/>
      <c r="BM1243" s="334"/>
      <c r="BN1243" s="334"/>
      <c r="BO1243" s="334"/>
      <c r="BP1243" s="334"/>
      <c r="BQ1243" s="334"/>
      <c r="BR1243" s="334"/>
      <c r="BS1243" s="334"/>
      <c r="BT1243" s="334"/>
      <c r="BU1243" s="334"/>
      <c r="BV1243" s="334"/>
      <c r="BW1243" s="334"/>
      <c r="BY1243" s="334"/>
      <c r="BZ1243" s="334"/>
      <c r="CA1243" s="334"/>
      <c r="CB1243" s="334"/>
      <c r="CC1243" s="334"/>
      <c r="CD1243" s="334"/>
      <c r="CE1243" s="334"/>
      <c r="CF1243" s="334"/>
      <c r="CG1243" s="334"/>
      <c r="CH1243" s="334"/>
      <c r="CI1243" s="334"/>
      <c r="CJ1243" s="334"/>
      <c r="CK1243" s="334"/>
      <c r="CL1243" s="334"/>
      <c r="CM1243" s="334"/>
      <c r="CO1243" s="334"/>
      <c r="CP1243" s="334"/>
      <c r="CQ1243" s="334"/>
      <c r="CR1243" s="334"/>
      <c r="CS1243" s="334"/>
      <c r="CT1243" s="334"/>
      <c r="CU1243" s="334"/>
      <c r="CV1243" s="334"/>
      <c r="CW1243" s="334"/>
      <c r="CX1243" s="334"/>
      <c r="CY1243" s="334"/>
      <c r="CZ1243" s="334"/>
      <c r="DA1243" s="334"/>
      <c r="DB1243" s="334"/>
      <c r="DC1243" s="334"/>
      <c r="DE1243" s="250"/>
    </row>
    <row r="1244" spans="1:109">
      <c r="A1244" s="45"/>
      <c r="B1244" s="100"/>
      <c r="C1244" s="100"/>
      <c r="D1244" s="100"/>
      <c r="E1244" s="100"/>
      <c r="F1244" s="330"/>
      <c r="G1244" s="100"/>
      <c r="H1244" s="100"/>
      <c r="I1244" s="100"/>
      <c r="J1244" s="100"/>
      <c r="K1244" s="100"/>
      <c r="L1244" s="100"/>
      <c r="M1244" s="100"/>
      <c r="N1244" s="45"/>
      <c r="O1244" s="100"/>
      <c r="P1244" s="331"/>
      <c r="Q1244" s="100"/>
      <c r="R1244" s="332"/>
      <c r="S1244" s="45"/>
      <c r="T1244" s="45"/>
      <c r="U1244" s="333"/>
      <c r="V1244" s="333"/>
      <c r="W1244" s="44"/>
      <c r="X1244" s="333"/>
      <c r="Y1244" s="333"/>
      <c r="Z1244" s="333"/>
      <c r="AA1244" s="333"/>
      <c r="AB1244" s="44"/>
      <c r="AC1244" s="333"/>
      <c r="AD1244" s="333"/>
      <c r="AE1244" s="333"/>
      <c r="AF1244" s="333"/>
      <c r="AG1244" s="44"/>
      <c r="AH1244" s="333"/>
      <c r="AI1244" s="333"/>
      <c r="AJ1244" s="333"/>
      <c r="AK1244" s="333"/>
      <c r="AL1244" s="44"/>
      <c r="AM1244" s="45"/>
      <c r="AN1244" s="100"/>
      <c r="AO1244" s="100"/>
      <c r="AP1244" s="100"/>
      <c r="AQ1244" s="100"/>
      <c r="AR1244" s="100"/>
      <c r="AS1244" s="334"/>
      <c r="AT1244" s="334"/>
      <c r="AU1244" s="334"/>
      <c r="AV1244" s="334"/>
      <c r="AW1244" s="334"/>
      <c r="AX1244" s="334"/>
      <c r="AY1244" s="334"/>
      <c r="AZ1244" s="334"/>
      <c r="BA1244" s="334"/>
      <c r="BB1244" s="334"/>
      <c r="BC1244" s="334"/>
      <c r="BD1244" s="334"/>
      <c r="BE1244" s="334"/>
      <c r="BF1244" s="334"/>
      <c r="BG1244" s="334"/>
      <c r="BI1244" s="334"/>
      <c r="BJ1244" s="334"/>
      <c r="BK1244" s="334"/>
      <c r="BL1244" s="334"/>
      <c r="BM1244" s="334"/>
      <c r="BN1244" s="334"/>
      <c r="BO1244" s="334"/>
      <c r="BP1244" s="334"/>
      <c r="BQ1244" s="334"/>
      <c r="BR1244" s="334"/>
      <c r="BS1244" s="334"/>
      <c r="BT1244" s="334"/>
      <c r="BU1244" s="334"/>
      <c r="BV1244" s="334"/>
      <c r="BW1244" s="334"/>
      <c r="BY1244" s="334"/>
      <c r="BZ1244" s="334"/>
      <c r="CA1244" s="334"/>
      <c r="CB1244" s="334"/>
      <c r="CC1244" s="334"/>
      <c r="CD1244" s="334"/>
      <c r="CE1244" s="334"/>
      <c r="CF1244" s="334"/>
      <c r="CG1244" s="334"/>
      <c r="CH1244" s="334"/>
      <c r="CI1244" s="334"/>
      <c r="CJ1244" s="334"/>
      <c r="CK1244" s="334"/>
      <c r="CL1244" s="334"/>
      <c r="CM1244" s="334"/>
      <c r="CO1244" s="334"/>
      <c r="CP1244" s="334"/>
      <c r="CQ1244" s="334"/>
      <c r="CR1244" s="334"/>
      <c r="CS1244" s="334"/>
      <c r="CT1244" s="334"/>
      <c r="CU1244" s="334"/>
      <c r="CV1244" s="334"/>
      <c r="CW1244" s="334"/>
      <c r="CX1244" s="334"/>
      <c r="CY1244" s="334"/>
      <c r="CZ1244" s="334"/>
      <c r="DA1244" s="334"/>
      <c r="DB1244" s="334"/>
      <c r="DC1244" s="334"/>
      <c r="DE1244" s="250"/>
    </row>
    <row r="1245" spans="1:109">
      <c r="A1245" s="45"/>
      <c r="B1245" s="100"/>
      <c r="C1245" s="100"/>
      <c r="D1245" s="100"/>
      <c r="E1245" s="100"/>
      <c r="F1245" s="330"/>
      <c r="G1245" s="100"/>
      <c r="H1245" s="100"/>
      <c r="I1245" s="100"/>
      <c r="J1245" s="100"/>
      <c r="K1245" s="100"/>
      <c r="L1245" s="100"/>
      <c r="M1245" s="100"/>
      <c r="N1245" s="45"/>
      <c r="O1245" s="100"/>
      <c r="P1245" s="331"/>
      <c r="Q1245" s="100"/>
      <c r="R1245" s="332"/>
      <c r="S1245" s="45"/>
      <c r="T1245" s="45"/>
      <c r="U1245" s="333"/>
      <c r="V1245" s="333"/>
      <c r="W1245" s="44"/>
      <c r="X1245" s="333"/>
      <c r="Y1245" s="333"/>
      <c r="Z1245" s="333"/>
      <c r="AA1245" s="333"/>
      <c r="AB1245" s="44"/>
      <c r="AC1245" s="333"/>
      <c r="AD1245" s="333"/>
      <c r="AE1245" s="333"/>
      <c r="AF1245" s="333"/>
      <c r="AG1245" s="44"/>
      <c r="AH1245" s="333"/>
      <c r="AI1245" s="333"/>
      <c r="AJ1245" s="333"/>
      <c r="AK1245" s="333"/>
      <c r="AL1245" s="44"/>
      <c r="AM1245" s="45"/>
      <c r="AN1245" s="100"/>
      <c r="AO1245" s="100"/>
      <c r="AP1245" s="100"/>
      <c r="AQ1245" s="100"/>
      <c r="AR1245" s="100"/>
      <c r="AS1245" s="334"/>
      <c r="AT1245" s="334"/>
      <c r="AU1245" s="334"/>
      <c r="AV1245" s="334"/>
      <c r="AW1245" s="334"/>
      <c r="AX1245" s="334"/>
      <c r="AY1245" s="334"/>
      <c r="AZ1245" s="334"/>
      <c r="BA1245" s="334"/>
      <c r="BB1245" s="334"/>
      <c r="BC1245" s="334"/>
      <c r="BD1245" s="334"/>
      <c r="BE1245" s="334"/>
      <c r="BF1245" s="334"/>
      <c r="BG1245" s="334"/>
      <c r="BI1245" s="334"/>
      <c r="BJ1245" s="334"/>
      <c r="BK1245" s="334"/>
      <c r="BL1245" s="334"/>
      <c r="BM1245" s="334"/>
      <c r="BN1245" s="334"/>
      <c r="BO1245" s="334"/>
      <c r="BP1245" s="334"/>
      <c r="BQ1245" s="334"/>
      <c r="BR1245" s="334"/>
      <c r="BS1245" s="334"/>
      <c r="BT1245" s="334"/>
      <c r="BU1245" s="334"/>
      <c r="BV1245" s="334"/>
      <c r="BW1245" s="334"/>
      <c r="BY1245" s="334"/>
      <c r="BZ1245" s="334"/>
      <c r="CA1245" s="334"/>
      <c r="CB1245" s="334"/>
      <c r="CC1245" s="334"/>
      <c r="CD1245" s="334"/>
      <c r="CE1245" s="334"/>
      <c r="CF1245" s="334"/>
      <c r="CG1245" s="334"/>
      <c r="CH1245" s="334"/>
      <c r="CI1245" s="334"/>
      <c r="CJ1245" s="334"/>
      <c r="CK1245" s="334"/>
      <c r="CL1245" s="334"/>
      <c r="CM1245" s="334"/>
      <c r="CO1245" s="334"/>
      <c r="CP1245" s="334"/>
      <c r="CQ1245" s="334"/>
      <c r="CR1245" s="334"/>
      <c r="CS1245" s="334"/>
      <c r="CT1245" s="334"/>
      <c r="CU1245" s="334"/>
      <c r="CV1245" s="334"/>
      <c r="CW1245" s="334"/>
      <c r="CX1245" s="334"/>
      <c r="CY1245" s="334"/>
      <c r="CZ1245" s="334"/>
      <c r="DA1245" s="334"/>
      <c r="DB1245" s="334"/>
      <c r="DC1245" s="334"/>
      <c r="DE1245" s="250"/>
    </row>
    <row r="1246" spans="1:109">
      <c r="A1246" s="45"/>
      <c r="B1246" s="100"/>
      <c r="C1246" s="100"/>
      <c r="D1246" s="100"/>
      <c r="E1246" s="100"/>
      <c r="F1246" s="330"/>
      <c r="G1246" s="100"/>
      <c r="H1246" s="100"/>
      <c r="I1246" s="100"/>
      <c r="J1246" s="100"/>
      <c r="K1246" s="100"/>
      <c r="L1246" s="100"/>
      <c r="M1246" s="100"/>
      <c r="N1246" s="45"/>
      <c r="O1246" s="100"/>
      <c r="P1246" s="331"/>
      <c r="Q1246" s="100"/>
      <c r="R1246" s="332"/>
      <c r="S1246" s="45"/>
      <c r="T1246" s="45"/>
      <c r="U1246" s="333"/>
      <c r="V1246" s="333"/>
      <c r="W1246" s="44"/>
      <c r="X1246" s="333"/>
      <c r="Y1246" s="333"/>
      <c r="Z1246" s="333"/>
      <c r="AA1246" s="333"/>
      <c r="AB1246" s="44"/>
      <c r="AC1246" s="333"/>
      <c r="AD1246" s="333"/>
      <c r="AE1246" s="333"/>
      <c r="AF1246" s="333"/>
      <c r="AG1246" s="44"/>
      <c r="AH1246" s="333"/>
      <c r="AI1246" s="333"/>
      <c r="AJ1246" s="333"/>
      <c r="AK1246" s="333"/>
      <c r="AL1246" s="44"/>
      <c r="AM1246" s="45"/>
      <c r="AN1246" s="100"/>
      <c r="AO1246" s="100"/>
      <c r="AP1246" s="100"/>
      <c r="AQ1246" s="100"/>
      <c r="AR1246" s="100"/>
      <c r="AS1246" s="334"/>
      <c r="AT1246" s="334"/>
      <c r="AU1246" s="334"/>
      <c r="AV1246" s="334"/>
      <c r="AW1246" s="334"/>
      <c r="AX1246" s="334"/>
      <c r="AY1246" s="334"/>
      <c r="AZ1246" s="334"/>
      <c r="BA1246" s="334"/>
      <c r="BB1246" s="334"/>
      <c r="BC1246" s="334"/>
      <c r="BD1246" s="334"/>
      <c r="BE1246" s="334"/>
      <c r="BF1246" s="334"/>
      <c r="BG1246" s="334"/>
      <c r="BI1246" s="334"/>
      <c r="BJ1246" s="334"/>
      <c r="BK1246" s="334"/>
      <c r="BL1246" s="334"/>
      <c r="BM1246" s="334"/>
      <c r="BN1246" s="334"/>
      <c r="BO1246" s="334"/>
      <c r="BP1246" s="334"/>
      <c r="BQ1246" s="334"/>
      <c r="BR1246" s="334"/>
      <c r="BS1246" s="334"/>
      <c r="BT1246" s="334"/>
      <c r="BU1246" s="334"/>
      <c r="BV1246" s="334"/>
      <c r="BW1246" s="334"/>
      <c r="BY1246" s="334"/>
      <c r="BZ1246" s="334"/>
      <c r="CA1246" s="334"/>
      <c r="CB1246" s="334"/>
      <c r="CC1246" s="334"/>
      <c r="CD1246" s="334"/>
      <c r="CE1246" s="334"/>
      <c r="CF1246" s="334"/>
      <c r="CG1246" s="334"/>
      <c r="CH1246" s="334"/>
      <c r="CI1246" s="334"/>
      <c r="CJ1246" s="334"/>
      <c r="CK1246" s="334"/>
      <c r="CL1246" s="334"/>
      <c r="CM1246" s="334"/>
      <c r="CO1246" s="334"/>
      <c r="CP1246" s="334"/>
      <c r="CQ1246" s="334"/>
      <c r="CR1246" s="334"/>
      <c r="CS1246" s="334"/>
      <c r="CT1246" s="334"/>
      <c r="CU1246" s="334"/>
      <c r="CV1246" s="334"/>
      <c r="CW1246" s="334"/>
      <c r="CX1246" s="334"/>
      <c r="CY1246" s="334"/>
      <c r="CZ1246" s="334"/>
      <c r="DA1246" s="334"/>
      <c r="DB1246" s="334"/>
      <c r="DC1246" s="334"/>
      <c r="DE1246" s="250"/>
    </row>
    <row r="1247" spans="1:109">
      <c r="A1247" s="45"/>
      <c r="B1247" s="100"/>
      <c r="C1247" s="100"/>
      <c r="D1247" s="100"/>
      <c r="E1247" s="100"/>
      <c r="F1247" s="330"/>
      <c r="G1247" s="100"/>
      <c r="H1247" s="100"/>
      <c r="I1247" s="100"/>
      <c r="J1247" s="100"/>
      <c r="K1247" s="100"/>
      <c r="L1247" s="100"/>
      <c r="M1247" s="100"/>
      <c r="N1247" s="45"/>
      <c r="O1247" s="100"/>
      <c r="P1247" s="331"/>
      <c r="Q1247" s="100"/>
      <c r="R1247" s="332"/>
      <c r="S1247" s="45"/>
      <c r="T1247" s="45"/>
      <c r="U1247" s="333"/>
      <c r="V1247" s="333"/>
      <c r="W1247" s="44"/>
      <c r="X1247" s="333"/>
      <c r="Y1247" s="333"/>
      <c r="Z1247" s="333"/>
      <c r="AA1247" s="333"/>
      <c r="AB1247" s="44"/>
      <c r="AC1247" s="333"/>
      <c r="AD1247" s="333"/>
      <c r="AE1247" s="333"/>
      <c r="AF1247" s="333"/>
      <c r="AG1247" s="44"/>
      <c r="AH1247" s="333"/>
      <c r="AI1247" s="333"/>
      <c r="AJ1247" s="333"/>
      <c r="AK1247" s="333"/>
      <c r="AL1247" s="44"/>
      <c r="AM1247" s="45"/>
      <c r="AN1247" s="100"/>
      <c r="AO1247" s="100"/>
      <c r="AP1247" s="100"/>
      <c r="AQ1247" s="100"/>
      <c r="AR1247" s="100"/>
      <c r="AS1247" s="334"/>
      <c r="AT1247" s="334"/>
      <c r="AU1247" s="334"/>
      <c r="AV1247" s="334"/>
      <c r="AW1247" s="334"/>
      <c r="AX1247" s="334"/>
      <c r="AY1247" s="334"/>
      <c r="AZ1247" s="334"/>
      <c r="BA1247" s="334"/>
      <c r="BB1247" s="334"/>
      <c r="BC1247" s="334"/>
      <c r="BD1247" s="334"/>
      <c r="BE1247" s="334"/>
      <c r="BF1247" s="334"/>
      <c r="BG1247" s="334"/>
      <c r="BI1247" s="334"/>
      <c r="BJ1247" s="334"/>
      <c r="BK1247" s="334"/>
      <c r="BL1247" s="334"/>
      <c r="BM1247" s="334"/>
      <c r="BN1247" s="334"/>
      <c r="BO1247" s="334"/>
      <c r="BP1247" s="334"/>
      <c r="BQ1247" s="334"/>
      <c r="BR1247" s="334"/>
      <c r="BS1247" s="334"/>
      <c r="BT1247" s="334"/>
      <c r="BU1247" s="334"/>
      <c r="BV1247" s="334"/>
      <c r="BW1247" s="334"/>
      <c r="BY1247" s="334"/>
      <c r="BZ1247" s="334"/>
      <c r="CA1247" s="334"/>
      <c r="CB1247" s="334"/>
      <c r="CC1247" s="334"/>
      <c r="CD1247" s="334"/>
      <c r="CE1247" s="334"/>
      <c r="CF1247" s="334"/>
      <c r="CG1247" s="334"/>
      <c r="CH1247" s="334"/>
      <c r="CI1247" s="334"/>
      <c r="CJ1247" s="334"/>
      <c r="CK1247" s="334"/>
      <c r="CL1247" s="334"/>
      <c r="CM1247" s="334"/>
      <c r="CO1247" s="334"/>
      <c r="CP1247" s="334"/>
      <c r="CQ1247" s="334"/>
      <c r="CR1247" s="334"/>
      <c r="CS1247" s="334"/>
      <c r="CT1247" s="334"/>
      <c r="CU1247" s="334"/>
      <c r="CV1247" s="334"/>
      <c r="CW1247" s="334"/>
      <c r="CX1247" s="334"/>
      <c r="CY1247" s="334"/>
      <c r="CZ1247" s="334"/>
      <c r="DA1247" s="334"/>
      <c r="DB1247" s="334"/>
      <c r="DC1247" s="334"/>
      <c r="DE1247" s="250"/>
    </row>
    <row r="1248" spans="1:109">
      <c r="A1248" s="45"/>
      <c r="B1248" s="100"/>
      <c r="C1248" s="100"/>
      <c r="D1248" s="100"/>
      <c r="E1248" s="100"/>
      <c r="F1248" s="330"/>
      <c r="G1248" s="100"/>
      <c r="H1248" s="100"/>
      <c r="I1248" s="100"/>
      <c r="J1248" s="100"/>
      <c r="K1248" s="100"/>
      <c r="L1248" s="100"/>
      <c r="M1248" s="100"/>
      <c r="N1248" s="45"/>
      <c r="O1248" s="100"/>
      <c r="P1248" s="331"/>
      <c r="Q1248" s="100"/>
      <c r="R1248" s="332"/>
      <c r="S1248" s="45"/>
      <c r="T1248" s="45"/>
      <c r="U1248" s="333"/>
      <c r="V1248" s="333"/>
      <c r="W1248" s="44"/>
      <c r="X1248" s="333"/>
      <c r="Y1248" s="333"/>
      <c r="Z1248" s="333"/>
      <c r="AA1248" s="333"/>
      <c r="AB1248" s="44"/>
      <c r="AC1248" s="333"/>
      <c r="AD1248" s="333"/>
      <c r="AE1248" s="333"/>
      <c r="AF1248" s="333"/>
      <c r="AG1248" s="44"/>
      <c r="AH1248" s="333"/>
      <c r="AI1248" s="333"/>
      <c r="AJ1248" s="333"/>
      <c r="AK1248" s="333"/>
      <c r="AL1248" s="44"/>
      <c r="AM1248" s="45"/>
      <c r="AN1248" s="100"/>
      <c r="AO1248" s="100"/>
      <c r="AP1248" s="100"/>
      <c r="AQ1248" s="100"/>
      <c r="AR1248" s="100"/>
      <c r="AS1248" s="334"/>
      <c r="AT1248" s="334"/>
      <c r="AU1248" s="334"/>
      <c r="AV1248" s="334"/>
      <c r="AW1248" s="334"/>
      <c r="AX1248" s="334"/>
      <c r="AY1248" s="334"/>
      <c r="AZ1248" s="334"/>
      <c r="BA1248" s="334"/>
      <c r="BB1248" s="334"/>
      <c r="BC1248" s="334"/>
      <c r="BD1248" s="334"/>
      <c r="BE1248" s="334"/>
      <c r="BF1248" s="334"/>
      <c r="BG1248" s="334"/>
      <c r="BI1248" s="334"/>
      <c r="BJ1248" s="334"/>
      <c r="BK1248" s="334"/>
      <c r="BL1248" s="334"/>
      <c r="BM1248" s="334"/>
      <c r="BN1248" s="334"/>
      <c r="BO1248" s="334"/>
      <c r="BP1248" s="334"/>
      <c r="BQ1248" s="334"/>
      <c r="BR1248" s="334"/>
      <c r="BS1248" s="334"/>
      <c r="BT1248" s="334"/>
      <c r="BU1248" s="334"/>
      <c r="BV1248" s="334"/>
      <c r="BW1248" s="334"/>
      <c r="BY1248" s="334"/>
      <c r="BZ1248" s="334"/>
      <c r="CA1248" s="334"/>
      <c r="CB1248" s="334"/>
      <c r="CC1248" s="334"/>
      <c r="CD1248" s="334"/>
      <c r="CE1248" s="334"/>
      <c r="CF1248" s="334"/>
      <c r="CG1248" s="334"/>
      <c r="CH1248" s="334"/>
      <c r="CI1248" s="334"/>
      <c r="CJ1248" s="334"/>
      <c r="CK1248" s="334"/>
      <c r="CL1248" s="334"/>
      <c r="CM1248" s="334"/>
      <c r="CO1248" s="334"/>
      <c r="CP1248" s="334"/>
      <c r="CQ1248" s="334"/>
      <c r="CR1248" s="334"/>
      <c r="CS1248" s="334"/>
      <c r="CT1248" s="334"/>
      <c r="CU1248" s="334"/>
      <c r="CV1248" s="334"/>
      <c r="CW1248" s="334"/>
      <c r="CX1248" s="334"/>
      <c r="CY1248" s="334"/>
      <c r="CZ1248" s="334"/>
      <c r="DA1248" s="334"/>
      <c r="DB1248" s="334"/>
      <c r="DC1248" s="334"/>
      <c r="DE1248" s="250"/>
    </row>
    <row r="1249" spans="1:109">
      <c r="A1249" s="45"/>
      <c r="B1249" s="100"/>
      <c r="C1249" s="100"/>
      <c r="D1249" s="100"/>
      <c r="E1249" s="100"/>
      <c r="F1249" s="330"/>
      <c r="G1249" s="100"/>
      <c r="H1249" s="100"/>
      <c r="I1249" s="100"/>
      <c r="J1249" s="100"/>
      <c r="K1249" s="100"/>
      <c r="L1249" s="100"/>
      <c r="M1249" s="100"/>
      <c r="N1249" s="45"/>
      <c r="O1249" s="100"/>
      <c r="P1249" s="331"/>
      <c r="Q1249" s="100"/>
      <c r="R1249" s="332"/>
      <c r="S1249" s="45"/>
      <c r="T1249" s="45"/>
      <c r="U1249" s="333"/>
      <c r="V1249" s="333"/>
      <c r="W1249" s="44"/>
      <c r="X1249" s="333"/>
      <c r="Y1249" s="333"/>
      <c r="Z1249" s="333"/>
      <c r="AA1249" s="333"/>
      <c r="AB1249" s="44"/>
      <c r="AC1249" s="333"/>
      <c r="AD1249" s="333"/>
      <c r="AE1249" s="333"/>
      <c r="AF1249" s="333"/>
      <c r="AG1249" s="44"/>
      <c r="AH1249" s="333"/>
      <c r="AI1249" s="333"/>
      <c r="AJ1249" s="333"/>
      <c r="AK1249" s="333"/>
      <c r="AL1249" s="44"/>
      <c r="AM1249" s="45"/>
      <c r="AN1249" s="100"/>
      <c r="AO1249" s="100"/>
      <c r="AP1249" s="100"/>
      <c r="AQ1249" s="100"/>
      <c r="AR1249" s="100"/>
      <c r="AS1249" s="334"/>
      <c r="AT1249" s="334"/>
      <c r="AU1249" s="334"/>
      <c r="AV1249" s="334"/>
      <c r="AW1249" s="334"/>
      <c r="AX1249" s="334"/>
      <c r="AY1249" s="334"/>
      <c r="AZ1249" s="334"/>
      <c r="BA1249" s="334"/>
      <c r="BB1249" s="334"/>
      <c r="BC1249" s="334"/>
      <c r="BD1249" s="334"/>
      <c r="BE1249" s="334"/>
      <c r="BF1249" s="334"/>
      <c r="BG1249" s="334"/>
      <c r="BI1249" s="334"/>
      <c r="BJ1249" s="334"/>
      <c r="BK1249" s="334"/>
      <c r="BL1249" s="334"/>
      <c r="BM1249" s="334"/>
      <c r="BN1249" s="334"/>
      <c r="BO1249" s="334"/>
      <c r="BP1249" s="334"/>
      <c r="BQ1249" s="334"/>
      <c r="BR1249" s="334"/>
      <c r="BS1249" s="334"/>
      <c r="BT1249" s="334"/>
      <c r="BU1249" s="334"/>
      <c r="BV1249" s="334"/>
      <c r="BW1249" s="334"/>
      <c r="BY1249" s="334"/>
      <c r="BZ1249" s="334"/>
      <c r="CA1249" s="334"/>
      <c r="CB1249" s="334"/>
      <c r="CC1249" s="334"/>
      <c r="CD1249" s="334"/>
      <c r="CE1249" s="334"/>
      <c r="CF1249" s="334"/>
      <c r="CG1249" s="334"/>
      <c r="CH1249" s="334"/>
      <c r="CI1249" s="334"/>
      <c r="CJ1249" s="334"/>
      <c r="CK1249" s="334"/>
      <c r="CL1249" s="334"/>
      <c r="CM1249" s="334"/>
      <c r="CO1249" s="334"/>
      <c r="CP1249" s="334"/>
      <c r="CQ1249" s="334"/>
      <c r="CR1249" s="334"/>
      <c r="CS1249" s="334"/>
      <c r="CT1249" s="334"/>
      <c r="CU1249" s="334"/>
      <c r="CV1249" s="334"/>
      <c r="CW1249" s="334"/>
      <c r="CX1249" s="334"/>
      <c r="CY1249" s="334"/>
      <c r="CZ1249" s="334"/>
      <c r="DA1249" s="334"/>
      <c r="DB1249" s="334"/>
      <c r="DC1249" s="334"/>
      <c r="DE1249" s="250"/>
    </row>
    <row r="1250" spans="1:109">
      <c r="A1250" s="45"/>
      <c r="B1250" s="100"/>
      <c r="C1250" s="100"/>
      <c r="D1250" s="100"/>
      <c r="E1250" s="100"/>
      <c r="F1250" s="330"/>
      <c r="G1250" s="100"/>
      <c r="H1250" s="100"/>
      <c r="I1250" s="100"/>
      <c r="J1250" s="100"/>
      <c r="K1250" s="100"/>
      <c r="L1250" s="100"/>
      <c r="M1250" s="100"/>
      <c r="N1250" s="45"/>
      <c r="O1250" s="100"/>
      <c r="P1250" s="331"/>
      <c r="Q1250" s="100"/>
      <c r="R1250" s="332"/>
      <c r="S1250" s="45"/>
      <c r="T1250" s="45"/>
      <c r="U1250" s="333"/>
      <c r="V1250" s="333"/>
      <c r="W1250" s="44"/>
      <c r="X1250" s="333"/>
      <c r="Y1250" s="333"/>
      <c r="Z1250" s="333"/>
      <c r="AA1250" s="333"/>
      <c r="AB1250" s="44"/>
      <c r="AC1250" s="333"/>
      <c r="AD1250" s="333"/>
      <c r="AE1250" s="333"/>
      <c r="AF1250" s="333"/>
      <c r="AG1250" s="44"/>
      <c r="AH1250" s="333"/>
      <c r="AI1250" s="333"/>
      <c r="AJ1250" s="333"/>
      <c r="AK1250" s="333"/>
      <c r="AL1250" s="44"/>
      <c r="AM1250" s="45"/>
      <c r="AN1250" s="100"/>
      <c r="AO1250" s="100"/>
      <c r="AP1250" s="100"/>
      <c r="AQ1250" s="100"/>
      <c r="AR1250" s="100"/>
      <c r="AS1250" s="334"/>
      <c r="AT1250" s="334"/>
      <c r="AU1250" s="334"/>
      <c r="AV1250" s="334"/>
      <c r="AW1250" s="334"/>
      <c r="AX1250" s="334"/>
      <c r="AY1250" s="334"/>
      <c r="AZ1250" s="334"/>
      <c r="BA1250" s="334"/>
      <c r="BB1250" s="334"/>
      <c r="BC1250" s="334"/>
      <c r="BD1250" s="334"/>
      <c r="BE1250" s="334"/>
      <c r="BF1250" s="334"/>
      <c r="BG1250" s="334"/>
      <c r="BI1250" s="334"/>
      <c r="BJ1250" s="334"/>
      <c r="BK1250" s="334"/>
      <c r="BL1250" s="334"/>
      <c r="BM1250" s="334"/>
      <c r="BN1250" s="334"/>
      <c r="BO1250" s="334"/>
      <c r="BP1250" s="334"/>
      <c r="BQ1250" s="334"/>
      <c r="BR1250" s="334"/>
      <c r="BS1250" s="334"/>
      <c r="BT1250" s="334"/>
      <c r="BU1250" s="334"/>
      <c r="BV1250" s="334"/>
      <c r="BW1250" s="334"/>
      <c r="BY1250" s="334"/>
      <c r="BZ1250" s="334"/>
      <c r="CA1250" s="334"/>
      <c r="CB1250" s="334"/>
      <c r="CC1250" s="334"/>
      <c r="CD1250" s="334"/>
      <c r="CE1250" s="334"/>
      <c r="CF1250" s="334"/>
      <c r="CG1250" s="334"/>
      <c r="CH1250" s="334"/>
      <c r="CI1250" s="334"/>
      <c r="CJ1250" s="334"/>
      <c r="CK1250" s="334"/>
      <c r="CL1250" s="334"/>
      <c r="CM1250" s="334"/>
      <c r="CO1250" s="334"/>
      <c r="CP1250" s="334"/>
      <c r="CQ1250" s="334"/>
      <c r="CR1250" s="334"/>
      <c r="CS1250" s="334"/>
      <c r="CT1250" s="334"/>
      <c r="CU1250" s="334"/>
      <c r="CV1250" s="334"/>
      <c r="CW1250" s="334"/>
      <c r="CX1250" s="334"/>
      <c r="CY1250" s="334"/>
      <c r="CZ1250" s="334"/>
      <c r="DA1250" s="334"/>
      <c r="DB1250" s="334"/>
      <c r="DC1250" s="334"/>
      <c r="DE1250" s="250"/>
    </row>
    <row r="1251" spans="1:109">
      <c r="A1251" s="45"/>
      <c r="B1251" s="100"/>
      <c r="C1251" s="100"/>
      <c r="D1251" s="100"/>
      <c r="E1251" s="100"/>
      <c r="F1251" s="330"/>
      <c r="G1251" s="100"/>
      <c r="H1251" s="100"/>
      <c r="I1251" s="100"/>
      <c r="J1251" s="100"/>
      <c r="K1251" s="100"/>
      <c r="L1251" s="100"/>
      <c r="M1251" s="100"/>
      <c r="N1251" s="45"/>
      <c r="O1251" s="100"/>
      <c r="P1251" s="331"/>
      <c r="Q1251" s="100"/>
      <c r="R1251" s="332"/>
      <c r="S1251" s="45"/>
      <c r="T1251" s="45"/>
      <c r="U1251" s="333"/>
      <c r="V1251" s="333"/>
      <c r="W1251" s="44"/>
      <c r="X1251" s="333"/>
      <c r="Y1251" s="333"/>
      <c r="Z1251" s="333"/>
      <c r="AA1251" s="333"/>
      <c r="AB1251" s="44"/>
      <c r="AC1251" s="333"/>
      <c r="AD1251" s="333"/>
      <c r="AE1251" s="333"/>
      <c r="AF1251" s="333"/>
      <c r="AG1251" s="44"/>
      <c r="AH1251" s="333"/>
      <c r="AI1251" s="333"/>
      <c r="AJ1251" s="333"/>
      <c r="AK1251" s="333"/>
      <c r="AL1251" s="44"/>
      <c r="AM1251" s="45"/>
      <c r="AN1251" s="100"/>
      <c r="AO1251" s="100"/>
      <c r="AP1251" s="100"/>
      <c r="AQ1251" s="100"/>
      <c r="AR1251" s="100"/>
      <c r="AS1251" s="334"/>
      <c r="AT1251" s="334"/>
      <c r="AU1251" s="334"/>
      <c r="AV1251" s="334"/>
      <c r="AW1251" s="334"/>
      <c r="AX1251" s="334"/>
      <c r="AY1251" s="334"/>
      <c r="AZ1251" s="334"/>
      <c r="BA1251" s="334"/>
      <c r="BB1251" s="334"/>
      <c r="BC1251" s="334"/>
      <c r="BD1251" s="334"/>
      <c r="BE1251" s="334"/>
      <c r="BF1251" s="334"/>
      <c r="BG1251" s="334"/>
      <c r="BI1251" s="334"/>
      <c r="BJ1251" s="334"/>
      <c r="BK1251" s="334"/>
      <c r="BL1251" s="334"/>
      <c r="BM1251" s="334"/>
      <c r="BN1251" s="334"/>
      <c r="BO1251" s="334"/>
      <c r="BP1251" s="334"/>
      <c r="BQ1251" s="334"/>
      <c r="BR1251" s="334"/>
      <c r="BS1251" s="334"/>
      <c r="BT1251" s="334"/>
      <c r="BU1251" s="334"/>
      <c r="BV1251" s="334"/>
      <c r="BW1251" s="334"/>
      <c r="BY1251" s="334"/>
      <c r="BZ1251" s="334"/>
      <c r="CA1251" s="334"/>
      <c r="CB1251" s="334"/>
      <c r="CC1251" s="334"/>
      <c r="CD1251" s="334"/>
      <c r="CE1251" s="334"/>
      <c r="CF1251" s="334"/>
      <c r="CG1251" s="334"/>
      <c r="CH1251" s="334"/>
      <c r="CI1251" s="334"/>
      <c r="CJ1251" s="334"/>
      <c r="CK1251" s="334"/>
      <c r="CL1251" s="334"/>
      <c r="CM1251" s="334"/>
      <c r="CO1251" s="334"/>
      <c r="CP1251" s="334"/>
      <c r="CQ1251" s="334"/>
      <c r="CR1251" s="334"/>
      <c r="CS1251" s="334"/>
      <c r="CT1251" s="334"/>
      <c r="CU1251" s="334"/>
      <c r="CV1251" s="334"/>
      <c r="CW1251" s="334"/>
      <c r="CX1251" s="334"/>
      <c r="CY1251" s="334"/>
      <c r="CZ1251" s="334"/>
      <c r="DA1251" s="334"/>
      <c r="DB1251" s="334"/>
      <c r="DC1251" s="334"/>
      <c r="DE1251" s="250"/>
    </row>
    <row r="1252" spans="1:109">
      <c r="A1252" s="45"/>
      <c r="B1252" s="100"/>
      <c r="C1252" s="100"/>
      <c r="D1252" s="100"/>
      <c r="E1252" s="100"/>
      <c r="F1252" s="330"/>
      <c r="G1252" s="100"/>
      <c r="H1252" s="100"/>
      <c r="I1252" s="100"/>
      <c r="J1252" s="100"/>
      <c r="K1252" s="100"/>
      <c r="L1252" s="100"/>
      <c r="M1252" s="100"/>
      <c r="N1252" s="45"/>
      <c r="O1252" s="100"/>
      <c r="P1252" s="331"/>
      <c r="Q1252" s="100"/>
      <c r="R1252" s="332"/>
      <c r="S1252" s="45"/>
      <c r="T1252" s="45"/>
      <c r="U1252" s="333"/>
      <c r="V1252" s="333"/>
      <c r="W1252" s="44"/>
      <c r="X1252" s="333"/>
      <c r="Y1252" s="333"/>
      <c r="Z1252" s="333"/>
      <c r="AA1252" s="333"/>
      <c r="AB1252" s="44"/>
      <c r="AC1252" s="333"/>
      <c r="AD1252" s="333"/>
      <c r="AE1252" s="333"/>
      <c r="AF1252" s="333"/>
      <c r="AG1252" s="44"/>
      <c r="AH1252" s="333"/>
      <c r="AI1252" s="333"/>
      <c r="AJ1252" s="333"/>
      <c r="AK1252" s="333"/>
      <c r="AL1252" s="44"/>
      <c r="AM1252" s="45"/>
      <c r="AN1252" s="100"/>
      <c r="AO1252" s="100"/>
      <c r="AP1252" s="100"/>
      <c r="AQ1252" s="100"/>
      <c r="AR1252" s="100"/>
      <c r="AS1252" s="334"/>
      <c r="AT1252" s="334"/>
      <c r="AU1252" s="334"/>
      <c r="AV1252" s="334"/>
      <c r="AW1252" s="334"/>
      <c r="AX1252" s="334"/>
      <c r="AY1252" s="334"/>
      <c r="AZ1252" s="334"/>
      <c r="BA1252" s="334"/>
      <c r="BB1252" s="334"/>
      <c r="BC1252" s="334"/>
      <c r="BD1252" s="334"/>
      <c r="BE1252" s="334"/>
      <c r="BF1252" s="334"/>
      <c r="BG1252" s="334"/>
      <c r="BI1252" s="334"/>
      <c r="BJ1252" s="334"/>
      <c r="BK1252" s="334"/>
      <c r="BL1252" s="334"/>
      <c r="BM1252" s="334"/>
      <c r="BN1252" s="334"/>
      <c r="BO1252" s="334"/>
      <c r="BP1252" s="334"/>
      <c r="BQ1252" s="334"/>
      <c r="BR1252" s="334"/>
      <c r="BS1252" s="334"/>
      <c r="BT1252" s="334"/>
      <c r="BU1252" s="334"/>
      <c r="BV1252" s="334"/>
      <c r="BW1252" s="334"/>
      <c r="BY1252" s="334"/>
      <c r="BZ1252" s="334"/>
      <c r="CA1252" s="334"/>
      <c r="CB1252" s="334"/>
      <c r="CC1252" s="334"/>
      <c r="CD1252" s="334"/>
      <c r="CE1252" s="334"/>
      <c r="CF1252" s="334"/>
      <c r="CG1252" s="334"/>
      <c r="CH1252" s="334"/>
      <c r="CI1252" s="334"/>
      <c r="CJ1252" s="334"/>
      <c r="CK1252" s="334"/>
      <c r="CL1252" s="334"/>
      <c r="CM1252" s="334"/>
      <c r="CO1252" s="334"/>
      <c r="CP1252" s="334"/>
      <c r="CQ1252" s="334"/>
      <c r="CR1252" s="334"/>
      <c r="CS1252" s="334"/>
      <c r="CT1252" s="334"/>
      <c r="CU1252" s="334"/>
      <c r="CV1252" s="334"/>
      <c r="CW1252" s="334"/>
      <c r="CX1252" s="334"/>
      <c r="CY1252" s="334"/>
      <c r="CZ1252" s="334"/>
      <c r="DA1252" s="334"/>
      <c r="DB1252" s="334"/>
      <c r="DC1252" s="334"/>
      <c r="DE1252" s="250"/>
    </row>
    <row r="1253" spans="1:109">
      <c r="A1253" s="45"/>
      <c r="B1253" s="100"/>
      <c r="C1253" s="100"/>
      <c r="D1253" s="100"/>
      <c r="E1253" s="100"/>
      <c r="F1253" s="330"/>
      <c r="G1253" s="100"/>
      <c r="H1253" s="100"/>
      <c r="I1253" s="100"/>
      <c r="J1253" s="100"/>
      <c r="K1253" s="100"/>
      <c r="L1253" s="100"/>
      <c r="M1253" s="100"/>
      <c r="N1253" s="45"/>
      <c r="O1253" s="100"/>
      <c r="P1253" s="331"/>
      <c r="Q1253" s="100"/>
      <c r="R1253" s="332"/>
      <c r="S1253" s="45"/>
      <c r="T1253" s="45"/>
      <c r="U1253" s="333"/>
      <c r="V1253" s="333"/>
      <c r="W1253" s="44"/>
      <c r="X1253" s="333"/>
      <c r="Y1253" s="333"/>
      <c r="Z1253" s="333"/>
      <c r="AA1253" s="333"/>
      <c r="AB1253" s="44"/>
      <c r="AC1253" s="333"/>
      <c r="AD1253" s="333"/>
      <c r="AE1253" s="333"/>
      <c r="AF1253" s="333"/>
      <c r="AG1253" s="44"/>
      <c r="AH1253" s="333"/>
      <c r="AI1253" s="333"/>
      <c r="AJ1253" s="333"/>
      <c r="AK1253" s="333"/>
      <c r="AL1253" s="44"/>
      <c r="AM1253" s="45"/>
      <c r="AN1253" s="100"/>
      <c r="AO1253" s="100"/>
      <c r="AP1253" s="100"/>
      <c r="AQ1253" s="100"/>
      <c r="AR1253" s="100"/>
      <c r="AS1253" s="334"/>
      <c r="AT1253" s="334"/>
      <c r="AU1253" s="334"/>
      <c r="AV1253" s="334"/>
      <c r="AW1253" s="334"/>
      <c r="AX1253" s="334"/>
      <c r="AY1253" s="334"/>
      <c r="AZ1253" s="334"/>
      <c r="BA1253" s="334"/>
      <c r="BB1253" s="334"/>
      <c r="BC1253" s="334"/>
      <c r="BD1253" s="334"/>
      <c r="BE1253" s="334"/>
      <c r="BF1253" s="334"/>
      <c r="BG1253" s="334"/>
      <c r="BI1253" s="334"/>
      <c r="BJ1253" s="334"/>
      <c r="BK1253" s="334"/>
      <c r="BL1253" s="334"/>
      <c r="BM1253" s="334"/>
      <c r="BN1253" s="334"/>
      <c r="BO1253" s="334"/>
      <c r="BP1253" s="334"/>
      <c r="BQ1253" s="334"/>
      <c r="BR1253" s="334"/>
      <c r="BS1253" s="334"/>
      <c r="BT1253" s="334"/>
      <c r="BU1253" s="334"/>
      <c r="BV1253" s="334"/>
      <c r="BW1253" s="334"/>
      <c r="BY1253" s="334"/>
      <c r="BZ1253" s="334"/>
      <c r="CA1253" s="334"/>
      <c r="CB1253" s="334"/>
      <c r="CC1253" s="334"/>
      <c r="CD1253" s="334"/>
      <c r="CE1253" s="334"/>
      <c r="CF1253" s="334"/>
      <c r="CG1253" s="334"/>
      <c r="CH1253" s="334"/>
      <c r="CI1253" s="334"/>
      <c r="CJ1253" s="334"/>
      <c r="CK1253" s="334"/>
      <c r="CL1253" s="334"/>
      <c r="CM1253" s="334"/>
      <c r="CO1253" s="334"/>
      <c r="CP1253" s="334"/>
      <c r="CQ1253" s="334"/>
      <c r="CR1253" s="334"/>
      <c r="CS1253" s="334"/>
      <c r="CT1253" s="334"/>
      <c r="CU1253" s="334"/>
      <c r="CV1253" s="334"/>
      <c r="CW1253" s="334"/>
      <c r="CX1253" s="334"/>
      <c r="CY1253" s="334"/>
      <c r="CZ1253" s="334"/>
      <c r="DA1253" s="334"/>
      <c r="DB1253" s="334"/>
      <c r="DC1253" s="334"/>
      <c r="DE1253" s="250"/>
    </row>
    <row r="1254" spans="1:109">
      <c r="A1254" s="45"/>
      <c r="B1254" s="100"/>
      <c r="C1254" s="100"/>
      <c r="D1254" s="100"/>
      <c r="E1254" s="100"/>
      <c r="F1254" s="330"/>
      <c r="G1254" s="100"/>
      <c r="H1254" s="100"/>
      <c r="I1254" s="100"/>
      <c r="J1254" s="100"/>
      <c r="K1254" s="100"/>
      <c r="L1254" s="100"/>
      <c r="M1254" s="100"/>
      <c r="N1254" s="45"/>
      <c r="O1254" s="100"/>
      <c r="P1254" s="331"/>
      <c r="Q1254" s="100"/>
      <c r="R1254" s="332"/>
      <c r="S1254" s="45"/>
      <c r="T1254" s="45"/>
      <c r="U1254" s="333"/>
      <c r="V1254" s="333"/>
      <c r="W1254" s="44"/>
      <c r="X1254" s="333"/>
      <c r="Y1254" s="333"/>
      <c r="Z1254" s="333"/>
      <c r="AA1254" s="333"/>
      <c r="AB1254" s="44"/>
      <c r="AC1254" s="333"/>
      <c r="AD1254" s="333"/>
      <c r="AE1254" s="333"/>
      <c r="AF1254" s="333"/>
      <c r="AG1254" s="44"/>
      <c r="AH1254" s="333"/>
      <c r="AI1254" s="333"/>
      <c r="AJ1254" s="333"/>
      <c r="AK1254" s="333"/>
      <c r="AL1254" s="44"/>
      <c r="AM1254" s="45"/>
      <c r="AN1254" s="100"/>
      <c r="AO1254" s="100"/>
      <c r="AP1254" s="100"/>
      <c r="AQ1254" s="100"/>
      <c r="AR1254" s="100"/>
      <c r="AS1254" s="334"/>
      <c r="AT1254" s="334"/>
      <c r="AU1254" s="334"/>
      <c r="AV1254" s="334"/>
      <c r="AW1254" s="334"/>
      <c r="AX1254" s="334"/>
      <c r="AY1254" s="334"/>
      <c r="AZ1254" s="334"/>
      <c r="BA1254" s="334"/>
      <c r="BB1254" s="334"/>
      <c r="BC1254" s="334"/>
      <c r="BD1254" s="334"/>
      <c r="BE1254" s="334"/>
      <c r="BF1254" s="334"/>
      <c r="BG1254" s="334"/>
      <c r="BI1254" s="334"/>
      <c r="BJ1254" s="334"/>
      <c r="BK1254" s="334"/>
      <c r="BL1254" s="334"/>
      <c r="BM1254" s="334"/>
      <c r="BN1254" s="334"/>
      <c r="BO1254" s="334"/>
      <c r="BP1254" s="334"/>
      <c r="BQ1254" s="334"/>
      <c r="BR1254" s="334"/>
      <c r="BS1254" s="334"/>
      <c r="BT1254" s="334"/>
      <c r="BU1254" s="334"/>
      <c r="BV1254" s="334"/>
      <c r="BW1254" s="334"/>
      <c r="BY1254" s="334"/>
      <c r="BZ1254" s="334"/>
      <c r="CA1254" s="334"/>
      <c r="CB1254" s="334"/>
      <c r="CC1254" s="334"/>
      <c r="CD1254" s="334"/>
      <c r="CE1254" s="334"/>
      <c r="CF1254" s="334"/>
      <c r="CG1254" s="334"/>
      <c r="CH1254" s="334"/>
      <c r="CI1254" s="334"/>
      <c r="CJ1254" s="334"/>
      <c r="CK1254" s="334"/>
      <c r="CL1254" s="334"/>
      <c r="CM1254" s="334"/>
      <c r="CO1254" s="334"/>
      <c r="CP1254" s="334"/>
      <c r="CQ1254" s="334"/>
      <c r="CR1254" s="334"/>
      <c r="CS1254" s="334"/>
      <c r="CT1254" s="334"/>
      <c r="CU1254" s="334"/>
      <c r="CV1254" s="334"/>
      <c r="CW1254" s="334"/>
      <c r="CX1254" s="334"/>
      <c r="CY1254" s="334"/>
      <c r="CZ1254" s="334"/>
      <c r="DA1254" s="334"/>
      <c r="DB1254" s="334"/>
      <c r="DC1254" s="334"/>
      <c r="DE1254" s="250"/>
    </row>
    <row r="1255" spans="1:109">
      <c r="A1255" s="45"/>
      <c r="B1255" s="100"/>
      <c r="C1255" s="100"/>
      <c r="D1255" s="100"/>
      <c r="E1255" s="100"/>
      <c r="F1255" s="330"/>
      <c r="G1255" s="100"/>
      <c r="H1255" s="100"/>
      <c r="I1255" s="100"/>
      <c r="J1255" s="100"/>
      <c r="K1255" s="100"/>
      <c r="L1255" s="100"/>
      <c r="M1255" s="100"/>
      <c r="N1255" s="45"/>
      <c r="O1255" s="100"/>
      <c r="P1255" s="331"/>
      <c r="Q1255" s="100"/>
      <c r="R1255" s="332"/>
      <c r="S1255" s="45"/>
      <c r="T1255" s="45"/>
      <c r="U1255" s="333"/>
      <c r="V1255" s="333"/>
      <c r="W1255" s="44"/>
      <c r="X1255" s="333"/>
      <c r="Y1255" s="333"/>
      <c r="Z1255" s="333"/>
      <c r="AA1255" s="333"/>
      <c r="AB1255" s="44"/>
      <c r="AC1255" s="333"/>
      <c r="AD1255" s="333"/>
      <c r="AE1255" s="333"/>
      <c r="AF1255" s="333"/>
      <c r="AG1255" s="44"/>
      <c r="AH1255" s="333"/>
      <c r="AI1255" s="333"/>
      <c r="AJ1255" s="333"/>
      <c r="AK1255" s="333"/>
      <c r="AL1255" s="44"/>
      <c r="AM1255" s="45"/>
      <c r="AN1255" s="100"/>
      <c r="AO1255" s="100"/>
      <c r="AP1255" s="100"/>
      <c r="AQ1255" s="100"/>
      <c r="AR1255" s="100"/>
      <c r="AS1255" s="334"/>
      <c r="AT1255" s="334"/>
      <c r="AU1255" s="334"/>
      <c r="AV1255" s="334"/>
      <c r="AW1255" s="334"/>
      <c r="AX1255" s="334"/>
      <c r="AY1255" s="334"/>
      <c r="AZ1255" s="334"/>
      <c r="BA1255" s="334"/>
      <c r="BB1255" s="334"/>
      <c r="BC1255" s="334"/>
      <c r="BD1255" s="334"/>
      <c r="BE1255" s="334"/>
      <c r="BF1255" s="334"/>
      <c r="BG1255" s="334"/>
      <c r="BI1255" s="334"/>
      <c r="BJ1255" s="334"/>
      <c r="BK1255" s="334"/>
      <c r="BL1255" s="334"/>
      <c r="BM1255" s="334"/>
      <c r="BN1255" s="334"/>
      <c r="BO1255" s="334"/>
      <c r="BP1255" s="334"/>
      <c r="BQ1255" s="334"/>
      <c r="BR1255" s="334"/>
      <c r="BS1255" s="334"/>
      <c r="BT1255" s="334"/>
      <c r="BU1255" s="334"/>
      <c r="BV1255" s="334"/>
      <c r="BW1255" s="334"/>
      <c r="BY1255" s="334"/>
      <c r="BZ1255" s="334"/>
      <c r="CA1255" s="334"/>
      <c r="CB1255" s="334"/>
      <c r="CC1255" s="334"/>
      <c r="CD1255" s="334"/>
      <c r="CE1255" s="334"/>
      <c r="CF1255" s="334"/>
      <c r="CG1255" s="334"/>
      <c r="CH1255" s="334"/>
      <c r="CI1255" s="334"/>
      <c r="CJ1255" s="334"/>
      <c r="CK1255" s="334"/>
      <c r="CL1255" s="334"/>
      <c r="CM1255" s="334"/>
      <c r="CO1255" s="334"/>
      <c r="CP1255" s="334"/>
      <c r="CQ1255" s="334"/>
      <c r="CR1255" s="334"/>
      <c r="CS1255" s="334"/>
      <c r="CT1255" s="334"/>
      <c r="CU1255" s="334"/>
      <c r="CV1255" s="334"/>
      <c r="CW1255" s="334"/>
      <c r="CX1255" s="334"/>
      <c r="CY1255" s="334"/>
      <c r="CZ1255" s="334"/>
      <c r="DA1255" s="334"/>
      <c r="DB1255" s="334"/>
      <c r="DC1255" s="334"/>
      <c r="DE1255" s="250"/>
    </row>
    <row r="1256" spans="1:109">
      <c r="A1256" s="45"/>
      <c r="B1256" s="100"/>
      <c r="C1256" s="100"/>
      <c r="D1256" s="100"/>
      <c r="E1256" s="100"/>
      <c r="F1256" s="330"/>
      <c r="G1256" s="100"/>
      <c r="H1256" s="100"/>
      <c r="I1256" s="100"/>
      <c r="J1256" s="100"/>
      <c r="K1256" s="100"/>
      <c r="L1256" s="100"/>
      <c r="M1256" s="100"/>
      <c r="N1256" s="45"/>
      <c r="O1256" s="100"/>
      <c r="P1256" s="331"/>
      <c r="Q1256" s="100"/>
      <c r="R1256" s="332"/>
      <c r="S1256" s="45"/>
      <c r="T1256" s="45"/>
      <c r="U1256" s="333"/>
      <c r="V1256" s="333"/>
      <c r="W1256" s="44"/>
      <c r="X1256" s="333"/>
      <c r="Y1256" s="333"/>
      <c r="Z1256" s="333"/>
      <c r="AA1256" s="333"/>
      <c r="AB1256" s="44"/>
      <c r="AC1256" s="333"/>
      <c r="AD1256" s="333"/>
      <c r="AE1256" s="333"/>
      <c r="AF1256" s="333"/>
      <c r="AG1256" s="44"/>
      <c r="AH1256" s="333"/>
      <c r="AI1256" s="333"/>
      <c r="AJ1256" s="333"/>
      <c r="AK1256" s="333"/>
      <c r="AL1256" s="44"/>
      <c r="AM1256" s="45"/>
      <c r="AN1256" s="100"/>
      <c r="AO1256" s="100"/>
      <c r="AP1256" s="100"/>
      <c r="AQ1256" s="100"/>
      <c r="AR1256" s="100"/>
      <c r="AS1256" s="334"/>
      <c r="AT1256" s="334"/>
      <c r="AU1256" s="334"/>
      <c r="AV1256" s="334"/>
      <c r="AW1256" s="334"/>
      <c r="AX1256" s="334"/>
      <c r="AY1256" s="334"/>
      <c r="AZ1256" s="334"/>
      <c r="BA1256" s="334"/>
      <c r="BB1256" s="334"/>
      <c r="BC1256" s="334"/>
      <c r="BD1256" s="334"/>
      <c r="BE1256" s="334"/>
      <c r="BF1256" s="334"/>
      <c r="BG1256" s="334"/>
      <c r="BI1256" s="334"/>
      <c r="BJ1256" s="334"/>
      <c r="BK1256" s="334"/>
      <c r="BL1256" s="334"/>
      <c r="BM1256" s="334"/>
      <c r="BN1256" s="334"/>
      <c r="BO1256" s="334"/>
      <c r="BP1256" s="334"/>
      <c r="BQ1256" s="334"/>
      <c r="BR1256" s="334"/>
      <c r="BS1256" s="334"/>
      <c r="BT1256" s="334"/>
      <c r="BU1256" s="334"/>
      <c r="BV1256" s="334"/>
      <c r="BW1256" s="334"/>
      <c r="BY1256" s="334"/>
      <c r="BZ1256" s="334"/>
      <c r="CA1256" s="334"/>
      <c r="CB1256" s="334"/>
      <c r="CC1256" s="334"/>
      <c r="CD1256" s="334"/>
      <c r="CE1256" s="334"/>
      <c r="CF1256" s="334"/>
      <c r="CG1256" s="334"/>
      <c r="CH1256" s="334"/>
      <c r="CI1256" s="334"/>
      <c r="CJ1256" s="334"/>
      <c r="CK1256" s="334"/>
      <c r="CL1256" s="334"/>
      <c r="CM1256" s="334"/>
      <c r="CO1256" s="334"/>
      <c r="CP1256" s="334"/>
      <c r="CQ1256" s="334"/>
      <c r="CR1256" s="334"/>
      <c r="CS1256" s="334"/>
      <c r="CT1256" s="334"/>
      <c r="CU1256" s="334"/>
      <c r="CV1256" s="334"/>
      <c r="CW1256" s="334"/>
      <c r="CX1256" s="334"/>
      <c r="CY1256" s="334"/>
      <c r="CZ1256" s="334"/>
      <c r="DA1256" s="334"/>
      <c r="DB1256" s="334"/>
      <c r="DC1256" s="334"/>
      <c r="DE1256" s="250"/>
    </row>
    <row r="1257" spans="1:109">
      <c r="A1257" s="45"/>
      <c r="B1257" s="100"/>
      <c r="C1257" s="100"/>
      <c r="D1257" s="100"/>
      <c r="E1257" s="100"/>
      <c r="F1257" s="330"/>
      <c r="G1257" s="100"/>
      <c r="H1257" s="100"/>
      <c r="I1257" s="100"/>
      <c r="J1257" s="100"/>
      <c r="K1257" s="100"/>
      <c r="L1257" s="100"/>
      <c r="M1257" s="100"/>
      <c r="N1257" s="45"/>
      <c r="O1257" s="100"/>
      <c r="P1257" s="331"/>
      <c r="Q1257" s="100"/>
      <c r="R1257" s="332"/>
      <c r="S1257" s="45"/>
      <c r="T1257" s="45"/>
      <c r="U1257" s="333"/>
      <c r="V1257" s="333"/>
      <c r="W1257" s="44"/>
      <c r="X1257" s="333"/>
      <c r="Y1257" s="333"/>
      <c r="Z1257" s="333"/>
      <c r="AA1257" s="333"/>
      <c r="AB1257" s="44"/>
      <c r="AC1257" s="333"/>
      <c r="AD1257" s="333"/>
      <c r="AE1257" s="333"/>
      <c r="AF1257" s="333"/>
      <c r="AG1257" s="44"/>
      <c r="AH1257" s="333"/>
      <c r="AI1257" s="333"/>
      <c r="AJ1257" s="333"/>
      <c r="AK1257" s="333"/>
      <c r="AL1257" s="44"/>
      <c r="AM1257" s="45"/>
      <c r="AN1257" s="100"/>
      <c r="AO1257" s="100"/>
      <c r="AP1257" s="100"/>
      <c r="AQ1257" s="100"/>
      <c r="AR1257" s="100"/>
      <c r="AS1257" s="334"/>
      <c r="AT1257" s="334"/>
      <c r="AU1257" s="334"/>
      <c r="AV1257" s="334"/>
      <c r="AW1257" s="334"/>
      <c r="AX1257" s="334"/>
      <c r="AY1257" s="334"/>
      <c r="AZ1257" s="334"/>
      <c r="BA1257" s="334"/>
      <c r="BB1257" s="334"/>
      <c r="BC1257" s="334"/>
      <c r="BD1257" s="334"/>
      <c r="BE1257" s="334"/>
      <c r="BF1257" s="334"/>
      <c r="BG1257" s="334"/>
      <c r="BI1257" s="334"/>
      <c r="BJ1257" s="334"/>
      <c r="BK1257" s="334"/>
      <c r="BL1257" s="334"/>
      <c r="BM1257" s="334"/>
      <c r="BN1257" s="334"/>
      <c r="BO1257" s="334"/>
      <c r="BP1257" s="334"/>
      <c r="BQ1257" s="334"/>
      <c r="BR1257" s="334"/>
      <c r="BS1257" s="334"/>
      <c r="BT1257" s="334"/>
      <c r="BU1257" s="334"/>
      <c r="BV1257" s="334"/>
      <c r="BW1257" s="334"/>
      <c r="BY1257" s="334"/>
      <c r="BZ1257" s="334"/>
      <c r="CA1257" s="334"/>
      <c r="CB1257" s="334"/>
      <c r="CC1257" s="334"/>
      <c r="CD1257" s="334"/>
      <c r="CE1257" s="334"/>
      <c r="CF1257" s="334"/>
      <c r="CG1257" s="334"/>
      <c r="CH1257" s="334"/>
      <c r="CI1257" s="334"/>
      <c r="CJ1257" s="334"/>
      <c r="CK1257" s="334"/>
      <c r="CL1257" s="334"/>
      <c r="CM1257" s="334"/>
      <c r="CO1257" s="334"/>
      <c r="CP1257" s="334"/>
      <c r="CQ1257" s="334"/>
      <c r="CR1257" s="334"/>
      <c r="CS1257" s="334"/>
      <c r="CT1257" s="334"/>
      <c r="CU1257" s="334"/>
      <c r="CV1257" s="334"/>
      <c r="CW1257" s="334"/>
      <c r="CX1257" s="334"/>
      <c r="CY1257" s="334"/>
      <c r="CZ1257" s="334"/>
      <c r="DA1257" s="334"/>
      <c r="DB1257" s="334"/>
      <c r="DC1257" s="334"/>
      <c r="DE1257" s="250"/>
    </row>
    <row r="1258" spans="1:109">
      <c r="A1258" s="45"/>
      <c r="B1258" s="100"/>
      <c r="C1258" s="100"/>
      <c r="D1258" s="100"/>
      <c r="E1258" s="100"/>
      <c r="F1258" s="330"/>
      <c r="G1258" s="100"/>
      <c r="H1258" s="100"/>
      <c r="I1258" s="100"/>
      <c r="J1258" s="100"/>
      <c r="K1258" s="100"/>
      <c r="L1258" s="100"/>
      <c r="M1258" s="100"/>
      <c r="N1258" s="45"/>
      <c r="O1258" s="100"/>
      <c r="P1258" s="331"/>
      <c r="Q1258" s="100"/>
      <c r="R1258" s="332"/>
      <c r="S1258" s="45"/>
      <c r="T1258" s="45"/>
      <c r="U1258" s="333"/>
      <c r="V1258" s="333"/>
      <c r="W1258" s="44"/>
      <c r="X1258" s="333"/>
      <c r="Y1258" s="333"/>
      <c r="Z1258" s="333"/>
      <c r="AA1258" s="333"/>
      <c r="AB1258" s="44"/>
      <c r="AC1258" s="333"/>
      <c r="AD1258" s="333"/>
      <c r="AE1258" s="333"/>
      <c r="AF1258" s="333"/>
      <c r="AG1258" s="44"/>
      <c r="AH1258" s="333"/>
      <c r="AI1258" s="333"/>
      <c r="AJ1258" s="333"/>
      <c r="AK1258" s="333"/>
      <c r="AL1258" s="44"/>
      <c r="AM1258" s="45"/>
      <c r="AN1258" s="100"/>
      <c r="AO1258" s="100"/>
      <c r="AP1258" s="100"/>
      <c r="AQ1258" s="100"/>
      <c r="AR1258" s="100"/>
      <c r="AS1258" s="334"/>
      <c r="AT1258" s="334"/>
      <c r="AU1258" s="334"/>
      <c r="AV1258" s="334"/>
      <c r="AW1258" s="334"/>
      <c r="AX1258" s="334"/>
      <c r="AY1258" s="334"/>
      <c r="AZ1258" s="334"/>
      <c r="BA1258" s="334"/>
      <c r="BB1258" s="334"/>
      <c r="BC1258" s="334"/>
      <c r="BD1258" s="334"/>
      <c r="BE1258" s="334"/>
      <c r="BF1258" s="334"/>
      <c r="BG1258" s="334"/>
      <c r="BI1258" s="334"/>
      <c r="BJ1258" s="334"/>
      <c r="BK1258" s="334"/>
      <c r="BL1258" s="334"/>
      <c r="BM1258" s="334"/>
      <c r="BN1258" s="334"/>
      <c r="BO1258" s="334"/>
      <c r="BP1258" s="334"/>
      <c r="BQ1258" s="334"/>
      <c r="BR1258" s="334"/>
      <c r="BS1258" s="334"/>
      <c r="BT1258" s="334"/>
      <c r="BU1258" s="334"/>
      <c r="BV1258" s="334"/>
      <c r="BW1258" s="334"/>
      <c r="BY1258" s="334"/>
      <c r="BZ1258" s="334"/>
      <c r="CA1258" s="334"/>
      <c r="CB1258" s="334"/>
      <c r="CC1258" s="334"/>
      <c r="CD1258" s="334"/>
      <c r="CE1258" s="334"/>
      <c r="CF1258" s="334"/>
      <c r="CG1258" s="334"/>
      <c r="CH1258" s="334"/>
      <c r="CI1258" s="334"/>
      <c r="CJ1258" s="334"/>
      <c r="CK1258" s="334"/>
      <c r="CL1258" s="334"/>
      <c r="CM1258" s="334"/>
      <c r="CO1258" s="334"/>
      <c r="CP1258" s="334"/>
      <c r="CQ1258" s="334"/>
      <c r="CR1258" s="334"/>
      <c r="CS1258" s="334"/>
      <c r="CT1258" s="334"/>
      <c r="CU1258" s="334"/>
      <c r="CV1258" s="334"/>
      <c r="CW1258" s="334"/>
      <c r="CX1258" s="334"/>
      <c r="CY1258" s="334"/>
      <c r="CZ1258" s="334"/>
      <c r="DA1258" s="334"/>
      <c r="DB1258" s="334"/>
      <c r="DC1258" s="334"/>
      <c r="DE1258" s="250"/>
    </row>
    <row r="1259" spans="1:109">
      <c r="A1259" s="45"/>
      <c r="B1259" s="100"/>
      <c r="C1259" s="100"/>
      <c r="D1259" s="100"/>
      <c r="E1259" s="100"/>
      <c r="F1259" s="330"/>
      <c r="G1259" s="100"/>
      <c r="H1259" s="100"/>
      <c r="I1259" s="100"/>
      <c r="J1259" s="100"/>
      <c r="K1259" s="100"/>
      <c r="L1259" s="100"/>
      <c r="M1259" s="100"/>
      <c r="N1259" s="45"/>
      <c r="O1259" s="100"/>
      <c r="P1259" s="331"/>
      <c r="Q1259" s="100"/>
      <c r="R1259" s="332"/>
      <c r="S1259" s="45"/>
      <c r="T1259" s="45"/>
      <c r="U1259" s="333"/>
      <c r="V1259" s="333"/>
      <c r="W1259" s="44"/>
      <c r="X1259" s="333"/>
      <c r="Y1259" s="333"/>
      <c r="Z1259" s="333"/>
      <c r="AA1259" s="333"/>
      <c r="AB1259" s="44"/>
      <c r="AC1259" s="333"/>
      <c r="AD1259" s="333"/>
      <c r="AE1259" s="333"/>
      <c r="AF1259" s="333"/>
      <c r="AG1259" s="44"/>
      <c r="AH1259" s="333"/>
      <c r="AI1259" s="333"/>
      <c r="AJ1259" s="333"/>
      <c r="AK1259" s="333"/>
      <c r="AL1259" s="44"/>
      <c r="AM1259" s="45"/>
      <c r="AN1259" s="100"/>
      <c r="AO1259" s="100"/>
      <c r="AP1259" s="100"/>
      <c r="AQ1259" s="100"/>
      <c r="AR1259" s="100"/>
      <c r="AS1259" s="334"/>
      <c r="AT1259" s="334"/>
      <c r="AU1259" s="334"/>
      <c r="AV1259" s="334"/>
      <c r="AW1259" s="334"/>
      <c r="AX1259" s="334"/>
      <c r="AY1259" s="334"/>
      <c r="AZ1259" s="334"/>
      <c r="BA1259" s="334"/>
      <c r="BB1259" s="334"/>
      <c r="BC1259" s="334"/>
      <c r="BD1259" s="334"/>
      <c r="BE1259" s="334"/>
      <c r="BF1259" s="334"/>
      <c r="BG1259" s="334"/>
      <c r="BI1259" s="334"/>
      <c r="BJ1259" s="334"/>
      <c r="BK1259" s="334"/>
      <c r="BL1259" s="334"/>
      <c r="BM1259" s="334"/>
      <c r="BN1259" s="334"/>
      <c r="BO1259" s="334"/>
      <c r="BP1259" s="334"/>
      <c r="BQ1259" s="334"/>
      <c r="BR1259" s="334"/>
      <c r="BS1259" s="334"/>
      <c r="BT1259" s="334"/>
      <c r="BU1259" s="334"/>
      <c r="BV1259" s="334"/>
      <c r="BW1259" s="334"/>
      <c r="BY1259" s="334"/>
      <c r="BZ1259" s="334"/>
      <c r="CA1259" s="334"/>
      <c r="CB1259" s="334"/>
      <c r="CC1259" s="334"/>
      <c r="CD1259" s="334"/>
      <c r="CE1259" s="334"/>
      <c r="CF1259" s="334"/>
      <c r="CG1259" s="334"/>
      <c r="CH1259" s="334"/>
      <c r="CI1259" s="334"/>
      <c r="CJ1259" s="334"/>
      <c r="CK1259" s="334"/>
      <c r="CL1259" s="334"/>
      <c r="CM1259" s="334"/>
      <c r="CO1259" s="334"/>
      <c r="CP1259" s="334"/>
      <c r="CQ1259" s="334"/>
      <c r="CR1259" s="334"/>
      <c r="CS1259" s="334"/>
      <c r="CT1259" s="334"/>
      <c r="CU1259" s="334"/>
      <c r="CV1259" s="334"/>
      <c r="CW1259" s="334"/>
      <c r="CX1259" s="334"/>
      <c r="CY1259" s="334"/>
      <c r="CZ1259" s="334"/>
      <c r="DA1259" s="334"/>
      <c r="DB1259" s="334"/>
      <c r="DC1259" s="334"/>
      <c r="DE1259" s="250"/>
    </row>
    <row r="1260" spans="1:109">
      <c r="A1260" s="45"/>
      <c r="B1260" s="100"/>
      <c r="C1260" s="100"/>
      <c r="D1260" s="100"/>
      <c r="E1260" s="100"/>
      <c r="F1260" s="330"/>
      <c r="G1260" s="100"/>
      <c r="H1260" s="100"/>
      <c r="I1260" s="100"/>
      <c r="J1260" s="100"/>
      <c r="K1260" s="100"/>
      <c r="L1260" s="100"/>
      <c r="M1260" s="100"/>
      <c r="N1260" s="45"/>
      <c r="O1260" s="100"/>
      <c r="P1260" s="331"/>
      <c r="Q1260" s="100"/>
      <c r="R1260" s="332"/>
      <c r="S1260" s="45"/>
      <c r="T1260" s="45"/>
      <c r="U1260" s="333"/>
      <c r="V1260" s="333"/>
      <c r="W1260" s="44"/>
      <c r="X1260" s="333"/>
      <c r="Y1260" s="333"/>
      <c r="Z1260" s="333"/>
      <c r="AA1260" s="333"/>
      <c r="AB1260" s="44"/>
      <c r="AC1260" s="333"/>
      <c r="AD1260" s="333"/>
      <c r="AE1260" s="333"/>
      <c r="AF1260" s="333"/>
      <c r="AG1260" s="44"/>
      <c r="AH1260" s="333"/>
      <c r="AI1260" s="333"/>
      <c r="AJ1260" s="333"/>
      <c r="AK1260" s="333"/>
      <c r="AL1260" s="44"/>
      <c r="AM1260" s="45"/>
      <c r="AN1260" s="100"/>
      <c r="AO1260" s="100"/>
      <c r="AP1260" s="100"/>
      <c r="AQ1260" s="100"/>
      <c r="AR1260" s="100"/>
      <c r="AS1260" s="334"/>
      <c r="AT1260" s="334"/>
      <c r="AU1260" s="334"/>
      <c r="AV1260" s="334"/>
      <c r="AW1260" s="334"/>
      <c r="AX1260" s="334"/>
      <c r="AY1260" s="334"/>
      <c r="AZ1260" s="334"/>
      <c r="BA1260" s="334"/>
      <c r="BB1260" s="334"/>
      <c r="BC1260" s="334"/>
      <c r="BD1260" s="334"/>
      <c r="BE1260" s="334"/>
      <c r="BF1260" s="334"/>
      <c r="BG1260" s="334"/>
      <c r="BI1260" s="334"/>
      <c r="BJ1260" s="334"/>
      <c r="BK1260" s="334"/>
      <c r="BL1260" s="334"/>
      <c r="BM1260" s="334"/>
      <c r="BN1260" s="334"/>
      <c r="BO1260" s="334"/>
      <c r="BP1260" s="334"/>
      <c r="BQ1260" s="334"/>
      <c r="BR1260" s="334"/>
      <c r="BS1260" s="334"/>
      <c r="BT1260" s="334"/>
      <c r="BU1260" s="334"/>
      <c r="BV1260" s="334"/>
      <c r="BW1260" s="334"/>
      <c r="BY1260" s="334"/>
      <c r="BZ1260" s="334"/>
      <c r="CA1260" s="334"/>
      <c r="CB1260" s="334"/>
      <c r="CC1260" s="334"/>
      <c r="CD1260" s="334"/>
      <c r="CE1260" s="334"/>
      <c r="CF1260" s="334"/>
      <c r="CG1260" s="334"/>
      <c r="CH1260" s="334"/>
      <c r="CI1260" s="334"/>
      <c r="CJ1260" s="334"/>
      <c r="CK1260" s="334"/>
      <c r="CL1260" s="334"/>
      <c r="CM1260" s="334"/>
      <c r="CO1260" s="334"/>
      <c r="CP1260" s="334"/>
      <c r="CQ1260" s="334"/>
      <c r="CR1260" s="334"/>
      <c r="CS1260" s="334"/>
      <c r="CT1260" s="334"/>
      <c r="CU1260" s="334"/>
      <c r="CV1260" s="334"/>
      <c r="CW1260" s="334"/>
      <c r="CX1260" s="334"/>
      <c r="CY1260" s="334"/>
      <c r="CZ1260" s="334"/>
      <c r="DA1260" s="334"/>
      <c r="DB1260" s="334"/>
      <c r="DC1260" s="334"/>
      <c r="DE1260" s="250"/>
    </row>
    <row r="1261" spans="1:109">
      <c r="A1261" s="45"/>
      <c r="B1261" s="100"/>
      <c r="C1261" s="100"/>
      <c r="D1261" s="100"/>
      <c r="E1261" s="100"/>
      <c r="F1261" s="330"/>
      <c r="G1261" s="100"/>
      <c r="H1261" s="100"/>
      <c r="I1261" s="100"/>
      <c r="J1261" s="100"/>
      <c r="K1261" s="100"/>
      <c r="L1261" s="100"/>
      <c r="M1261" s="100"/>
      <c r="N1261" s="45"/>
      <c r="O1261" s="100"/>
      <c r="P1261" s="331"/>
      <c r="Q1261" s="100"/>
      <c r="R1261" s="332"/>
      <c r="S1261" s="45"/>
      <c r="T1261" s="45"/>
      <c r="U1261" s="333"/>
      <c r="V1261" s="333"/>
      <c r="W1261" s="44"/>
      <c r="X1261" s="333"/>
      <c r="Y1261" s="333"/>
      <c r="Z1261" s="333"/>
      <c r="AA1261" s="333"/>
      <c r="AB1261" s="44"/>
      <c r="AC1261" s="333"/>
      <c r="AD1261" s="333"/>
      <c r="AE1261" s="333"/>
      <c r="AF1261" s="333"/>
      <c r="AG1261" s="44"/>
      <c r="AH1261" s="333"/>
      <c r="AI1261" s="333"/>
      <c r="AJ1261" s="333"/>
      <c r="AK1261" s="333"/>
      <c r="AL1261" s="44"/>
      <c r="AM1261" s="45"/>
      <c r="AN1261" s="100"/>
      <c r="AO1261" s="100"/>
      <c r="AP1261" s="100"/>
      <c r="AQ1261" s="100"/>
      <c r="AR1261" s="100"/>
      <c r="AS1261" s="334"/>
      <c r="AT1261" s="334"/>
      <c r="AU1261" s="334"/>
      <c r="AV1261" s="334"/>
      <c r="AW1261" s="334"/>
      <c r="AX1261" s="334"/>
      <c r="AY1261" s="334"/>
      <c r="AZ1261" s="334"/>
      <c r="BA1261" s="334"/>
      <c r="BB1261" s="334"/>
      <c r="BC1261" s="334"/>
      <c r="BD1261" s="334"/>
      <c r="BE1261" s="334"/>
      <c r="BF1261" s="334"/>
      <c r="BG1261" s="334"/>
      <c r="BI1261" s="334"/>
      <c r="BJ1261" s="334"/>
      <c r="BK1261" s="334"/>
      <c r="BL1261" s="334"/>
      <c r="BM1261" s="334"/>
      <c r="BN1261" s="334"/>
      <c r="BO1261" s="334"/>
      <c r="BP1261" s="334"/>
      <c r="BQ1261" s="334"/>
      <c r="BR1261" s="334"/>
      <c r="BS1261" s="334"/>
      <c r="BT1261" s="334"/>
      <c r="BU1261" s="334"/>
      <c r="BV1261" s="334"/>
      <c r="BW1261" s="334"/>
      <c r="BY1261" s="334"/>
      <c r="BZ1261" s="334"/>
      <c r="CA1261" s="334"/>
      <c r="CB1261" s="334"/>
      <c r="CC1261" s="334"/>
      <c r="CD1261" s="334"/>
      <c r="CE1261" s="334"/>
      <c r="CF1261" s="334"/>
      <c r="CG1261" s="334"/>
      <c r="CH1261" s="334"/>
      <c r="CI1261" s="334"/>
      <c r="CJ1261" s="334"/>
      <c r="CK1261" s="334"/>
      <c r="CL1261" s="334"/>
      <c r="CM1261" s="334"/>
      <c r="CO1261" s="334"/>
      <c r="CP1261" s="334"/>
      <c r="CQ1261" s="334"/>
      <c r="CR1261" s="334"/>
      <c r="CS1261" s="334"/>
      <c r="CT1261" s="334"/>
      <c r="CU1261" s="334"/>
      <c r="CV1261" s="334"/>
      <c r="CW1261" s="334"/>
      <c r="CX1261" s="334"/>
      <c r="CY1261" s="334"/>
      <c r="CZ1261" s="334"/>
      <c r="DA1261" s="334"/>
      <c r="DB1261" s="334"/>
      <c r="DC1261" s="334"/>
      <c r="DE1261" s="250"/>
    </row>
    <row r="1262" spans="1:109">
      <c r="A1262" s="45"/>
      <c r="B1262" s="100"/>
      <c r="C1262" s="100"/>
      <c r="D1262" s="100"/>
      <c r="E1262" s="100"/>
      <c r="F1262" s="330"/>
      <c r="G1262" s="100"/>
      <c r="H1262" s="100"/>
      <c r="I1262" s="100"/>
      <c r="J1262" s="100"/>
      <c r="K1262" s="100"/>
      <c r="L1262" s="100"/>
      <c r="M1262" s="100"/>
      <c r="N1262" s="45"/>
      <c r="O1262" s="100"/>
      <c r="P1262" s="331"/>
      <c r="Q1262" s="100"/>
      <c r="R1262" s="332"/>
      <c r="S1262" s="45"/>
      <c r="T1262" s="45"/>
      <c r="U1262" s="333"/>
      <c r="V1262" s="333"/>
      <c r="W1262" s="44"/>
      <c r="X1262" s="333"/>
      <c r="Y1262" s="333"/>
      <c r="Z1262" s="333"/>
      <c r="AA1262" s="333"/>
      <c r="AB1262" s="44"/>
      <c r="AC1262" s="333"/>
      <c r="AD1262" s="333"/>
      <c r="AE1262" s="333"/>
      <c r="AF1262" s="333"/>
      <c r="AG1262" s="44"/>
      <c r="AH1262" s="333"/>
      <c r="AI1262" s="333"/>
      <c r="AJ1262" s="333"/>
      <c r="AK1262" s="333"/>
      <c r="AL1262" s="44"/>
      <c r="AM1262" s="45"/>
      <c r="AN1262" s="100"/>
      <c r="AO1262" s="100"/>
      <c r="AP1262" s="100"/>
      <c r="AQ1262" s="100"/>
      <c r="AR1262" s="100"/>
      <c r="AS1262" s="334"/>
      <c r="AT1262" s="334"/>
      <c r="AU1262" s="334"/>
      <c r="AV1262" s="334"/>
      <c r="AW1262" s="334"/>
      <c r="AX1262" s="334"/>
      <c r="AY1262" s="334"/>
      <c r="AZ1262" s="334"/>
      <c r="BA1262" s="334"/>
      <c r="BB1262" s="334"/>
      <c r="BC1262" s="334"/>
      <c r="BD1262" s="334"/>
      <c r="BE1262" s="334"/>
      <c r="BF1262" s="334"/>
      <c r="BG1262" s="334"/>
      <c r="BI1262" s="334"/>
      <c r="BJ1262" s="334"/>
      <c r="BK1262" s="334"/>
      <c r="BL1262" s="334"/>
      <c r="BM1262" s="334"/>
      <c r="BN1262" s="334"/>
      <c r="BO1262" s="334"/>
      <c r="BP1262" s="334"/>
      <c r="BQ1262" s="334"/>
      <c r="BR1262" s="334"/>
      <c r="BS1262" s="334"/>
      <c r="BT1262" s="334"/>
      <c r="BU1262" s="334"/>
      <c r="BV1262" s="334"/>
      <c r="BW1262" s="334"/>
      <c r="BY1262" s="334"/>
      <c r="BZ1262" s="334"/>
      <c r="CA1262" s="334"/>
      <c r="CB1262" s="334"/>
      <c r="CC1262" s="334"/>
      <c r="CD1262" s="334"/>
      <c r="CE1262" s="334"/>
      <c r="CF1262" s="334"/>
      <c r="CG1262" s="334"/>
      <c r="CH1262" s="334"/>
      <c r="CI1262" s="334"/>
      <c r="CJ1262" s="334"/>
      <c r="CK1262" s="334"/>
      <c r="CL1262" s="334"/>
      <c r="CM1262" s="334"/>
      <c r="CO1262" s="334"/>
      <c r="CP1262" s="334"/>
      <c r="CQ1262" s="334"/>
      <c r="CR1262" s="334"/>
      <c r="CS1262" s="334"/>
      <c r="CT1262" s="334"/>
      <c r="CU1262" s="334"/>
      <c r="CV1262" s="334"/>
      <c r="CW1262" s="334"/>
      <c r="CX1262" s="334"/>
      <c r="CY1262" s="334"/>
      <c r="CZ1262" s="334"/>
      <c r="DA1262" s="334"/>
      <c r="DB1262" s="334"/>
      <c r="DC1262" s="334"/>
      <c r="DE1262" s="250"/>
    </row>
    <row r="1263" spans="1:109">
      <c r="A1263" s="45"/>
      <c r="B1263" s="100"/>
      <c r="C1263" s="100"/>
      <c r="D1263" s="100"/>
      <c r="E1263" s="100"/>
      <c r="F1263" s="330"/>
      <c r="G1263" s="100"/>
      <c r="H1263" s="100"/>
      <c r="I1263" s="100"/>
      <c r="J1263" s="100"/>
      <c r="K1263" s="100"/>
      <c r="L1263" s="100"/>
      <c r="M1263" s="100"/>
      <c r="N1263" s="45"/>
      <c r="O1263" s="100"/>
      <c r="P1263" s="331"/>
      <c r="Q1263" s="100"/>
      <c r="R1263" s="332"/>
      <c r="S1263" s="45"/>
      <c r="T1263" s="45"/>
      <c r="U1263" s="333"/>
      <c r="V1263" s="333"/>
      <c r="W1263" s="44"/>
      <c r="X1263" s="333"/>
      <c r="Y1263" s="333"/>
      <c r="Z1263" s="333"/>
      <c r="AA1263" s="333"/>
      <c r="AB1263" s="44"/>
      <c r="AC1263" s="333"/>
      <c r="AD1263" s="333"/>
      <c r="AE1263" s="333"/>
      <c r="AF1263" s="333"/>
      <c r="AG1263" s="44"/>
      <c r="AH1263" s="333"/>
      <c r="AI1263" s="333"/>
      <c r="AJ1263" s="333"/>
      <c r="AK1263" s="333"/>
      <c r="AL1263" s="44"/>
      <c r="AM1263" s="45"/>
      <c r="AN1263" s="100"/>
      <c r="AO1263" s="100"/>
      <c r="AP1263" s="100"/>
      <c r="AQ1263" s="100"/>
      <c r="AR1263" s="100"/>
      <c r="AS1263" s="334"/>
      <c r="AT1263" s="334"/>
      <c r="AU1263" s="334"/>
      <c r="AV1263" s="334"/>
      <c r="AW1263" s="334"/>
      <c r="AX1263" s="334"/>
      <c r="AY1263" s="334"/>
      <c r="AZ1263" s="334"/>
      <c r="BA1263" s="334"/>
      <c r="BB1263" s="334"/>
      <c r="BC1263" s="334"/>
      <c r="BD1263" s="334"/>
      <c r="BE1263" s="334"/>
      <c r="BF1263" s="334"/>
      <c r="BG1263" s="334"/>
      <c r="BI1263" s="334"/>
      <c r="BJ1263" s="334"/>
      <c r="BK1263" s="334"/>
      <c r="BL1263" s="334"/>
      <c r="BM1263" s="334"/>
      <c r="BN1263" s="334"/>
      <c r="BO1263" s="334"/>
      <c r="BP1263" s="334"/>
      <c r="BQ1263" s="334"/>
      <c r="BR1263" s="334"/>
      <c r="BS1263" s="334"/>
      <c r="BT1263" s="334"/>
      <c r="BU1263" s="334"/>
      <c r="BV1263" s="334"/>
      <c r="BW1263" s="334"/>
      <c r="BY1263" s="334"/>
      <c r="BZ1263" s="334"/>
      <c r="CA1263" s="334"/>
      <c r="CB1263" s="334"/>
      <c r="CC1263" s="334"/>
      <c r="CD1263" s="334"/>
      <c r="CE1263" s="334"/>
      <c r="CF1263" s="334"/>
      <c r="CG1263" s="334"/>
      <c r="CH1263" s="334"/>
      <c r="CI1263" s="334"/>
      <c r="CJ1263" s="334"/>
      <c r="CK1263" s="334"/>
      <c r="CL1263" s="334"/>
      <c r="CM1263" s="334"/>
      <c r="CO1263" s="334"/>
      <c r="CP1263" s="334"/>
      <c r="CQ1263" s="334"/>
      <c r="CR1263" s="334"/>
      <c r="CS1263" s="334"/>
      <c r="CT1263" s="334"/>
      <c r="CU1263" s="334"/>
      <c r="CV1263" s="334"/>
      <c r="CW1263" s="334"/>
      <c r="CX1263" s="334"/>
      <c r="CY1263" s="334"/>
      <c r="CZ1263" s="334"/>
      <c r="DA1263" s="334"/>
      <c r="DB1263" s="334"/>
      <c r="DC1263" s="334"/>
      <c r="DE1263" s="250"/>
    </row>
    <row r="1264" spans="1:109">
      <c r="A1264" s="45"/>
      <c r="B1264" s="100"/>
      <c r="C1264" s="100"/>
      <c r="D1264" s="100"/>
      <c r="E1264" s="100"/>
      <c r="F1264" s="330"/>
      <c r="G1264" s="100"/>
      <c r="H1264" s="100"/>
      <c r="I1264" s="100"/>
      <c r="J1264" s="100"/>
      <c r="K1264" s="100"/>
      <c r="L1264" s="100"/>
      <c r="M1264" s="100"/>
      <c r="N1264" s="45"/>
      <c r="O1264" s="100"/>
      <c r="P1264" s="331"/>
      <c r="Q1264" s="100"/>
      <c r="R1264" s="332"/>
      <c r="S1264" s="45"/>
      <c r="T1264" s="45"/>
      <c r="U1264" s="333"/>
      <c r="V1264" s="333"/>
      <c r="W1264" s="44"/>
      <c r="X1264" s="333"/>
      <c r="Y1264" s="333"/>
      <c r="Z1264" s="333"/>
      <c r="AA1264" s="333"/>
      <c r="AB1264" s="44"/>
      <c r="AC1264" s="333"/>
      <c r="AD1264" s="333"/>
      <c r="AE1264" s="333"/>
      <c r="AF1264" s="333"/>
      <c r="AG1264" s="44"/>
      <c r="AH1264" s="333"/>
      <c r="AI1264" s="333"/>
      <c r="AJ1264" s="333"/>
      <c r="AK1264" s="333"/>
      <c r="AL1264" s="44"/>
      <c r="AM1264" s="45"/>
      <c r="AN1264" s="100"/>
      <c r="AO1264" s="100"/>
      <c r="AP1264" s="100"/>
      <c r="AQ1264" s="100"/>
      <c r="AR1264" s="100"/>
      <c r="AS1264" s="334"/>
      <c r="AT1264" s="334"/>
      <c r="AU1264" s="334"/>
      <c r="AV1264" s="334"/>
      <c r="AW1264" s="334"/>
      <c r="AX1264" s="334"/>
      <c r="AY1264" s="334"/>
      <c r="AZ1264" s="334"/>
      <c r="BA1264" s="334"/>
      <c r="BB1264" s="334"/>
      <c r="BC1264" s="334"/>
      <c r="BD1264" s="334"/>
      <c r="BE1264" s="334"/>
      <c r="BF1264" s="334"/>
      <c r="BG1264" s="334"/>
      <c r="BI1264" s="334"/>
      <c r="BJ1264" s="334"/>
      <c r="BK1264" s="334"/>
      <c r="BL1264" s="334"/>
      <c r="BM1264" s="334"/>
      <c r="BN1264" s="334"/>
      <c r="BO1264" s="334"/>
      <c r="BP1264" s="334"/>
      <c r="BQ1264" s="334"/>
      <c r="BR1264" s="334"/>
      <c r="BS1264" s="334"/>
      <c r="BT1264" s="334"/>
      <c r="BU1264" s="334"/>
      <c r="BV1264" s="334"/>
      <c r="BW1264" s="334"/>
      <c r="BY1264" s="334"/>
      <c r="BZ1264" s="334"/>
      <c r="CA1264" s="334"/>
      <c r="CB1264" s="334"/>
      <c r="CC1264" s="334"/>
      <c r="CD1264" s="334"/>
      <c r="CE1264" s="334"/>
      <c r="CF1264" s="334"/>
      <c r="CG1264" s="334"/>
      <c r="CH1264" s="334"/>
      <c r="CI1264" s="334"/>
      <c r="CJ1264" s="334"/>
      <c r="CK1264" s="334"/>
      <c r="CL1264" s="334"/>
      <c r="CM1264" s="334"/>
      <c r="CO1264" s="334"/>
      <c r="CP1264" s="334"/>
      <c r="CQ1264" s="334"/>
      <c r="CR1264" s="334"/>
      <c r="CS1264" s="334"/>
      <c r="CT1264" s="334"/>
      <c r="CU1264" s="334"/>
      <c r="CV1264" s="334"/>
      <c r="CW1264" s="334"/>
      <c r="CX1264" s="334"/>
      <c r="CY1264" s="334"/>
      <c r="CZ1264" s="334"/>
      <c r="DA1264" s="334"/>
      <c r="DB1264" s="334"/>
      <c r="DC1264" s="334"/>
      <c r="DE1264" s="250"/>
    </row>
    <row r="1265" spans="1:109">
      <c r="A1265" s="45"/>
      <c r="B1265" s="100"/>
      <c r="C1265" s="100"/>
      <c r="D1265" s="100"/>
      <c r="E1265" s="100"/>
      <c r="F1265" s="330"/>
      <c r="G1265" s="100"/>
      <c r="H1265" s="100"/>
      <c r="I1265" s="100"/>
      <c r="J1265" s="100"/>
      <c r="K1265" s="100"/>
      <c r="L1265" s="100"/>
      <c r="M1265" s="100"/>
      <c r="N1265" s="45"/>
      <c r="O1265" s="100"/>
      <c r="P1265" s="331"/>
      <c r="Q1265" s="100"/>
      <c r="R1265" s="332"/>
      <c r="S1265" s="45"/>
      <c r="T1265" s="45"/>
      <c r="U1265" s="333"/>
      <c r="V1265" s="333"/>
      <c r="W1265" s="44"/>
      <c r="X1265" s="333"/>
      <c r="Y1265" s="333"/>
      <c r="Z1265" s="333"/>
      <c r="AA1265" s="333"/>
      <c r="AB1265" s="44"/>
      <c r="AC1265" s="333"/>
      <c r="AD1265" s="333"/>
      <c r="AE1265" s="333"/>
      <c r="AF1265" s="333"/>
      <c r="AG1265" s="44"/>
      <c r="AH1265" s="333"/>
      <c r="AI1265" s="333"/>
      <c r="AJ1265" s="333"/>
      <c r="AK1265" s="333"/>
      <c r="AL1265" s="44"/>
      <c r="AM1265" s="45"/>
      <c r="AN1265" s="100"/>
      <c r="AO1265" s="100"/>
      <c r="AP1265" s="100"/>
      <c r="AQ1265" s="100"/>
      <c r="AR1265" s="100"/>
      <c r="AS1265" s="334"/>
      <c r="AT1265" s="334"/>
      <c r="AU1265" s="334"/>
      <c r="AV1265" s="334"/>
      <c r="AW1265" s="334"/>
      <c r="AX1265" s="334"/>
      <c r="AY1265" s="334"/>
      <c r="AZ1265" s="334"/>
      <c r="BA1265" s="334"/>
      <c r="BB1265" s="334"/>
      <c r="BC1265" s="334"/>
      <c r="BD1265" s="334"/>
      <c r="BE1265" s="334"/>
      <c r="BF1265" s="334"/>
      <c r="BG1265" s="334"/>
      <c r="BI1265" s="334"/>
      <c r="BJ1265" s="334"/>
      <c r="BK1265" s="334"/>
      <c r="BL1265" s="334"/>
      <c r="BM1265" s="334"/>
      <c r="BN1265" s="334"/>
      <c r="BO1265" s="334"/>
      <c r="BP1265" s="334"/>
      <c r="BQ1265" s="334"/>
      <c r="BR1265" s="334"/>
      <c r="BS1265" s="334"/>
      <c r="BT1265" s="334"/>
      <c r="BU1265" s="334"/>
      <c r="BV1265" s="334"/>
      <c r="BW1265" s="334"/>
      <c r="BY1265" s="334"/>
      <c r="BZ1265" s="334"/>
      <c r="CA1265" s="334"/>
      <c r="CB1265" s="334"/>
      <c r="CC1265" s="334"/>
      <c r="CD1265" s="334"/>
      <c r="CE1265" s="334"/>
      <c r="CF1265" s="334"/>
      <c r="CG1265" s="334"/>
      <c r="CH1265" s="334"/>
      <c r="CI1265" s="334"/>
      <c r="CJ1265" s="334"/>
      <c r="CK1265" s="334"/>
      <c r="CL1265" s="334"/>
      <c r="CM1265" s="334"/>
      <c r="CO1265" s="334"/>
      <c r="CP1265" s="334"/>
      <c r="CQ1265" s="334"/>
      <c r="CR1265" s="334"/>
      <c r="CS1265" s="334"/>
      <c r="CT1265" s="334"/>
      <c r="CU1265" s="334"/>
      <c r="CV1265" s="334"/>
      <c r="CW1265" s="334"/>
      <c r="CX1265" s="334"/>
      <c r="CY1265" s="334"/>
      <c r="CZ1265" s="334"/>
      <c r="DA1265" s="334"/>
      <c r="DB1265" s="334"/>
      <c r="DC1265" s="334"/>
      <c r="DE1265" s="250"/>
    </row>
    <row r="1266" spans="1:109">
      <c r="A1266" s="45"/>
      <c r="B1266" s="100"/>
      <c r="C1266" s="100"/>
      <c r="D1266" s="100"/>
      <c r="E1266" s="100"/>
      <c r="F1266" s="330"/>
      <c r="G1266" s="100"/>
      <c r="H1266" s="100"/>
      <c r="I1266" s="100"/>
      <c r="J1266" s="100"/>
      <c r="K1266" s="100"/>
      <c r="L1266" s="100"/>
      <c r="M1266" s="100"/>
      <c r="N1266" s="45"/>
      <c r="O1266" s="100"/>
      <c r="P1266" s="331"/>
      <c r="Q1266" s="100"/>
      <c r="R1266" s="332"/>
      <c r="S1266" s="45"/>
      <c r="T1266" s="45"/>
      <c r="U1266" s="333"/>
      <c r="V1266" s="333"/>
      <c r="W1266" s="44"/>
      <c r="X1266" s="333"/>
      <c r="Y1266" s="333"/>
      <c r="Z1266" s="333"/>
      <c r="AA1266" s="333"/>
      <c r="AB1266" s="44"/>
      <c r="AC1266" s="333"/>
      <c r="AD1266" s="333"/>
      <c r="AE1266" s="333"/>
      <c r="AF1266" s="333"/>
      <c r="AG1266" s="44"/>
      <c r="AH1266" s="333"/>
      <c r="AI1266" s="333"/>
      <c r="AJ1266" s="333"/>
      <c r="AK1266" s="333"/>
      <c r="AL1266" s="44"/>
      <c r="AM1266" s="45"/>
      <c r="AN1266" s="100"/>
      <c r="AO1266" s="100"/>
      <c r="AP1266" s="100"/>
      <c r="AQ1266" s="100"/>
      <c r="AR1266" s="100"/>
      <c r="AS1266" s="334"/>
      <c r="AT1266" s="334"/>
      <c r="AU1266" s="334"/>
      <c r="AV1266" s="334"/>
      <c r="AW1266" s="334"/>
      <c r="AX1266" s="334"/>
      <c r="AY1266" s="334"/>
      <c r="AZ1266" s="334"/>
      <c r="BA1266" s="334"/>
      <c r="BB1266" s="334"/>
      <c r="BC1266" s="334"/>
      <c r="BD1266" s="334"/>
      <c r="BE1266" s="334"/>
      <c r="BF1266" s="334"/>
      <c r="BG1266" s="334"/>
      <c r="BI1266" s="334"/>
      <c r="BJ1266" s="334"/>
      <c r="BK1266" s="334"/>
      <c r="BL1266" s="334"/>
      <c r="BM1266" s="334"/>
      <c r="BN1266" s="334"/>
      <c r="BO1266" s="334"/>
      <c r="BP1266" s="334"/>
      <c r="BQ1266" s="334"/>
      <c r="BR1266" s="334"/>
      <c r="BS1266" s="334"/>
      <c r="BT1266" s="334"/>
      <c r="BU1266" s="334"/>
      <c r="BV1266" s="334"/>
      <c r="BW1266" s="334"/>
      <c r="BY1266" s="334"/>
      <c r="BZ1266" s="334"/>
      <c r="CA1266" s="334"/>
      <c r="CB1266" s="334"/>
      <c r="CC1266" s="334"/>
      <c r="CD1266" s="334"/>
      <c r="CE1266" s="334"/>
      <c r="CF1266" s="334"/>
      <c r="CG1266" s="334"/>
      <c r="CH1266" s="334"/>
      <c r="CI1266" s="334"/>
      <c r="CJ1266" s="334"/>
      <c r="CK1266" s="334"/>
      <c r="CL1266" s="334"/>
      <c r="CM1266" s="334"/>
      <c r="CO1266" s="334"/>
      <c r="CP1266" s="334"/>
      <c r="CQ1266" s="334"/>
      <c r="CR1266" s="334"/>
      <c r="CS1266" s="334"/>
      <c r="CT1266" s="334"/>
      <c r="CU1266" s="334"/>
      <c r="CV1266" s="334"/>
      <c r="CW1266" s="334"/>
      <c r="CX1266" s="334"/>
      <c r="CY1266" s="334"/>
      <c r="CZ1266" s="334"/>
      <c r="DA1266" s="334"/>
      <c r="DB1266" s="334"/>
      <c r="DC1266" s="334"/>
      <c r="DE1266" s="250"/>
    </row>
    <row r="1267" spans="1:109">
      <c r="A1267" s="45"/>
      <c r="B1267" s="100"/>
      <c r="C1267" s="100"/>
      <c r="D1267" s="100"/>
      <c r="E1267" s="100"/>
      <c r="F1267" s="330"/>
      <c r="G1267" s="100"/>
      <c r="H1267" s="100"/>
      <c r="I1267" s="100"/>
      <c r="J1267" s="100"/>
      <c r="K1267" s="100"/>
      <c r="L1267" s="100"/>
      <c r="M1267" s="100"/>
      <c r="N1267" s="45"/>
      <c r="O1267" s="100"/>
      <c r="P1267" s="331"/>
      <c r="Q1267" s="100"/>
      <c r="R1267" s="332"/>
      <c r="S1267" s="45"/>
      <c r="T1267" s="45"/>
      <c r="U1267" s="333"/>
      <c r="V1267" s="333"/>
      <c r="W1267" s="44"/>
      <c r="X1267" s="333"/>
      <c r="Y1267" s="333"/>
      <c r="Z1267" s="333"/>
      <c r="AA1267" s="333"/>
      <c r="AB1267" s="44"/>
      <c r="AC1267" s="333"/>
      <c r="AD1267" s="333"/>
      <c r="AE1267" s="333"/>
      <c r="AF1267" s="333"/>
      <c r="AG1267" s="44"/>
      <c r="AH1267" s="333"/>
      <c r="AI1267" s="333"/>
      <c r="AJ1267" s="333"/>
      <c r="AK1267" s="333"/>
      <c r="AL1267" s="44"/>
      <c r="AM1267" s="45"/>
      <c r="AN1267" s="100"/>
      <c r="AO1267" s="100"/>
      <c r="AP1267" s="100"/>
      <c r="AQ1267" s="100"/>
      <c r="AR1267" s="100"/>
      <c r="AS1267" s="334"/>
      <c r="AT1267" s="334"/>
      <c r="AU1267" s="334"/>
      <c r="AV1267" s="334"/>
      <c r="AW1267" s="334"/>
      <c r="AX1267" s="334"/>
      <c r="AY1267" s="334"/>
      <c r="AZ1267" s="334"/>
      <c r="BA1267" s="334"/>
      <c r="BB1267" s="334"/>
      <c r="BC1267" s="334"/>
      <c r="BD1267" s="334"/>
      <c r="BE1267" s="334"/>
      <c r="BF1267" s="334"/>
      <c r="BG1267" s="334"/>
      <c r="BI1267" s="334"/>
      <c r="BJ1267" s="334"/>
      <c r="BK1267" s="334"/>
      <c r="BL1267" s="334"/>
      <c r="BM1267" s="334"/>
      <c r="BN1267" s="334"/>
      <c r="BO1267" s="334"/>
      <c r="BP1267" s="334"/>
      <c r="BQ1267" s="334"/>
      <c r="BR1267" s="334"/>
      <c r="BS1267" s="334"/>
      <c r="BT1267" s="334"/>
      <c r="BU1267" s="334"/>
      <c r="BV1267" s="334"/>
      <c r="BW1267" s="334"/>
      <c r="BY1267" s="334"/>
      <c r="BZ1267" s="334"/>
      <c r="CA1267" s="334"/>
      <c r="CB1267" s="334"/>
      <c r="CC1267" s="334"/>
      <c r="CD1267" s="334"/>
      <c r="CE1267" s="334"/>
      <c r="CF1267" s="334"/>
      <c r="CG1267" s="334"/>
      <c r="CH1267" s="334"/>
      <c r="CI1267" s="334"/>
      <c r="CJ1267" s="334"/>
      <c r="CK1267" s="334"/>
      <c r="CL1267" s="334"/>
      <c r="CM1267" s="334"/>
      <c r="CO1267" s="334"/>
      <c r="CP1267" s="334"/>
      <c r="CQ1267" s="334"/>
      <c r="CR1267" s="334"/>
      <c r="CS1267" s="334"/>
      <c r="CT1267" s="334"/>
      <c r="CU1267" s="334"/>
      <c r="CV1267" s="334"/>
      <c r="CW1267" s="334"/>
      <c r="CX1267" s="334"/>
      <c r="CY1267" s="334"/>
      <c r="CZ1267" s="334"/>
      <c r="DA1267" s="334"/>
      <c r="DB1267" s="334"/>
      <c r="DC1267" s="334"/>
      <c r="DE1267" s="250"/>
    </row>
    <row r="1268" spans="1:109">
      <c r="A1268" s="45"/>
      <c r="B1268" s="100"/>
      <c r="C1268" s="100"/>
      <c r="D1268" s="100"/>
      <c r="E1268" s="100"/>
      <c r="F1268" s="330"/>
      <c r="G1268" s="100"/>
      <c r="H1268" s="100"/>
      <c r="I1268" s="100"/>
      <c r="J1268" s="100"/>
      <c r="K1268" s="100"/>
      <c r="L1268" s="100"/>
      <c r="M1268" s="100"/>
      <c r="N1268" s="45"/>
      <c r="O1268" s="100"/>
      <c r="P1268" s="331"/>
      <c r="Q1268" s="100"/>
      <c r="R1268" s="332"/>
      <c r="S1268" s="45"/>
      <c r="T1268" s="45"/>
      <c r="U1268" s="333"/>
      <c r="V1268" s="333"/>
      <c r="W1268" s="44"/>
      <c r="X1268" s="333"/>
      <c r="Y1268" s="333"/>
      <c r="Z1268" s="333"/>
      <c r="AA1268" s="333"/>
      <c r="AB1268" s="44"/>
      <c r="AC1268" s="333"/>
      <c r="AD1268" s="333"/>
      <c r="AE1268" s="333"/>
      <c r="AF1268" s="333"/>
      <c r="AG1268" s="44"/>
      <c r="AH1268" s="333"/>
      <c r="AI1268" s="333"/>
      <c r="AJ1268" s="333"/>
      <c r="AK1268" s="333"/>
      <c r="AL1268" s="44"/>
      <c r="AM1268" s="45"/>
      <c r="AN1268" s="100"/>
      <c r="AO1268" s="100"/>
      <c r="AP1268" s="100"/>
      <c r="AQ1268" s="100"/>
      <c r="AR1268" s="100"/>
      <c r="AS1268" s="334"/>
      <c r="AT1268" s="334"/>
      <c r="AU1268" s="334"/>
      <c r="AV1268" s="334"/>
      <c r="AW1268" s="334"/>
      <c r="AX1268" s="334"/>
      <c r="AY1268" s="334"/>
      <c r="AZ1268" s="334"/>
      <c r="BA1268" s="334"/>
      <c r="BB1268" s="334"/>
      <c r="BC1268" s="334"/>
      <c r="BD1268" s="334"/>
      <c r="BE1268" s="334"/>
      <c r="BF1268" s="334"/>
      <c r="BG1268" s="334"/>
      <c r="BI1268" s="334"/>
      <c r="BJ1268" s="334"/>
      <c r="BK1268" s="334"/>
      <c r="BL1268" s="334"/>
      <c r="BM1268" s="334"/>
      <c r="BN1268" s="334"/>
      <c r="BO1268" s="334"/>
      <c r="BP1268" s="334"/>
      <c r="BQ1268" s="334"/>
      <c r="BR1268" s="334"/>
      <c r="BS1268" s="334"/>
      <c r="BT1268" s="334"/>
      <c r="BU1268" s="334"/>
      <c r="BV1268" s="334"/>
      <c r="BW1268" s="334"/>
      <c r="BY1268" s="334"/>
      <c r="BZ1268" s="334"/>
      <c r="CA1268" s="334"/>
      <c r="CB1268" s="334"/>
      <c r="CC1268" s="334"/>
      <c r="CD1268" s="334"/>
      <c r="CE1268" s="334"/>
      <c r="CF1268" s="334"/>
      <c r="CG1268" s="334"/>
      <c r="CH1268" s="334"/>
      <c r="CI1268" s="334"/>
      <c r="CJ1268" s="334"/>
      <c r="CK1268" s="334"/>
      <c r="CL1268" s="334"/>
      <c r="CM1268" s="334"/>
      <c r="CO1268" s="334"/>
      <c r="CP1268" s="334"/>
      <c r="CQ1268" s="334"/>
      <c r="CR1268" s="334"/>
      <c r="CS1268" s="334"/>
      <c r="CT1268" s="334"/>
      <c r="CU1268" s="334"/>
      <c r="CV1268" s="334"/>
      <c r="CW1268" s="334"/>
      <c r="CX1268" s="334"/>
      <c r="CY1268" s="334"/>
      <c r="CZ1268" s="334"/>
      <c r="DA1268" s="334"/>
      <c r="DB1268" s="334"/>
      <c r="DC1268" s="334"/>
      <c r="DE1268" s="250"/>
    </row>
    <row r="1269" spans="1:109">
      <c r="A1269" s="45"/>
      <c r="B1269" s="100"/>
      <c r="C1269" s="100"/>
      <c r="D1269" s="100"/>
      <c r="E1269" s="100"/>
      <c r="F1269" s="330"/>
      <c r="G1269" s="100"/>
      <c r="H1269" s="100"/>
      <c r="I1269" s="100"/>
      <c r="J1269" s="100"/>
      <c r="K1269" s="100"/>
      <c r="L1269" s="100"/>
      <c r="M1269" s="100"/>
      <c r="N1269" s="45"/>
      <c r="O1269" s="100"/>
      <c r="P1269" s="331"/>
      <c r="Q1269" s="100"/>
      <c r="R1269" s="332"/>
      <c r="S1269" s="45"/>
      <c r="T1269" s="45"/>
      <c r="U1269" s="333"/>
      <c r="V1269" s="333"/>
      <c r="W1269" s="44"/>
      <c r="X1269" s="333"/>
      <c r="Y1269" s="333"/>
      <c r="Z1269" s="333"/>
      <c r="AA1269" s="333"/>
      <c r="AB1269" s="44"/>
      <c r="AC1269" s="333"/>
      <c r="AD1269" s="333"/>
      <c r="AE1269" s="333"/>
      <c r="AF1269" s="333"/>
      <c r="AG1269" s="44"/>
      <c r="AH1269" s="333"/>
      <c r="AI1269" s="333"/>
      <c r="AJ1269" s="333"/>
      <c r="AK1269" s="333"/>
      <c r="AL1269" s="44"/>
      <c r="AM1269" s="45"/>
      <c r="AN1269" s="100"/>
      <c r="AO1269" s="100"/>
      <c r="AP1269" s="100"/>
      <c r="AQ1269" s="100"/>
      <c r="AR1269" s="100"/>
      <c r="AS1269" s="334"/>
      <c r="AT1269" s="334"/>
      <c r="AU1269" s="334"/>
      <c r="AV1269" s="334"/>
      <c r="AW1269" s="334"/>
      <c r="AX1269" s="334"/>
      <c r="AY1269" s="334"/>
      <c r="AZ1269" s="334"/>
      <c r="BA1269" s="334"/>
      <c r="BB1269" s="334"/>
      <c r="BC1269" s="334"/>
      <c r="BD1269" s="334"/>
      <c r="BE1269" s="334"/>
      <c r="BF1269" s="334"/>
      <c r="BG1269" s="334"/>
      <c r="BI1269" s="334"/>
      <c r="BJ1269" s="334"/>
      <c r="BK1269" s="334"/>
      <c r="BL1269" s="334"/>
      <c r="BM1269" s="334"/>
      <c r="BN1269" s="334"/>
      <c r="BO1269" s="334"/>
      <c r="BP1269" s="334"/>
      <c r="BQ1269" s="334"/>
      <c r="BR1269" s="334"/>
      <c r="BS1269" s="334"/>
      <c r="BT1269" s="334"/>
      <c r="BU1269" s="334"/>
      <c r="BV1269" s="334"/>
      <c r="BW1269" s="334"/>
      <c r="BY1269" s="334"/>
      <c r="BZ1269" s="334"/>
      <c r="CA1269" s="334"/>
      <c r="CB1269" s="334"/>
      <c r="CC1269" s="334"/>
      <c r="CD1269" s="334"/>
      <c r="CE1269" s="334"/>
      <c r="CF1269" s="334"/>
      <c r="CG1269" s="334"/>
      <c r="CH1269" s="334"/>
      <c r="CI1269" s="334"/>
      <c r="CJ1269" s="334"/>
      <c r="CK1269" s="334"/>
      <c r="CL1269" s="334"/>
      <c r="CM1269" s="334"/>
      <c r="CO1269" s="334"/>
      <c r="CP1269" s="334"/>
      <c r="CQ1269" s="334"/>
      <c r="CR1269" s="334"/>
      <c r="CS1269" s="334"/>
      <c r="CT1269" s="334"/>
      <c r="CU1269" s="334"/>
      <c r="CV1269" s="334"/>
      <c r="CW1269" s="334"/>
      <c r="CX1269" s="334"/>
      <c r="CY1269" s="334"/>
      <c r="CZ1269" s="334"/>
      <c r="DA1269" s="334"/>
      <c r="DB1269" s="334"/>
      <c r="DC1269" s="334"/>
      <c r="DE1269" s="250"/>
    </row>
    <row r="1270" spans="1:109">
      <c r="A1270" s="45"/>
      <c r="B1270" s="100"/>
      <c r="C1270" s="100"/>
      <c r="D1270" s="100"/>
      <c r="E1270" s="100"/>
      <c r="F1270" s="330"/>
      <c r="G1270" s="100"/>
      <c r="H1270" s="100"/>
      <c r="I1270" s="100"/>
      <c r="J1270" s="100"/>
      <c r="K1270" s="100"/>
      <c r="L1270" s="100"/>
      <c r="M1270" s="100"/>
      <c r="N1270" s="45"/>
      <c r="O1270" s="100"/>
      <c r="P1270" s="331"/>
      <c r="Q1270" s="100"/>
      <c r="R1270" s="332"/>
      <c r="S1270" s="45"/>
      <c r="T1270" s="45"/>
      <c r="U1270" s="333"/>
      <c r="V1270" s="333"/>
      <c r="W1270" s="44"/>
      <c r="X1270" s="333"/>
      <c r="Y1270" s="333"/>
      <c r="Z1270" s="333"/>
      <c r="AA1270" s="333"/>
      <c r="AB1270" s="44"/>
      <c r="AC1270" s="333"/>
      <c r="AD1270" s="333"/>
      <c r="AE1270" s="333"/>
      <c r="AF1270" s="333"/>
      <c r="AG1270" s="44"/>
      <c r="AH1270" s="333"/>
      <c r="AI1270" s="333"/>
      <c r="AJ1270" s="333"/>
      <c r="AK1270" s="333"/>
      <c r="AL1270" s="44"/>
      <c r="AM1270" s="45"/>
      <c r="AN1270" s="100"/>
      <c r="AO1270" s="100"/>
      <c r="AP1270" s="100"/>
      <c r="AQ1270" s="100"/>
      <c r="AR1270" s="100"/>
      <c r="AS1270" s="334"/>
      <c r="AT1270" s="334"/>
      <c r="AU1270" s="334"/>
      <c r="AV1270" s="334"/>
      <c r="AW1270" s="334"/>
      <c r="AX1270" s="334"/>
      <c r="AY1270" s="334"/>
      <c r="AZ1270" s="334"/>
      <c r="BA1270" s="334"/>
      <c r="BB1270" s="334"/>
      <c r="BC1270" s="334"/>
      <c r="BD1270" s="334"/>
      <c r="BE1270" s="334"/>
      <c r="BF1270" s="334"/>
      <c r="BG1270" s="334"/>
      <c r="BI1270" s="334"/>
      <c r="BJ1270" s="334"/>
      <c r="BK1270" s="334"/>
      <c r="BL1270" s="334"/>
      <c r="BM1270" s="334"/>
      <c r="BN1270" s="334"/>
      <c r="BO1270" s="334"/>
      <c r="BP1270" s="334"/>
      <c r="BQ1270" s="334"/>
      <c r="BR1270" s="334"/>
      <c r="BS1270" s="334"/>
      <c r="BT1270" s="334"/>
      <c r="BU1270" s="334"/>
      <c r="BV1270" s="334"/>
      <c r="BW1270" s="334"/>
      <c r="BY1270" s="334"/>
      <c r="BZ1270" s="334"/>
      <c r="CA1270" s="334"/>
      <c r="CB1270" s="334"/>
      <c r="CC1270" s="334"/>
      <c r="CD1270" s="334"/>
      <c r="CE1270" s="334"/>
      <c r="CF1270" s="334"/>
      <c r="CG1270" s="334"/>
      <c r="CH1270" s="334"/>
      <c r="CI1270" s="334"/>
      <c r="CJ1270" s="334"/>
      <c r="CK1270" s="334"/>
      <c r="CL1270" s="334"/>
      <c r="CM1270" s="334"/>
      <c r="CO1270" s="334"/>
      <c r="CP1270" s="334"/>
      <c r="CQ1270" s="334"/>
      <c r="CR1270" s="334"/>
      <c r="CS1270" s="334"/>
      <c r="CT1270" s="334"/>
      <c r="CU1270" s="334"/>
      <c r="CV1270" s="334"/>
      <c r="CW1270" s="334"/>
      <c r="CX1270" s="334"/>
      <c r="CY1270" s="334"/>
      <c r="CZ1270" s="334"/>
      <c r="DA1270" s="334"/>
      <c r="DB1270" s="334"/>
      <c r="DC1270" s="334"/>
      <c r="DE1270" s="250"/>
    </row>
    <row r="1271" spans="1:109">
      <c r="A1271" s="45"/>
      <c r="B1271" s="100"/>
      <c r="C1271" s="100"/>
      <c r="D1271" s="100"/>
      <c r="E1271" s="100"/>
      <c r="F1271" s="330"/>
      <c r="G1271" s="100"/>
      <c r="H1271" s="100"/>
      <c r="I1271" s="100"/>
      <c r="J1271" s="100"/>
      <c r="K1271" s="100"/>
      <c r="L1271" s="100"/>
      <c r="M1271" s="100"/>
      <c r="N1271" s="45"/>
      <c r="O1271" s="100"/>
      <c r="P1271" s="331"/>
      <c r="Q1271" s="100"/>
      <c r="R1271" s="332"/>
      <c r="S1271" s="45"/>
      <c r="T1271" s="45"/>
      <c r="U1271" s="333"/>
      <c r="V1271" s="333"/>
      <c r="W1271" s="44"/>
      <c r="X1271" s="333"/>
      <c r="Y1271" s="333"/>
      <c r="Z1271" s="333"/>
      <c r="AA1271" s="333"/>
      <c r="AB1271" s="44"/>
      <c r="AC1271" s="333"/>
      <c r="AD1271" s="333"/>
      <c r="AE1271" s="333"/>
      <c r="AF1271" s="333"/>
      <c r="AG1271" s="44"/>
      <c r="AH1271" s="333"/>
      <c r="AI1271" s="333"/>
      <c r="AJ1271" s="333"/>
      <c r="AK1271" s="333"/>
      <c r="AL1271" s="44"/>
      <c r="AM1271" s="45"/>
      <c r="AN1271" s="100"/>
      <c r="AO1271" s="100"/>
      <c r="AP1271" s="100"/>
      <c r="AQ1271" s="100"/>
      <c r="AR1271" s="100"/>
      <c r="AS1271" s="334"/>
      <c r="AT1271" s="334"/>
      <c r="AU1271" s="334"/>
      <c r="AV1271" s="334"/>
      <c r="AW1271" s="334"/>
      <c r="AX1271" s="334"/>
      <c r="AY1271" s="334"/>
      <c r="AZ1271" s="334"/>
      <c r="BA1271" s="334"/>
      <c r="BB1271" s="334"/>
      <c r="BC1271" s="334"/>
      <c r="BD1271" s="334"/>
      <c r="BE1271" s="334"/>
      <c r="BF1271" s="334"/>
      <c r="BG1271" s="334"/>
      <c r="BI1271" s="334"/>
      <c r="BJ1271" s="334"/>
      <c r="BK1271" s="334"/>
      <c r="BL1271" s="334"/>
      <c r="BM1271" s="334"/>
      <c r="BN1271" s="334"/>
      <c r="BO1271" s="334"/>
      <c r="BP1271" s="334"/>
      <c r="BQ1271" s="334"/>
      <c r="BR1271" s="334"/>
      <c r="BS1271" s="334"/>
      <c r="BT1271" s="334"/>
      <c r="BU1271" s="334"/>
      <c r="BV1271" s="334"/>
      <c r="BW1271" s="334"/>
      <c r="BY1271" s="334"/>
      <c r="BZ1271" s="334"/>
      <c r="CA1271" s="334"/>
      <c r="CB1271" s="334"/>
      <c r="CC1271" s="334"/>
      <c r="CD1271" s="334"/>
      <c r="CE1271" s="334"/>
      <c r="CF1271" s="334"/>
      <c r="CG1271" s="334"/>
      <c r="CH1271" s="334"/>
      <c r="CI1271" s="334"/>
      <c r="CJ1271" s="334"/>
      <c r="CK1271" s="334"/>
      <c r="CL1271" s="334"/>
      <c r="CM1271" s="334"/>
      <c r="CO1271" s="334"/>
      <c r="CP1271" s="334"/>
      <c r="CQ1271" s="334"/>
      <c r="CR1271" s="334"/>
      <c r="CS1271" s="334"/>
      <c r="CT1271" s="334"/>
      <c r="CU1271" s="334"/>
      <c r="CV1271" s="334"/>
      <c r="CW1271" s="334"/>
      <c r="CX1271" s="334"/>
      <c r="CY1271" s="334"/>
      <c r="CZ1271" s="334"/>
      <c r="DA1271" s="334"/>
      <c r="DB1271" s="334"/>
      <c r="DC1271" s="334"/>
      <c r="DE1271" s="250"/>
    </row>
    <row r="1272" spans="1:109">
      <c r="A1272" s="45"/>
      <c r="B1272" s="100"/>
      <c r="C1272" s="100"/>
      <c r="D1272" s="100"/>
      <c r="E1272" s="100"/>
      <c r="F1272" s="330"/>
      <c r="G1272" s="100"/>
      <c r="H1272" s="100"/>
      <c r="I1272" s="100"/>
      <c r="J1272" s="100"/>
      <c r="K1272" s="100"/>
      <c r="L1272" s="100"/>
      <c r="M1272" s="100"/>
      <c r="N1272" s="45"/>
      <c r="O1272" s="100"/>
      <c r="P1272" s="331"/>
      <c r="Q1272" s="100"/>
      <c r="R1272" s="332"/>
      <c r="S1272" s="45"/>
      <c r="T1272" s="45"/>
      <c r="U1272" s="333"/>
      <c r="V1272" s="333"/>
      <c r="W1272" s="44"/>
      <c r="X1272" s="333"/>
      <c r="Y1272" s="333"/>
      <c r="Z1272" s="333"/>
      <c r="AA1272" s="333"/>
      <c r="AB1272" s="44"/>
      <c r="AC1272" s="333"/>
      <c r="AD1272" s="333"/>
      <c r="AE1272" s="333"/>
      <c r="AF1272" s="333"/>
      <c r="AG1272" s="44"/>
      <c r="AH1272" s="333"/>
      <c r="AI1272" s="333"/>
      <c r="AJ1272" s="333"/>
      <c r="AK1272" s="333"/>
      <c r="AL1272" s="44"/>
      <c r="AM1272" s="45"/>
      <c r="AN1272" s="100"/>
      <c r="AO1272" s="100"/>
      <c r="AP1272" s="100"/>
      <c r="AQ1272" s="100"/>
      <c r="AR1272" s="100"/>
      <c r="AS1272" s="334"/>
      <c r="AT1272" s="334"/>
      <c r="AU1272" s="334"/>
      <c r="AV1272" s="334"/>
      <c r="AW1272" s="334"/>
      <c r="AX1272" s="334"/>
      <c r="AY1272" s="334"/>
      <c r="AZ1272" s="334"/>
      <c r="BA1272" s="334"/>
      <c r="BB1272" s="334"/>
      <c r="BC1272" s="334"/>
      <c r="BD1272" s="334"/>
      <c r="BE1272" s="334"/>
      <c r="BF1272" s="334"/>
      <c r="BG1272" s="334"/>
      <c r="BI1272" s="334"/>
      <c r="BJ1272" s="334"/>
      <c r="BK1272" s="334"/>
      <c r="BL1272" s="334"/>
      <c r="BM1272" s="334"/>
      <c r="BN1272" s="334"/>
      <c r="BO1272" s="334"/>
      <c r="BP1272" s="334"/>
      <c r="BQ1272" s="334"/>
      <c r="BR1272" s="334"/>
      <c r="BS1272" s="334"/>
      <c r="BT1272" s="334"/>
      <c r="BU1272" s="334"/>
      <c r="BV1272" s="334"/>
      <c r="BW1272" s="334"/>
      <c r="BY1272" s="334"/>
      <c r="BZ1272" s="334"/>
      <c r="CA1272" s="334"/>
      <c r="CB1272" s="334"/>
      <c r="CC1272" s="334"/>
      <c r="CD1272" s="334"/>
      <c r="CE1272" s="334"/>
      <c r="CF1272" s="334"/>
      <c r="CG1272" s="334"/>
      <c r="CH1272" s="334"/>
      <c r="CI1272" s="334"/>
      <c r="CJ1272" s="334"/>
      <c r="CK1272" s="334"/>
      <c r="CL1272" s="334"/>
      <c r="CM1272" s="334"/>
      <c r="CO1272" s="334"/>
      <c r="CP1272" s="334"/>
      <c r="CQ1272" s="334"/>
      <c r="CR1272" s="334"/>
      <c r="CS1272" s="334"/>
      <c r="CT1272" s="334"/>
      <c r="CU1272" s="334"/>
      <c r="CV1272" s="334"/>
      <c r="CW1272" s="334"/>
      <c r="CX1272" s="334"/>
      <c r="CY1272" s="334"/>
      <c r="CZ1272" s="334"/>
      <c r="DA1272" s="334"/>
      <c r="DB1272" s="334"/>
      <c r="DC1272" s="334"/>
      <c r="DE1272" s="250"/>
    </row>
    <row r="1273" spans="1:109">
      <c r="A1273" s="45"/>
      <c r="B1273" s="100"/>
      <c r="C1273" s="100"/>
      <c r="D1273" s="100"/>
      <c r="E1273" s="100"/>
      <c r="F1273" s="330"/>
      <c r="G1273" s="100"/>
      <c r="H1273" s="100"/>
      <c r="I1273" s="100"/>
      <c r="J1273" s="100"/>
      <c r="K1273" s="100"/>
      <c r="L1273" s="100"/>
      <c r="M1273" s="100"/>
      <c r="N1273" s="45"/>
      <c r="O1273" s="100"/>
      <c r="P1273" s="331"/>
      <c r="Q1273" s="100"/>
      <c r="R1273" s="332"/>
      <c r="S1273" s="45"/>
      <c r="T1273" s="45"/>
      <c r="U1273" s="333"/>
      <c r="V1273" s="333"/>
      <c r="W1273" s="44"/>
      <c r="X1273" s="333"/>
      <c r="Y1273" s="333"/>
      <c r="Z1273" s="333"/>
      <c r="AA1273" s="333"/>
      <c r="AB1273" s="44"/>
      <c r="AC1273" s="333"/>
      <c r="AD1273" s="333"/>
      <c r="AE1273" s="333"/>
      <c r="AF1273" s="333"/>
      <c r="AG1273" s="44"/>
      <c r="AH1273" s="333"/>
      <c r="AI1273" s="333"/>
      <c r="AJ1273" s="333"/>
      <c r="AK1273" s="333"/>
      <c r="AL1273" s="44"/>
      <c r="AM1273" s="45"/>
      <c r="AN1273" s="100"/>
      <c r="AO1273" s="100"/>
      <c r="AP1273" s="100"/>
      <c r="AQ1273" s="100"/>
      <c r="AR1273" s="100"/>
      <c r="AS1273" s="334"/>
      <c r="AT1273" s="334"/>
      <c r="AU1273" s="334"/>
      <c r="AV1273" s="334"/>
      <c r="AW1273" s="334"/>
      <c r="AX1273" s="334"/>
      <c r="AY1273" s="334"/>
      <c r="AZ1273" s="334"/>
      <c r="BA1273" s="334"/>
      <c r="BB1273" s="334"/>
      <c r="BC1273" s="334"/>
      <c r="BD1273" s="334"/>
      <c r="BE1273" s="334"/>
      <c r="BF1273" s="334"/>
      <c r="BG1273" s="334"/>
      <c r="BI1273" s="334"/>
      <c r="BJ1273" s="334"/>
      <c r="BK1273" s="334"/>
      <c r="BL1273" s="334"/>
      <c r="BM1273" s="334"/>
      <c r="BN1273" s="334"/>
      <c r="BO1273" s="334"/>
      <c r="BP1273" s="334"/>
      <c r="BQ1273" s="334"/>
      <c r="BR1273" s="334"/>
      <c r="BS1273" s="334"/>
      <c r="BT1273" s="334"/>
      <c r="BU1273" s="334"/>
      <c r="BV1273" s="334"/>
      <c r="BW1273" s="334"/>
      <c r="BY1273" s="334"/>
      <c r="BZ1273" s="334"/>
      <c r="CA1273" s="334"/>
      <c r="CB1273" s="334"/>
      <c r="CC1273" s="334"/>
      <c r="CD1273" s="334"/>
      <c r="CE1273" s="334"/>
      <c r="CF1273" s="334"/>
      <c r="CG1273" s="334"/>
      <c r="CH1273" s="334"/>
      <c r="CI1273" s="334"/>
      <c r="CJ1273" s="334"/>
      <c r="CK1273" s="334"/>
      <c r="CL1273" s="334"/>
      <c r="CM1273" s="334"/>
      <c r="CO1273" s="334"/>
      <c r="CP1273" s="334"/>
      <c r="CQ1273" s="334"/>
      <c r="CR1273" s="334"/>
      <c r="CS1273" s="334"/>
      <c r="CT1273" s="334"/>
      <c r="CU1273" s="334"/>
      <c r="CV1273" s="334"/>
      <c r="CW1273" s="334"/>
      <c r="CX1273" s="334"/>
      <c r="CY1273" s="334"/>
      <c r="CZ1273" s="334"/>
      <c r="DA1273" s="334"/>
      <c r="DB1273" s="334"/>
      <c r="DC1273" s="334"/>
      <c r="DE1273" s="250"/>
    </row>
    <row r="1274" spans="1:109">
      <c r="A1274" s="45"/>
      <c r="B1274" s="100"/>
      <c r="C1274" s="100"/>
      <c r="D1274" s="100"/>
      <c r="E1274" s="100"/>
      <c r="F1274" s="330"/>
      <c r="G1274" s="100"/>
      <c r="H1274" s="100"/>
      <c r="I1274" s="100"/>
      <c r="J1274" s="100"/>
      <c r="K1274" s="100"/>
      <c r="L1274" s="100"/>
      <c r="M1274" s="100"/>
      <c r="N1274" s="45"/>
      <c r="O1274" s="100"/>
      <c r="P1274" s="331"/>
      <c r="Q1274" s="100"/>
      <c r="R1274" s="332"/>
      <c r="S1274" s="45"/>
      <c r="T1274" s="45"/>
      <c r="U1274" s="333"/>
      <c r="V1274" s="333"/>
      <c r="W1274" s="44"/>
      <c r="X1274" s="333"/>
      <c r="Y1274" s="333"/>
      <c r="Z1274" s="333"/>
      <c r="AA1274" s="333"/>
      <c r="AB1274" s="44"/>
      <c r="AC1274" s="333"/>
      <c r="AD1274" s="333"/>
      <c r="AE1274" s="333"/>
      <c r="AF1274" s="333"/>
      <c r="AG1274" s="44"/>
      <c r="AH1274" s="333"/>
      <c r="AI1274" s="333"/>
      <c r="AJ1274" s="333"/>
      <c r="AK1274" s="333"/>
      <c r="AL1274" s="44"/>
      <c r="AM1274" s="45"/>
      <c r="AN1274" s="100"/>
      <c r="AO1274" s="100"/>
      <c r="AP1274" s="100"/>
      <c r="AQ1274" s="100"/>
      <c r="AR1274" s="100"/>
      <c r="AS1274" s="334"/>
      <c r="AT1274" s="334"/>
      <c r="AU1274" s="334"/>
      <c r="AV1274" s="334"/>
      <c r="AW1274" s="334"/>
      <c r="AX1274" s="334"/>
      <c r="AY1274" s="334"/>
      <c r="AZ1274" s="334"/>
      <c r="BA1274" s="334"/>
      <c r="BB1274" s="334"/>
      <c r="BC1274" s="334"/>
      <c r="BD1274" s="334"/>
      <c r="BE1274" s="334"/>
      <c r="BF1274" s="334"/>
      <c r="BG1274" s="334"/>
      <c r="BI1274" s="334"/>
      <c r="BJ1274" s="334"/>
      <c r="BK1274" s="334"/>
      <c r="BL1274" s="334"/>
      <c r="BM1274" s="334"/>
      <c r="BN1274" s="334"/>
      <c r="BO1274" s="334"/>
      <c r="BP1274" s="334"/>
      <c r="BQ1274" s="334"/>
      <c r="BR1274" s="334"/>
      <c r="BS1274" s="334"/>
      <c r="BT1274" s="334"/>
      <c r="BU1274" s="334"/>
      <c r="BV1274" s="334"/>
      <c r="BW1274" s="334"/>
      <c r="BY1274" s="334"/>
      <c r="BZ1274" s="334"/>
      <c r="CA1274" s="334"/>
      <c r="CB1274" s="334"/>
      <c r="CC1274" s="334"/>
      <c r="CD1274" s="334"/>
      <c r="CE1274" s="334"/>
      <c r="CF1274" s="334"/>
      <c r="CG1274" s="334"/>
      <c r="CH1274" s="334"/>
      <c r="CI1274" s="334"/>
      <c r="CJ1274" s="334"/>
      <c r="CK1274" s="334"/>
      <c r="CL1274" s="334"/>
      <c r="CM1274" s="334"/>
      <c r="CO1274" s="334"/>
      <c r="CP1274" s="334"/>
      <c r="CQ1274" s="334"/>
      <c r="CR1274" s="334"/>
      <c r="CS1274" s="334"/>
      <c r="CT1274" s="334"/>
      <c r="CU1274" s="334"/>
      <c r="CV1274" s="334"/>
      <c r="CW1274" s="334"/>
      <c r="CX1274" s="334"/>
      <c r="CY1274" s="334"/>
      <c r="CZ1274" s="334"/>
      <c r="DA1274" s="334"/>
      <c r="DB1274" s="334"/>
      <c r="DC1274" s="334"/>
      <c r="DE1274" s="250"/>
    </row>
    <row r="1275" spans="1:109">
      <c r="A1275" s="45"/>
      <c r="B1275" s="100"/>
      <c r="C1275" s="100"/>
      <c r="D1275" s="100"/>
      <c r="E1275" s="100"/>
      <c r="F1275" s="330"/>
      <c r="G1275" s="100"/>
      <c r="H1275" s="100"/>
      <c r="I1275" s="100"/>
      <c r="J1275" s="100"/>
      <c r="K1275" s="100"/>
      <c r="L1275" s="100"/>
      <c r="M1275" s="100"/>
      <c r="N1275" s="45"/>
      <c r="O1275" s="100"/>
      <c r="P1275" s="331"/>
      <c r="Q1275" s="100"/>
      <c r="R1275" s="332"/>
      <c r="S1275" s="45"/>
      <c r="T1275" s="45"/>
      <c r="U1275" s="333"/>
      <c r="V1275" s="333"/>
      <c r="W1275" s="44"/>
      <c r="X1275" s="333"/>
      <c r="Y1275" s="333"/>
      <c r="Z1275" s="333"/>
      <c r="AA1275" s="333"/>
      <c r="AB1275" s="44"/>
      <c r="AC1275" s="333"/>
      <c r="AD1275" s="333"/>
      <c r="AE1275" s="333"/>
      <c r="AF1275" s="333"/>
      <c r="AG1275" s="44"/>
      <c r="AH1275" s="333"/>
      <c r="AI1275" s="333"/>
      <c r="AJ1275" s="333"/>
      <c r="AK1275" s="333"/>
      <c r="AL1275" s="44"/>
      <c r="AM1275" s="45"/>
      <c r="AN1275" s="100"/>
      <c r="AO1275" s="100"/>
      <c r="AP1275" s="100"/>
      <c r="AQ1275" s="100"/>
      <c r="AR1275" s="100"/>
      <c r="AS1275" s="334"/>
      <c r="AT1275" s="334"/>
      <c r="AU1275" s="334"/>
      <c r="AV1275" s="334"/>
      <c r="AW1275" s="334"/>
      <c r="AX1275" s="334"/>
      <c r="AY1275" s="334"/>
      <c r="AZ1275" s="334"/>
      <c r="BA1275" s="334"/>
      <c r="BB1275" s="334"/>
      <c r="BC1275" s="334"/>
      <c r="BD1275" s="334"/>
      <c r="BE1275" s="334"/>
      <c r="BF1275" s="334"/>
      <c r="BG1275" s="334"/>
      <c r="BI1275" s="334"/>
      <c r="BJ1275" s="334"/>
      <c r="BK1275" s="334"/>
      <c r="BL1275" s="334"/>
      <c r="BM1275" s="334"/>
      <c r="BN1275" s="334"/>
      <c r="BO1275" s="334"/>
      <c r="BP1275" s="334"/>
      <c r="BQ1275" s="334"/>
      <c r="BR1275" s="334"/>
      <c r="BS1275" s="334"/>
      <c r="BT1275" s="334"/>
      <c r="BU1275" s="334"/>
      <c r="BV1275" s="334"/>
      <c r="BW1275" s="334"/>
      <c r="BY1275" s="334"/>
      <c r="BZ1275" s="334"/>
      <c r="CA1275" s="334"/>
      <c r="CB1275" s="334"/>
      <c r="CC1275" s="334"/>
      <c r="CD1275" s="334"/>
      <c r="CE1275" s="334"/>
      <c r="CF1275" s="334"/>
      <c r="CG1275" s="334"/>
      <c r="CH1275" s="334"/>
      <c r="CI1275" s="334"/>
      <c r="CJ1275" s="334"/>
      <c r="CK1275" s="334"/>
      <c r="CL1275" s="334"/>
      <c r="CM1275" s="334"/>
      <c r="CO1275" s="334"/>
      <c r="CP1275" s="334"/>
      <c r="CQ1275" s="334"/>
      <c r="CR1275" s="334"/>
      <c r="CS1275" s="334"/>
      <c r="CT1275" s="334"/>
      <c r="CU1275" s="334"/>
      <c r="CV1275" s="334"/>
      <c r="CW1275" s="334"/>
      <c r="CX1275" s="334"/>
      <c r="CY1275" s="334"/>
      <c r="CZ1275" s="334"/>
      <c r="DA1275" s="334"/>
      <c r="DB1275" s="334"/>
      <c r="DC1275" s="334"/>
      <c r="DE1275" s="250"/>
    </row>
    <row r="1276" spans="1:109">
      <c r="A1276" s="45"/>
      <c r="B1276" s="100"/>
      <c r="C1276" s="100"/>
      <c r="D1276" s="100"/>
      <c r="E1276" s="100"/>
      <c r="F1276" s="330"/>
      <c r="G1276" s="100"/>
      <c r="H1276" s="100"/>
      <c r="I1276" s="100"/>
      <c r="J1276" s="100"/>
      <c r="K1276" s="100"/>
      <c r="L1276" s="100"/>
      <c r="M1276" s="100"/>
      <c r="N1276" s="45"/>
      <c r="O1276" s="100"/>
      <c r="P1276" s="331"/>
      <c r="Q1276" s="100"/>
      <c r="R1276" s="332"/>
      <c r="S1276" s="45"/>
      <c r="T1276" s="45"/>
      <c r="U1276" s="333"/>
      <c r="V1276" s="333"/>
      <c r="W1276" s="44"/>
      <c r="X1276" s="333"/>
      <c r="Y1276" s="333"/>
      <c r="Z1276" s="333"/>
      <c r="AA1276" s="333"/>
      <c r="AB1276" s="44"/>
      <c r="AC1276" s="333"/>
      <c r="AD1276" s="333"/>
      <c r="AE1276" s="333"/>
      <c r="AF1276" s="333"/>
      <c r="AG1276" s="44"/>
      <c r="AH1276" s="333"/>
      <c r="AI1276" s="333"/>
      <c r="AJ1276" s="333"/>
      <c r="AK1276" s="333"/>
      <c r="AL1276" s="44"/>
      <c r="AM1276" s="45"/>
      <c r="AN1276" s="100"/>
      <c r="AO1276" s="100"/>
      <c r="AP1276" s="100"/>
      <c r="AQ1276" s="100"/>
      <c r="AR1276" s="100"/>
      <c r="AS1276" s="334"/>
      <c r="AT1276" s="334"/>
      <c r="AU1276" s="334"/>
      <c r="AV1276" s="334"/>
      <c r="AW1276" s="334"/>
      <c r="AX1276" s="334"/>
      <c r="AY1276" s="334"/>
      <c r="AZ1276" s="334"/>
      <c r="BA1276" s="334"/>
      <c r="BB1276" s="334"/>
      <c r="BC1276" s="334"/>
      <c r="BD1276" s="334"/>
      <c r="BE1276" s="334"/>
      <c r="BF1276" s="334"/>
      <c r="BG1276" s="334"/>
      <c r="BI1276" s="334"/>
      <c r="BJ1276" s="334"/>
      <c r="BK1276" s="334"/>
      <c r="BL1276" s="334"/>
      <c r="BM1276" s="334"/>
      <c r="BN1276" s="334"/>
      <c r="BO1276" s="334"/>
      <c r="BP1276" s="334"/>
      <c r="BQ1276" s="334"/>
      <c r="BR1276" s="334"/>
      <c r="BS1276" s="334"/>
      <c r="BT1276" s="334"/>
      <c r="BU1276" s="334"/>
      <c r="BV1276" s="334"/>
      <c r="BW1276" s="334"/>
      <c r="BY1276" s="334"/>
      <c r="BZ1276" s="334"/>
      <c r="CA1276" s="334"/>
      <c r="CB1276" s="334"/>
      <c r="CC1276" s="334"/>
      <c r="CD1276" s="334"/>
      <c r="CE1276" s="334"/>
      <c r="CF1276" s="334"/>
      <c r="CG1276" s="334"/>
      <c r="CH1276" s="334"/>
      <c r="CI1276" s="334"/>
      <c r="CJ1276" s="334"/>
      <c r="CK1276" s="334"/>
      <c r="CL1276" s="334"/>
      <c r="CM1276" s="334"/>
      <c r="CO1276" s="334"/>
      <c r="CP1276" s="334"/>
      <c r="CQ1276" s="334"/>
      <c r="CR1276" s="334"/>
      <c r="CS1276" s="334"/>
      <c r="CT1276" s="334"/>
      <c r="CU1276" s="334"/>
      <c r="CV1276" s="334"/>
      <c r="CW1276" s="334"/>
      <c r="CX1276" s="334"/>
      <c r="CY1276" s="334"/>
      <c r="CZ1276" s="334"/>
      <c r="DA1276" s="334"/>
      <c r="DB1276" s="334"/>
      <c r="DC1276" s="334"/>
      <c r="DE1276" s="250"/>
    </row>
    <row r="1277" spans="1:109">
      <c r="A1277" s="45"/>
      <c r="B1277" s="100"/>
      <c r="C1277" s="100"/>
      <c r="D1277" s="100"/>
      <c r="E1277" s="100"/>
      <c r="F1277" s="330"/>
      <c r="G1277" s="100"/>
      <c r="H1277" s="100"/>
      <c r="I1277" s="100"/>
      <c r="J1277" s="100"/>
      <c r="K1277" s="100"/>
      <c r="L1277" s="100"/>
      <c r="M1277" s="100"/>
      <c r="N1277" s="45"/>
      <c r="O1277" s="100"/>
      <c r="P1277" s="331"/>
      <c r="Q1277" s="100"/>
      <c r="R1277" s="332"/>
      <c r="S1277" s="45"/>
      <c r="T1277" s="45"/>
      <c r="U1277" s="333"/>
      <c r="V1277" s="333"/>
      <c r="W1277" s="44"/>
      <c r="X1277" s="333"/>
      <c r="Y1277" s="333"/>
      <c r="Z1277" s="333"/>
      <c r="AA1277" s="333"/>
      <c r="AB1277" s="44"/>
      <c r="AC1277" s="333"/>
      <c r="AD1277" s="333"/>
      <c r="AE1277" s="333"/>
      <c r="AF1277" s="333"/>
      <c r="AG1277" s="44"/>
      <c r="AH1277" s="333"/>
      <c r="AI1277" s="333"/>
      <c r="AJ1277" s="333"/>
      <c r="AK1277" s="333"/>
      <c r="AL1277" s="44"/>
      <c r="AM1277" s="45"/>
      <c r="AN1277" s="100"/>
      <c r="AO1277" s="100"/>
      <c r="AP1277" s="100"/>
      <c r="AQ1277" s="100"/>
      <c r="AR1277" s="100"/>
      <c r="AS1277" s="334"/>
      <c r="AT1277" s="334"/>
      <c r="AU1277" s="334"/>
      <c r="AV1277" s="334"/>
      <c r="AW1277" s="334"/>
      <c r="AX1277" s="334"/>
      <c r="AY1277" s="334"/>
      <c r="AZ1277" s="334"/>
      <c r="BA1277" s="334"/>
      <c r="BB1277" s="334"/>
      <c r="BC1277" s="334"/>
      <c r="BD1277" s="334"/>
      <c r="BE1277" s="334"/>
      <c r="BF1277" s="334"/>
      <c r="BG1277" s="334"/>
      <c r="BI1277" s="334"/>
      <c r="BJ1277" s="334"/>
      <c r="BK1277" s="334"/>
      <c r="BL1277" s="334"/>
      <c r="BM1277" s="334"/>
      <c r="BN1277" s="334"/>
      <c r="BO1277" s="334"/>
      <c r="BP1277" s="334"/>
      <c r="BQ1277" s="334"/>
      <c r="BR1277" s="334"/>
      <c r="BS1277" s="334"/>
      <c r="BT1277" s="334"/>
      <c r="BU1277" s="334"/>
      <c r="BV1277" s="334"/>
      <c r="BW1277" s="334"/>
      <c r="BY1277" s="334"/>
      <c r="BZ1277" s="334"/>
      <c r="CA1277" s="334"/>
      <c r="CB1277" s="334"/>
      <c r="CC1277" s="334"/>
      <c r="CD1277" s="334"/>
      <c r="CE1277" s="334"/>
      <c r="CF1277" s="334"/>
      <c r="CG1277" s="334"/>
      <c r="CH1277" s="334"/>
      <c r="CI1277" s="334"/>
      <c r="CJ1277" s="334"/>
      <c r="CK1277" s="334"/>
      <c r="CL1277" s="334"/>
      <c r="CM1277" s="334"/>
      <c r="CO1277" s="334"/>
      <c r="CP1277" s="334"/>
      <c r="CQ1277" s="334"/>
      <c r="CR1277" s="334"/>
      <c r="CS1277" s="334"/>
      <c r="CT1277" s="334"/>
      <c r="CU1277" s="334"/>
      <c r="CV1277" s="334"/>
      <c r="CW1277" s="334"/>
      <c r="CX1277" s="334"/>
      <c r="CY1277" s="334"/>
      <c r="CZ1277" s="334"/>
      <c r="DA1277" s="334"/>
      <c r="DB1277" s="334"/>
      <c r="DC1277" s="334"/>
      <c r="DE1277" s="250"/>
    </row>
    <row r="1278" spans="1:109">
      <c r="A1278" s="45"/>
      <c r="B1278" s="100"/>
      <c r="C1278" s="100"/>
      <c r="D1278" s="100"/>
      <c r="E1278" s="100"/>
      <c r="F1278" s="330"/>
      <c r="G1278" s="100"/>
      <c r="H1278" s="100"/>
      <c r="I1278" s="100"/>
      <c r="J1278" s="100"/>
      <c r="K1278" s="100"/>
      <c r="L1278" s="100"/>
      <c r="M1278" s="100"/>
      <c r="N1278" s="45"/>
      <c r="O1278" s="100"/>
      <c r="P1278" s="331"/>
      <c r="Q1278" s="100"/>
      <c r="R1278" s="332"/>
      <c r="S1278" s="45"/>
      <c r="T1278" s="45"/>
      <c r="U1278" s="333"/>
      <c r="V1278" s="333"/>
      <c r="W1278" s="44"/>
      <c r="X1278" s="333"/>
      <c r="Y1278" s="333"/>
      <c r="Z1278" s="333"/>
      <c r="AA1278" s="333"/>
      <c r="AB1278" s="44"/>
      <c r="AC1278" s="333"/>
      <c r="AD1278" s="333"/>
      <c r="AE1278" s="333"/>
      <c r="AF1278" s="333"/>
      <c r="AG1278" s="44"/>
      <c r="AH1278" s="333"/>
      <c r="AI1278" s="333"/>
      <c r="AJ1278" s="333"/>
      <c r="AK1278" s="333"/>
      <c r="AL1278" s="44"/>
      <c r="AM1278" s="45"/>
      <c r="AN1278" s="100"/>
      <c r="AO1278" s="100"/>
      <c r="AP1278" s="100"/>
      <c r="AQ1278" s="100"/>
      <c r="AR1278" s="100"/>
      <c r="AS1278" s="334"/>
      <c r="AT1278" s="334"/>
      <c r="AU1278" s="334"/>
      <c r="AV1278" s="334"/>
      <c r="AW1278" s="334"/>
      <c r="AX1278" s="334"/>
      <c r="AY1278" s="334"/>
      <c r="AZ1278" s="334"/>
      <c r="BA1278" s="334"/>
      <c r="BB1278" s="334"/>
      <c r="BC1278" s="334"/>
      <c r="BD1278" s="334"/>
      <c r="BE1278" s="334"/>
      <c r="BF1278" s="334"/>
      <c r="BG1278" s="334"/>
      <c r="BI1278" s="334"/>
      <c r="BJ1278" s="334"/>
      <c r="BK1278" s="334"/>
      <c r="BL1278" s="334"/>
      <c r="BM1278" s="334"/>
      <c r="BN1278" s="334"/>
      <c r="BO1278" s="334"/>
      <c r="BP1278" s="334"/>
      <c r="BQ1278" s="334"/>
      <c r="BR1278" s="334"/>
      <c r="BS1278" s="334"/>
      <c r="BT1278" s="334"/>
      <c r="BU1278" s="334"/>
      <c r="BV1278" s="334"/>
      <c r="BW1278" s="334"/>
      <c r="BY1278" s="334"/>
      <c r="BZ1278" s="334"/>
      <c r="CA1278" s="334"/>
      <c r="CB1278" s="334"/>
      <c r="CC1278" s="334"/>
      <c r="CD1278" s="334"/>
      <c r="CE1278" s="334"/>
      <c r="CF1278" s="334"/>
      <c r="CG1278" s="334"/>
      <c r="CH1278" s="334"/>
      <c r="CI1278" s="334"/>
      <c r="CJ1278" s="334"/>
      <c r="CK1278" s="334"/>
      <c r="CL1278" s="334"/>
      <c r="CM1278" s="334"/>
      <c r="CO1278" s="334"/>
      <c r="CP1278" s="334"/>
      <c r="CQ1278" s="334"/>
      <c r="CR1278" s="334"/>
      <c r="CS1278" s="334"/>
      <c r="CT1278" s="334"/>
      <c r="CU1278" s="334"/>
      <c r="CV1278" s="334"/>
      <c r="CW1278" s="334"/>
      <c r="CX1278" s="334"/>
      <c r="CY1278" s="334"/>
      <c r="CZ1278" s="334"/>
      <c r="DA1278" s="334"/>
      <c r="DB1278" s="334"/>
      <c r="DC1278" s="334"/>
      <c r="DE1278" s="250"/>
    </row>
    <row r="1279" spans="1:109">
      <c r="A1279" s="45"/>
      <c r="B1279" s="100"/>
      <c r="C1279" s="100"/>
      <c r="D1279" s="100"/>
      <c r="E1279" s="100"/>
      <c r="F1279" s="330"/>
      <c r="G1279" s="100"/>
      <c r="H1279" s="100"/>
      <c r="I1279" s="100"/>
      <c r="J1279" s="100"/>
      <c r="K1279" s="100"/>
      <c r="L1279" s="100"/>
      <c r="M1279" s="100"/>
      <c r="N1279" s="45"/>
      <c r="O1279" s="100"/>
      <c r="P1279" s="331"/>
      <c r="Q1279" s="100"/>
      <c r="R1279" s="332"/>
      <c r="S1279" s="45"/>
      <c r="T1279" s="45"/>
      <c r="U1279" s="333"/>
      <c r="V1279" s="333"/>
      <c r="W1279" s="44"/>
      <c r="X1279" s="333"/>
      <c r="Y1279" s="333"/>
      <c r="Z1279" s="333"/>
      <c r="AA1279" s="333"/>
      <c r="AB1279" s="44"/>
      <c r="AC1279" s="333"/>
      <c r="AD1279" s="333"/>
      <c r="AE1279" s="333"/>
      <c r="AF1279" s="333"/>
      <c r="AG1279" s="44"/>
      <c r="AH1279" s="333"/>
      <c r="AI1279" s="333"/>
      <c r="AJ1279" s="333"/>
      <c r="AK1279" s="333"/>
      <c r="AL1279" s="44"/>
      <c r="AM1279" s="45"/>
      <c r="AN1279" s="100"/>
      <c r="AO1279" s="100"/>
      <c r="AP1279" s="100"/>
      <c r="AQ1279" s="100"/>
      <c r="AR1279" s="100"/>
      <c r="AS1279" s="334"/>
      <c r="AT1279" s="334"/>
      <c r="AU1279" s="334"/>
      <c r="AV1279" s="334"/>
      <c r="AW1279" s="334"/>
      <c r="AX1279" s="334"/>
      <c r="AY1279" s="334"/>
      <c r="AZ1279" s="334"/>
      <c r="BA1279" s="334"/>
      <c r="BB1279" s="334"/>
      <c r="BC1279" s="334"/>
      <c r="BD1279" s="334"/>
      <c r="BE1279" s="334"/>
      <c r="BF1279" s="334"/>
      <c r="BG1279" s="334"/>
      <c r="BI1279" s="334"/>
      <c r="BJ1279" s="334"/>
      <c r="BK1279" s="334"/>
      <c r="BL1279" s="334"/>
      <c r="BM1279" s="334"/>
      <c r="BN1279" s="334"/>
      <c r="BO1279" s="334"/>
      <c r="BP1279" s="334"/>
      <c r="BQ1279" s="334"/>
      <c r="BR1279" s="334"/>
      <c r="BS1279" s="334"/>
      <c r="BT1279" s="334"/>
      <c r="BU1279" s="334"/>
      <c r="BV1279" s="334"/>
      <c r="BW1279" s="334"/>
      <c r="BY1279" s="334"/>
      <c r="BZ1279" s="334"/>
      <c r="CA1279" s="334"/>
      <c r="CB1279" s="334"/>
      <c r="CC1279" s="334"/>
      <c r="CD1279" s="334"/>
      <c r="CE1279" s="334"/>
      <c r="CF1279" s="334"/>
      <c r="CG1279" s="334"/>
      <c r="CH1279" s="334"/>
      <c r="CI1279" s="334"/>
      <c r="CJ1279" s="334"/>
      <c r="CK1279" s="334"/>
      <c r="CL1279" s="334"/>
      <c r="CM1279" s="334"/>
      <c r="CO1279" s="334"/>
      <c r="CP1279" s="334"/>
      <c r="CQ1279" s="334"/>
      <c r="CR1279" s="334"/>
      <c r="CS1279" s="334"/>
      <c r="CT1279" s="334"/>
      <c r="CU1279" s="334"/>
      <c r="CV1279" s="334"/>
      <c r="CW1279" s="334"/>
      <c r="CX1279" s="334"/>
      <c r="CY1279" s="334"/>
      <c r="CZ1279" s="334"/>
      <c r="DA1279" s="334"/>
      <c r="DB1279" s="334"/>
      <c r="DC1279" s="334"/>
      <c r="DE1279" s="250"/>
    </row>
    <row r="1280" spans="1:109">
      <c r="A1280" s="45"/>
      <c r="B1280" s="100"/>
      <c r="C1280" s="100"/>
      <c r="D1280" s="100"/>
      <c r="E1280" s="100"/>
      <c r="F1280" s="330"/>
      <c r="G1280" s="100"/>
      <c r="H1280" s="100"/>
      <c r="I1280" s="100"/>
      <c r="J1280" s="100"/>
      <c r="K1280" s="100"/>
      <c r="L1280" s="100"/>
      <c r="M1280" s="100"/>
      <c r="N1280" s="45"/>
      <c r="O1280" s="100"/>
      <c r="P1280" s="331"/>
      <c r="Q1280" s="100"/>
      <c r="R1280" s="332"/>
      <c r="S1280" s="45"/>
      <c r="T1280" s="45"/>
      <c r="U1280" s="333"/>
      <c r="V1280" s="333"/>
      <c r="W1280" s="44"/>
      <c r="X1280" s="333"/>
      <c r="Y1280" s="333"/>
      <c r="Z1280" s="333"/>
      <c r="AA1280" s="333"/>
      <c r="AB1280" s="44"/>
      <c r="AC1280" s="333"/>
      <c r="AD1280" s="333"/>
      <c r="AE1280" s="333"/>
      <c r="AF1280" s="333"/>
      <c r="AG1280" s="44"/>
      <c r="AH1280" s="333"/>
      <c r="AI1280" s="333"/>
      <c r="AJ1280" s="333"/>
      <c r="AK1280" s="333"/>
      <c r="AL1280" s="44"/>
      <c r="AM1280" s="45"/>
      <c r="AN1280" s="100"/>
      <c r="AO1280" s="100"/>
      <c r="AP1280" s="100"/>
      <c r="AQ1280" s="100"/>
      <c r="AR1280" s="100"/>
      <c r="AS1280" s="334"/>
      <c r="AT1280" s="334"/>
      <c r="AU1280" s="334"/>
      <c r="AV1280" s="334"/>
      <c r="AW1280" s="334"/>
      <c r="AX1280" s="334"/>
      <c r="AY1280" s="334"/>
      <c r="AZ1280" s="334"/>
      <c r="BA1280" s="334"/>
      <c r="BB1280" s="334"/>
      <c r="BC1280" s="334"/>
      <c r="BD1280" s="334"/>
      <c r="BE1280" s="334"/>
      <c r="BF1280" s="334"/>
      <c r="BG1280" s="334"/>
      <c r="BI1280" s="334"/>
      <c r="BJ1280" s="334"/>
      <c r="BK1280" s="334"/>
      <c r="BL1280" s="334"/>
      <c r="BM1280" s="334"/>
      <c r="BN1280" s="334"/>
      <c r="BO1280" s="334"/>
      <c r="BP1280" s="334"/>
      <c r="BQ1280" s="334"/>
      <c r="BR1280" s="334"/>
      <c r="BS1280" s="334"/>
      <c r="BT1280" s="334"/>
      <c r="BU1280" s="334"/>
      <c r="BV1280" s="334"/>
      <c r="BW1280" s="334"/>
      <c r="BY1280" s="334"/>
      <c r="BZ1280" s="334"/>
      <c r="CA1280" s="334"/>
      <c r="CB1280" s="334"/>
      <c r="CC1280" s="334"/>
      <c r="CD1280" s="334"/>
      <c r="CE1280" s="334"/>
      <c r="CF1280" s="334"/>
      <c r="CG1280" s="334"/>
      <c r="CH1280" s="334"/>
      <c r="CI1280" s="334"/>
      <c r="CJ1280" s="334"/>
      <c r="CK1280" s="334"/>
      <c r="CL1280" s="334"/>
      <c r="CM1280" s="334"/>
      <c r="CO1280" s="334"/>
      <c r="CP1280" s="334"/>
      <c r="CQ1280" s="334"/>
      <c r="CR1280" s="334"/>
      <c r="CS1280" s="334"/>
      <c r="CT1280" s="334"/>
      <c r="CU1280" s="334"/>
      <c r="CV1280" s="334"/>
      <c r="CW1280" s="334"/>
      <c r="CX1280" s="334"/>
      <c r="CY1280" s="334"/>
      <c r="CZ1280" s="334"/>
      <c r="DA1280" s="334"/>
      <c r="DB1280" s="334"/>
      <c r="DC1280" s="334"/>
      <c r="DE1280" s="250"/>
    </row>
    <row r="1281" spans="1:109">
      <c r="A1281" s="45"/>
      <c r="B1281" s="100"/>
      <c r="C1281" s="100"/>
      <c r="D1281" s="100"/>
      <c r="E1281" s="100"/>
      <c r="F1281" s="330"/>
      <c r="G1281" s="100"/>
      <c r="H1281" s="100"/>
      <c r="I1281" s="100"/>
      <c r="J1281" s="100"/>
      <c r="K1281" s="100"/>
      <c r="L1281" s="100"/>
      <c r="M1281" s="100"/>
      <c r="N1281" s="45"/>
      <c r="O1281" s="100"/>
      <c r="P1281" s="331"/>
      <c r="Q1281" s="100"/>
      <c r="R1281" s="332"/>
      <c r="S1281" s="45"/>
      <c r="T1281" s="45"/>
      <c r="U1281" s="333"/>
      <c r="V1281" s="333"/>
      <c r="W1281" s="44"/>
      <c r="X1281" s="333"/>
      <c r="Y1281" s="333"/>
      <c r="Z1281" s="333"/>
      <c r="AA1281" s="333"/>
      <c r="AB1281" s="44"/>
      <c r="AC1281" s="333"/>
      <c r="AD1281" s="333"/>
      <c r="AE1281" s="333"/>
      <c r="AF1281" s="333"/>
      <c r="AG1281" s="44"/>
      <c r="AH1281" s="333"/>
      <c r="AI1281" s="333"/>
      <c r="AJ1281" s="333"/>
      <c r="AK1281" s="333"/>
      <c r="AL1281" s="44"/>
      <c r="AM1281" s="45"/>
      <c r="AN1281" s="100"/>
      <c r="AO1281" s="100"/>
      <c r="AP1281" s="100"/>
      <c r="AQ1281" s="100"/>
      <c r="AR1281" s="100"/>
      <c r="AS1281" s="334"/>
      <c r="AT1281" s="334"/>
      <c r="AU1281" s="334"/>
      <c r="AV1281" s="334"/>
      <c r="AW1281" s="334"/>
      <c r="AX1281" s="334"/>
      <c r="AY1281" s="334"/>
      <c r="AZ1281" s="334"/>
      <c r="BA1281" s="334"/>
      <c r="BB1281" s="334"/>
      <c r="BC1281" s="334"/>
      <c r="BD1281" s="334"/>
      <c r="BE1281" s="334"/>
      <c r="BF1281" s="334"/>
      <c r="BG1281" s="334"/>
      <c r="BI1281" s="334"/>
      <c r="BJ1281" s="334"/>
      <c r="BK1281" s="334"/>
      <c r="BL1281" s="334"/>
      <c r="BM1281" s="334"/>
      <c r="BN1281" s="334"/>
      <c r="BO1281" s="334"/>
      <c r="BP1281" s="334"/>
      <c r="BQ1281" s="334"/>
      <c r="BR1281" s="334"/>
      <c r="BS1281" s="334"/>
      <c r="BT1281" s="334"/>
      <c r="BU1281" s="334"/>
      <c r="BV1281" s="334"/>
      <c r="BW1281" s="334"/>
      <c r="BY1281" s="334"/>
      <c r="BZ1281" s="334"/>
      <c r="CA1281" s="334"/>
      <c r="CB1281" s="334"/>
      <c r="CC1281" s="334"/>
      <c r="CD1281" s="334"/>
      <c r="CE1281" s="334"/>
      <c r="CF1281" s="334"/>
      <c r="CG1281" s="334"/>
      <c r="CH1281" s="334"/>
      <c r="CI1281" s="334"/>
      <c r="CJ1281" s="334"/>
      <c r="CK1281" s="334"/>
      <c r="CL1281" s="334"/>
      <c r="CM1281" s="334"/>
      <c r="CO1281" s="334"/>
      <c r="CP1281" s="334"/>
      <c r="CQ1281" s="334"/>
      <c r="CR1281" s="334"/>
      <c r="CS1281" s="334"/>
      <c r="CT1281" s="334"/>
      <c r="CU1281" s="334"/>
      <c r="CV1281" s="334"/>
      <c r="CW1281" s="334"/>
      <c r="CX1281" s="334"/>
      <c r="CY1281" s="334"/>
      <c r="CZ1281" s="334"/>
      <c r="DA1281" s="334"/>
      <c r="DB1281" s="334"/>
      <c r="DC1281" s="334"/>
      <c r="DE1281" s="250"/>
    </row>
    <row r="1282" spans="1:109">
      <c r="A1282" s="45"/>
      <c r="B1282" s="100"/>
      <c r="C1282" s="100"/>
      <c r="D1282" s="100"/>
      <c r="E1282" s="100"/>
      <c r="F1282" s="330"/>
      <c r="G1282" s="100"/>
      <c r="H1282" s="100"/>
      <c r="I1282" s="100"/>
      <c r="J1282" s="100"/>
      <c r="K1282" s="100"/>
      <c r="L1282" s="100"/>
      <c r="M1282" s="100"/>
      <c r="N1282" s="45"/>
      <c r="O1282" s="100"/>
      <c r="P1282" s="331"/>
      <c r="Q1282" s="100"/>
      <c r="R1282" s="332"/>
      <c r="S1282" s="45"/>
      <c r="T1282" s="45"/>
      <c r="U1282" s="333"/>
      <c r="V1282" s="333"/>
      <c r="W1282" s="44"/>
      <c r="X1282" s="333"/>
      <c r="Y1282" s="333"/>
      <c r="Z1282" s="333"/>
      <c r="AA1282" s="333"/>
      <c r="AB1282" s="44"/>
      <c r="AC1282" s="333"/>
      <c r="AD1282" s="333"/>
      <c r="AE1282" s="333"/>
      <c r="AF1282" s="333"/>
      <c r="AG1282" s="44"/>
      <c r="AH1282" s="333"/>
      <c r="AI1282" s="333"/>
      <c r="AJ1282" s="333"/>
      <c r="AK1282" s="333"/>
      <c r="AL1282" s="44"/>
      <c r="AM1282" s="45"/>
      <c r="AN1282" s="100"/>
      <c r="AO1282" s="100"/>
      <c r="AP1282" s="100"/>
      <c r="AQ1282" s="100"/>
      <c r="AR1282" s="100"/>
      <c r="AS1282" s="334"/>
      <c r="AT1282" s="334"/>
      <c r="AU1282" s="334"/>
      <c r="AV1282" s="334"/>
      <c r="AW1282" s="334"/>
      <c r="AX1282" s="334"/>
      <c r="AY1282" s="334"/>
      <c r="AZ1282" s="334"/>
      <c r="BA1282" s="334"/>
      <c r="BB1282" s="334"/>
      <c r="BC1282" s="334"/>
      <c r="BD1282" s="334"/>
      <c r="BE1282" s="334"/>
      <c r="BF1282" s="334"/>
      <c r="BG1282" s="334"/>
      <c r="BI1282" s="334"/>
      <c r="BJ1282" s="334"/>
      <c r="BK1282" s="334"/>
      <c r="BL1282" s="334"/>
      <c r="BM1282" s="334"/>
      <c r="BN1282" s="334"/>
      <c r="BO1282" s="334"/>
      <c r="BP1282" s="334"/>
      <c r="BQ1282" s="334"/>
      <c r="BR1282" s="334"/>
      <c r="BS1282" s="334"/>
      <c r="BT1282" s="334"/>
      <c r="BU1282" s="334"/>
      <c r="BV1282" s="334"/>
      <c r="BW1282" s="334"/>
      <c r="BY1282" s="334"/>
      <c r="BZ1282" s="334"/>
      <c r="CA1282" s="334"/>
      <c r="CB1282" s="334"/>
      <c r="CC1282" s="334"/>
      <c r="CD1282" s="334"/>
      <c r="CE1282" s="334"/>
      <c r="CF1282" s="334"/>
      <c r="CG1282" s="334"/>
      <c r="CH1282" s="334"/>
      <c r="CI1282" s="334"/>
      <c r="CJ1282" s="334"/>
      <c r="CK1282" s="334"/>
      <c r="CL1282" s="334"/>
      <c r="CM1282" s="334"/>
      <c r="CO1282" s="334"/>
      <c r="CP1282" s="334"/>
      <c r="CQ1282" s="334"/>
      <c r="CR1282" s="334"/>
      <c r="CS1282" s="334"/>
      <c r="CT1282" s="334"/>
      <c r="CU1282" s="334"/>
      <c r="CV1282" s="334"/>
      <c r="CW1282" s="334"/>
      <c r="CX1282" s="334"/>
      <c r="CY1282" s="334"/>
      <c r="CZ1282" s="334"/>
      <c r="DA1282" s="334"/>
      <c r="DB1282" s="334"/>
      <c r="DC1282" s="334"/>
      <c r="DE1282" s="250"/>
    </row>
    <row r="1283" spans="1:109">
      <c r="A1283" s="45"/>
      <c r="B1283" s="100"/>
      <c r="C1283" s="100"/>
      <c r="D1283" s="100"/>
      <c r="E1283" s="100"/>
      <c r="F1283" s="330"/>
      <c r="G1283" s="100"/>
      <c r="H1283" s="100"/>
      <c r="I1283" s="100"/>
      <c r="J1283" s="100"/>
      <c r="K1283" s="100"/>
      <c r="L1283" s="100"/>
      <c r="M1283" s="100"/>
      <c r="N1283" s="45"/>
      <c r="O1283" s="100"/>
      <c r="P1283" s="331"/>
      <c r="Q1283" s="100"/>
      <c r="R1283" s="332"/>
      <c r="S1283" s="45"/>
      <c r="T1283" s="45"/>
      <c r="U1283" s="333"/>
      <c r="V1283" s="333"/>
      <c r="W1283" s="44"/>
      <c r="X1283" s="333"/>
      <c r="Y1283" s="333"/>
      <c r="Z1283" s="333"/>
      <c r="AA1283" s="333"/>
      <c r="AB1283" s="44"/>
      <c r="AC1283" s="333"/>
      <c r="AD1283" s="333"/>
      <c r="AE1283" s="333"/>
      <c r="AF1283" s="333"/>
      <c r="AG1283" s="44"/>
      <c r="AH1283" s="333"/>
      <c r="AI1283" s="333"/>
      <c r="AJ1283" s="333"/>
      <c r="AK1283" s="333"/>
      <c r="AL1283" s="44"/>
      <c r="AM1283" s="45"/>
      <c r="AN1283" s="100"/>
      <c r="AO1283" s="100"/>
      <c r="AP1283" s="100"/>
      <c r="AQ1283" s="100"/>
      <c r="AR1283" s="100"/>
      <c r="AS1283" s="334"/>
      <c r="AT1283" s="334"/>
      <c r="AU1283" s="334"/>
      <c r="AV1283" s="334"/>
      <c r="AW1283" s="334"/>
      <c r="AX1283" s="334"/>
      <c r="AY1283" s="334"/>
      <c r="AZ1283" s="334"/>
      <c r="BA1283" s="334"/>
      <c r="BB1283" s="334"/>
      <c r="BC1283" s="334"/>
      <c r="BD1283" s="334"/>
      <c r="BE1283" s="334"/>
      <c r="BF1283" s="334"/>
      <c r="BG1283" s="334"/>
      <c r="BI1283" s="334"/>
      <c r="BJ1283" s="334"/>
      <c r="BK1283" s="334"/>
      <c r="BL1283" s="334"/>
      <c r="BM1283" s="334"/>
      <c r="BN1283" s="334"/>
      <c r="BO1283" s="334"/>
      <c r="BP1283" s="334"/>
      <c r="BQ1283" s="334"/>
      <c r="BR1283" s="334"/>
      <c r="BS1283" s="334"/>
      <c r="BT1283" s="334"/>
      <c r="BU1283" s="334"/>
      <c r="BV1283" s="334"/>
      <c r="BW1283" s="334"/>
      <c r="BY1283" s="334"/>
      <c r="BZ1283" s="334"/>
      <c r="CA1283" s="334"/>
      <c r="CB1283" s="334"/>
      <c r="CC1283" s="334"/>
      <c r="CD1283" s="334"/>
      <c r="CE1283" s="334"/>
      <c r="CF1283" s="334"/>
      <c r="CG1283" s="334"/>
      <c r="CH1283" s="334"/>
      <c r="CI1283" s="334"/>
      <c r="CJ1283" s="334"/>
      <c r="CK1283" s="334"/>
      <c r="CL1283" s="334"/>
      <c r="CM1283" s="334"/>
      <c r="CO1283" s="334"/>
      <c r="CP1283" s="334"/>
      <c r="CQ1283" s="334"/>
      <c r="CR1283" s="334"/>
      <c r="CS1283" s="334"/>
      <c r="CT1283" s="334"/>
      <c r="CU1283" s="334"/>
      <c r="CV1283" s="334"/>
      <c r="CW1283" s="334"/>
      <c r="CX1283" s="334"/>
      <c r="CY1283" s="334"/>
      <c r="CZ1283" s="334"/>
      <c r="DA1283" s="334"/>
      <c r="DB1283" s="334"/>
      <c r="DC1283" s="334"/>
      <c r="DE1283" s="250"/>
    </row>
    <row r="1284" spans="1:109">
      <c r="A1284" s="45"/>
      <c r="B1284" s="100"/>
      <c r="C1284" s="100"/>
      <c r="D1284" s="100"/>
      <c r="E1284" s="100"/>
      <c r="F1284" s="330"/>
      <c r="G1284" s="100"/>
      <c r="H1284" s="100"/>
      <c r="I1284" s="100"/>
      <c r="J1284" s="100"/>
      <c r="K1284" s="100"/>
      <c r="L1284" s="100"/>
      <c r="M1284" s="100"/>
      <c r="N1284" s="45"/>
      <c r="O1284" s="100"/>
      <c r="P1284" s="331"/>
      <c r="Q1284" s="100"/>
      <c r="R1284" s="332"/>
      <c r="S1284" s="45"/>
      <c r="T1284" s="45"/>
      <c r="U1284" s="333"/>
      <c r="V1284" s="333"/>
      <c r="W1284" s="44"/>
      <c r="X1284" s="333"/>
      <c r="Y1284" s="333"/>
      <c r="Z1284" s="333"/>
      <c r="AA1284" s="333"/>
      <c r="AB1284" s="44"/>
      <c r="AC1284" s="333"/>
      <c r="AD1284" s="333"/>
      <c r="AE1284" s="333"/>
      <c r="AF1284" s="333"/>
      <c r="AG1284" s="44"/>
      <c r="AH1284" s="333"/>
      <c r="AI1284" s="333"/>
      <c r="AJ1284" s="333"/>
      <c r="AK1284" s="333"/>
      <c r="AL1284" s="44"/>
      <c r="AM1284" s="45"/>
      <c r="AN1284" s="100"/>
      <c r="AO1284" s="100"/>
      <c r="AP1284" s="100"/>
      <c r="AQ1284" s="100"/>
      <c r="AR1284" s="100"/>
      <c r="AS1284" s="334"/>
      <c r="AT1284" s="334"/>
      <c r="AU1284" s="334"/>
      <c r="AV1284" s="334"/>
      <c r="AW1284" s="334"/>
      <c r="AX1284" s="334"/>
      <c r="AY1284" s="334"/>
      <c r="AZ1284" s="334"/>
      <c r="BA1284" s="334"/>
      <c r="BB1284" s="334"/>
      <c r="BC1284" s="334"/>
      <c r="BD1284" s="334"/>
      <c r="BE1284" s="334"/>
      <c r="BF1284" s="334"/>
      <c r="BG1284" s="334"/>
      <c r="BI1284" s="334"/>
      <c r="BJ1284" s="334"/>
      <c r="BK1284" s="334"/>
      <c r="BL1284" s="334"/>
      <c r="BM1284" s="334"/>
      <c r="BN1284" s="334"/>
      <c r="BO1284" s="334"/>
      <c r="BP1284" s="334"/>
      <c r="BQ1284" s="334"/>
      <c r="BR1284" s="334"/>
      <c r="BS1284" s="334"/>
      <c r="BT1284" s="334"/>
      <c r="BU1284" s="334"/>
      <c r="BV1284" s="334"/>
      <c r="BW1284" s="334"/>
      <c r="BY1284" s="334"/>
      <c r="BZ1284" s="334"/>
      <c r="CA1284" s="334"/>
      <c r="CB1284" s="334"/>
      <c r="CC1284" s="334"/>
      <c r="CD1284" s="334"/>
      <c r="CE1284" s="334"/>
      <c r="CF1284" s="334"/>
      <c r="CG1284" s="334"/>
      <c r="CH1284" s="334"/>
      <c r="CI1284" s="334"/>
      <c r="CJ1284" s="334"/>
      <c r="CK1284" s="334"/>
      <c r="CL1284" s="334"/>
      <c r="CM1284" s="334"/>
      <c r="CO1284" s="334"/>
      <c r="CP1284" s="334"/>
      <c r="CQ1284" s="334"/>
      <c r="CR1284" s="334"/>
      <c r="CS1284" s="334"/>
      <c r="CT1284" s="334"/>
      <c r="CU1284" s="334"/>
      <c r="CV1284" s="334"/>
      <c r="CW1284" s="334"/>
      <c r="CX1284" s="334"/>
      <c r="CY1284" s="334"/>
      <c r="CZ1284" s="334"/>
      <c r="DA1284" s="334"/>
      <c r="DB1284" s="334"/>
      <c r="DC1284" s="334"/>
      <c r="DE1284" s="250"/>
    </row>
    <row r="1285" spans="1:109">
      <c r="A1285" s="45"/>
      <c r="B1285" s="100"/>
      <c r="C1285" s="100"/>
      <c r="D1285" s="100"/>
      <c r="E1285" s="100"/>
      <c r="F1285" s="330"/>
      <c r="G1285" s="100"/>
      <c r="H1285" s="100"/>
      <c r="I1285" s="100"/>
      <c r="J1285" s="100"/>
      <c r="K1285" s="100"/>
      <c r="L1285" s="100"/>
      <c r="M1285" s="100"/>
      <c r="N1285" s="45"/>
      <c r="O1285" s="100"/>
      <c r="P1285" s="331"/>
      <c r="Q1285" s="100"/>
      <c r="R1285" s="332"/>
      <c r="S1285" s="45"/>
      <c r="T1285" s="45"/>
      <c r="U1285" s="333"/>
      <c r="V1285" s="333"/>
      <c r="W1285" s="44"/>
      <c r="X1285" s="333"/>
      <c r="Y1285" s="333"/>
      <c r="Z1285" s="333"/>
      <c r="AA1285" s="333"/>
      <c r="AB1285" s="44"/>
      <c r="AC1285" s="333"/>
      <c r="AD1285" s="333"/>
      <c r="AE1285" s="333"/>
      <c r="AF1285" s="333"/>
      <c r="AG1285" s="44"/>
      <c r="AH1285" s="333"/>
      <c r="AI1285" s="333"/>
      <c r="AJ1285" s="333"/>
      <c r="AK1285" s="333"/>
      <c r="AL1285" s="44"/>
      <c r="AM1285" s="45"/>
      <c r="AN1285" s="100"/>
      <c r="AO1285" s="100"/>
      <c r="AP1285" s="100"/>
      <c r="AQ1285" s="100"/>
      <c r="AR1285" s="100"/>
      <c r="AS1285" s="334"/>
      <c r="AT1285" s="334"/>
      <c r="AU1285" s="334"/>
      <c r="AV1285" s="334"/>
      <c r="AW1285" s="334"/>
      <c r="AX1285" s="334"/>
      <c r="AY1285" s="334"/>
      <c r="AZ1285" s="334"/>
      <c r="BA1285" s="334"/>
      <c r="BB1285" s="334"/>
      <c r="BC1285" s="334"/>
      <c r="BD1285" s="334"/>
      <c r="BE1285" s="334"/>
      <c r="BF1285" s="334"/>
      <c r="BG1285" s="334"/>
      <c r="BI1285" s="334"/>
      <c r="BJ1285" s="334"/>
      <c r="BK1285" s="334"/>
      <c r="BL1285" s="334"/>
      <c r="BM1285" s="334"/>
      <c r="BN1285" s="334"/>
      <c r="BO1285" s="334"/>
      <c r="BP1285" s="334"/>
      <c r="BQ1285" s="334"/>
      <c r="BR1285" s="334"/>
      <c r="BS1285" s="334"/>
      <c r="BT1285" s="334"/>
      <c r="BU1285" s="334"/>
      <c r="BV1285" s="334"/>
      <c r="BW1285" s="334"/>
      <c r="BY1285" s="334"/>
      <c r="BZ1285" s="334"/>
      <c r="CA1285" s="334"/>
      <c r="CB1285" s="334"/>
      <c r="CC1285" s="334"/>
      <c r="CD1285" s="334"/>
      <c r="CE1285" s="334"/>
      <c r="CF1285" s="334"/>
      <c r="CG1285" s="334"/>
      <c r="CH1285" s="334"/>
      <c r="CI1285" s="334"/>
      <c r="CJ1285" s="334"/>
      <c r="CK1285" s="334"/>
      <c r="CL1285" s="334"/>
      <c r="CM1285" s="334"/>
      <c r="CO1285" s="334"/>
      <c r="CP1285" s="334"/>
      <c r="CQ1285" s="334"/>
      <c r="CR1285" s="334"/>
      <c r="CS1285" s="334"/>
      <c r="CT1285" s="334"/>
      <c r="CU1285" s="334"/>
      <c r="CV1285" s="334"/>
      <c r="CW1285" s="334"/>
      <c r="CX1285" s="334"/>
      <c r="CY1285" s="334"/>
      <c r="CZ1285" s="334"/>
      <c r="DA1285" s="334"/>
      <c r="DB1285" s="334"/>
      <c r="DC1285" s="334"/>
      <c r="DE1285" s="250"/>
    </row>
    <row r="1286" spans="1:109">
      <c r="A1286" s="45"/>
      <c r="B1286" s="100"/>
      <c r="C1286" s="100"/>
      <c r="D1286" s="100"/>
      <c r="E1286" s="100"/>
      <c r="F1286" s="330"/>
      <c r="G1286" s="100"/>
      <c r="H1286" s="100"/>
      <c r="I1286" s="100"/>
      <c r="J1286" s="100"/>
      <c r="K1286" s="100"/>
      <c r="L1286" s="100"/>
      <c r="M1286" s="100"/>
      <c r="N1286" s="45"/>
      <c r="O1286" s="100"/>
      <c r="P1286" s="331"/>
      <c r="Q1286" s="100"/>
      <c r="R1286" s="332"/>
      <c r="S1286" s="45"/>
      <c r="T1286" s="45"/>
      <c r="U1286" s="333"/>
      <c r="V1286" s="333"/>
      <c r="W1286" s="44"/>
      <c r="X1286" s="333"/>
      <c r="Y1286" s="333"/>
      <c r="Z1286" s="333"/>
      <c r="AA1286" s="333"/>
      <c r="AB1286" s="44"/>
      <c r="AC1286" s="333"/>
      <c r="AD1286" s="333"/>
      <c r="AE1286" s="333"/>
      <c r="AF1286" s="333"/>
      <c r="AG1286" s="44"/>
      <c r="AH1286" s="333"/>
      <c r="AI1286" s="333"/>
      <c r="AJ1286" s="333"/>
      <c r="AK1286" s="333"/>
      <c r="AL1286" s="44"/>
      <c r="AM1286" s="45"/>
      <c r="AN1286" s="100"/>
      <c r="AO1286" s="100"/>
      <c r="AP1286" s="100"/>
      <c r="AQ1286" s="100"/>
      <c r="AR1286" s="100"/>
      <c r="AS1286" s="334"/>
      <c r="AT1286" s="334"/>
      <c r="AU1286" s="334"/>
      <c r="AV1286" s="334"/>
      <c r="AW1286" s="334"/>
      <c r="AX1286" s="334"/>
      <c r="AY1286" s="334"/>
      <c r="AZ1286" s="334"/>
      <c r="BA1286" s="334"/>
      <c r="BB1286" s="334"/>
      <c r="BC1286" s="334"/>
      <c r="BD1286" s="334"/>
      <c r="BE1286" s="334"/>
      <c r="BF1286" s="334"/>
      <c r="BG1286" s="334"/>
      <c r="BI1286" s="334"/>
      <c r="BJ1286" s="334"/>
      <c r="BK1286" s="334"/>
      <c r="BL1286" s="334"/>
      <c r="BM1286" s="334"/>
      <c r="BN1286" s="334"/>
      <c r="BO1286" s="334"/>
      <c r="BP1286" s="334"/>
      <c r="BQ1286" s="334"/>
      <c r="BR1286" s="334"/>
      <c r="BS1286" s="334"/>
      <c r="BT1286" s="334"/>
      <c r="BU1286" s="334"/>
      <c r="BV1286" s="334"/>
      <c r="BW1286" s="334"/>
      <c r="BY1286" s="334"/>
      <c r="BZ1286" s="334"/>
      <c r="CA1286" s="334"/>
      <c r="CB1286" s="334"/>
      <c r="CC1286" s="334"/>
      <c r="CD1286" s="334"/>
      <c r="CE1286" s="334"/>
      <c r="CF1286" s="334"/>
      <c r="CG1286" s="334"/>
      <c r="CH1286" s="334"/>
      <c r="CI1286" s="334"/>
      <c r="CJ1286" s="334"/>
      <c r="CK1286" s="334"/>
      <c r="CL1286" s="334"/>
      <c r="CM1286" s="334"/>
      <c r="CO1286" s="334"/>
      <c r="CP1286" s="334"/>
      <c r="CQ1286" s="334"/>
      <c r="CR1286" s="334"/>
      <c r="CS1286" s="334"/>
      <c r="CT1286" s="334"/>
      <c r="CU1286" s="334"/>
      <c r="CV1286" s="334"/>
      <c r="CW1286" s="334"/>
      <c r="CX1286" s="334"/>
      <c r="CY1286" s="334"/>
      <c r="CZ1286" s="334"/>
      <c r="DA1286" s="334"/>
      <c r="DB1286" s="334"/>
      <c r="DC1286" s="334"/>
      <c r="DE1286" s="250"/>
    </row>
    <row r="1287" spans="1:109">
      <c r="A1287" s="45"/>
      <c r="B1287" s="100"/>
      <c r="C1287" s="100"/>
      <c r="D1287" s="100"/>
      <c r="E1287" s="100"/>
      <c r="F1287" s="330"/>
      <c r="G1287" s="100"/>
      <c r="H1287" s="100"/>
      <c r="I1287" s="100"/>
      <c r="J1287" s="100"/>
      <c r="K1287" s="100"/>
      <c r="L1287" s="100"/>
      <c r="M1287" s="100"/>
      <c r="N1287" s="45"/>
      <c r="O1287" s="100"/>
      <c r="P1287" s="331"/>
      <c r="Q1287" s="100"/>
      <c r="R1287" s="332"/>
      <c r="S1287" s="45"/>
      <c r="T1287" s="45"/>
      <c r="U1287" s="333"/>
      <c r="V1287" s="333"/>
      <c r="W1287" s="44"/>
      <c r="X1287" s="333"/>
      <c r="Y1287" s="333"/>
      <c r="Z1287" s="333"/>
      <c r="AA1287" s="333"/>
      <c r="AB1287" s="44"/>
      <c r="AC1287" s="333"/>
      <c r="AD1287" s="333"/>
      <c r="AE1287" s="333"/>
      <c r="AF1287" s="333"/>
      <c r="AG1287" s="44"/>
      <c r="AH1287" s="333"/>
      <c r="AI1287" s="333"/>
      <c r="AJ1287" s="333"/>
      <c r="AK1287" s="333"/>
      <c r="AL1287" s="44"/>
      <c r="AM1287" s="45"/>
      <c r="AN1287" s="100"/>
      <c r="AO1287" s="100"/>
      <c r="AP1287" s="100"/>
      <c r="AQ1287" s="100"/>
      <c r="AR1287" s="100"/>
      <c r="AS1287" s="334"/>
      <c r="AT1287" s="334"/>
      <c r="AU1287" s="334"/>
      <c r="AV1287" s="334"/>
      <c r="AW1287" s="334"/>
      <c r="AX1287" s="334"/>
      <c r="AY1287" s="334"/>
      <c r="AZ1287" s="334"/>
      <c r="BA1287" s="334"/>
      <c r="BB1287" s="334"/>
      <c r="BC1287" s="334"/>
      <c r="BD1287" s="334"/>
      <c r="BE1287" s="334"/>
      <c r="BF1287" s="334"/>
      <c r="BG1287" s="334"/>
      <c r="BI1287" s="334"/>
      <c r="BJ1287" s="334"/>
      <c r="BK1287" s="334"/>
      <c r="BL1287" s="334"/>
      <c r="BM1287" s="334"/>
      <c r="BN1287" s="334"/>
      <c r="BO1287" s="334"/>
      <c r="BP1287" s="334"/>
      <c r="BQ1287" s="334"/>
      <c r="BR1287" s="334"/>
      <c r="BS1287" s="334"/>
      <c r="BT1287" s="334"/>
      <c r="BU1287" s="334"/>
      <c r="BV1287" s="334"/>
      <c r="BW1287" s="334"/>
      <c r="BY1287" s="334"/>
      <c r="BZ1287" s="334"/>
      <c r="CA1287" s="334"/>
      <c r="CB1287" s="334"/>
      <c r="CC1287" s="334"/>
      <c r="CD1287" s="334"/>
      <c r="CE1287" s="334"/>
      <c r="CF1287" s="334"/>
      <c r="CG1287" s="334"/>
      <c r="CH1287" s="334"/>
      <c r="CI1287" s="334"/>
      <c r="CJ1287" s="334"/>
      <c r="CK1287" s="334"/>
      <c r="CL1287" s="334"/>
      <c r="CM1287" s="334"/>
      <c r="CO1287" s="334"/>
      <c r="CP1287" s="334"/>
      <c r="CQ1287" s="334"/>
      <c r="CR1287" s="334"/>
      <c r="CS1287" s="334"/>
      <c r="CT1287" s="334"/>
      <c r="CU1287" s="334"/>
      <c r="CV1287" s="334"/>
      <c r="CW1287" s="334"/>
      <c r="CX1287" s="334"/>
      <c r="CY1287" s="334"/>
      <c r="CZ1287" s="334"/>
      <c r="DA1287" s="334"/>
      <c r="DB1287" s="334"/>
      <c r="DC1287" s="334"/>
      <c r="DE1287" s="250"/>
    </row>
    <row r="1288" spans="1:109">
      <c r="A1288" s="45"/>
      <c r="B1288" s="100"/>
      <c r="C1288" s="100"/>
      <c r="D1288" s="100"/>
      <c r="E1288" s="100"/>
      <c r="F1288" s="330"/>
      <c r="G1288" s="100"/>
      <c r="H1288" s="100"/>
      <c r="I1288" s="100"/>
      <c r="J1288" s="100"/>
      <c r="K1288" s="100"/>
      <c r="L1288" s="100"/>
      <c r="M1288" s="100"/>
      <c r="N1288" s="45"/>
      <c r="O1288" s="100"/>
      <c r="P1288" s="331"/>
      <c r="Q1288" s="100"/>
      <c r="R1288" s="332"/>
      <c r="S1288" s="45"/>
      <c r="T1288" s="45"/>
      <c r="U1288" s="333"/>
      <c r="V1288" s="333"/>
      <c r="W1288" s="44"/>
      <c r="X1288" s="333"/>
      <c r="Y1288" s="333"/>
      <c r="Z1288" s="333"/>
      <c r="AA1288" s="333"/>
      <c r="AB1288" s="44"/>
      <c r="AC1288" s="333"/>
      <c r="AD1288" s="333"/>
      <c r="AE1288" s="333"/>
      <c r="AF1288" s="333"/>
      <c r="AG1288" s="44"/>
      <c r="AH1288" s="333"/>
      <c r="AI1288" s="333"/>
      <c r="AJ1288" s="333"/>
      <c r="AK1288" s="333"/>
      <c r="AL1288" s="44"/>
      <c r="AM1288" s="45"/>
      <c r="AN1288" s="100"/>
      <c r="AO1288" s="100"/>
      <c r="AP1288" s="100"/>
      <c r="AQ1288" s="100"/>
      <c r="AR1288" s="100"/>
      <c r="AS1288" s="334"/>
      <c r="AT1288" s="334"/>
      <c r="AU1288" s="334"/>
      <c r="AV1288" s="334"/>
      <c r="AW1288" s="334"/>
      <c r="AX1288" s="334"/>
      <c r="AY1288" s="334"/>
      <c r="AZ1288" s="334"/>
      <c r="BA1288" s="334"/>
      <c r="BB1288" s="334"/>
      <c r="BC1288" s="334"/>
      <c r="BD1288" s="334"/>
      <c r="BE1288" s="334"/>
      <c r="BF1288" s="334"/>
      <c r="BG1288" s="334"/>
      <c r="BI1288" s="334"/>
      <c r="BJ1288" s="334"/>
      <c r="BK1288" s="334"/>
      <c r="BL1288" s="334"/>
      <c r="BM1288" s="334"/>
      <c r="BN1288" s="334"/>
      <c r="BO1288" s="334"/>
      <c r="BP1288" s="334"/>
      <c r="BQ1288" s="334"/>
      <c r="BR1288" s="334"/>
      <c r="BS1288" s="334"/>
      <c r="BT1288" s="334"/>
      <c r="BU1288" s="334"/>
      <c r="BV1288" s="334"/>
      <c r="BW1288" s="334"/>
      <c r="BY1288" s="334"/>
      <c r="BZ1288" s="334"/>
      <c r="CA1288" s="334"/>
      <c r="CB1288" s="334"/>
      <c r="CC1288" s="334"/>
      <c r="CD1288" s="334"/>
      <c r="CE1288" s="334"/>
      <c r="CF1288" s="334"/>
      <c r="CG1288" s="334"/>
      <c r="CH1288" s="334"/>
      <c r="CI1288" s="334"/>
      <c r="CJ1288" s="334"/>
      <c r="CK1288" s="334"/>
      <c r="CL1288" s="334"/>
      <c r="CM1288" s="334"/>
      <c r="CO1288" s="334"/>
      <c r="CP1288" s="334"/>
      <c r="CQ1288" s="334"/>
      <c r="CR1288" s="334"/>
      <c r="CS1288" s="334"/>
      <c r="CT1288" s="334"/>
      <c r="CU1288" s="334"/>
      <c r="CV1288" s="334"/>
      <c r="CW1288" s="334"/>
      <c r="CX1288" s="334"/>
      <c r="CY1288" s="334"/>
      <c r="CZ1288" s="334"/>
      <c r="DA1288" s="334"/>
      <c r="DB1288" s="334"/>
      <c r="DC1288" s="334"/>
      <c r="DE1288" s="250"/>
    </row>
    <row r="1289" spans="1:109">
      <c r="A1289" s="45"/>
      <c r="B1289" s="100"/>
      <c r="C1289" s="100"/>
      <c r="D1289" s="100"/>
      <c r="E1289" s="100"/>
      <c r="F1289" s="330"/>
      <c r="G1289" s="100"/>
      <c r="H1289" s="100"/>
      <c r="I1289" s="100"/>
      <c r="J1289" s="100"/>
      <c r="K1289" s="100"/>
      <c r="L1289" s="100"/>
      <c r="M1289" s="100"/>
      <c r="N1289" s="45"/>
      <c r="O1289" s="100"/>
      <c r="P1289" s="331"/>
      <c r="Q1289" s="100"/>
      <c r="R1289" s="332"/>
      <c r="S1289" s="45"/>
      <c r="T1289" s="45"/>
      <c r="U1289" s="333"/>
      <c r="V1289" s="333"/>
      <c r="W1289" s="44"/>
      <c r="X1289" s="333"/>
      <c r="Y1289" s="333"/>
      <c r="Z1289" s="333"/>
      <c r="AA1289" s="333"/>
      <c r="AB1289" s="44"/>
      <c r="AC1289" s="333"/>
      <c r="AD1289" s="333"/>
      <c r="AE1289" s="333"/>
      <c r="AF1289" s="333"/>
      <c r="AG1289" s="44"/>
      <c r="AH1289" s="333"/>
      <c r="AI1289" s="333"/>
      <c r="AJ1289" s="333"/>
      <c r="AK1289" s="333"/>
      <c r="AL1289" s="44"/>
      <c r="AM1289" s="45"/>
      <c r="AN1289" s="100"/>
      <c r="AO1289" s="100"/>
      <c r="AP1289" s="100"/>
      <c r="AQ1289" s="100"/>
      <c r="AR1289" s="100"/>
      <c r="AS1289" s="334"/>
      <c r="AT1289" s="334"/>
      <c r="AU1289" s="334"/>
      <c r="AV1289" s="334"/>
      <c r="AW1289" s="334"/>
      <c r="AX1289" s="334"/>
      <c r="AY1289" s="334"/>
      <c r="AZ1289" s="334"/>
      <c r="BA1289" s="334"/>
      <c r="BB1289" s="334"/>
      <c r="BC1289" s="334"/>
      <c r="BD1289" s="334"/>
      <c r="BE1289" s="334"/>
      <c r="BF1289" s="334"/>
      <c r="BG1289" s="334"/>
      <c r="BI1289" s="334"/>
      <c r="BJ1289" s="334"/>
      <c r="BK1289" s="334"/>
      <c r="BL1289" s="334"/>
      <c r="BM1289" s="334"/>
      <c r="BN1289" s="334"/>
      <c r="BO1289" s="334"/>
      <c r="BP1289" s="334"/>
      <c r="BQ1289" s="334"/>
      <c r="BR1289" s="334"/>
      <c r="BS1289" s="334"/>
      <c r="BT1289" s="334"/>
      <c r="BU1289" s="334"/>
      <c r="BV1289" s="334"/>
      <c r="BW1289" s="334"/>
      <c r="BY1289" s="334"/>
      <c r="BZ1289" s="334"/>
      <c r="CA1289" s="334"/>
      <c r="CB1289" s="334"/>
      <c r="CC1289" s="334"/>
      <c r="CD1289" s="334"/>
      <c r="CE1289" s="334"/>
      <c r="CF1289" s="334"/>
      <c r="CG1289" s="334"/>
      <c r="CH1289" s="334"/>
      <c r="CI1289" s="334"/>
      <c r="CJ1289" s="334"/>
      <c r="CK1289" s="334"/>
      <c r="CL1289" s="334"/>
      <c r="CM1289" s="334"/>
      <c r="CO1289" s="334"/>
      <c r="CP1289" s="334"/>
      <c r="CQ1289" s="334"/>
      <c r="CR1289" s="334"/>
      <c r="CS1289" s="334"/>
      <c r="CT1289" s="334"/>
      <c r="CU1289" s="334"/>
      <c r="CV1289" s="334"/>
      <c r="CW1289" s="334"/>
      <c r="CX1289" s="334"/>
      <c r="CY1289" s="334"/>
      <c r="CZ1289" s="334"/>
      <c r="DA1289" s="334"/>
      <c r="DB1289" s="334"/>
      <c r="DC1289" s="334"/>
      <c r="DE1289" s="250"/>
    </row>
    <row r="1290" spans="1:109">
      <c r="A1290" s="45"/>
      <c r="B1290" s="100"/>
      <c r="C1290" s="100"/>
      <c r="D1290" s="100"/>
      <c r="E1290" s="100"/>
      <c r="F1290" s="330"/>
      <c r="G1290" s="100"/>
      <c r="H1290" s="100"/>
      <c r="I1290" s="100"/>
      <c r="J1290" s="100"/>
      <c r="K1290" s="100"/>
      <c r="L1290" s="100"/>
      <c r="M1290" s="100"/>
      <c r="N1290" s="45"/>
      <c r="O1290" s="100"/>
      <c r="P1290" s="331"/>
      <c r="Q1290" s="100"/>
      <c r="R1290" s="332"/>
      <c r="S1290" s="45"/>
      <c r="T1290" s="45"/>
      <c r="U1290" s="333"/>
      <c r="V1290" s="333"/>
      <c r="W1290" s="44"/>
      <c r="X1290" s="333"/>
      <c r="Y1290" s="333"/>
      <c r="Z1290" s="333"/>
      <c r="AA1290" s="333"/>
      <c r="AB1290" s="44"/>
      <c r="AC1290" s="333"/>
      <c r="AD1290" s="333"/>
      <c r="AE1290" s="333"/>
      <c r="AF1290" s="333"/>
      <c r="AG1290" s="44"/>
      <c r="AH1290" s="333"/>
      <c r="AI1290" s="333"/>
      <c r="AJ1290" s="333"/>
      <c r="AK1290" s="333"/>
      <c r="AL1290" s="44"/>
      <c r="AM1290" s="45"/>
      <c r="AN1290" s="100"/>
      <c r="AO1290" s="100"/>
      <c r="AP1290" s="100"/>
      <c r="AQ1290" s="100"/>
      <c r="AR1290" s="100"/>
      <c r="AS1290" s="334"/>
      <c r="AT1290" s="334"/>
      <c r="AU1290" s="334"/>
      <c r="AV1290" s="334"/>
      <c r="AW1290" s="334"/>
      <c r="AX1290" s="334"/>
      <c r="AY1290" s="334"/>
      <c r="AZ1290" s="334"/>
      <c r="BA1290" s="334"/>
      <c r="BB1290" s="334"/>
      <c r="BC1290" s="334"/>
      <c r="BD1290" s="334"/>
      <c r="BE1290" s="334"/>
      <c r="BF1290" s="334"/>
      <c r="BG1290" s="334"/>
      <c r="BI1290" s="334"/>
      <c r="BJ1290" s="334"/>
      <c r="BK1290" s="334"/>
      <c r="BL1290" s="334"/>
      <c r="BM1290" s="334"/>
      <c r="BN1290" s="334"/>
      <c r="BO1290" s="334"/>
      <c r="BP1290" s="334"/>
      <c r="BQ1290" s="334"/>
      <c r="BR1290" s="334"/>
      <c r="BS1290" s="334"/>
      <c r="BT1290" s="334"/>
      <c r="BU1290" s="334"/>
      <c r="BV1290" s="334"/>
      <c r="BW1290" s="334"/>
      <c r="BY1290" s="334"/>
      <c r="BZ1290" s="334"/>
      <c r="CA1290" s="334"/>
      <c r="CB1290" s="334"/>
      <c r="CC1290" s="334"/>
      <c r="CD1290" s="334"/>
      <c r="CE1290" s="334"/>
      <c r="CF1290" s="334"/>
      <c r="CG1290" s="334"/>
      <c r="CH1290" s="334"/>
      <c r="CI1290" s="334"/>
      <c r="CJ1290" s="334"/>
      <c r="CK1290" s="334"/>
      <c r="CL1290" s="334"/>
      <c r="CM1290" s="334"/>
      <c r="CO1290" s="334"/>
      <c r="CP1290" s="334"/>
      <c r="CQ1290" s="334"/>
      <c r="CR1290" s="334"/>
      <c r="CS1290" s="334"/>
      <c r="CT1290" s="334"/>
      <c r="CU1290" s="334"/>
      <c r="CV1290" s="334"/>
      <c r="CW1290" s="334"/>
      <c r="CX1290" s="334"/>
      <c r="CY1290" s="334"/>
      <c r="CZ1290" s="334"/>
      <c r="DA1290" s="334"/>
      <c r="DB1290" s="334"/>
      <c r="DC1290" s="334"/>
      <c r="DE1290" s="250"/>
    </row>
    <row r="1291" spans="1:109">
      <c r="A1291" s="45"/>
      <c r="B1291" s="100"/>
      <c r="C1291" s="100"/>
      <c r="D1291" s="100"/>
      <c r="E1291" s="100"/>
      <c r="F1291" s="330"/>
      <c r="G1291" s="100"/>
      <c r="H1291" s="100"/>
      <c r="I1291" s="100"/>
      <c r="J1291" s="100"/>
      <c r="K1291" s="100"/>
      <c r="L1291" s="100"/>
      <c r="M1291" s="100"/>
      <c r="N1291" s="45"/>
      <c r="O1291" s="100"/>
      <c r="P1291" s="331"/>
      <c r="Q1291" s="100"/>
      <c r="R1291" s="332"/>
      <c r="S1291" s="45"/>
      <c r="T1291" s="45"/>
      <c r="U1291" s="333"/>
      <c r="V1291" s="333"/>
      <c r="W1291" s="44"/>
      <c r="X1291" s="333"/>
      <c r="Y1291" s="333"/>
      <c r="Z1291" s="333"/>
      <c r="AA1291" s="333"/>
      <c r="AB1291" s="44"/>
      <c r="AC1291" s="333"/>
      <c r="AD1291" s="333"/>
      <c r="AE1291" s="333"/>
      <c r="AF1291" s="333"/>
      <c r="AG1291" s="44"/>
      <c r="AH1291" s="333"/>
      <c r="AI1291" s="333"/>
      <c r="AJ1291" s="333"/>
      <c r="AK1291" s="333"/>
      <c r="AL1291" s="44"/>
      <c r="AM1291" s="45"/>
      <c r="AN1291" s="100"/>
      <c r="AO1291" s="100"/>
      <c r="AP1291" s="100"/>
      <c r="AQ1291" s="100"/>
      <c r="AR1291" s="100"/>
      <c r="AS1291" s="334"/>
      <c r="AT1291" s="334"/>
      <c r="AU1291" s="334"/>
      <c r="AV1291" s="334"/>
      <c r="AW1291" s="334"/>
      <c r="AX1291" s="334"/>
      <c r="AY1291" s="334"/>
      <c r="AZ1291" s="334"/>
      <c r="BA1291" s="334"/>
      <c r="BB1291" s="334"/>
      <c r="BC1291" s="334"/>
      <c r="BD1291" s="334"/>
      <c r="BE1291" s="334"/>
      <c r="BF1291" s="334"/>
      <c r="BG1291" s="334"/>
      <c r="BI1291" s="334"/>
      <c r="BJ1291" s="334"/>
      <c r="BK1291" s="334"/>
      <c r="BL1291" s="334"/>
      <c r="BM1291" s="334"/>
      <c r="BN1291" s="334"/>
      <c r="BO1291" s="334"/>
      <c r="BP1291" s="334"/>
      <c r="BQ1291" s="334"/>
      <c r="BR1291" s="334"/>
      <c r="BS1291" s="334"/>
      <c r="BT1291" s="334"/>
      <c r="BU1291" s="334"/>
      <c r="BV1291" s="334"/>
      <c r="BW1291" s="334"/>
      <c r="BY1291" s="334"/>
      <c r="BZ1291" s="334"/>
      <c r="CA1291" s="334"/>
      <c r="CB1291" s="334"/>
      <c r="CC1291" s="334"/>
      <c r="CD1291" s="334"/>
      <c r="CE1291" s="334"/>
      <c r="CF1291" s="334"/>
      <c r="CG1291" s="334"/>
      <c r="CH1291" s="334"/>
      <c r="CI1291" s="334"/>
      <c r="CJ1291" s="334"/>
      <c r="CK1291" s="334"/>
      <c r="CL1291" s="334"/>
      <c r="CM1291" s="334"/>
      <c r="CO1291" s="334"/>
      <c r="CP1291" s="334"/>
      <c r="CQ1291" s="334"/>
      <c r="CR1291" s="334"/>
      <c r="CS1291" s="334"/>
      <c r="CT1291" s="334"/>
      <c r="CU1291" s="334"/>
      <c r="CV1291" s="334"/>
      <c r="CW1291" s="334"/>
      <c r="CX1291" s="334"/>
      <c r="CY1291" s="334"/>
      <c r="CZ1291" s="334"/>
      <c r="DA1291" s="334"/>
      <c r="DB1291" s="334"/>
      <c r="DC1291" s="334"/>
      <c r="DE1291" s="250"/>
    </row>
    <row r="1292" spans="1:109">
      <c r="A1292" s="45"/>
      <c r="B1292" s="100"/>
      <c r="C1292" s="100"/>
      <c r="D1292" s="100"/>
      <c r="E1292" s="100"/>
      <c r="F1292" s="330"/>
      <c r="G1292" s="100"/>
      <c r="H1292" s="100"/>
      <c r="I1292" s="100"/>
      <c r="J1292" s="100"/>
      <c r="K1292" s="100"/>
      <c r="L1292" s="100"/>
      <c r="M1292" s="100"/>
      <c r="N1292" s="45"/>
      <c r="O1292" s="100"/>
      <c r="P1292" s="331"/>
      <c r="Q1292" s="100"/>
      <c r="R1292" s="332"/>
      <c r="S1292" s="45"/>
      <c r="T1292" s="45"/>
      <c r="U1292" s="333"/>
      <c r="V1292" s="333"/>
      <c r="W1292" s="44"/>
      <c r="X1292" s="333"/>
      <c r="Y1292" s="333"/>
      <c r="Z1292" s="333"/>
      <c r="AA1292" s="333"/>
      <c r="AB1292" s="44"/>
      <c r="AC1292" s="333"/>
      <c r="AD1292" s="333"/>
      <c r="AE1292" s="333"/>
      <c r="AF1292" s="333"/>
      <c r="AG1292" s="44"/>
      <c r="AH1292" s="333"/>
      <c r="AI1292" s="333"/>
      <c r="AJ1292" s="333"/>
      <c r="AK1292" s="333"/>
      <c r="AL1292" s="44"/>
      <c r="AM1292" s="45"/>
      <c r="AN1292" s="100"/>
      <c r="AO1292" s="100"/>
      <c r="AP1292" s="100"/>
      <c r="AQ1292" s="100"/>
      <c r="AR1292" s="100"/>
      <c r="AS1292" s="334"/>
      <c r="AT1292" s="334"/>
      <c r="AU1292" s="334"/>
      <c r="AV1292" s="334"/>
      <c r="AW1292" s="334"/>
      <c r="AX1292" s="334"/>
      <c r="AY1292" s="334"/>
      <c r="AZ1292" s="334"/>
      <c r="BA1292" s="334"/>
      <c r="BB1292" s="334"/>
      <c r="BC1292" s="334"/>
      <c r="BD1292" s="334"/>
      <c r="BE1292" s="334"/>
      <c r="BF1292" s="334"/>
      <c r="BG1292" s="334"/>
      <c r="BI1292" s="334"/>
      <c r="BJ1292" s="334"/>
      <c r="BK1292" s="334"/>
      <c r="BL1292" s="334"/>
      <c r="BM1292" s="334"/>
      <c r="BN1292" s="334"/>
      <c r="BO1292" s="334"/>
      <c r="BP1292" s="334"/>
      <c r="BQ1292" s="334"/>
      <c r="BR1292" s="334"/>
      <c r="BS1292" s="334"/>
      <c r="BT1292" s="334"/>
      <c r="BU1292" s="334"/>
      <c r="BV1292" s="334"/>
      <c r="BW1292" s="334"/>
      <c r="BY1292" s="334"/>
      <c r="BZ1292" s="334"/>
      <c r="CA1292" s="334"/>
      <c r="CB1292" s="334"/>
      <c r="CC1292" s="334"/>
      <c r="CD1292" s="334"/>
      <c r="CE1292" s="334"/>
      <c r="CF1292" s="334"/>
      <c r="CG1292" s="334"/>
      <c r="CH1292" s="334"/>
      <c r="CI1292" s="334"/>
      <c r="CJ1292" s="334"/>
      <c r="CK1292" s="334"/>
      <c r="CL1292" s="334"/>
      <c r="CM1292" s="334"/>
      <c r="CO1292" s="334"/>
      <c r="CP1292" s="334"/>
      <c r="CQ1292" s="334"/>
      <c r="CR1292" s="334"/>
      <c r="CS1292" s="334"/>
      <c r="CT1292" s="334"/>
      <c r="CU1292" s="334"/>
      <c r="CV1292" s="334"/>
      <c r="CW1292" s="334"/>
      <c r="CX1292" s="334"/>
      <c r="CY1292" s="334"/>
      <c r="CZ1292" s="334"/>
      <c r="DA1292" s="334"/>
      <c r="DB1292" s="334"/>
      <c r="DC1292" s="334"/>
      <c r="DE1292" s="250"/>
    </row>
    <row r="1293" spans="1:109">
      <c r="A1293" s="45"/>
      <c r="B1293" s="100"/>
      <c r="C1293" s="100"/>
      <c r="D1293" s="100"/>
      <c r="E1293" s="100"/>
      <c r="F1293" s="330"/>
      <c r="G1293" s="100"/>
      <c r="H1293" s="100"/>
      <c r="I1293" s="100"/>
      <c r="J1293" s="100"/>
      <c r="K1293" s="100"/>
      <c r="L1293" s="100"/>
      <c r="M1293" s="100"/>
      <c r="N1293" s="45"/>
      <c r="O1293" s="100"/>
      <c r="P1293" s="331"/>
      <c r="Q1293" s="100"/>
      <c r="R1293" s="332"/>
      <c r="S1293" s="45"/>
      <c r="T1293" s="45"/>
      <c r="U1293" s="333"/>
      <c r="V1293" s="333"/>
      <c r="W1293" s="44"/>
      <c r="X1293" s="333"/>
      <c r="Y1293" s="333"/>
      <c r="Z1293" s="333"/>
      <c r="AA1293" s="333"/>
      <c r="AB1293" s="44"/>
      <c r="AC1293" s="333"/>
      <c r="AD1293" s="333"/>
      <c r="AE1293" s="333"/>
      <c r="AF1293" s="333"/>
      <c r="AG1293" s="44"/>
      <c r="AH1293" s="333"/>
      <c r="AI1293" s="333"/>
      <c r="AJ1293" s="333"/>
      <c r="AK1293" s="333"/>
      <c r="AL1293" s="44"/>
      <c r="AM1293" s="45"/>
      <c r="AN1293" s="100"/>
      <c r="AO1293" s="100"/>
      <c r="AP1293" s="100"/>
      <c r="AQ1293" s="100"/>
      <c r="AR1293" s="100"/>
      <c r="AS1293" s="334"/>
      <c r="AT1293" s="334"/>
      <c r="AU1293" s="334"/>
      <c r="AV1293" s="334"/>
      <c r="AW1293" s="334"/>
      <c r="AX1293" s="334"/>
      <c r="AY1293" s="334"/>
      <c r="AZ1293" s="334"/>
      <c r="BA1293" s="334"/>
      <c r="BB1293" s="334"/>
      <c r="BC1293" s="334"/>
      <c r="BD1293" s="334"/>
      <c r="BE1293" s="334"/>
      <c r="BF1293" s="334"/>
      <c r="BG1293" s="334"/>
      <c r="BI1293" s="334"/>
      <c r="BJ1293" s="334"/>
      <c r="BK1293" s="334"/>
      <c r="BL1293" s="334"/>
      <c r="BM1293" s="334"/>
      <c r="BN1293" s="334"/>
      <c r="BO1293" s="334"/>
      <c r="BP1293" s="334"/>
      <c r="BQ1293" s="334"/>
      <c r="BR1293" s="334"/>
      <c r="BS1293" s="334"/>
      <c r="BT1293" s="334"/>
      <c r="BU1293" s="334"/>
      <c r="BV1293" s="334"/>
      <c r="BW1293" s="334"/>
      <c r="BY1293" s="334"/>
      <c r="BZ1293" s="334"/>
      <c r="CA1293" s="334"/>
      <c r="CB1293" s="334"/>
      <c r="CC1293" s="334"/>
      <c r="CD1293" s="334"/>
      <c r="CE1293" s="334"/>
      <c r="CF1293" s="334"/>
      <c r="CG1293" s="334"/>
      <c r="CH1293" s="334"/>
      <c r="CI1293" s="334"/>
      <c r="CJ1293" s="334"/>
      <c r="CK1293" s="334"/>
      <c r="CL1293" s="334"/>
      <c r="CM1293" s="334"/>
      <c r="CO1293" s="334"/>
      <c r="CP1293" s="334"/>
      <c r="CQ1293" s="334"/>
      <c r="CR1293" s="334"/>
      <c r="CS1293" s="334"/>
      <c r="CT1293" s="334"/>
      <c r="CU1293" s="334"/>
      <c r="CV1293" s="334"/>
      <c r="CW1293" s="334"/>
      <c r="CX1293" s="334"/>
      <c r="CY1293" s="334"/>
      <c r="CZ1293" s="334"/>
      <c r="DA1293" s="334"/>
      <c r="DB1293" s="334"/>
      <c r="DC1293" s="334"/>
      <c r="DE1293" s="250"/>
    </row>
    <row r="1294" spans="1:109">
      <c r="A1294" s="45"/>
      <c r="B1294" s="100"/>
      <c r="C1294" s="100"/>
      <c r="D1294" s="100"/>
      <c r="E1294" s="100"/>
      <c r="F1294" s="330"/>
      <c r="G1294" s="100"/>
      <c r="H1294" s="100"/>
      <c r="I1294" s="100"/>
      <c r="J1294" s="100"/>
      <c r="K1294" s="100"/>
      <c r="L1294" s="100"/>
      <c r="M1294" s="100"/>
      <c r="N1294" s="45"/>
      <c r="O1294" s="100"/>
      <c r="P1294" s="331"/>
      <c r="Q1294" s="100"/>
      <c r="R1294" s="332"/>
      <c r="S1294" s="45"/>
      <c r="T1294" s="45"/>
      <c r="U1294" s="333"/>
      <c r="V1294" s="333"/>
      <c r="W1294" s="44"/>
      <c r="X1294" s="333"/>
      <c r="Y1294" s="333"/>
      <c r="Z1294" s="333"/>
      <c r="AA1294" s="333"/>
      <c r="AB1294" s="44"/>
      <c r="AC1294" s="333"/>
      <c r="AD1294" s="333"/>
      <c r="AE1294" s="333"/>
      <c r="AF1294" s="333"/>
      <c r="AG1294" s="44"/>
      <c r="AH1294" s="333"/>
      <c r="AI1294" s="333"/>
      <c r="AJ1294" s="333"/>
      <c r="AK1294" s="333"/>
      <c r="AL1294" s="44"/>
      <c r="AM1294" s="45"/>
      <c r="AN1294" s="100"/>
      <c r="AO1294" s="100"/>
      <c r="AP1294" s="100"/>
      <c r="AQ1294" s="100"/>
      <c r="AR1294" s="100"/>
      <c r="AS1294" s="334"/>
      <c r="AT1294" s="334"/>
      <c r="AU1294" s="334"/>
      <c r="AV1294" s="334"/>
      <c r="AW1294" s="334"/>
      <c r="AX1294" s="334"/>
      <c r="AY1294" s="334"/>
      <c r="AZ1294" s="334"/>
      <c r="BA1294" s="334"/>
      <c r="BB1294" s="334"/>
      <c r="BC1294" s="334"/>
      <c r="BD1294" s="334"/>
      <c r="BE1294" s="334"/>
      <c r="BF1294" s="334"/>
      <c r="BG1294" s="334"/>
      <c r="BI1294" s="334"/>
      <c r="BJ1294" s="334"/>
      <c r="BK1294" s="334"/>
      <c r="BL1294" s="334"/>
      <c r="BM1294" s="334"/>
      <c r="BN1294" s="334"/>
      <c r="BO1294" s="334"/>
      <c r="BP1294" s="334"/>
      <c r="BQ1294" s="334"/>
      <c r="BR1294" s="334"/>
      <c r="BS1294" s="334"/>
      <c r="BT1294" s="334"/>
      <c r="BU1294" s="334"/>
      <c r="BV1294" s="334"/>
      <c r="BW1294" s="334"/>
      <c r="BY1294" s="334"/>
      <c r="BZ1294" s="334"/>
      <c r="CA1294" s="334"/>
      <c r="CB1294" s="334"/>
      <c r="CC1294" s="334"/>
      <c r="CD1294" s="334"/>
      <c r="CE1294" s="334"/>
      <c r="CF1294" s="334"/>
      <c r="CG1294" s="334"/>
      <c r="CH1294" s="334"/>
      <c r="CI1294" s="334"/>
      <c r="CJ1294" s="334"/>
      <c r="CK1294" s="334"/>
      <c r="CL1294" s="334"/>
      <c r="CM1294" s="334"/>
      <c r="CO1294" s="334"/>
      <c r="CP1294" s="334"/>
      <c r="CQ1294" s="334"/>
      <c r="CR1294" s="334"/>
      <c r="CS1294" s="334"/>
      <c r="CT1294" s="334"/>
      <c r="CU1294" s="334"/>
      <c r="CV1294" s="334"/>
      <c r="CW1294" s="334"/>
      <c r="CX1294" s="334"/>
      <c r="CY1294" s="334"/>
      <c r="CZ1294" s="334"/>
      <c r="DA1294" s="334"/>
      <c r="DB1294" s="334"/>
      <c r="DC1294" s="334"/>
      <c r="DE1294" s="250"/>
    </row>
    <row r="1295" spans="1:109">
      <c r="A1295" s="45"/>
      <c r="B1295" s="100"/>
      <c r="C1295" s="100"/>
      <c r="D1295" s="100"/>
      <c r="E1295" s="100"/>
      <c r="F1295" s="330"/>
      <c r="G1295" s="100"/>
      <c r="H1295" s="100"/>
      <c r="I1295" s="100"/>
      <c r="J1295" s="100"/>
      <c r="K1295" s="100"/>
      <c r="L1295" s="100"/>
      <c r="M1295" s="100"/>
      <c r="N1295" s="45"/>
      <c r="O1295" s="100"/>
      <c r="P1295" s="331"/>
      <c r="Q1295" s="100"/>
      <c r="R1295" s="332"/>
      <c r="S1295" s="45"/>
      <c r="T1295" s="45"/>
      <c r="U1295" s="333"/>
      <c r="V1295" s="333"/>
      <c r="W1295" s="44"/>
      <c r="X1295" s="333"/>
      <c r="Y1295" s="333"/>
      <c r="Z1295" s="333"/>
      <c r="AA1295" s="333"/>
      <c r="AB1295" s="44"/>
      <c r="AC1295" s="333"/>
      <c r="AD1295" s="333"/>
      <c r="AE1295" s="333"/>
      <c r="AF1295" s="333"/>
      <c r="AG1295" s="44"/>
      <c r="AH1295" s="333"/>
      <c r="AI1295" s="333"/>
      <c r="AJ1295" s="333"/>
      <c r="AK1295" s="333"/>
      <c r="AL1295" s="44"/>
      <c r="AM1295" s="45"/>
      <c r="AN1295" s="100"/>
      <c r="AO1295" s="100"/>
      <c r="AP1295" s="100"/>
      <c r="AQ1295" s="100"/>
      <c r="AR1295" s="100"/>
      <c r="AS1295" s="334"/>
      <c r="AT1295" s="334"/>
      <c r="AU1295" s="334"/>
      <c r="AV1295" s="334"/>
      <c r="AW1295" s="334"/>
      <c r="AX1295" s="334"/>
      <c r="AY1295" s="334"/>
      <c r="AZ1295" s="334"/>
      <c r="BA1295" s="334"/>
      <c r="BB1295" s="334"/>
      <c r="BC1295" s="334"/>
      <c r="BD1295" s="334"/>
      <c r="BE1295" s="334"/>
      <c r="BF1295" s="334"/>
      <c r="BG1295" s="334"/>
      <c r="BI1295" s="334"/>
      <c r="BJ1295" s="334"/>
      <c r="BK1295" s="334"/>
      <c r="BL1295" s="334"/>
      <c r="BM1295" s="334"/>
      <c r="BN1295" s="334"/>
      <c r="BO1295" s="334"/>
      <c r="BP1295" s="334"/>
      <c r="BQ1295" s="334"/>
      <c r="BR1295" s="334"/>
      <c r="BS1295" s="334"/>
      <c r="BT1295" s="334"/>
      <c r="BU1295" s="334"/>
      <c r="BV1295" s="334"/>
      <c r="BW1295" s="334"/>
      <c r="BY1295" s="334"/>
      <c r="BZ1295" s="334"/>
      <c r="CA1295" s="334"/>
      <c r="CB1295" s="334"/>
      <c r="CC1295" s="334"/>
      <c r="CD1295" s="334"/>
      <c r="CE1295" s="334"/>
      <c r="CF1295" s="334"/>
      <c r="CG1295" s="334"/>
      <c r="CH1295" s="334"/>
      <c r="CI1295" s="334"/>
      <c r="CJ1295" s="334"/>
      <c r="CK1295" s="334"/>
      <c r="CL1295" s="334"/>
      <c r="CM1295" s="334"/>
      <c r="CO1295" s="334"/>
      <c r="CP1295" s="334"/>
      <c r="CQ1295" s="334"/>
      <c r="CR1295" s="334"/>
      <c r="CS1295" s="334"/>
      <c r="CT1295" s="334"/>
      <c r="CU1295" s="334"/>
      <c r="CV1295" s="334"/>
      <c r="CW1295" s="334"/>
      <c r="CX1295" s="334"/>
      <c r="CY1295" s="334"/>
      <c r="CZ1295" s="334"/>
      <c r="DA1295" s="334"/>
      <c r="DB1295" s="334"/>
      <c r="DC1295" s="334"/>
      <c r="DE1295" s="250"/>
    </row>
    <row r="1296" spans="1:109">
      <c r="A1296" s="45"/>
      <c r="B1296" s="100"/>
      <c r="C1296" s="100"/>
      <c r="D1296" s="100"/>
      <c r="E1296" s="100"/>
      <c r="F1296" s="330"/>
      <c r="G1296" s="100"/>
      <c r="H1296" s="100"/>
      <c r="I1296" s="100"/>
      <c r="J1296" s="100"/>
      <c r="K1296" s="100"/>
      <c r="L1296" s="100"/>
      <c r="M1296" s="100"/>
      <c r="N1296" s="45"/>
      <c r="O1296" s="100"/>
      <c r="P1296" s="331"/>
      <c r="Q1296" s="100"/>
      <c r="R1296" s="332"/>
      <c r="S1296" s="45"/>
      <c r="T1296" s="45"/>
      <c r="U1296" s="333"/>
      <c r="V1296" s="333"/>
      <c r="W1296" s="44"/>
      <c r="X1296" s="333"/>
      <c r="Y1296" s="333"/>
      <c r="Z1296" s="333"/>
      <c r="AA1296" s="333"/>
      <c r="AB1296" s="44"/>
      <c r="AC1296" s="333"/>
      <c r="AD1296" s="333"/>
      <c r="AE1296" s="333"/>
      <c r="AF1296" s="333"/>
      <c r="AG1296" s="44"/>
      <c r="AH1296" s="333"/>
      <c r="AI1296" s="333"/>
      <c r="AJ1296" s="333"/>
      <c r="AK1296" s="333"/>
      <c r="AL1296" s="44"/>
      <c r="AM1296" s="45"/>
      <c r="AN1296" s="100"/>
      <c r="AO1296" s="100"/>
      <c r="AP1296" s="100"/>
      <c r="AQ1296" s="100"/>
      <c r="AR1296" s="100"/>
      <c r="AS1296" s="334"/>
      <c r="AT1296" s="334"/>
      <c r="AU1296" s="334"/>
      <c r="AV1296" s="334"/>
      <c r="AW1296" s="334"/>
      <c r="AX1296" s="334"/>
      <c r="AY1296" s="334"/>
      <c r="AZ1296" s="334"/>
      <c r="BA1296" s="334"/>
      <c r="BB1296" s="334"/>
      <c r="BC1296" s="334"/>
      <c r="BD1296" s="334"/>
      <c r="BE1296" s="334"/>
      <c r="BF1296" s="334"/>
      <c r="BG1296" s="334"/>
      <c r="BI1296" s="334"/>
      <c r="BJ1296" s="334"/>
      <c r="BK1296" s="334"/>
      <c r="BL1296" s="334"/>
      <c r="BM1296" s="334"/>
      <c r="BN1296" s="334"/>
      <c r="BO1296" s="334"/>
      <c r="BP1296" s="334"/>
      <c r="BQ1296" s="334"/>
      <c r="BR1296" s="334"/>
      <c r="BS1296" s="334"/>
      <c r="BT1296" s="334"/>
      <c r="BU1296" s="334"/>
      <c r="BV1296" s="334"/>
      <c r="BW1296" s="334"/>
      <c r="BY1296" s="334"/>
      <c r="BZ1296" s="334"/>
      <c r="CA1296" s="334"/>
      <c r="CB1296" s="334"/>
      <c r="CC1296" s="334"/>
      <c r="CD1296" s="334"/>
      <c r="CE1296" s="334"/>
      <c r="CF1296" s="334"/>
      <c r="CG1296" s="334"/>
      <c r="CH1296" s="334"/>
      <c r="CI1296" s="334"/>
      <c r="CJ1296" s="334"/>
      <c r="CK1296" s="334"/>
      <c r="CL1296" s="334"/>
      <c r="CM1296" s="334"/>
      <c r="CO1296" s="334"/>
      <c r="CP1296" s="334"/>
      <c r="CQ1296" s="334"/>
      <c r="CR1296" s="334"/>
      <c r="CS1296" s="334"/>
      <c r="CT1296" s="334"/>
      <c r="CU1296" s="334"/>
      <c r="CV1296" s="334"/>
      <c r="CW1296" s="334"/>
      <c r="CX1296" s="334"/>
      <c r="CY1296" s="334"/>
      <c r="CZ1296" s="334"/>
      <c r="DA1296" s="334"/>
      <c r="DB1296" s="334"/>
      <c r="DC1296" s="334"/>
      <c r="DE1296" s="250"/>
    </row>
    <row r="1297" spans="1:109">
      <c r="A1297" s="45"/>
      <c r="B1297" s="100"/>
      <c r="C1297" s="100"/>
      <c r="D1297" s="100"/>
      <c r="E1297" s="100"/>
      <c r="F1297" s="330"/>
      <c r="G1297" s="100"/>
      <c r="H1297" s="100"/>
      <c r="I1297" s="100"/>
      <c r="J1297" s="100"/>
      <c r="K1297" s="100"/>
      <c r="L1297" s="100"/>
      <c r="M1297" s="100"/>
      <c r="N1297" s="45"/>
      <c r="O1297" s="100"/>
      <c r="P1297" s="331"/>
      <c r="Q1297" s="100"/>
      <c r="R1297" s="332"/>
      <c r="S1297" s="45"/>
      <c r="T1297" s="45"/>
      <c r="U1297" s="333"/>
      <c r="V1297" s="333"/>
      <c r="W1297" s="44"/>
      <c r="X1297" s="333"/>
      <c r="Y1297" s="333"/>
      <c r="Z1297" s="333"/>
      <c r="AA1297" s="333"/>
      <c r="AB1297" s="44"/>
      <c r="AC1297" s="333"/>
      <c r="AD1297" s="333"/>
      <c r="AE1297" s="333"/>
      <c r="AF1297" s="333"/>
      <c r="AG1297" s="44"/>
      <c r="AH1297" s="333"/>
      <c r="AI1297" s="333"/>
      <c r="AJ1297" s="333"/>
      <c r="AK1297" s="333"/>
      <c r="AL1297" s="44"/>
      <c r="AM1297" s="45"/>
      <c r="AN1297" s="100"/>
      <c r="AO1297" s="100"/>
      <c r="AP1297" s="100"/>
      <c r="AQ1297" s="100"/>
      <c r="AR1297" s="100"/>
      <c r="AS1297" s="334"/>
      <c r="AT1297" s="334"/>
      <c r="AU1297" s="334"/>
      <c r="AV1297" s="334"/>
      <c r="AW1297" s="334"/>
      <c r="AX1297" s="334"/>
      <c r="AY1297" s="334"/>
      <c r="AZ1297" s="334"/>
      <c r="BA1297" s="334"/>
      <c r="BB1297" s="334"/>
      <c r="BC1297" s="334"/>
      <c r="BD1297" s="334"/>
      <c r="BE1297" s="334"/>
      <c r="BF1297" s="334"/>
      <c r="BG1297" s="334"/>
      <c r="BI1297" s="334"/>
      <c r="BJ1297" s="334"/>
      <c r="BK1297" s="334"/>
      <c r="BL1297" s="334"/>
      <c r="BM1297" s="334"/>
      <c r="BN1297" s="334"/>
      <c r="BO1297" s="334"/>
      <c r="BP1297" s="334"/>
      <c r="BQ1297" s="334"/>
      <c r="BR1297" s="334"/>
      <c r="BS1297" s="334"/>
      <c r="BT1297" s="334"/>
      <c r="BU1297" s="334"/>
      <c r="BV1297" s="334"/>
      <c r="BW1297" s="334"/>
      <c r="BY1297" s="334"/>
      <c r="BZ1297" s="334"/>
      <c r="CA1297" s="334"/>
      <c r="CB1297" s="334"/>
      <c r="CC1297" s="334"/>
      <c r="CD1297" s="334"/>
      <c r="CE1297" s="334"/>
      <c r="CF1297" s="334"/>
      <c r="CG1297" s="334"/>
      <c r="CH1297" s="334"/>
      <c r="CI1297" s="334"/>
      <c r="CJ1297" s="334"/>
      <c r="CK1297" s="334"/>
      <c r="CL1297" s="334"/>
      <c r="CM1297" s="334"/>
      <c r="CO1297" s="334"/>
      <c r="CP1297" s="334"/>
      <c r="CQ1297" s="334"/>
      <c r="CR1297" s="334"/>
      <c r="CS1297" s="334"/>
      <c r="CT1297" s="334"/>
      <c r="CU1297" s="334"/>
      <c r="CV1297" s="334"/>
      <c r="CW1297" s="334"/>
      <c r="CX1297" s="334"/>
      <c r="CY1297" s="334"/>
      <c r="CZ1297" s="334"/>
      <c r="DA1297" s="334"/>
      <c r="DB1297" s="334"/>
      <c r="DC1297" s="334"/>
      <c r="DE1297" s="250"/>
    </row>
    <row r="1298" spans="1:109">
      <c r="A1298" s="45"/>
      <c r="B1298" s="100"/>
      <c r="C1298" s="100"/>
      <c r="D1298" s="100"/>
      <c r="E1298" s="100"/>
      <c r="F1298" s="330"/>
      <c r="G1298" s="100"/>
      <c r="H1298" s="100"/>
      <c r="I1298" s="100"/>
      <c r="J1298" s="100"/>
      <c r="K1298" s="100"/>
      <c r="L1298" s="100"/>
      <c r="M1298" s="100"/>
      <c r="N1298" s="45"/>
      <c r="O1298" s="100"/>
      <c r="P1298" s="331"/>
      <c r="Q1298" s="100"/>
      <c r="R1298" s="332"/>
      <c r="S1298" s="45"/>
      <c r="T1298" s="45"/>
      <c r="U1298" s="333"/>
      <c r="V1298" s="333"/>
      <c r="W1298" s="44"/>
      <c r="X1298" s="333"/>
      <c r="Y1298" s="333"/>
      <c r="Z1298" s="333"/>
      <c r="AA1298" s="333"/>
      <c r="AB1298" s="44"/>
      <c r="AC1298" s="333"/>
      <c r="AD1298" s="333"/>
      <c r="AE1298" s="333"/>
      <c r="AF1298" s="333"/>
      <c r="AG1298" s="44"/>
      <c r="AH1298" s="333"/>
      <c r="AI1298" s="333"/>
      <c r="AJ1298" s="333"/>
      <c r="AK1298" s="333"/>
      <c r="AL1298" s="44"/>
      <c r="AM1298" s="45"/>
      <c r="AN1298" s="100"/>
      <c r="AO1298" s="100"/>
      <c r="AP1298" s="100"/>
      <c r="AQ1298" s="100"/>
      <c r="AR1298" s="100"/>
      <c r="AS1298" s="334"/>
      <c r="AT1298" s="334"/>
      <c r="AU1298" s="334"/>
      <c r="AV1298" s="334"/>
      <c r="AW1298" s="334"/>
      <c r="AX1298" s="334"/>
      <c r="AY1298" s="334"/>
      <c r="AZ1298" s="334"/>
      <c r="BA1298" s="334"/>
      <c r="BB1298" s="334"/>
      <c r="BC1298" s="334"/>
      <c r="BD1298" s="334"/>
      <c r="BE1298" s="334"/>
      <c r="BF1298" s="334"/>
      <c r="BG1298" s="334"/>
      <c r="BI1298" s="334"/>
      <c r="BJ1298" s="334"/>
      <c r="BK1298" s="334"/>
      <c r="BL1298" s="334"/>
      <c r="BM1298" s="334"/>
      <c r="BN1298" s="334"/>
      <c r="BO1298" s="334"/>
      <c r="BP1298" s="334"/>
      <c r="BQ1298" s="334"/>
      <c r="BR1298" s="334"/>
      <c r="BS1298" s="334"/>
      <c r="BT1298" s="334"/>
      <c r="BU1298" s="334"/>
      <c r="BV1298" s="334"/>
      <c r="BW1298" s="334"/>
      <c r="BY1298" s="334"/>
      <c r="BZ1298" s="334"/>
      <c r="CA1298" s="334"/>
      <c r="CB1298" s="334"/>
      <c r="CC1298" s="334"/>
      <c r="CD1298" s="334"/>
      <c r="CE1298" s="334"/>
      <c r="CF1298" s="334"/>
      <c r="CG1298" s="334"/>
      <c r="CH1298" s="334"/>
      <c r="CI1298" s="334"/>
      <c r="CJ1298" s="334"/>
      <c r="CK1298" s="334"/>
      <c r="CL1298" s="334"/>
      <c r="CM1298" s="334"/>
      <c r="CO1298" s="334"/>
      <c r="CP1298" s="334"/>
      <c r="CQ1298" s="334"/>
      <c r="CR1298" s="334"/>
      <c r="CS1298" s="334"/>
      <c r="CT1298" s="334"/>
      <c r="CU1298" s="334"/>
      <c r="CV1298" s="334"/>
      <c r="CW1298" s="334"/>
      <c r="CX1298" s="334"/>
      <c r="CY1298" s="334"/>
      <c r="CZ1298" s="334"/>
      <c r="DA1298" s="334"/>
      <c r="DB1298" s="334"/>
      <c r="DC1298" s="334"/>
      <c r="DE1298" s="250"/>
    </row>
    <row r="1299" spans="1:109">
      <c r="A1299" s="45"/>
      <c r="B1299" s="100"/>
      <c r="C1299" s="100"/>
      <c r="D1299" s="100"/>
      <c r="E1299" s="100"/>
      <c r="F1299" s="330"/>
      <c r="G1299" s="100"/>
      <c r="H1299" s="100"/>
      <c r="I1299" s="100"/>
      <c r="J1299" s="100"/>
      <c r="K1299" s="100"/>
      <c r="L1299" s="100"/>
      <c r="M1299" s="100"/>
      <c r="N1299" s="45"/>
      <c r="O1299" s="100"/>
      <c r="P1299" s="331"/>
      <c r="Q1299" s="100"/>
      <c r="R1299" s="332"/>
      <c r="S1299" s="45"/>
      <c r="T1299" s="45"/>
      <c r="U1299" s="333"/>
      <c r="V1299" s="333"/>
      <c r="W1299" s="44"/>
      <c r="X1299" s="333"/>
      <c r="Y1299" s="333"/>
      <c r="Z1299" s="333"/>
      <c r="AA1299" s="333"/>
      <c r="AB1299" s="44"/>
      <c r="AC1299" s="333"/>
      <c r="AD1299" s="333"/>
      <c r="AE1299" s="333"/>
      <c r="AF1299" s="333"/>
      <c r="AG1299" s="44"/>
      <c r="AH1299" s="333"/>
      <c r="AI1299" s="333"/>
      <c r="AJ1299" s="333"/>
      <c r="AK1299" s="333"/>
      <c r="AL1299" s="44"/>
      <c r="AM1299" s="45"/>
      <c r="AN1299" s="100"/>
      <c r="AO1299" s="100"/>
      <c r="AP1299" s="100"/>
      <c r="AQ1299" s="100"/>
      <c r="AR1299" s="100"/>
      <c r="AS1299" s="334"/>
      <c r="AT1299" s="334"/>
      <c r="AU1299" s="334"/>
      <c r="AV1299" s="334"/>
      <c r="AW1299" s="334"/>
      <c r="AX1299" s="334"/>
      <c r="AY1299" s="334"/>
      <c r="AZ1299" s="334"/>
      <c r="BA1299" s="334"/>
      <c r="BB1299" s="334"/>
      <c r="BC1299" s="334"/>
      <c r="BD1299" s="334"/>
      <c r="BE1299" s="334"/>
      <c r="BF1299" s="334"/>
      <c r="BG1299" s="334"/>
      <c r="BI1299" s="334"/>
      <c r="BJ1299" s="334"/>
      <c r="BK1299" s="334"/>
      <c r="BL1299" s="334"/>
      <c r="BM1299" s="334"/>
      <c r="BN1299" s="334"/>
      <c r="BO1299" s="334"/>
      <c r="BP1299" s="334"/>
      <c r="BQ1299" s="334"/>
      <c r="BR1299" s="334"/>
      <c r="BS1299" s="334"/>
      <c r="BT1299" s="334"/>
      <c r="BU1299" s="334"/>
      <c r="BV1299" s="334"/>
      <c r="BW1299" s="334"/>
      <c r="BY1299" s="334"/>
      <c r="BZ1299" s="334"/>
      <c r="CA1299" s="334"/>
      <c r="CB1299" s="334"/>
      <c r="CC1299" s="334"/>
      <c r="CD1299" s="334"/>
      <c r="CE1299" s="334"/>
      <c r="CF1299" s="334"/>
      <c r="CG1299" s="334"/>
      <c r="CH1299" s="334"/>
      <c r="CI1299" s="334"/>
      <c r="CJ1299" s="334"/>
      <c r="CK1299" s="334"/>
      <c r="CL1299" s="334"/>
      <c r="CM1299" s="334"/>
      <c r="CO1299" s="334"/>
      <c r="CP1299" s="334"/>
      <c r="CQ1299" s="334"/>
      <c r="CR1299" s="334"/>
      <c r="CS1299" s="334"/>
      <c r="CT1299" s="334"/>
      <c r="CU1299" s="334"/>
      <c r="CV1299" s="334"/>
      <c r="CW1299" s="334"/>
      <c r="CX1299" s="334"/>
      <c r="CY1299" s="334"/>
      <c r="CZ1299" s="334"/>
      <c r="DA1299" s="334"/>
      <c r="DB1299" s="334"/>
      <c r="DC1299" s="334"/>
      <c r="DE1299" s="250"/>
    </row>
    <row r="1300" spans="1:109">
      <c r="A1300" s="45"/>
      <c r="B1300" s="100"/>
      <c r="C1300" s="100"/>
      <c r="D1300" s="100"/>
      <c r="E1300" s="100"/>
      <c r="F1300" s="330"/>
      <c r="G1300" s="100"/>
      <c r="H1300" s="100"/>
      <c r="I1300" s="100"/>
      <c r="J1300" s="100"/>
      <c r="K1300" s="100"/>
      <c r="L1300" s="100"/>
      <c r="M1300" s="100"/>
      <c r="N1300" s="45"/>
      <c r="O1300" s="100"/>
      <c r="P1300" s="331"/>
      <c r="Q1300" s="100"/>
      <c r="R1300" s="332"/>
      <c r="S1300" s="45"/>
      <c r="T1300" s="45"/>
      <c r="U1300" s="333"/>
      <c r="V1300" s="333"/>
      <c r="W1300" s="44"/>
      <c r="X1300" s="333"/>
      <c r="Y1300" s="333"/>
      <c r="Z1300" s="333"/>
      <c r="AA1300" s="333"/>
      <c r="AB1300" s="44"/>
      <c r="AC1300" s="333"/>
      <c r="AD1300" s="333"/>
      <c r="AE1300" s="333"/>
      <c r="AF1300" s="333"/>
      <c r="AG1300" s="44"/>
      <c r="AH1300" s="333"/>
      <c r="AI1300" s="333"/>
      <c r="AJ1300" s="333"/>
      <c r="AK1300" s="333"/>
      <c r="AL1300" s="44"/>
      <c r="AM1300" s="45"/>
      <c r="AN1300" s="100"/>
      <c r="AO1300" s="100"/>
      <c r="AP1300" s="100"/>
      <c r="AQ1300" s="100"/>
      <c r="AR1300" s="100"/>
      <c r="AS1300" s="334"/>
      <c r="AT1300" s="334"/>
      <c r="AU1300" s="334"/>
      <c r="AV1300" s="334"/>
      <c r="AW1300" s="334"/>
      <c r="AX1300" s="334"/>
      <c r="AY1300" s="334"/>
      <c r="AZ1300" s="334"/>
      <c r="BA1300" s="334"/>
      <c r="BB1300" s="334"/>
      <c r="BC1300" s="334"/>
      <c r="BD1300" s="334"/>
      <c r="BE1300" s="334"/>
      <c r="BF1300" s="334"/>
      <c r="BG1300" s="334"/>
      <c r="BI1300" s="334"/>
      <c r="BJ1300" s="334"/>
      <c r="BK1300" s="334"/>
      <c r="BL1300" s="334"/>
      <c r="BM1300" s="334"/>
      <c r="BN1300" s="334"/>
      <c r="BO1300" s="334"/>
      <c r="BP1300" s="334"/>
      <c r="BQ1300" s="334"/>
      <c r="BR1300" s="334"/>
      <c r="BS1300" s="334"/>
      <c r="BT1300" s="334"/>
      <c r="BU1300" s="334"/>
      <c r="BV1300" s="334"/>
      <c r="BW1300" s="334"/>
      <c r="BY1300" s="334"/>
      <c r="BZ1300" s="334"/>
      <c r="CA1300" s="334"/>
      <c r="CB1300" s="334"/>
      <c r="CC1300" s="334"/>
      <c r="CD1300" s="334"/>
      <c r="CE1300" s="334"/>
      <c r="CF1300" s="334"/>
      <c r="CG1300" s="334"/>
      <c r="CH1300" s="334"/>
      <c r="CI1300" s="334"/>
      <c r="CJ1300" s="334"/>
      <c r="CK1300" s="334"/>
      <c r="CL1300" s="334"/>
      <c r="CM1300" s="334"/>
      <c r="CO1300" s="334"/>
      <c r="CP1300" s="334"/>
      <c r="CQ1300" s="334"/>
      <c r="CR1300" s="334"/>
      <c r="CS1300" s="334"/>
      <c r="CT1300" s="334"/>
      <c r="CU1300" s="334"/>
      <c r="CV1300" s="334"/>
      <c r="CW1300" s="334"/>
      <c r="CX1300" s="334"/>
      <c r="CY1300" s="334"/>
      <c r="CZ1300" s="334"/>
      <c r="DA1300" s="334"/>
      <c r="DB1300" s="334"/>
      <c r="DC1300" s="334"/>
      <c r="DE1300" s="250"/>
    </row>
  </sheetData>
  <sheetProtection password="8BBE" sheet="1" objects="1" scenarios="1"/>
  <autoFilter ref="A3:DF1193" xr:uid="{00000000-0009-0000-0000-000000000000}"/>
  <mergeCells count="17">
    <mergeCell ref="AH2:AL2"/>
    <mergeCell ref="AC2:AG2"/>
    <mergeCell ref="X2:AB2"/>
    <mergeCell ref="U2:W2"/>
    <mergeCell ref="CO2:DD2"/>
    <mergeCell ref="BY2:CN2"/>
    <mergeCell ref="BI2:BX2"/>
    <mergeCell ref="AS2:BH2"/>
    <mergeCell ref="AM2:AR2"/>
    <mergeCell ref="A2:T2"/>
    <mergeCell ref="A1193:B1193"/>
    <mergeCell ref="A538:C538"/>
    <mergeCell ref="A696:C696"/>
    <mergeCell ref="A865:C865"/>
    <mergeCell ref="A916:C916"/>
    <mergeCell ref="A957:C957"/>
    <mergeCell ref="A1192:C1192"/>
  </mergeCells>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33"/>
  <sheetViews>
    <sheetView workbookViewId="0"/>
  </sheetViews>
  <sheetFormatPr baseColWidth="10" defaultRowHeight="13.8"/>
  <sheetData>
    <row r="2" spans="1:1" ht="64.8">
      <c r="A2" s="9" t="s">
        <v>1231</v>
      </c>
    </row>
    <row r="3" spans="1:1">
      <c r="A3" s="10" t="s">
        <v>1238</v>
      </c>
    </row>
    <row r="4" spans="1:1">
      <c r="A4" s="10" t="s">
        <v>1246</v>
      </c>
    </row>
    <row r="5" spans="1:1">
      <c r="A5" s="10" t="s">
        <v>1259</v>
      </c>
    </row>
    <row r="6" spans="1:1">
      <c r="A6" s="10" t="s">
        <v>1239</v>
      </c>
    </row>
    <row r="7" spans="1:1">
      <c r="A7" s="10" t="s">
        <v>1250</v>
      </c>
    </row>
    <row r="8" spans="1:1">
      <c r="A8" s="10" t="s">
        <v>1257</v>
      </c>
    </row>
    <row r="9" spans="1:1">
      <c r="A9" s="10" t="s">
        <v>1258</v>
      </c>
    </row>
    <row r="10" spans="1:1">
      <c r="A10" s="10" t="s">
        <v>1255</v>
      </c>
    </row>
    <row r="11" spans="1:1">
      <c r="A11" s="10" t="s">
        <v>1256</v>
      </c>
    </row>
    <row r="12" spans="1:1">
      <c r="A12" s="10" t="s">
        <v>1242</v>
      </c>
    </row>
    <row r="13" spans="1:1">
      <c r="A13" s="10" t="s">
        <v>1245</v>
      </c>
    </row>
    <row r="14" spans="1:1">
      <c r="A14" s="10" t="s">
        <v>1253</v>
      </c>
    </row>
    <row r="15" spans="1:1">
      <c r="A15" s="10" t="s">
        <v>1241</v>
      </c>
    </row>
    <row r="16" spans="1:1">
      <c r="A16" s="10" t="s">
        <v>1244</v>
      </c>
    </row>
    <row r="17" spans="1:1">
      <c r="A17" s="10" t="s">
        <v>1232</v>
      </c>
    </row>
    <row r="18" spans="1:1">
      <c r="A18" s="10" t="s">
        <v>1237</v>
      </c>
    </row>
    <row r="19" spans="1:1">
      <c r="A19" s="10" t="s">
        <v>1252</v>
      </c>
    </row>
    <row r="20" spans="1:1">
      <c r="A20" s="10" t="s">
        <v>1234</v>
      </c>
    </row>
    <row r="21" spans="1:1">
      <c r="A21" s="10" t="s">
        <v>1236</v>
      </c>
    </row>
    <row r="22" spans="1:1">
      <c r="A22" s="10" t="s">
        <v>1235</v>
      </c>
    </row>
    <row r="23" spans="1:1">
      <c r="A23" s="10" t="s">
        <v>1240</v>
      </c>
    </row>
    <row r="24" spans="1:1">
      <c r="A24" s="10" t="s">
        <v>1233</v>
      </c>
    </row>
    <row r="25" spans="1:1">
      <c r="A25" s="10" t="s">
        <v>1249</v>
      </c>
    </row>
    <row r="26" spans="1:1">
      <c r="A26" s="10" t="s">
        <v>1243</v>
      </c>
    </row>
    <row r="27" spans="1:1">
      <c r="A27" s="10" t="s">
        <v>1251</v>
      </c>
    </row>
    <row r="28" spans="1:1">
      <c r="A28" s="10" t="s">
        <v>1260</v>
      </c>
    </row>
    <row r="29" spans="1:1">
      <c r="A29" s="10" t="s">
        <v>1248</v>
      </c>
    </row>
    <row r="30" spans="1:1">
      <c r="A30" s="10" t="s">
        <v>1254</v>
      </c>
    </row>
    <row r="31" spans="1:1">
      <c r="A31" s="10" t="s">
        <v>1247</v>
      </c>
    </row>
    <row r="32" spans="1:1" ht="16.2">
      <c r="A32" s="8"/>
    </row>
    <row r="33" spans="1:1" ht="16.2">
      <c r="A33" s="8"/>
    </row>
  </sheetData>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196"/>
  <sheetViews>
    <sheetView workbookViewId="0"/>
  </sheetViews>
  <sheetFormatPr baseColWidth="10" defaultRowHeight="13.8"/>
  <sheetData>
    <row r="1" spans="1:51" ht="23.4">
      <c r="B1" s="51" t="s">
        <v>2344</v>
      </c>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3"/>
    </row>
    <row r="2" spans="1:51" ht="23.4">
      <c r="B2" s="83" t="s">
        <v>2345</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6"/>
    </row>
    <row r="3" spans="1:51" ht="30">
      <c r="B3" s="54" t="s">
        <v>2346</v>
      </c>
      <c r="C3" s="57" t="s">
        <v>2347</v>
      </c>
      <c r="D3" s="60" t="s">
        <v>2348</v>
      </c>
      <c r="E3" s="62" t="s">
        <v>2349</v>
      </c>
      <c r="F3" s="63"/>
      <c r="G3" s="63"/>
      <c r="H3" s="63"/>
      <c r="I3" s="35"/>
      <c r="J3" s="66" t="s">
        <v>2351</v>
      </c>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35"/>
      <c r="AT3" s="68" t="s">
        <v>2353</v>
      </c>
      <c r="AU3" s="69"/>
      <c r="AV3" s="69"/>
      <c r="AW3" s="70"/>
      <c r="AX3" s="35"/>
      <c r="AY3" s="36"/>
    </row>
    <row r="4" spans="1:51" ht="105">
      <c r="A4" s="11"/>
      <c r="B4" s="55"/>
      <c r="C4" s="58"/>
      <c r="D4" s="61"/>
      <c r="E4" s="64"/>
      <c r="F4" s="65"/>
      <c r="G4" s="65"/>
      <c r="H4" s="65"/>
      <c r="I4" s="84" t="s">
        <v>2350</v>
      </c>
      <c r="J4" s="74" t="s">
        <v>2356</v>
      </c>
      <c r="K4" s="75"/>
      <c r="L4" s="75"/>
      <c r="M4" s="75"/>
      <c r="N4" s="75"/>
      <c r="O4" s="76" t="s">
        <v>2357</v>
      </c>
      <c r="P4" s="76"/>
      <c r="Q4" s="76"/>
      <c r="R4" s="76"/>
      <c r="S4" s="76"/>
      <c r="T4" s="77" t="s">
        <v>2358</v>
      </c>
      <c r="U4" s="77"/>
      <c r="V4" s="77"/>
      <c r="W4" s="77"/>
      <c r="X4" s="77"/>
      <c r="Y4" s="82" t="s">
        <v>2359</v>
      </c>
      <c r="Z4" s="82"/>
      <c r="AA4" s="82"/>
      <c r="AB4" s="82"/>
      <c r="AC4" s="82"/>
      <c r="AD4" s="47" t="s">
        <v>2360</v>
      </c>
      <c r="AE4" s="47"/>
      <c r="AF4" s="47"/>
      <c r="AG4" s="47"/>
      <c r="AH4" s="47"/>
      <c r="AI4" s="48" t="s">
        <v>2361</v>
      </c>
      <c r="AJ4" s="48"/>
      <c r="AK4" s="48"/>
      <c r="AL4" s="48"/>
      <c r="AM4" s="48"/>
      <c r="AN4" s="49" t="s">
        <v>2362</v>
      </c>
      <c r="AO4" s="49"/>
      <c r="AP4" s="49"/>
      <c r="AQ4" s="49"/>
      <c r="AR4" s="50"/>
      <c r="AS4" s="86" t="s">
        <v>2352</v>
      </c>
      <c r="AT4" s="71"/>
      <c r="AU4" s="72"/>
      <c r="AV4" s="72"/>
      <c r="AW4" s="73"/>
      <c r="AX4" s="78" t="s">
        <v>2354</v>
      </c>
      <c r="AY4" s="80" t="s">
        <v>2355</v>
      </c>
    </row>
    <row r="5" spans="1:51" ht="105">
      <c r="A5" s="12"/>
      <c r="B5" s="56"/>
      <c r="C5" s="59"/>
      <c r="D5" s="61"/>
      <c r="E5" s="13">
        <v>2020</v>
      </c>
      <c r="F5" s="14">
        <v>2021</v>
      </c>
      <c r="G5" s="14">
        <v>2022</v>
      </c>
      <c r="H5" s="15">
        <v>2023</v>
      </c>
      <c r="I5" s="85"/>
      <c r="J5" s="16">
        <v>2020</v>
      </c>
      <c r="K5" s="17">
        <v>2021</v>
      </c>
      <c r="L5" s="17">
        <v>2022</v>
      </c>
      <c r="M5" s="17">
        <v>2023</v>
      </c>
      <c r="N5" s="17" t="s">
        <v>2363</v>
      </c>
      <c r="O5" s="18">
        <v>2020</v>
      </c>
      <c r="P5" s="18">
        <v>2021</v>
      </c>
      <c r="Q5" s="18">
        <v>2022</v>
      </c>
      <c r="R5" s="18">
        <v>2023</v>
      </c>
      <c r="S5" s="18" t="s">
        <v>2364</v>
      </c>
      <c r="T5" s="19">
        <v>2020</v>
      </c>
      <c r="U5" s="19">
        <v>2021</v>
      </c>
      <c r="V5" s="19">
        <v>2022</v>
      </c>
      <c r="W5" s="19">
        <v>2023</v>
      </c>
      <c r="X5" s="19" t="s">
        <v>2365</v>
      </c>
      <c r="Y5" s="20">
        <v>2020</v>
      </c>
      <c r="Z5" s="20">
        <v>2021</v>
      </c>
      <c r="AA5" s="20">
        <v>2022</v>
      </c>
      <c r="AB5" s="20">
        <v>2023</v>
      </c>
      <c r="AC5" s="20" t="s">
        <v>2366</v>
      </c>
      <c r="AD5" s="21">
        <v>2020</v>
      </c>
      <c r="AE5" s="21">
        <v>2021</v>
      </c>
      <c r="AF5" s="21">
        <v>2022</v>
      </c>
      <c r="AG5" s="21">
        <v>2023</v>
      </c>
      <c r="AH5" s="21" t="s">
        <v>2367</v>
      </c>
      <c r="AI5" s="22">
        <v>2020</v>
      </c>
      <c r="AJ5" s="22">
        <v>2021</v>
      </c>
      <c r="AK5" s="22">
        <v>2022</v>
      </c>
      <c r="AL5" s="22">
        <v>2023</v>
      </c>
      <c r="AM5" s="22" t="s">
        <v>2368</v>
      </c>
      <c r="AN5" s="23">
        <v>2020</v>
      </c>
      <c r="AO5" s="23">
        <v>2021</v>
      </c>
      <c r="AP5" s="23">
        <v>2022</v>
      </c>
      <c r="AQ5" s="23">
        <v>2023</v>
      </c>
      <c r="AR5" s="24" t="s">
        <v>2369</v>
      </c>
      <c r="AS5" s="87"/>
      <c r="AT5" s="25">
        <v>2020</v>
      </c>
      <c r="AU5" s="26">
        <v>2021</v>
      </c>
      <c r="AV5" s="26">
        <v>2022</v>
      </c>
      <c r="AW5" s="27">
        <v>2023</v>
      </c>
      <c r="AX5" s="79"/>
      <c r="AY5" s="81"/>
    </row>
    <row r="6" spans="1:51" ht="105">
      <c r="B6" s="28">
        <v>1</v>
      </c>
      <c r="C6" s="92" t="s">
        <v>2370</v>
      </c>
      <c r="D6" s="92"/>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8"/>
      <c r="AT6" s="38"/>
      <c r="AU6" s="38"/>
      <c r="AV6" s="38"/>
      <c r="AW6" s="38"/>
      <c r="AX6" s="38"/>
      <c r="AY6" s="38"/>
    </row>
    <row r="7" spans="1:51" ht="75">
      <c r="B7" s="29" t="s">
        <v>680</v>
      </c>
      <c r="C7" s="88" t="s">
        <v>2371</v>
      </c>
      <c r="D7" s="88"/>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row>
    <row r="8" spans="1:51" ht="39.6">
      <c r="A8">
        <v>1</v>
      </c>
      <c r="B8" s="30" t="s">
        <v>2372</v>
      </c>
      <c r="C8" s="31" t="s">
        <v>2373</v>
      </c>
      <c r="D8" s="32" t="s">
        <v>2374</v>
      </c>
      <c r="E8" s="40">
        <v>50000000</v>
      </c>
      <c r="F8" s="40"/>
      <c r="G8" s="40"/>
      <c r="H8" s="40"/>
      <c r="I8" s="40">
        <f>SUM(E8:H8)</f>
        <v>50000000</v>
      </c>
      <c r="J8" s="40">
        <v>85236766094.699997</v>
      </c>
      <c r="K8" s="40">
        <v>87793869077.541</v>
      </c>
      <c r="L8" s="40">
        <v>90427685149.867233</v>
      </c>
      <c r="M8" s="40">
        <v>93140515704.363251</v>
      </c>
      <c r="N8" s="40">
        <f>SUM(J8:M8)</f>
        <v>356598836026.47144</v>
      </c>
      <c r="O8" s="40">
        <v>989325000</v>
      </c>
      <c r="P8" s="40">
        <v>1033003698.83</v>
      </c>
      <c r="Q8" s="40">
        <v>1064888716.0311249</v>
      </c>
      <c r="R8" s="40">
        <v>1107484264.6723702</v>
      </c>
      <c r="S8" s="40">
        <f>SUM(O8:R8)</f>
        <v>4194701679.5334949</v>
      </c>
      <c r="T8" s="40">
        <v>107816085</v>
      </c>
      <c r="U8" s="40">
        <v>425462042.69999999</v>
      </c>
      <c r="V8" s="40">
        <v>446735144.83499998</v>
      </c>
      <c r="W8" s="40">
        <v>473539253.52509999</v>
      </c>
      <c r="X8" s="40">
        <f>SUM(T8:W8)</f>
        <v>1453552526.0601001</v>
      </c>
      <c r="Y8" s="40"/>
      <c r="Z8" s="40"/>
      <c r="AA8" s="40"/>
      <c r="AB8" s="40"/>
      <c r="AC8" s="40">
        <f>SUM(Y8:AB8)</f>
        <v>0</v>
      </c>
      <c r="AD8" s="40"/>
      <c r="AE8" s="40"/>
      <c r="AF8" s="40"/>
      <c r="AG8" s="40"/>
      <c r="AH8" s="40">
        <f>SUM(AD8:AG8)</f>
        <v>0</v>
      </c>
      <c r="AI8" s="40"/>
      <c r="AJ8" s="40"/>
      <c r="AK8" s="40"/>
      <c r="AL8" s="40"/>
      <c r="AM8" s="40">
        <f>SUM(AI8:AL8)</f>
        <v>0</v>
      </c>
      <c r="AN8" s="40"/>
      <c r="AO8" s="40"/>
      <c r="AP8" s="40"/>
      <c r="AQ8" s="40"/>
      <c r="AR8" s="40">
        <f>SUM(AN8:AQ8)</f>
        <v>0</v>
      </c>
      <c r="AS8" s="40">
        <f t="shared" ref="AS8:AS13" si="0">SUM(AR8+AM8+AH8+AC8+X8+S8+N8)</f>
        <v>362247090232.065</v>
      </c>
      <c r="AT8" s="40"/>
      <c r="AU8" s="40"/>
      <c r="AV8" s="40"/>
      <c r="AW8" s="40"/>
      <c r="AX8" s="40">
        <f>SUM(AT8:AW8)</f>
        <v>0</v>
      </c>
      <c r="AY8" s="40">
        <f>SUM(AX8+AS8+I8)</f>
        <v>362297090232.065</v>
      </c>
    </row>
    <row r="9" spans="1:51" ht="52.8">
      <c r="A9">
        <v>2</v>
      </c>
      <c r="B9" s="30" t="s">
        <v>2375</v>
      </c>
      <c r="C9" s="31" t="s">
        <v>2376</v>
      </c>
      <c r="D9" s="32" t="s">
        <v>2374</v>
      </c>
      <c r="E9" s="40">
        <v>41463224373.970001</v>
      </c>
      <c r="F9" s="40">
        <v>36611500000</v>
      </c>
      <c r="G9" s="40">
        <v>41195445000</v>
      </c>
      <c r="H9" s="40">
        <v>38832808350</v>
      </c>
      <c r="I9" s="40">
        <f t="shared" ref="I9:I68" si="1">SUM(E9:H9)</f>
        <v>158102977723.97</v>
      </c>
      <c r="J9" s="40">
        <v>235183588064.20001</v>
      </c>
      <c r="K9" s="40">
        <v>242239095706.12604</v>
      </c>
      <c r="L9" s="40">
        <v>249506268577.30981</v>
      </c>
      <c r="M9" s="40">
        <v>256991456634.62909</v>
      </c>
      <c r="N9" s="40">
        <f t="shared" ref="N9:N68" si="2">SUM(J9:M9)</f>
        <v>983920408982.26489</v>
      </c>
      <c r="O9" s="40">
        <v>35925836471.448196</v>
      </c>
      <c r="P9" s="40">
        <v>37514883564.321602</v>
      </c>
      <c r="Q9" s="40">
        <v>38681656033.551445</v>
      </c>
      <c r="R9" s="40">
        <v>40234000973.638443</v>
      </c>
      <c r="S9" s="40">
        <f t="shared" ref="S9:S68" si="3">SUM(O9:R9)</f>
        <v>152356377042.95972</v>
      </c>
      <c r="T9" s="40">
        <v>287509560.25999999</v>
      </c>
      <c r="U9" s="40">
        <v>1134565447.2</v>
      </c>
      <c r="V9" s="40">
        <v>1191293719.5600002</v>
      </c>
      <c r="W9" s="40">
        <v>1262771342.7336001</v>
      </c>
      <c r="X9" s="40">
        <f t="shared" ref="X9:X68" si="4">SUM(T9:W9)</f>
        <v>3876140069.7536006</v>
      </c>
      <c r="Y9" s="40"/>
      <c r="Z9" s="40"/>
      <c r="AA9" s="40"/>
      <c r="AB9" s="40"/>
      <c r="AC9" s="40">
        <f t="shared" ref="AC9:AC68" si="5">SUM(Y9:AB9)</f>
        <v>0</v>
      </c>
      <c r="AD9" s="40"/>
      <c r="AE9" s="40"/>
      <c r="AF9" s="40"/>
      <c r="AG9" s="40"/>
      <c r="AH9" s="40">
        <f t="shared" ref="AH9:AH68" si="6">SUM(AD9:AG9)</f>
        <v>0</v>
      </c>
      <c r="AI9" s="40"/>
      <c r="AJ9" s="40"/>
      <c r="AK9" s="40"/>
      <c r="AL9" s="40"/>
      <c r="AM9" s="40">
        <f t="shared" ref="AM9:AM68" si="7">SUM(AI9:AL9)</f>
        <v>0</v>
      </c>
      <c r="AN9" s="40"/>
      <c r="AO9" s="40"/>
      <c r="AP9" s="40"/>
      <c r="AQ9" s="40"/>
      <c r="AR9" s="40">
        <f t="shared" ref="AR9:AR68" si="8">SUM(AN9:AQ9)</f>
        <v>0</v>
      </c>
      <c r="AS9" s="40">
        <f t="shared" si="0"/>
        <v>1140152926094.9783</v>
      </c>
      <c r="AT9" s="40"/>
      <c r="AU9" s="40"/>
      <c r="AV9" s="40"/>
      <c r="AW9" s="40"/>
      <c r="AX9" s="40">
        <f t="shared" ref="AX9:AX68" si="9">SUM(AT9:AW9)</f>
        <v>0</v>
      </c>
      <c r="AY9" s="40">
        <f t="shared" ref="AY9:AY69" si="10">SUM(AX9+AS9+I9)</f>
        <v>1298255903818.9482</v>
      </c>
    </row>
    <row r="10" spans="1:51" ht="52.8">
      <c r="A10">
        <v>3</v>
      </c>
      <c r="B10" s="30" t="s">
        <v>2377</v>
      </c>
      <c r="C10" s="31" t="s">
        <v>2378</v>
      </c>
      <c r="D10" s="32" t="s">
        <v>2374</v>
      </c>
      <c r="E10" s="40"/>
      <c r="F10" s="40"/>
      <c r="G10" s="40"/>
      <c r="H10" s="40"/>
      <c r="I10" s="40">
        <f t="shared" si="1"/>
        <v>0</v>
      </c>
      <c r="J10" s="40">
        <v>85236766094.699997</v>
      </c>
      <c r="K10" s="40">
        <v>87793869077.541</v>
      </c>
      <c r="L10" s="40">
        <v>90427685149.867233</v>
      </c>
      <c r="M10" s="40">
        <v>93140515704.363251</v>
      </c>
      <c r="N10" s="40">
        <f t="shared" si="2"/>
        <v>356598836026.47144</v>
      </c>
      <c r="O10" s="40">
        <v>989325000</v>
      </c>
      <c r="P10" s="40">
        <v>1033003698.85</v>
      </c>
      <c r="Q10" s="40">
        <v>1064888716.0311249</v>
      </c>
      <c r="R10" s="40">
        <v>1107484264.6723702</v>
      </c>
      <c r="S10" s="40">
        <f t="shared" si="3"/>
        <v>4194701679.5534954</v>
      </c>
      <c r="T10" s="40">
        <v>107816085</v>
      </c>
      <c r="U10" s="40">
        <v>425462042.69999999</v>
      </c>
      <c r="V10" s="40">
        <v>446735144.83499998</v>
      </c>
      <c r="W10" s="40">
        <v>473539253.52509999</v>
      </c>
      <c r="X10" s="40">
        <f t="shared" si="4"/>
        <v>1453552526.0601001</v>
      </c>
      <c r="Y10" s="40"/>
      <c r="Z10" s="40"/>
      <c r="AA10" s="40"/>
      <c r="AB10" s="40"/>
      <c r="AC10" s="40">
        <f t="shared" si="5"/>
        <v>0</v>
      </c>
      <c r="AD10" s="40"/>
      <c r="AE10" s="40"/>
      <c r="AF10" s="40"/>
      <c r="AG10" s="40"/>
      <c r="AH10" s="40">
        <f t="shared" si="6"/>
        <v>0</v>
      </c>
      <c r="AI10" s="40"/>
      <c r="AJ10" s="40"/>
      <c r="AK10" s="40"/>
      <c r="AL10" s="40"/>
      <c r="AM10" s="40">
        <f t="shared" si="7"/>
        <v>0</v>
      </c>
      <c r="AN10" s="40"/>
      <c r="AO10" s="40"/>
      <c r="AP10" s="40"/>
      <c r="AQ10" s="40"/>
      <c r="AR10" s="40">
        <f t="shared" si="8"/>
        <v>0</v>
      </c>
      <c r="AS10" s="40">
        <f t="shared" si="0"/>
        <v>362247090232.08502</v>
      </c>
      <c r="AT10" s="40"/>
      <c r="AU10" s="40"/>
      <c r="AV10" s="40"/>
      <c r="AW10" s="40"/>
      <c r="AX10" s="40">
        <f t="shared" si="9"/>
        <v>0</v>
      </c>
      <c r="AY10" s="40">
        <f t="shared" si="10"/>
        <v>362247090232.08502</v>
      </c>
    </row>
    <row r="11" spans="1:51" ht="39.6">
      <c r="A11">
        <v>4</v>
      </c>
      <c r="B11" s="30" t="s">
        <v>2379</v>
      </c>
      <c r="C11" s="31" t="s">
        <v>2380</v>
      </c>
      <c r="D11" s="32" t="s">
        <v>2374</v>
      </c>
      <c r="E11" s="40">
        <v>500000000</v>
      </c>
      <c r="F11" s="40">
        <v>520000000</v>
      </c>
      <c r="G11" s="40">
        <v>550000000</v>
      </c>
      <c r="H11" s="40">
        <v>560000000</v>
      </c>
      <c r="I11" s="40">
        <f t="shared" si="1"/>
        <v>2130000000</v>
      </c>
      <c r="J11" s="40">
        <v>85516766094.699997</v>
      </c>
      <c r="K11" s="40">
        <v>88082269077.541</v>
      </c>
      <c r="L11" s="40">
        <v>90724737149.867233</v>
      </c>
      <c r="M11" s="40">
        <v>93446479264.363251</v>
      </c>
      <c r="N11" s="40">
        <f t="shared" si="2"/>
        <v>357770251586.47144</v>
      </c>
      <c r="O11" s="40">
        <v>475026539.55180001</v>
      </c>
      <c r="P11" s="40">
        <v>493077548.05476844</v>
      </c>
      <c r="Q11" s="40">
        <v>507869874.4964115</v>
      </c>
      <c r="R11" s="40">
        <v>523105970.73130387</v>
      </c>
      <c r="S11" s="40">
        <f t="shared" si="3"/>
        <v>1999079932.8342838</v>
      </c>
      <c r="T11" s="40">
        <v>107816085</v>
      </c>
      <c r="U11" s="40">
        <v>425462042.69999999</v>
      </c>
      <c r="V11" s="40">
        <v>446735144.83499998</v>
      </c>
      <c r="W11" s="40">
        <v>473539253.52509999</v>
      </c>
      <c r="X11" s="40">
        <f t="shared" si="4"/>
        <v>1453552526.0601001</v>
      </c>
      <c r="Y11" s="40"/>
      <c r="Z11" s="40"/>
      <c r="AA11" s="40"/>
      <c r="AB11" s="40"/>
      <c r="AC11" s="40">
        <f t="shared" si="5"/>
        <v>0</v>
      </c>
      <c r="AD11" s="40"/>
      <c r="AE11" s="40"/>
      <c r="AF11" s="40"/>
      <c r="AG11" s="40"/>
      <c r="AH11" s="40">
        <f t="shared" si="6"/>
        <v>0</v>
      </c>
      <c r="AI11" s="40"/>
      <c r="AJ11" s="40"/>
      <c r="AK11" s="40"/>
      <c r="AL11" s="40"/>
      <c r="AM11" s="40">
        <f t="shared" si="7"/>
        <v>0</v>
      </c>
      <c r="AN11" s="40"/>
      <c r="AO11" s="40"/>
      <c r="AP11" s="40"/>
      <c r="AQ11" s="40"/>
      <c r="AR11" s="40">
        <f t="shared" si="8"/>
        <v>0</v>
      </c>
      <c r="AS11" s="40">
        <f t="shared" si="0"/>
        <v>361222884045.36584</v>
      </c>
      <c r="AT11" s="40"/>
      <c r="AU11" s="40"/>
      <c r="AV11" s="40"/>
      <c r="AW11" s="40"/>
      <c r="AX11" s="40">
        <f t="shared" si="9"/>
        <v>0</v>
      </c>
      <c r="AY11" s="40">
        <f t="shared" si="10"/>
        <v>363352884045.36584</v>
      </c>
    </row>
    <row r="12" spans="1:51" ht="92.4">
      <c r="A12">
        <v>5</v>
      </c>
      <c r="B12" s="30" t="s">
        <v>2381</v>
      </c>
      <c r="C12" s="31" t="s">
        <v>2382</v>
      </c>
      <c r="D12" s="32" t="s">
        <v>2374</v>
      </c>
      <c r="E12" s="40"/>
      <c r="F12" s="40"/>
      <c r="G12" s="40">
        <v>3500000000</v>
      </c>
      <c r="H12" s="40"/>
      <c r="I12" s="40">
        <f t="shared" si="1"/>
        <v>3500000000</v>
      </c>
      <c r="J12" s="40">
        <v>0</v>
      </c>
      <c r="K12" s="40">
        <v>0</v>
      </c>
      <c r="L12" s="40">
        <v>0</v>
      </c>
      <c r="M12" s="40">
        <v>0</v>
      </c>
      <c r="N12" s="40">
        <f t="shared" si="2"/>
        <v>0</v>
      </c>
      <c r="O12" s="40">
        <v>157236054</v>
      </c>
      <c r="P12" s="40">
        <v>164261802.7841</v>
      </c>
      <c r="Q12" s="40">
        <v>169370344.85068548</v>
      </c>
      <c r="R12" s="40">
        <v>176145159.68471241</v>
      </c>
      <c r="S12" s="40">
        <f t="shared" si="3"/>
        <v>667013361.31949782</v>
      </c>
      <c r="T12" s="40"/>
      <c r="U12" s="40"/>
      <c r="V12" s="40"/>
      <c r="W12" s="40"/>
      <c r="X12" s="40">
        <f t="shared" si="4"/>
        <v>0</v>
      </c>
      <c r="Y12" s="40"/>
      <c r="Z12" s="40"/>
      <c r="AA12" s="40"/>
      <c r="AB12" s="40"/>
      <c r="AC12" s="40">
        <f t="shared" si="5"/>
        <v>0</v>
      </c>
      <c r="AD12" s="40"/>
      <c r="AE12" s="40"/>
      <c r="AF12" s="40"/>
      <c r="AG12" s="40"/>
      <c r="AH12" s="40">
        <f t="shared" si="6"/>
        <v>0</v>
      </c>
      <c r="AI12" s="40"/>
      <c r="AJ12" s="40"/>
      <c r="AK12" s="40"/>
      <c r="AL12" s="40"/>
      <c r="AM12" s="40">
        <f t="shared" si="7"/>
        <v>0</v>
      </c>
      <c r="AN12" s="40"/>
      <c r="AO12" s="40"/>
      <c r="AP12" s="40"/>
      <c r="AQ12" s="40"/>
      <c r="AR12" s="40">
        <f t="shared" si="8"/>
        <v>0</v>
      </c>
      <c r="AS12" s="40">
        <f t="shared" si="0"/>
        <v>667013361.31949782</v>
      </c>
      <c r="AT12" s="40"/>
      <c r="AU12" s="40"/>
      <c r="AV12" s="40"/>
      <c r="AW12" s="40"/>
      <c r="AX12" s="40">
        <f t="shared" si="9"/>
        <v>0</v>
      </c>
      <c r="AY12" s="40">
        <f t="shared" si="10"/>
        <v>4167013361.3194981</v>
      </c>
    </row>
    <row r="13" spans="1:51" ht="66">
      <c r="A13">
        <v>6</v>
      </c>
      <c r="B13" s="30" t="s">
        <v>2383</v>
      </c>
      <c r="C13" s="31" t="s">
        <v>2384</v>
      </c>
      <c r="D13" s="32" t="s">
        <v>2374</v>
      </c>
      <c r="E13" s="40"/>
      <c r="F13" s="40"/>
      <c r="G13" s="40"/>
      <c r="H13" s="40"/>
      <c r="I13" s="40">
        <f t="shared" si="1"/>
        <v>0</v>
      </c>
      <c r="J13" s="40">
        <v>87116766094.699997</v>
      </c>
      <c r="K13" s="40">
        <v>89730269077.541</v>
      </c>
      <c r="L13" s="40">
        <v>92422177149.867233</v>
      </c>
      <c r="M13" s="40">
        <v>95194842464.363251</v>
      </c>
      <c r="N13" s="40">
        <f t="shared" si="2"/>
        <v>364464054786.47144</v>
      </c>
      <c r="O13" s="40"/>
      <c r="P13" s="40"/>
      <c r="Q13" s="40"/>
      <c r="R13" s="40"/>
      <c r="S13" s="40">
        <f t="shared" si="3"/>
        <v>0</v>
      </c>
      <c r="T13" s="40">
        <v>107816085</v>
      </c>
      <c r="U13" s="40">
        <v>425462042.69999999</v>
      </c>
      <c r="V13" s="40">
        <v>446735144.83499998</v>
      </c>
      <c r="W13" s="40">
        <v>473539253.52780002</v>
      </c>
      <c r="X13" s="40">
        <f t="shared" si="4"/>
        <v>1453552526.0627999</v>
      </c>
      <c r="Y13" s="40"/>
      <c r="Z13" s="40"/>
      <c r="AA13" s="40"/>
      <c r="AB13" s="40"/>
      <c r="AC13" s="40">
        <f t="shared" si="5"/>
        <v>0</v>
      </c>
      <c r="AD13" s="40"/>
      <c r="AE13" s="40"/>
      <c r="AF13" s="40"/>
      <c r="AG13" s="40"/>
      <c r="AH13" s="40">
        <f t="shared" si="6"/>
        <v>0</v>
      </c>
      <c r="AI13" s="40"/>
      <c r="AJ13" s="40"/>
      <c r="AK13" s="40"/>
      <c r="AL13" s="40"/>
      <c r="AM13" s="40">
        <f t="shared" si="7"/>
        <v>0</v>
      </c>
      <c r="AN13" s="40"/>
      <c r="AO13" s="40"/>
      <c r="AP13" s="40"/>
      <c r="AQ13" s="40"/>
      <c r="AR13" s="40">
        <f t="shared" si="8"/>
        <v>0</v>
      </c>
      <c r="AS13" s="40">
        <f t="shared" si="0"/>
        <v>365917607312.53424</v>
      </c>
      <c r="AT13" s="40"/>
      <c r="AU13" s="40"/>
      <c r="AV13" s="40"/>
      <c r="AW13" s="40"/>
      <c r="AX13" s="40">
        <f t="shared" si="9"/>
        <v>0</v>
      </c>
      <c r="AY13" s="40">
        <f t="shared" si="10"/>
        <v>365917607312.53424</v>
      </c>
    </row>
    <row r="14" spans="1:51" ht="69">
      <c r="B14" s="89" t="s">
        <v>2385</v>
      </c>
      <c r="C14" s="89"/>
      <c r="D14" s="89"/>
      <c r="E14" s="41">
        <f>SUM(E8:E13)</f>
        <v>42013224373.970001</v>
      </c>
      <c r="F14" s="41">
        <f t="shared" ref="F14:AX14" si="11">SUM(F8:F13)</f>
        <v>37131500000</v>
      </c>
      <c r="G14" s="41">
        <f t="shared" si="11"/>
        <v>45245445000</v>
      </c>
      <c r="H14" s="41">
        <f t="shared" si="11"/>
        <v>39392808350</v>
      </c>
      <c r="I14" s="41">
        <f t="shared" si="11"/>
        <v>163782977723.97</v>
      </c>
      <c r="J14" s="41">
        <f t="shared" si="11"/>
        <v>578290652443</v>
      </c>
      <c r="K14" s="41">
        <f t="shared" si="11"/>
        <v>595639372016.29004</v>
      </c>
      <c r="L14" s="41">
        <f t="shared" si="11"/>
        <v>613508553176.77881</v>
      </c>
      <c r="M14" s="41">
        <f t="shared" si="11"/>
        <v>631913809772.08215</v>
      </c>
      <c r="N14" s="41">
        <f t="shared" si="11"/>
        <v>2419352387408.1504</v>
      </c>
      <c r="O14" s="41">
        <f t="shared" si="11"/>
        <v>38536749065</v>
      </c>
      <c r="P14" s="41">
        <f t="shared" si="11"/>
        <v>40238230312.840477</v>
      </c>
      <c r="Q14" s="41">
        <f t="shared" si="11"/>
        <v>41488673684.9608</v>
      </c>
      <c r="R14" s="41">
        <f t="shared" si="11"/>
        <v>43148220633.3992</v>
      </c>
      <c r="S14" s="41">
        <f t="shared" si="11"/>
        <v>163411873696.2005</v>
      </c>
      <c r="T14" s="41">
        <f t="shared" si="11"/>
        <v>718773900.25999999</v>
      </c>
      <c r="U14" s="41">
        <f t="shared" si="11"/>
        <v>2836413618</v>
      </c>
      <c r="V14" s="41">
        <f t="shared" si="11"/>
        <v>2978234298.9000001</v>
      </c>
      <c r="W14" s="41">
        <f t="shared" si="11"/>
        <v>3156928356.8367</v>
      </c>
      <c r="X14" s="41">
        <f t="shared" si="11"/>
        <v>9690350173.9967003</v>
      </c>
      <c r="Y14" s="41">
        <f t="shared" si="11"/>
        <v>0</v>
      </c>
      <c r="Z14" s="41">
        <f t="shared" si="11"/>
        <v>0</v>
      </c>
      <c r="AA14" s="41">
        <f t="shared" si="11"/>
        <v>0</v>
      </c>
      <c r="AB14" s="41">
        <f t="shared" si="11"/>
        <v>0</v>
      </c>
      <c r="AC14" s="41">
        <f t="shared" si="11"/>
        <v>0</v>
      </c>
      <c r="AD14" s="41">
        <f t="shared" si="11"/>
        <v>0</v>
      </c>
      <c r="AE14" s="41">
        <f t="shared" si="11"/>
        <v>0</v>
      </c>
      <c r="AF14" s="41">
        <f t="shared" si="11"/>
        <v>0</v>
      </c>
      <c r="AG14" s="41">
        <f t="shared" si="11"/>
        <v>0</v>
      </c>
      <c r="AH14" s="41">
        <f t="shared" si="11"/>
        <v>0</v>
      </c>
      <c r="AI14" s="41">
        <f t="shared" si="11"/>
        <v>0</v>
      </c>
      <c r="AJ14" s="41">
        <f t="shared" si="11"/>
        <v>0</v>
      </c>
      <c r="AK14" s="41">
        <f t="shared" si="11"/>
        <v>0</v>
      </c>
      <c r="AL14" s="41">
        <f t="shared" si="11"/>
        <v>0</v>
      </c>
      <c r="AM14" s="41">
        <f t="shared" si="11"/>
        <v>0</v>
      </c>
      <c r="AN14" s="41">
        <f t="shared" si="11"/>
        <v>0</v>
      </c>
      <c r="AO14" s="41">
        <f t="shared" si="11"/>
        <v>0</v>
      </c>
      <c r="AP14" s="41">
        <f t="shared" si="11"/>
        <v>0</v>
      </c>
      <c r="AQ14" s="41">
        <f t="shared" si="11"/>
        <v>0</v>
      </c>
      <c r="AR14" s="41">
        <f t="shared" si="11"/>
        <v>0</v>
      </c>
      <c r="AS14" s="41">
        <f t="shared" si="11"/>
        <v>2592454611278.3477</v>
      </c>
      <c r="AT14" s="41">
        <f t="shared" si="11"/>
        <v>0</v>
      </c>
      <c r="AU14" s="41">
        <f t="shared" si="11"/>
        <v>0</v>
      </c>
      <c r="AV14" s="41">
        <f t="shared" si="11"/>
        <v>0</v>
      </c>
      <c r="AW14" s="41">
        <f t="shared" si="11"/>
        <v>0</v>
      </c>
      <c r="AX14" s="41">
        <f t="shared" si="11"/>
        <v>0</v>
      </c>
      <c r="AY14" s="41">
        <f t="shared" si="10"/>
        <v>2756237589002.3179</v>
      </c>
    </row>
    <row r="15" spans="1:51" ht="75">
      <c r="B15" s="29" t="s">
        <v>2386</v>
      </c>
      <c r="C15" s="88" t="s">
        <v>2387</v>
      </c>
      <c r="D15" s="88"/>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row>
    <row r="16" spans="1:51" ht="39.6">
      <c r="A16">
        <v>7</v>
      </c>
      <c r="B16" s="30" t="s">
        <v>2388</v>
      </c>
      <c r="C16" s="31" t="s">
        <v>203</v>
      </c>
      <c r="D16" s="32" t="s">
        <v>2389</v>
      </c>
      <c r="E16" s="40">
        <f>9430511841.03+5800000000</f>
        <v>15230511841.030001</v>
      </c>
      <c r="F16" s="40"/>
      <c r="G16" s="40">
        <v>9365968592.2914009</v>
      </c>
      <c r="H16" s="40"/>
      <c r="I16" s="40">
        <f t="shared" si="1"/>
        <v>24596480433.321404</v>
      </c>
      <c r="J16" s="40">
        <v>23287954188</v>
      </c>
      <c r="K16" s="40">
        <v>23986592813.639999</v>
      </c>
      <c r="L16" s="40">
        <v>24706190598.049198</v>
      </c>
      <c r="M16" s="40">
        <v>25447376315.990673</v>
      </c>
      <c r="N16" s="40">
        <f t="shared" si="2"/>
        <v>97428113915.679871</v>
      </c>
      <c r="O16" s="40">
        <v>84018517274.773193</v>
      </c>
      <c r="P16" s="40">
        <v>87952989745.770004</v>
      </c>
      <c r="Q16" s="40">
        <v>90702807571.373108</v>
      </c>
      <c r="R16" s="40">
        <v>94330919875</v>
      </c>
      <c r="S16" s="40">
        <f t="shared" si="3"/>
        <v>357005234466.91632</v>
      </c>
      <c r="T16" s="40"/>
      <c r="U16" s="40"/>
      <c r="V16" s="40"/>
      <c r="W16" s="40"/>
      <c r="X16" s="40">
        <f t="shared" si="4"/>
        <v>0</v>
      </c>
      <c r="Y16" s="40"/>
      <c r="Z16" s="40"/>
      <c r="AA16" s="40"/>
      <c r="AB16" s="40"/>
      <c r="AC16" s="40">
        <f t="shared" si="5"/>
        <v>0</v>
      </c>
      <c r="AD16" s="40"/>
      <c r="AE16" s="40"/>
      <c r="AF16" s="40"/>
      <c r="AG16" s="40"/>
      <c r="AH16" s="40">
        <f t="shared" si="6"/>
        <v>0</v>
      </c>
      <c r="AI16" s="40">
        <v>10000000000</v>
      </c>
      <c r="AJ16" s="40"/>
      <c r="AK16" s="40"/>
      <c r="AL16" s="40"/>
      <c r="AM16" s="40">
        <f t="shared" si="7"/>
        <v>10000000000</v>
      </c>
      <c r="AN16" s="40">
        <v>11569237200</v>
      </c>
      <c r="AO16" s="40"/>
      <c r="AP16" s="40"/>
      <c r="AQ16" s="40"/>
      <c r="AR16" s="40">
        <f t="shared" si="8"/>
        <v>11569237200</v>
      </c>
      <c r="AS16" s="40">
        <f>SUM(AR16+AM16+AH16+AC16+X16+S16+N16)</f>
        <v>476002585582.59619</v>
      </c>
      <c r="AT16" s="40"/>
      <c r="AU16" s="40"/>
      <c r="AV16" s="40"/>
      <c r="AW16" s="40"/>
      <c r="AX16" s="40">
        <f t="shared" si="9"/>
        <v>0</v>
      </c>
      <c r="AY16" s="40">
        <f t="shared" si="10"/>
        <v>500599066015.9176</v>
      </c>
    </row>
    <row r="17" spans="1:51" ht="55.2">
      <c r="B17" s="89" t="s">
        <v>2390</v>
      </c>
      <c r="C17" s="89"/>
      <c r="D17" s="89"/>
      <c r="E17" s="41">
        <f>SUM(E16)</f>
        <v>15230511841.030001</v>
      </c>
      <c r="F17" s="41">
        <f t="shared" ref="F17:AX17" si="12">SUM(F16)</f>
        <v>0</v>
      </c>
      <c r="G17" s="41">
        <f t="shared" si="12"/>
        <v>9365968592.2914009</v>
      </c>
      <c r="H17" s="41">
        <f t="shared" si="12"/>
        <v>0</v>
      </c>
      <c r="I17" s="41">
        <f t="shared" si="12"/>
        <v>24596480433.321404</v>
      </c>
      <c r="J17" s="41">
        <f t="shared" si="12"/>
        <v>23287954188</v>
      </c>
      <c r="K17" s="41">
        <f t="shared" si="12"/>
        <v>23986592813.639999</v>
      </c>
      <c r="L17" s="41">
        <f t="shared" si="12"/>
        <v>24706190598.049198</v>
      </c>
      <c r="M17" s="41">
        <f t="shared" si="12"/>
        <v>25447376315.990673</v>
      </c>
      <c r="N17" s="41">
        <f t="shared" si="12"/>
        <v>97428113915.679871</v>
      </c>
      <c r="O17" s="41">
        <f t="shared" si="12"/>
        <v>84018517274.773193</v>
      </c>
      <c r="P17" s="41">
        <f t="shared" si="12"/>
        <v>87952989745.770004</v>
      </c>
      <c r="Q17" s="41">
        <f t="shared" si="12"/>
        <v>90702807571.373108</v>
      </c>
      <c r="R17" s="41">
        <f t="shared" si="12"/>
        <v>94330919875</v>
      </c>
      <c r="S17" s="41">
        <f t="shared" si="12"/>
        <v>357005234466.91632</v>
      </c>
      <c r="T17" s="41">
        <f t="shared" si="12"/>
        <v>0</v>
      </c>
      <c r="U17" s="41">
        <f t="shared" si="12"/>
        <v>0</v>
      </c>
      <c r="V17" s="41">
        <f t="shared" si="12"/>
        <v>0</v>
      </c>
      <c r="W17" s="41">
        <f t="shared" si="12"/>
        <v>0</v>
      </c>
      <c r="X17" s="41">
        <f t="shared" si="12"/>
        <v>0</v>
      </c>
      <c r="Y17" s="41">
        <f t="shared" si="12"/>
        <v>0</v>
      </c>
      <c r="Z17" s="41">
        <f t="shared" si="12"/>
        <v>0</v>
      </c>
      <c r="AA17" s="41">
        <f t="shared" si="12"/>
        <v>0</v>
      </c>
      <c r="AB17" s="41">
        <f t="shared" si="12"/>
        <v>0</v>
      </c>
      <c r="AC17" s="41">
        <f t="shared" si="12"/>
        <v>0</v>
      </c>
      <c r="AD17" s="41">
        <f t="shared" si="12"/>
        <v>0</v>
      </c>
      <c r="AE17" s="41">
        <f t="shared" si="12"/>
        <v>0</v>
      </c>
      <c r="AF17" s="41">
        <f t="shared" si="12"/>
        <v>0</v>
      </c>
      <c r="AG17" s="41">
        <f t="shared" si="12"/>
        <v>0</v>
      </c>
      <c r="AH17" s="41">
        <f t="shared" si="12"/>
        <v>0</v>
      </c>
      <c r="AI17" s="41">
        <f t="shared" si="12"/>
        <v>10000000000</v>
      </c>
      <c r="AJ17" s="41">
        <f t="shared" si="12"/>
        <v>0</v>
      </c>
      <c r="AK17" s="41">
        <f t="shared" si="12"/>
        <v>0</v>
      </c>
      <c r="AL17" s="41">
        <f t="shared" si="12"/>
        <v>0</v>
      </c>
      <c r="AM17" s="41">
        <f t="shared" si="12"/>
        <v>10000000000</v>
      </c>
      <c r="AN17" s="41">
        <f t="shared" si="12"/>
        <v>11569237200</v>
      </c>
      <c r="AO17" s="41">
        <f t="shared" si="12"/>
        <v>0</v>
      </c>
      <c r="AP17" s="41">
        <f t="shared" si="12"/>
        <v>0</v>
      </c>
      <c r="AQ17" s="41">
        <f t="shared" si="12"/>
        <v>0</v>
      </c>
      <c r="AR17" s="41">
        <f t="shared" si="12"/>
        <v>11569237200</v>
      </c>
      <c r="AS17" s="41">
        <f t="shared" si="12"/>
        <v>476002585582.59619</v>
      </c>
      <c r="AT17" s="41">
        <f t="shared" si="12"/>
        <v>0</v>
      </c>
      <c r="AU17" s="41">
        <f t="shared" si="12"/>
        <v>0</v>
      </c>
      <c r="AV17" s="41">
        <f t="shared" si="12"/>
        <v>0</v>
      </c>
      <c r="AW17" s="41">
        <f t="shared" si="12"/>
        <v>0</v>
      </c>
      <c r="AX17" s="41">
        <f t="shared" si="12"/>
        <v>0</v>
      </c>
      <c r="AY17" s="41">
        <f t="shared" si="10"/>
        <v>500599066015.9176</v>
      </c>
    </row>
    <row r="18" spans="1:51" ht="75">
      <c r="B18" s="29" t="s">
        <v>2391</v>
      </c>
      <c r="C18" s="88" t="s">
        <v>2392</v>
      </c>
      <c r="D18" s="88"/>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row>
    <row r="19" spans="1:51" ht="66">
      <c r="A19">
        <v>8</v>
      </c>
      <c r="B19" s="30" t="s">
        <v>2393</v>
      </c>
      <c r="C19" s="31" t="s">
        <v>2394</v>
      </c>
      <c r="D19" s="32" t="s">
        <v>2395</v>
      </c>
      <c r="E19" s="40"/>
      <c r="F19" s="40"/>
      <c r="G19" s="40"/>
      <c r="H19" s="40">
        <v>4000000000</v>
      </c>
      <c r="I19" s="40">
        <f t="shared" si="1"/>
        <v>4000000000</v>
      </c>
      <c r="J19" s="40">
        <v>0</v>
      </c>
      <c r="K19" s="40">
        <v>0</v>
      </c>
      <c r="L19" s="40">
        <v>0</v>
      </c>
      <c r="M19" s="40">
        <v>0</v>
      </c>
      <c r="N19" s="40">
        <f t="shared" si="2"/>
        <v>0</v>
      </c>
      <c r="O19" s="40"/>
      <c r="P19" s="40"/>
      <c r="Q19" s="40"/>
      <c r="R19" s="40"/>
      <c r="S19" s="40">
        <f t="shared" si="3"/>
        <v>0</v>
      </c>
      <c r="T19" s="40">
        <v>97313578</v>
      </c>
      <c r="U19" s="40">
        <v>718232985</v>
      </c>
      <c r="V19" s="40">
        <v>754144635</v>
      </c>
      <c r="W19" s="40">
        <v>791851866</v>
      </c>
      <c r="X19" s="40">
        <f t="shared" si="4"/>
        <v>2361543064</v>
      </c>
      <c r="Y19" s="40"/>
      <c r="Z19" s="40"/>
      <c r="AA19" s="40"/>
      <c r="AB19" s="40"/>
      <c r="AC19" s="40">
        <f t="shared" si="5"/>
        <v>0</v>
      </c>
      <c r="AD19" s="40"/>
      <c r="AE19" s="40"/>
      <c r="AF19" s="40"/>
      <c r="AG19" s="40"/>
      <c r="AH19" s="40">
        <f t="shared" si="6"/>
        <v>0</v>
      </c>
      <c r="AI19" s="40"/>
      <c r="AJ19" s="40"/>
      <c r="AK19" s="40">
        <v>6000000000</v>
      </c>
      <c r="AL19" s="40"/>
      <c r="AM19" s="40">
        <f t="shared" si="7"/>
        <v>6000000000</v>
      </c>
      <c r="AN19" s="40"/>
      <c r="AO19" s="40"/>
      <c r="AP19" s="40"/>
      <c r="AQ19" s="40"/>
      <c r="AR19" s="40">
        <f t="shared" si="8"/>
        <v>0</v>
      </c>
      <c r="AS19" s="40">
        <f>SUM(AR19+AM19+AH19+AC19+X19+S19+N19)</f>
        <v>8361543064</v>
      </c>
      <c r="AT19" s="40"/>
      <c r="AU19" s="40"/>
      <c r="AV19" s="40"/>
      <c r="AW19" s="40"/>
      <c r="AX19" s="40">
        <f t="shared" si="9"/>
        <v>0</v>
      </c>
      <c r="AY19" s="40">
        <f t="shared" si="10"/>
        <v>12361543064</v>
      </c>
    </row>
    <row r="20" spans="1:51" ht="105.6">
      <c r="A20">
        <v>9</v>
      </c>
      <c r="B20" s="30" t="s">
        <v>2396</v>
      </c>
      <c r="C20" s="31" t="s">
        <v>847</v>
      </c>
      <c r="D20" s="32" t="s">
        <v>2395</v>
      </c>
      <c r="E20" s="40"/>
      <c r="F20" s="40"/>
      <c r="G20" s="40"/>
      <c r="H20" s="40">
        <v>3861100314</v>
      </c>
      <c r="I20" s="40">
        <f t="shared" si="1"/>
        <v>3861100314</v>
      </c>
      <c r="J20" s="40">
        <v>0</v>
      </c>
      <c r="K20" s="40">
        <v>0</v>
      </c>
      <c r="L20" s="40">
        <v>0</v>
      </c>
      <c r="M20" s="40">
        <v>0</v>
      </c>
      <c r="N20" s="40">
        <f t="shared" si="2"/>
        <v>0</v>
      </c>
      <c r="O20" s="40">
        <v>400000000</v>
      </c>
      <c r="P20" s="40">
        <v>408000000</v>
      </c>
      <c r="Q20" s="40">
        <v>420240000</v>
      </c>
      <c r="R20" s="40">
        <v>437049600</v>
      </c>
      <c r="S20" s="40">
        <f t="shared" si="3"/>
        <v>1665289600</v>
      </c>
      <c r="T20" s="40">
        <v>600000000</v>
      </c>
      <c r="U20" s="40"/>
      <c r="V20" s="40"/>
      <c r="W20" s="40"/>
      <c r="X20" s="40">
        <f t="shared" si="4"/>
        <v>600000000</v>
      </c>
      <c r="Y20" s="40"/>
      <c r="Z20" s="40"/>
      <c r="AA20" s="40"/>
      <c r="AB20" s="40"/>
      <c r="AC20" s="40">
        <f t="shared" si="5"/>
        <v>0</v>
      </c>
      <c r="AD20" s="40"/>
      <c r="AE20" s="40"/>
      <c r="AF20" s="40"/>
      <c r="AG20" s="40"/>
      <c r="AH20" s="40">
        <f t="shared" si="6"/>
        <v>0</v>
      </c>
      <c r="AI20" s="40"/>
      <c r="AJ20" s="40"/>
      <c r="AK20" s="40">
        <v>4000000000</v>
      </c>
      <c r="AL20" s="40"/>
      <c r="AM20" s="40">
        <f t="shared" si="7"/>
        <v>4000000000</v>
      </c>
      <c r="AN20" s="40"/>
      <c r="AO20" s="40"/>
      <c r="AP20" s="40"/>
      <c r="AQ20" s="40"/>
      <c r="AR20" s="40">
        <f t="shared" si="8"/>
        <v>0</v>
      </c>
      <c r="AS20" s="40">
        <f>SUM(AR20+AM20+AH20+AC20+X20+S20+N20)</f>
        <v>6265289600</v>
      </c>
      <c r="AT20" s="40"/>
      <c r="AU20" s="40"/>
      <c r="AV20" s="40"/>
      <c r="AW20" s="40"/>
      <c r="AX20" s="40">
        <f t="shared" si="9"/>
        <v>0</v>
      </c>
      <c r="AY20" s="40">
        <f t="shared" si="10"/>
        <v>10126389914</v>
      </c>
    </row>
    <row r="21" spans="1:51" ht="52.8">
      <c r="A21">
        <v>10</v>
      </c>
      <c r="B21" s="30" t="s">
        <v>2397</v>
      </c>
      <c r="C21" s="31" t="s">
        <v>2398</v>
      </c>
      <c r="D21" s="32" t="s">
        <v>2399</v>
      </c>
      <c r="E21" s="40"/>
      <c r="F21" s="40"/>
      <c r="G21" s="40"/>
      <c r="H21" s="40"/>
      <c r="I21" s="40">
        <f t="shared" si="1"/>
        <v>0</v>
      </c>
      <c r="J21" s="40">
        <v>0</v>
      </c>
      <c r="K21" s="40">
        <v>0</v>
      </c>
      <c r="L21" s="40">
        <v>0</v>
      </c>
      <c r="M21" s="40">
        <v>0</v>
      </c>
      <c r="N21" s="40">
        <f t="shared" si="2"/>
        <v>0</v>
      </c>
      <c r="O21" s="40"/>
      <c r="P21" s="40"/>
      <c r="Q21" s="40"/>
      <c r="R21" s="40"/>
      <c r="S21" s="40">
        <f t="shared" si="3"/>
        <v>0</v>
      </c>
      <c r="T21" s="40">
        <v>7500000</v>
      </c>
      <c r="U21" s="40">
        <v>20000000</v>
      </c>
      <c r="V21" s="40">
        <v>20000000</v>
      </c>
      <c r="W21" s="40">
        <v>20000000</v>
      </c>
      <c r="X21" s="40">
        <f t="shared" si="4"/>
        <v>67500000</v>
      </c>
      <c r="Y21" s="40"/>
      <c r="Z21" s="40"/>
      <c r="AA21" s="40"/>
      <c r="AB21" s="40"/>
      <c r="AC21" s="40">
        <f t="shared" si="5"/>
        <v>0</v>
      </c>
      <c r="AD21" s="40"/>
      <c r="AE21" s="40"/>
      <c r="AF21" s="40"/>
      <c r="AG21" s="40"/>
      <c r="AH21" s="40">
        <f t="shared" si="6"/>
        <v>0</v>
      </c>
      <c r="AI21" s="40"/>
      <c r="AJ21" s="40"/>
      <c r="AK21" s="40"/>
      <c r="AL21" s="40"/>
      <c r="AM21" s="40">
        <f t="shared" si="7"/>
        <v>0</v>
      </c>
      <c r="AN21" s="40"/>
      <c r="AO21" s="40"/>
      <c r="AP21" s="40"/>
      <c r="AQ21" s="40"/>
      <c r="AR21" s="40">
        <f t="shared" si="8"/>
        <v>0</v>
      </c>
      <c r="AS21" s="40">
        <f>SUM(AR21+AM21+AH21+AC21+X21+S21+N21)</f>
        <v>67500000</v>
      </c>
      <c r="AT21" s="40"/>
      <c r="AU21" s="40"/>
      <c r="AV21" s="40"/>
      <c r="AW21" s="40"/>
      <c r="AX21" s="40">
        <f t="shared" si="9"/>
        <v>0</v>
      </c>
      <c r="AY21" s="40">
        <f t="shared" si="10"/>
        <v>67500000</v>
      </c>
    </row>
    <row r="22" spans="1:51" ht="66">
      <c r="A22">
        <v>11</v>
      </c>
      <c r="B22" s="30" t="s">
        <v>2400</v>
      </c>
      <c r="C22" s="31" t="s">
        <v>2401</v>
      </c>
      <c r="D22" s="32" t="s">
        <v>2399</v>
      </c>
      <c r="E22" s="40"/>
      <c r="F22" s="40"/>
      <c r="G22" s="40"/>
      <c r="H22" s="40"/>
      <c r="I22" s="40">
        <f t="shared" si="1"/>
        <v>0</v>
      </c>
      <c r="J22" s="40">
        <v>0</v>
      </c>
      <c r="K22" s="40">
        <v>0</v>
      </c>
      <c r="L22" s="40">
        <v>0</v>
      </c>
      <c r="M22" s="40">
        <v>0</v>
      </c>
      <c r="N22" s="40">
        <f t="shared" si="2"/>
        <v>0</v>
      </c>
      <c r="O22" s="40"/>
      <c r="P22" s="40"/>
      <c r="Q22" s="40"/>
      <c r="R22" s="40"/>
      <c r="S22" s="40">
        <f t="shared" si="3"/>
        <v>0</v>
      </c>
      <c r="T22" s="40">
        <v>7500000</v>
      </c>
      <c r="U22" s="40">
        <v>20000000</v>
      </c>
      <c r="V22" s="40">
        <v>20000000</v>
      </c>
      <c r="W22" s="40">
        <v>20000000</v>
      </c>
      <c r="X22" s="40">
        <f t="shared" si="4"/>
        <v>67500000</v>
      </c>
      <c r="Y22" s="40"/>
      <c r="Z22" s="40"/>
      <c r="AA22" s="40"/>
      <c r="AB22" s="40"/>
      <c r="AC22" s="40">
        <f t="shared" si="5"/>
        <v>0</v>
      </c>
      <c r="AD22" s="40"/>
      <c r="AE22" s="40"/>
      <c r="AF22" s="40"/>
      <c r="AG22" s="40"/>
      <c r="AH22" s="40">
        <f t="shared" si="6"/>
        <v>0</v>
      </c>
      <c r="AI22" s="40"/>
      <c r="AJ22" s="40"/>
      <c r="AK22" s="40"/>
      <c r="AL22" s="40"/>
      <c r="AM22" s="40">
        <f t="shared" si="7"/>
        <v>0</v>
      </c>
      <c r="AN22" s="40"/>
      <c r="AO22" s="40"/>
      <c r="AP22" s="40"/>
      <c r="AQ22" s="40"/>
      <c r="AR22" s="40">
        <f t="shared" si="8"/>
        <v>0</v>
      </c>
      <c r="AS22" s="40">
        <f>SUM(AR22+AM22+AH22+AC22+X22+S22+N22)</f>
        <v>67500000</v>
      </c>
      <c r="AT22" s="40"/>
      <c r="AU22" s="40"/>
      <c r="AV22" s="40"/>
      <c r="AW22" s="40"/>
      <c r="AX22" s="40">
        <f t="shared" si="9"/>
        <v>0</v>
      </c>
      <c r="AY22" s="40">
        <f t="shared" si="10"/>
        <v>67500000</v>
      </c>
    </row>
    <row r="23" spans="1:51" ht="69">
      <c r="B23" s="89" t="s">
        <v>2402</v>
      </c>
      <c r="C23" s="89"/>
      <c r="D23" s="89"/>
      <c r="E23" s="41">
        <f>SUM(E19:E22)</f>
        <v>0</v>
      </c>
      <c r="F23" s="41">
        <f t="shared" ref="F23:AX23" si="13">SUM(F19:F22)</f>
        <v>0</v>
      </c>
      <c r="G23" s="41">
        <f t="shared" si="13"/>
        <v>0</v>
      </c>
      <c r="H23" s="41">
        <f t="shared" si="13"/>
        <v>7861100314</v>
      </c>
      <c r="I23" s="41">
        <f t="shared" si="13"/>
        <v>7861100314</v>
      </c>
      <c r="J23" s="41">
        <f t="shared" si="13"/>
        <v>0</v>
      </c>
      <c r="K23" s="41">
        <f t="shared" si="13"/>
        <v>0</v>
      </c>
      <c r="L23" s="41">
        <f t="shared" si="13"/>
        <v>0</v>
      </c>
      <c r="M23" s="41">
        <f t="shared" si="13"/>
        <v>0</v>
      </c>
      <c r="N23" s="41">
        <f t="shared" si="13"/>
        <v>0</v>
      </c>
      <c r="O23" s="41">
        <f t="shared" si="13"/>
        <v>400000000</v>
      </c>
      <c r="P23" s="41">
        <f t="shared" si="13"/>
        <v>408000000</v>
      </c>
      <c r="Q23" s="41">
        <f t="shared" si="13"/>
        <v>420240000</v>
      </c>
      <c r="R23" s="41">
        <f t="shared" si="13"/>
        <v>437049600</v>
      </c>
      <c r="S23" s="41">
        <f t="shared" si="13"/>
        <v>1665289600</v>
      </c>
      <c r="T23" s="41">
        <f t="shared" si="13"/>
        <v>712313578</v>
      </c>
      <c r="U23" s="41">
        <f t="shared" si="13"/>
        <v>758232985</v>
      </c>
      <c r="V23" s="41">
        <f t="shared" si="13"/>
        <v>794144635</v>
      </c>
      <c r="W23" s="41">
        <f t="shared" si="13"/>
        <v>831851866</v>
      </c>
      <c r="X23" s="41">
        <f t="shared" si="13"/>
        <v>3096543064</v>
      </c>
      <c r="Y23" s="41">
        <f t="shared" si="13"/>
        <v>0</v>
      </c>
      <c r="Z23" s="41">
        <f t="shared" si="13"/>
        <v>0</v>
      </c>
      <c r="AA23" s="41">
        <f t="shared" si="13"/>
        <v>0</v>
      </c>
      <c r="AB23" s="41">
        <f t="shared" si="13"/>
        <v>0</v>
      </c>
      <c r="AC23" s="41">
        <f t="shared" si="13"/>
        <v>0</v>
      </c>
      <c r="AD23" s="41">
        <f t="shared" si="13"/>
        <v>0</v>
      </c>
      <c r="AE23" s="41">
        <f t="shared" si="13"/>
        <v>0</v>
      </c>
      <c r="AF23" s="41">
        <f t="shared" si="13"/>
        <v>0</v>
      </c>
      <c r="AG23" s="41">
        <f t="shared" si="13"/>
        <v>0</v>
      </c>
      <c r="AH23" s="41">
        <f t="shared" si="13"/>
        <v>0</v>
      </c>
      <c r="AI23" s="41">
        <f t="shared" si="13"/>
        <v>0</v>
      </c>
      <c r="AJ23" s="41">
        <f t="shared" si="13"/>
        <v>0</v>
      </c>
      <c r="AK23" s="41">
        <f t="shared" si="13"/>
        <v>10000000000</v>
      </c>
      <c r="AL23" s="41">
        <f t="shared" si="13"/>
        <v>0</v>
      </c>
      <c r="AM23" s="41">
        <f t="shared" si="13"/>
        <v>10000000000</v>
      </c>
      <c r="AN23" s="41">
        <f t="shared" si="13"/>
        <v>0</v>
      </c>
      <c r="AO23" s="41">
        <f t="shared" si="13"/>
        <v>0</v>
      </c>
      <c r="AP23" s="41">
        <f t="shared" si="13"/>
        <v>0</v>
      </c>
      <c r="AQ23" s="41">
        <f t="shared" si="13"/>
        <v>0</v>
      </c>
      <c r="AR23" s="41">
        <f t="shared" si="13"/>
        <v>0</v>
      </c>
      <c r="AS23" s="41">
        <f t="shared" si="13"/>
        <v>14761832664</v>
      </c>
      <c r="AT23" s="41">
        <f t="shared" si="13"/>
        <v>0</v>
      </c>
      <c r="AU23" s="41">
        <f t="shared" si="13"/>
        <v>0</v>
      </c>
      <c r="AV23" s="41">
        <f t="shared" si="13"/>
        <v>0</v>
      </c>
      <c r="AW23" s="41">
        <f t="shared" si="13"/>
        <v>0</v>
      </c>
      <c r="AX23" s="41">
        <f t="shared" si="13"/>
        <v>0</v>
      </c>
      <c r="AY23" s="41">
        <f t="shared" si="10"/>
        <v>22622932978</v>
      </c>
    </row>
    <row r="24" spans="1:51" ht="75">
      <c r="B24" s="29" t="s">
        <v>2403</v>
      </c>
      <c r="C24" s="88" t="s">
        <v>2404</v>
      </c>
      <c r="D24" s="88"/>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row>
    <row r="25" spans="1:51" ht="45">
      <c r="A25">
        <v>12</v>
      </c>
      <c r="B25" s="30" t="s">
        <v>2405</v>
      </c>
      <c r="C25" s="31" t="s">
        <v>2406</v>
      </c>
      <c r="D25" s="32" t="s">
        <v>2407</v>
      </c>
      <c r="E25" s="40"/>
      <c r="F25" s="40"/>
      <c r="G25" s="40"/>
      <c r="H25" s="40"/>
      <c r="I25" s="40">
        <f t="shared" si="1"/>
        <v>0</v>
      </c>
      <c r="J25" s="40">
        <v>0</v>
      </c>
      <c r="K25" s="40">
        <v>0</v>
      </c>
      <c r="L25" s="40">
        <v>0</v>
      </c>
      <c r="M25" s="40">
        <v>0</v>
      </c>
      <c r="N25" s="40">
        <f t="shared" si="2"/>
        <v>0</v>
      </c>
      <c r="O25" s="40"/>
      <c r="P25" s="40"/>
      <c r="Q25" s="40"/>
      <c r="R25" s="40"/>
      <c r="S25" s="40">
        <f t="shared" si="3"/>
        <v>0</v>
      </c>
      <c r="T25" s="40">
        <v>43000000</v>
      </c>
      <c r="U25" s="40">
        <v>358915425</v>
      </c>
      <c r="V25" s="40">
        <v>378019150</v>
      </c>
      <c r="W25" s="40">
        <v>410065425</v>
      </c>
      <c r="X25" s="40">
        <f t="shared" si="4"/>
        <v>1190000000</v>
      </c>
      <c r="Y25" s="40"/>
      <c r="Z25" s="40"/>
      <c r="AA25" s="40"/>
      <c r="AB25" s="40"/>
      <c r="AC25" s="40">
        <f t="shared" si="5"/>
        <v>0</v>
      </c>
      <c r="AD25" s="40"/>
      <c r="AE25" s="40"/>
      <c r="AF25" s="40"/>
      <c r="AG25" s="40"/>
      <c r="AH25" s="40">
        <f t="shared" si="6"/>
        <v>0</v>
      </c>
      <c r="AI25" s="40"/>
      <c r="AJ25" s="40"/>
      <c r="AK25" s="40"/>
      <c r="AL25" s="40"/>
      <c r="AM25" s="40">
        <f t="shared" si="7"/>
        <v>0</v>
      </c>
      <c r="AN25" s="40"/>
      <c r="AO25" s="40"/>
      <c r="AP25" s="40"/>
      <c r="AQ25" s="40"/>
      <c r="AR25" s="40">
        <f t="shared" si="8"/>
        <v>0</v>
      </c>
      <c r="AS25" s="40">
        <f>SUM(AR25+AM25+AH25+AC25+X25+S25+N25)</f>
        <v>1190000000</v>
      </c>
      <c r="AT25" s="40"/>
      <c r="AU25" s="40"/>
      <c r="AV25" s="40"/>
      <c r="AW25" s="40"/>
      <c r="AX25" s="40">
        <f t="shared" si="9"/>
        <v>0</v>
      </c>
      <c r="AY25" s="40">
        <f t="shared" si="10"/>
        <v>1190000000</v>
      </c>
    </row>
    <row r="26" spans="1:51" ht="92.4">
      <c r="A26">
        <v>13</v>
      </c>
      <c r="B26" s="30" t="s">
        <v>2408</v>
      </c>
      <c r="C26" s="31" t="s">
        <v>2409</v>
      </c>
      <c r="D26" s="32" t="s">
        <v>2410</v>
      </c>
      <c r="E26" s="40"/>
      <c r="F26" s="40"/>
      <c r="G26" s="40"/>
      <c r="H26" s="40"/>
      <c r="I26" s="40">
        <f t="shared" si="1"/>
        <v>0</v>
      </c>
      <c r="J26" s="40">
        <v>0</v>
      </c>
      <c r="K26" s="40">
        <v>0</v>
      </c>
      <c r="L26" s="40">
        <v>0</v>
      </c>
      <c r="M26" s="40">
        <v>0</v>
      </c>
      <c r="N26" s="40">
        <f t="shared" si="2"/>
        <v>0</v>
      </c>
      <c r="O26" s="40"/>
      <c r="P26" s="40"/>
      <c r="Q26" s="40"/>
      <c r="R26" s="40"/>
      <c r="S26" s="40">
        <f t="shared" si="3"/>
        <v>0</v>
      </c>
      <c r="T26" s="40">
        <v>2000000</v>
      </c>
      <c r="U26" s="40">
        <v>1500000</v>
      </c>
      <c r="V26" s="40">
        <v>15000000</v>
      </c>
      <c r="W26" s="40">
        <v>15000000</v>
      </c>
      <c r="X26" s="40">
        <f t="shared" si="4"/>
        <v>33500000</v>
      </c>
      <c r="Y26" s="40"/>
      <c r="Z26" s="40"/>
      <c r="AA26" s="40"/>
      <c r="AB26" s="40"/>
      <c r="AC26" s="40">
        <f t="shared" si="5"/>
        <v>0</v>
      </c>
      <c r="AD26" s="40"/>
      <c r="AE26" s="40"/>
      <c r="AF26" s="40"/>
      <c r="AG26" s="40"/>
      <c r="AH26" s="40">
        <f t="shared" si="6"/>
        <v>0</v>
      </c>
      <c r="AI26" s="40"/>
      <c r="AJ26" s="40"/>
      <c r="AK26" s="40"/>
      <c r="AL26" s="40"/>
      <c r="AM26" s="40">
        <f t="shared" si="7"/>
        <v>0</v>
      </c>
      <c r="AN26" s="40"/>
      <c r="AO26" s="40"/>
      <c r="AP26" s="40"/>
      <c r="AQ26" s="40"/>
      <c r="AR26" s="40">
        <f t="shared" si="8"/>
        <v>0</v>
      </c>
      <c r="AS26" s="40">
        <f>SUM(AR26+AM26+AH26+AC26+X26+S26+N26)</f>
        <v>33500000</v>
      </c>
      <c r="AT26" s="40"/>
      <c r="AU26" s="40"/>
      <c r="AV26" s="40"/>
      <c r="AW26" s="40"/>
      <c r="AX26" s="40">
        <f t="shared" si="9"/>
        <v>0</v>
      </c>
      <c r="AY26" s="40">
        <f t="shared" si="10"/>
        <v>33500000</v>
      </c>
    </row>
    <row r="27" spans="1:51" ht="92.4">
      <c r="A27">
        <v>14</v>
      </c>
      <c r="B27" s="30" t="s">
        <v>2411</v>
      </c>
      <c r="C27" s="31" t="s">
        <v>2412</v>
      </c>
      <c r="D27" s="32" t="s">
        <v>2407</v>
      </c>
      <c r="E27" s="40"/>
      <c r="F27" s="40"/>
      <c r="G27" s="40"/>
      <c r="H27" s="40"/>
      <c r="I27" s="40">
        <f t="shared" si="1"/>
        <v>0</v>
      </c>
      <c r="J27" s="40">
        <v>0</v>
      </c>
      <c r="K27" s="40">
        <v>0</v>
      </c>
      <c r="L27" s="40">
        <v>0</v>
      </c>
      <c r="M27" s="40">
        <v>0</v>
      </c>
      <c r="N27" s="40">
        <f t="shared" si="2"/>
        <v>0</v>
      </c>
      <c r="O27" s="40"/>
      <c r="P27" s="40"/>
      <c r="Q27" s="40"/>
      <c r="R27" s="40"/>
      <c r="S27" s="40">
        <f t="shared" si="3"/>
        <v>0</v>
      </c>
      <c r="T27" s="40">
        <v>26000000</v>
      </c>
      <c r="U27" s="40">
        <v>80000000</v>
      </c>
      <c r="V27" s="40">
        <v>82500000</v>
      </c>
      <c r="W27" s="40">
        <v>85500000</v>
      </c>
      <c r="X27" s="40">
        <f t="shared" si="4"/>
        <v>274000000</v>
      </c>
      <c r="Y27" s="40"/>
      <c r="Z27" s="40"/>
      <c r="AA27" s="40"/>
      <c r="AB27" s="40"/>
      <c r="AC27" s="40">
        <f t="shared" si="5"/>
        <v>0</v>
      </c>
      <c r="AD27" s="40"/>
      <c r="AE27" s="40"/>
      <c r="AF27" s="40"/>
      <c r="AG27" s="40"/>
      <c r="AH27" s="40">
        <f t="shared" si="6"/>
        <v>0</v>
      </c>
      <c r="AI27" s="40"/>
      <c r="AJ27" s="40"/>
      <c r="AK27" s="40"/>
      <c r="AL27" s="40"/>
      <c r="AM27" s="40">
        <f t="shared" si="7"/>
        <v>0</v>
      </c>
      <c r="AN27" s="40"/>
      <c r="AO27" s="40"/>
      <c r="AP27" s="40"/>
      <c r="AQ27" s="40"/>
      <c r="AR27" s="40">
        <f t="shared" si="8"/>
        <v>0</v>
      </c>
      <c r="AS27" s="40">
        <f>SUM(AR27+AM27+AH27+AC27+X27+S27+N27)</f>
        <v>274000000</v>
      </c>
      <c r="AT27" s="40"/>
      <c r="AU27" s="40"/>
      <c r="AV27" s="40"/>
      <c r="AW27" s="40"/>
      <c r="AX27" s="40">
        <f t="shared" si="9"/>
        <v>0</v>
      </c>
      <c r="AY27" s="40">
        <f t="shared" si="10"/>
        <v>274000000</v>
      </c>
    </row>
    <row r="28" spans="1:51" ht="145.19999999999999">
      <c r="A28">
        <v>15</v>
      </c>
      <c r="B28" s="30" t="s">
        <v>2413</v>
      </c>
      <c r="C28" s="31" t="s">
        <v>2414</v>
      </c>
      <c r="D28" s="32" t="s">
        <v>2407</v>
      </c>
      <c r="E28" s="40"/>
      <c r="F28" s="40"/>
      <c r="G28" s="40"/>
      <c r="H28" s="40"/>
      <c r="I28" s="40">
        <f t="shared" si="1"/>
        <v>0</v>
      </c>
      <c r="J28" s="40">
        <v>0</v>
      </c>
      <c r="K28" s="40">
        <v>0</v>
      </c>
      <c r="L28" s="40">
        <v>0</v>
      </c>
      <c r="M28" s="40">
        <v>0</v>
      </c>
      <c r="N28" s="40">
        <f t="shared" si="2"/>
        <v>0</v>
      </c>
      <c r="O28" s="40">
        <v>1583758755</v>
      </c>
      <c r="P28" s="40">
        <v>1647109105</v>
      </c>
      <c r="Q28" s="40">
        <v>1712993469</v>
      </c>
      <c r="R28" s="40">
        <v>1798643143</v>
      </c>
      <c r="S28" s="40">
        <f t="shared" si="3"/>
        <v>6742504472</v>
      </c>
      <c r="T28" s="40">
        <v>26000000</v>
      </c>
      <c r="U28" s="40">
        <v>80000000</v>
      </c>
      <c r="V28" s="40">
        <v>82500000</v>
      </c>
      <c r="W28" s="40">
        <v>85500000</v>
      </c>
      <c r="X28" s="40">
        <f t="shared" si="4"/>
        <v>274000000</v>
      </c>
      <c r="Y28" s="40"/>
      <c r="Z28" s="40"/>
      <c r="AA28" s="40"/>
      <c r="AB28" s="40"/>
      <c r="AC28" s="40">
        <f t="shared" si="5"/>
        <v>0</v>
      </c>
      <c r="AD28" s="40"/>
      <c r="AE28" s="40"/>
      <c r="AF28" s="40"/>
      <c r="AG28" s="40"/>
      <c r="AH28" s="40">
        <f t="shared" si="6"/>
        <v>0</v>
      </c>
      <c r="AI28" s="40"/>
      <c r="AJ28" s="40"/>
      <c r="AK28" s="40"/>
      <c r="AL28" s="40"/>
      <c r="AM28" s="40">
        <f t="shared" si="7"/>
        <v>0</v>
      </c>
      <c r="AN28" s="40"/>
      <c r="AO28" s="40"/>
      <c r="AP28" s="40"/>
      <c r="AQ28" s="40"/>
      <c r="AR28" s="40">
        <f t="shared" si="8"/>
        <v>0</v>
      </c>
      <c r="AS28" s="40">
        <f>SUM(AR28+AM28+AH28+AC28+X28+S28+N28)</f>
        <v>7016504472</v>
      </c>
      <c r="AT28" s="40"/>
      <c r="AU28" s="40"/>
      <c r="AV28" s="40"/>
      <c r="AW28" s="40"/>
      <c r="AX28" s="40">
        <f t="shared" si="9"/>
        <v>0</v>
      </c>
      <c r="AY28" s="40">
        <f t="shared" si="10"/>
        <v>7016504472</v>
      </c>
    </row>
    <row r="29" spans="1:51" ht="118.8">
      <c r="A29">
        <v>16</v>
      </c>
      <c r="B29" s="30" t="s">
        <v>2415</v>
      </c>
      <c r="C29" s="31" t="s">
        <v>929</v>
      </c>
      <c r="D29" s="32" t="s">
        <v>2407</v>
      </c>
      <c r="E29" s="40"/>
      <c r="F29" s="40"/>
      <c r="G29" s="40"/>
      <c r="H29" s="40"/>
      <c r="I29" s="40">
        <f t="shared" si="1"/>
        <v>0</v>
      </c>
      <c r="J29" s="40">
        <v>0</v>
      </c>
      <c r="K29" s="40">
        <v>0</v>
      </c>
      <c r="L29" s="40">
        <v>0</v>
      </c>
      <c r="M29" s="40">
        <v>0</v>
      </c>
      <c r="N29" s="40">
        <f t="shared" si="2"/>
        <v>0</v>
      </c>
      <c r="O29" s="40"/>
      <c r="P29" s="40"/>
      <c r="Q29" s="40"/>
      <c r="R29" s="40"/>
      <c r="S29" s="40">
        <f t="shared" si="3"/>
        <v>0</v>
      </c>
      <c r="T29" s="40">
        <v>3000000</v>
      </c>
      <c r="U29" s="40">
        <v>5025000</v>
      </c>
      <c r="V29" s="40">
        <v>8000000</v>
      </c>
      <c r="W29" s="40">
        <v>12561386</v>
      </c>
      <c r="X29" s="40">
        <f t="shared" si="4"/>
        <v>28586386</v>
      </c>
      <c r="Y29" s="40"/>
      <c r="Z29" s="40"/>
      <c r="AA29" s="40"/>
      <c r="AB29" s="40"/>
      <c r="AC29" s="40">
        <f t="shared" si="5"/>
        <v>0</v>
      </c>
      <c r="AD29" s="40"/>
      <c r="AE29" s="40"/>
      <c r="AF29" s="40"/>
      <c r="AG29" s="40"/>
      <c r="AH29" s="40">
        <f t="shared" si="6"/>
        <v>0</v>
      </c>
      <c r="AI29" s="40"/>
      <c r="AJ29" s="40"/>
      <c r="AK29" s="40"/>
      <c r="AL29" s="40"/>
      <c r="AM29" s="40">
        <f t="shared" si="7"/>
        <v>0</v>
      </c>
      <c r="AN29" s="40"/>
      <c r="AO29" s="40"/>
      <c r="AP29" s="40"/>
      <c r="AQ29" s="40"/>
      <c r="AR29" s="40">
        <f t="shared" si="8"/>
        <v>0</v>
      </c>
      <c r="AS29" s="40">
        <f>SUM(AR29+AM29+AH29+AC29+X29+S29+N29)</f>
        <v>28586386</v>
      </c>
      <c r="AT29" s="40"/>
      <c r="AU29" s="40"/>
      <c r="AV29" s="40"/>
      <c r="AW29" s="40"/>
      <c r="AX29" s="40">
        <f t="shared" si="9"/>
        <v>0</v>
      </c>
      <c r="AY29" s="40">
        <f t="shared" si="10"/>
        <v>28586386</v>
      </c>
    </row>
    <row r="30" spans="1:51" ht="69">
      <c r="B30" s="89" t="s">
        <v>2416</v>
      </c>
      <c r="C30" s="89"/>
      <c r="D30" s="89"/>
      <c r="E30" s="41">
        <f>SUM(E25:E29)</f>
        <v>0</v>
      </c>
      <c r="F30" s="41">
        <f t="shared" ref="F30:AX30" si="14">SUM(F25:F29)</f>
        <v>0</v>
      </c>
      <c r="G30" s="41">
        <f t="shared" si="14"/>
        <v>0</v>
      </c>
      <c r="H30" s="41">
        <f t="shared" si="14"/>
        <v>0</v>
      </c>
      <c r="I30" s="41">
        <f t="shared" si="14"/>
        <v>0</v>
      </c>
      <c r="J30" s="41">
        <f t="shared" si="14"/>
        <v>0</v>
      </c>
      <c r="K30" s="41">
        <f t="shared" si="14"/>
        <v>0</v>
      </c>
      <c r="L30" s="41">
        <f t="shared" si="14"/>
        <v>0</v>
      </c>
      <c r="M30" s="41">
        <f t="shared" si="14"/>
        <v>0</v>
      </c>
      <c r="N30" s="41">
        <f t="shared" si="14"/>
        <v>0</v>
      </c>
      <c r="O30" s="41">
        <f t="shared" si="14"/>
        <v>1583758755</v>
      </c>
      <c r="P30" s="41">
        <f t="shared" si="14"/>
        <v>1647109105</v>
      </c>
      <c r="Q30" s="41">
        <f t="shared" si="14"/>
        <v>1712993469</v>
      </c>
      <c r="R30" s="41">
        <f t="shared" si="14"/>
        <v>1798643143</v>
      </c>
      <c r="S30" s="41">
        <f t="shared" si="14"/>
        <v>6742504472</v>
      </c>
      <c r="T30" s="41">
        <f t="shared" si="14"/>
        <v>100000000</v>
      </c>
      <c r="U30" s="41">
        <f t="shared" si="14"/>
        <v>525440425</v>
      </c>
      <c r="V30" s="41">
        <f t="shared" si="14"/>
        <v>566019150</v>
      </c>
      <c r="W30" s="41">
        <f t="shared" si="14"/>
        <v>608626811</v>
      </c>
      <c r="X30" s="41">
        <f t="shared" si="14"/>
        <v>1800086386</v>
      </c>
      <c r="Y30" s="41">
        <f t="shared" si="14"/>
        <v>0</v>
      </c>
      <c r="Z30" s="41">
        <f t="shared" si="14"/>
        <v>0</v>
      </c>
      <c r="AA30" s="41">
        <f t="shared" si="14"/>
        <v>0</v>
      </c>
      <c r="AB30" s="41">
        <f t="shared" si="14"/>
        <v>0</v>
      </c>
      <c r="AC30" s="41">
        <f t="shared" si="14"/>
        <v>0</v>
      </c>
      <c r="AD30" s="41">
        <f t="shared" si="14"/>
        <v>0</v>
      </c>
      <c r="AE30" s="41">
        <f t="shared" si="14"/>
        <v>0</v>
      </c>
      <c r="AF30" s="41">
        <f t="shared" si="14"/>
        <v>0</v>
      </c>
      <c r="AG30" s="41">
        <f t="shared" si="14"/>
        <v>0</v>
      </c>
      <c r="AH30" s="41">
        <f t="shared" si="14"/>
        <v>0</v>
      </c>
      <c r="AI30" s="41">
        <f t="shared" si="14"/>
        <v>0</v>
      </c>
      <c r="AJ30" s="41">
        <f t="shared" si="14"/>
        <v>0</v>
      </c>
      <c r="AK30" s="41">
        <f t="shared" si="14"/>
        <v>0</v>
      </c>
      <c r="AL30" s="41">
        <f t="shared" si="14"/>
        <v>0</v>
      </c>
      <c r="AM30" s="41">
        <f t="shared" si="14"/>
        <v>0</v>
      </c>
      <c r="AN30" s="41">
        <f t="shared" si="14"/>
        <v>0</v>
      </c>
      <c r="AO30" s="41">
        <f t="shared" si="14"/>
        <v>0</v>
      </c>
      <c r="AP30" s="41">
        <f t="shared" si="14"/>
        <v>0</v>
      </c>
      <c r="AQ30" s="41">
        <f t="shared" si="14"/>
        <v>0</v>
      </c>
      <c r="AR30" s="41">
        <f t="shared" si="14"/>
        <v>0</v>
      </c>
      <c r="AS30" s="41">
        <f t="shared" si="14"/>
        <v>8542590858</v>
      </c>
      <c r="AT30" s="41">
        <f t="shared" si="14"/>
        <v>0</v>
      </c>
      <c r="AU30" s="41">
        <f t="shared" si="14"/>
        <v>0</v>
      </c>
      <c r="AV30" s="41">
        <f t="shared" si="14"/>
        <v>0</v>
      </c>
      <c r="AW30" s="41">
        <f t="shared" si="14"/>
        <v>0</v>
      </c>
      <c r="AX30" s="41">
        <f t="shared" si="14"/>
        <v>0</v>
      </c>
      <c r="AY30" s="41">
        <f t="shared" si="10"/>
        <v>8542590858</v>
      </c>
    </row>
    <row r="31" spans="1:51" ht="105">
      <c r="B31" s="29" t="s">
        <v>2417</v>
      </c>
      <c r="C31" s="88" t="s">
        <v>2418</v>
      </c>
      <c r="D31" s="88"/>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row>
    <row r="32" spans="1:51" ht="66">
      <c r="A32">
        <v>17</v>
      </c>
      <c r="B32" s="30" t="s">
        <v>2419</v>
      </c>
      <c r="C32" s="31" t="s">
        <v>2420</v>
      </c>
      <c r="D32" s="32" t="s">
        <v>2421</v>
      </c>
      <c r="E32" s="40"/>
      <c r="F32" s="40"/>
      <c r="G32" s="40"/>
      <c r="H32" s="40"/>
      <c r="I32" s="40">
        <f t="shared" si="1"/>
        <v>0</v>
      </c>
      <c r="J32" s="40">
        <v>0</v>
      </c>
      <c r="K32" s="40">
        <v>0</v>
      </c>
      <c r="L32" s="40">
        <v>0</v>
      </c>
      <c r="M32" s="40">
        <v>0</v>
      </c>
      <c r="N32" s="40">
        <f t="shared" si="2"/>
        <v>0</v>
      </c>
      <c r="O32" s="40"/>
      <c r="P32" s="40"/>
      <c r="Q32" s="40"/>
      <c r="R32" s="40"/>
      <c r="S32" s="40">
        <f t="shared" si="3"/>
        <v>0</v>
      </c>
      <c r="T32" s="40">
        <v>100000000</v>
      </c>
      <c r="U32" s="40">
        <v>150000000</v>
      </c>
      <c r="V32" s="40">
        <v>157500000</v>
      </c>
      <c r="W32" s="40">
        <v>165375000</v>
      </c>
      <c r="X32" s="40">
        <f t="shared" si="4"/>
        <v>572875000</v>
      </c>
      <c r="Y32" s="40">
        <v>100000000</v>
      </c>
      <c r="Z32" s="40">
        <v>110000000</v>
      </c>
      <c r="AA32" s="40">
        <v>115000000</v>
      </c>
      <c r="AB32" s="40">
        <v>135000000</v>
      </c>
      <c r="AC32" s="40">
        <f t="shared" si="5"/>
        <v>460000000</v>
      </c>
      <c r="AD32" s="40"/>
      <c r="AE32" s="40"/>
      <c r="AF32" s="40"/>
      <c r="AG32" s="40"/>
      <c r="AH32" s="40">
        <f t="shared" si="6"/>
        <v>0</v>
      </c>
      <c r="AI32" s="40"/>
      <c r="AJ32" s="40"/>
      <c r="AK32" s="40"/>
      <c r="AL32" s="40"/>
      <c r="AM32" s="40">
        <f t="shared" si="7"/>
        <v>0</v>
      </c>
      <c r="AN32" s="40"/>
      <c r="AO32" s="40"/>
      <c r="AP32" s="40"/>
      <c r="AQ32" s="40"/>
      <c r="AR32" s="40">
        <f t="shared" si="8"/>
        <v>0</v>
      </c>
      <c r="AS32" s="40">
        <f t="shared" ref="AS32:AS41" si="15">SUM(AR32+AM32+AH32+AC32+X32+S32+N32)</f>
        <v>1032875000</v>
      </c>
      <c r="AT32" s="40"/>
      <c r="AU32" s="40"/>
      <c r="AV32" s="40"/>
      <c r="AW32" s="40"/>
      <c r="AX32" s="40">
        <f t="shared" si="9"/>
        <v>0</v>
      </c>
      <c r="AY32" s="40">
        <f t="shared" si="10"/>
        <v>1032875000</v>
      </c>
    </row>
    <row r="33" spans="1:51" ht="52.8">
      <c r="A33">
        <v>18</v>
      </c>
      <c r="B33" s="30" t="s">
        <v>2422</v>
      </c>
      <c r="C33" s="31" t="s">
        <v>2423</v>
      </c>
      <c r="D33" s="32" t="s">
        <v>2407</v>
      </c>
      <c r="E33" s="40"/>
      <c r="F33" s="40"/>
      <c r="G33" s="40"/>
      <c r="H33" s="40"/>
      <c r="I33" s="40">
        <f t="shared" si="1"/>
        <v>0</v>
      </c>
      <c r="J33" s="40">
        <v>0</v>
      </c>
      <c r="K33" s="40">
        <v>0</v>
      </c>
      <c r="L33" s="40">
        <v>0</v>
      </c>
      <c r="M33" s="40">
        <v>0</v>
      </c>
      <c r="N33" s="40">
        <f t="shared" si="2"/>
        <v>0</v>
      </c>
      <c r="O33" s="40"/>
      <c r="P33" s="40"/>
      <c r="Q33" s="40"/>
      <c r="R33" s="40"/>
      <c r="S33" s="40">
        <f t="shared" si="3"/>
        <v>0</v>
      </c>
      <c r="T33" s="40">
        <v>20000000</v>
      </c>
      <c r="U33" s="40">
        <v>66134075</v>
      </c>
      <c r="V33" s="40">
        <v>66134075</v>
      </c>
      <c r="W33" s="40">
        <v>66134075</v>
      </c>
      <c r="X33" s="40">
        <f t="shared" si="4"/>
        <v>218402225</v>
      </c>
      <c r="Y33" s="40"/>
      <c r="Z33" s="40"/>
      <c r="AA33" s="40"/>
      <c r="AB33" s="40"/>
      <c r="AC33" s="40">
        <f t="shared" si="5"/>
        <v>0</v>
      </c>
      <c r="AD33" s="40"/>
      <c r="AE33" s="40"/>
      <c r="AF33" s="40"/>
      <c r="AG33" s="40"/>
      <c r="AH33" s="40">
        <f t="shared" si="6"/>
        <v>0</v>
      </c>
      <c r="AI33" s="40"/>
      <c r="AJ33" s="40"/>
      <c r="AK33" s="40"/>
      <c r="AL33" s="40"/>
      <c r="AM33" s="40">
        <f t="shared" si="7"/>
        <v>0</v>
      </c>
      <c r="AN33" s="40"/>
      <c r="AO33" s="40"/>
      <c r="AP33" s="40"/>
      <c r="AQ33" s="40"/>
      <c r="AR33" s="40">
        <f t="shared" si="8"/>
        <v>0</v>
      </c>
      <c r="AS33" s="40">
        <f t="shared" si="15"/>
        <v>218402225</v>
      </c>
      <c r="AT33" s="40"/>
      <c r="AU33" s="40"/>
      <c r="AV33" s="40"/>
      <c r="AW33" s="40"/>
      <c r="AX33" s="40">
        <f t="shared" si="9"/>
        <v>0</v>
      </c>
      <c r="AY33" s="40">
        <f t="shared" si="10"/>
        <v>218402225</v>
      </c>
    </row>
    <row r="34" spans="1:51" ht="171.6">
      <c r="A34">
        <v>19</v>
      </c>
      <c r="B34" s="30" t="s">
        <v>2424</v>
      </c>
      <c r="C34" s="31" t="s">
        <v>2425</v>
      </c>
      <c r="D34" s="32" t="s">
        <v>2407</v>
      </c>
      <c r="E34" s="40"/>
      <c r="F34" s="40"/>
      <c r="G34" s="40"/>
      <c r="H34" s="40"/>
      <c r="I34" s="40">
        <f t="shared" si="1"/>
        <v>0</v>
      </c>
      <c r="J34" s="40">
        <v>0</v>
      </c>
      <c r="K34" s="40">
        <v>0</v>
      </c>
      <c r="L34" s="40">
        <v>0</v>
      </c>
      <c r="M34" s="40">
        <v>0</v>
      </c>
      <c r="N34" s="40">
        <f t="shared" si="2"/>
        <v>0</v>
      </c>
      <c r="O34" s="40"/>
      <c r="P34" s="40"/>
      <c r="Q34" s="40"/>
      <c r="R34" s="40"/>
      <c r="S34" s="40">
        <f t="shared" si="3"/>
        <v>0</v>
      </c>
      <c r="T34" s="40">
        <v>20000000</v>
      </c>
      <c r="U34" s="40">
        <v>45000000</v>
      </c>
      <c r="V34" s="40">
        <v>45000000</v>
      </c>
      <c r="W34" s="40">
        <v>45000000</v>
      </c>
      <c r="X34" s="40">
        <f t="shared" si="4"/>
        <v>155000000</v>
      </c>
      <c r="Y34" s="40"/>
      <c r="Z34" s="40"/>
      <c r="AA34" s="40"/>
      <c r="AB34" s="40"/>
      <c r="AC34" s="40">
        <f t="shared" si="5"/>
        <v>0</v>
      </c>
      <c r="AD34" s="40"/>
      <c r="AE34" s="40"/>
      <c r="AF34" s="40"/>
      <c r="AG34" s="40"/>
      <c r="AH34" s="40">
        <f t="shared" si="6"/>
        <v>0</v>
      </c>
      <c r="AI34" s="40"/>
      <c r="AJ34" s="40"/>
      <c r="AK34" s="40"/>
      <c r="AL34" s="40"/>
      <c r="AM34" s="40">
        <f t="shared" si="7"/>
        <v>0</v>
      </c>
      <c r="AN34" s="40"/>
      <c r="AO34" s="40"/>
      <c r="AP34" s="40"/>
      <c r="AQ34" s="40"/>
      <c r="AR34" s="40">
        <f t="shared" si="8"/>
        <v>0</v>
      </c>
      <c r="AS34" s="40">
        <f t="shared" si="15"/>
        <v>155000000</v>
      </c>
      <c r="AT34" s="40"/>
      <c r="AU34" s="40"/>
      <c r="AV34" s="40"/>
      <c r="AW34" s="40"/>
      <c r="AX34" s="40">
        <f t="shared" si="9"/>
        <v>0</v>
      </c>
      <c r="AY34" s="40">
        <f t="shared" si="10"/>
        <v>155000000</v>
      </c>
    </row>
    <row r="35" spans="1:51" ht="118.8">
      <c r="A35">
        <v>20</v>
      </c>
      <c r="B35" s="30" t="s">
        <v>2426</v>
      </c>
      <c r="C35" s="31" t="s">
        <v>2427</v>
      </c>
      <c r="D35" s="32" t="s">
        <v>2407</v>
      </c>
      <c r="E35" s="40"/>
      <c r="F35" s="40"/>
      <c r="G35" s="40"/>
      <c r="H35" s="40"/>
      <c r="I35" s="40">
        <f t="shared" si="1"/>
        <v>0</v>
      </c>
      <c r="J35" s="40">
        <v>0</v>
      </c>
      <c r="K35" s="40">
        <v>0</v>
      </c>
      <c r="L35" s="40">
        <v>0</v>
      </c>
      <c r="M35" s="40">
        <v>0</v>
      </c>
      <c r="N35" s="40">
        <f t="shared" si="2"/>
        <v>0</v>
      </c>
      <c r="O35" s="40"/>
      <c r="P35" s="40"/>
      <c r="Q35" s="40"/>
      <c r="R35" s="40"/>
      <c r="S35" s="40">
        <f t="shared" si="3"/>
        <v>0</v>
      </c>
      <c r="T35" s="40">
        <v>15000000</v>
      </c>
      <c r="U35" s="40">
        <v>45000000</v>
      </c>
      <c r="V35" s="40">
        <v>45000000</v>
      </c>
      <c r="W35" s="40">
        <v>45000000</v>
      </c>
      <c r="X35" s="40">
        <f t="shared" si="4"/>
        <v>150000000</v>
      </c>
      <c r="Y35" s="40"/>
      <c r="Z35" s="40"/>
      <c r="AA35" s="40"/>
      <c r="AB35" s="40"/>
      <c r="AC35" s="40">
        <f t="shared" si="5"/>
        <v>0</v>
      </c>
      <c r="AD35" s="40"/>
      <c r="AE35" s="40"/>
      <c r="AF35" s="40"/>
      <c r="AG35" s="40"/>
      <c r="AH35" s="40">
        <f t="shared" si="6"/>
        <v>0</v>
      </c>
      <c r="AI35" s="40"/>
      <c r="AJ35" s="40"/>
      <c r="AK35" s="40"/>
      <c r="AL35" s="40"/>
      <c r="AM35" s="40">
        <f t="shared" si="7"/>
        <v>0</v>
      </c>
      <c r="AN35" s="40"/>
      <c r="AO35" s="40"/>
      <c r="AP35" s="40"/>
      <c r="AQ35" s="40"/>
      <c r="AR35" s="40">
        <f t="shared" si="8"/>
        <v>0</v>
      </c>
      <c r="AS35" s="40">
        <f t="shared" si="15"/>
        <v>150000000</v>
      </c>
      <c r="AT35" s="40"/>
      <c r="AU35" s="40"/>
      <c r="AV35" s="40"/>
      <c r="AW35" s="40"/>
      <c r="AX35" s="40">
        <f t="shared" si="9"/>
        <v>0</v>
      </c>
      <c r="AY35" s="40">
        <f t="shared" si="10"/>
        <v>150000000</v>
      </c>
    </row>
    <row r="36" spans="1:51" ht="92.4">
      <c r="A36">
        <v>21</v>
      </c>
      <c r="B36" s="30" t="s">
        <v>2428</v>
      </c>
      <c r="C36" s="31" t="s">
        <v>1003</v>
      </c>
      <c r="D36" s="32" t="s">
        <v>2407</v>
      </c>
      <c r="E36" s="40"/>
      <c r="F36" s="40"/>
      <c r="G36" s="40"/>
      <c r="H36" s="40"/>
      <c r="I36" s="40">
        <f t="shared" si="1"/>
        <v>0</v>
      </c>
      <c r="J36" s="40">
        <v>0</v>
      </c>
      <c r="K36" s="40">
        <v>0</v>
      </c>
      <c r="L36" s="40">
        <v>0</v>
      </c>
      <c r="M36" s="40">
        <v>0</v>
      </c>
      <c r="N36" s="40">
        <f t="shared" si="2"/>
        <v>0</v>
      </c>
      <c r="O36" s="40"/>
      <c r="P36" s="40"/>
      <c r="Q36" s="40"/>
      <c r="R36" s="40"/>
      <c r="S36" s="40">
        <f t="shared" si="3"/>
        <v>0</v>
      </c>
      <c r="T36" s="40">
        <v>15000000</v>
      </c>
      <c r="U36" s="40">
        <v>45000000</v>
      </c>
      <c r="V36" s="40">
        <v>45000000</v>
      </c>
      <c r="W36" s="40">
        <v>45000000</v>
      </c>
      <c r="X36" s="40">
        <f t="shared" si="4"/>
        <v>150000000</v>
      </c>
      <c r="Y36" s="40"/>
      <c r="Z36" s="40"/>
      <c r="AA36" s="40"/>
      <c r="AB36" s="40"/>
      <c r="AC36" s="40">
        <f t="shared" si="5"/>
        <v>0</v>
      </c>
      <c r="AD36" s="40"/>
      <c r="AE36" s="40"/>
      <c r="AF36" s="40"/>
      <c r="AG36" s="40"/>
      <c r="AH36" s="40">
        <f t="shared" si="6"/>
        <v>0</v>
      </c>
      <c r="AI36" s="40"/>
      <c r="AJ36" s="40"/>
      <c r="AK36" s="40"/>
      <c r="AL36" s="40"/>
      <c r="AM36" s="40">
        <f t="shared" si="7"/>
        <v>0</v>
      </c>
      <c r="AN36" s="40"/>
      <c r="AO36" s="40"/>
      <c r="AP36" s="40"/>
      <c r="AQ36" s="40"/>
      <c r="AR36" s="40">
        <f t="shared" si="8"/>
        <v>0</v>
      </c>
      <c r="AS36" s="40">
        <f t="shared" si="15"/>
        <v>150000000</v>
      </c>
      <c r="AT36" s="40"/>
      <c r="AU36" s="40"/>
      <c r="AV36" s="40"/>
      <c r="AW36" s="40"/>
      <c r="AX36" s="40">
        <f t="shared" si="9"/>
        <v>0</v>
      </c>
      <c r="AY36" s="40">
        <f t="shared" si="10"/>
        <v>150000000</v>
      </c>
    </row>
    <row r="37" spans="1:51" ht="158.4">
      <c r="A37">
        <v>22</v>
      </c>
      <c r="B37" s="30" t="s">
        <v>2429</v>
      </c>
      <c r="C37" s="31" t="s">
        <v>2430</v>
      </c>
      <c r="D37" s="32" t="s">
        <v>2407</v>
      </c>
      <c r="E37" s="40"/>
      <c r="F37" s="40"/>
      <c r="G37" s="40"/>
      <c r="H37" s="40"/>
      <c r="I37" s="40">
        <f t="shared" si="1"/>
        <v>0</v>
      </c>
      <c r="J37" s="40">
        <v>0</v>
      </c>
      <c r="K37" s="40">
        <v>0</v>
      </c>
      <c r="L37" s="40">
        <v>0</v>
      </c>
      <c r="M37" s="40">
        <v>0</v>
      </c>
      <c r="N37" s="40">
        <f t="shared" si="2"/>
        <v>0</v>
      </c>
      <c r="O37" s="40"/>
      <c r="P37" s="40"/>
      <c r="Q37" s="40"/>
      <c r="R37" s="40"/>
      <c r="S37" s="40">
        <f t="shared" si="3"/>
        <v>0</v>
      </c>
      <c r="T37" s="40">
        <v>15000000</v>
      </c>
      <c r="U37" s="40">
        <v>40000000</v>
      </c>
      <c r="V37" s="40">
        <v>40000000</v>
      </c>
      <c r="W37" s="40">
        <v>40000000</v>
      </c>
      <c r="X37" s="40">
        <f t="shared" si="4"/>
        <v>135000000</v>
      </c>
      <c r="Y37" s="40"/>
      <c r="Z37" s="40"/>
      <c r="AA37" s="40"/>
      <c r="AB37" s="40"/>
      <c r="AC37" s="40">
        <f t="shared" si="5"/>
        <v>0</v>
      </c>
      <c r="AD37" s="40"/>
      <c r="AE37" s="40"/>
      <c r="AF37" s="40"/>
      <c r="AG37" s="40"/>
      <c r="AH37" s="40">
        <f t="shared" si="6"/>
        <v>0</v>
      </c>
      <c r="AI37" s="40"/>
      <c r="AJ37" s="40"/>
      <c r="AK37" s="40"/>
      <c r="AL37" s="40"/>
      <c r="AM37" s="40">
        <f t="shared" si="7"/>
        <v>0</v>
      </c>
      <c r="AN37" s="40"/>
      <c r="AO37" s="40"/>
      <c r="AP37" s="40"/>
      <c r="AQ37" s="40"/>
      <c r="AR37" s="40">
        <f t="shared" si="8"/>
        <v>0</v>
      </c>
      <c r="AS37" s="40">
        <f t="shared" si="15"/>
        <v>135000000</v>
      </c>
      <c r="AT37" s="40"/>
      <c r="AU37" s="40"/>
      <c r="AV37" s="40"/>
      <c r="AW37" s="40"/>
      <c r="AX37" s="40">
        <f t="shared" si="9"/>
        <v>0</v>
      </c>
      <c r="AY37" s="40">
        <f t="shared" si="10"/>
        <v>135000000</v>
      </c>
    </row>
    <row r="38" spans="1:51" ht="132">
      <c r="A38">
        <v>23</v>
      </c>
      <c r="B38" s="30" t="s">
        <v>2431</v>
      </c>
      <c r="C38" s="31" t="s">
        <v>1022</v>
      </c>
      <c r="D38" s="32" t="s">
        <v>2432</v>
      </c>
      <c r="E38" s="40"/>
      <c r="F38" s="40"/>
      <c r="G38" s="40"/>
      <c r="H38" s="40"/>
      <c r="I38" s="40">
        <f t="shared" si="1"/>
        <v>0</v>
      </c>
      <c r="J38" s="40">
        <v>0</v>
      </c>
      <c r="K38" s="40">
        <v>0</v>
      </c>
      <c r="L38" s="40">
        <v>0</v>
      </c>
      <c r="M38" s="40">
        <v>0</v>
      </c>
      <c r="N38" s="40">
        <f t="shared" si="2"/>
        <v>0</v>
      </c>
      <c r="O38" s="40"/>
      <c r="P38" s="40"/>
      <c r="Q38" s="40"/>
      <c r="R38" s="40"/>
      <c r="S38" s="40">
        <f t="shared" si="3"/>
        <v>0</v>
      </c>
      <c r="T38" s="40"/>
      <c r="U38" s="40"/>
      <c r="V38" s="40"/>
      <c r="W38" s="40"/>
      <c r="X38" s="40">
        <f t="shared" si="4"/>
        <v>0</v>
      </c>
      <c r="Y38" s="40"/>
      <c r="Z38" s="40"/>
      <c r="AA38" s="40"/>
      <c r="AB38" s="40"/>
      <c r="AC38" s="40">
        <f t="shared" si="5"/>
        <v>0</v>
      </c>
      <c r="AD38" s="40"/>
      <c r="AE38" s="40"/>
      <c r="AF38" s="40"/>
      <c r="AG38" s="40"/>
      <c r="AH38" s="40">
        <f t="shared" si="6"/>
        <v>0</v>
      </c>
      <c r="AI38" s="40"/>
      <c r="AJ38" s="40"/>
      <c r="AK38" s="40"/>
      <c r="AL38" s="40"/>
      <c r="AM38" s="40">
        <f t="shared" si="7"/>
        <v>0</v>
      </c>
      <c r="AN38" s="40">
        <v>100000000</v>
      </c>
      <c r="AO38" s="40">
        <v>105000000</v>
      </c>
      <c r="AP38" s="40">
        <v>141750000</v>
      </c>
      <c r="AQ38" s="40">
        <v>148837500</v>
      </c>
      <c r="AR38" s="40">
        <f t="shared" si="8"/>
        <v>495587500</v>
      </c>
      <c r="AS38" s="40">
        <f t="shared" si="15"/>
        <v>495587500</v>
      </c>
      <c r="AT38" s="40">
        <v>700000000</v>
      </c>
      <c r="AU38" s="40">
        <v>735000000</v>
      </c>
      <c r="AV38" s="40">
        <v>771750000</v>
      </c>
      <c r="AW38" s="40">
        <v>810337500</v>
      </c>
      <c r="AX38" s="40">
        <f t="shared" si="9"/>
        <v>3017087500</v>
      </c>
      <c r="AY38" s="40">
        <f t="shared" si="10"/>
        <v>3512675000</v>
      </c>
    </row>
    <row r="39" spans="1:51" ht="60">
      <c r="A39">
        <v>24</v>
      </c>
      <c r="B39" s="30" t="s">
        <v>2433</v>
      </c>
      <c r="C39" s="31" t="s">
        <v>1042</v>
      </c>
      <c r="D39" s="32" t="s">
        <v>2410</v>
      </c>
      <c r="E39" s="40"/>
      <c r="F39" s="40"/>
      <c r="G39" s="40"/>
      <c r="H39" s="40"/>
      <c r="I39" s="40">
        <f t="shared" si="1"/>
        <v>0</v>
      </c>
      <c r="J39" s="40">
        <v>0</v>
      </c>
      <c r="K39" s="40">
        <v>0</v>
      </c>
      <c r="L39" s="40">
        <v>0</v>
      </c>
      <c r="M39" s="40">
        <v>0</v>
      </c>
      <c r="N39" s="40">
        <f t="shared" si="2"/>
        <v>0</v>
      </c>
      <c r="O39" s="40"/>
      <c r="P39" s="40"/>
      <c r="Q39" s="40"/>
      <c r="R39" s="40"/>
      <c r="S39" s="40">
        <f t="shared" si="3"/>
        <v>0</v>
      </c>
      <c r="T39" s="40">
        <v>76666666</v>
      </c>
      <c r="U39" s="40">
        <v>79350000</v>
      </c>
      <c r="V39" s="40"/>
      <c r="W39" s="40"/>
      <c r="X39" s="40">
        <f t="shared" si="4"/>
        <v>156016666</v>
      </c>
      <c r="Y39" s="40"/>
      <c r="Z39" s="40"/>
      <c r="AA39" s="40"/>
      <c r="AB39" s="40"/>
      <c r="AC39" s="40">
        <f t="shared" si="5"/>
        <v>0</v>
      </c>
      <c r="AD39" s="40"/>
      <c r="AE39" s="40"/>
      <c r="AF39" s="40"/>
      <c r="AG39" s="40"/>
      <c r="AH39" s="40">
        <f t="shared" si="6"/>
        <v>0</v>
      </c>
      <c r="AI39" s="40"/>
      <c r="AJ39" s="40"/>
      <c r="AK39" s="40"/>
      <c r="AL39" s="40"/>
      <c r="AM39" s="40">
        <f t="shared" si="7"/>
        <v>0</v>
      </c>
      <c r="AN39" s="40"/>
      <c r="AO39" s="40"/>
      <c r="AP39" s="40"/>
      <c r="AQ39" s="40"/>
      <c r="AR39" s="40">
        <f t="shared" si="8"/>
        <v>0</v>
      </c>
      <c r="AS39" s="40">
        <f t="shared" si="15"/>
        <v>156016666</v>
      </c>
      <c r="AT39" s="40"/>
      <c r="AU39" s="40"/>
      <c r="AV39" s="40"/>
      <c r="AW39" s="40"/>
      <c r="AX39" s="40">
        <f t="shared" si="9"/>
        <v>0</v>
      </c>
      <c r="AY39" s="40">
        <f t="shared" si="10"/>
        <v>156016666</v>
      </c>
    </row>
    <row r="40" spans="1:51" ht="66">
      <c r="A40">
        <v>25</v>
      </c>
      <c r="B40" s="30" t="s">
        <v>2434</v>
      </c>
      <c r="C40" s="31" t="s">
        <v>2435</v>
      </c>
      <c r="D40" s="32" t="s">
        <v>2410</v>
      </c>
      <c r="E40" s="40"/>
      <c r="F40" s="40"/>
      <c r="G40" s="40"/>
      <c r="H40" s="40"/>
      <c r="I40" s="40">
        <f t="shared" si="1"/>
        <v>0</v>
      </c>
      <c r="J40" s="40">
        <v>0</v>
      </c>
      <c r="K40" s="40">
        <v>0</v>
      </c>
      <c r="L40" s="40">
        <v>0</v>
      </c>
      <c r="M40" s="40">
        <v>0</v>
      </c>
      <c r="N40" s="40">
        <f t="shared" si="2"/>
        <v>0</v>
      </c>
      <c r="O40" s="40"/>
      <c r="P40" s="40"/>
      <c r="Q40" s="40"/>
      <c r="R40" s="40"/>
      <c r="S40" s="40">
        <f t="shared" si="3"/>
        <v>0</v>
      </c>
      <c r="T40" s="40">
        <v>38333334</v>
      </c>
      <c r="U40" s="40">
        <v>39675000</v>
      </c>
      <c r="V40" s="40"/>
      <c r="W40" s="40"/>
      <c r="X40" s="40">
        <f t="shared" si="4"/>
        <v>78008334</v>
      </c>
      <c r="Y40" s="40"/>
      <c r="Z40" s="40"/>
      <c r="AA40" s="40"/>
      <c r="AB40" s="40"/>
      <c r="AC40" s="40">
        <f t="shared" si="5"/>
        <v>0</v>
      </c>
      <c r="AD40" s="40"/>
      <c r="AE40" s="40"/>
      <c r="AF40" s="40"/>
      <c r="AG40" s="40"/>
      <c r="AH40" s="40">
        <f t="shared" si="6"/>
        <v>0</v>
      </c>
      <c r="AI40" s="40"/>
      <c r="AJ40" s="40"/>
      <c r="AK40" s="40"/>
      <c r="AL40" s="40"/>
      <c r="AM40" s="40">
        <f t="shared" si="7"/>
        <v>0</v>
      </c>
      <c r="AN40" s="40"/>
      <c r="AO40" s="40"/>
      <c r="AP40" s="40"/>
      <c r="AQ40" s="40"/>
      <c r="AR40" s="40">
        <f t="shared" si="8"/>
        <v>0</v>
      </c>
      <c r="AS40" s="40">
        <f t="shared" si="15"/>
        <v>78008334</v>
      </c>
      <c r="AT40" s="40"/>
      <c r="AU40" s="40"/>
      <c r="AV40" s="40"/>
      <c r="AW40" s="40"/>
      <c r="AX40" s="40">
        <f t="shared" si="9"/>
        <v>0</v>
      </c>
      <c r="AY40" s="40">
        <f t="shared" si="10"/>
        <v>78008334</v>
      </c>
    </row>
    <row r="41" spans="1:51" ht="52.8">
      <c r="A41">
        <v>26</v>
      </c>
      <c r="B41" s="30" t="s">
        <v>2436</v>
      </c>
      <c r="C41" s="31" t="s">
        <v>1070</v>
      </c>
      <c r="D41" s="32" t="s">
        <v>2407</v>
      </c>
      <c r="E41" s="40"/>
      <c r="F41" s="40"/>
      <c r="G41" s="40"/>
      <c r="H41" s="40"/>
      <c r="I41" s="40">
        <f t="shared" si="1"/>
        <v>0</v>
      </c>
      <c r="J41" s="40">
        <v>0</v>
      </c>
      <c r="K41" s="40">
        <v>0</v>
      </c>
      <c r="L41" s="40">
        <v>0</v>
      </c>
      <c r="M41" s="40">
        <v>0</v>
      </c>
      <c r="N41" s="40">
        <f t="shared" si="2"/>
        <v>0</v>
      </c>
      <c r="O41" s="40"/>
      <c r="P41" s="40"/>
      <c r="Q41" s="40"/>
      <c r="R41" s="40"/>
      <c r="S41" s="40">
        <f t="shared" si="3"/>
        <v>0</v>
      </c>
      <c r="T41" s="40">
        <v>15000000</v>
      </c>
      <c r="U41" s="40">
        <v>45000000</v>
      </c>
      <c r="V41" s="40">
        <v>45000000</v>
      </c>
      <c r="W41" s="40">
        <v>45000000</v>
      </c>
      <c r="X41" s="40">
        <f t="shared" si="4"/>
        <v>150000000</v>
      </c>
      <c r="Y41" s="40"/>
      <c r="Z41" s="40"/>
      <c r="AA41" s="40"/>
      <c r="AB41" s="40"/>
      <c r="AC41" s="40">
        <f t="shared" si="5"/>
        <v>0</v>
      </c>
      <c r="AD41" s="40"/>
      <c r="AE41" s="40"/>
      <c r="AF41" s="40"/>
      <c r="AG41" s="40"/>
      <c r="AH41" s="40">
        <f t="shared" si="6"/>
        <v>0</v>
      </c>
      <c r="AI41" s="40"/>
      <c r="AJ41" s="40"/>
      <c r="AK41" s="40"/>
      <c r="AL41" s="40"/>
      <c r="AM41" s="40">
        <f t="shared" si="7"/>
        <v>0</v>
      </c>
      <c r="AN41" s="40"/>
      <c r="AO41" s="40"/>
      <c r="AP41" s="40"/>
      <c r="AQ41" s="40"/>
      <c r="AR41" s="40">
        <f t="shared" si="8"/>
        <v>0</v>
      </c>
      <c r="AS41" s="40">
        <f t="shared" si="15"/>
        <v>150000000</v>
      </c>
      <c r="AT41" s="40"/>
      <c r="AU41" s="40"/>
      <c r="AV41" s="40"/>
      <c r="AW41" s="40"/>
      <c r="AX41" s="40">
        <f t="shared" si="9"/>
        <v>0</v>
      </c>
      <c r="AY41" s="40">
        <f t="shared" si="10"/>
        <v>150000000</v>
      </c>
    </row>
    <row r="42" spans="1:51" ht="82.8">
      <c r="B42" s="89" t="s">
        <v>2437</v>
      </c>
      <c r="C42" s="89"/>
      <c r="D42" s="89"/>
      <c r="E42" s="41">
        <f>SUM(E32:E41)</f>
        <v>0</v>
      </c>
      <c r="F42" s="41">
        <f t="shared" ref="F42:AX42" si="16">SUM(F32:F41)</f>
        <v>0</v>
      </c>
      <c r="G42" s="41">
        <f t="shared" si="16"/>
        <v>0</v>
      </c>
      <c r="H42" s="41">
        <f t="shared" si="16"/>
        <v>0</v>
      </c>
      <c r="I42" s="41">
        <f t="shared" si="16"/>
        <v>0</v>
      </c>
      <c r="J42" s="41">
        <f t="shared" si="16"/>
        <v>0</v>
      </c>
      <c r="K42" s="41">
        <f t="shared" si="16"/>
        <v>0</v>
      </c>
      <c r="L42" s="41">
        <f t="shared" si="16"/>
        <v>0</v>
      </c>
      <c r="M42" s="41">
        <f t="shared" si="16"/>
        <v>0</v>
      </c>
      <c r="N42" s="41">
        <f t="shared" si="16"/>
        <v>0</v>
      </c>
      <c r="O42" s="41">
        <f t="shared" si="16"/>
        <v>0</v>
      </c>
      <c r="P42" s="41">
        <f t="shared" si="16"/>
        <v>0</v>
      </c>
      <c r="Q42" s="41">
        <f t="shared" si="16"/>
        <v>0</v>
      </c>
      <c r="R42" s="41">
        <f t="shared" si="16"/>
        <v>0</v>
      </c>
      <c r="S42" s="41">
        <f t="shared" si="16"/>
        <v>0</v>
      </c>
      <c r="T42" s="41">
        <f t="shared" si="16"/>
        <v>315000000</v>
      </c>
      <c r="U42" s="41">
        <f t="shared" si="16"/>
        <v>555159075</v>
      </c>
      <c r="V42" s="41">
        <f t="shared" si="16"/>
        <v>443634075</v>
      </c>
      <c r="W42" s="41">
        <f t="shared" si="16"/>
        <v>451509075</v>
      </c>
      <c r="X42" s="41">
        <f t="shared" si="16"/>
        <v>1765302225</v>
      </c>
      <c r="Y42" s="41">
        <f t="shared" si="16"/>
        <v>100000000</v>
      </c>
      <c r="Z42" s="41">
        <f t="shared" si="16"/>
        <v>110000000</v>
      </c>
      <c r="AA42" s="41">
        <f t="shared" si="16"/>
        <v>115000000</v>
      </c>
      <c r="AB42" s="41">
        <f t="shared" si="16"/>
        <v>135000000</v>
      </c>
      <c r="AC42" s="41">
        <f t="shared" si="16"/>
        <v>460000000</v>
      </c>
      <c r="AD42" s="41">
        <f t="shared" si="16"/>
        <v>0</v>
      </c>
      <c r="AE42" s="41">
        <f t="shared" si="16"/>
        <v>0</v>
      </c>
      <c r="AF42" s="41">
        <f t="shared" si="16"/>
        <v>0</v>
      </c>
      <c r="AG42" s="41">
        <f t="shared" si="16"/>
        <v>0</v>
      </c>
      <c r="AH42" s="41">
        <f t="shared" si="16"/>
        <v>0</v>
      </c>
      <c r="AI42" s="41">
        <f t="shared" si="16"/>
        <v>0</v>
      </c>
      <c r="AJ42" s="41">
        <f t="shared" si="16"/>
        <v>0</v>
      </c>
      <c r="AK42" s="41">
        <f t="shared" si="16"/>
        <v>0</v>
      </c>
      <c r="AL42" s="41">
        <f t="shared" si="16"/>
        <v>0</v>
      </c>
      <c r="AM42" s="41">
        <f t="shared" si="16"/>
        <v>0</v>
      </c>
      <c r="AN42" s="41">
        <f t="shared" si="16"/>
        <v>100000000</v>
      </c>
      <c r="AO42" s="41">
        <f t="shared" si="16"/>
        <v>105000000</v>
      </c>
      <c r="AP42" s="41">
        <f t="shared" si="16"/>
        <v>141750000</v>
      </c>
      <c r="AQ42" s="41">
        <f t="shared" si="16"/>
        <v>148837500</v>
      </c>
      <c r="AR42" s="41">
        <f t="shared" si="16"/>
        <v>495587500</v>
      </c>
      <c r="AS42" s="41">
        <f t="shared" si="16"/>
        <v>2720889725</v>
      </c>
      <c r="AT42" s="41">
        <f t="shared" si="16"/>
        <v>700000000</v>
      </c>
      <c r="AU42" s="41">
        <f t="shared" si="16"/>
        <v>735000000</v>
      </c>
      <c r="AV42" s="41">
        <f t="shared" si="16"/>
        <v>771750000</v>
      </c>
      <c r="AW42" s="41">
        <f t="shared" si="16"/>
        <v>810337500</v>
      </c>
      <c r="AX42" s="41">
        <f t="shared" si="16"/>
        <v>3017087500</v>
      </c>
      <c r="AY42" s="41">
        <f t="shared" si="10"/>
        <v>5737977225</v>
      </c>
    </row>
    <row r="43" spans="1:51" ht="75">
      <c r="B43" s="29" t="s">
        <v>2438</v>
      </c>
      <c r="C43" s="88" t="s">
        <v>2439</v>
      </c>
      <c r="D43" s="88"/>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row>
    <row r="44" spans="1:51" ht="105.6">
      <c r="A44">
        <v>27</v>
      </c>
      <c r="B44" s="30" t="s">
        <v>2440</v>
      </c>
      <c r="C44" s="31" t="s">
        <v>2441</v>
      </c>
      <c r="D44" s="32" t="s">
        <v>2407</v>
      </c>
      <c r="E44" s="40">
        <v>346188252.53000003</v>
      </c>
      <c r="F44" s="40">
        <v>3367271117.1090698</v>
      </c>
      <c r="G44" s="40">
        <v>356573900.10589999</v>
      </c>
      <c r="H44" s="40">
        <v>378289250.62234932</v>
      </c>
      <c r="I44" s="40">
        <f t="shared" si="1"/>
        <v>4448322520.3673191</v>
      </c>
      <c r="J44" s="40">
        <v>0</v>
      </c>
      <c r="K44" s="40">
        <v>0</v>
      </c>
      <c r="L44" s="40">
        <v>0</v>
      </c>
      <c r="M44" s="40">
        <v>0</v>
      </c>
      <c r="N44" s="40">
        <f t="shared" si="2"/>
        <v>0</v>
      </c>
      <c r="O44" s="40"/>
      <c r="P44" s="40"/>
      <c r="Q44" s="40"/>
      <c r="R44" s="40"/>
      <c r="S44" s="40">
        <f t="shared" si="3"/>
        <v>0</v>
      </c>
      <c r="T44" s="40">
        <v>74383000</v>
      </c>
      <c r="U44" s="40"/>
      <c r="V44" s="40"/>
      <c r="W44" s="40"/>
      <c r="X44" s="40">
        <f t="shared" si="4"/>
        <v>74383000</v>
      </c>
      <c r="Y44" s="40"/>
      <c r="Z44" s="40"/>
      <c r="AA44" s="40"/>
      <c r="AB44" s="40"/>
      <c r="AC44" s="40">
        <f t="shared" si="5"/>
        <v>0</v>
      </c>
      <c r="AD44" s="40"/>
      <c r="AE44" s="40"/>
      <c r="AF44" s="40"/>
      <c r="AG44" s="40"/>
      <c r="AH44" s="40">
        <f t="shared" si="6"/>
        <v>0</v>
      </c>
      <c r="AI44" s="40"/>
      <c r="AJ44" s="40"/>
      <c r="AK44" s="40"/>
      <c r="AL44" s="40"/>
      <c r="AM44" s="40">
        <f t="shared" si="7"/>
        <v>0</v>
      </c>
      <c r="AN44" s="40"/>
      <c r="AO44" s="40"/>
      <c r="AP44" s="40"/>
      <c r="AQ44" s="40"/>
      <c r="AR44" s="40">
        <f t="shared" si="8"/>
        <v>0</v>
      </c>
      <c r="AS44" s="40">
        <f>SUM(AR44+AM44+AH44+AC44+X44+S44+N44)</f>
        <v>74383000</v>
      </c>
      <c r="AT44" s="40"/>
      <c r="AU44" s="40"/>
      <c r="AV44" s="40"/>
      <c r="AW44" s="40"/>
      <c r="AX44" s="40">
        <f t="shared" si="9"/>
        <v>0</v>
      </c>
      <c r="AY44" s="40">
        <f t="shared" si="10"/>
        <v>4522705520.3673191</v>
      </c>
    </row>
    <row r="45" spans="1:51" ht="69">
      <c r="B45" s="89" t="s">
        <v>2442</v>
      </c>
      <c r="C45" s="89"/>
      <c r="D45" s="89"/>
      <c r="E45" s="41">
        <f>E44</f>
        <v>346188252.53000003</v>
      </c>
      <c r="F45" s="41">
        <f t="shared" ref="F45:AX45" si="17">F44</f>
        <v>3367271117.1090698</v>
      </c>
      <c r="G45" s="41">
        <f t="shared" si="17"/>
        <v>356573900.10589999</v>
      </c>
      <c r="H45" s="41">
        <f t="shared" si="17"/>
        <v>378289250.62234932</v>
      </c>
      <c r="I45" s="41">
        <f t="shared" si="17"/>
        <v>4448322520.3673191</v>
      </c>
      <c r="J45" s="41">
        <f t="shared" si="17"/>
        <v>0</v>
      </c>
      <c r="K45" s="41">
        <f t="shared" si="17"/>
        <v>0</v>
      </c>
      <c r="L45" s="41">
        <f t="shared" si="17"/>
        <v>0</v>
      </c>
      <c r="M45" s="41">
        <f t="shared" si="17"/>
        <v>0</v>
      </c>
      <c r="N45" s="41">
        <f t="shared" si="17"/>
        <v>0</v>
      </c>
      <c r="O45" s="41">
        <f t="shared" si="17"/>
        <v>0</v>
      </c>
      <c r="P45" s="41">
        <f t="shared" si="17"/>
        <v>0</v>
      </c>
      <c r="Q45" s="41">
        <f t="shared" si="17"/>
        <v>0</v>
      </c>
      <c r="R45" s="41">
        <f t="shared" si="17"/>
        <v>0</v>
      </c>
      <c r="S45" s="41">
        <f t="shared" si="17"/>
        <v>0</v>
      </c>
      <c r="T45" s="41">
        <f t="shared" si="17"/>
        <v>74383000</v>
      </c>
      <c r="U45" s="41">
        <f t="shared" si="17"/>
        <v>0</v>
      </c>
      <c r="V45" s="41">
        <f t="shared" si="17"/>
        <v>0</v>
      </c>
      <c r="W45" s="41">
        <f t="shared" si="17"/>
        <v>0</v>
      </c>
      <c r="X45" s="41">
        <f t="shared" si="17"/>
        <v>74383000</v>
      </c>
      <c r="Y45" s="41">
        <f t="shared" si="17"/>
        <v>0</v>
      </c>
      <c r="Z45" s="41">
        <f t="shared" si="17"/>
        <v>0</v>
      </c>
      <c r="AA45" s="41">
        <f t="shared" si="17"/>
        <v>0</v>
      </c>
      <c r="AB45" s="41">
        <f t="shared" si="17"/>
        <v>0</v>
      </c>
      <c r="AC45" s="41">
        <f t="shared" si="17"/>
        <v>0</v>
      </c>
      <c r="AD45" s="41">
        <f t="shared" si="17"/>
        <v>0</v>
      </c>
      <c r="AE45" s="41">
        <f t="shared" si="17"/>
        <v>0</v>
      </c>
      <c r="AF45" s="41">
        <f t="shared" si="17"/>
        <v>0</v>
      </c>
      <c r="AG45" s="41">
        <f t="shared" si="17"/>
        <v>0</v>
      </c>
      <c r="AH45" s="41">
        <f t="shared" si="17"/>
        <v>0</v>
      </c>
      <c r="AI45" s="41">
        <f t="shared" si="17"/>
        <v>0</v>
      </c>
      <c r="AJ45" s="41">
        <f t="shared" si="17"/>
        <v>0</v>
      </c>
      <c r="AK45" s="41">
        <f t="shared" si="17"/>
        <v>0</v>
      </c>
      <c r="AL45" s="41">
        <f t="shared" si="17"/>
        <v>0</v>
      </c>
      <c r="AM45" s="41">
        <f t="shared" si="17"/>
        <v>0</v>
      </c>
      <c r="AN45" s="41">
        <f t="shared" si="17"/>
        <v>0</v>
      </c>
      <c r="AO45" s="41">
        <f t="shared" si="17"/>
        <v>0</v>
      </c>
      <c r="AP45" s="41">
        <f t="shared" si="17"/>
        <v>0</v>
      </c>
      <c r="AQ45" s="41">
        <f t="shared" si="17"/>
        <v>0</v>
      </c>
      <c r="AR45" s="41">
        <f t="shared" si="17"/>
        <v>0</v>
      </c>
      <c r="AS45" s="41">
        <f t="shared" si="17"/>
        <v>74383000</v>
      </c>
      <c r="AT45" s="41">
        <f t="shared" si="17"/>
        <v>0</v>
      </c>
      <c r="AU45" s="41">
        <f t="shared" si="17"/>
        <v>0</v>
      </c>
      <c r="AV45" s="41">
        <f t="shared" si="17"/>
        <v>0</v>
      </c>
      <c r="AW45" s="41">
        <f t="shared" si="17"/>
        <v>0</v>
      </c>
      <c r="AX45" s="41">
        <f t="shared" si="17"/>
        <v>0</v>
      </c>
      <c r="AY45" s="41">
        <f t="shared" si="10"/>
        <v>4522705520.3673191</v>
      </c>
    </row>
    <row r="46" spans="1:51" ht="90">
      <c r="B46" s="29" t="s">
        <v>2443</v>
      </c>
      <c r="C46" s="88" t="s">
        <v>2444</v>
      </c>
      <c r="D46" s="88"/>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row>
    <row r="47" spans="1:51" ht="92.4">
      <c r="A47">
        <v>28</v>
      </c>
      <c r="B47" s="30" t="s">
        <v>2445</v>
      </c>
      <c r="C47" s="31" t="s">
        <v>2446</v>
      </c>
      <c r="D47" s="32" t="s">
        <v>2410</v>
      </c>
      <c r="E47" s="40"/>
      <c r="F47" s="40"/>
      <c r="G47" s="40"/>
      <c r="H47" s="40"/>
      <c r="I47" s="40">
        <f t="shared" si="1"/>
        <v>0</v>
      </c>
      <c r="J47" s="40">
        <v>0</v>
      </c>
      <c r="K47" s="40">
        <v>0</v>
      </c>
      <c r="L47" s="40">
        <v>0</v>
      </c>
      <c r="M47" s="40">
        <v>0</v>
      </c>
      <c r="N47" s="40">
        <f t="shared" si="2"/>
        <v>0</v>
      </c>
      <c r="O47" s="40"/>
      <c r="P47" s="40"/>
      <c r="Q47" s="40"/>
      <c r="R47" s="40"/>
      <c r="S47" s="40">
        <f t="shared" si="3"/>
        <v>0</v>
      </c>
      <c r="T47" s="40">
        <v>100000000</v>
      </c>
      <c r="U47" s="40">
        <v>100000000</v>
      </c>
      <c r="V47" s="40">
        <v>100000000</v>
      </c>
      <c r="W47" s="40">
        <v>100000000</v>
      </c>
      <c r="X47" s="40">
        <f t="shared" si="4"/>
        <v>400000000</v>
      </c>
      <c r="Y47" s="40"/>
      <c r="Z47" s="40"/>
      <c r="AA47" s="40"/>
      <c r="AB47" s="40"/>
      <c r="AC47" s="40">
        <f t="shared" si="5"/>
        <v>0</v>
      </c>
      <c r="AD47" s="40"/>
      <c r="AE47" s="40"/>
      <c r="AF47" s="40"/>
      <c r="AG47" s="40"/>
      <c r="AH47" s="40">
        <f t="shared" si="6"/>
        <v>0</v>
      </c>
      <c r="AI47" s="40"/>
      <c r="AJ47" s="40"/>
      <c r="AK47" s="40"/>
      <c r="AL47" s="40"/>
      <c r="AM47" s="40">
        <f t="shared" si="7"/>
        <v>0</v>
      </c>
      <c r="AN47" s="40"/>
      <c r="AO47" s="40"/>
      <c r="AP47" s="40"/>
      <c r="AQ47" s="40"/>
      <c r="AR47" s="40">
        <f t="shared" si="8"/>
        <v>0</v>
      </c>
      <c r="AS47" s="40">
        <f t="shared" ref="AS47:AS52" si="18">SUM(AR47+AM47+AH47+AC47+X47+S47+N47)</f>
        <v>400000000</v>
      </c>
      <c r="AT47" s="40"/>
      <c r="AU47" s="40"/>
      <c r="AV47" s="40"/>
      <c r="AW47" s="40"/>
      <c r="AX47" s="40">
        <f t="shared" si="9"/>
        <v>0</v>
      </c>
      <c r="AY47" s="40">
        <f t="shared" si="10"/>
        <v>400000000</v>
      </c>
    </row>
    <row r="48" spans="1:51" ht="145.19999999999999">
      <c r="A48">
        <v>29</v>
      </c>
      <c r="B48" s="30" t="s">
        <v>2447</v>
      </c>
      <c r="C48" s="31" t="s">
        <v>2448</v>
      </c>
      <c r="D48" s="32" t="s">
        <v>2410</v>
      </c>
      <c r="E48" s="40"/>
      <c r="F48" s="40"/>
      <c r="G48" s="40"/>
      <c r="H48" s="40"/>
      <c r="I48" s="40">
        <f t="shared" si="1"/>
        <v>0</v>
      </c>
      <c r="J48" s="40">
        <v>0</v>
      </c>
      <c r="K48" s="40">
        <v>0</v>
      </c>
      <c r="L48" s="40">
        <v>0</v>
      </c>
      <c r="M48" s="40">
        <v>0</v>
      </c>
      <c r="N48" s="40">
        <f t="shared" si="2"/>
        <v>0</v>
      </c>
      <c r="O48" s="40"/>
      <c r="P48" s="40"/>
      <c r="Q48" s="40"/>
      <c r="R48" s="40"/>
      <c r="S48" s="40">
        <f t="shared" si="3"/>
        <v>0</v>
      </c>
      <c r="T48" s="40">
        <v>3000000</v>
      </c>
      <c r="U48" s="40">
        <v>3025000</v>
      </c>
      <c r="V48" s="40">
        <v>20000000</v>
      </c>
      <c r="W48" s="40">
        <v>20000000</v>
      </c>
      <c r="X48" s="40">
        <f t="shared" si="4"/>
        <v>46025000</v>
      </c>
      <c r="Y48" s="40"/>
      <c r="Z48" s="40"/>
      <c r="AA48" s="40"/>
      <c r="AB48" s="40"/>
      <c r="AC48" s="40">
        <f t="shared" si="5"/>
        <v>0</v>
      </c>
      <c r="AD48" s="40"/>
      <c r="AE48" s="40"/>
      <c r="AF48" s="40"/>
      <c r="AG48" s="40"/>
      <c r="AH48" s="40">
        <f t="shared" si="6"/>
        <v>0</v>
      </c>
      <c r="AI48" s="40"/>
      <c r="AJ48" s="40"/>
      <c r="AK48" s="40"/>
      <c r="AL48" s="40"/>
      <c r="AM48" s="40">
        <f t="shared" si="7"/>
        <v>0</v>
      </c>
      <c r="AN48" s="40"/>
      <c r="AO48" s="40"/>
      <c r="AP48" s="40"/>
      <c r="AQ48" s="40"/>
      <c r="AR48" s="40">
        <f t="shared" si="8"/>
        <v>0</v>
      </c>
      <c r="AS48" s="40">
        <f t="shared" si="18"/>
        <v>46025000</v>
      </c>
      <c r="AT48" s="40"/>
      <c r="AU48" s="40"/>
      <c r="AV48" s="40"/>
      <c r="AW48" s="40"/>
      <c r="AX48" s="40">
        <f t="shared" si="9"/>
        <v>0</v>
      </c>
      <c r="AY48" s="40">
        <f t="shared" si="10"/>
        <v>46025000</v>
      </c>
    </row>
    <row r="49" spans="1:51" ht="132">
      <c r="A49">
        <v>30</v>
      </c>
      <c r="B49" s="30" t="s">
        <v>2449</v>
      </c>
      <c r="C49" s="31" t="s">
        <v>2450</v>
      </c>
      <c r="D49" s="32" t="s">
        <v>2410</v>
      </c>
      <c r="E49" s="40"/>
      <c r="F49" s="40"/>
      <c r="G49" s="40"/>
      <c r="H49" s="40"/>
      <c r="I49" s="40">
        <f t="shared" si="1"/>
        <v>0</v>
      </c>
      <c r="J49" s="40">
        <v>0</v>
      </c>
      <c r="K49" s="40">
        <v>0</v>
      </c>
      <c r="L49" s="40">
        <v>0</v>
      </c>
      <c r="M49" s="40">
        <v>0</v>
      </c>
      <c r="N49" s="40">
        <f t="shared" si="2"/>
        <v>0</v>
      </c>
      <c r="O49" s="40"/>
      <c r="P49" s="40"/>
      <c r="Q49" s="40"/>
      <c r="R49" s="40"/>
      <c r="S49" s="40">
        <f t="shared" si="3"/>
        <v>0</v>
      </c>
      <c r="T49" s="40">
        <v>5000000</v>
      </c>
      <c r="U49" s="40">
        <v>9000000</v>
      </c>
      <c r="V49" s="40">
        <v>25000000</v>
      </c>
      <c r="W49" s="40">
        <v>25000000</v>
      </c>
      <c r="X49" s="40">
        <f t="shared" si="4"/>
        <v>64000000</v>
      </c>
      <c r="Y49" s="40"/>
      <c r="Z49" s="40"/>
      <c r="AA49" s="40"/>
      <c r="AB49" s="40"/>
      <c r="AC49" s="40">
        <f t="shared" si="5"/>
        <v>0</v>
      </c>
      <c r="AD49" s="40"/>
      <c r="AE49" s="40"/>
      <c r="AF49" s="40"/>
      <c r="AG49" s="40"/>
      <c r="AH49" s="40">
        <f t="shared" si="6"/>
        <v>0</v>
      </c>
      <c r="AI49" s="40"/>
      <c r="AJ49" s="40"/>
      <c r="AK49" s="40"/>
      <c r="AL49" s="40"/>
      <c r="AM49" s="40">
        <f t="shared" si="7"/>
        <v>0</v>
      </c>
      <c r="AN49" s="40"/>
      <c r="AO49" s="40"/>
      <c r="AP49" s="40"/>
      <c r="AQ49" s="40"/>
      <c r="AR49" s="40">
        <f t="shared" si="8"/>
        <v>0</v>
      </c>
      <c r="AS49" s="40">
        <f t="shared" si="18"/>
        <v>64000000</v>
      </c>
      <c r="AT49" s="40"/>
      <c r="AU49" s="40"/>
      <c r="AV49" s="40"/>
      <c r="AW49" s="40"/>
      <c r="AX49" s="40">
        <f t="shared" si="9"/>
        <v>0</v>
      </c>
      <c r="AY49" s="40">
        <f t="shared" si="10"/>
        <v>64000000</v>
      </c>
    </row>
    <row r="50" spans="1:51" ht="79.2">
      <c r="A50">
        <v>31</v>
      </c>
      <c r="B50" s="30" t="s">
        <v>2451</v>
      </c>
      <c r="C50" s="31" t="s">
        <v>2452</v>
      </c>
      <c r="D50" s="32" t="s">
        <v>2410</v>
      </c>
      <c r="E50" s="40"/>
      <c r="F50" s="40"/>
      <c r="G50" s="40"/>
      <c r="H50" s="40"/>
      <c r="I50" s="40">
        <f t="shared" si="1"/>
        <v>0</v>
      </c>
      <c r="J50" s="40">
        <v>0</v>
      </c>
      <c r="K50" s="40">
        <v>0</v>
      </c>
      <c r="L50" s="40">
        <v>0</v>
      </c>
      <c r="M50" s="40">
        <v>0</v>
      </c>
      <c r="N50" s="40">
        <f t="shared" si="2"/>
        <v>0</v>
      </c>
      <c r="O50" s="40"/>
      <c r="P50" s="40"/>
      <c r="Q50" s="40"/>
      <c r="R50" s="40"/>
      <c r="S50" s="40">
        <f t="shared" si="3"/>
        <v>0</v>
      </c>
      <c r="T50" s="40">
        <v>3000000</v>
      </c>
      <c r="U50" s="40">
        <v>4000000</v>
      </c>
      <c r="V50" s="40">
        <v>25000000</v>
      </c>
      <c r="W50" s="40">
        <v>25000000</v>
      </c>
      <c r="X50" s="40">
        <f t="shared" si="4"/>
        <v>57000000</v>
      </c>
      <c r="Y50" s="40"/>
      <c r="Z50" s="40"/>
      <c r="AA50" s="40"/>
      <c r="AB50" s="40"/>
      <c r="AC50" s="40">
        <f t="shared" si="5"/>
        <v>0</v>
      </c>
      <c r="AD50" s="40"/>
      <c r="AE50" s="40"/>
      <c r="AF50" s="40"/>
      <c r="AG50" s="40"/>
      <c r="AH50" s="40">
        <f t="shared" si="6"/>
        <v>0</v>
      </c>
      <c r="AI50" s="40"/>
      <c r="AJ50" s="40"/>
      <c r="AK50" s="40"/>
      <c r="AL50" s="40"/>
      <c r="AM50" s="40">
        <f t="shared" si="7"/>
        <v>0</v>
      </c>
      <c r="AN50" s="40"/>
      <c r="AO50" s="40"/>
      <c r="AP50" s="40"/>
      <c r="AQ50" s="40"/>
      <c r="AR50" s="40">
        <f t="shared" si="8"/>
        <v>0</v>
      </c>
      <c r="AS50" s="40">
        <f t="shared" si="18"/>
        <v>57000000</v>
      </c>
      <c r="AT50" s="40"/>
      <c r="AU50" s="40"/>
      <c r="AV50" s="40"/>
      <c r="AW50" s="40"/>
      <c r="AX50" s="40">
        <f t="shared" si="9"/>
        <v>0</v>
      </c>
      <c r="AY50" s="40">
        <f t="shared" si="10"/>
        <v>57000000</v>
      </c>
    </row>
    <row r="51" spans="1:51" ht="92.4">
      <c r="A51">
        <v>32</v>
      </c>
      <c r="B51" s="30" t="s">
        <v>2453</v>
      </c>
      <c r="C51" s="31" t="s">
        <v>2454</v>
      </c>
      <c r="D51" s="32" t="s">
        <v>2410</v>
      </c>
      <c r="E51" s="40"/>
      <c r="F51" s="40"/>
      <c r="G51" s="40"/>
      <c r="H51" s="40"/>
      <c r="I51" s="40">
        <f t="shared" si="1"/>
        <v>0</v>
      </c>
      <c r="J51" s="40">
        <v>0</v>
      </c>
      <c r="K51" s="40">
        <v>0</v>
      </c>
      <c r="L51" s="40">
        <v>0</v>
      </c>
      <c r="M51" s="40">
        <v>0</v>
      </c>
      <c r="N51" s="40">
        <f t="shared" si="2"/>
        <v>0</v>
      </c>
      <c r="O51" s="40">
        <v>3800000000</v>
      </c>
      <c r="P51" s="40">
        <v>3990000000</v>
      </c>
      <c r="Q51" s="40">
        <v>4109700000</v>
      </c>
      <c r="R51" s="40">
        <v>4356282000</v>
      </c>
      <c r="S51" s="40">
        <f t="shared" si="3"/>
        <v>16255982000</v>
      </c>
      <c r="T51" s="40"/>
      <c r="U51" s="40"/>
      <c r="V51" s="40"/>
      <c r="W51" s="40"/>
      <c r="X51" s="40">
        <f t="shared" si="4"/>
        <v>0</v>
      </c>
      <c r="Y51" s="40"/>
      <c r="Z51" s="40"/>
      <c r="AA51" s="40"/>
      <c r="AB51" s="40"/>
      <c r="AC51" s="40">
        <f t="shared" si="5"/>
        <v>0</v>
      </c>
      <c r="AD51" s="40"/>
      <c r="AE51" s="40"/>
      <c r="AF51" s="40"/>
      <c r="AG51" s="40"/>
      <c r="AH51" s="40">
        <f t="shared" si="6"/>
        <v>0</v>
      </c>
      <c r="AI51" s="40"/>
      <c r="AJ51" s="40"/>
      <c r="AK51" s="40"/>
      <c r="AL51" s="40"/>
      <c r="AM51" s="40">
        <f t="shared" si="7"/>
        <v>0</v>
      </c>
      <c r="AN51" s="40"/>
      <c r="AO51" s="40"/>
      <c r="AP51" s="40"/>
      <c r="AQ51" s="40"/>
      <c r="AR51" s="40">
        <f t="shared" si="8"/>
        <v>0</v>
      </c>
      <c r="AS51" s="40">
        <f t="shared" si="18"/>
        <v>16255982000</v>
      </c>
      <c r="AT51" s="40"/>
      <c r="AU51" s="40"/>
      <c r="AV51" s="40"/>
      <c r="AW51" s="40"/>
      <c r="AX51" s="40">
        <f t="shared" si="9"/>
        <v>0</v>
      </c>
      <c r="AY51" s="40">
        <f t="shared" si="10"/>
        <v>16255982000</v>
      </c>
    </row>
    <row r="52" spans="1:51" ht="92.4">
      <c r="A52">
        <v>33</v>
      </c>
      <c r="B52" s="30" t="s">
        <v>2455</v>
      </c>
      <c r="C52" s="31" t="s">
        <v>1180</v>
      </c>
      <c r="D52" s="32" t="s">
        <v>2410</v>
      </c>
      <c r="E52" s="40"/>
      <c r="F52" s="40"/>
      <c r="G52" s="40"/>
      <c r="H52" s="40"/>
      <c r="I52" s="40">
        <f t="shared" si="1"/>
        <v>0</v>
      </c>
      <c r="J52" s="40">
        <v>0</v>
      </c>
      <c r="K52" s="40">
        <v>0</v>
      </c>
      <c r="L52" s="40">
        <v>0</v>
      </c>
      <c r="M52" s="40">
        <v>0</v>
      </c>
      <c r="N52" s="40">
        <f t="shared" si="2"/>
        <v>0</v>
      </c>
      <c r="O52" s="40"/>
      <c r="P52" s="40"/>
      <c r="Q52" s="40"/>
      <c r="R52" s="40"/>
      <c r="S52" s="40">
        <f t="shared" si="3"/>
        <v>0</v>
      </c>
      <c r="T52" s="40">
        <v>4000000</v>
      </c>
      <c r="U52" s="40">
        <v>3000000</v>
      </c>
      <c r="V52" s="40">
        <v>30000000</v>
      </c>
      <c r="W52" s="40">
        <v>30000000</v>
      </c>
      <c r="X52" s="40">
        <f t="shared" si="4"/>
        <v>67000000</v>
      </c>
      <c r="Y52" s="40"/>
      <c r="Z52" s="40"/>
      <c r="AA52" s="40"/>
      <c r="AB52" s="40"/>
      <c r="AC52" s="40">
        <f t="shared" si="5"/>
        <v>0</v>
      </c>
      <c r="AD52" s="40"/>
      <c r="AE52" s="40"/>
      <c r="AF52" s="40"/>
      <c r="AG52" s="40"/>
      <c r="AH52" s="40">
        <f t="shared" si="6"/>
        <v>0</v>
      </c>
      <c r="AI52" s="40"/>
      <c r="AJ52" s="40"/>
      <c r="AK52" s="40"/>
      <c r="AL52" s="40"/>
      <c r="AM52" s="40">
        <f t="shared" si="7"/>
        <v>0</v>
      </c>
      <c r="AN52" s="40"/>
      <c r="AO52" s="40"/>
      <c r="AP52" s="40"/>
      <c r="AQ52" s="40"/>
      <c r="AR52" s="40">
        <f t="shared" si="8"/>
        <v>0</v>
      </c>
      <c r="AS52" s="40">
        <f t="shared" si="18"/>
        <v>67000000</v>
      </c>
      <c r="AT52" s="40"/>
      <c r="AU52" s="40"/>
      <c r="AV52" s="40"/>
      <c r="AW52" s="40"/>
      <c r="AX52" s="40">
        <f t="shared" si="9"/>
        <v>0</v>
      </c>
      <c r="AY52" s="40">
        <f t="shared" si="10"/>
        <v>67000000</v>
      </c>
    </row>
    <row r="53" spans="1:51" ht="69">
      <c r="B53" s="89" t="s">
        <v>2456</v>
      </c>
      <c r="C53" s="89"/>
      <c r="D53" s="89"/>
      <c r="E53" s="41">
        <f>SUM(E47:E52)</f>
        <v>0</v>
      </c>
      <c r="F53" s="41">
        <f t="shared" ref="F53:AX53" si="19">SUM(F47:F52)</f>
        <v>0</v>
      </c>
      <c r="G53" s="41">
        <f t="shared" si="19"/>
        <v>0</v>
      </c>
      <c r="H53" s="41">
        <f t="shared" si="19"/>
        <v>0</v>
      </c>
      <c r="I53" s="41">
        <f t="shared" si="19"/>
        <v>0</v>
      </c>
      <c r="J53" s="41">
        <f t="shared" si="19"/>
        <v>0</v>
      </c>
      <c r="K53" s="41">
        <f t="shared" si="19"/>
        <v>0</v>
      </c>
      <c r="L53" s="41">
        <f t="shared" si="19"/>
        <v>0</v>
      </c>
      <c r="M53" s="41">
        <f t="shared" si="19"/>
        <v>0</v>
      </c>
      <c r="N53" s="41">
        <f t="shared" si="19"/>
        <v>0</v>
      </c>
      <c r="O53" s="41">
        <f t="shared" si="19"/>
        <v>3800000000</v>
      </c>
      <c r="P53" s="41">
        <f t="shared" si="19"/>
        <v>3990000000</v>
      </c>
      <c r="Q53" s="41">
        <f t="shared" si="19"/>
        <v>4109700000</v>
      </c>
      <c r="R53" s="41">
        <f t="shared" si="19"/>
        <v>4356282000</v>
      </c>
      <c r="S53" s="41">
        <f t="shared" si="19"/>
        <v>16255982000</v>
      </c>
      <c r="T53" s="41">
        <f t="shared" si="19"/>
        <v>115000000</v>
      </c>
      <c r="U53" s="41">
        <f t="shared" si="19"/>
        <v>119025000</v>
      </c>
      <c r="V53" s="41">
        <f t="shared" si="19"/>
        <v>200000000</v>
      </c>
      <c r="W53" s="41">
        <f t="shared" si="19"/>
        <v>200000000</v>
      </c>
      <c r="X53" s="41">
        <f t="shared" si="19"/>
        <v>634025000</v>
      </c>
      <c r="Y53" s="41">
        <f t="shared" si="19"/>
        <v>0</v>
      </c>
      <c r="Z53" s="41">
        <f t="shared" si="19"/>
        <v>0</v>
      </c>
      <c r="AA53" s="41">
        <f t="shared" si="19"/>
        <v>0</v>
      </c>
      <c r="AB53" s="41">
        <f t="shared" si="19"/>
        <v>0</v>
      </c>
      <c r="AC53" s="41">
        <f t="shared" si="19"/>
        <v>0</v>
      </c>
      <c r="AD53" s="41">
        <f t="shared" si="19"/>
        <v>0</v>
      </c>
      <c r="AE53" s="41">
        <f t="shared" si="19"/>
        <v>0</v>
      </c>
      <c r="AF53" s="41">
        <f t="shared" si="19"/>
        <v>0</v>
      </c>
      <c r="AG53" s="41">
        <f t="shared" si="19"/>
        <v>0</v>
      </c>
      <c r="AH53" s="41">
        <f t="shared" si="19"/>
        <v>0</v>
      </c>
      <c r="AI53" s="41">
        <f t="shared" si="19"/>
        <v>0</v>
      </c>
      <c r="AJ53" s="41">
        <f t="shared" si="19"/>
        <v>0</v>
      </c>
      <c r="AK53" s="41">
        <f t="shared" si="19"/>
        <v>0</v>
      </c>
      <c r="AL53" s="41">
        <f t="shared" si="19"/>
        <v>0</v>
      </c>
      <c r="AM53" s="41">
        <f t="shared" si="19"/>
        <v>0</v>
      </c>
      <c r="AN53" s="41">
        <f t="shared" si="19"/>
        <v>0</v>
      </c>
      <c r="AO53" s="41">
        <f t="shared" si="19"/>
        <v>0</v>
      </c>
      <c r="AP53" s="41">
        <f t="shared" si="19"/>
        <v>0</v>
      </c>
      <c r="AQ53" s="41">
        <f t="shared" si="19"/>
        <v>0</v>
      </c>
      <c r="AR53" s="41">
        <f t="shared" si="19"/>
        <v>0</v>
      </c>
      <c r="AS53" s="41">
        <f t="shared" si="19"/>
        <v>16890007000</v>
      </c>
      <c r="AT53" s="41">
        <f t="shared" si="19"/>
        <v>0</v>
      </c>
      <c r="AU53" s="41">
        <f t="shared" si="19"/>
        <v>0</v>
      </c>
      <c r="AV53" s="41">
        <f t="shared" si="19"/>
        <v>0</v>
      </c>
      <c r="AW53" s="41">
        <f t="shared" si="19"/>
        <v>0</v>
      </c>
      <c r="AX53" s="41">
        <f t="shared" si="19"/>
        <v>0</v>
      </c>
      <c r="AY53" s="41">
        <f t="shared" si="10"/>
        <v>16890007000</v>
      </c>
    </row>
    <row r="54" spans="1:51" ht="60">
      <c r="B54" s="29" t="s">
        <v>2457</v>
      </c>
      <c r="C54" s="88" t="s">
        <v>2458</v>
      </c>
      <c r="D54" s="88"/>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row>
    <row r="55" spans="1:51" ht="52.8">
      <c r="A55">
        <v>34</v>
      </c>
      <c r="B55" s="30" t="s">
        <v>2459</v>
      </c>
      <c r="C55" s="31" t="s">
        <v>2460</v>
      </c>
      <c r="D55" s="32" t="s">
        <v>2461</v>
      </c>
      <c r="E55" s="40"/>
      <c r="F55" s="40"/>
      <c r="G55" s="40"/>
      <c r="H55" s="40"/>
      <c r="I55" s="40">
        <f t="shared" si="1"/>
        <v>0</v>
      </c>
      <c r="J55" s="40">
        <v>0</v>
      </c>
      <c r="K55" s="40">
        <v>0</v>
      </c>
      <c r="L55" s="40">
        <v>0</v>
      </c>
      <c r="M55" s="40">
        <v>0</v>
      </c>
      <c r="N55" s="40">
        <f t="shared" si="2"/>
        <v>0</v>
      </c>
      <c r="O55" s="40"/>
      <c r="P55" s="40"/>
      <c r="Q55" s="40"/>
      <c r="R55" s="40"/>
      <c r="S55" s="40">
        <f t="shared" si="3"/>
        <v>0</v>
      </c>
      <c r="T55" s="40">
        <v>532822262</v>
      </c>
      <c r="U55" s="40">
        <v>4685361262</v>
      </c>
      <c r="V55" s="40">
        <v>4837129324</v>
      </c>
      <c r="W55" s="40">
        <v>4995555084</v>
      </c>
      <c r="X55" s="40">
        <f t="shared" si="4"/>
        <v>15050867932</v>
      </c>
      <c r="Y55" s="40"/>
      <c r="Z55" s="40"/>
      <c r="AA55" s="40"/>
      <c r="AB55" s="40"/>
      <c r="AC55" s="40">
        <f t="shared" si="5"/>
        <v>0</v>
      </c>
      <c r="AD55" s="40"/>
      <c r="AE55" s="40"/>
      <c r="AF55" s="40"/>
      <c r="AG55" s="40"/>
      <c r="AH55" s="40">
        <f t="shared" si="6"/>
        <v>0</v>
      </c>
      <c r="AI55" s="40"/>
      <c r="AJ55" s="40"/>
      <c r="AK55" s="40"/>
      <c r="AL55" s="40"/>
      <c r="AM55" s="40">
        <f t="shared" si="7"/>
        <v>0</v>
      </c>
      <c r="AN55" s="40"/>
      <c r="AO55" s="40"/>
      <c r="AP55" s="40"/>
      <c r="AQ55" s="40"/>
      <c r="AR55" s="40">
        <f t="shared" si="8"/>
        <v>0</v>
      </c>
      <c r="AS55" s="40">
        <f>SUM(AR55+AM55+AH55+AC55+X55+S55+N55)</f>
        <v>15050867932</v>
      </c>
      <c r="AT55" s="40">
        <v>1449301155</v>
      </c>
      <c r="AU55" s="40">
        <v>1326000000</v>
      </c>
      <c r="AV55" s="40">
        <v>1326000000</v>
      </c>
      <c r="AW55" s="40">
        <v>1356000000</v>
      </c>
      <c r="AX55" s="40">
        <f t="shared" si="9"/>
        <v>5457301155</v>
      </c>
      <c r="AY55" s="40">
        <f t="shared" si="10"/>
        <v>20508169087</v>
      </c>
    </row>
    <row r="56" spans="1:51" ht="66">
      <c r="A56">
        <v>35</v>
      </c>
      <c r="B56" s="30" t="s">
        <v>2462</v>
      </c>
      <c r="C56" s="31" t="s">
        <v>2463</v>
      </c>
      <c r="D56" s="32" t="s">
        <v>2461</v>
      </c>
      <c r="E56" s="40"/>
      <c r="F56" s="40"/>
      <c r="G56" s="40"/>
      <c r="H56" s="40"/>
      <c r="I56" s="40">
        <f t="shared" si="1"/>
        <v>0</v>
      </c>
      <c r="J56" s="40">
        <v>0</v>
      </c>
      <c r="K56" s="40">
        <v>0</v>
      </c>
      <c r="L56" s="40">
        <v>0</v>
      </c>
      <c r="M56" s="40">
        <v>0</v>
      </c>
      <c r="N56" s="40">
        <f t="shared" si="2"/>
        <v>0</v>
      </c>
      <c r="O56" s="40"/>
      <c r="P56" s="40"/>
      <c r="Q56" s="40"/>
      <c r="R56" s="40"/>
      <c r="S56" s="40">
        <f t="shared" si="3"/>
        <v>0</v>
      </c>
      <c r="T56" s="40">
        <v>784538192</v>
      </c>
      <c r="U56" s="40">
        <v>1050000000</v>
      </c>
      <c r="V56" s="40">
        <v>1110000000</v>
      </c>
      <c r="W56" s="40">
        <v>1110000000</v>
      </c>
      <c r="X56" s="40">
        <f t="shared" si="4"/>
        <v>4054538192</v>
      </c>
      <c r="Y56" s="40"/>
      <c r="Z56" s="40"/>
      <c r="AA56" s="40"/>
      <c r="AB56" s="40"/>
      <c r="AC56" s="40">
        <f t="shared" si="5"/>
        <v>0</v>
      </c>
      <c r="AD56" s="40"/>
      <c r="AE56" s="40"/>
      <c r="AF56" s="40"/>
      <c r="AG56" s="40"/>
      <c r="AH56" s="40">
        <f t="shared" si="6"/>
        <v>0</v>
      </c>
      <c r="AI56" s="40"/>
      <c r="AJ56" s="40"/>
      <c r="AK56" s="40"/>
      <c r="AL56" s="40"/>
      <c r="AM56" s="40">
        <f t="shared" si="7"/>
        <v>0</v>
      </c>
      <c r="AN56" s="40"/>
      <c r="AO56" s="40"/>
      <c r="AP56" s="40"/>
      <c r="AQ56" s="40"/>
      <c r="AR56" s="40">
        <f t="shared" si="8"/>
        <v>0</v>
      </c>
      <c r="AS56" s="40">
        <f>SUM(AR56+AM56+AH56+AC56+X56+S56+N56)</f>
        <v>4054538192</v>
      </c>
      <c r="AT56" s="40"/>
      <c r="AU56" s="40">
        <v>0</v>
      </c>
      <c r="AV56" s="40">
        <v>0</v>
      </c>
      <c r="AW56" s="40">
        <v>0</v>
      </c>
      <c r="AX56" s="40">
        <f t="shared" si="9"/>
        <v>0</v>
      </c>
      <c r="AY56" s="40">
        <f t="shared" si="10"/>
        <v>4054538192</v>
      </c>
    </row>
    <row r="57" spans="1:51" ht="92.4">
      <c r="A57">
        <v>36</v>
      </c>
      <c r="B57" s="30" t="s">
        <v>2464</v>
      </c>
      <c r="C57" s="31" t="s">
        <v>2465</v>
      </c>
      <c r="D57" s="32" t="s">
        <v>2461</v>
      </c>
      <c r="E57" s="40"/>
      <c r="F57" s="40"/>
      <c r="G57" s="40"/>
      <c r="H57" s="40"/>
      <c r="I57" s="40">
        <f t="shared" si="1"/>
        <v>0</v>
      </c>
      <c r="J57" s="40">
        <v>0</v>
      </c>
      <c r="K57" s="40">
        <v>0</v>
      </c>
      <c r="L57" s="40">
        <v>0</v>
      </c>
      <c r="M57" s="40">
        <v>0</v>
      </c>
      <c r="N57" s="40">
        <f t="shared" si="2"/>
        <v>0</v>
      </c>
      <c r="O57" s="40"/>
      <c r="P57" s="40"/>
      <c r="Q57" s="40"/>
      <c r="R57" s="40"/>
      <c r="S57" s="40">
        <f t="shared" si="3"/>
        <v>0</v>
      </c>
      <c r="T57" s="40">
        <v>721897245</v>
      </c>
      <c r="U57" s="40">
        <v>5060453410</v>
      </c>
      <c r="V57" s="40">
        <v>5253476081</v>
      </c>
      <c r="W57" s="40">
        <v>8116345615</v>
      </c>
      <c r="X57" s="40">
        <f t="shared" si="4"/>
        <v>19152172351</v>
      </c>
      <c r="Y57" s="40"/>
      <c r="Z57" s="40"/>
      <c r="AA57" s="40"/>
      <c r="AB57" s="40"/>
      <c r="AC57" s="40">
        <f t="shared" si="5"/>
        <v>0</v>
      </c>
      <c r="AD57" s="40"/>
      <c r="AE57" s="40"/>
      <c r="AF57" s="40"/>
      <c r="AG57" s="40"/>
      <c r="AH57" s="40">
        <f t="shared" si="6"/>
        <v>0</v>
      </c>
      <c r="AI57" s="40"/>
      <c r="AJ57" s="40"/>
      <c r="AK57" s="40"/>
      <c r="AL57" s="40"/>
      <c r="AM57" s="40">
        <f t="shared" si="7"/>
        <v>0</v>
      </c>
      <c r="AN57" s="40"/>
      <c r="AO57" s="40"/>
      <c r="AP57" s="40"/>
      <c r="AQ57" s="40"/>
      <c r="AR57" s="40">
        <f t="shared" si="8"/>
        <v>0</v>
      </c>
      <c r="AS57" s="40">
        <f>SUM(AR57+AM57+AH57+AC57+X57+S57+N57)</f>
        <v>19152172351</v>
      </c>
      <c r="AT57" s="40">
        <v>1378780297</v>
      </c>
      <c r="AU57" s="40">
        <v>1000000000</v>
      </c>
      <c r="AV57" s="40">
        <v>1129780000</v>
      </c>
      <c r="AW57" s="40">
        <v>1233453400</v>
      </c>
      <c r="AX57" s="40">
        <f t="shared" si="9"/>
        <v>4742013697</v>
      </c>
      <c r="AY57" s="40">
        <f t="shared" si="10"/>
        <v>23894186048</v>
      </c>
    </row>
    <row r="58" spans="1:51" ht="66">
      <c r="A58">
        <v>37</v>
      </c>
      <c r="B58" s="30" t="s">
        <v>2466</v>
      </c>
      <c r="C58" s="31" t="s">
        <v>2467</v>
      </c>
      <c r="D58" s="32" t="s">
        <v>2461</v>
      </c>
      <c r="E58" s="40"/>
      <c r="F58" s="40"/>
      <c r="G58" s="40"/>
      <c r="H58" s="40"/>
      <c r="I58" s="40">
        <f t="shared" si="1"/>
        <v>0</v>
      </c>
      <c r="J58" s="40">
        <v>0</v>
      </c>
      <c r="K58" s="40">
        <v>0</v>
      </c>
      <c r="L58" s="40">
        <v>0</v>
      </c>
      <c r="M58" s="40">
        <v>0</v>
      </c>
      <c r="N58" s="40">
        <f t="shared" si="2"/>
        <v>0</v>
      </c>
      <c r="O58" s="40"/>
      <c r="P58" s="40"/>
      <c r="Q58" s="40"/>
      <c r="R58" s="40"/>
      <c r="S58" s="40">
        <f t="shared" si="3"/>
        <v>0</v>
      </c>
      <c r="T58" s="40"/>
      <c r="U58" s="40">
        <v>109420950</v>
      </c>
      <c r="V58" s="40">
        <v>249891998</v>
      </c>
      <c r="W58" s="40">
        <v>249891998</v>
      </c>
      <c r="X58" s="40">
        <f t="shared" si="4"/>
        <v>609204946</v>
      </c>
      <c r="Y58" s="40"/>
      <c r="Z58" s="40"/>
      <c r="AA58" s="40"/>
      <c r="AB58" s="40"/>
      <c r="AC58" s="40">
        <f t="shared" si="5"/>
        <v>0</v>
      </c>
      <c r="AD58" s="40"/>
      <c r="AE58" s="40"/>
      <c r="AF58" s="40"/>
      <c r="AG58" s="40"/>
      <c r="AH58" s="40">
        <f t="shared" si="6"/>
        <v>0</v>
      </c>
      <c r="AI58" s="40"/>
      <c r="AJ58" s="40"/>
      <c r="AK58" s="40"/>
      <c r="AL58" s="40"/>
      <c r="AM58" s="40">
        <f t="shared" si="7"/>
        <v>0</v>
      </c>
      <c r="AN58" s="40"/>
      <c r="AO58" s="40"/>
      <c r="AP58" s="40"/>
      <c r="AQ58" s="40"/>
      <c r="AR58" s="40">
        <f t="shared" si="8"/>
        <v>0</v>
      </c>
      <c r="AS58" s="40">
        <f>SUM(AR58+AM58+AH58+AC58+X58+S58+N58)</f>
        <v>609204946</v>
      </c>
      <c r="AT58" s="40">
        <v>750000000</v>
      </c>
      <c r="AU58" s="40">
        <v>1000000000</v>
      </c>
      <c r="AV58" s="40">
        <v>1000000000</v>
      </c>
      <c r="AW58" s="40">
        <v>1000000000</v>
      </c>
      <c r="AX58" s="40">
        <f t="shared" si="9"/>
        <v>3750000000</v>
      </c>
      <c r="AY58" s="40">
        <f t="shared" si="10"/>
        <v>4359204946</v>
      </c>
    </row>
    <row r="59" spans="1:51" ht="79.2">
      <c r="A59">
        <v>38</v>
      </c>
      <c r="B59" s="30" t="s">
        <v>2468</v>
      </c>
      <c r="C59" s="31" t="s">
        <v>2469</v>
      </c>
      <c r="D59" s="32" t="s">
        <v>2461</v>
      </c>
      <c r="E59" s="40"/>
      <c r="F59" s="40"/>
      <c r="G59" s="40"/>
      <c r="H59" s="40"/>
      <c r="I59" s="40">
        <f t="shared" si="1"/>
        <v>0</v>
      </c>
      <c r="J59" s="40">
        <v>0</v>
      </c>
      <c r="K59" s="40">
        <v>0</v>
      </c>
      <c r="L59" s="40">
        <v>0</v>
      </c>
      <c r="M59" s="40">
        <v>0</v>
      </c>
      <c r="N59" s="40">
        <f t="shared" si="2"/>
        <v>0</v>
      </c>
      <c r="O59" s="40"/>
      <c r="P59" s="40"/>
      <c r="Q59" s="40"/>
      <c r="R59" s="40"/>
      <c r="S59" s="40">
        <f t="shared" si="3"/>
        <v>0</v>
      </c>
      <c r="T59" s="40"/>
      <c r="U59" s="40"/>
      <c r="V59" s="40"/>
      <c r="W59" s="40"/>
      <c r="X59" s="40">
        <f t="shared" si="4"/>
        <v>0</v>
      </c>
      <c r="Y59" s="40"/>
      <c r="Z59" s="40"/>
      <c r="AA59" s="40"/>
      <c r="AB59" s="40"/>
      <c r="AC59" s="40">
        <f t="shared" si="5"/>
        <v>0</v>
      </c>
      <c r="AD59" s="40"/>
      <c r="AE59" s="40"/>
      <c r="AF59" s="40"/>
      <c r="AG59" s="40"/>
      <c r="AH59" s="40">
        <f t="shared" si="6"/>
        <v>0</v>
      </c>
      <c r="AI59" s="40"/>
      <c r="AJ59" s="40"/>
      <c r="AK59" s="40"/>
      <c r="AL59" s="40"/>
      <c r="AM59" s="40">
        <f t="shared" si="7"/>
        <v>0</v>
      </c>
      <c r="AN59" s="40"/>
      <c r="AO59" s="40"/>
      <c r="AP59" s="40"/>
      <c r="AQ59" s="40"/>
      <c r="AR59" s="40">
        <f t="shared" si="8"/>
        <v>0</v>
      </c>
      <c r="AS59" s="40">
        <f>SUM(AR59+AM59+AH59+AC59+X59+S59+N59)</f>
        <v>0</v>
      </c>
      <c r="AT59" s="40">
        <v>621918548</v>
      </c>
      <c r="AU59" s="40">
        <v>1000000000</v>
      </c>
      <c r="AV59" s="40">
        <v>1000000000</v>
      </c>
      <c r="AW59" s="40">
        <v>1000000000</v>
      </c>
      <c r="AX59" s="40">
        <f t="shared" si="9"/>
        <v>3621918548</v>
      </c>
      <c r="AY59" s="40">
        <f t="shared" si="10"/>
        <v>3621918548</v>
      </c>
    </row>
    <row r="60" spans="1:51" ht="55.2">
      <c r="B60" s="89" t="s">
        <v>2470</v>
      </c>
      <c r="C60" s="89"/>
      <c r="D60" s="89"/>
      <c r="E60" s="41">
        <f>SUM(E55:E59)</f>
        <v>0</v>
      </c>
      <c r="F60" s="41">
        <f t="shared" ref="F60:AX60" si="20">SUM(F55:F59)</f>
        <v>0</v>
      </c>
      <c r="G60" s="41">
        <f t="shared" si="20"/>
        <v>0</v>
      </c>
      <c r="H60" s="41">
        <f t="shared" si="20"/>
        <v>0</v>
      </c>
      <c r="I60" s="41">
        <f t="shared" si="20"/>
        <v>0</v>
      </c>
      <c r="J60" s="41">
        <f t="shared" si="20"/>
        <v>0</v>
      </c>
      <c r="K60" s="41">
        <f t="shared" si="20"/>
        <v>0</v>
      </c>
      <c r="L60" s="41">
        <f t="shared" si="20"/>
        <v>0</v>
      </c>
      <c r="M60" s="41">
        <f t="shared" si="20"/>
        <v>0</v>
      </c>
      <c r="N60" s="41">
        <f t="shared" si="20"/>
        <v>0</v>
      </c>
      <c r="O60" s="41">
        <f t="shared" si="20"/>
        <v>0</v>
      </c>
      <c r="P60" s="41">
        <f t="shared" si="20"/>
        <v>0</v>
      </c>
      <c r="Q60" s="41">
        <f t="shared" si="20"/>
        <v>0</v>
      </c>
      <c r="R60" s="41">
        <f t="shared" si="20"/>
        <v>0</v>
      </c>
      <c r="S60" s="41">
        <f t="shared" si="20"/>
        <v>0</v>
      </c>
      <c r="T60" s="41">
        <f t="shared" si="20"/>
        <v>2039257699</v>
      </c>
      <c r="U60" s="41">
        <f t="shared" si="20"/>
        <v>10905235622</v>
      </c>
      <c r="V60" s="41">
        <f t="shared" si="20"/>
        <v>11450497403</v>
      </c>
      <c r="W60" s="41">
        <f t="shared" si="20"/>
        <v>14471792697</v>
      </c>
      <c r="X60" s="41">
        <f t="shared" si="20"/>
        <v>38866783421</v>
      </c>
      <c r="Y60" s="41">
        <f t="shared" si="20"/>
        <v>0</v>
      </c>
      <c r="Z60" s="41">
        <f t="shared" si="20"/>
        <v>0</v>
      </c>
      <c r="AA60" s="41">
        <f t="shared" si="20"/>
        <v>0</v>
      </c>
      <c r="AB60" s="41">
        <f t="shared" si="20"/>
        <v>0</v>
      </c>
      <c r="AC60" s="41">
        <f t="shared" si="20"/>
        <v>0</v>
      </c>
      <c r="AD60" s="41">
        <f t="shared" si="20"/>
        <v>0</v>
      </c>
      <c r="AE60" s="41">
        <f t="shared" si="20"/>
        <v>0</v>
      </c>
      <c r="AF60" s="41">
        <f t="shared" si="20"/>
        <v>0</v>
      </c>
      <c r="AG60" s="41">
        <f t="shared" si="20"/>
        <v>0</v>
      </c>
      <c r="AH60" s="41">
        <f t="shared" si="20"/>
        <v>0</v>
      </c>
      <c r="AI60" s="41">
        <f t="shared" si="20"/>
        <v>0</v>
      </c>
      <c r="AJ60" s="41">
        <f t="shared" si="20"/>
        <v>0</v>
      </c>
      <c r="AK60" s="41">
        <f t="shared" si="20"/>
        <v>0</v>
      </c>
      <c r="AL60" s="41">
        <f t="shared" si="20"/>
        <v>0</v>
      </c>
      <c r="AM60" s="41">
        <f t="shared" si="20"/>
        <v>0</v>
      </c>
      <c r="AN60" s="41">
        <f t="shared" si="20"/>
        <v>0</v>
      </c>
      <c r="AO60" s="41">
        <f t="shared" si="20"/>
        <v>0</v>
      </c>
      <c r="AP60" s="41">
        <f t="shared" si="20"/>
        <v>0</v>
      </c>
      <c r="AQ60" s="41">
        <f t="shared" si="20"/>
        <v>0</v>
      </c>
      <c r="AR60" s="41">
        <f t="shared" si="20"/>
        <v>0</v>
      </c>
      <c r="AS60" s="41">
        <f t="shared" si="20"/>
        <v>38866783421</v>
      </c>
      <c r="AT60" s="41">
        <f t="shared" si="20"/>
        <v>4200000000</v>
      </c>
      <c r="AU60" s="41">
        <f t="shared" si="20"/>
        <v>4326000000</v>
      </c>
      <c r="AV60" s="41">
        <f t="shared" si="20"/>
        <v>4455780000</v>
      </c>
      <c r="AW60" s="41">
        <f t="shared" si="20"/>
        <v>4589453400</v>
      </c>
      <c r="AX60" s="41">
        <f t="shared" si="20"/>
        <v>17571233400</v>
      </c>
      <c r="AY60" s="41">
        <f t="shared" si="10"/>
        <v>56438016821</v>
      </c>
    </row>
    <row r="61" spans="1:51" ht="90">
      <c r="B61" s="29" t="s">
        <v>2471</v>
      </c>
      <c r="C61" s="88" t="s">
        <v>2472</v>
      </c>
      <c r="D61" s="88"/>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row>
    <row r="62" spans="1:51" ht="92.4">
      <c r="A62">
        <v>39</v>
      </c>
      <c r="B62" s="30" t="s">
        <v>2473</v>
      </c>
      <c r="C62" s="31" t="s">
        <v>2474</v>
      </c>
      <c r="D62" s="32" t="s">
        <v>2475</v>
      </c>
      <c r="E62" s="40"/>
      <c r="F62" s="40"/>
      <c r="G62" s="40"/>
      <c r="H62" s="40"/>
      <c r="I62" s="40">
        <f t="shared" si="1"/>
        <v>0</v>
      </c>
      <c r="J62" s="40">
        <v>0</v>
      </c>
      <c r="K62" s="40">
        <v>0</v>
      </c>
      <c r="L62" s="40">
        <v>0</v>
      </c>
      <c r="M62" s="40">
        <v>0</v>
      </c>
      <c r="N62" s="40">
        <f t="shared" si="2"/>
        <v>0</v>
      </c>
      <c r="O62" s="40"/>
      <c r="P62" s="40"/>
      <c r="Q62" s="40"/>
      <c r="R62" s="40"/>
      <c r="S62" s="40">
        <f t="shared" si="3"/>
        <v>0</v>
      </c>
      <c r="T62" s="40">
        <v>98000000</v>
      </c>
      <c r="U62" s="40">
        <v>109400000</v>
      </c>
      <c r="V62" s="40">
        <v>111000000</v>
      </c>
      <c r="W62" s="40">
        <v>115000000</v>
      </c>
      <c r="X62" s="40">
        <f t="shared" si="4"/>
        <v>433400000</v>
      </c>
      <c r="Y62" s="40"/>
      <c r="Z62" s="40"/>
      <c r="AA62" s="40"/>
      <c r="AB62" s="40"/>
      <c r="AC62" s="40">
        <f t="shared" si="5"/>
        <v>0</v>
      </c>
      <c r="AD62" s="40"/>
      <c r="AE62" s="40"/>
      <c r="AF62" s="40"/>
      <c r="AG62" s="40"/>
      <c r="AH62" s="40">
        <f t="shared" si="6"/>
        <v>0</v>
      </c>
      <c r="AI62" s="40"/>
      <c r="AJ62" s="40"/>
      <c r="AK62" s="40"/>
      <c r="AL62" s="40"/>
      <c r="AM62" s="40">
        <f t="shared" si="7"/>
        <v>0</v>
      </c>
      <c r="AN62" s="40"/>
      <c r="AO62" s="40"/>
      <c r="AP62" s="40"/>
      <c r="AQ62" s="40"/>
      <c r="AR62" s="40">
        <f t="shared" si="8"/>
        <v>0</v>
      </c>
      <c r="AS62" s="40">
        <f>SUM(AR62+AM62+AH62+AC62+X62+S62+N62)</f>
        <v>433400000</v>
      </c>
      <c r="AT62" s="40"/>
      <c r="AU62" s="40"/>
      <c r="AV62" s="40"/>
      <c r="AW62" s="40"/>
      <c r="AX62" s="40">
        <f t="shared" si="9"/>
        <v>0</v>
      </c>
      <c r="AY62" s="40">
        <f t="shared" si="10"/>
        <v>433400000</v>
      </c>
    </row>
    <row r="63" spans="1:51" ht="82.8">
      <c r="B63" s="89" t="s">
        <v>2476</v>
      </c>
      <c r="C63" s="89"/>
      <c r="D63" s="89"/>
      <c r="E63" s="41">
        <f>E62</f>
        <v>0</v>
      </c>
      <c r="F63" s="41">
        <f t="shared" ref="F63:AX63" si="21">F62</f>
        <v>0</v>
      </c>
      <c r="G63" s="41">
        <f t="shared" si="21"/>
        <v>0</v>
      </c>
      <c r="H63" s="41">
        <f t="shared" si="21"/>
        <v>0</v>
      </c>
      <c r="I63" s="41">
        <f t="shared" si="21"/>
        <v>0</v>
      </c>
      <c r="J63" s="41">
        <f t="shared" si="21"/>
        <v>0</v>
      </c>
      <c r="K63" s="41">
        <f t="shared" si="21"/>
        <v>0</v>
      </c>
      <c r="L63" s="41">
        <f t="shared" si="21"/>
        <v>0</v>
      </c>
      <c r="M63" s="41">
        <f t="shared" si="21"/>
        <v>0</v>
      </c>
      <c r="N63" s="41">
        <f t="shared" si="21"/>
        <v>0</v>
      </c>
      <c r="O63" s="41">
        <f t="shared" si="21"/>
        <v>0</v>
      </c>
      <c r="P63" s="41">
        <f t="shared" si="21"/>
        <v>0</v>
      </c>
      <c r="Q63" s="41">
        <f t="shared" si="21"/>
        <v>0</v>
      </c>
      <c r="R63" s="41">
        <f t="shared" si="21"/>
        <v>0</v>
      </c>
      <c r="S63" s="41">
        <f t="shared" si="21"/>
        <v>0</v>
      </c>
      <c r="T63" s="41">
        <f t="shared" si="21"/>
        <v>98000000</v>
      </c>
      <c r="U63" s="41">
        <f t="shared" si="21"/>
        <v>109400000</v>
      </c>
      <c r="V63" s="41">
        <f t="shared" si="21"/>
        <v>111000000</v>
      </c>
      <c r="W63" s="41">
        <f t="shared" si="21"/>
        <v>115000000</v>
      </c>
      <c r="X63" s="41">
        <f t="shared" si="21"/>
        <v>433400000</v>
      </c>
      <c r="Y63" s="41">
        <f t="shared" si="21"/>
        <v>0</v>
      </c>
      <c r="Z63" s="41">
        <f t="shared" si="21"/>
        <v>0</v>
      </c>
      <c r="AA63" s="41">
        <f t="shared" si="21"/>
        <v>0</v>
      </c>
      <c r="AB63" s="41">
        <f t="shared" si="21"/>
        <v>0</v>
      </c>
      <c r="AC63" s="41">
        <f t="shared" si="21"/>
        <v>0</v>
      </c>
      <c r="AD63" s="41">
        <f t="shared" si="21"/>
        <v>0</v>
      </c>
      <c r="AE63" s="41">
        <f t="shared" si="21"/>
        <v>0</v>
      </c>
      <c r="AF63" s="41">
        <f t="shared" si="21"/>
        <v>0</v>
      </c>
      <c r="AG63" s="41">
        <f t="shared" si="21"/>
        <v>0</v>
      </c>
      <c r="AH63" s="41">
        <f t="shared" si="21"/>
        <v>0</v>
      </c>
      <c r="AI63" s="41">
        <f t="shared" si="21"/>
        <v>0</v>
      </c>
      <c r="AJ63" s="41">
        <f t="shared" si="21"/>
        <v>0</v>
      </c>
      <c r="AK63" s="41">
        <f t="shared" si="21"/>
        <v>0</v>
      </c>
      <c r="AL63" s="41">
        <f t="shared" si="21"/>
        <v>0</v>
      </c>
      <c r="AM63" s="41">
        <f t="shared" si="21"/>
        <v>0</v>
      </c>
      <c r="AN63" s="41">
        <f t="shared" si="21"/>
        <v>0</v>
      </c>
      <c r="AO63" s="41">
        <f t="shared" si="21"/>
        <v>0</v>
      </c>
      <c r="AP63" s="41">
        <f t="shared" si="21"/>
        <v>0</v>
      </c>
      <c r="AQ63" s="41">
        <f t="shared" si="21"/>
        <v>0</v>
      </c>
      <c r="AR63" s="41">
        <f t="shared" si="21"/>
        <v>0</v>
      </c>
      <c r="AS63" s="41">
        <f t="shared" si="21"/>
        <v>433400000</v>
      </c>
      <c r="AT63" s="41">
        <f t="shared" si="21"/>
        <v>0</v>
      </c>
      <c r="AU63" s="41">
        <f t="shared" si="21"/>
        <v>0</v>
      </c>
      <c r="AV63" s="41">
        <f t="shared" si="21"/>
        <v>0</v>
      </c>
      <c r="AW63" s="41">
        <f t="shared" si="21"/>
        <v>0</v>
      </c>
      <c r="AX63" s="41">
        <f t="shared" si="21"/>
        <v>0</v>
      </c>
      <c r="AY63" s="41">
        <f t="shared" si="10"/>
        <v>433400000</v>
      </c>
    </row>
    <row r="64" spans="1:51" ht="105">
      <c r="B64" s="29" t="s">
        <v>2477</v>
      </c>
      <c r="C64" s="88" t="s">
        <v>2478</v>
      </c>
      <c r="D64" s="88"/>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row>
    <row r="65" spans="1:51" ht="105.6">
      <c r="A65">
        <v>40</v>
      </c>
      <c r="B65" s="30" t="s">
        <v>2479</v>
      </c>
      <c r="C65" s="31" t="s">
        <v>2480</v>
      </c>
      <c r="D65" s="32" t="s">
        <v>2481</v>
      </c>
      <c r="E65" s="40"/>
      <c r="F65" s="40"/>
      <c r="G65" s="40"/>
      <c r="H65" s="40"/>
      <c r="I65" s="40">
        <f t="shared" si="1"/>
        <v>0</v>
      </c>
      <c r="J65" s="40">
        <v>0</v>
      </c>
      <c r="K65" s="40">
        <v>0</v>
      </c>
      <c r="L65" s="40">
        <v>0</v>
      </c>
      <c r="M65" s="40">
        <v>0</v>
      </c>
      <c r="N65" s="40">
        <f t="shared" si="2"/>
        <v>0</v>
      </c>
      <c r="O65" s="40">
        <v>988846386</v>
      </c>
      <c r="P65" s="40">
        <v>1414894910</v>
      </c>
      <c r="Q65" s="40">
        <v>1538591758</v>
      </c>
      <c r="R65" s="40">
        <v>1685135428</v>
      </c>
      <c r="S65" s="40">
        <f t="shared" si="3"/>
        <v>5627468482</v>
      </c>
      <c r="T65" s="40">
        <v>82939500</v>
      </c>
      <c r="U65" s="40">
        <v>2978338957</v>
      </c>
      <c r="V65" s="40">
        <v>2410000000</v>
      </c>
      <c r="W65" s="40">
        <v>2515000000</v>
      </c>
      <c r="X65" s="40">
        <f t="shared" si="4"/>
        <v>7986278457</v>
      </c>
      <c r="Y65" s="40"/>
      <c r="Z65" s="40"/>
      <c r="AA65" s="40"/>
      <c r="AB65" s="40"/>
      <c r="AC65" s="40">
        <f t="shared" si="5"/>
        <v>0</v>
      </c>
      <c r="AD65" s="40"/>
      <c r="AE65" s="40"/>
      <c r="AF65" s="40"/>
      <c r="AG65" s="40"/>
      <c r="AH65" s="40">
        <f t="shared" si="6"/>
        <v>0</v>
      </c>
      <c r="AI65" s="40"/>
      <c r="AJ65" s="40"/>
      <c r="AK65" s="40"/>
      <c r="AL65" s="40"/>
      <c r="AM65" s="40">
        <f t="shared" si="7"/>
        <v>0</v>
      </c>
      <c r="AN65" s="40"/>
      <c r="AO65" s="40"/>
      <c r="AP65" s="40"/>
      <c r="AQ65" s="40"/>
      <c r="AR65" s="40">
        <f t="shared" si="8"/>
        <v>0</v>
      </c>
      <c r="AS65" s="40">
        <f>SUM(AR65+AM65+AH65+AC65+X65+S65+N65)</f>
        <v>13613746939</v>
      </c>
      <c r="AT65" s="40"/>
      <c r="AU65" s="40"/>
      <c r="AV65" s="40"/>
      <c r="AW65" s="40"/>
      <c r="AX65" s="40">
        <f t="shared" si="9"/>
        <v>0</v>
      </c>
      <c r="AY65" s="40">
        <f t="shared" si="10"/>
        <v>13613746939</v>
      </c>
    </row>
    <row r="66" spans="1:51" ht="79.2">
      <c r="A66">
        <v>41</v>
      </c>
      <c r="B66" s="30" t="s">
        <v>2482</v>
      </c>
      <c r="C66" s="31" t="s">
        <v>1419</v>
      </c>
      <c r="D66" s="32" t="s">
        <v>2481</v>
      </c>
      <c r="E66" s="40"/>
      <c r="F66" s="40"/>
      <c r="G66" s="40"/>
      <c r="H66" s="40"/>
      <c r="I66" s="40">
        <f t="shared" si="1"/>
        <v>0</v>
      </c>
      <c r="J66" s="40">
        <v>0</v>
      </c>
      <c r="K66" s="40">
        <v>0</v>
      </c>
      <c r="L66" s="40">
        <v>0</v>
      </c>
      <c r="M66" s="40">
        <v>0</v>
      </c>
      <c r="N66" s="40">
        <f t="shared" si="2"/>
        <v>0</v>
      </c>
      <c r="O66" s="40">
        <v>868255361</v>
      </c>
      <c r="P66" s="40">
        <v>764043252</v>
      </c>
      <c r="Q66" s="40">
        <v>830839550</v>
      </c>
      <c r="R66" s="40">
        <v>909973132</v>
      </c>
      <c r="S66" s="40">
        <f t="shared" si="3"/>
        <v>3373111295</v>
      </c>
      <c r="T66" s="40"/>
      <c r="U66" s="40"/>
      <c r="V66" s="40"/>
      <c r="W66" s="40"/>
      <c r="X66" s="40">
        <f t="shared" si="4"/>
        <v>0</v>
      </c>
      <c r="Y66" s="40"/>
      <c r="Z66" s="40"/>
      <c r="AA66" s="40"/>
      <c r="AB66" s="40"/>
      <c r="AC66" s="40">
        <f t="shared" si="5"/>
        <v>0</v>
      </c>
      <c r="AD66" s="40"/>
      <c r="AE66" s="40"/>
      <c r="AF66" s="40"/>
      <c r="AG66" s="40"/>
      <c r="AH66" s="40">
        <f t="shared" si="6"/>
        <v>0</v>
      </c>
      <c r="AI66" s="40"/>
      <c r="AJ66" s="40"/>
      <c r="AK66" s="40"/>
      <c r="AL66" s="40"/>
      <c r="AM66" s="40">
        <f t="shared" si="7"/>
        <v>0</v>
      </c>
      <c r="AN66" s="40"/>
      <c r="AO66" s="40"/>
      <c r="AP66" s="40"/>
      <c r="AQ66" s="40"/>
      <c r="AR66" s="40">
        <f t="shared" si="8"/>
        <v>0</v>
      </c>
      <c r="AS66" s="40">
        <f>SUM(AR66+AM66+AH66+AC66+X66+S66+N66)</f>
        <v>3373111295</v>
      </c>
      <c r="AT66" s="40"/>
      <c r="AU66" s="40"/>
      <c r="AV66" s="40"/>
      <c r="AW66" s="40"/>
      <c r="AX66" s="40">
        <f t="shared" si="9"/>
        <v>0</v>
      </c>
      <c r="AY66" s="40">
        <f t="shared" si="10"/>
        <v>3373111295</v>
      </c>
    </row>
    <row r="67" spans="1:51" ht="132">
      <c r="A67">
        <v>42</v>
      </c>
      <c r="B67" s="30" t="s">
        <v>2483</v>
      </c>
      <c r="C67" s="31" t="s">
        <v>2484</v>
      </c>
      <c r="D67" s="32" t="s">
        <v>2481</v>
      </c>
      <c r="E67" s="40"/>
      <c r="F67" s="40"/>
      <c r="G67" s="40"/>
      <c r="H67" s="40"/>
      <c r="I67" s="40">
        <f t="shared" si="1"/>
        <v>0</v>
      </c>
      <c r="J67" s="40">
        <v>0</v>
      </c>
      <c r="K67" s="40">
        <v>0</v>
      </c>
      <c r="L67" s="40">
        <v>0</v>
      </c>
      <c r="M67" s="40">
        <v>0</v>
      </c>
      <c r="N67" s="40">
        <f t="shared" si="2"/>
        <v>0</v>
      </c>
      <c r="O67" s="40">
        <v>72354613</v>
      </c>
      <c r="P67" s="40">
        <v>84893695</v>
      </c>
      <c r="Q67" s="40">
        <v>92315505</v>
      </c>
      <c r="R67" s="40">
        <v>101108125</v>
      </c>
      <c r="S67" s="40">
        <f t="shared" si="3"/>
        <v>350671938</v>
      </c>
      <c r="T67" s="40"/>
      <c r="U67" s="40">
        <v>2000000000</v>
      </c>
      <c r="V67" s="40">
        <v>2090000000</v>
      </c>
      <c r="W67" s="40"/>
      <c r="X67" s="40">
        <f t="shared" si="4"/>
        <v>4090000000</v>
      </c>
      <c r="Y67" s="40"/>
      <c r="Z67" s="40"/>
      <c r="AA67" s="40"/>
      <c r="AB67" s="40"/>
      <c r="AC67" s="40">
        <f t="shared" si="5"/>
        <v>0</v>
      </c>
      <c r="AD67" s="40"/>
      <c r="AE67" s="40"/>
      <c r="AF67" s="40"/>
      <c r="AG67" s="40"/>
      <c r="AH67" s="40">
        <f t="shared" si="6"/>
        <v>0</v>
      </c>
      <c r="AI67" s="40"/>
      <c r="AJ67" s="40"/>
      <c r="AK67" s="40"/>
      <c r="AL67" s="40"/>
      <c r="AM67" s="40">
        <f t="shared" si="7"/>
        <v>0</v>
      </c>
      <c r="AN67" s="40"/>
      <c r="AO67" s="40"/>
      <c r="AP67" s="40"/>
      <c r="AQ67" s="40"/>
      <c r="AR67" s="40">
        <f t="shared" si="8"/>
        <v>0</v>
      </c>
      <c r="AS67" s="40">
        <f>SUM(AR67+AM67+AH67+AC67+X67+S67+N67)</f>
        <v>4440671938</v>
      </c>
      <c r="AT67" s="40"/>
      <c r="AU67" s="40"/>
      <c r="AV67" s="40"/>
      <c r="AW67" s="40"/>
      <c r="AX67" s="40">
        <f t="shared" si="9"/>
        <v>0</v>
      </c>
      <c r="AY67" s="40">
        <f t="shared" si="10"/>
        <v>4440671938</v>
      </c>
    </row>
    <row r="68" spans="1:51" ht="92.4">
      <c r="A68">
        <v>43</v>
      </c>
      <c r="B68" s="30" t="s">
        <v>2485</v>
      </c>
      <c r="C68" s="31" t="s">
        <v>2486</v>
      </c>
      <c r="D68" s="32" t="s">
        <v>2481</v>
      </c>
      <c r="E68" s="40"/>
      <c r="F68" s="40"/>
      <c r="G68" s="40"/>
      <c r="H68" s="40"/>
      <c r="I68" s="40">
        <f t="shared" si="1"/>
        <v>0</v>
      </c>
      <c r="J68" s="40">
        <v>0</v>
      </c>
      <c r="K68" s="40">
        <v>0</v>
      </c>
      <c r="L68" s="40">
        <v>0</v>
      </c>
      <c r="M68" s="40">
        <v>0</v>
      </c>
      <c r="N68" s="40">
        <f t="shared" si="2"/>
        <v>0</v>
      </c>
      <c r="O68" s="40">
        <v>1247790425</v>
      </c>
      <c r="P68" s="40">
        <v>1000000000</v>
      </c>
      <c r="Q68" s="40">
        <v>900000000</v>
      </c>
      <c r="R68" s="40">
        <v>800000000</v>
      </c>
      <c r="S68" s="40">
        <f t="shared" si="3"/>
        <v>3947790425</v>
      </c>
      <c r="T68" s="40"/>
      <c r="U68" s="40"/>
      <c r="V68" s="40"/>
      <c r="W68" s="40">
        <v>2185000000</v>
      </c>
      <c r="X68" s="40">
        <f t="shared" si="4"/>
        <v>2185000000</v>
      </c>
      <c r="Y68" s="40"/>
      <c r="Z68" s="40"/>
      <c r="AA68" s="40"/>
      <c r="AB68" s="40"/>
      <c r="AC68" s="40">
        <f t="shared" si="5"/>
        <v>0</v>
      </c>
      <c r="AD68" s="40"/>
      <c r="AE68" s="40"/>
      <c r="AF68" s="40"/>
      <c r="AG68" s="40"/>
      <c r="AH68" s="40">
        <f t="shared" si="6"/>
        <v>0</v>
      </c>
      <c r="AI68" s="40"/>
      <c r="AJ68" s="40">
        <v>60000000000</v>
      </c>
      <c r="AK68" s="40"/>
      <c r="AL68" s="40"/>
      <c r="AM68" s="40">
        <f t="shared" si="7"/>
        <v>60000000000</v>
      </c>
      <c r="AN68" s="40"/>
      <c r="AO68" s="40"/>
      <c r="AP68" s="40"/>
      <c r="AQ68" s="40"/>
      <c r="AR68" s="40">
        <f t="shared" si="8"/>
        <v>0</v>
      </c>
      <c r="AS68" s="40">
        <f>SUM(AR68+AM68+AH68+AC68+X68+S68+N68)</f>
        <v>66132790425</v>
      </c>
      <c r="AT68" s="40"/>
      <c r="AU68" s="40"/>
      <c r="AV68" s="40"/>
      <c r="AW68" s="40"/>
      <c r="AX68" s="40">
        <f t="shared" si="9"/>
        <v>0</v>
      </c>
      <c r="AY68" s="40">
        <f t="shared" si="10"/>
        <v>66132790425</v>
      </c>
    </row>
    <row r="69" spans="1:51" ht="82.8">
      <c r="B69" s="89" t="s">
        <v>2487</v>
      </c>
      <c r="C69" s="89"/>
      <c r="D69" s="89"/>
      <c r="E69" s="41">
        <f>SUM(E65:E68)</f>
        <v>0</v>
      </c>
      <c r="F69" s="41">
        <f t="shared" ref="F69:AX69" si="22">SUM(F65:F68)</f>
        <v>0</v>
      </c>
      <c r="G69" s="41">
        <f t="shared" si="22"/>
        <v>0</v>
      </c>
      <c r="H69" s="41">
        <f t="shared" si="22"/>
        <v>0</v>
      </c>
      <c r="I69" s="41">
        <f t="shared" si="22"/>
        <v>0</v>
      </c>
      <c r="J69" s="41">
        <f t="shared" si="22"/>
        <v>0</v>
      </c>
      <c r="K69" s="41">
        <f t="shared" si="22"/>
        <v>0</v>
      </c>
      <c r="L69" s="41">
        <f t="shared" si="22"/>
        <v>0</v>
      </c>
      <c r="M69" s="41">
        <f t="shared" si="22"/>
        <v>0</v>
      </c>
      <c r="N69" s="41">
        <f t="shared" si="22"/>
        <v>0</v>
      </c>
      <c r="O69" s="41">
        <f t="shared" si="22"/>
        <v>3177246785</v>
      </c>
      <c r="P69" s="41">
        <f t="shared" si="22"/>
        <v>3263831857</v>
      </c>
      <c r="Q69" s="41">
        <f t="shared" si="22"/>
        <v>3361746813</v>
      </c>
      <c r="R69" s="41">
        <f t="shared" si="22"/>
        <v>3496216685</v>
      </c>
      <c r="S69" s="41">
        <f t="shared" si="22"/>
        <v>13299042140</v>
      </c>
      <c r="T69" s="41">
        <f t="shared" si="22"/>
        <v>82939500</v>
      </c>
      <c r="U69" s="41">
        <f t="shared" si="22"/>
        <v>4978338957</v>
      </c>
      <c r="V69" s="41">
        <f t="shared" si="22"/>
        <v>4500000000</v>
      </c>
      <c r="W69" s="41">
        <f t="shared" si="22"/>
        <v>4700000000</v>
      </c>
      <c r="X69" s="41">
        <f t="shared" si="22"/>
        <v>14261278457</v>
      </c>
      <c r="Y69" s="41">
        <f t="shared" si="22"/>
        <v>0</v>
      </c>
      <c r="Z69" s="41">
        <f t="shared" si="22"/>
        <v>0</v>
      </c>
      <c r="AA69" s="41">
        <f t="shared" si="22"/>
        <v>0</v>
      </c>
      <c r="AB69" s="41">
        <f t="shared" si="22"/>
        <v>0</v>
      </c>
      <c r="AC69" s="41">
        <f t="shared" si="22"/>
        <v>0</v>
      </c>
      <c r="AD69" s="41">
        <f t="shared" si="22"/>
        <v>0</v>
      </c>
      <c r="AE69" s="41">
        <f t="shared" si="22"/>
        <v>0</v>
      </c>
      <c r="AF69" s="41">
        <f t="shared" si="22"/>
        <v>0</v>
      </c>
      <c r="AG69" s="41">
        <f t="shared" si="22"/>
        <v>0</v>
      </c>
      <c r="AH69" s="41">
        <f t="shared" si="22"/>
        <v>0</v>
      </c>
      <c r="AI69" s="41">
        <f t="shared" si="22"/>
        <v>0</v>
      </c>
      <c r="AJ69" s="41">
        <f t="shared" si="22"/>
        <v>60000000000</v>
      </c>
      <c r="AK69" s="41">
        <f t="shared" si="22"/>
        <v>0</v>
      </c>
      <c r="AL69" s="41">
        <f t="shared" si="22"/>
        <v>0</v>
      </c>
      <c r="AM69" s="41">
        <f t="shared" si="22"/>
        <v>60000000000</v>
      </c>
      <c r="AN69" s="41">
        <f t="shared" si="22"/>
        <v>0</v>
      </c>
      <c r="AO69" s="41">
        <f t="shared" si="22"/>
        <v>0</v>
      </c>
      <c r="AP69" s="41">
        <f t="shared" si="22"/>
        <v>0</v>
      </c>
      <c r="AQ69" s="41">
        <f t="shared" si="22"/>
        <v>0</v>
      </c>
      <c r="AR69" s="41">
        <f t="shared" si="22"/>
        <v>0</v>
      </c>
      <c r="AS69" s="41">
        <f t="shared" si="22"/>
        <v>87560320597</v>
      </c>
      <c r="AT69" s="41">
        <f t="shared" si="22"/>
        <v>0</v>
      </c>
      <c r="AU69" s="41">
        <f t="shared" si="22"/>
        <v>0</v>
      </c>
      <c r="AV69" s="41">
        <f t="shared" si="22"/>
        <v>0</v>
      </c>
      <c r="AW69" s="41">
        <f t="shared" si="22"/>
        <v>0</v>
      </c>
      <c r="AX69" s="41">
        <f t="shared" si="22"/>
        <v>0</v>
      </c>
      <c r="AY69" s="41">
        <f t="shared" si="10"/>
        <v>87560320597</v>
      </c>
    </row>
    <row r="70" spans="1:51" ht="120">
      <c r="B70" s="90" t="s">
        <v>2488</v>
      </c>
      <c r="C70" s="90"/>
      <c r="D70" s="90"/>
      <c r="E70" s="42">
        <f>E69+E63+E60+E53+E45+E42+E30+E23+E17+E14</f>
        <v>57589924467.529999</v>
      </c>
      <c r="F70" s="42">
        <f>F69+F63+F60+F53+F45+F42+F30+F23+F17+F14</f>
        <v>40498771117.10907</v>
      </c>
      <c r="G70" s="42">
        <f t="shared" ref="G70:AY70" si="23">G69+G63+G60+G53+G45+G42+G30+G23+G17+G14</f>
        <v>54967987492.397301</v>
      </c>
      <c r="H70" s="42">
        <f t="shared" si="23"/>
        <v>47632197914.622353</v>
      </c>
      <c r="I70" s="42">
        <f t="shared" si="23"/>
        <v>200688880991.65872</v>
      </c>
      <c r="J70" s="42">
        <f t="shared" si="23"/>
        <v>601578606631</v>
      </c>
      <c r="K70" s="42">
        <f t="shared" si="23"/>
        <v>619625964829.93005</v>
      </c>
      <c r="L70" s="42">
        <f t="shared" si="23"/>
        <v>638214743774.828</v>
      </c>
      <c r="M70" s="42">
        <f t="shared" si="23"/>
        <v>657361186088.07288</v>
      </c>
      <c r="N70" s="42">
        <f t="shared" si="23"/>
        <v>2516780501323.8301</v>
      </c>
      <c r="O70" s="42">
        <f t="shared" si="23"/>
        <v>131516271879.77319</v>
      </c>
      <c r="P70" s="42">
        <f t="shared" si="23"/>
        <v>137500161020.61047</v>
      </c>
      <c r="Q70" s="42">
        <f t="shared" si="23"/>
        <v>141796161538.33392</v>
      </c>
      <c r="R70" s="42">
        <f t="shared" si="23"/>
        <v>147567331936.3992</v>
      </c>
      <c r="S70" s="42">
        <f t="shared" si="23"/>
        <v>558379926375.11682</v>
      </c>
      <c r="T70" s="42">
        <f t="shared" si="23"/>
        <v>4255667677.2600002</v>
      </c>
      <c r="U70" s="42">
        <f t="shared" si="23"/>
        <v>20787245682</v>
      </c>
      <c r="V70" s="42">
        <f t="shared" si="23"/>
        <v>21043529561.900002</v>
      </c>
      <c r="W70" s="42">
        <f t="shared" si="23"/>
        <v>24535708805.8367</v>
      </c>
      <c r="X70" s="42">
        <f t="shared" si="23"/>
        <v>70622151726.996704</v>
      </c>
      <c r="Y70" s="42">
        <f t="shared" si="23"/>
        <v>100000000</v>
      </c>
      <c r="Z70" s="42">
        <f t="shared" si="23"/>
        <v>110000000</v>
      </c>
      <c r="AA70" s="42">
        <f t="shared" si="23"/>
        <v>115000000</v>
      </c>
      <c r="AB70" s="42">
        <f t="shared" si="23"/>
        <v>135000000</v>
      </c>
      <c r="AC70" s="42">
        <f t="shared" si="23"/>
        <v>460000000</v>
      </c>
      <c r="AD70" s="42">
        <f t="shared" si="23"/>
        <v>0</v>
      </c>
      <c r="AE70" s="42">
        <f t="shared" si="23"/>
        <v>0</v>
      </c>
      <c r="AF70" s="42">
        <f t="shared" si="23"/>
        <v>0</v>
      </c>
      <c r="AG70" s="42">
        <f t="shared" si="23"/>
        <v>0</v>
      </c>
      <c r="AH70" s="42">
        <f t="shared" si="23"/>
        <v>0</v>
      </c>
      <c r="AI70" s="42">
        <f t="shared" si="23"/>
        <v>10000000000</v>
      </c>
      <c r="AJ70" s="42">
        <f t="shared" si="23"/>
        <v>60000000000</v>
      </c>
      <c r="AK70" s="42">
        <f t="shared" si="23"/>
        <v>10000000000</v>
      </c>
      <c r="AL70" s="42">
        <f t="shared" si="23"/>
        <v>0</v>
      </c>
      <c r="AM70" s="42">
        <f t="shared" si="23"/>
        <v>80000000000</v>
      </c>
      <c r="AN70" s="42">
        <f t="shared" si="23"/>
        <v>11669237200</v>
      </c>
      <c r="AO70" s="42">
        <f t="shared" si="23"/>
        <v>105000000</v>
      </c>
      <c r="AP70" s="42">
        <f t="shared" si="23"/>
        <v>141750000</v>
      </c>
      <c r="AQ70" s="42">
        <f t="shared" si="23"/>
        <v>148837500</v>
      </c>
      <c r="AR70" s="42">
        <f t="shared" si="23"/>
        <v>12064824700</v>
      </c>
      <c r="AS70" s="42">
        <f t="shared" si="23"/>
        <v>3238307404125.9438</v>
      </c>
      <c r="AT70" s="42">
        <f t="shared" si="23"/>
        <v>4900000000</v>
      </c>
      <c r="AU70" s="42">
        <f t="shared" si="23"/>
        <v>5061000000</v>
      </c>
      <c r="AV70" s="42">
        <f t="shared" si="23"/>
        <v>5227530000</v>
      </c>
      <c r="AW70" s="42">
        <f t="shared" si="23"/>
        <v>5399790900</v>
      </c>
      <c r="AX70" s="42">
        <f t="shared" si="23"/>
        <v>20588320900</v>
      </c>
      <c r="AY70" s="42">
        <f t="shared" si="23"/>
        <v>3459584606017.6025</v>
      </c>
    </row>
    <row r="71" spans="1:51" ht="105">
      <c r="B71" s="28">
        <v>2</v>
      </c>
      <c r="C71" s="92" t="s">
        <v>2489</v>
      </c>
      <c r="D71" s="92"/>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8"/>
      <c r="AT71" s="38"/>
      <c r="AU71" s="38"/>
      <c r="AV71" s="38"/>
      <c r="AW71" s="38"/>
      <c r="AX71" s="38"/>
      <c r="AY71" s="38"/>
    </row>
    <row r="72" spans="1:51" ht="90">
      <c r="B72" s="29" t="s">
        <v>2490</v>
      </c>
      <c r="C72" s="88" t="s">
        <v>2491</v>
      </c>
      <c r="D72" s="88"/>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row>
    <row r="73" spans="1:51" ht="92.4">
      <c r="A73">
        <v>44</v>
      </c>
      <c r="B73" s="30" t="s">
        <v>2492</v>
      </c>
      <c r="C73" s="31" t="s">
        <v>1470</v>
      </c>
      <c r="D73" s="32" t="s">
        <v>2493</v>
      </c>
      <c r="E73" s="40"/>
      <c r="F73" s="40"/>
      <c r="G73" s="40">
        <v>12000000000</v>
      </c>
      <c r="H73" s="40">
        <v>13500000000</v>
      </c>
      <c r="I73" s="40">
        <f t="shared" ref="I73:I134" si="24">SUM(E73:H73)</f>
        <v>25500000000</v>
      </c>
      <c r="J73" s="40">
        <v>0</v>
      </c>
      <c r="K73" s="40">
        <v>0</v>
      </c>
      <c r="L73" s="40">
        <v>0</v>
      </c>
      <c r="M73" s="40">
        <v>0</v>
      </c>
      <c r="N73" s="40">
        <f t="shared" ref="N73:N134" si="25">SUM(J73:M73)</f>
        <v>0</v>
      </c>
      <c r="O73" s="40"/>
      <c r="P73" s="40"/>
      <c r="Q73" s="40"/>
      <c r="R73" s="40"/>
      <c r="S73" s="40">
        <f t="shared" ref="S73:S134" si="26">SUM(O73:R73)</f>
        <v>0</v>
      </c>
      <c r="T73" s="40">
        <v>100000000</v>
      </c>
      <c r="U73" s="40">
        <v>476332973</v>
      </c>
      <c r="V73" s="40">
        <v>700149621</v>
      </c>
      <c r="W73" s="40">
        <v>694719040</v>
      </c>
      <c r="X73" s="40">
        <f t="shared" ref="X73:X134" si="27">SUM(T73:W73)</f>
        <v>1971201634</v>
      </c>
      <c r="Y73" s="40"/>
      <c r="Z73" s="40"/>
      <c r="AA73" s="40"/>
      <c r="AB73" s="40"/>
      <c r="AC73" s="40">
        <f t="shared" ref="AC73:AC134" si="28">SUM(Y73:AB73)</f>
        <v>0</v>
      </c>
      <c r="AD73" s="40"/>
      <c r="AE73" s="40"/>
      <c r="AF73" s="40"/>
      <c r="AG73" s="40"/>
      <c r="AH73" s="40">
        <f t="shared" ref="AH73:AH134" si="29">SUM(AD73:AG73)</f>
        <v>0</v>
      </c>
      <c r="AI73" s="40"/>
      <c r="AJ73" s="40"/>
      <c r="AK73" s="40"/>
      <c r="AL73" s="40"/>
      <c r="AM73" s="40">
        <f t="shared" ref="AM73:AM134" si="30">SUM(AI73:AL73)</f>
        <v>0</v>
      </c>
      <c r="AN73" s="40">
        <v>555936450</v>
      </c>
      <c r="AO73" s="40"/>
      <c r="AP73" s="40"/>
      <c r="AQ73" s="40"/>
      <c r="AR73" s="40">
        <f t="shared" ref="AR73:AR134" si="31">SUM(AN73:AQ73)</f>
        <v>555936450</v>
      </c>
      <c r="AS73" s="40">
        <f>SUM(AR73+AM73+AH73+AC73+X73+S73+N73)</f>
        <v>2527138084</v>
      </c>
      <c r="AT73" s="40"/>
      <c r="AU73" s="40"/>
      <c r="AV73" s="40"/>
      <c r="AW73" s="40"/>
      <c r="AX73" s="40">
        <f t="shared" ref="AX73:AX134" si="32">SUM(AT73:AW73)</f>
        <v>0</v>
      </c>
      <c r="AY73" s="40">
        <f t="shared" ref="AY73:AY135" si="33">SUM(AX73+AS73+I73)</f>
        <v>28027138084</v>
      </c>
    </row>
    <row r="74" spans="1:51" ht="118.8">
      <c r="A74">
        <v>45</v>
      </c>
      <c r="B74" s="30" t="s">
        <v>2494</v>
      </c>
      <c r="C74" s="31" t="s">
        <v>1490</v>
      </c>
      <c r="D74" s="32" t="s">
        <v>2493</v>
      </c>
      <c r="E74" s="40">
        <v>11000000000</v>
      </c>
      <c r="F74" s="40">
        <v>11000000000</v>
      </c>
      <c r="G74" s="40"/>
      <c r="H74" s="40"/>
      <c r="I74" s="40">
        <f t="shared" si="24"/>
        <v>22000000000</v>
      </c>
      <c r="J74" s="40">
        <v>0</v>
      </c>
      <c r="K74" s="40">
        <v>0</v>
      </c>
      <c r="L74" s="40">
        <v>0</v>
      </c>
      <c r="M74" s="40">
        <v>0</v>
      </c>
      <c r="N74" s="40">
        <f t="shared" si="25"/>
        <v>0</v>
      </c>
      <c r="O74" s="40"/>
      <c r="P74" s="40"/>
      <c r="Q74" s="40"/>
      <c r="R74" s="40"/>
      <c r="S74" s="40">
        <f t="shared" si="26"/>
        <v>0</v>
      </c>
      <c r="T74" s="40">
        <v>100000000</v>
      </c>
      <c r="U74" s="40">
        <v>1319454715</v>
      </c>
      <c r="V74" s="40">
        <v>1085427452</v>
      </c>
      <c r="W74" s="40">
        <v>1206977271</v>
      </c>
      <c r="X74" s="40">
        <f t="shared" si="27"/>
        <v>3711859438</v>
      </c>
      <c r="Y74" s="40"/>
      <c r="Z74" s="40"/>
      <c r="AA74" s="40"/>
      <c r="AB74" s="40"/>
      <c r="AC74" s="40">
        <f t="shared" si="28"/>
        <v>0</v>
      </c>
      <c r="AD74" s="40"/>
      <c r="AE74" s="40"/>
      <c r="AF74" s="40"/>
      <c r="AG74" s="40"/>
      <c r="AH74" s="40">
        <f t="shared" si="29"/>
        <v>0</v>
      </c>
      <c r="AI74" s="40"/>
      <c r="AJ74" s="40"/>
      <c r="AK74" s="40"/>
      <c r="AL74" s="40"/>
      <c r="AM74" s="40">
        <f t="shared" si="30"/>
        <v>0</v>
      </c>
      <c r="AN74" s="40">
        <v>788887850</v>
      </c>
      <c r="AO74" s="40"/>
      <c r="AP74" s="40"/>
      <c r="AQ74" s="40"/>
      <c r="AR74" s="40">
        <f t="shared" si="31"/>
        <v>788887850</v>
      </c>
      <c r="AS74" s="40">
        <f>SUM(AR74+AM74+AH74+AC74+X74+S74+N74)</f>
        <v>4500747288</v>
      </c>
      <c r="AT74" s="40"/>
      <c r="AU74" s="40"/>
      <c r="AV74" s="40"/>
      <c r="AW74" s="40"/>
      <c r="AX74" s="40">
        <f t="shared" si="32"/>
        <v>0</v>
      </c>
      <c r="AY74" s="40">
        <f t="shared" si="33"/>
        <v>26500747288</v>
      </c>
    </row>
    <row r="75" spans="1:51" ht="66">
      <c r="A75">
        <v>46</v>
      </c>
      <c r="B75" s="30" t="s">
        <v>2495</v>
      </c>
      <c r="C75" s="31" t="s">
        <v>1521</v>
      </c>
      <c r="D75" s="32" t="s">
        <v>2493</v>
      </c>
      <c r="E75" s="40"/>
      <c r="F75" s="40"/>
      <c r="G75" s="40"/>
      <c r="H75" s="40"/>
      <c r="I75" s="40">
        <f t="shared" si="24"/>
        <v>0</v>
      </c>
      <c r="J75" s="40">
        <v>0</v>
      </c>
      <c r="K75" s="40">
        <v>0</v>
      </c>
      <c r="L75" s="40">
        <v>0</v>
      </c>
      <c r="M75" s="40">
        <v>0</v>
      </c>
      <c r="N75" s="40">
        <f t="shared" si="25"/>
        <v>0</v>
      </c>
      <c r="O75" s="40"/>
      <c r="P75" s="40"/>
      <c r="Q75" s="40"/>
      <c r="R75" s="40"/>
      <c r="S75" s="40">
        <f t="shared" si="26"/>
        <v>0</v>
      </c>
      <c r="T75" s="40">
        <v>85537600</v>
      </c>
      <c r="U75" s="40">
        <v>284248965</v>
      </c>
      <c r="V75" s="40">
        <v>398461413</v>
      </c>
      <c r="W75" s="40">
        <v>413384484</v>
      </c>
      <c r="X75" s="40">
        <f t="shared" si="27"/>
        <v>1181632462</v>
      </c>
      <c r="Y75" s="40"/>
      <c r="Z75" s="40"/>
      <c r="AA75" s="40"/>
      <c r="AB75" s="40"/>
      <c r="AC75" s="40">
        <f t="shared" si="28"/>
        <v>0</v>
      </c>
      <c r="AD75" s="40"/>
      <c r="AE75" s="40"/>
      <c r="AF75" s="40"/>
      <c r="AG75" s="40"/>
      <c r="AH75" s="40">
        <f t="shared" si="29"/>
        <v>0</v>
      </c>
      <c r="AI75" s="40"/>
      <c r="AJ75" s="40"/>
      <c r="AK75" s="40"/>
      <c r="AL75" s="40"/>
      <c r="AM75" s="40">
        <f t="shared" si="30"/>
        <v>0</v>
      </c>
      <c r="AN75" s="40">
        <v>485175700</v>
      </c>
      <c r="AO75" s="40"/>
      <c r="AP75" s="40"/>
      <c r="AQ75" s="40"/>
      <c r="AR75" s="40">
        <f t="shared" si="31"/>
        <v>485175700</v>
      </c>
      <c r="AS75" s="40">
        <f>SUM(AR75+AM75+AH75+AC75+X75+S75+N75)</f>
        <v>1666808162</v>
      </c>
      <c r="AT75" s="40"/>
      <c r="AU75" s="40"/>
      <c r="AV75" s="40"/>
      <c r="AW75" s="40"/>
      <c r="AX75" s="40">
        <f t="shared" si="32"/>
        <v>0</v>
      </c>
      <c r="AY75" s="40">
        <f t="shared" si="33"/>
        <v>1666808162</v>
      </c>
    </row>
    <row r="76" spans="1:51" ht="69">
      <c r="B76" s="89" t="s">
        <v>2496</v>
      </c>
      <c r="C76" s="89"/>
      <c r="D76" s="89"/>
      <c r="E76" s="41">
        <f>SUM(E73:E75)</f>
        <v>11000000000</v>
      </c>
      <c r="F76" s="41">
        <f t="shared" ref="F76:AX76" si="34">SUM(F73:F75)</f>
        <v>11000000000</v>
      </c>
      <c r="G76" s="41">
        <f t="shared" si="34"/>
        <v>12000000000</v>
      </c>
      <c r="H76" s="41">
        <f t="shared" si="34"/>
        <v>13500000000</v>
      </c>
      <c r="I76" s="41">
        <f t="shared" si="34"/>
        <v>47500000000</v>
      </c>
      <c r="J76" s="41">
        <f t="shared" si="34"/>
        <v>0</v>
      </c>
      <c r="K76" s="41">
        <f t="shared" si="34"/>
        <v>0</v>
      </c>
      <c r="L76" s="41">
        <f t="shared" si="34"/>
        <v>0</v>
      </c>
      <c r="M76" s="41">
        <f t="shared" si="34"/>
        <v>0</v>
      </c>
      <c r="N76" s="41">
        <f t="shared" si="34"/>
        <v>0</v>
      </c>
      <c r="O76" s="41">
        <f t="shared" si="34"/>
        <v>0</v>
      </c>
      <c r="P76" s="41">
        <f t="shared" si="34"/>
        <v>0</v>
      </c>
      <c r="Q76" s="41">
        <f t="shared" si="34"/>
        <v>0</v>
      </c>
      <c r="R76" s="41">
        <f t="shared" si="34"/>
        <v>0</v>
      </c>
      <c r="S76" s="41">
        <f t="shared" si="34"/>
        <v>0</v>
      </c>
      <c r="T76" s="41">
        <f t="shared" si="34"/>
        <v>285537600</v>
      </c>
      <c r="U76" s="41">
        <f t="shared" si="34"/>
        <v>2080036653</v>
      </c>
      <c r="V76" s="41">
        <f t="shared" si="34"/>
        <v>2184038486</v>
      </c>
      <c r="W76" s="41">
        <f t="shared" si="34"/>
        <v>2315080795</v>
      </c>
      <c r="X76" s="41">
        <f t="shared" si="34"/>
        <v>6864693534</v>
      </c>
      <c r="Y76" s="41">
        <f t="shared" si="34"/>
        <v>0</v>
      </c>
      <c r="Z76" s="41">
        <f t="shared" si="34"/>
        <v>0</v>
      </c>
      <c r="AA76" s="41">
        <f t="shared" si="34"/>
        <v>0</v>
      </c>
      <c r="AB76" s="41">
        <f t="shared" si="34"/>
        <v>0</v>
      </c>
      <c r="AC76" s="41">
        <f t="shared" si="34"/>
        <v>0</v>
      </c>
      <c r="AD76" s="41">
        <f t="shared" si="34"/>
        <v>0</v>
      </c>
      <c r="AE76" s="41">
        <f t="shared" si="34"/>
        <v>0</v>
      </c>
      <c r="AF76" s="41">
        <f t="shared" si="34"/>
        <v>0</v>
      </c>
      <c r="AG76" s="41">
        <f t="shared" si="34"/>
        <v>0</v>
      </c>
      <c r="AH76" s="41">
        <f t="shared" si="34"/>
        <v>0</v>
      </c>
      <c r="AI76" s="41">
        <f t="shared" si="34"/>
        <v>0</v>
      </c>
      <c r="AJ76" s="41">
        <f t="shared" si="34"/>
        <v>0</v>
      </c>
      <c r="AK76" s="41">
        <f t="shared" si="34"/>
        <v>0</v>
      </c>
      <c r="AL76" s="41">
        <f t="shared" si="34"/>
        <v>0</v>
      </c>
      <c r="AM76" s="41">
        <f t="shared" si="34"/>
        <v>0</v>
      </c>
      <c r="AN76" s="41">
        <f t="shared" si="34"/>
        <v>1830000000</v>
      </c>
      <c r="AO76" s="41">
        <f t="shared" si="34"/>
        <v>0</v>
      </c>
      <c r="AP76" s="41">
        <f t="shared" si="34"/>
        <v>0</v>
      </c>
      <c r="AQ76" s="41">
        <f t="shared" si="34"/>
        <v>0</v>
      </c>
      <c r="AR76" s="41">
        <f t="shared" si="34"/>
        <v>1830000000</v>
      </c>
      <c r="AS76" s="41">
        <f t="shared" si="34"/>
        <v>8694693534</v>
      </c>
      <c r="AT76" s="41">
        <f t="shared" si="34"/>
        <v>0</v>
      </c>
      <c r="AU76" s="41">
        <f t="shared" si="34"/>
        <v>0</v>
      </c>
      <c r="AV76" s="41">
        <f t="shared" si="34"/>
        <v>0</v>
      </c>
      <c r="AW76" s="41">
        <f t="shared" si="34"/>
        <v>0</v>
      </c>
      <c r="AX76" s="41">
        <f t="shared" si="34"/>
        <v>0</v>
      </c>
      <c r="AY76" s="41">
        <f t="shared" si="33"/>
        <v>56194693534</v>
      </c>
    </row>
    <row r="77" spans="1:51" ht="60">
      <c r="B77" s="29" t="s">
        <v>699</v>
      </c>
      <c r="C77" s="88" t="s">
        <v>2497</v>
      </c>
      <c r="D77" s="88"/>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row>
    <row r="78" spans="1:51" ht="79.2">
      <c r="A78">
        <v>47</v>
      </c>
      <c r="B78" s="30" t="s">
        <v>2498</v>
      </c>
      <c r="C78" s="31" t="s">
        <v>2499</v>
      </c>
      <c r="D78" s="32" t="s">
        <v>2500</v>
      </c>
      <c r="E78" s="40"/>
      <c r="F78" s="40"/>
      <c r="G78" s="40"/>
      <c r="H78" s="40"/>
      <c r="I78" s="40">
        <f t="shared" si="24"/>
        <v>0</v>
      </c>
      <c r="J78" s="40">
        <v>0</v>
      </c>
      <c r="K78" s="40">
        <v>0</v>
      </c>
      <c r="L78" s="40">
        <v>0</v>
      </c>
      <c r="M78" s="40">
        <v>0</v>
      </c>
      <c r="N78" s="40">
        <f t="shared" si="25"/>
        <v>0</v>
      </c>
      <c r="O78" s="40"/>
      <c r="P78" s="40"/>
      <c r="Q78" s="40"/>
      <c r="R78" s="40"/>
      <c r="S78" s="40">
        <f t="shared" si="26"/>
        <v>0</v>
      </c>
      <c r="T78" s="40">
        <v>17337600</v>
      </c>
      <c r="U78" s="40">
        <v>38177860</v>
      </c>
      <c r="V78" s="40">
        <v>33292585</v>
      </c>
      <c r="W78" s="40">
        <v>35837826</v>
      </c>
      <c r="X78" s="40">
        <f t="shared" si="27"/>
        <v>124645871</v>
      </c>
      <c r="Y78" s="40"/>
      <c r="Z78" s="40"/>
      <c r="AA78" s="40"/>
      <c r="AB78" s="40"/>
      <c r="AC78" s="40">
        <f t="shared" si="28"/>
        <v>0</v>
      </c>
      <c r="AD78" s="40"/>
      <c r="AE78" s="40"/>
      <c r="AF78" s="40"/>
      <c r="AG78" s="40"/>
      <c r="AH78" s="40">
        <f t="shared" si="29"/>
        <v>0</v>
      </c>
      <c r="AI78" s="40"/>
      <c r="AJ78" s="40"/>
      <c r="AK78" s="40"/>
      <c r="AL78" s="40"/>
      <c r="AM78" s="40">
        <f t="shared" si="30"/>
        <v>0</v>
      </c>
      <c r="AN78" s="40"/>
      <c r="AO78" s="40"/>
      <c r="AP78" s="40"/>
      <c r="AQ78" s="40"/>
      <c r="AR78" s="40">
        <f t="shared" si="31"/>
        <v>0</v>
      </c>
      <c r="AS78" s="40">
        <f t="shared" ref="AS78:AS83" si="35">SUM(AR78+AM78+AH78+AC78+X78+S78+N78)</f>
        <v>124645871</v>
      </c>
      <c r="AT78" s="40"/>
      <c r="AU78" s="40"/>
      <c r="AV78" s="40"/>
      <c r="AW78" s="40"/>
      <c r="AX78" s="40">
        <f t="shared" si="32"/>
        <v>0</v>
      </c>
      <c r="AY78" s="40">
        <f t="shared" si="33"/>
        <v>124645871</v>
      </c>
    </row>
    <row r="79" spans="1:51" ht="52.8">
      <c r="A79">
        <v>48</v>
      </c>
      <c r="B79" s="30" t="s">
        <v>2501</v>
      </c>
      <c r="C79" s="31" t="s">
        <v>2502</v>
      </c>
      <c r="D79" s="32" t="s">
        <v>2500</v>
      </c>
      <c r="E79" s="40"/>
      <c r="F79" s="40"/>
      <c r="G79" s="40">
        <v>3750000000</v>
      </c>
      <c r="H79" s="40"/>
      <c r="I79" s="40">
        <f t="shared" si="24"/>
        <v>3750000000</v>
      </c>
      <c r="J79" s="40">
        <v>0</v>
      </c>
      <c r="K79" s="40">
        <v>0</v>
      </c>
      <c r="L79" s="40">
        <v>0</v>
      </c>
      <c r="M79" s="40">
        <v>0</v>
      </c>
      <c r="N79" s="40">
        <f t="shared" si="25"/>
        <v>0</v>
      </c>
      <c r="O79" s="40"/>
      <c r="P79" s="40"/>
      <c r="Q79" s="40"/>
      <c r="R79" s="40"/>
      <c r="S79" s="40">
        <f t="shared" si="26"/>
        <v>0</v>
      </c>
      <c r="T79" s="40">
        <v>17337600</v>
      </c>
      <c r="U79" s="40">
        <v>54913810</v>
      </c>
      <c r="V79" s="40">
        <v>50614294</v>
      </c>
      <c r="W79" s="40">
        <v>53765794</v>
      </c>
      <c r="X79" s="40">
        <f t="shared" si="27"/>
        <v>176631498</v>
      </c>
      <c r="Y79" s="40"/>
      <c r="Z79" s="40"/>
      <c r="AA79" s="40"/>
      <c r="AB79" s="40"/>
      <c r="AC79" s="40">
        <f t="shared" si="28"/>
        <v>0</v>
      </c>
      <c r="AD79" s="40"/>
      <c r="AE79" s="40"/>
      <c r="AF79" s="40"/>
      <c r="AG79" s="40"/>
      <c r="AH79" s="40">
        <f t="shared" si="29"/>
        <v>0</v>
      </c>
      <c r="AI79" s="40"/>
      <c r="AJ79" s="40"/>
      <c r="AK79" s="40"/>
      <c r="AL79" s="40"/>
      <c r="AM79" s="40">
        <f t="shared" si="30"/>
        <v>0</v>
      </c>
      <c r="AN79" s="40"/>
      <c r="AO79" s="40"/>
      <c r="AP79" s="40"/>
      <c r="AQ79" s="40"/>
      <c r="AR79" s="40">
        <f t="shared" si="31"/>
        <v>0</v>
      </c>
      <c r="AS79" s="40">
        <f t="shared" si="35"/>
        <v>176631498</v>
      </c>
      <c r="AT79" s="40"/>
      <c r="AU79" s="40"/>
      <c r="AV79" s="40"/>
      <c r="AW79" s="40"/>
      <c r="AX79" s="40">
        <f t="shared" si="32"/>
        <v>0</v>
      </c>
      <c r="AY79" s="40">
        <f t="shared" si="33"/>
        <v>3926631498</v>
      </c>
    </row>
    <row r="80" spans="1:51" ht="79.2">
      <c r="A80">
        <v>49</v>
      </c>
      <c r="B80" s="30" t="s">
        <v>2503</v>
      </c>
      <c r="C80" s="31" t="s">
        <v>2504</v>
      </c>
      <c r="D80" s="32" t="s">
        <v>2500</v>
      </c>
      <c r="E80" s="40"/>
      <c r="F80" s="40"/>
      <c r="G80" s="40">
        <v>3750000000</v>
      </c>
      <c r="H80" s="40"/>
      <c r="I80" s="40">
        <f t="shared" si="24"/>
        <v>3750000000</v>
      </c>
      <c r="J80" s="40">
        <v>0</v>
      </c>
      <c r="K80" s="40">
        <v>0</v>
      </c>
      <c r="L80" s="40">
        <v>0</v>
      </c>
      <c r="M80" s="40">
        <v>0</v>
      </c>
      <c r="N80" s="40">
        <f t="shared" si="25"/>
        <v>0</v>
      </c>
      <c r="O80" s="40"/>
      <c r="P80" s="40"/>
      <c r="Q80" s="40"/>
      <c r="R80" s="40"/>
      <c r="S80" s="40">
        <f t="shared" si="26"/>
        <v>0</v>
      </c>
      <c r="T80" s="40">
        <v>17337600</v>
      </c>
      <c r="U80" s="40">
        <v>116030560</v>
      </c>
      <c r="V80" s="40">
        <v>113870130</v>
      </c>
      <c r="W80" s="40">
        <v>119235585</v>
      </c>
      <c r="X80" s="40">
        <f t="shared" si="27"/>
        <v>366473875</v>
      </c>
      <c r="Y80" s="40"/>
      <c r="Z80" s="40"/>
      <c r="AA80" s="40"/>
      <c r="AB80" s="40"/>
      <c r="AC80" s="40">
        <f t="shared" si="28"/>
        <v>0</v>
      </c>
      <c r="AD80" s="40"/>
      <c r="AE80" s="40"/>
      <c r="AF80" s="40"/>
      <c r="AG80" s="40"/>
      <c r="AH80" s="40">
        <f t="shared" si="29"/>
        <v>0</v>
      </c>
      <c r="AI80" s="40"/>
      <c r="AJ80" s="40"/>
      <c r="AK80" s="40"/>
      <c r="AL80" s="40"/>
      <c r="AM80" s="40">
        <f t="shared" si="30"/>
        <v>0</v>
      </c>
      <c r="AN80" s="40"/>
      <c r="AO80" s="40"/>
      <c r="AP80" s="40"/>
      <c r="AQ80" s="40"/>
      <c r="AR80" s="40">
        <f t="shared" si="31"/>
        <v>0</v>
      </c>
      <c r="AS80" s="40">
        <f t="shared" si="35"/>
        <v>366473875</v>
      </c>
      <c r="AT80" s="40"/>
      <c r="AU80" s="40"/>
      <c r="AV80" s="40"/>
      <c r="AW80" s="40"/>
      <c r="AX80" s="40">
        <f t="shared" si="32"/>
        <v>0</v>
      </c>
      <c r="AY80" s="40">
        <f t="shared" si="33"/>
        <v>4116473875</v>
      </c>
    </row>
    <row r="81" spans="1:51" ht="52.8">
      <c r="A81">
        <v>50</v>
      </c>
      <c r="B81" s="30" t="s">
        <v>2505</v>
      </c>
      <c r="C81" s="31" t="s">
        <v>1561</v>
      </c>
      <c r="D81" s="32" t="s">
        <v>2500</v>
      </c>
      <c r="E81" s="40"/>
      <c r="F81" s="40"/>
      <c r="G81" s="40"/>
      <c r="H81" s="40"/>
      <c r="I81" s="40">
        <f t="shared" si="24"/>
        <v>0</v>
      </c>
      <c r="J81" s="40">
        <v>0</v>
      </c>
      <c r="K81" s="40">
        <v>0</v>
      </c>
      <c r="L81" s="40">
        <v>0</v>
      </c>
      <c r="M81" s="40">
        <v>0</v>
      </c>
      <c r="N81" s="40">
        <f t="shared" si="25"/>
        <v>0</v>
      </c>
      <c r="O81" s="40"/>
      <c r="P81" s="40"/>
      <c r="Q81" s="40"/>
      <c r="R81" s="40"/>
      <c r="S81" s="40">
        <f t="shared" si="26"/>
        <v>0</v>
      </c>
      <c r="T81" s="40">
        <v>17337600</v>
      </c>
      <c r="U81" s="40">
        <v>54913810</v>
      </c>
      <c r="V81" s="40">
        <v>50614294</v>
      </c>
      <c r="W81" s="40">
        <v>53765794</v>
      </c>
      <c r="X81" s="40">
        <f t="shared" si="27"/>
        <v>176631498</v>
      </c>
      <c r="Y81" s="40"/>
      <c r="Z81" s="40"/>
      <c r="AA81" s="40"/>
      <c r="AB81" s="40"/>
      <c r="AC81" s="40">
        <f t="shared" si="28"/>
        <v>0</v>
      </c>
      <c r="AD81" s="40"/>
      <c r="AE81" s="40"/>
      <c r="AF81" s="40"/>
      <c r="AG81" s="40"/>
      <c r="AH81" s="40">
        <f t="shared" si="29"/>
        <v>0</v>
      </c>
      <c r="AI81" s="40"/>
      <c r="AJ81" s="40"/>
      <c r="AK81" s="40"/>
      <c r="AL81" s="40"/>
      <c r="AM81" s="40">
        <f t="shared" si="30"/>
        <v>0</v>
      </c>
      <c r="AN81" s="40"/>
      <c r="AO81" s="40"/>
      <c r="AP81" s="40"/>
      <c r="AQ81" s="40"/>
      <c r="AR81" s="40">
        <f t="shared" si="31"/>
        <v>0</v>
      </c>
      <c r="AS81" s="40">
        <f t="shared" si="35"/>
        <v>176631498</v>
      </c>
      <c r="AT81" s="40"/>
      <c r="AU81" s="40"/>
      <c r="AV81" s="40"/>
      <c r="AW81" s="40"/>
      <c r="AX81" s="40">
        <f t="shared" si="32"/>
        <v>0</v>
      </c>
      <c r="AY81" s="40">
        <f t="shared" si="33"/>
        <v>176631498</v>
      </c>
    </row>
    <row r="82" spans="1:51" ht="92.4">
      <c r="A82">
        <v>51</v>
      </c>
      <c r="B82" s="30" t="s">
        <v>2506</v>
      </c>
      <c r="C82" s="31" t="s">
        <v>1575</v>
      </c>
      <c r="D82" s="32" t="s">
        <v>2500</v>
      </c>
      <c r="E82" s="40"/>
      <c r="F82" s="40"/>
      <c r="G82" s="40"/>
      <c r="H82" s="40"/>
      <c r="I82" s="40">
        <f t="shared" si="24"/>
        <v>0</v>
      </c>
      <c r="J82" s="40">
        <v>0</v>
      </c>
      <c r="K82" s="40">
        <v>0</v>
      </c>
      <c r="L82" s="40">
        <v>0</v>
      </c>
      <c r="M82" s="40">
        <v>0</v>
      </c>
      <c r="N82" s="40">
        <f t="shared" si="25"/>
        <v>0</v>
      </c>
      <c r="O82" s="40"/>
      <c r="P82" s="40"/>
      <c r="Q82" s="40"/>
      <c r="R82" s="40"/>
      <c r="S82" s="40">
        <f t="shared" si="26"/>
        <v>0</v>
      </c>
      <c r="T82" s="40">
        <v>17337600</v>
      </c>
      <c r="U82" s="40">
        <v>38177860</v>
      </c>
      <c r="V82" s="40">
        <v>33292585</v>
      </c>
      <c r="W82" s="40">
        <v>35837826</v>
      </c>
      <c r="X82" s="40">
        <f t="shared" si="27"/>
        <v>124645871</v>
      </c>
      <c r="Y82" s="40"/>
      <c r="Z82" s="40"/>
      <c r="AA82" s="40"/>
      <c r="AB82" s="40"/>
      <c r="AC82" s="40">
        <f t="shared" si="28"/>
        <v>0</v>
      </c>
      <c r="AD82" s="40"/>
      <c r="AE82" s="40"/>
      <c r="AF82" s="40"/>
      <c r="AG82" s="40"/>
      <c r="AH82" s="40">
        <f t="shared" si="29"/>
        <v>0</v>
      </c>
      <c r="AI82" s="40"/>
      <c r="AJ82" s="40"/>
      <c r="AK82" s="40"/>
      <c r="AL82" s="40"/>
      <c r="AM82" s="40">
        <f t="shared" si="30"/>
        <v>0</v>
      </c>
      <c r="AN82" s="40"/>
      <c r="AO82" s="40"/>
      <c r="AP82" s="40"/>
      <c r="AQ82" s="40"/>
      <c r="AR82" s="40">
        <f t="shared" si="31"/>
        <v>0</v>
      </c>
      <c r="AS82" s="40">
        <f t="shared" si="35"/>
        <v>124645871</v>
      </c>
      <c r="AT82" s="40"/>
      <c r="AU82" s="40"/>
      <c r="AV82" s="40"/>
      <c r="AW82" s="40"/>
      <c r="AX82" s="40">
        <f t="shared" si="32"/>
        <v>0</v>
      </c>
      <c r="AY82" s="40">
        <f t="shared" si="33"/>
        <v>124645871</v>
      </c>
    </row>
    <row r="83" spans="1:51" ht="26.4">
      <c r="A83">
        <v>52</v>
      </c>
      <c r="B83" s="30" t="s">
        <v>2507</v>
      </c>
      <c r="C83" s="31" t="s">
        <v>2508</v>
      </c>
      <c r="D83" s="32" t="s">
        <v>2500</v>
      </c>
      <c r="E83" s="40"/>
      <c r="F83" s="40"/>
      <c r="G83" s="40"/>
      <c r="H83" s="40"/>
      <c r="I83" s="40">
        <f t="shared" si="24"/>
        <v>0</v>
      </c>
      <c r="J83" s="40">
        <v>0</v>
      </c>
      <c r="K83" s="40">
        <v>0</v>
      </c>
      <c r="L83" s="40">
        <v>0</v>
      </c>
      <c r="M83" s="40">
        <v>0</v>
      </c>
      <c r="N83" s="40">
        <f t="shared" si="25"/>
        <v>0</v>
      </c>
      <c r="O83" s="40"/>
      <c r="P83" s="40"/>
      <c r="Q83" s="40"/>
      <c r="R83" s="40"/>
      <c r="S83" s="40">
        <f t="shared" si="26"/>
        <v>0</v>
      </c>
      <c r="T83" s="40">
        <v>2619519300</v>
      </c>
      <c r="U83" s="40">
        <v>422286100</v>
      </c>
      <c r="V83" s="40">
        <v>278316112</v>
      </c>
      <c r="W83" s="40">
        <v>284557175</v>
      </c>
      <c r="X83" s="40">
        <f t="shared" si="27"/>
        <v>3604678687</v>
      </c>
      <c r="Y83" s="40"/>
      <c r="Z83" s="40"/>
      <c r="AA83" s="40"/>
      <c r="AB83" s="40"/>
      <c r="AC83" s="40">
        <f t="shared" si="28"/>
        <v>0</v>
      </c>
      <c r="AD83" s="40"/>
      <c r="AE83" s="40"/>
      <c r="AF83" s="40"/>
      <c r="AG83" s="40"/>
      <c r="AH83" s="40">
        <f t="shared" si="29"/>
        <v>0</v>
      </c>
      <c r="AI83" s="40"/>
      <c r="AJ83" s="40"/>
      <c r="AK83" s="40"/>
      <c r="AL83" s="40"/>
      <c r="AM83" s="40">
        <f t="shared" si="30"/>
        <v>0</v>
      </c>
      <c r="AN83" s="40"/>
      <c r="AO83" s="40"/>
      <c r="AP83" s="40"/>
      <c r="AQ83" s="40"/>
      <c r="AR83" s="40">
        <f t="shared" si="31"/>
        <v>0</v>
      </c>
      <c r="AS83" s="40">
        <f t="shared" si="35"/>
        <v>3604678687</v>
      </c>
      <c r="AT83" s="40"/>
      <c r="AU83" s="40"/>
      <c r="AV83" s="40"/>
      <c r="AW83" s="40"/>
      <c r="AX83" s="40">
        <f t="shared" si="32"/>
        <v>0</v>
      </c>
      <c r="AY83" s="40">
        <f t="shared" si="33"/>
        <v>3604678687</v>
      </c>
    </row>
    <row r="84" spans="1:51" ht="55.2">
      <c r="B84" s="89" t="s">
        <v>2509</v>
      </c>
      <c r="C84" s="89"/>
      <c r="D84" s="89"/>
      <c r="E84" s="41">
        <f>SUM(E78:E83)</f>
        <v>0</v>
      </c>
      <c r="F84" s="41">
        <f t="shared" ref="F84:AX84" si="36">SUM(F78:F83)</f>
        <v>0</v>
      </c>
      <c r="G84" s="41">
        <f t="shared" si="36"/>
        <v>7500000000</v>
      </c>
      <c r="H84" s="41">
        <f t="shared" si="36"/>
        <v>0</v>
      </c>
      <c r="I84" s="41">
        <f t="shared" si="36"/>
        <v>7500000000</v>
      </c>
      <c r="J84" s="41">
        <f t="shared" si="36"/>
        <v>0</v>
      </c>
      <c r="K84" s="41">
        <f t="shared" si="36"/>
        <v>0</v>
      </c>
      <c r="L84" s="41">
        <f t="shared" si="36"/>
        <v>0</v>
      </c>
      <c r="M84" s="41">
        <f t="shared" si="36"/>
        <v>0</v>
      </c>
      <c r="N84" s="41">
        <f t="shared" si="36"/>
        <v>0</v>
      </c>
      <c r="O84" s="41">
        <f t="shared" si="36"/>
        <v>0</v>
      </c>
      <c r="P84" s="41">
        <f t="shared" si="36"/>
        <v>0</v>
      </c>
      <c r="Q84" s="41">
        <f t="shared" si="36"/>
        <v>0</v>
      </c>
      <c r="R84" s="41">
        <f t="shared" si="36"/>
        <v>0</v>
      </c>
      <c r="S84" s="41">
        <f t="shared" si="36"/>
        <v>0</v>
      </c>
      <c r="T84" s="41">
        <f t="shared" si="36"/>
        <v>2706207300</v>
      </c>
      <c r="U84" s="41">
        <f t="shared" si="36"/>
        <v>724500000</v>
      </c>
      <c r="V84" s="41">
        <f t="shared" si="36"/>
        <v>560000000</v>
      </c>
      <c r="W84" s="41">
        <f t="shared" si="36"/>
        <v>583000000</v>
      </c>
      <c r="X84" s="41">
        <f t="shared" si="36"/>
        <v>4573707300</v>
      </c>
      <c r="Y84" s="41">
        <f t="shared" si="36"/>
        <v>0</v>
      </c>
      <c r="Z84" s="41">
        <f t="shared" si="36"/>
        <v>0</v>
      </c>
      <c r="AA84" s="41">
        <f t="shared" si="36"/>
        <v>0</v>
      </c>
      <c r="AB84" s="41">
        <f t="shared" si="36"/>
        <v>0</v>
      </c>
      <c r="AC84" s="41">
        <f t="shared" si="36"/>
        <v>0</v>
      </c>
      <c r="AD84" s="41">
        <f t="shared" si="36"/>
        <v>0</v>
      </c>
      <c r="AE84" s="41">
        <f t="shared" si="36"/>
        <v>0</v>
      </c>
      <c r="AF84" s="41">
        <f t="shared" si="36"/>
        <v>0</v>
      </c>
      <c r="AG84" s="41">
        <f t="shared" si="36"/>
        <v>0</v>
      </c>
      <c r="AH84" s="41">
        <f t="shared" si="36"/>
        <v>0</v>
      </c>
      <c r="AI84" s="41">
        <f t="shared" si="36"/>
        <v>0</v>
      </c>
      <c r="AJ84" s="41">
        <f t="shared" si="36"/>
        <v>0</v>
      </c>
      <c r="AK84" s="41">
        <f t="shared" si="36"/>
        <v>0</v>
      </c>
      <c r="AL84" s="41">
        <f t="shared" si="36"/>
        <v>0</v>
      </c>
      <c r="AM84" s="41">
        <f t="shared" si="36"/>
        <v>0</v>
      </c>
      <c r="AN84" s="41">
        <f t="shared" si="36"/>
        <v>0</v>
      </c>
      <c r="AO84" s="41">
        <f t="shared" si="36"/>
        <v>0</v>
      </c>
      <c r="AP84" s="41">
        <f t="shared" si="36"/>
        <v>0</v>
      </c>
      <c r="AQ84" s="41">
        <f t="shared" si="36"/>
        <v>0</v>
      </c>
      <c r="AR84" s="41">
        <f t="shared" si="36"/>
        <v>0</v>
      </c>
      <c r="AS84" s="41">
        <f t="shared" si="36"/>
        <v>4573707300</v>
      </c>
      <c r="AT84" s="41">
        <f t="shared" si="36"/>
        <v>0</v>
      </c>
      <c r="AU84" s="41">
        <f t="shared" si="36"/>
        <v>0</v>
      </c>
      <c r="AV84" s="41">
        <f t="shared" si="36"/>
        <v>0</v>
      </c>
      <c r="AW84" s="41">
        <f t="shared" si="36"/>
        <v>0</v>
      </c>
      <c r="AX84" s="41">
        <f t="shared" si="36"/>
        <v>0</v>
      </c>
      <c r="AY84" s="41">
        <f t="shared" si="33"/>
        <v>12073707300</v>
      </c>
    </row>
    <row r="85" spans="1:51" ht="60">
      <c r="B85" s="29" t="s">
        <v>708</v>
      </c>
      <c r="C85" s="88" t="s">
        <v>2510</v>
      </c>
      <c r="D85" s="88"/>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row>
    <row r="86" spans="1:51" ht="79.2">
      <c r="A86">
        <v>53</v>
      </c>
      <c r="B86" s="30" t="s">
        <v>2511</v>
      </c>
      <c r="C86" s="31" t="s">
        <v>1593</v>
      </c>
      <c r="D86" s="32" t="s">
        <v>2399</v>
      </c>
      <c r="E86" s="40"/>
      <c r="F86" s="40"/>
      <c r="G86" s="40"/>
      <c r="H86" s="40"/>
      <c r="I86" s="40">
        <f t="shared" si="24"/>
        <v>0</v>
      </c>
      <c r="J86" s="40">
        <v>0</v>
      </c>
      <c r="K86" s="40">
        <v>0</v>
      </c>
      <c r="L86" s="40">
        <v>0</v>
      </c>
      <c r="M86" s="40">
        <v>0</v>
      </c>
      <c r="N86" s="40">
        <f t="shared" si="25"/>
        <v>0</v>
      </c>
      <c r="O86" s="40"/>
      <c r="P86" s="40"/>
      <c r="Q86" s="40"/>
      <c r="R86" s="40"/>
      <c r="S86" s="40">
        <f t="shared" si="26"/>
        <v>0</v>
      </c>
      <c r="T86" s="40">
        <v>15000000</v>
      </c>
      <c r="U86" s="40">
        <v>80000000</v>
      </c>
      <c r="V86" s="40">
        <v>100000000</v>
      </c>
      <c r="W86" s="40">
        <v>100000000</v>
      </c>
      <c r="X86" s="40">
        <f t="shared" si="27"/>
        <v>295000000</v>
      </c>
      <c r="Y86" s="40"/>
      <c r="Z86" s="40"/>
      <c r="AA86" s="40"/>
      <c r="AB86" s="40"/>
      <c r="AC86" s="40">
        <f t="shared" si="28"/>
        <v>0</v>
      </c>
      <c r="AD86" s="40"/>
      <c r="AE86" s="40"/>
      <c r="AF86" s="40"/>
      <c r="AG86" s="40"/>
      <c r="AH86" s="40">
        <f t="shared" si="29"/>
        <v>0</v>
      </c>
      <c r="AI86" s="40"/>
      <c r="AJ86" s="40"/>
      <c r="AK86" s="40"/>
      <c r="AL86" s="40"/>
      <c r="AM86" s="40">
        <f t="shared" si="30"/>
        <v>0</v>
      </c>
      <c r="AN86" s="40"/>
      <c r="AO86" s="40"/>
      <c r="AP86" s="40"/>
      <c r="AQ86" s="40"/>
      <c r="AR86" s="40">
        <f t="shared" si="31"/>
        <v>0</v>
      </c>
      <c r="AS86" s="40">
        <f t="shared" ref="AS86:AS91" si="37">SUM(AR86+AM86+AH86+AC86+X86+S86+N86)</f>
        <v>295000000</v>
      </c>
      <c r="AT86" s="40"/>
      <c r="AU86" s="40"/>
      <c r="AV86" s="40"/>
      <c r="AW86" s="40"/>
      <c r="AX86" s="40">
        <f t="shared" si="32"/>
        <v>0</v>
      </c>
      <c r="AY86" s="40">
        <f t="shared" si="33"/>
        <v>295000000</v>
      </c>
    </row>
    <row r="87" spans="1:51" ht="66">
      <c r="A87">
        <v>54</v>
      </c>
      <c r="B87" s="30" t="s">
        <v>2512</v>
      </c>
      <c r="C87" s="31" t="s">
        <v>1608</v>
      </c>
      <c r="D87" s="32" t="s">
        <v>2399</v>
      </c>
      <c r="E87" s="40"/>
      <c r="F87" s="40"/>
      <c r="G87" s="40"/>
      <c r="H87" s="40"/>
      <c r="I87" s="40">
        <f t="shared" si="24"/>
        <v>0</v>
      </c>
      <c r="J87" s="40">
        <v>0</v>
      </c>
      <c r="K87" s="40">
        <v>0</v>
      </c>
      <c r="L87" s="40">
        <v>0</v>
      </c>
      <c r="M87" s="40">
        <v>0</v>
      </c>
      <c r="N87" s="40">
        <f t="shared" si="25"/>
        <v>0</v>
      </c>
      <c r="O87" s="40"/>
      <c r="P87" s="40"/>
      <c r="Q87" s="40"/>
      <c r="R87" s="40"/>
      <c r="S87" s="40">
        <f t="shared" si="26"/>
        <v>0</v>
      </c>
      <c r="T87" s="40">
        <v>15601900</v>
      </c>
      <c r="U87" s="40">
        <v>80000000</v>
      </c>
      <c r="V87" s="40">
        <v>100000000</v>
      </c>
      <c r="W87" s="40">
        <v>100000000</v>
      </c>
      <c r="X87" s="40">
        <f t="shared" si="27"/>
        <v>295601900</v>
      </c>
      <c r="Y87" s="40"/>
      <c r="Z87" s="40"/>
      <c r="AA87" s="40"/>
      <c r="AB87" s="40"/>
      <c r="AC87" s="40">
        <f t="shared" si="28"/>
        <v>0</v>
      </c>
      <c r="AD87" s="40"/>
      <c r="AE87" s="40"/>
      <c r="AF87" s="40"/>
      <c r="AG87" s="40"/>
      <c r="AH87" s="40">
        <f t="shared" si="29"/>
        <v>0</v>
      </c>
      <c r="AI87" s="40"/>
      <c r="AJ87" s="40"/>
      <c r="AK87" s="40"/>
      <c r="AL87" s="40"/>
      <c r="AM87" s="40">
        <f t="shared" si="30"/>
        <v>0</v>
      </c>
      <c r="AN87" s="40"/>
      <c r="AO87" s="40"/>
      <c r="AP87" s="40"/>
      <c r="AQ87" s="40"/>
      <c r="AR87" s="40">
        <f t="shared" si="31"/>
        <v>0</v>
      </c>
      <c r="AS87" s="40">
        <f t="shared" si="37"/>
        <v>295601900</v>
      </c>
      <c r="AT87" s="40"/>
      <c r="AU87" s="40"/>
      <c r="AV87" s="40"/>
      <c r="AW87" s="40"/>
      <c r="AX87" s="40">
        <f t="shared" si="32"/>
        <v>0</v>
      </c>
      <c r="AY87" s="40">
        <f t="shared" si="33"/>
        <v>295601900</v>
      </c>
    </row>
    <row r="88" spans="1:51" ht="79.2">
      <c r="A88">
        <v>55</v>
      </c>
      <c r="B88" s="30" t="s">
        <v>2513</v>
      </c>
      <c r="C88" s="31" t="s">
        <v>1623</v>
      </c>
      <c r="D88" s="32" t="s">
        <v>2399</v>
      </c>
      <c r="E88" s="40"/>
      <c r="F88" s="40"/>
      <c r="G88" s="40"/>
      <c r="H88" s="40"/>
      <c r="I88" s="40">
        <f t="shared" si="24"/>
        <v>0</v>
      </c>
      <c r="J88" s="40">
        <v>0</v>
      </c>
      <c r="K88" s="40">
        <v>0</v>
      </c>
      <c r="L88" s="40">
        <v>0</v>
      </c>
      <c r="M88" s="40">
        <v>0</v>
      </c>
      <c r="N88" s="40">
        <f t="shared" si="25"/>
        <v>0</v>
      </c>
      <c r="O88" s="40"/>
      <c r="P88" s="40"/>
      <c r="Q88" s="40"/>
      <c r="R88" s="40"/>
      <c r="S88" s="40">
        <f t="shared" si="26"/>
        <v>0</v>
      </c>
      <c r="T88" s="40">
        <v>15000000</v>
      </c>
      <c r="U88" s="40">
        <v>40000000</v>
      </c>
      <c r="V88" s="40">
        <v>40000000</v>
      </c>
      <c r="W88" s="40">
        <v>76125000</v>
      </c>
      <c r="X88" s="40">
        <f t="shared" si="27"/>
        <v>171125000</v>
      </c>
      <c r="Y88" s="40"/>
      <c r="Z88" s="40"/>
      <c r="AA88" s="40"/>
      <c r="AB88" s="40"/>
      <c r="AC88" s="40">
        <f t="shared" si="28"/>
        <v>0</v>
      </c>
      <c r="AD88" s="40"/>
      <c r="AE88" s="40"/>
      <c r="AF88" s="40"/>
      <c r="AG88" s="40"/>
      <c r="AH88" s="40">
        <f t="shared" si="29"/>
        <v>0</v>
      </c>
      <c r="AI88" s="40"/>
      <c r="AJ88" s="40"/>
      <c r="AK88" s="40"/>
      <c r="AL88" s="40"/>
      <c r="AM88" s="40">
        <f t="shared" si="30"/>
        <v>0</v>
      </c>
      <c r="AN88" s="40"/>
      <c r="AO88" s="40"/>
      <c r="AP88" s="40"/>
      <c r="AQ88" s="40"/>
      <c r="AR88" s="40">
        <f t="shared" si="31"/>
        <v>0</v>
      </c>
      <c r="AS88" s="40">
        <f t="shared" si="37"/>
        <v>171125000</v>
      </c>
      <c r="AT88" s="40"/>
      <c r="AU88" s="40"/>
      <c r="AV88" s="40"/>
      <c r="AW88" s="40"/>
      <c r="AX88" s="40">
        <f t="shared" si="32"/>
        <v>0</v>
      </c>
      <c r="AY88" s="40">
        <f t="shared" si="33"/>
        <v>171125000</v>
      </c>
    </row>
    <row r="89" spans="1:51" ht="66">
      <c r="A89">
        <v>56</v>
      </c>
      <c r="B89" s="30" t="s">
        <v>2514</v>
      </c>
      <c r="C89" s="31" t="s">
        <v>2515</v>
      </c>
      <c r="D89" s="32" t="s">
        <v>2399</v>
      </c>
      <c r="E89" s="40"/>
      <c r="F89" s="40"/>
      <c r="G89" s="40"/>
      <c r="H89" s="40"/>
      <c r="I89" s="40">
        <f t="shared" si="24"/>
        <v>0</v>
      </c>
      <c r="J89" s="40">
        <v>0</v>
      </c>
      <c r="K89" s="40">
        <v>0</v>
      </c>
      <c r="L89" s="40">
        <v>0</v>
      </c>
      <c r="M89" s="40">
        <v>0</v>
      </c>
      <c r="N89" s="40">
        <f t="shared" si="25"/>
        <v>0</v>
      </c>
      <c r="O89" s="40"/>
      <c r="P89" s="40"/>
      <c r="Q89" s="40"/>
      <c r="R89" s="40"/>
      <c r="S89" s="40">
        <f t="shared" si="26"/>
        <v>0</v>
      </c>
      <c r="T89" s="40">
        <v>15000000</v>
      </c>
      <c r="U89" s="40">
        <v>70000000</v>
      </c>
      <c r="V89" s="40">
        <v>100000000</v>
      </c>
      <c r="W89" s="40">
        <v>70000000</v>
      </c>
      <c r="X89" s="40">
        <f t="shared" si="27"/>
        <v>255000000</v>
      </c>
      <c r="Y89" s="40"/>
      <c r="Z89" s="40"/>
      <c r="AA89" s="40"/>
      <c r="AB89" s="40"/>
      <c r="AC89" s="40">
        <f t="shared" si="28"/>
        <v>0</v>
      </c>
      <c r="AD89" s="40"/>
      <c r="AE89" s="40"/>
      <c r="AF89" s="40"/>
      <c r="AG89" s="40"/>
      <c r="AH89" s="40">
        <f t="shared" si="29"/>
        <v>0</v>
      </c>
      <c r="AI89" s="40"/>
      <c r="AJ89" s="40"/>
      <c r="AK89" s="40"/>
      <c r="AL89" s="40"/>
      <c r="AM89" s="40">
        <f t="shared" si="30"/>
        <v>0</v>
      </c>
      <c r="AN89" s="40"/>
      <c r="AO89" s="40"/>
      <c r="AP89" s="40"/>
      <c r="AQ89" s="40"/>
      <c r="AR89" s="40">
        <f t="shared" si="31"/>
        <v>0</v>
      </c>
      <c r="AS89" s="40">
        <f t="shared" si="37"/>
        <v>255000000</v>
      </c>
      <c r="AT89" s="40"/>
      <c r="AU89" s="40"/>
      <c r="AV89" s="40"/>
      <c r="AW89" s="40"/>
      <c r="AX89" s="40">
        <f t="shared" si="32"/>
        <v>0</v>
      </c>
      <c r="AY89" s="40">
        <f t="shared" si="33"/>
        <v>255000000</v>
      </c>
    </row>
    <row r="90" spans="1:51" ht="145.19999999999999">
      <c r="A90">
        <v>57</v>
      </c>
      <c r="B90" s="30" t="s">
        <v>2516</v>
      </c>
      <c r="C90" s="31" t="s">
        <v>2517</v>
      </c>
      <c r="D90" s="32" t="s">
        <v>2399</v>
      </c>
      <c r="E90" s="40"/>
      <c r="F90" s="40"/>
      <c r="G90" s="40"/>
      <c r="H90" s="40"/>
      <c r="I90" s="40">
        <f t="shared" si="24"/>
        <v>0</v>
      </c>
      <c r="J90" s="40">
        <v>0</v>
      </c>
      <c r="K90" s="40">
        <v>0</v>
      </c>
      <c r="L90" s="40">
        <v>0</v>
      </c>
      <c r="M90" s="40">
        <v>0</v>
      </c>
      <c r="N90" s="40">
        <f t="shared" si="25"/>
        <v>0</v>
      </c>
      <c r="O90" s="40"/>
      <c r="P90" s="40"/>
      <c r="Q90" s="40"/>
      <c r="R90" s="40"/>
      <c r="S90" s="40">
        <f t="shared" si="26"/>
        <v>0</v>
      </c>
      <c r="T90" s="40">
        <v>15000000</v>
      </c>
      <c r="U90" s="40">
        <v>40000000</v>
      </c>
      <c r="V90" s="40">
        <v>40000000</v>
      </c>
      <c r="W90" s="40">
        <v>40000000</v>
      </c>
      <c r="X90" s="40">
        <f t="shared" si="27"/>
        <v>135000000</v>
      </c>
      <c r="Y90" s="40"/>
      <c r="Z90" s="40"/>
      <c r="AA90" s="40"/>
      <c r="AB90" s="40"/>
      <c r="AC90" s="40">
        <f t="shared" si="28"/>
        <v>0</v>
      </c>
      <c r="AD90" s="40"/>
      <c r="AE90" s="40"/>
      <c r="AF90" s="40"/>
      <c r="AG90" s="40"/>
      <c r="AH90" s="40">
        <f t="shared" si="29"/>
        <v>0</v>
      </c>
      <c r="AI90" s="40"/>
      <c r="AJ90" s="40"/>
      <c r="AK90" s="40"/>
      <c r="AL90" s="40"/>
      <c r="AM90" s="40">
        <f t="shared" si="30"/>
        <v>0</v>
      </c>
      <c r="AN90" s="40"/>
      <c r="AO90" s="40"/>
      <c r="AP90" s="40"/>
      <c r="AQ90" s="40"/>
      <c r="AR90" s="40">
        <f t="shared" si="31"/>
        <v>0</v>
      </c>
      <c r="AS90" s="40">
        <f t="shared" si="37"/>
        <v>135000000</v>
      </c>
      <c r="AT90" s="40"/>
      <c r="AU90" s="40"/>
      <c r="AV90" s="40"/>
      <c r="AW90" s="40"/>
      <c r="AX90" s="40">
        <f t="shared" si="32"/>
        <v>0</v>
      </c>
      <c r="AY90" s="40">
        <f t="shared" si="33"/>
        <v>135000000</v>
      </c>
    </row>
    <row r="91" spans="1:51" ht="92.4">
      <c r="A91">
        <v>58</v>
      </c>
      <c r="B91" s="30" t="s">
        <v>2518</v>
      </c>
      <c r="C91" s="31" t="s">
        <v>2519</v>
      </c>
      <c r="D91" s="32" t="s">
        <v>2399</v>
      </c>
      <c r="E91" s="40"/>
      <c r="F91" s="40"/>
      <c r="G91" s="40"/>
      <c r="H91" s="40"/>
      <c r="I91" s="40">
        <f t="shared" si="24"/>
        <v>0</v>
      </c>
      <c r="J91" s="40">
        <v>0</v>
      </c>
      <c r="K91" s="40">
        <v>0</v>
      </c>
      <c r="L91" s="40">
        <v>0</v>
      </c>
      <c r="M91" s="40">
        <v>0</v>
      </c>
      <c r="N91" s="40">
        <f t="shared" si="25"/>
        <v>0</v>
      </c>
      <c r="O91" s="40"/>
      <c r="P91" s="40"/>
      <c r="Q91" s="40"/>
      <c r="R91" s="40"/>
      <c r="S91" s="40">
        <f t="shared" si="26"/>
        <v>0</v>
      </c>
      <c r="T91" s="40">
        <v>15000000</v>
      </c>
      <c r="U91" s="40">
        <v>100000000</v>
      </c>
      <c r="V91" s="40">
        <v>52500000</v>
      </c>
      <c r="W91" s="40">
        <v>70000000</v>
      </c>
      <c r="X91" s="40">
        <f t="shared" si="27"/>
        <v>237500000</v>
      </c>
      <c r="Y91" s="40"/>
      <c r="Z91" s="40"/>
      <c r="AA91" s="40"/>
      <c r="AB91" s="40"/>
      <c r="AC91" s="40">
        <f t="shared" si="28"/>
        <v>0</v>
      </c>
      <c r="AD91" s="40"/>
      <c r="AE91" s="40"/>
      <c r="AF91" s="40"/>
      <c r="AG91" s="40"/>
      <c r="AH91" s="40">
        <f t="shared" si="29"/>
        <v>0</v>
      </c>
      <c r="AI91" s="40"/>
      <c r="AJ91" s="40"/>
      <c r="AK91" s="40"/>
      <c r="AL91" s="40"/>
      <c r="AM91" s="40">
        <f t="shared" si="30"/>
        <v>0</v>
      </c>
      <c r="AN91" s="40"/>
      <c r="AO91" s="40"/>
      <c r="AP91" s="40"/>
      <c r="AQ91" s="40"/>
      <c r="AR91" s="40">
        <f t="shared" si="31"/>
        <v>0</v>
      </c>
      <c r="AS91" s="40">
        <f t="shared" si="37"/>
        <v>237500000</v>
      </c>
      <c r="AT91" s="40"/>
      <c r="AU91" s="40"/>
      <c r="AV91" s="40"/>
      <c r="AW91" s="40"/>
      <c r="AX91" s="40">
        <f t="shared" si="32"/>
        <v>0</v>
      </c>
      <c r="AY91" s="40">
        <f t="shared" si="33"/>
        <v>237500000</v>
      </c>
    </row>
    <row r="92" spans="1:51" ht="55.2">
      <c r="B92" s="89" t="s">
        <v>2520</v>
      </c>
      <c r="C92" s="89"/>
      <c r="D92" s="89"/>
      <c r="E92" s="41">
        <f>SUM(E86:E91)</f>
        <v>0</v>
      </c>
      <c r="F92" s="41">
        <f t="shared" ref="F92:AX92" si="38">SUM(F86:F91)</f>
        <v>0</v>
      </c>
      <c r="G92" s="41">
        <f t="shared" si="38"/>
        <v>0</v>
      </c>
      <c r="H92" s="41">
        <f t="shared" si="38"/>
        <v>0</v>
      </c>
      <c r="I92" s="41">
        <f t="shared" si="38"/>
        <v>0</v>
      </c>
      <c r="J92" s="41">
        <f t="shared" si="38"/>
        <v>0</v>
      </c>
      <c r="K92" s="41">
        <f t="shared" si="38"/>
        <v>0</v>
      </c>
      <c r="L92" s="41">
        <f t="shared" si="38"/>
        <v>0</v>
      </c>
      <c r="M92" s="41">
        <f t="shared" si="38"/>
        <v>0</v>
      </c>
      <c r="N92" s="41">
        <f t="shared" si="38"/>
        <v>0</v>
      </c>
      <c r="O92" s="41">
        <f t="shared" si="38"/>
        <v>0</v>
      </c>
      <c r="P92" s="41">
        <f t="shared" si="38"/>
        <v>0</v>
      </c>
      <c r="Q92" s="41">
        <f t="shared" si="38"/>
        <v>0</v>
      </c>
      <c r="R92" s="41">
        <f t="shared" si="38"/>
        <v>0</v>
      </c>
      <c r="S92" s="41">
        <f t="shared" si="38"/>
        <v>0</v>
      </c>
      <c r="T92" s="41">
        <f t="shared" si="38"/>
        <v>90601900</v>
      </c>
      <c r="U92" s="41">
        <f t="shared" si="38"/>
        <v>410000000</v>
      </c>
      <c r="V92" s="41">
        <f t="shared" si="38"/>
        <v>432500000</v>
      </c>
      <c r="W92" s="41">
        <f t="shared" si="38"/>
        <v>456125000</v>
      </c>
      <c r="X92" s="41">
        <f t="shared" si="38"/>
        <v>1389226900</v>
      </c>
      <c r="Y92" s="41">
        <f t="shared" si="38"/>
        <v>0</v>
      </c>
      <c r="Z92" s="41">
        <f t="shared" si="38"/>
        <v>0</v>
      </c>
      <c r="AA92" s="41">
        <f t="shared" si="38"/>
        <v>0</v>
      </c>
      <c r="AB92" s="41">
        <f t="shared" si="38"/>
        <v>0</v>
      </c>
      <c r="AC92" s="41">
        <f t="shared" si="38"/>
        <v>0</v>
      </c>
      <c r="AD92" s="41">
        <f t="shared" si="38"/>
        <v>0</v>
      </c>
      <c r="AE92" s="41">
        <f t="shared" si="38"/>
        <v>0</v>
      </c>
      <c r="AF92" s="41">
        <f t="shared" si="38"/>
        <v>0</v>
      </c>
      <c r="AG92" s="41">
        <f t="shared" si="38"/>
        <v>0</v>
      </c>
      <c r="AH92" s="41">
        <f t="shared" si="38"/>
        <v>0</v>
      </c>
      <c r="AI92" s="41">
        <f t="shared" si="38"/>
        <v>0</v>
      </c>
      <c r="AJ92" s="41">
        <f t="shared" si="38"/>
        <v>0</v>
      </c>
      <c r="AK92" s="41">
        <f t="shared" si="38"/>
        <v>0</v>
      </c>
      <c r="AL92" s="41">
        <f t="shared" si="38"/>
        <v>0</v>
      </c>
      <c r="AM92" s="41">
        <f t="shared" si="38"/>
        <v>0</v>
      </c>
      <c r="AN92" s="41">
        <f t="shared" si="38"/>
        <v>0</v>
      </c>
      <c r="AO92" s="41">
        <f t="shared" si="38"/>
        <v>0</v>
      </c>
      <c r="AP92" s="41">
        <f t="shared" si="38"/>
        <v>0</v>
      </c>
      <c r="AQ92" s="41">
        <f t="shared" si="38"/>
        <v>0</v>
      </c>
      <c r="AR92" s="41">
        <f t="shared" si="38"/>
        <v>0</v>
      </c>
      <c r="AS92" s="41">
        <f t="shared" si="38"/>
        <v>1389226900</v>
      </c>
      <c r="AT92" s="41">
        <f t="shared" si="38"/>
        <v>0</v>
      </c>
      <c r="AU92" s="41">
        <f t="shared" si="38"/>
        <v>0</v>
      </c>
      <c r="AV92" s="41">
        <f t="shared" si="38"/>
        <v>0</v>
      </c>
      <c r="AW92" s="41">
        <f t="shared" si="38"/>
        <v>0</v>
      </c>
      <c r="AX92" s="41">
        <f t="shared" si="38"/>
        <v>0</v>
      </c>
      <c r="AY92" s="41">
        <f t="shared" si="33"/>
        <v>1389226900</v>
      </c>
    </row>
    <row r="93" spans="1:51" ht="150">
      <c r="B93" s="29" t="s">
        <v>715</v>
      </c>
      <c r="C93" s="88" t="s">
        <v>2521</v>
      </c>
      <c r="D93" s="88"/>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row>
    <row r="94" spans="1:51" ht="66">
      <c r="A94">
        <v>59</v>
      </c>
      <c r="B94" s="30" t="s">
        <v>2522</v>
      </c>
      <c r="C94" s="31" t="s">
        <v>1662</v>
      </c>
      <c r="D94" s="32" t="s">
        <v>2523</v>
      </c>
      <c r="E94" s="40"/>
      <c r="F94" s="40">
        <v>4500000000</v>
      </c>
      <c r="G94" s="40"/>
      <c r="H94" s="40"/>
      <c r="I94" s="40">
        <f t="shared" si="24"/>
        <v>4500000000</v>
      </c>
      <c r="J94" s="40">
        <v>0</v>
      </c>
      <c r="K94" s="40">
        <v>0</v>
      </c>
      <c r="L94" s="40">
        <v>0</v>
      </c>
      <c r="M94" s="40">
        <v>0</v>
      </c>
      <c r="N94" s="40">
        <f t="shared" si="25"/>
        <v>0</v>
      </c>
      <c r="O94" s="40"/>
      <c r="P94" s="40"/>
      <c r="Q94" s="40"/>
      <c r="R94" s="40"/>
      <c r="S94" s="40">
        <f t="shared" si="26"/>
        <v>0</v>
      </c>
      <c r="T94" s="40">
        <v>1081433165</v>
      </c>
      <c r="U94" s="40">
        <v>666666665</v>
      </c>
      <c r="V94" s="40">
        <v>388888885</v>
      </c>
      <c r="W94" s="40">
        <v>411111110</v>
      </c>
      <c r="X94" s="40">
        <f t="shared" si="27"/>
        <v>2548099825</v>
      </c>
      <c r="Y94" s="40"/>
      <c r="Z94" s="40"/>
      <c r="AA94" s="40"/>
      <c r="AB94" s="40"/>
      <c r="AC94" s="40">
        <f t="shared" si="28"/>
        <v>0</v>
      </c>
      <c r="AD94" s="40"/>
      <c r="AE94" s="40"/>
      <c r="AF94" s="40"/>
      <c r="AG94" s="40"/>
      <c r="AH94" s="40">
        <f t="shared" si="29"/>
        <v>0</v>
      </c>
      <c r="AI94" s="40"/>
      <c r="AJ94" s="40"/>
      <c r="AK94" s="40"/>
      <c r="AL94" s="40"/>
      <c r="AM94" s="40">
        <f t="shared" si="30"/>
        <v>0</v>
      </c>
      <c r="AN94" s="40"/>
      <c r="AO94" s="40"/>
      <c r="AP94" s="40"/>
      <c r="AQ94" s="40"/>
      <c r="AR94" s="40">
        <f t="shared" si="31"/>
        <v>0</v>
      </c>
      <c r="AS94" s="40">
        <f>SUM(AR94+AM94+AH94+AC94+X94+S94+N94)</f>
        <v>2548099825</v>
      </c>
      <c r="AT94" s="40"/>
      <c r="AU94" s="40"/>
      <c r="AV94" s="40"/>
      <c r="AW94" s="40"/>
      <c r="AX94" s="40">
        <f t="shared" si="32"/>
        <v>0</v>
      </c>
      <c r="AY94" s="40">
        <f t="shared" si="33"/>
        <v>7048099825</v>
      </c>
    </row>
    <row r="95" spans="1:51" ht="92.4">
      <c r="A95">
        <v>60</v>
      </c>
      <c r="B95" s="30" t="s">
        <v>2524</v>
      </c>
      <c r="C95" s="31" t="s">
        <v>1676</v>
      </c>
      <c r="D95" s="32" t="s">
        <v>2523</v>
      </c>
      <c r="E95" s="40"/>
      <c r="F95" s="40">
        <v>3500000000</v>
      </c>
      <c r="G95" s="40"/>
      <c r="H95" s="40"/>
      <c r="I95" s="40">
        <f t="shared" si="24"/>
        <v>3500000000</v>
      </c>
      <c r="J95" s="40">
        <v>0</v>
      </c>
      <c r="K95" s="40">
        <v>0</v>
      </c>
      <c r="L95" s="40">
        <v>0</v>
      </c>
      <c r="M95" s="40">
        <v>0</v>
      </c>
      <c r="N95" s="40">
        <f t="shared" si="25"/>
        <v>0</v>
      </c>
      <c r="O95" s="40"/>
      <c r="P95" s="40"/>
      <c r="Q95" s="40"/>
      <c r="R95" s="40"/>
      <c r="S95" s="40">
        <f t="shared" si="26"/>
        <v>0</v>
      </c>
      <c r="T95" s="40">
        <v>1065146535</v>
      </c>
      <c r="U95" s="40">
        <v>533333335</v>
      </c>
      <c r="V95" s="40">
        <v>311111115</v>
      </c>
      <c r="W95" s="40">
        <v>328888890</v>
      </c>
      <c r="X95" s="40">
        <f t="shared" si="27"/>
        <v>2238479875</v>
      </c>
      <c r="Y95" s="40"/>
      <c r="Z95" s="40"/>
      <c r="AA95" s="40"/>
      <c r="AB95" s="40"/>
      <c r="AC95" s="40">
        <f t="shared" si="28"/>
        <v>0</v>
      </c>
      <c r="AD95" s="40"/>
      <c r="AE95" s="40"/>
      <c r="AF95" s="40"/>
      <c r="AG95" s="40"/>
      <c r="AH95" s="40">
        <f t="shared" si="29"/>
        <v>0</v>
      </c>
      <c r="AI95" s="40"/>
      <c r="AJ95" s="40"/>
      <c r="AK95" s="40"/>
      <c r="AL95" s="40"/>
      <c r="AM95" s="40">
        <f t="shared" si="30"/>
        <v>0</v>
      </c>
      <c r="AN95" s="40"/>
      <c r="AO95" s="40"/>
      <c r="AP95" s="40"/>
      <c r="AQ95" s="40"/>
      <c r="AR95" s="40">
        <f t="shared" si="31"/>
        <v>0</v>
      </c>
      <c r="AS95" s="40">
        <f>SUM(AR95+AM95+AH95+AC95+X95+S95+N95)</f>
        <v>2238479875</v>
      </c>
      <c r="AT95" s="40"/>
      <c r="AU95" s="40"/>
      <c r="AV95" s="40"/>
      <c r="AW95" s="40"/>
      <c r="AX95" s="40">
        <f t="shared" si="32"/>
        <v>0</v>
      </c>
      <c r="AY95" s="40">
        <f t="shared" si="33"/>
        <v>5738479875</v>
      </c>
    </row>
    <row r="96" spans="1:51" ht="138">
      <c r="B96" s="89" t="s">
        <v>2525</v>
      </c>
      <c r="C96" s="89"/>
      <c r="D96" s="89"/>
      <c r="E96" s="41">
        <f>SUM(E94:E95)</f>
        <v>0</v>
      </c>
      <c r="F96" s="41">
        <f t="shared" ref="F96:AX96" si="39">SUM(F94:F95)</f>
        <v>8000000000</v>
      </c>
      <c r="G96" s="41">
        <f t="shared" si="39"/>
        <v>0</v>
      </c>
      <c r="H96" s="41">
        <f t="shared" si="39"/>
        <v>0</v>
      </c>
      <c r="I96" s="41">
        <f t="shared" si="39"/>
        <v>8000000000</v>
      </c>
      <c r="J96" s="41">
        <f t="shared" si="39"/>
        <v>0</v>
      </c>
      <c r="K96" s="41">
        <f t="shared" si="39"/>
        <v>0</v>
      </c>
      <c r="L96" s="41">
        <f t="shared" si="39"/>
        <v>0</v>
      </c>
      <c r="M96" s="41">
        <f t="shared" si="39"/>
        <v>0</v>
      </c>
      <c r="N96" s="41">
        <f t="shared" si="39"/>
        <v>0</v>
      </c>
      <c r="O96" s="41">
        <f t="shared" si="39"/>
        <v>0</v>
      </c>
      <c r="P96" s="41">
        <f t="shared" si="39"/>
        <v>0</v>
      </c>
      <c r="Q96" s="41">
        <f t="shared" si="39"/>
        <v>0</v>
      </c>
      <c r="R96" s="41">
        <f t="shared" si="39"/>
        <v>0</v>
      </c>
      <c r="S96" s="41">
        <f t="shared" si="39"/>
        <v>0</v>
      </c>
      <c r="T96" s="41">
        <f t="shared" si="39"/>
        <v>2146579700</v>
      </c>
      <c r="U96" s="41">
        <f t="shared" si="39"/>
        <v>1200000000</v>
      </c>
      <c r="V96" s="41">
        <f t="shared" si="39"/>
        <v>700000000</v>
      </c>
      <c r="W96" s="41">
        <f t="shared" si="39"/>
        <v>740000000</v>
      </c>
      <c r="X96" s="41">
        <f t="shared" si="39"/>
        <v>4786579700</v>
      </c>
      <c r="Y96" s="41">
        <f t="shared" si="39"/>
        <v>0</v>
      </c>
      <c r="Z96" s="41">
        <f t="shared" si="39"/>
        <v>0</v>
      </c>
      <c r="AA96" s="41">
        <f t="shared" si="39"/>
        <v>0</v>
      </c>
      <c r="AB96" s="41">
        <f t="shared" si="39"/>
        <v>0</v>
      </c>
      <c r="AC96" s="41">
        <f t="shared" si="39"/>
        <v>0</v>
      </c>
      <c r="AD96" s="41">
        <f t="shared" si="39"/>
        <v>0</v>
      </c>
      <c r="AE96" s="41">
        <f t="shared" si="39"/>
        <v>0</v>
      </c>
      <c r="AF96" s="41">
        <f t="shared" si="39"/>
        <v>0</v>
      </c>
      <c r="AG96" s="41">
        <f t="shared" si="39"/>
        <v>0</v>
      </c>
      <c r="AH96" s="41">
        <f t="shared" si="39"/>
        <v>0</v>
      </c>
      <c r="AI96" s="41">
        <f t="shared" si="39"/>
        <v>0</v>
      </c>
      <c r="AJ96" s="41">
        <f t="shared" si="39"/>
        <v>0</v>
      </c>
      <c r="AK96" s="41">
        <f t="shared" si="39"/>
        <v>0</v>
      </c>
      <c r="AL96" s="41">
        <f t="shared" si="39"/>
        <v>0</v>
      </c>
      <c r="AM96" s="41">
        <f t="shared" si="39"/>
        <v>0</v>
      </c>
      <c r="AN96" s="41">
        <f t="shared" si="39"/>
        <v>0</v>
      </c>
      <c r="AO96" s="41">
        <f t="shared" si="39"/>
        <v>0</v>
      </c>
      <c r="AP96" s="41">
        <f t="shared" si="39"/>
        <v>0</v>
      </c>
      <c r="AQ96" s="41">
        <f t="shared" si="39"/>
        <v>0</v>
      </c>
      <c r="AR96" s="41">
        <f t="shared" si="39"/>
        <v>0</v>
      </c>
      <c r="AS96" s="41">
        <f t="shared" si="39"/>
        <v>4786579700</v>
      </c>
      <c r="AT96" s="41">
        <f t="shared" si="39"/>
        <v>0</v>
      </c>
      <c r="AU96" s="41">
        <f t="shared" si="39"/>
        <v>0</v>
      </c>
      <c r="AV96" s="41">
        <f t="shared" si="39"/>
        <v>0</v>
      </c>
      <c r="AW96" s="41">
        <f t="shared" si="39"/>
        <v>0</v>
      </c>
      <c r="AX96" s="41">
        <f t="shared" si="39"/>
        <v>0</v>
      </c>
      <c r="AY96" s="41">
        <f t="shared" si="33"/>
        <v>12786579700</v>
      </c>
    </row>
    <row r="97" spans="1:51" ht="120">
      <c r="B97" s="90" t="s">
        <v>2526</v>
      </c>
      <c r="C97" s="90"/>
      <c r="D97" s="90"/>
      <c r="E97" s="42">
        <f>E96+E92+E84+E76</f>
        <v>11000000000</v>
      </c>
      <c r="F97" s="42">
        <f t="shared" ref="F97:AY97" si="40">F96+F92+F84+F76</f>
        <v>19000000000</v>
      </c>
      <c r="G97" s="42">
        <f t="shared" si="40"/>
        <v>19500000000</v>
      </c>
      <c r="H97" s="42">
        <f t="shared" si="40"/>
        <v>13500000000</v>
      </c>
      <c r="I97" s="42">
        <f t="shared" si="40"/>
        <v>63000000000</v>
      </c>
      <c r="J97" s="42">
        <f t="shared" si="40"/>
        <v>0</v>
      </c>
      <c r="K97" s="42">
        <f t="shared" si="40"/>
        <v>0</v>
      </c>
      <c r="L97" s="42">
        <f t="shared" si="40"/>
        <v>0</v>
      </c>
      <c r="M97" s="42">
        <f t="shared" si="40"/>
        <v>0</v>
      </c>
      <c r="N97" s="42">
        <f t="shared" si="40"/>
        <v>0</v>
      </c>
      <c r="O97" s="42">
        <f t="shared" si="40"/>
        <v>0</v>
      </c>
      <c r="P97" s="42">
        <f t="shared" si="40"/>
        <v>0</v>
      </c>
      <c r="Q97" s="42">
        <f t="shared" si="40"/>
        <v>0</v>
      </c>
      <c r="R97" s="42">
        <f t="shared" si="40"/>
        <v>0</v>
      </c>
      <c r="S97" s="42">
        <f t="shared" si="40"/>
        <v>0</v>
      </c>
      <c r="T97" s="42">
        <f t="shared" si="40"/>
        <v>5228926500</v>
      </c>
      <c r="U97" s="42">
        <f t="shared" si="40"/>
        <v>4414536653</v>
      </c>
      <c r="V97" s="42">
        <f t="shared" si="40"/>
        <v>3876538486</v>
      </c>
      <c r="W97" s="42">
        <f t="shared" si="40"/>
        <v>4094205795</v>
      </c>
      <c r="X97" s="42">
        <f t="shared" si="40"/>
        <v>17614207434</v>
      </c>
      <c r="Y97" s="42">
        <f t="shared" si="40"/>
        <v>0</v>
      </c>
      <c r="Z97" s="42">
        <f t="shared" si="40"/>
        <v>0</v>
      </c>
      <c r="AA97" s="42">
        <f t="shared" si="40"/>
        <v>0</v>
      </c>
      <c r="AB97" s="42">
        <f t="shared" si="40"/>
        <v>0</v>
      </c>
      <c r="AC97" s="42">
        <f t="shared" si="40"/>
        <v>0</v>
      </c>
      <c r="AD97" s="42">
        <f t="shared" si="40"/>
        <v>0</v>
      </c>
      <c r="AE97" s="42">
        <f t="shared" si="40"/>
        <v>0</v>
      </c>
      <c r="AF97" s="42">
        <f t="shared" si="40"/>
        <v>0</v>
      </c>
      <c r="AG97" s="42">
        <f t="shared" si="40"/>
        <v>0</v>
      </c>
      <c r="AH97" s="42">
        <f t="shared" si="40"/>
        <v>0</v>
      </c>
      <c r="AI97" s="42">
        <f t="shared" si="40"/>
        <v>0</v>
      </c>
      <c r="AJ97" s="42">
        <f t="shared" si="40"/>
        <v>0</v>
      </c>
      <c r="AK97" s="42">
        <f t="shared" si="40"/>
        <v>0</v>
      </c>
      <c r="AL97" s="42">
        <f t="shared" si="40"/>
        <v>0</v>
      </c>
      <c r="AM97" s="42">
        <f t="shared" si="40"/>
        <v>0</v>
      </c>
      <c r="AN97" s="42">
        <f t="shared" si="40"/>
        <v>1830000000</v>
      </c>
      <c r="AO97" s="42">
        <f t="shared" si="40"/>
        <v>0</v>
      </c>
      <c r="AP97" s="42">
        <f t="shared" si="40"/>
        <v>0</v>
      </c>
      <c r="AQ97" s="42">
        <f t="shared" si="40"/>
        <v>0</v>
      </c>
      <c r="AR97" s="42">
        <f t="shared" si="40"/>
        <v>1830000000</v>
      </c>
      <c r="AS97" s="42">
        <f t="shared" si="40"/>
        <v>19444207434</v>
      </c>
      <c r="AT97" s="42">
        <f t="shared" si="40"/>
        <v>0</v>
      </c>
      <c r="AU97" s="42">
        <f t="shared" si="40"/>
        <v>0</v>
      </c>
      <c r="AV97" s="42">
        <f t="shared" si="40"/>
        <v>0</v>
      </c>
      <c r="AW97" s="42">
        <f t="shared" si="40"/>
        <v>0</v>
      </c>
      <c r="AX97" s="42">
        <f t="shared" si="40"/>
        <v>0</v>
      </c>
      <c r="AY97" s="42">
        <f t="shared" si="40"/>
        <v>82444207434</v>
      </c>
    </row>
    <row r="98" spans="1:51" ht="120">
      <c r="B98" s="28">
        <v>3</v>
      </c>
      <c r="C98" s="92" t="s">
        <v>2527</v>
      </c>
      <c r="D98" s="92"/>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8"/>
      <c r="AT98" s="38"/>
      <c r="AU98" s="38"/>
      <c r="AV98" s="38"/>
      <c r="AW98" s="38"/>
      <c r="AX98" s="38"/>
      <c r="AY98" s="38"/>
    </row>
    <row r="99" spans="1:51" ht="105">
      <c r="B99" s="29" t="s">
        <v>725</v>
      </c>
      <c r="C99" s="88" t="s">
        <v>2528</v>
      </c>
      <c r="D99" s="88"/>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row>
    <row r="100" spans="1:51" ht="66">
      <c r="A100">
        <v>61</v>
      </c>
      <c r="B100" s="30" t="s">
        <v>2529</v>
      </c>
      <c r="C100" s="31" t="s">
        <v>1704</v>
      </c>
      <c r="D100" s="32" t="s">
        <v>2530</v>
      </c>
      <c r="E100" s="40"/>
      <c r="F100" s="40"/>
      <c r="G100" s="40"/>
      <c r="H100" s="40">
        <v>6994000000</v>
      </c>
      <c r="I100" s="40">
        <f t="shared" si="24"/>
        <v>6994000000</v>
      </c>
      <c r="J100" s="40">
        <v>0</v>
      </c>
      <c r="K100" s="40">
        <v>0</v>
      </c>
      <c r="L100" s="40">
        <v>0</v>
      </c>
      <c r="M100" s="40">
        <v>0</v>
      </c>
      <c r="N100" s="40">
        <f t="shared" si="25"/>
        <v>0</v>
      </c>
      <c r="O100" s="40"/>
      <c r="P100" s="40"/>
      <c r="Q100" s="40"/>
      <c r="R100" s="40"/>
      <c r="S100" s="40">
        <f t="shared" si="26"/>
        <v>0</v>
      </c>
      <c r="T100" s="40">
        <v>729170403</v>
      </c>
      <c r="U100" s="40">
        <v>819408378</v>
      </c>
      <c r="V100" s="40">
        <v>792902299</v>
      </c>
      <c r="W100" s="40">
        <v>824618391</v>
      </c>
      <c r="X100" s="40">
        <f t="shared" si="27"/>
        <v>3166099471</v>
      </c>
      <c r="Y100" s="40"/>
      <c r="Z100" s="40"/>
      <c r="AA100" s="40"/>
      <c r="AB100" s="40"/>
      <c r="AC100" s="40">
        <f t="shared" si="28"/>
        <v>0</v>
      </c>
      <c r="AD100" s="40"/>
      <c r="AE100" s="40"/>
      <c r="AF100" s="40"/>
      <c r="AG100" s="40"/>
      <c r="AH100" s="40">
        <f t="shared" si="29"/>
        <v>0</v>
      </c>
      <c r="AI100" s="40"/>
      <c r="AJ100" s="40"/>
      <c r="AK100" s="40"/>
      <c r="AL100" s="40"/>
      <c r="AM100" s="40">
        <f t="shared" si="30"/>
        <v>0</v>
      </c>
      <c r="AN100" s="40"/>
      <c r="AO100" s="40"/>
      <c r="AP100" s="40"/>
      <c r="AQ100" s="40"/>
      <c r="AR100" s="40">
        <f t="shared" si="31"/>
        <v>0</v>
      </c>
      <c r="AS100" s="40">
        <f>SUM(AR100+AM100+AH100+AC100+X100+S100+N100)</f>
        <v>3166099471</v>
      </c>
      <c r="AT100" s="40"/>
      <c r="AU100" s="40"/>
      <c r="AV100" s="40"/>
      <c r="AW100" s="40"/>
      <c r="AX100" s="40">
        <f t="shared" si="32"/>
        <v>0</v>
      </c>
      <c r="AY100" s="40">
        <f t="shared" si="33"/>
        <v>10160099471</v>
      </c>
    </row>
    <row r="101" spans="1:51" ht="39.6">
      <c r="A101">
        <v>62</v>
      </c>
      <c r="B101" s="30" t="s">
        <v>2531</v>
      </c>
      <c r="C101" s="31" t="s">
        <v>1720</v>
      </c>
      <c r="D101" s="32" t="s">
        <v>2530</v>
      </c>
      <c r="E101" s="40"/>
      <c r="F101" s="40"/>
      <c r="G101" s="40"/>
      <c r="H101" s="40">
        <v>4356000000</v>
      </c>
      <c r="I101" s="40">
        <f t="shared" si="24"/>
        <v>4356000000</v>
      </c>
      <c r="J101" s="40">
        <v>0</v>
      </c>
      <c r="K101" s="40">
        <v>0</v>
      </c>
      <c r="L101" s="40">
        <v>0</v>
      </c>
      <c r="M101" s="40">
        <v>0</v>
      </c>
      <c r="N101" s="40">
        <f t="shared" si="25"/>
        <v>0</v>
      </c>
      <c r="O101" s="40"/>
      <c r="P101" s="40"/>
      <c r="Q101" s="40"/>
      <c r="R101" s="40"/>
      <c r="S101" s="40">
        <f t="shared" si="26"/>
        <v>0</v>
      </c>
      <c r="T101" s="40">
        <v>373933540</v>
      </c>
      <c r="U101" s="40">
        <v>420209425</v>
      </c>
      <c r="V101" s="40">
        <v>406616563</v>
      </c>
      <c r="W101" s="40">
        <v>422881226</v>
      </c>
      <c r="X101" s="40">
        <f t="shared" si="27"/>
        <v>1623640754</v>
      </c>
      <c r="Y101" s="40"/>
      <c r="Z101" s="40"/>
      <c r="AA101" s="40"/>
      <c r="AB101" s="40"/>
      <c r="AC101" s="40">
        <f t="shared" si="28"/>
        <v>0</v>
      </c>
      <c r="AD101" s="40"/>
      <c r="AE101" s="40"/>
      <c r="AF101" s="40"/>
      <c r="AG101" s="40"/>
      <c r="AH101" s="40">
        <f t="shared" si="29"/>
        <v>0</v>
      </c>
      <c r="AI101" s="40"/>
      <c r="AJ101" s="40"/>
      <c r="AK101" s="40"/>
      <c r="AL101" s="40"/>
      <c r="AM101" s="40">
        <f t="shared" si="30"/>
        <v>0</v>
      </c>
      <c r="AN101" s="40"/>
      <c r="AO101" s="40"/>
      <c r="AP101" s="40"/>
      <c r="AQ101" s="40"/>
      <c r="AR101" s="40">
        <f t="shared" si="31"/>
        <v>0</v>
      </c>
      <c r="AS101" s="40">
        <f>SUM(AR101+AM101+AH101+AC101+X101+S101+N101)</f>
        <v>1623640754</v>
      </c>
      <c r="AT101" s="40"/>
      <c r="AU101" s="40"/>
      <c r="AV101" s="40"/>
      <c r="AW101" s="40"/>
      <c r="AX101" s="40">
        <f t="shared" si="32"/>
        <v>0</v>
      </c>
      <c r="AY101" s="40">
        <f t="shared" si="33"/>
        <v>5979640754</v>
      </c>
    </row>
    <row r="102" spans="1:51" ht="52.8">
      <c r="A102">
        <v>63</v>
      </c>
      <c r="B102" s="30" t="s">
        <v>2532</v>
      </c>
      <c r="C102" s="31" t="s">
        <v>1727</v>
      </c>
      <c r="D102" s="32" t="s">
        <v>2530</v>
      </c>
      <c r="E102" s="40"/>
      <c r="F102" s="40"/>
      <c r="G102" s="40"/>
      <c r="H102" s="40"/>
      <c r="I102" s="40">
        <f t="shared" si="24"/>
        <v>0</v>
      </c>
      <c r="J102" s="40">
        <v>0</v>
      </c>
      <c r="K102" s="40">
        <v>0</v>
      </c>
      <c r="L102" s="40">
        <v>0</v>
      </c>
      <c r="M102" s="40">
        <v>0</v>
      </c>
      <c r="N102" s="40">
        <f t="shared" si="25"/>
        <v>0</v>
      </c>
      <c r="O102" s="40"/>
      <c r="P102" s="40"/>
      <c r="Q102" s="40"/>
      <c r="R102" s="40"/>
      <c r="S102" s="40">
        <f t="shared" si="26"/>
        <v>0</v>
      </c>
      <c r="T102" s="40">
        <v>299146832</v>
      </c>
      <c r="U102" s="40">
        <v>336167540</v>
      </c>
      <c r="V102" s="40">
        <v>325293251</v>
      </c>
      <c r="W102" s="40">
        <v>338304981</v>
      </c>
      <c r="X102" s="40">
        <f t="shared" si="27"/>
        <v>1298912604</v>
      </c>
      <c r="Y102" s="40"/>
      <c r="Z102" s="40"/>
      <c r="AA102" s="40"/>
      <c r="AB102" s="40"/>
      <c r="AC102" s="40">
        <f t="shared" si="28"/>
        <v>0</v>
      </c>
      <c r="AD102" s="40"/>
      <c r="AE102" s="40"/>
      <c r="AF102" s="40"/>
      <c r="AG102" s="40"/>
      <c r="AH102" s="40">
        <f t="shared" si="29"/>
        <v>0</v>
      </c>
      <c r="AI102" s="40"/>
      <c r="AJ102" s="40"/>
      <c r="AK102" s="40"/>
      <c r="AL102" s="40"/>
      <c r="AM102" s="40">
        <f t="shared" si="30"/>
        <v>0</v>
      </c>
      <c r="AN102" s="40"/>
      <c r="AO102" s="40"/>
      <c r="AP102" s="40"/>
      <c r="AQ102" s="40"/>
      <c r="AR102" s="40">
        <f t="shared" si="31"/>
        <v>0</v>
      </c>
      <c r="AS102" s="40">
        <f>SUM(AR102+AM102+AH102+AC102+X102+S102+N102)</f>
        <v>1298912604</v>
      </c>
      <c r="AT102" s="40"/>
      <c r="AU102" s="40"/>
      <c r="AV102" s="40"/>
      <c r="AW102" s="40"/>
      <c r="AX102" s="40">
        <f t="shared" si="32"/>
        <v>0</v>
      </c>
      <c r="AY102" s="40">
        <f t="shared" si="33"/>
        <v>1298912604</v>
      </c>
    </row>
    <row r="103" spans="1:51" ht="96.6">
      <c r="B103" s="89" t="s">
        <v>2533</v>
      </c>
      <c r="C103" s="89"/>
      <c r="D103" s="89"/>
      <c r="E103" s="41">
        <f>SUM(E100:E102)</f>
        <v>0</v>
      </c>
      <c r="F103" s="41">
        <f t="shared" ref="F103:AX103" si="41">SUM(F100:F102)</f>
        <v>0</v>
      </c>
      <c r="G103" s="41">
        <f t="shared" si="41"/>
        <v>0</v>
      </c>
      <c r="H103" s="41">
        <f t="shared" si="41"/>
        <v>11350000000</v>
      </c>
      <c r="I103" s="41">
        <f t="shared" si="41"/>
        <v>11350000000</v>
      </c>
      <c r="J103" s="41">
        <f t="shared" si="41"/>
        <v>0</v>
      </c>
      <c r="K103" s="41">
        <f t="shared" si="41"/>
        <v>0</v>
      </c>
      <c r="L103" s="41">
        <f t="shared" si="41"/>
        <v>0</v>
      </c>
      <c r="M103" s="41">
        <f t="shared" si="41"/>
        <v>0</v>
      </c>
      <c r="N103" s="41">
        <f t="shared" si="41"/>
        <v>0</v>
      </c>
      <c r="O103" s="41">
        <f t="shared" si="41"/>
        <v>0</v>
      </c>
      <c r="P103" s="41">
        <f t="shared" si="41"/>
        <v>0</v>
      </c>
      <c r="Q103" s="41">
        <f t="shared" si="41"/>
        <v>0</v>
      </c>
      <c r="R103" s="41">
        <f t="shared" si="41"/>
        <v>0</v>
      </c>
      <c r="S103" s="41">
        <f t="shared" si="41"/>
        <v>0</v>
      </c>
      <c r="T103" s="41">
        <f t="shared" si="41"/>
        <v>1402250775</v>
      </c>
      <c r="U103" s="41">
        <f t="shared" si="41"/>
        <v>1575785343</v>
      </c>
      <c r="V103" s="41">
        <f t="shared" si="41"/>
        <v>1524812113</v>
      </c>
      <c r="W103" s="41">
        <f t="shared" si="41"/>
        <v>1585804598</v>
      </c>
      <c r="X103" s="41">
        <f t="shared" si="41"/>
        <v>6088652829</v>
      </c>
      <c r="Y103" s="41">
        <f t="shared" si="41"/>
        <v>0</v>
      </c>
      <c r="Z103" s="41">
        <f t="shared" si="41"/>
        <v>0</v>
      </c>
      <c r="AA103" s="41">
        <f t="shared" si="41"/>
        <v>0</v>
      </c>
      <c r="AB103" s="41">
        <f t="shared" si="41"/>
        <v>0</v>
      </c>
      <c r="AC103" s="41">
        <f t="shared" si="41"/>
        <v>0</v>
      </c>
      <c r="AD103" s="41">
        <f t="shared" si="41"/>
        <v>0</v>
      </c>
      <c r="AE103" s="41">
        <f t="shared" si="41"/>
        <v>0</v>
      </c>
      <c r="AF103" s="41">
        <f t="shared" si="41"/>
        <v>0</v>
      </c>
      <c r="AG103" s="41">
        <f t="shared" si="41"/>
        <v>0</v>
      </c>
      <c r="AH103" s="41">
        <f t="shared" si="41"/>
        <v>0</v>
      </c>
      <c r="AI103" s="41">
        <f t="shared" si="41"/>
        <v>0</v>
      </c>
      <c r="AJ103" s="41">
        <f t="shared" si="41"/>
        <v>0</v>
      </c>
      <c r="AK103" s="41">
        <f t="shared" si="41"/>
        <v>0</v>
      </c>
      <c r="AL103" s="41">
        <f t="shared" si="41"/>
        <v>0</v>
      </c>
      <c r="AM103" s="41">
        <f t="shared" si="41"/>
        <v>0</v>
      </c>
      <c r="AN103" s="41">
        <f t="shared" si="41"/>
        <v>0</v>
      </c>
      <c r="AO103" s="41">
        <f t="shared" si="41"/>
        <v>0</v>
      </c>
      <c r="AP103" s="41">
        <f t="shared" si="41"/>
        <v>0</v>
      </c>
      <c r="AQ103" s="41">
        <f t="shared" si="41"/>
        <v>0</v>
      </c>
      <c r="AR103" s="41">
        <f t="shared" si="41"/>
        <v>0</v>
      </c>
      <c r="AS103" s="41">
        <f t="shared" si="41"/>
        <v>6088652829</v>
      </c>
      <c r="AT103" s="41">
        <f t="shared" si="41"/>
        <v>0</v>
      </c>
      <c r="AU103" s="41">
        <f t="shared" si="41"/>
        <v>0</v>
      </c>
      <c r="AV103" s="41">
        <f t="shared" si="41"/>
        <v>0</v>
      </c>
      <c r="AW103" s="41">
        <f t="shared" si="41"/>
        <v>0</v>
      </c>
      <c r="AX103" s="41">
        <f t="shared" si="41"/>
        <v>0</v>
      </c>
      <c r="AY103" s="41">
        <f t="shared" si="33"/>
        <v>17438652829</v>
      </c>
    </row>
    <row r="104" spans="1:51" ht="90">
      <c r="B104" s="29" t="s">
        <v>2534</v>
      </c>
      <c r="C104" s="88" t="s">
        <v>2535</v>
      </c>
      <c r="D104" s="88"/>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row>
    <row r="105" spans="1:51" ht="26.4">
      <c r="B105" s="93" t="s">
        <v>2536</v>
      </c>
      <c r="C105" s="33" t="s">
        <v>2537</v>
      </c>
      <c r="D105" s="32" t="s">
        <v>2530</v>
      </c>
      <c r="E105" s="40"/>
      <c r="F105" s="40"/>
      <c r="G105" s="40"/>
      <c r="H105" s="40"/>
      <c r="I105" s="40">
        <f t="shared" si="24"/>
        <v>0</v>
      </c>
      <c r="J105" s="40">
        <v>0</v>
      </c>
      <c r="K105" s="40">
        <v>0</v>
      </c>
      <c r="L105" s="40">
        <v>0</v>
      </c>
      <c r="M105" s="40">
        <v>0</v>
      </c>
      <c r="N105" s="40">
        <f t="shared" si="25"/>
        <v>0</v>
      </c>
      <c r="O105" s="40"/>
      <c r="P105" s="40">
        <v>10000000</v>
      </c>
      <c r="Q105" s="40"/>
      <c r="R105" s="40"/>
      <c r="S105" s="40">
        <f t="shared" si="26"/>
        <v>10000000</v>
      </c>
      <c r="T105" s="40"/>
      <c r="U105" s="40"/>
      <c r="V105" s="40"/>
      <c r="W105" s="40"/>
      <c r="X105" s="40">
        <f t="shared" si="27"/>
        <v>0</v>
      </c>
      <c r="Y105" s="40"/>
      <c r="Z105" s="40"/>
      <c r="AA105" s="40"/>
      <c r="AB105" s="40"/>
      <c r="AC105" s="40">
        <f t="shared" si="28"/>
        <v>0</v>
      </c>
      <c r="AD105" s="40"/>
      <c r="AE105" s="40"/>
      <c r="AF105" s="40"/>
      <c r="AG105" s="40"/>
      <c r="AH105" s="40">
        <f t="shared" si="29"/>
        <v>0</v>
      </c>
      <c r="AI105" s="40"/>
      <c r="AJ105" s="40"/>
      <c r="AK105" s="40"/>
      <c r="AL105" s="40"/>
      <c r="AM105" s="40">
        <f t="shared" si="30"/>
        <v>0</v>
      </c>
      <c r="AN105" s="40"/>
      <c r="AO105" s="40"/>
      <c r="AP105" s="40"/>
      <c r="AQ105" s="40"/>
      <c r="AR105" s="40">
        <f t="shared" si="31"/>
        <v>0</v>
      </c>
      <c r="AS105" s="40">
        <f t="shared" ref="AS105:AS168" si="42">SUM(AR105+AM105+AH105+AC105+X105+S105+N105)</f>
        <v>10000000</v>
      </c>
      <c r="AT105" s="40"/>
      <c r="AU105" s="40"/>
      <c r="AV105" s="40"/>
      <c r="AW105" s="40"/>
      <c r="AX105" s="40">
        <f t="shared" si="32"/>
        <v>0</v>
      </c>
      <c r="AY105" s="40">
        <f t="shared" si="33"/>
        <v>10000000</v>
      </c>
    </row>
    <row r="106" spans="1:51" ht="15">
      <c r="A106">
        <v>64</v>
      </c>
      <c r="B106" s="94"/>
      <c r="C106" s="34"/>
      <c r="D106" s="32" t="s">
        <v>2538</v>
      </c>
      <c r="E106" s="40"/>
      <c r="F106" s="40"/>
      <c r="G106" s="40"/>
      <c r="H106" s="40"/>
      <c r="I106" s="40">
        <f t="shared" si="24"/>
        <v>0</v>
      </c>
      <c r="J106" s="40">
        <v>2220000000</v>
      </c>
      <c r="K106" s="40">
        <v>1319999959.98</v>
      </c>
      <c r="L106" s="40">
        <v>1280000000</v>
      </c>
      <c r="M106" s="40">
        <v>1145000000</v>
      </c>
      <c r="N106" s="40">
        <f t="shared" si="25"/>
        <v>5964999959.9799995</v>
      </c>
      <c r="O106" s="40"/>
      <c r="P106" s="40"/>
      <c r="Q106" s="40"/>
      <c r="R106" s="40"/>
      <c r="S106" s="40">
        <f t="shared" si="26"/>
        <v>0</v>
      </c>
      <c r="T106" s="40"/>
      <c r="U106" s="40"/>
      <c r="V106" s="40"/>
      <c r="W106" s="40"/>
      <c r="X106" s="40">
        <f t="shared" si="27"/>
        <v>0</v>
      </c>
      <c r="Y106" s="40"/>
      <c r="Z106" s="40"/>
      <c r="AA106" s="40"/>
      <c r="AB106" s="40"/>
      <c r="AC106" s="40">
        <f t="shared" si="28"/>
        <v>0</v>
      </c>
      <c r="AD106" s="40"/>
      <c r="AE106" s="40"/>
      <c r="AF106" s="40"/>
      <c r="AG106" s="40"/>
      <c r="AH106" s="40">
        <f t="shared" si="29"/>
        <v>0</v>
      </c>
      <c r="AI106" s="40"/>
      <c r="AJ106" s="40"/>
      <c r="AK106" s="40"/>
      <c r="AL106" s="40"/>
      <c r="AM106" s="40">
        <f t="shared" si="30"/>
        <v>0</v>
      </c>
      <c r="AN106" s="40"/>
      <c r="AO106" s="40"/>
      <c r="AP106" s="40"/>
      <c r="AQ106" s="40"/>
      <c r="AR106" s="40">
        <f t="shared" si="31"/>
        <v>0</v>
      </c>
      <c r="AS106" s="40">
        <f t="shared" si="42"/>
        <v>5964999959.9799995</v>
      </c>
      <c r="AT106" s="40"/>
      <c r="AU106" s="40"/>
      <c r="AV106" s="40"/>
      <c r="AW106" s="40"/>
      <c r="AX106" s="40">
        <f t="shared" si="32"/>
        <v>0</v>
      </c>
      <c r="AY106" s="40">
        <f t="shared" si="33"/>
        <v>5964999959.9799995</v>
      </c>
    </row>
    <row r="107" spans="1:51" ht="60">
      <c r="B107" s="95" t="s">
        <v>2539</v>
      </c>
      <c r="C107" s="96"/>
      <c r="D107" s="97"/>
      <c r="E107" s="43">
        <f>E106+E105</f>
        <v>0</v>
      </c>
      <c r="F107" s="43">
        <f t="shared" ref="F107:AY107" si="43">F106+F105</f>
        <v>0</v>
      </c>
      <c r="G107" s="43">
        <f t="shared" si="43"/>
        <v>0</v>
      </c>
      <c r="H107" s="43">
        <f t="shared" si="43"/>
        <v>0</v>
      </c>
      <c r="I107" s="43">
        <f t="shared" si="43"/>
        <v>0</v>
      </c>
      <c r="J107" s="43">
        <f t="shared" si="43"/>
        <v>2220000000</v>
      </c>
      <c r="K107" s="43">
        <f t="shared" si="43"/>
        <v>1319999959.98</v>
      </c>
      <c r="L107" s="43">
        <f t="shared" si="43"/>
        <v>1280000000</v>
      </c>
      <c r="M107" s="43">
        <f t="shared" si="43"/>
        <v>1145000000</v>
      </c>
      <c r="N107" s="43">
        <f t="shared" si="43"/>
        <v>5964999959.9799995</v>
      </c>
      <c r="O107" s="43">
        <f t="shared" si="43"/>
        <v>0</v>
      </c>
      <c r="P107" s="43">
        <f t="shared" si="43"/>
        <v>10000000</v>
      </c>
      <c r="Q107" s="43">
        <f t="shared" si="43"/>
        <v>0</v>
      </c>
      <c r="R107" s="43">
        <f t="shared" si="43"/>
        <v>0</v>
      </c>
      <c r="S107" s="43">
        <f t="shared" si="43"/>
        <v>10000000</v>
      </c>
      <c r="T107" s="43">
        <f t="shared" si="43"/>
        <v>0</v>
      </c>
      <c r="U107" s="43">
        <f t="shared" si="43"/>
        <v>0</v>
      </c>
      <c r="V107" s="43">
        <f t="shared" si="43"/>
        <v>0</v>
      </c>
      <c r="W107" s="43">
        <f t="shared" si="43"/>
        <v>0</v>
      </c>
      <c r="X107" s="43">
        <f t="shared" si="43"/>
        <v>0</v>
      </c>
      <c r="Y107" s="43">
        <f t="shared" si="43"/>
        <v>0</v>
      </c>
      <c r="Z107" s="43">
        <f t="shared" si="43"/>
        <v>0</v>
      </c>
      <c r="AA107" s="43">
        <f t="shared" si="43"/>
        <v>0</v>
      </c>
      <c r="AB107" s="43">
        <f t="shared" si="43"/>
        <v>0</v>
      </c>
      <c r="AC107" s="43">
        <f t="shared" si="43"/>
        <v>0</v>
      </c>
      <c r="AD107" s="43">
        <f t="shared" si="43"/>
        <v>0</v>
      </c>
      <c r="AE107" s="43">
        <f t="shared" si="43"/>
        <v>0</v>
      </c>
      <c r="AF107" s="43">
        <f t="shared" si="43"/>
        <v>0</v>
      </c>
      <c r="AG107" s="43">
        <f t="shared" si="43"/>
        <v>0</v>
      </c>
      <c r="AH107" s="43">
        <f t="shared" si="43"/>
        <v>0</v>
      </c>
      <c r="AI107" s="43">
        <f t="shared" si="43"/>
        <v>0</v>
      </c>
      <c r="AJ107" s="43">
        <f t="shared" si="43"/>
        <v>0</v>
      </c>
      <c r="AK107" s="43">
        <f t="shared" si="43"/>
        <v>0</v>
      </c>
      <c r="AL107" s="43">
        <f t="shared" si="43"/>
        <v>0</v>
      </c>
      <c r="AM107" s="43">
        <f t="shared" si="43"/>
        <v>0</v>
      </c>
      <c r="AN107" s="43">
        <f t="shared" si="43"/>
        <v>0</v>
      </c>
      <c r="AO107" s="43">
        <f t="shared" si="43"/>
        <v>0</v>
      </c>
      <c r="AP107" s="43">
        <f t="shared" si="43"/>
        <v>0</v>
      </c>
      <c r="AQ107" s="43">
        <f t="shared" si="43"/>
        <v>0</v>
      </c>
      <c r="AR107" s="43">
        <f t="shared" si="43"/>
        <v>0</v>
      </c>
      <c r="AS107" s="43">
        <f t="shared" si="43"/>
        <v>5974999959.9799995</v>
      </c>
      <c r="AT107" s="43">
        <f t="shared" si="43"/>
        <v>0</v>
      </c>
      <c r="AU107" s="43">
        <f t="shared" si="43"/>
        <v>0</v>
      </c>
      <c r="AV107" s="43">
        <f t="shared" si="43"/>
        <v>0</v>
      </c>
      <c r="AW107" s="43">
        <f t="shared" si="43"/>
        <v>0</v>
      </c>
      <c r="AX107" s="43">
        <f t="shared" si="43"/>
        <v>0</v>
      </c>
      <c r="AY107" s="43">
        <f t="shared" si="43"/>
        <v>5974999959.9799995</v>
      </c>
    </row>
    <row r="108" spans="1:51" ht="92.4">
      <c r="A108">
        <v>65</v>
      </c>
      <c r="B108" s="30" t="s">
        <v>2540</v>
      </c>
      <c r="C108" s="31" t="s">
        <v>1750</v>
      </c>
      <c r="D108" s="32" t="s">
        <v>2538</v>
      </c>
      <c r="E108" s="40"/>
      <c r="F108" s="40"/>
      <c r="G108" s="40"/>
      <c r="H108" s="40"/>
      <c r="I108" s="40">
        <f t="shared" si="24"/>
        <v>0</v>
      </c>
      <c r="J108" s="40">
        <v>920000000</v>
      </c>
      <c r="K108" s="40">
        <v>1019999960</v>
      </c>
      <c r="L108" s="40">
        <v>1280000000</v>
      </c>
      <c r="M108" s="40">
        <v>0</v>
      </c>
      <c r="N108" s="40">
        <f t="shared" si="25"/>
        <v>3219999960</v>
      </c>
      <c r="O108" s="40"/>
      <c r="P108" s="40"/>
      <c r="Q108" s="40"/>
      <c r="R108" s="40"/>
      <c r="S108" s="40">
        <f t="shared" si="26"/>
        <v>0</v>
      </c>
      <c r="T108" s="40"/>
      <c r="U108" s="40"/>
      <c r="V108" s="40"/>
      <c r="W108" s="40"/>
      <c r="X108" s="40">
        <f t="shared" si="27"/>
        <v>0</v>
      </c>
      <c r="Y108" s="40"/>
      <c r="Z108" s="40"/>
      <c r="AA108" s="40"/>
      <c r="AB108" s="40"/>
      <c r="AC108" s="40">
        <f t="shared" si="28"/>
        <v>0</v>
      </c>
      <c r="AD108" s="40"/>
      <c r="AE108" s="40"/>
      <c r="AF108" s="40"/>
      <c r="AG108" s="40"/>
      <c r="AH108" s="40">
        <f t="shared" si="29"/>
        <v>0</v>
      </c>
      <c r="AI108" s="40"/>
      <c r="AJ108" s="40"/>
      <c r="AK108" s="40"/>
      <c r="AL108" s="40"/>
      <c r="AM108" s="40">
        <f t="shared" si="30"/>
        <v>0</v>
      </c>
      <c r="AN108" s="40"/>
      <c r="AO108" s="40"/>
      <c r="AP108" s="40"/>
      <c r="AQ108" s="40"/>
      <c r="AR108" s="40">
        <f t="shared" si="31"/>
        <v>0</v>
      </c>
      <c r="AS108" s="40">
        <f t="shared" si="42"/>
        <v>3219999960</v>
      </c>
      <c r="AT108" s="40"/>
      <c r="AU108" s="40"/>
      <c r="AV108" s="40"/>
      <c r="AW108" s="40"/>
      <c r="AX108" s="40">
        <f t="shared" si="32"/>
        <v>0</v>
      </c>
      <c r="AY108" s="40">
        <f t="shared" si="33"/>
        <v>3219999960</v>
      </c>
    </row>
    <row r="109" spans="1:51" ht="66">
      <c r="A109">
        <v>66</v>
      </c>
      <c r="B109" s="93" t="s">
        <v>2541</v>
      </c>
      <c r="C109" s="33" t="s">
        <v>2542</v>
      </c>
      <c r="D109" s="32" t="s">
        <v>2530</v>
      </c>
      <c r="E109" s="40"/>
      <c r="F109" s="40"/>
      <c r="G109" s="40"/>
      <c r="H109" s="40"/>
      <c r="I109" s="40">
        <f t="shared" si="24"/>
        <v>0</v>
      </c>
      <c r="J109" s="40">
        <v>0</v>
      </c>
      <c r="K109" s="40">
        <v>0</v>
      </c>
      <c r="L109" s="40">
        <v>0</v>
      </c>
      <c r="M109" s="40">
        <v>0</v>
      </c>
      <c r="N109" s="40">
        <f t="shared" si="25"/>
        <v>0</v>
      </c>
      <c r="O109" s="40"/>
      <c r="P109" s="40"/>
      <c r="Q109" s="40">
        <v>448968765</v>
      </c>
      <c r="R109" s="40">
        <v>466927516</v>
      </c>
      <c r="S109" s="40">
        <f t="shared" si="26"/>
        <v>915896281</v>
      </c>
      <c r="T109" s="40"/>
      <c r="U109" s="40"/>
      <c r="V109" s="40">
        <v>257202140</v>
      </c>
      <c r="W109" s="40"/>
      <c r="X109" s="40">
        <f t="shared" si="27"/>
        <v>257202140</v>
      </c>
      <c r="Y109" s="40"/>
      <c r="Z109" s="40"/>
      <c r="AA109" s="40"/>
      <c r="AB109" s="40"/>
      <c r="AC109" s="40">
        <f t="shared" si="28"/>
        <v>0</v>
      </c>
      <c r="AD109" s="40"/>
      <c r="AE109" s="40"/>
      <c r="AF109" s="40"/>
      <c r="AG109" s="40"/>
      <c r="AH109" s="40">
        <f t="shared" si="29"/>
        <v>0</v>
      </c>
      <c r="AI109" s="40"/>
      <c r="AJ109" s="40"/>
      <c r="AK109" s="40"/>
      <c r="AL109" s="40"/>
      <c r="AM109" s="40">
        <f t="shared" si="30"/>
        <v>0</v>
      </c>
      <c r="AN109" s="40"/>
      <c r="AO109" s="40"/>
      <c r="AP109" s="40"/>
      <c r="AQ109" s="40"/>
      <c r="AR109" s="40">
        <f t="shared" si="31"/>
        <v>0</v>
      </c>
      <c r="AS109" s="40">
        <f t="shared" si="42"/>
        <v>1173098421</v>
      </c>
      <c r="AT109" s="40"/>
      <c r="AU109" s="40"/>
      <c r="AV109" s="40"/>
      <c r="AW109" s="40"/>
      <c r="AX109" s="40">
        <f t="shared" si="32"/>
        <v>0</v>
      </c>
      <c r="AY109" s="40">
        <f t="shared" si="33"/>
        <v>1173098421</v>
      </c>
    </row>
    <row r="110" spans="1:51" ht="15">
      <c r="B110" s="94"/>
      <c r="C110" s="34"/>
      <c r="D110" s="32" t="s">
        <v>2538</v>
      </c>
      <c r="E110" s="40"/>
      <c r="F110" s="40">
        <v>4871935224.5</v>
      </c>
      <c r="G110" s="40"/>
      <c r="H110" s="40"/>
      <c r="I110" s="40">
        <f t="shared" si="24"/>
        <v>4871935224.5</v>
      </c>
      <c r="J110" s="40">
        <v>1320000000</v>
      </c>
      <c r="K110" s="40">
        <v>819999960</v>
      </c>
      <c r="L110" s="40">
        <v>980000000</v>
      </c>
      <c r="M110" s="40">
        <v>745000000</v>
      </c>
      <c r="N110" s="40">
        <f t="shared" si="25"/>
        <v>3864999960</v>
      </c>
      <c r="O110" s="40"/>
      <c r="P110" s="40"/>
      <c r="Q110" s="40"/>
      <c r="R110" s="40"/>
      <c r="S110" s="40">
        <f t="shared" si="26"/>
        <v>0</v>
      </c>
      <c r="T110" s="40"/>
      <c r="U110" s="40"/>
      <c r="V110" s="40"/>
      <c r="W110" s="40"/>
      <c r="X110" s="40">
        <f t="shared" si="27"/>
        <v>0</v>
      </c>
      <c r="Y110" s="40"/>
      <c r="Z110" s="40"/>
      <c r="AA110" s="40"/>
      <c r="AB110" s="40"/>
      <c r="AC110" s="40">
        <f t="shared" si="28"/>
        <v>0</v>
      </c>
      <c r="AD110" s="40"/>
      <c r="AE110" s="40"/>
      <c r="AF110" s="40"/>
      <c r="AG110" s="40"/>
      <c r="AH110" s="40">
        <f t="shared" si="29"/>
        <v>0</v>
      </c>
      <c r="AI110" s="40"/>
      <c r="AJ110" s="40"/>
      <c r="AK110" s="40"/>
      <c r="AL110" s="40"/>
      <c r="AM110" s="40">
        <f t="shared" si="30"/>
        <v>0</v>
      </c>
      <c r="AN110" s="40"/>
      <c r="AO110" s="40"/>
      <c r="AP110" s="40"/>
      <c r="AQ110" s="40"/>
      <c r="AR110" s="40">
        <f t="shared" si="31"/>
        <v>0</v>
      </c>
      <c r="AS110" s="40">
        <f t="shared" si="42"/>
        <v>3864999960</v>
      </c>
      <c r="AT110" s="40"/>
      <c r="AU110" s="40"/>
      <c r="AV110" s="40"/>
      <c r="AW110" s="40"/>
      <c r="AX110" s="40">
        <f t="shared" si="32"/>
        <v>0</v>
      </c>
      <c r="AY110" s="40">
        <f t="shared" si="33"/>
        <v>8736935184.5</v>
      </c>
    </row>
    <row r="111" spans="1:51" ht="90">
      <c r="B111" s="95" t="s">
        <v>2543</v>
      </c>
      <c r="C111" s="96"/>
      <c r="D111" s="97"/>
      <c r="E111" s="43">
        <f>SUM(E109:E110)</f>
        <v>0</v>
      </c>
      <c r="F111" s="43">
        <f t="shared" ref="F111:AY111" si="44">SUM(F109:F110)</f>
        <v>4871935224.5</v>
      </c>
      <c r="G111" s="43">
        <f t="shared" si="44"/>
        <v>0</v>
      </c>
      <c r="H111" s="43">
        <f t="shared" si="44"/>
        <v>0</v>
      </c>
      <c r="I111" s="43">
        <f t="shared" si="44"/>
        <v>4871935224.5</v>
      </c>
      <c r="J111" s="43">
        <f t="shared" si="44"/>
        <v>1320000000</v>
      </c>
      <c r="K111" s="43">
        <f t="shared" si="44"/>
        <v>819999960</v>
      </c>
      <c r="L111" s="43">
        <f t="shared" si="44"/>
        <v>980000000</v>
      </c>
      <c r="M111" s="43">
        <f t="shared" si="44"/>
        <v>745000000</v>
      </c>
      <c r="N111" s="43">
        <f t="shared" si="44"/>
        <v>3864999960</v>
      </c>
      <c r="O111" s="43">
        <f t="shared" si="44"/>
        <v>0</v>
      </c>
      <c r="P111" s="43">
        <f t="shared" si="44"/>
        <v>0</v>
      </c>
      <c r="Q111" s="43">
        <f t="shared" si="44"/>
        <v>448968765</v>
      </c>
      <c r="R111" s="43">
        <f t="shared" si="44"/>
        <v>466927516</v>
      </c>
      <c r="S111" s="43">
        <f t="shared" si="44"/>
        <v>915896281</v>
      </c>
      <c r="T111" s="43">
        <f t="shared" si="44"/>
        <v>0</v>
      </c>
      <c r="U111" s="43">
        <f t="shared" si="44"/>
        <v>0</v>
      </c>
      <c r="V111" s="43">
        <f t="shared" si="44"/>
        <v>257202140</v>
      </c>
      <c r="W111" s="43">
        <f t="shared" si="44"/>
        <v>0</v>
      </c>
      <c r="X111" s="43">
        <f t="shared" si="44"/>
        <v>257202140</v>
      </c>
      <c r="Y111" s="43">
        <f t="shared" si="44"/>
        <v>0</v>
      </c>
      <c r="Z111" s="43">
        <f t="shared" si="44"/>
        <v>0</v>
      </c>
      <c r="AA111" s="43">
        <f t="shared" si="44"/>
        <v>0</v>
      </c>
      <c r="AB111" s="43">
        <f t="shared" si="44"/>
        <v>0</v>
      </c>
      <c r="AC111" s="43">
        <f t="shared" si="44"/>
        <v>0</v>
      </c>
      <c r="AD111" s="43">
        <f t="shared" si="44"/>
        <v>0</v>
      </c>
      <c r="AE111" s="43">
        <f t="shared" si="44"/>
        <v>0</v>
      </c>
      <c r="AF111" s="43">
        <f t="shared" si="44"/>
        <v>0</v>
      </c>
      <c r="AG111" s="43">
        <f t="shared" si="44"/>
        <v>0</v>
      </c>
      <c r="AH111" s="43">
        <f t="shared" si="44"/>
        <v>0</v>
      </c>
      <c r="AI111" s="43">
        <f t="shared" si="44"/>
        <v>0</v>
      </c>
      <c r="AJ111" s="43">
        <f t="shared" si="44"/>
        <v>0</v>
      </c>
      <c r="AK111" s="43">
        <f t="shared" si="44"/>
        <v>0</v>
      </c>
      <c r="AL111" s="43">
        <f t="shared" si="44"/>
        <v>0</v>
      </c>
      <c r="AM111" s="43">
        <f t="shared" si="44"/>
        <v>0</v>
      </c>
      <c r="AN111" s="43">
        <f t="shared" si="44"/>
        <v>0</v>
      </c>
      <c r="AO111" s="43">
        <f t="shared" si="44"/>
        <v>0</v>
      </c>
      <c r="AP111" s="43">
        <f t="shared" si="44"/>
        <v>0</v>
      </c>
      <c r="AQ111" s="43">
        <f t="shared" si="44"/>
        <v>0</v>
      </c>
      <c r="AR111" s="43">
        <f t="shared" si="44"/>
        <v>0</v>
      </c>
      <c r="AS111" s="43">
        <f t="shared" si="44"/>
        <v>5038098381</v>
      </c>
      <c r="AT111" s="43">
        <f t="shared" si="44"/>
        <v>0</v>
      </c>
      <c r="AU111" s="43">
        <f t="shared" si="44"/>
        <v>0</v>
      </c>
      <c r="AV111" s="43">
        <f t="shared" si="44"/>
        <v>0</v>
      </c>
      <c r="AW111" s="43">
        <f t="shared" si="44"/>
        <v>0</v>
      </c>
      <c r="AX111" s="43">
        <f t="shared" si="44"/>
        <v>0</v>
      </c>
      <c r="AY111" s="43">
        <f t="shared" si="44"/>
        <v>9910033605.5</v>
      </c>
    </row>
    <row r="112" spans="1:51" ht="26.4">
      <c r="A112">
        <v>67</v>
      </c>
      <c r="B112" s="93" t="s">
        <v>2544</v>
      </c>
      <c r="C112" s="33" t="s">
        <v>1768</v>
      </c>
      <c r="D112" s="32" t="s">
        <v>2530</v>
      </c>
      <c r="E112" s="40"/>
      <c r="F112" s="40"/>
      <c r="G112" s="40">
        <v>1689642573</v>
      </c>
      <c r="H112" s="40"/>
      <c r="I112" s="40">
        <f t="shared" si="24"/>
        <v>1689642573</v>
      </c>
      <c r="J112" s="40">
        <v>0</v>
      </c>
      <c r="K112" s="40">
        <v>0</v>
      </c>
      <c r="L112" s="40">
        <v>0</v>
      </c>
      <c r="M112" s="40">
        <v>0</v>
      </c>
      <c r="N112" s="40">
        <f t="shared" si="25"/>
        <v>0</v>
      </c>
      <c r="O112" s="40">
        <v>427345103</v>
      </c>
      <c r="P112" s="40">
        <v>435892005</v>
      </c>
      <c r="Q112" s="40"/>
      <c r="R112" s="40"/>
      <c r="S112" s="40">
        <f t="shared" si="26"/>
        <v>863237108</v>
      </c>
      <c r="T112" s="40"/>
      <c r="U112" s="40">
        <v>330192515</v>
      </c>
      <c r="V112" s="40"/>
      <c r="W112" s="40"/>
      <c r="X112" s="40">
        <f t="shared" si="27"/>
        <v>330192515</v>
      </c>
      <c r="Y112" s="40"/>
      <c r="Z112" s="40"/>
      <c r="AA112" s="40"/>
      <c r="AB112" s="40"/>
      <c r="AC112" s="40">
        <f t="shared" si="28"/>
        <v>0</v>
      </c>
      <c r="AD112" s="40"/>
      <c r="AE112" s="40"/>
      <c r="AF112" s="40"/>
      <c r="AG112" s="40"/>
      <c r="AH112" s="40">
        <f t="shared" si="29"/>
        <v>0</v>
      </c>
      <c r="AI112" s="40"/>
      <c r="AJ112" s="40"/>
      <c r="AK112" s="40"/>
      <c r="AL112" s="40"/>
      <c r="AM112" s="40">
        <f t="shared" si="30"/>
        <v>0</v>
      </c>
      <c r="AN112" s="40"/>
      <c r="AO112" s="40"/>
      <c r="AP112" s="40"/>
      <c r="AQ112" s="40"/>
      <c r="AR112" s="40">
        <f t="shared" si="31"/>
        <v>0</v>
      </c>
      <c r="AS112" s="40">
        <f t="shared" si="42"/>
        <v>1193429623</v>
      </c>
      <c r="AT112" s="40"/>
      <c r="AU112" s="40"/>
      <c r="AV112" s="40"/>
      <c r="AW112" s="40"/>
      <c r="AX112" s="40">
        <f t="shared" si="32"/>
        <v>0</v>
      </c>
      <c r="AY112" s="40">
        <f t="shared" si="33"/>
        <v>2883072196</v>
      </c>
    </row>
    <row r="113" spans="1:51" ht="15">
      <c r="B113" s="94"/>
      <c r="C113" s="34"/>
      <c r="D113" s="32" t="s">
        <v>2538</v>
      </c>
      <c r="E113" s="40"/>
      <c r="F113" s="40">
        <v>3446460208</v>
      </c>
      <c r="G113" s="40"/>
      <c r="H113" s="40"/>
      <c r="I113" s="40">
        <f t="shared" si="24"/>
        <v>3446460208</v>
      </c>
      <c r="J113" s="40">
        <v>420000000</v>
      </c>
      <c r="K113" s="40">
        <v>2299059256</v>
      </c>
      <c r="L113" s="40">
        <v>2653931074</v>
      </c>
      <c r="M113" s="40">
        <v>6611298013</v>
      </c>
      <c r="N113" s="40">
        <f t="shared" si="25"/>
        <v>11984288343</v>
      </c>
      <c r="O113" s="40"/>
      <c r="P113" s="40"/>
      <c r="Q113" s="40"/>
      <c r="R113" s="40"/>
      <c r="S113" s="40">
        <f t="shared" si="26"/>
        <v>0</v>
      </c>
      <c r="T113" s="40"/>
      <c r="U113" s="40"/>
      <c r="V113" s="40"/>
      <c r="W113" s="40"/>
      <c r="X113" s="40">
        <f t="shared" si="27"/>
        <v>0</v>
      </c>
      <c r="Y113" s="40"/>
      <c r="Z113" s="40"/>
      <c r="AA113" s="40"/>
      <c r="AB113" s="40"/>
      <c r="AC113" s="40">
        <f t="shared" si="28"/>
        <v>0</v>
      </c>
      <c r="AD113" s="40"/>
      <c r="AE113" s="40"/>
      <c r="AF113" s="40"/>
      <c r="AG113" s="40"/>
      <c r="AH113" s="40">
        <f t="shared" si="29"/>
        <v>0</v>
      </c>
      <c r="AI113" s="40"/>
      <c r="AJ113" s="40"/>
      <c r="AK113" s="40"/>
      <c r="AL113" s="40"/>
      <c r="AM113" s="40">
        <f t="shared" si="30"/>
        <v>0</v>
      </c>
      <c r="AN113" s="40"/>
      <c r="AO113" s="40"/>
      <c r="AP113" s="40"/>
      <c r="AQ113" s="40"/>
      <c r="AR113" s="40">
        <f t="shared" si="31"/>
        <v>0</v>
      </c>
      <c r="AS113" s="40">
        <f t="shared" si="42"/>
        <v>11984288343</v>
      </c>
      <c r="AT113" s="40"/>
      <c r="AU113" s="40"/>
      <c r="AV113" s="40"/>
      <c r="AW113" s="40"/>
      <c r="AX113" s="40">
        <f t="shared" si="32"/>
        <v>0</v>
      </c>
      <c r="AY113" s="40">
        <f t="shared" si="33"/>
        <v>15430748551</v>
      </c>
    </row>
    <row r="114" spans="1:51" ht="45">
      <c r="B114" s="95" t="s">
        <v>2545</v>
      </c>
      <c r="C114" s="96"/>
      <c r="D114" s="97"/>
      <c r="E114" s="43">
        <f>E112+E113</f>
        <v>0</v>
      </c>
      <c r="F114" s="43">
        <f t="shared" ref="F114:AY114" si="45">F112+F113</f>
        <v>3446460208</v>
      </c>
      <c r="G114" s="43">
        <f t="shared" si="45"/>
        <v>1689642573</v>
      </c>
      <c r="H114" s="43">
        <f t="shared" si="45"/>
        <v>0</v>
      </c>
      <c r="I114" s="43">
        <f t="shared" si="45"/>
        <v>5136102781</v>
      </c>
      <c r="J114" s="43">
        <f t="shared" si="45"/>
        <v>420000000</v>
      </c>
      <c r="K114" s="43">
        <f t="shared" si="45"/>
        <v>2299059256</v>
      </c>
      <c r="L114" s="43">
        <f t="shared" si="45"/>
        <v>2653931074</v>
      </c>
      <c r="M114" s="43">
        <f t="shared" si="45"/>
        <v>6611298013</v>
      </c>
      <c r="N114" s="43">
        <f t="shared" si="45"/>
        <v>11984288343</v>
      </c>
      <c r="O114" s="43">
        <f t="shared" si="45"/>
        <v>427345103</v>
      </c>
      <c r="P114" s="43">
        <f t="shared" si="45"/>
        <v>435892005</v>
      </c>
      <c r="Q114" s="43">
        <f t="shared" si="45"/>
        <v>0</v>
      </c>
      <c r="R114" s="43">
        <f t="shared" si="45"/>
        <v>0</v>
      </c>
      <c r="S114" s="43">
        <f t="shared" si="45"/>
        <v>863237108</v>
      </c>
      <c r="T114" s="43">
        <f t="shared" si="45"/>
        <v>0</v>
      </c>
      <c r="U114" s="43">
        <f t="shared" si="45"/>
        <v>330192515</v>
      </c>
      <c r="V114" s="43">
        <f t="shared" si="45"/>
        <v>0</v>
      </c>
      <c r="W114" s="43">
        <f t="shared" si="45"/>
        <v>0</v>
      </c>
      <c r="X114" s="43">
        <f t="shared" si="45"/>
        <v>330192515</v>
      </c>
      <c r="Y114" s="43">
        <f t="shared" si="45"/>
        <v>0</v>
      </c>
      <c r="Z114" s="43">
        <f t="shared" si="45"/>
        <v>0</v>
      </c>
      <c r="AA114" s="43">
        <f t="shared" si="45"/>
        <v>0</v>
      </c>
      <c r="AB114" s="43">
        <f t="shared" si="45"/>
        <v>0</v>
      </c>
      <c r="AC114" s="43">
        <f t="shared" si="45"/>
        <v>0</v>
      </c>
      <c r="AD114" s="43">
        <f t="shared" si="45"/>
        <v>0</v>
      </c>
      <c r="AE114" s="43">
        <f t="shared" si="45"/>
        <v>0</v>
      </c>
      <c r="AF114" s="43">
        <f t="shared" si="45"/>
        <v>0</v>
      </c>
      <c r="AG114" s="43">
        <f t="shared" si="45"/>
        <v>0</v>
      </c>
      <c r="AH114" s="43">
        <f t="shared" si="45"/>
        <v>0</v>
      </c>
      <c r="AI114" s="43">
        <f t="shared" si="45"/>
        <v>0</v>
      </c>
      <c r="AJ114" s="43">
        <f t="shared" si="45"/>
        <v>0</v>
      </c>
      <c r="AK114" s="43">
        <f t="shared" si="45"/>
        <v>0</v>
      </c>
      <c r="AL114" s="43">
        <f t="shared" si="45"/>
        <v>0</v>
      </c>
      <c r="AM114" s="43">
        <f t="shared" si="45"/>
        <v>0</v>
      </c>
      <c r="AN114" s="43">
        <f t="shared" si="45"/>
        <v>0</v>
      </c>
      <c r="AO114" s="43">
        <f t="shared" si="45"/>
        <v>0</v>
      </c>
      <c r="AP114" s="43">
        <f t="shared" si="45"/>
        <v>0</v>
      </c>
      <c r="AQ114" s="43">
        <f t="shared" si="45"/>
        <v>0</v>
      </c>
      <c r="AR114" s="43">
        <f t="shared" si="45"/>
        <v>0</v>
      </c>
      <c r="AS114" s="43">
        <f t="shared" si="45"/>
        <v>13177717966</v>
      </c>
      <c r="AT114" s="43">
        <f t="shared" si="45"/>
        <v>0</v>
      </c>
      <c r="AU114" s="43">
        <f t="shared" si="45"/>
        <v>0</v>
      </c>
      <c r="AV114" s="43">
        <f t="shared" si="45"/>
        <v>0</v>
      </c>
      <c r="AW114" s="43">
        <f t="shared" si="45"/>
        <v>0</v>
      </c>
      <c r="AX114" s="43">
        <f t="shared" si="45"/>
        <v>0</v>
      </c>
      <c r="AY114" s="43">
        <f t="shared" si="45"/>
        <v>18313820747</v>
      </c>
    </row>
    <row r="115" spans="1:51" ht="52.8">
      <c r="A115">
        <v>68</v>
      </c>
      <c r="B115" s="93" t="s">
        <v>2546</v>
      </c>
      <c r="C115" s="33" t="s">
        <v>1779</v>
      </c>
      <c r="D115" s="32" t="s">
        <v>2530</v>
      </c>
      <c r="E115" s="40"/>
      <c r="F115" s="40"/>
      <c r="G115" s="40">
        <v>1200000000</v>
      </c>
      <c r="H115" s="40"/>
      <c r="I115" s="40">
        <f t="shared" si="24"/>
        <v>1200000000</v>
      </c>
      <c r="J115" s="40">
        <v>0</v>
      </c>
      <c r="K115" s="40">
        <v>0</v>
      </c>
      <c r="L115" s="40">
        <v>0</v>
      </c>
      <c r="M115" s="40">
        <v>0</v>
      </c>
      <c r="N115" s="40">
        <f t="shared" si="25"/>
        <v>0</v>
      </c>
      <c r="O115" s="40"/>
      <c r="P115" s="40"/>
      <c r="Q115" s="40"/>
      <c r="R115" s="40"/>
      <c r="S115" s="40">
        <f t="shared" si="26"/>
        <v>0</v>
      </c>
      <c r="T115" s="40"/>
      <c r="U115" s="40"/>
      <c r="V115" s="40"/>
      <c r="W115" s="40"/>
      <c r="X115" s="40">
        <f t="shared" si="27"/>
        <v>0</v>
      </c>
      <c r="Y115" s="40"/>
      <c r="Z115" s="40"/>
      <c r="AA115" s="40"/>
      <c r="AB115" s="40"/>
      <c r="AC115" s="40">
        <f t="shared" si="28"/>
        <v>0</v>
      </c>
      <c r="AD115" s="40"/>
      <c r="AE115" s="40"/>
      <c r="AF115" s="40"/>
      <c r="AG115" s="40"/>
      <c r="AH115" s="40">
        <f t="shared" si="29"/>
        <v>0</v>
      </c>
      <c r="AI115" s="40"/>
      <c r="AJ115" s="40"/>
      <c r="AK115" s="40"/>
      <c r="AL115" s="40"/>
      <c r="AM115" s="40">
        <f t="shared" si="30"/>
        <v>0</v>
      </c>
      <c r="AN115" s="40"/>
      <c r="AO115" s="40"/>
      <c r="AP115" s="40"/>
      <c r="AQ115" s="40"/>
      <c r="AR115" s="40">
        <f t="shared" si="31"/>
        <v>0</v>
      </c>
      <c r="AS115" s="40">
        <f t="shared" si="42"/>
        <v>0</v>
      </c>
      <c r="AT115" s="40"/>
      <c r="AU115" s="40"/>
      <c r="AV115" s="40"/>
      <c r="AW115" s="40"/>
      <c r="AX115" s="40">
        <f t="shared" si="32"/>
        <v>0</v>
      </c>
      <c r="AY115" s="40">
        <f t="shared" si="33"/>
        <v>1200000000</v>
      </c>
    </row>
    <row r="116" spans="1:51" ht="15">
      <c r="B116" s="94"/>
      <c r="C116" s="34"/>
      <c r="D116" s="32" t="s">
        <v>2538</v>
      </c>
      <c r="E116" s="40"/>
      <c r="F116" s="40"/>
      <c r="G116" s="40"/>
      <c r="H116" s="40"/>
      <c r="I116" s="40">
        <f t="shared" si="24"/>
        <v>0</v>
      </c>
      <c r="J116" s="40">
        <v>4496814166</v>
      </c>
      <c r="K116" s="40">
        <v>4199059455</v>
      </c>
      <c r="L116" s="40">
        <v>3753931075</v>
      </c>
      <c r="M116" s="40">
        <v>1745000000</v>
      </c>
      <c r="N116" s="40">
        <f t="shared" si="25"/>
        <v>14194804696</v>
      </c>
      <c r="O116" s="40"/>
      <c r="P116" s="40"/>
      <c r="Q116" s="40"/>
      <c r="R116" s="40"/>
      <c r="S116" s="40">
        <f t="shared" si="26"/>
        <v>0</v>
      </c>
      <c r="T116" s="40"/>
      <c r="U116" s="40"/>
      <c r="V116" s="40"/>
      <c r="W116" s="40"/>
      <c r="X116" s="40">
        <f t="shared" si="27"/>
        <v>0</v>
      </c>
      <c r="Y116" s="40"/>
      <c r="Z116" s="40"/>
      <c r="AA116" s="40"/>
      <c r="AB116" s="40"/>
      <c r="AC116" s="40">
        <f t="shared" si="28"/>
        <v>0</v>
      </c>
      <c r="AD116" s="40"/>
      <c r="AE116" s="40"/>
      <c r="AF116" s="40"/>
      <c r="AG116" s="40"/>
      <c r="AH116" s="40">
        <f t="shared" si="29"/>
        <v>0</v>
      </c>
      <c r="AI116" s="40"/>
      <c r="AJ116" s="40"/>
      <c r="AK116" s="40"/>
      <c r="AL116" s="40"/>
      <c r="AM116" s="40">
        <f t="shared" si="30"/>
        <v>0</v>
      </c>
      <c r="AN116" s="40"/>
      <c r="AO116" s="40"/>
      <c r="AP116" s="40"/>
      <c r="AQ116" s="40"/>
      <c r="AR116" s="40">
        <f t="shared" si="31"/>
        <v>0</v>
      </c>
      <c r="AS116" s="40">
        <f t="shared" si="42"/>
        <v>14194804696</v>
      </c>
      <c r="AT116" s="40"/>
      <c r="AU116" s="40"/>
      <c r="AV116" s="40"/>
      <c r="AW116" s="40"/>
      <c r="AX116" s="40">
        <f t="shared" si="32"/>
        <v>0</v>
      </c>
      <c r="AY116" s="40">
        <f t="shared" si="33"/>
        <v>14194804696</v>
      </c>
    </row>
    <row r="117" spans="1:51" ht="75">
      <c r="B117" s="95" t="s">
        <v>2547</v>
      </c>
      <c r="C117" s="96"/>
      <c r="D117" s="97"/>
      <c r="E117" s="43">
        <f>E116+E115</f>
        <v>0</v>
      </c>
      <c r="F117" s="43">
        <f t="shared" ref="F117:AY117" si="46">F116+F115</f>
        <v>0</v>
      </c>
      <c r="G117" s="43">
        <f t="shared" si="46"/>
        <v>1200000000</v>
      </c>
      <c r="H117" s="43">
        <f t="shared" si="46"/>
        <v>0</v>
      </c>
      <c r="I117" s="43">
        <f t="shared" si="46"/>
        <v>1200000000</v>
      </c>
      <c r="J117" s="43">
        <f t="shared" si="46"/>
        <v>4496814166</v>
      </c>
      <c r="K117" s="43">
        <f t="shared" si="46"/>
        <v>4199059455</v>
      </c>
      <c r="L117" s="43">
        <f t="shared" si="46"/>
        <v>3753931075</v>
      </c>
      <c r="M117" s="43">
        <f t="shared" si="46"/>
        <v>1745000000</v>
      </c>
      <c r="N117" s="43">
        <f t="shared" si="46"/>
        <v>14194804696</v>
      </c>
      <c r="O117" s="43">
        <f t="shared" si="46"/>
        <v>0</v>
      </c>
      <c r="P117" s="43">
        <f t="shared" si="46"/>
        <v>0</v>
      </c>
      <c r="Q117" s="43">
        <f t="shared" si="46"/>
        <v>0</v>
      </c>
      <c r="R117" s="43">
        <f t="shared" si="46"/>
        <v>0</v>
      </c>
      <c r="S117" s="43">
        <f t="shared" si="46"/>
        <v>0</v>
      </c>
      <c r="T117" s="43">
        <f t="shared" si="46"/>
        <v>0</v>
      </c>
      <c r="U117" s="43">
        <f t="shared" si="46"/>
        <v>0</v>
      </c>
      <c r="V117" s="43">
        <f t="shared" si="46"/>
        <v>0</v>
      </c>
      <c r="W117" s="43">
        <f t="shared" si="46"/>
        <v>0</v>
      </c>
      <c r="X117" s="43">
        <f t="shared" si="46"/>
        <v>0</v>
      </c>
      <c r="Y117" s="43">
        <f t="shared" si="46"/>
        <v>0</v>
      </c>
      <c r="Z117" s="43">
        <f t="shared" si="46"/>
        <v>0</v>
      </c>
      <c r="AA117" s="43">
        <f t="shared" si="46"/>
        <v>0</v>
      </c>
      <c r="AB117" s="43">
        <f t="shared" si="46"/>
        <v>0</v>
      </c>
      <c r="AC117" s="43">
        <f t="shared" si="46"/>
        <v>0</v>
      </c>
      <c r="AD117" s="43">
        <f t="shared" si="46"/>
        <v>0</v>
      </c>
      <c r="AE117" s="43">
        <f t="shared" si="46"/>
        <v>0</v>
      </c>
      <c r="AF117" s="43">
        <f t="shared" si="46"/>
        <v>0</v>
      </c>
      <c r="AG117" s="43">
        <f t="shared" si="46"/>
        <v>0</v>
      </c>
      <c r="AH117" s="43">
        <f t="shared" si="46"/>
        <v>0</v>
      </c>
      <c r="AI117" s="43">
        <f t="shared" si="46"/>
        <v>0</v>
      </c>
      <c r="AJ117" s="43">
        <f t="shared" si="46"/>
        <v>0</v>
      </c>
      <c r="AK117" s="43">
        <f t="shared" si="46"/>
        <v>0</v>
      </c>
      <c r="AL117" s="43">
        <f t="shared" si="46"/>
        <v>0</v>
      </c>
      <c r="AM117" s="43">
        <f t="shared" si="46"/>
        <v>0</v>
      </c>
      <c r="AN117" s="43">
        <f t="shared" si="46"/>
        <v>0</v>
      </c>
      <c r="AO117" s="43">
        <f t="shared" si="46"/>
        <v>0</v>
      </c>
      <c r="AP117" s="43">
        <f t="shared" si="46"/>
        <v>0</v>
      </c>
      <c r="AQ117" s="43">
        <f t="shared" si="46"/>
        <v>0</v>
      </c>
      <c r="AR117" s="43">
        <f t="shared" si="46"/>
        <v>0</v>
      </c>
      <c r="AS117" s="43">
        <f t="shared" si="46"/>
        <v>14194804696</v>
      </c>
      <c r="AT117" s="43">
        <f t="shared" si="46"/>
        <v>0</v>
      </c>
      <c r="AU117" s="43">
        <f t="shared" si="46"/>
        <v>0</v>
      </c>
      <c r="AV117" s="43">
        <f t="shared" si="46"/>
        <v>0</v>
      </c>
      <c r="AW117" s="43">
        <f t="shared" si="46"/>
        <v>0</v>
      </c>
      <c r="AX117" s="43">
        <f t="shared" si="46"/>
        <v>0</v>
      </c>
      <c r="AY117" s="43">
        <f t="shared" si="46"/>
        <v>15394804696</v>
      </c>
    </row>
    <row r="118" spans="1:51" ht="82.8">
      <c r="B118" s="89" t="s">
        <v>2548</v>
      </c>
      <c r="C118" s="89"/>
      <c r="D118" s="89"/>
      <c r="E118" s="41">
        <f>SUM(E107+E111+E114+E117+E108)</f>
        <v>0</v>
      </c>
      <c r="F118" s="41">
        <f t="shared" ref="F118:AX118" si="47">SUM(F107+F111+F114+F117+F108)</f>
        <v>8318395432.5</v>
      </c>
      <c r="G118" s="41">
        <f t="shared" si="47"/>
        <v>2889642573</v>
      </c>
      <c r="H118" s="41">
        <f t="shared" si="47"/>
        <v>0</v>
      </c>
      <c r="I118" s="41">
        <f t="shared" si="47"/>
        <v>11208038005.5</v>
      </c>
      <c r="J118" s="41">
        <f t="shared" si="47"/>
        <v>9376814166</v>
      </c>
      <c r="K118" s="41">
        <f t="shared" si="47"/>
        <v>9658118590.9799995</v>
      </c>
      <c r="L118" s="41">
        <f t="shared" si="47"/>
        <v>9947862149</v>
      </c>
      <c r="M118" s="41">
        <f t="shared" si="47"/>
        <v>10246298013</v>
      </c>
      <c r="N118" s="41">
        <f t="shared" si="47"/>
        <v>39229092918.979996</v>
      </c>
      <c r="O118" s="41">
        <f t="shared" si="47"/>
        <v>427345103</v>
      </c>
      <c r="P118" s="41">
        <f t="shared" si="47"/>
        <v>445892005</v>
      </c>
      <c r="Q118" s="41">
        <f t="shared" si="47"/>
        <v>448968765</v>
      </c>
      <c r="R118" s="41">
        <f t="shared" si="47"/>
        <v>466927516</v>
      </c>
      <c r="S118" s="41">
        <f t="shared" si="47"/>
        <v>1789133389</v>
      </c>
      <c r="T118" s="41">
        <f t="shared" si="47"/>
        <v>0</v>
      </c>
      <c r="U118" s="41">
        <f t="shared" si="47"/>
        <v>330192515</v>
      </c>
      <c r="V118" s="41">
        <f t="shared" si="47"/>
        <v>257202140</v>
      </c>
      <c r="W118" s="41">
        <f t="shared" si="47"/>
        <v>0</v>
      </c>
      <c r="X118" s="41">
        <f t="shared" si="47"/>
        <v>587394655</v>
      </c>
      <c r="Y118" s="41">
        <f t="shared" si="47"/>
        <v>0</v>
      </c>
      <c r="Z118" s="41">
        <f t="shared" si="47"/>
        <v>0</v>
      </c>
      <c r="AA118" s="41">
        <f t="shared" si="47"/>
        <v>0</v>
      </c>
      <c r="AB118" s="41">
        <f t="shared" si="47"/>
        <v>0</v>
      </c>
      <c r="AC118" s="41">
        <f t="shared" si="47"/>
        <v>0</v>
      </c>
      <c r="AD118" s="41">
        <f t="shared" si="47"/>
        <v>0</v>
      </c>
      <c r="AE118" s="41">
        <f t="shared" si="47"/>
        <v>0</v>
      </c>
      <c r="AF118" s="41">
        <f t="shared" si="47"/>
        <v>0</v>
      </c>
      <c r="AG118" s="41">
        <f t="shared" si="47"/>
        <v>0</v>
      </c>
      <c r="AH118" s="41">
        <f t="shared" si="47"/>
        <v>0</v>
      </c>
      <c r="AI118" s="41">
        <f t="shared" si="47"/>
        <v>0</v>
      </c>
      <c r="AJ118" s="41">
        <f t="shared" si="47"/>
        <v>0</v>
      </c>
      <c r="AK118" s="41">
        <f t="shared" si="47"/>
        <v>0</v>
      </c>
      <c r="AL118" s="41">
        <f t="shared" si="47"/>
        <v>0</v>
      </c>
      <c r="AM118" s="41">
        <f t="shared" si="47"/>
        <v>0</v>
      </c>
      <c r="AN118" s="41">
        <f t="shared" si="47"/>
        <v>0</v>
      </c>
      <c r="AO118" s="41">
        <f t="shared" si="47"/>
        <v>0</v>
      </c>
      <c r="AP118" s="41">
        <f t="shared" si="47"/>
        <v>0</v>
      </c>
      <c r="AQ118" s="41">
        <f t="shared" si="47"/>
        <v>0</v>
      </c>
      <c r="AR118" s="41">
        <f t="shared" si="47"/>
        <v>0</v>
      </c>
      <c r="AS118" s="41">
        <f t="shared" si="47"/>
        <v>41605620962.979996</v>
      </c>
      <c r="AT118" s="41">
        <f t="shared" si="47"/>
        <v>0</v>
      </c>
      <c r="AU118" s="41">
        <f t="shared" si="47"/>
        <v>0</v>
      </c>
      <c r="AV118" s="41">
        <f t="shared" si="47"/>
        <v>0</v>
      </c>
      <c r="AW118" s="41">
        <f t="shared" si="47"/>
        <v>0</v>
      </c>
      <c r="AX118" s="41">
        <f t="shared" si="47"/>
        <v>0</v>
      </c>
      <c r="AY118" s="41">
        <f>AY107+AY108+AY111+AY114+AY117</f>
        <v>52813658968.479996</v>
      </c>
    </row>
    <row r="119" spans="1:51" ht="105">
      <c r="B119" s="29" t="s">
        <v>2549</v>
      </c>
      <c r="C119" s="88" t="s">
        <v>2550</v>
      </c>
      <c r="D119" s="88"/>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row>
    <row r="120" spans="1:51" ht="52.8">
      <c r="A120">
        <v>69</v>
      </c>
      <c r="B120" s="93" t="s">
        <v>2551</v>
      </c>
      <c r="C120" s="33" t="s">
        <v>1795</v>
      </c>
      <c r="D120" s="32" t="s">
        <v>2530</v>
      </c>
      <c r="E120" s="40"/>
      <c r="F120" s="40"/>
      <c r="G120" s="40"/>
      <c r="H120" s="40"/>
      <c r="I120" s="40">
        <f t="shared" si="24"/>
        <v>0</v>
      </c>
      <c r="J120" s="40">
        <v>0</v>
      </c>
      <c r="K120" s="40">
        <v>0</v>
      </c>
      <c r="L120" s="40">
        <v>0</v>
      </c>
      <c r="M120" s="40">
        <v>0</v>
      </c>
      <c r="N120" s="40">
        <f t="shared" si="25"/>
        <v>0</v>
      </c>
      <c r="O120" s="40"/>
      <c r="P120" s="40"/>
      <c r="Q120" s="40"/>
      <c r="R120" s="40"/>
      <c r="S120" s="40">
        <f t="shared" si="26"/>
        <v>0</v>
      </c>
      <c r="T120" s="40"/>
      <c r="U120" s="40"/>
      <c r="V120" s="40">
        <v>100000000</v>
      </c>
      <c r="W120" s="40"/>
      <c r="X120" s="40">
        <f t="shared" si="27"/>
        <v>100000000</v>
      </c>
      <c r="Y120" s="40"/>
      <c r="Z120" s="40"/>
      <c r="AA120" s="40"/>
      <c r="AB120" s="40"/>
      <c r="AC120" s="40">
        <f t="shared" si="28"/>
        <v>0</v>
      </c>
      <c r="AD120" s="40"/>
      <c r="AE120" s="40"/>
      <c r="AF120" s="40"/>
      <c r="AG120" s="40"/>
      <c r="AH120" s="40">
        <f t="shared" si="29"/>
        <v>0</v>
      </c>
      <c r="AI120" s="40"/>
      <c r="AJ120" s="40"/>
      <c r="AK120" s="40"/>
      <c r="AL120" s="40"/>
      <c r="AM120" s="40">
        <f t="shared" si="30"/>
        <v>0</v>
      </c>
      <c r="AN120" s="40"/>
      <c r="AO120" s="40"/>
      <c r="AP120" s="40"/>
      <c r="AQ120" s="40"/>
      <c r="AR120" s="40">
        <f t="shared" si="31"/>
        <v>0</v>
      </c>
      <c r="AS120" s="40">
        <f t="shared" si="42"/>
        <v>100000000</v>
      </c>
      <c r="AT120" s="40"/>
      <c r="AU120" s="40"/>
      <c r="AV120" s="40"/>
      <c r="AW120" s="40"/>
      <c r="AX120" s="40">
        <f t="shared" si="32"/>
        <v>0</v>
      </c>
      <c r="AY120" s="40">
        <f t="shared" si="33"/>
        <v>100000000</v>
      </c>
    </row>
    <row r="121" spans="1:51" ht="15">
      <c r="B121" s="94"/>
      <c r="C121" s="34"/>
      <c r="D121" s="32" t="s">
        <v>2538</v>
      </c>
      <c r="E121" s="40"/>
      <c r="F121" s="40">
        <v>4818395433</v>
      </c>
      <c r="G121" s="40"/>
      <c r="H121" s="40"/>
      <c r="I121" s="40">
        <f t="shared" si="24"/>
        <v>4818395433</v>
      </c>
      <c r="J121" s="40">
        <v>0</v>
      </c>
      <c r="K121" s="40">
        <v>0</v>
      </c>
      <c r="L121" s="40">
        <v>0</v>
      </c>
      <c r="M121" s="40">
        <v>0</v>
      </c>
      <c r="N121" s="40">
        <f t="shared" si="25"/>
        <v>0</v>
      </c>
      <c r="O121" s="40"/>
      <c r="P121" s="40"/>
      <c r="Q121" s="40"/>
      <c r="R121" s="40"/>
      <c r="S121" s="40">
        <f t="shared" si="26"/>
        <v>0</v>
      </c>
      <c r="T121" s="40"/>
      <c r="U121" s="40"/>
      <c r="V121" s="40"/>
      <c r="W121" s="40"/>
      <c r="X121" s="40">
        <f t="shared" si="27"/>
        <v>0</v>
      </c>
      <c r="Y121" s="40"/>
      <c r="Z121" s="40"/>
      <c r="AA121" s="40"/>
      <c r="AB121" s="40"/>
      <c r="AC121" s="40">
        <f t="shared" si="28"/>
        <v>0</v>
      </c>
      <c r="AD121" s="40"/>
      <c r="AE121" s="40"/>
      <c r="AF121" s="40"/>
      <c r="AG121" s="40"/>
      <c r="AH121" s="40">
        <f t="shared" si="29"/>
        <v>0</v>
      </c>
      <c r="AI121" s="40"/>
      <c r="AJ121" s="40"/>
      <c r="AK121" s="40"/>
      <c r="AL121" s="40"/>
      <c r="AM121" s="40">
        <f t="shared" si="30"/>
        <v>0</v>
      </c>
      <c r="AN121" s="40"/>
      <c r="AO121" s="40"/>
      <c r="AP121" s="40"/>
      <c r="AQ121" s="40"/>
      <c r="AR121" s="40">
        <f t="shared" si="31"/>
        <v>0</v>
      </c>
      <c r="AS121" s="40">
        <f t="shared" si="42"/>
        <v>0</v>
      </c>
      <c r="AT121" s="40"/>
      <c r="AU121" s="40"/>
      <c r="AV121" s="40"/>
      <c r="AW121" s="40"/>
      <c r="AX121" s="40">
        <f t="shared" si="32"/>
        <v>0</v>
      </c>
      <c r="AY121" s="40">
        <f t="shared" si="33"/>
        <v>4818395433</v>
      </c>
    </row>
    <row r="122" spans="1:51" ht="96.6">
      <c r="B122" s="89" t="s">
        <v>2552</v>
      </c>
      <c r="C122" s="89"/>
      <c r="D122" s="89"/>
      <c r="E122" s="41">
        <f>SUM(E120:E121)</f>
        <v>0</v>
      </c>
      <c r="F122" s="41">
        <f t="shared" ref="F122:AX122" si="48">SUM(F120:F121)</f>
        <v>4818395433</v>
      </c>
      <c r="G122" s="41">
        <f t="shared" si="48"/>
        <v>0</v>
      </c>
      <c r="H122" s="41">
        <f t="shared" si="48"/>
        <v>0</v>
      </c>
      <c r="I122" s="41">
        <f t="shared" si="48"/>
        <v>4818395433</v>
      </c>
      <c r="J122" s="41">
        <f t="shared" si="48"/>
        <v>0</v>
      </c>
      <c r="K122" s="41">
        <f t="shared" si="48"/>
        <v>0</v>
      </c>
      <c r="L122" s="41">
        <f t="shared" si="48"/>
        <v>0</v>
      </c>
      <c r="M122" s="41">
        <f t="shared" si="48"/>
        <v>0</v>
      </c>
      <c r="N122" s="41">
        <f t="shared" si="48"/>
        <v>0</v>
      </c>
      <c r="O122" s="41">
        <f t="shared" si="48"/>
        <v>0</v>
      </c>
      <c r="P122" s="41">
        <f t="shared" si="48"/>
        <v>0</v>
      </c>
      <c r="Q122" s="41">
        <f t="shared" si="48"/>
        <v>0</v>
      </c>
      <c r="R122" s="41">
        <f t="shared" si="48"/>
        <v>0</v>
      </c>
      <c r="S122" s="41">
        <f t="shared" si="48"/>
        <v>0</v>
      </c>
      <c r="T122" s="41">
        <f t="shared" si="48"/>
        <v>0</v>
      </c>
      <c r="U122" s="41">
        <f t="shared" si="48"/>
        <v>0</v>
      </c>
      <c r="V122" s="41">
        <f t="shared" si="48"/>
        <v>100000000</v>
      </c>
      <c r="W122" s="41">
        <f t="shared" si="48"/>
        <v>0</v>
      </c>
      <c r="X122" s="41">
        <f t="shared" si="48"/>
        <v>100000000</v>
      </c>
      <c r="Y122" s="41">
        <f t="shared" si="48"/>
        <v>0</v>
      </c>
      <c r="Z122" s="41">
        <f t="shared" si="48"/>
        <v>0</v>
      </c>
      <c r="AA122" s="41">
        <f t="shared" si="48"/>
        <v>0</v>
      </c>
      <c r="AB122" s="41">
        <f t="shared" si="48"/>
        <v>0</v>
      </c>
      <c r="AC122" s="41">
        <f t="shared" si="48"/>
        <v>0</v>
      </c>
      <c r="AD122" s="41">
        <f t="shared" si="48"/>
        <v>0</v>
      </c>
      <c r="AE122" s="41">
        <f t="shared" si="48"/>
        <v>0</v>
      </c>
      <c r="AF122" s="41">
        <f t="shared" si="48"/>
        <v>0</v>
      </c>
      <c r="AG122" s="41">
        <f t="shared" si="48"/>
        <v>0</v>
      </c>
      <c r="AH122" s="41">
        <f t="shared" si="48"/>
        <v>0</v>
      </c>
      <c r="AI122" s="41">
        <f t="shared" si="48"/>
        <v>0</v>
      </c>
      <c r="AJ122" s="41">
        <f t="shared" si="48"/>
        <v>0</v>
      </c>
      <c r="AK122" s="41">
        <f t="shared" si="48"/>
        <v>0</v>
      </c>
      <c r="AL122" s="41">
        <f t="shared" si="48"/>
        <v>0</v>
      </c>
      <c r="AM122" s="41">
        <f t="shared" si="48"/>
        <v>0</v>
      </c>
      <c r="AN122" s="41">
        <f t="shared" si="48"/>
        <v>0</v>
      </c>
      <c r="AO122" s="41">
        <f t="shared" si="48"/>
        <v>0</v>
      </c>
      <c r="AP122" s="41">
        <f t="shared" si="48"/>
        <v>0</v>
      </c>
      <c r="AQ122" s="41">
        <f t="shared" si="48"/>
        <v>0</v>
      </c>
      <c r="AR122" s="41">
        <f t="shared" si="48"/>
        <v>0</v>
      </c>
      <c r="AS122" s="41">
        <f t="shared" si="42"/>
        <v>100000000</v>
      </c>
      <c r="AT122" s="41">
        <f t="shared" si="48"/>
        <v>0</v>
      </c>
      <c r="AU122" s="41">
        <f t="shared" si="48"/>
        <v>0</v>
      </c>
      <c r="AV122" s="41">
        <f t="shared" si="48"/>
        <v>0</v>
      </c>
      <c r="AW122" s="41">
        <f t="shared" si="48"/>
        <v>0</v>
      </c>
      <c r="AX122" s="41">
        <f t="shared" si="48"/>
        <v>0</v>
      </c>
      <c r="AY122" s="41">
        <f t="shared" si="33"/>
        <v>4918395433</v>
      </c>
    </row>
    <row r="123" spans="1:51" ht="135">
      <c r="B123" s="29" t="s">
        <v>2553</v>
      </c>
      <c r="C123" s="88" t="s">
        <v>2554</v>
      </c>
      <c r="D123" s="88"/>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row>
    <row r="124" spans="1:51" ht="52.8">
      <c r="A124">
        <v>70</v>
      </c>
      <c r="B124" s="30" t="s">
        <v>2555</v>
      </c>
      <c r="C124" s="31" t="s">
        <v>1808</v>
      </c>
      <c r="D124" s="32" t="s">
        <v>2556</v>
      </c>
      <c r="E124" s="40">
        <v>1648186248</v>
      </c>
      <c r="F124" s="40"/>
      <c r="G124" s="40"/>
      <c r="H124" s="40"/>
      <c r="I124" s="40">
        <f t="shared" si="24"/>
        <v>1648186248</v>
      </c>
      <c r="J124" s="40">
        <v>0</v>
      </c>
      <c r="K124" s="40">
        <v>0</v>
      </c>
      <c r="L124" s="40">
        <v>0</v>
      </c>
      <c r="M124" s="40">
        <v>0</v>
      </c>
      <c r="N124" s="40">
        <f t="shared" si="25"/>
        <v>0</v>
      </c>
      <c r="O124" s="40"/>
      <c r="P124" s="40"/>
      <c r="Q124" s="40"/>
      <c r="R124" s="40"/>
      <c r="S124" s="40">
        <f t="shared" si="26"/>
        <v>0</v>
      </c>
      <c r="T124" s="40">
        <v>99000000</v>
      </c>
      <c r="U124" s="40">
        <v>102000000</v>
      </c>
      <c r="V124" s="40">
        <v>105000000</v>
      </c>
      <c r="W124" s="40">
        <v>109000000</v>
      </c>
      <c r="X124" s="40">
        <f t="shared" si="27"/>
        <v>415000000</v>
      </c>
      <c r="Y124" s="40"/>
      <c r="Z124" s="40"/>
      <c r="AA124" s="40"/>
      <c r="AB124" s="40"/>
      <c r="AC124" s="40">
        <f t="shared" si="28"/>
        <v>0</v>
      </c>
      <c r="AD124" s="40"/>
      <c r="AE124" s="40"/>
      <c r="AF124" s="40"/>
      <c r="AG124" s="40"/>
      <c r="AH124" s="40">
        <f t="shared" si="29"/>
        <v>0</v>
      </c>
      <c r="AI124" s="40"/>
      <c r="AJ124" s="40"/>
      <c r="AK124" s="40"/>
      <c r="AL124" s="40"/>
      <c r="AM124" s="40">
        <f t="shared" si="30"/>
        <v>0</v>
      </c>
      <c r="AN124" s="40"/>
      <c r="AO124" s="40"/>
      <c r="AP124" s="40"/>
      <c r="AQ124" s="40"/>
      <c r="AR124" s="40">
        <f t="shared" si="31"/>
        <v>0</v>
      </c>
      <c r="AS124" s="40">
        <f t="shared" si="42"/>
        <v>415000000</v>
      </c>
      <c r="AT124" s="40"/>
      <c r="AU124" s="40"/>
      <c r="AV124" s="40"/>
      <c r="AW124" s="40"/>
      <c r="AX124" s="40">
        <f t="shared" si="32"/>
        <v>0</v>
      </c>
      <c r="AY124" s="40">
        <f t="shared" si="33"/>
        <v>2063186248</v>
      </c>
    </row>
    <row r="125" spans="1:51" ht="79.2">
      <c r="A125">
        <v>71</v>
      </c>
      <c r="B125" s="30" t="s">
        <v>2557</v>
      </c>
      <c r="C125" s="31" t="s">
        <v>1815</v>
      </c>
      <c r="D125" s="32" t="s">
        <v>2530</v>
      </c>
      <c r="E125" s="40"/>
      <c r="F125" s="40"/>
      <c r="G125" s="40"/>
      <c r="H125" s="40"/>
      <c r="I125" s="40">
        <f t="shared" si="24"/>
        <v>0</v>
      </c>
      <c r="J125" s="40">
        <v>0</v>
      </c>
      <c r="K125" s="40">
        <v>0</v>
      </c>
      <c r="L125" s="40">
        <v>0</v>
      </c>
      <c r="M125" s="40">
        <v>0</v>
      </c>
      <c r="N125" s="40">
        <f t="shared" si="25"/>
        <v>0</v>
      </c>
      <c r="O125" s="40"/>
      <c r="P125" s="40"/>
      <c r="Q125" s="40"/>
      <c r="R125" s="40"/>
      <c r="S125" s="40">
        <f t="shared" si="26"/>
        <v>0</v>
      </c>
      <c r="T125" s="40">
        <v>467416925</v>
      </c>
      <c r="U125" s="40">
        <v>525261781</v>
      </c>
      <c r="V125" s="40">
        <v>508270704</v>
      </c>
      <c r="W125" s="40">
        <v>528601532</v>
      </c>
      <c r="X125" s="40">
        <f t="shared" si="27"/>
        <v>2029550942</v>
      </c>
      <c r="Y125" s="40"/>
      <c r="Z125" s="40"/>
      <c r="AA125" s="40"/>
      <c r="AB125" s="40"/>
      <c r="AC125" s="40">
        <f t="shared" si="28"/>
        <v>0</v>
      </c>
      <c r="AD125" s="40"/>
      <c r="AE125" s="40"/>
      <c r="AF125" s="40"/>
      <c r="AG125" s="40"/>
      <c r="AH125" s="40">
        <f t="shared" si="29"/>
        <v>0</v>
      </c>
      <c r="AI125" s="40"/>
      <c r="AJ125" s="40"/>
      <c r="AK125" s="40"/>
      <c r="AL125" s="40"/>
      <c r="AM125" s="40">
        <f t="shared" si="30"/>
        <v>0</v>
      </c>
      <c r="AN125" s="40"/>
      <c r="AO125" s="40"/>
      <c r="AP125" s="40"/>
      <c r="AQ125" s="40"/>
      <c r="AR125" s="40">
        <f t="shared" si="31"/>
        <v>0</v>
      </c>
      <c r="AS125" s="40">
        <f t="shared" si="42"/>
        <v>2029550942</v>
      </c>
      <c r="AT125" s="40"/>
      <c r="AU125" s="40"/>
      <c r="AV125" s="40"/>
      <c r="AW125" s="40"/>
      <c r="AX125" s="40">
        <f t="shared" si="32"/>
        <v>0</v>
      </c>
      <c r="AY125" s="40">
        <f t="shared" si="33"/>
        <v>2029550942</v>
      </c>
    </row>
    <row r="126" spans="1:51" ht="90">
      <c r="A126">
        <v>72</v>
      </c>
      <c r="B126" s="30" t="s">
        <v>2558</v>
      </c>
      <c r="C126" s="31" t="s">
        <v>2559</v>
      </c>
      <c r="D126" s="32" t="s">
        <v>2560</v>
      </c>
      <c r="E126" s="40"/>
      <c r="F126" s="40"/>
      <c r="G126" s="40"/>
      <c r="H126" s="40"/>
      <c r="I126" s="40">
        <f t="shared" si="24"/>
        <v>0</v>
      </c>
      <c r="J126" s="40">
        <v>0</v>
      </c>
      <c r="K126" s="40">
        <v>0</v>
      </c>
      <c r="L126" s="40">
        <v>0</v>
      </c>
      <c r="M126" s="40">
        <v>0</v>
      </c>
      <c r="N126" s="40">
        <f t="shared" si="25"/>
        <v>0</v>
      </c>
      <c r="O126" s="40">
        <v>400000000</v>
      </c>
      <c r="P126" s="40">
        <v>412000000</v>
      </c>
      <c r="Q126" s="40">
        <v>424360000</v>
      </c>
      <c r="R126" s="40">
        <v>441334400</v>
      </c>
      <c r="S126" s="40">
        <f t="shared" si="26"/>
        <v>1677694400</v>
      </c>
      <c r="T126" s="40">
        <v>1550000000</v>
      </c>
      <c r="U126" s="40">
        <v>1650000000</v>
      </c>
      <c r="V126" s="40">
        <v>1732500000</v>
      </c>
      <c r="W126" s="40">
        <v>1819125000</v>
      </c>
      <c r="X126" s="40">
        <f t="shared" si="27"/>
        <v>6751625000</v>
      </c>
      <c r="Y126" s="40"/>
      <c r="Z126" s="40"/>
      <c r="AA126" s="40"/>
      <c r="AB126" s="40"/>
      <c r="AC126" s="40">
        <f t="shared" si="28"/>
        <v>0</v>
      </c>
      <c r="AD126" s="40"/>
      <c r="AE126" s="40"/>
      <c r="AF126" s="40"/>
      <c r="AG126" s="40"/>
      <c r="AH126" s="40">
        <f t="shared" si="29"/>
        <v>0</v>
      </c>
      <c r="AI126" s="40"/>
      <c r="AJ126" s="40"/>
      <c r="AK126" s="40"/>
      <c r="AL126" s="40"/>
      <c r="AM126" s="40">
        <f t="shared" si="30"/>
        <v>0</v>
      </c>
      <c r="AN126" s="40">
        <v>1000000000</v>
      </c>
      <c r="AO126" s="40"/>
      <c r="AP126" s="40"/>
      <c r="AQ126" s="40"/>
      <c r="AR126" s="40">
        <f t="shared" si="31"/>
        <v>1000000000</v>
      </c>
      <c r="AS126" s="40">
        <f t="shared" si="42"/>
        <v>9429319400</v>
      </c>
      <c r="AT126" s="40"/>
      <c r="AU126" s="40"/>
      <c r="AV126" s="40"/>
      <c r="AW126" s="40"/>
      <c r="AX126" s="40">
        <f t="shared" si="32"/>
        <v>0</v>
      </c>
      <c r="AY126" s="40">
        <f t="shared" si="33"/>
        <v>9429319400</v>
      </c>
    </row>
    <row r="127" spans="1:51" ht="82.8">
      <c r="B127" s="89" t="s">
        <v>2561</v>
      </c>
      <c r="C127" s="89"/>
      <c r="D127" s="89"/>
      <c r="E127" s="41">
        <f>SUM(E124:E126)</f>
        <v>1648186248</v>
      </c>
      <c r="F127" s="41">
        <f t="shared" ref="F127:AX127" si="49">SUM(F124:F126)</f>
        <v>0</v>
      </c>
      <c r="G127" s="41">
        <f t="shared" si="49"/>
        <v>0</v>
      </c>
      <c r="H127" s="41">
        <f t="shared" si="49"/>
        <v>0</v>
      </c>
      <c r="I127" s="41">
        <f t="shared" si="49"/>
        <v>1648186248</v>
      </c>
      <c r="J127" s="41">
        <f t="shared" si="49"/>
        <v>0</v>
      </c>
      <c r="K127" s="41">
        <f t="shared" si="49"/>
        <v>0</v>
      </c>
      <c r="L127" s="41">
        <f t="shared" si="49"/>
        <v>0</v>
      </c>
      <c r="M127" s="41">
        <f t="shared" si="49"/>
        <v>0</v>
      </c>
      <c r="N127" s="41">
        <f t="shared" si="49"/>
        <v>0</v>
      </c>
      <c r="O127" s="41">
        <f t="shared" si="49"/>
        <v>400000000</v>
      </c>
      <c r="P127" s="41">
        <f t="shared" si="49"/>
        <v>412000000</v>
      </c>
      <c r="Q127" s="41">
        <f t="shared" si="49"/>
        <v>424360000</v>
      </c>
      <c r="R127" s="41">
        <f t="shared" si="49"/>
        <v>441334400</v>
      </c>
      <c r="S127" s="41">
        <f t="shared" si="49"/>
        <v>1677694400</v>
      </c>
      <c r="T127" s="41">
        <f t="shared" si="49"/>
        <v>2116416925</v>
      </c>
      <c r="U127" s="41">
        <f t="shared" si="49"/>
        <v>2277261781</v>
      </c>
      <c r="V127" s="41">
        <f t="shared" si="49"/>
        <v>2345770704</v>
      </c>
      <c r="W127" s="41">
        <f t="shared" si="49"/>
        <v>2456726532</v>
      </c>
      <c r="X127" s="41">
        <f t="shared" si="49"/>
        <v>9196175942</v>
      </c>
      <c r="Y127" s="41">
        <f t="shared" si="49"/>
        <v>0</v>
      </c>
      <c r="Z127" s="41">
        <f t="shared" si="49"/>
        <v>0</v>
      </c>
      <c r="AA127" s="41">
        <f t="shared" si="49"/>
        <v>0</v>
      </c>
      <c r="AB127" s="41">
        <f t="shared" si="49"/>
        <v>0</v>
      </c>
      <c r="AC127" s="41">
        <f t="shared" si="49"/>
        <v>0</v>
      </c>
      <c r="AD127" s="41">
        <f t="shared" si="49"/>
        <v>0</v>
      </c>
      <c r="AE127" s="41">
        <f t="shared" si="49"/>
        <v>0</v>
      </c>
      <c r="AF127" s="41">
        <f t="shared" si="49"/>
        <v>0</v>
      </c>
      <c r="AG127" s="41">
        <f t="shared" si="49"/>
        <v>0</v>
      </c>
      <c r="AH127" s="41">
        <f t="shared" si="49"/>
        <v>0</v>
      </c>
      <c r="AI127" s="41">
        <f t="shared" si="49"/>
        <v>0</v>
      </c>
      <c r="AJ127" s="41">
        <f t="shared" si="49"/>
        <v>0</v>
      </c>
      <c r="AK127" s="41">
        <f t="shared" si="49"/>
        <v>0</v>
      </c>
      <c r="AL127" s="41">
        <f t="shared" si="49"/>
        <v>0</v>
      </c>
      <c r="AM127" s="41">
        <f t="shared" si="49"/>
        <v>0</v>
      </c>
      <c r="AN127" s="41">
        <f t="shared" si="49"/>
        <v>1000000000</v>
      </c>
      <c r="AO127" s="41">
        <f t="shared" si="49"/>
        <v>0</v>
      </c>
      <c r="AP127" s="41">
        <f t="shared" si="49"/>
        <v>0</v>
      </c>
      <c r="AQ127" s="41">
        <f t="shared" si="49"/>
        <v>0</v>
      </c>
      <c r="AR127" s="41">
        <f t="shared" si="49"/>
        <v>1000000000</v>
      </c>
      <c r="AS127" s="41">
        <f t="shared" si="42"/>
        <v>11873870342</v>
      </c>
      <c r="AT127" s="41">
        <f t="shared" si="49"/>
        <v>0</v>
      </c>
      <c r="AU127" s="41">
        <f t="shared" si="49"/>
        <v>0</v>
      </c>
      <c r="AV127" s="41">
        <f t="shared" si="49"/>
        <v>0</v>
      </c>
      <c r="AW127" s="41">
        <f t="shared" si="49"/>
        <v>0</v>
      </c>
      <c r="AX127" s="41">
        <f t="shared" si="49"/>
        <v>0</v>
      </c>
      <c r="AY127" s="41">
        <f t="shared" si="33"/>
        <v>13522056590</v>
      </c>
    </row>
    <row r="128" spans="1:51" ht="105">
      <c r="B128" s="29" t="s">
        <v>2562</v>
      </c>
      <c r="C128" s="88" t="s">
        <v>2563</v>
      </c>
      <c r="D128" s="88"/>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row>
    <row r="129" spans="1:51" ht="92.4">
      <c r="A129">
        <v>73</v>
      </c>
      <c r="B129" s="30" t="s">
        <v>2564</v>
      </c>
      <c r="C129" s="31" t="s">
        <v>2565</v>
      </c>
      <c r="D129" s="32" t="s">
        <v>2475</v>
      </c>
      <c r="E129" s="40"/>
      <c r="F129" s="40"/>
      <c r="G129" s="40"/>
      <c r="H129" s="40">
        <v>7861100314</v>
      </c>
      <c r="I129" s="40">
        <f t="shared" si="24"/>
        <v>7861100314</v>
      </c>
      <c r="J129" s="40">
        <v>0</v>
      </c>
      <c r="K129" s="40">
        <v>0</v>
      </c>
      <c r="L129" s="40">
        <v>0</v>
      </c>
      <c r="M129" s="40">
        <v>0</v>
      </c>
      <c r="N129" s="40">
        <f t="shared" si="25"/>
        <v>0</v>
      </c>
      <c r="O129" s="40"/>
      <c r="P129" s="40"/>
      <c r="Q129" s="40"/>
      <c r="R129" s="40"/>
      <c r="S129" s="40">
        <f t="shared" si="26"/>
        <v>0</v>
      </c>
      <c r="T129" s="40">
        <v>301500000</v>
      </c>
      <c r="U129" s="40">
        <v>313000000</v>
      </c>
      <c r="V129" s="40">
        <v>475448588</v>
      </c>
      <c r="W129" s="40">
        <v>383000000</v>
      </c>
      <c r="X129" s="40">
        <f t="shared" si="27"/>
        <v>1472948588</v>
      </c>
      <c r="Y129" s="40"/>
      <c r="Z129" s="40"/>
      <c r="AA129" s="40"/>
      <c r="AB129" s="40"/>
      <c r="AC129" s="40">
        <f t="shared" si="28"/>
        <v>0</v>
      </c>
      <c r="AD129" s="40"/>
      <c r="AE129" s="40"/>
      <c r="AF129" s="40"/>
      <c r="AG129" s="40"/>
      <c r="AH129" s="40">
        <f t="shared" si="29"/>
        <v>0</v>
      </c>
      <c r="AI129" s="40"/>
      <c r="AJ129" s="40"/>
      <c r="AK129" s="40"/>
      <c r="AL129" s="40"/>
      <c r="AM129" s="40">
        <f t="shared" si="30"/>
        <v>0</v>
      </c>
      <c r="AN129" s="40"/>
      <c r="AO129" s="40"/>
      <c r="AP129" s="40"/>
      <c r="AQ129" s="40"/>
      <c r="AR129" s="40">
        <f t="shared" si="31"/>
        <v>0</v>
      </c>
      <c r="AS129" s="40">
        <f t="shared" si="42"/>
        <v>1472948588</v>
      </c>
      <c r="AT129" s="40"/>
      <c r="AU129" s="40"/>
      <c r="AV129" s="40"/>
      <c r="AW129" s="40"/>
      <c r="AX129" s="40">
        <f t="shared" si="32"/>
        <v>0</v>
      </c>
      <c r="AY129" s="40">
        <f t="shared" si="33"/>
        <v>9334048902</v>
      </c>
    </row>
    <row r="130" spans="1:51" ht="66">
      <c r="A130">
        <v>74</v>
      </c>
      <c r="B130" s="30" t="s">
        <v>2566</v>
      </c>
      <c r="C130" s="31" t="s">
        <v>1843</v>
      </c>
      <c r="D130" s="32" t="s">
        <v>2475</v>
      </c>
      <c r="E130" s="40">
        <v>473902632</v>
      </c>
      <c r="F130" s="40"/>
      <c r="G130" s="40"/>
      <c r="H130" s="40"/>
      <c r="I130" s="40">
        <f t="shared" si="24"/>
        <v>473902632</v>
      </c>
      <c r="J130" s="40">
        <v>0</v>
      </c>
      <c r="K130" s="40">
        <v>0</v>
      </c>
      <c r="L130" s="40">
        <v>0</v>
      </c>
      <c r="M130" s="40">
        <v>0</v>
      </c>
      <c r="N130" s="40">
        <f t="shared" si="25"/>
        <v>0</v>
      </c>
      <c r="O130" s="40"/>
      <c r="P130" s="40"/>
      <c r="Q130" s="40"/>
      <c r="R130" s="40"/>
      <c r="S130" s="40">
        <f t="shared" si="26"/>
        <v>0</v>
      </c>
      <c r="T130" s="40">
        <v>301500000</v>
      </c>
      <c r="U130" s="40">
        <v>313000000</v>
      </c>
      <c r="V130" s="40">
        <v>475448589</v>
      </c>
      <c r="W130" s="40">
        <v>383000000</v>
      </c>
      <c r="X130" s="40">
        <f t="shared" si="27"/>
        <v>1472948589</v>
      </c>
      <c r="Y130" s="40"/>
      <c r="Z130" s="40"/>
      <c r="AA130" s="40"/>
      <c r="AB130" s="40"/>
      <c r="AC130" s="40">
        <f t="shared" si="28"/>
        <v>0</v>
      </c>
      <c r="AD130" s="40"/>
      <c r="AE130" s="40"/>
      <c r="AF130" s="40"/>
      <c r="AG130" s="40"/>
      <c r="AH130" s="40">
        <f t="shared" si="29"/>
        <v>0</v>
      </c>
      <c r="AI130" s="40"/>
      <c r="AJ130" s="40"/>
      <c r="AK130" s="40"/>
      <c r="AL130" s="40"/>
      <c r="AM130" s="40">
        <f t="shared" si="30"/>
        <v>0</v>
      </c>
      <c r="AN130" s="40"/>
      <c r="AO130" s="40"/>
      <c r="AP130" s="40"/>
      <c r="AQ130" s="40"/>
      <c r="AR130" s="40">
        <f t="shared" si="31"/>
        <v>0</v>
      </c>
      <c r="AS130" s="40">
        <f t="shared" si="42"/>
        <v>1472948589</v>
      </c>
      <c r="AT130" s="40"/>
      <c r="AU130" s="40"/>
      <c r="AV130" s="40"/>
      <c r="AW130" s="40"/>
      <c r="AX130" s="40">
        <f t="shared" si="32"/>
        <v>0</v>
      </c>
      <c r="AY130" s="40">
        <f t="shared" si="33"/>
        <v>1946851221</v>
      </c>
    </row>
    <row r="131" spans="1:51" ht="82.8">
      <c r="B131" s="89" t="s">
        <v>2567</v>
      </c>
      <c r="C131" s="89"/>
      <c r="D131" s="89"/>
      <c r="E131" s="41">
        <f>SUM(E129:E130)</f>
        <v>473902632</v>
      </c>
      <c r="F131" s="41">
        <f t="shared" ref="F131:AX131" si="50">SUM(F129:F130)</f>
        <v>0</v>
      </c>
      <c r="G131" s="41">
        <f t="shared" si="50"/>
        <v>0</v>
      </c>
      <c r="H131" s="41">
        <f t="shared" si="50"/>
        <v>7861100314</v>
      </c>
      <c r="I131" s="41">
        <f t="shared" si="50"/>
        <v>8335002946</v>
      </c>
      <c r="J131" s="41">
        <f t="shared" si="50"/>
        <v>0</v>
      </c>
      <c r="K131" s="41">
        <f t="shared" si="50"/>
        <v>0</v>
      </c>
      <c r="L131" s="41">
        <f t="shared" si="50"/>
        <v>0</v>
      </c>
      <c r="M131" s="41">
        <f t="shared" si="50"/>
        <v>0</v>
      </c>
      <c r="N131" s="41">
        <f t="shared" si="50"/>
        <v>0</v>
      </c>
      <c r="O131" s="41">
        <f t="shared" si="50"/>
        <v>0</v>
      </c>
      <c r="P131" s="41">
        <f t="shared" si="50"/>
        <v>0</v>
      </c>
      <c r="Q131" s="41">
        <f t="shared" si="50"/>
        <v>0</v>
      </c>
      <c r="R131" s="41">
        <f t="shared" si="50"/>
        <v>0</v>
      </c>
      <c r="S131" s="41">
        <f t="shared" si="50"/>
        <v>0</v>
      </c>
      <c r="T131" s="41">
        <f t="shared" si="50"/>
        <v>603000000</v>
      </c>
      <c r="U131" s="41">
        <f t="shared" si="50"/>
        <v>626000000</v>
      </c>
      <c r="V131" s="41">
        <f t="shared" si="50"/>
        <v>950897177</v>
      </c>
      <c r="W131" s="41">
        <f t="shared" si="50"/>
        <v>766000000</v>
      </c>
      <c r="X131" s="41">
        <f t="shared" si="50"/>
        <v>2945897177</v>
      </c>
      <c r="Y131" s="41">
        <f t="shared" si="50"/>
        <v>0</v>
      </c>
      <c r="Z131" s="41">
        <f t="shared" si="50"/>
        <v>0</v>
      </c>
      <c r="AA131" s="41">
        <f t="shared" si="50"/>
        <v>0</v>
      </c>
      <c r="AB131" s="41">
        <f t="shared" si="50"/>
        <v>0</v>
      </c>
      <c r="AC131" s="41">
        <f t="shared" si="50"/>
        <v>0</v>
      </c>
      <c r="AD131" s="41">
        <f t="shared" si="50"/>
        <v>0</v>
      </c>
      <c r="AE131" s="41">
        <f t="shared" si="50"/>
        <v>0</v>
      </c>
      <c r="AF131" s="41">
        <f t="shared" si="50"/>
        <v>0</v>
      </c>
      <c r="AG131" s="41">
        <f t="shared" si="50"/>
        <v>0</v>
      </c>
      <c r="AH131" s="41">
        <f t="shared" si="50"/>
        <v>0</v>
      </c>
      <c r="AI131" s="41">
        <f t="shared" si="50"/>
        <v>0</v>
      </c>
      <c r="AJ131" s="41">
        <f t="shared" si="50"/>
        <v>0</v>
      </c>
      <c r="AK131" s="41">
        <f t="shared" si="50"/>
        <v>0</v>
      </c>
      <c r="AL131" s="41">
        <f t="shared" si="50"/>
        <v>0</v>
      </c>
      <c r="AM131" s="41">
        <f t="shared" si="50"/>
        <v>0</v>
      </c>
      <c r="AN131" s="41">
        <f t="shared" si="50"/>
        <v>0</v>
      </c>
      <c r="AO131" s="41">
        <f t="shared" si="50"/>
        <v>0</v>
      </c>
      <c r="AP131" s="41">
        <f t="shared" si="50"/>
        <v>0</v>
      </c>
      <c r="AQ131" s="41">
        <f t="shared" si="50"/>
        <v>0</v>
      </c>
      <c r="AR131" s="41">
        <f t="shared" si="50"/>
        <v>0</v>
      </c>
      <c r="AS131" s="41">
        <f t="shared" si="42"/>
        <v>2945897177</v>
      </c>
      <c r="AT131" s="41">
        <f t="shared" si="50"/>
        <v>0</v>
      </c>
      <c r="AU131" s="41">
        <f t="shared" si="50"/>
        <v>0</v>
      </c>
      <c r="AV131" s="41">
        <f t="shared" si="50"/>
        <v>0</v>
      </c>
      <c r="AW131" s="41">
        <f t="shared" si="50"/>
        <v>0</v>
      </c>
      <c r="AX131" s="41">
        <f t="shared" si="50"/>
        <v>0</v>
      </c>
      <c r="AY131" s="41">
        <f t="shared" si="33"/>
        <v>11280900123</v>
      </c>
    </row>
    <row r="132" spans="1:51" ht="135">
      <c r="B132" s="29" t="s">
        <v>2568</v>
      </c>
      <c r="C132" s="88" t="s">
        <v>2569</v>
      </c>
      <c r="D132" s="88"/>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row>
    <row r="133" spans="1:51" ht="66">
      <c r="A133">
        <v>75</v>
      </c>
      <c r="B133" s="30" t="s">
        <v>2570</v>
      </c>
      <c r="C133" s="31" t="s">
        <v>2571</v>
      </c>
      <c r="D133" s="32" t="s">
        <v>2572</v>
      </c>
      <c r="E133" s="40"/>
      <c r="F133" s="40"/>
      <c r="G133" s="40"/>
      <c r="H133" s="40"/>
      <c r="I133" s="40">
        <f t="shared" si="24"/>
        <v>0</v>
      </c>
      <c r="J133" s="40">
        <v>0</v>
      </c>
      <c r="K133" s="40">
        <v>0</v>
      </c>
      <c r="L133" s="40">
        <v>0</v>
      </c>
      <c r="M133" s="40">
        <v>0</v>
      </c>
      <c r="N133" s="40">
        <f t="shared" si="25"/>
        <v>0</v>
      </c>
      <c r="O133" s="40"/>
      <c r="P133" s="40"/>
      <c r="Q133" s="40"/>
      <c r="R133" s="40"/>
      <c r="S133" s="40">
        <f t="shared" si="26"/>
        <v>0</v>
      </c>
      <c r="T133" s="40">
        <v>63000000</v>
      </c>
      <c r="U133" s="40">
        <v>90000000</v>
      </c>
      <c r="V133" s="40">
        <v>110000000</v>
      </c>
      <c r="W133" s="40">
        <v>152000000</v>
      </c>
      <c r="X133" s="40">
        <f t="shared" si="27"/>
        <v>415000000</v>
      </c>
      <c r="Y133" s="40"/>
      <c r="Z133" s="40">
        <v>0</v>
      </c>
      <c r="AA133" s="40"/>
      <c r="AB133" s="40"/>
      <c r="AC133" s="40">
        <f t="shared" si="28"/>
        <v>0</v>
      </c>
      <c r="AD133" s="40"/>
      <c r="AE133" s="40"/>
      <c r="AF133" s="40"/>
      <c r="AG133" s="40"/>
      <c r="AH133" s="40">
        <f t="shared" si="29"/>
        <v>0</v>
      </c>
      <c r="AI133" s="40"/>
      <c r="AJ133" s="40"/>
      <c r="AK133" s="40"/>
      <c r="AL133" s="40"/>
      <c r="AM133" s="40">
        <f t="shared" si="30"/>
        <v>0</v>
      </c>
      <c r="AN133" s="40"/>
      <c r="AO133" s="40"/>
      <c r="AP133" s="40"/>
      <c r="AQ133" s="40"/>
      <c r="AR133" s="40">
        <f t="shared" si="31"/>
        <v>0</v>
      </c>
      <c r="AS133" s="40">
        <f t="shared" si="42"/>
        <v>415000000</v>
      </c>
      <c r="AT133" s="40"/>
      <c r="AU133" s="40"/>
      <c r="AV133" s="40"/>
      <c r="AW133" s="40"/>
      <c r="AX133" s="40">
        <f t="shared" si="32"/>
        <v>0</v>
      </c>
      <c r="AY133" s="40">
        <f t="shared" si="33"/>
        <v>415000000</v>
      </c>
    </row>
    <row r="134" spans="1:51" ht="198">
      <c r="A134">
        <v>76</v>
      </c>
      <c r="B134" s="30" t="s">
        <v>2573</v>
      </c>
      <c r="C134" s="31" t="s">
        <v>2574</v>
      </c>
      <c r="D134" s="32" t="s">
        <v>2575</v>
      </c>
      <c r="E134" s="40"/>
      <c r="F134" s="40"/>
      <c r="G134" s="40"/>
      <c r="H134" s="40"/>
      <c r="I134" s="40">
        <f t="shared" si="24"/>
        <v>0</v>
      </c>
      <c r="J134" s="40">
        <v>0</v>
      </c>
      <c r="K134" s="40">
        <v>0</v>
      </c>
      <c r="L134" s="40">
        <v>0</v>
      </c>
      <c r="M134" s="40">
        <v>0</v>
      </c>
      <c r="N134" s="40">
        <f t="shared" si="25"/>
        <v>0</v>
      </c>
      <c r="O134" s="40"/>
      <c r="P134" s="40"/>
      <c r="Q134" s="40"/>
      <c r="R134" s="40"/>
      <c r="S134" s="40">
        <f t="shared" si="26"/>
        <v>0</v>
      </c>
      <c r="T134" s="40">
        <v>200000000</v>
      </c>
      <c r="U134" s="40">
        <v>300000000</v>
      </c>
      <c r="V134" s="40">
        <v>315000000</v>
      </c>
      <c r="W134" s="40">
        <v>330750000</v>
      </c>
      <c r="X134" s="40">
        <f t="shared" si="27"/>
        <v>1145750000</v>
      </c>
      <c r="Y134" s="40"/>
      <c r="Z134" s="40"/>
      <c r="AA134" s="40"/>
      <c r="AB134" s="40"/>
      <c r="AC134" s="40">
        <f t="shared" si="28"/>
        <v>0</v>
      </c>
      <c r="AD134" s="40"/>
      <c r="AE134" s="40"/>
      <c r="AF134" s="40"/>
      <c r="AG134" s="40"/>
      <c r="AH134" s="40">
        <f t="shared" si="29"/>
        <v>0</v>
      </c>
      <c r="AI134" s="40"/>
      <c r="AJ134" s="40"/>
      <c r="AK134" s="40"/>
      <c r="AL134" s="40"/>
      <c r="AM134" s="40">
        <f t="shared" si="30"/>
        <v>0</v>
      </c>
      <c r="AN134" s="40"/>
      <c r="AO134" s="40"/>
      <c r="AP134" s="40"/>
      <c r="AQ134" s="40"/>
      <c r="AR134" s="40">
        <f t="shared" si="31"/>
        <v>0</v>
      </c>
      <c r="AS134" s="40">
        <f t="shared" si="42"/>
        <v>1145750000</v>
      </c>
      <c r="AT134" s="40"/>
      <c r="AU134" s="40"/>
      <c r="AV134" s="40"/>
      <c r="AW134" s="40"/>
      <c r="AX134" s="40">
        <f t="shared" si="32"/>
        <v>0</v>
      </c>
      <c r="AY134" s="40">
        <f t="shared" si="33"/>
        <v>1145750000</v>
      </c>
    </row>
    <row r="135" spans="1:51" ht="124.2">
      <c r="B135" s="89" t="s">
        <v>2576</v>
      </c>
      <c r="C135" s="89"/>
      <c r="D135" s="89"/>
      <c r="E135" s="41">
        <f>SUM(E133:E134)</f>
        <v>0</v>
      </c>
      <c r="F135" s="41">
        <f t="shared" ref="F135:AX135" si="51">SUM(F133:F134)</f>
        <v>0</v>
      </c>
      <c r="G135" s="41">
        <f t="shared" si="51"/>
        <v>0</v>
      </c>
      <c r="H135" s="41">
        <f t="shared" si="51"/>
        <v>0</v>
      </c>
      <c r="I135" s="41">
        <f t="shared" si="51"/>
        <v>0</v>
      </c>
      <c r="J135" s="41">
        <f t="shared" si="51"/>
        <v>0</v>
      </c>
      <c r="K135" s="41">
        <f t="shared" si="51"/>
        <v>0</v>
      </c>
      <c r="L135" s="41">
        <f t="shared" si="51"/>
        <v>0</v>
      </c>
      <c r="M135" s="41">
        <f t="shared" si="51"/>
        <v>0</v>
      </c>
      <c r="N135" s="41">
        <f t="shared" si="51"/>
        <v>0</v>
      </c>
      <c r="O135" s="41">
        <f t="shared" si="51"/>
        <v>0</v>
      </c>
      <c r="P135" s="41">
        <f t="shared" si="51"/>
        <v>0</v>
      </c>
      <c r="Q135" s="41">
        <f t="shared" si="51"/>
        <v>0</v>
      </c>
      <c r="R135" s="41">
        <f t="shared" si="51"/>
        <v>0</v>
      </c>
      <c r="S135" s="41">
        <f t="shared" si="51"/>
        <v>0</v>
      </c>
      <c r="T135" s="41">
        <f t="shared" si="51"/>
        <v>263000000</v>
      </c>
      <c r="U135" s="41">
        <f t="shared" si="51"/>
        <v>390000000</v>
      </c>
      <c r="V135" s="41">
        <f t="shared" si="51"/>
        <v>425000000</v>
      </c>
      <c r="W135" s="41">
        <f t="shared" si="51"/>
        <v>482750000</v>
      </c>
      <c r="X135" s="41">
        <f t="shared" si="51"/>
        <v>1560750000</v>
      </c>
      <c r="Y135" s="41">
        <f t="shared" si="51"/>
        <v>0</v>
      </c>
      <c r="Z135" s="41">
        <f t="shared" si="51"/>
        <v>0</v>
      </c>
      <c r="AA135" s="41">
        <f t="shared" si="51"/>
        <v>0</v>
      </c>
      <c r="AB135" s="41">
        <f t="shared" si="51"/>
        <v>0</v>
      </c>
      <c r="AC135" s="41">
        <f t="shared" si="51"/>
        <v>0</v>
      </c>
      <c r="AD135" s="41">
        <f t="shared" si="51"/>
        <v>0</v>
      </c>
      <c r="AE135" s="41">
        <f t="shared" si="51"/>
        <v>0</v>
      </c>
      <c r="AF135" s="41">
        <f t="shared" si="51"/>
        <v>0</v>
      </c>
      <c r="AG135" s="41">
        <f t="shared" si="51"/>
        <v>0</v>
      </c>
      <c r="AH135" s="41">
        <f t="shared" si="51"/>
        <v>0</v>
      </c>
      <c r="AI135" s="41">
        <f t="shared" si="51"/>
        <v>0</v>
      </c>
      <c r="AJ135" s="41">
        <f t="shared" si="51"/>
        <v>0</v>
      </c>
      <c r="AK135" s="41">
        <f t="shared" si="51"/>
        <v>0</v>
      </c>
      <c r="AL135" s="41">
        <f t="shared" si="51"/>
        <v>0</v>
      </c>
      <c r="AM135" s="41">
        <f t="shared" si="51"/>
        <v>0</v>
      </c>
      <c r="AN135" s="41">
        <f t="shared" si="51"/>
        <v>0</v>
      </c>
      <c r="AO135" s="41">
        <f t="shared" si="51"/>
        <v>0</v>
      </c>
      <c r="AP135" s="41">
        <f t="shared" si="51"/>
        <v>0</v>
      </c>
      <c r="AQ135" s="41">
        <f t="shared" si="51"/>
        <v>0</v>
      </c>
      <c r="AR135" s="41">
        <f t="shared" si="51"/>
        <v>0</v>
      </c>
      <c r="AS135" s="41">
        <f t="shared" si="42"/>
        <v>1560750000</v>
      </c>
      <c r="AT135" s="41">
        <f t="shared" si="51"/>
        <v>0</v>
      </c>
      <c r="AU135" s="41">
        <f t="shared" si="51"/>
        <v>0</v>
      </c>
      <c r="AV135" s="41">
        <f t="shared" si="51"/>
        <v>0</v>
      </c>
      <c r="AW135" s="41">
        <f t="shared" si="51"/>
        <v>0</v>
      </c>
      <c r="AX135" s="41">
        <f t="shared" si="51"/>
        <v>0</v>
      </c>
      <c r="AY135" s="41">
        <f t="shared" si="33"/>
        <v>1560750000</v>
      </c>
    </row>
    <row r="136" spans="1:51" ht="135">
      <c r="B136" s="90" t="s">
        <v>2577</v>
      </c>
      <c r="C136" s="90"/>
      <c r="D136" s="90"/>
      <c r="E136" s="42">
        <f>E135+E131+E127+E122+E118+E103</f>
        <v>2122088880</v>
      </c>
      <c r="F136" s="42">
        <f t="shared" ref="F136:AX136" si="52">F135+F131+F127+F122+F118+F103</f>
        <v>13136790865.5</v>
      </c>
      <c r="G136" s="42">
        <f t="shared" si="52"/>
        <v>2889642573</v>
      </c>
      <c r="H136" s="42">
        <f t="shared" si="52"/>
        <v>19211100314</v>
      </c>
      <c r="I136" s="42">
        <f t="shared" si="52"/>
        <v>37359622632.5</v>
      </c>
      <c r="J136" s="42">
        <f t="shared" si="52"/>
        <v>9376814166</v>
      </c>
      <c r="K136" s="42">
        <f t="shared" si="52"/>
        <v>9658118590.9799995</v>
      </c>
      <c r="L136" s="42">
        <f t="shared" si="52"/>
        <v>9947862149</v>
      </c>
      <c r="M136" s="42">
        <f t="shared" si="52"/>
        <v>10246298013</v>
      </c>
      <c r="N136" s="42">
        <f t="shared" si="52"/>
        <v>39229092918.979996</v>
      </c>
      <c r="O136" s="42">
        <f t="shared" si="52"/>
        <v>827345103</v>
      </c>
      <c r="P136" s="42">
        <f t="shared" si="52"/>
        <v>857892005</v>
      </c>
      <c r="Q136" s="42">
        <f t="shared" si="52"/>
        <v>873328765</v>
      </c>
      <c r="R136" s="42">
        <f t="shared" si="52"/>
        <v>908261916</v>
      </c>
      <c r="S136" s="42">
        <f t="shared" si="52"/>
        <v>3466827789</v>
      </c>
      <c r="T136" s="42">
        <f t="shared" si="52"/>
        <v>4384667700</v>
      </c>
      <c r="U136" s="42">
        <f t="shared" si="52"/>
        <v>5199239639</v>
      </c>
      <c r="V136" s="42">
        <f t="shared" si="52"/>
        <v>5603682134</v>
      </c>
      <c r="W136" s="42">
        <f t="shared" si="52"/>
        <v>5291281130</v>
      </c>
      <c r="X136" s="42">
        <f t="shared" si="52"/>
        <v>20478870603</v>
      </c>
      <c r="Y136" s="42">
        <f t="shared" si="52"/>
        <v>0</v>
      </c>
      <c r="Z136" s="42">
        <f t="shared" si="52"/>
        <v>0</v>
      </c>
      <c r="AA136" s="42">
        <f t="shared" si="52"/>
        <v>0</v>
      </c>
      <c r="AB136" s="42">
        <f t="shared" si="52"/>
        <v>0</v>
      </c>
      <c r="AC136" s="42">
        <f t="shared" si="52"/>
        <v>0</v>
      </c>
      <c r="AD136" s="42">
        <f t="shared" si="52"/>
        <v>0</v>
      </c>
      <c r="AE136" s="42">
        <f t="shared" si="52"/>
        <v>0</v>
      </c>
      <c r="AF136" s="42">
        <f t="shared" si="52"/>
        <v>0</v>
      </c>
      <c r="AG136" s="42">
        <f t="shared" si="52"/>
        <v>0</v>
      </c>
      <c r="AH136" s="42">
        <f t="shared" si="52"/>
        <v>0</v>
      </c>
      <c r="AI136" s="42">
        <f t="shared" si="52"/>
        <v>0</v>
      </c>
      <c r="AJ136" s="42">
        <f t="shared" si="52"/>
        <v>0</v>
      </c>
      <c r="AK136" s="42">
        <f t="shared" si="52"/>
        <v>0</v>
      </c>
      <c r="AL136" s="42">
        <f t="shared" si="52"/>
        <v>0</v>
      </c>
      <c r="AM136" s="42">
        <f t="shared" si="52"/>
        <v>0</v>
      </c>
      <c r="AN136" s="42">
        <f t="shared" si="52"/>
        <v>1000000000</v>
      </c>
      <c r="AO136" s="42">
        <f t="shared" si="52"/>
        <v>0</v>
      </c>
      <c r="AP136" s="42">
        <f t="shared" si="52"/>
        <v>0</v>
      </c>
      <c r="AQ136" s="42">
        <f t="shared" si="52"/>
        <v>0</v>
      </c>
      <c r="AR136" s="42">
        <f t="shared" si="52"/>
        <v>1000000000</v>
      </c>
      <c r="AS136" s="42">
        <f t="shared" si="52"/>
        <v>64174791310.979996</v>
      </c>
      <c r="AT136" s="42">
        <f t="shared" si="52"/>
        <v>0</v>
      </c>
      <c r="AU136" s="42">
        <f t="shared" si="52"/>
        <v>0</v>
      </c>
      <c r="AV136" s="42">
        <f t="shared" si="52"/>
        <v>0</v>
      </c>
      <c r="AW136" s="42">
        <f t="shared" si="52"/>
        <v>0</v>
      </c>
      <c r="AX136" s="42">
        <f t="shared" si="52"/>
        <v>0</v>
      </c>
      <c r="AY136" s="42">
        <f>AY135+AY131+AY127+AY122+AY118+AY103</f>
        <v>101534413943.48</v>
      </c>
    </row>
    <row r="137" spans="1:51" ht="105">
      <c r="B137" s="28">
        <v>4</v>
      </c>
      <c r="C137" s="92" t="s">
        <v>2578</v>
      </c>
      <c r="D137" s="92"/>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8"/>
      <c r="AT137" s="38"/>
      <c r="AU137" s="38"/>
      <c r="AV137" s="38"/>
      <c r="AW137" s="38"/>
      <c r="AX137" s="38"/>
      <c r="AY137" s="38"/>
    </row>
    <row r="138" spans="1:51" ht="120">
      <c r="B138" s="29" t="s">
        <v>732</v>
      </c>
      <c r="C138" s="88" t="s">
        <v>2579</v>
      </c>
      <c r="D138" s="88"/>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row>
    <row r="139" spans="1:51" ht="52.8">
      <c r="A139">
        <v>77</v>
      </c>
      <c r="B139" s="30" t="s">
        <v>2580</v>
      </c>
      <c r="C139" s="31" t="s">
        <v>1892</v>
      </c>
      <c r="D139" s="32" t="s">
        <v>2581</v>
      </c>
      <c r="E139" s="40"/>
      <c r="F139" s="40"/>
      <c r="G139" s="40">
        <v>2200000000</v>
      </c>
      <c r="H139" s="40"/>
      <c r="I139" s="40">
        <f t="shared" ref="I139:I193" si="53">SUM(E139:H139)</f>
        <v>2200000000</v>
      </c>
      <c r="J139" s="40">
        <v>0</v>
      </c>
      <c r="K139" s="40">
        <v>0</v>
      </c>
      <c r="L139" s="40">
        <v>0</v>
      </c>
      <c r="M139" s="40">
        <v>0</v>
      </c>
      <c r="N139" s="40">
        <f t="shared" ref="N139:N193" si="54">SUM(J139:M139)</f>
        <v>0</v>
      </c>
      <c r="O139" s="40"/>
      <c r="P139" s="40"/>
      <c r="Q139" s="40"/>
      <c r="R139" s="40"/>
      <c r="S139" s="40">
        <f t="shared" ref="S139:S193" si="55">SUM(O139:R139)</f>
        <v>0</v>
      </c>
      <c r="T139" s="40">
        <v>67992000</v>
      </c>
      <c r="U139" s="40">
        <v>84672000</v>
      </c>
      <c r="V139" s="40">
        <v>84672000</v>
      </c>
      <c r="W139" s="40">
        <v>84672000</v>
      </c>
      <c r="X139" s="40">
        <f t="shared" ref="X139:X193" si="56">SUM(T139:W139)</f>
        <v>322008000</v>
      </c>
      <c r="Y139" s="40"/>
      <c r="Z139" s="40"/>
      <c r="AA139" s="40"/>
      <c r="AB139" s="40"/>
      <c r="AC139" s="40">
        <f t="shared" ref="AC139:AC193" si="57">SUM(Y139:AB139)</f>
        <v>0</v>
      </c>
      <c r="AD139" s="40"/>
      <c r="AE139" s="40"/>
      <c r="AF139" s="40"/>
      <c r="AG139" s="40"/>
      <c r="AH139" s="40">
        <f t="shared" ref="AH139:AH193" si="58">SUM(AD139:AG139)</f>
        <v>0</v>
      </c>
      <c r="AI139" s="40"/>
      <c r="AJ139" s="40"/>
      <c r="AK139" s="40"/>
      <c r="AL139" s="40"/>
      <c r="AM139" s="40">
        <f t="shared" ref="AM139:AM193" si="59">SUM(AI139:AL139)</f>
        <v>0</v>
      </c>
      <c r="AN139" s="40"/>
      <c r="AO139" s="40"/>
      <c r="AP139" s="40"/>
      <c r="AQ139" s="40"/>
      <c r="AR139" s="40">
        <f t="shared" ref="AR139:AR193" si="60">SUM(AN139:AQ139)</f>
        <v>0</v>
      </c>
      <c r="AS139" s="40">
        <f t="shared" si="42"/>
        <v>322008000</v>
      </c>
      <c r="AT139" s="40"/>
      <c r="AU139" s="40"/>
      <c r="AV139" s="40"/>
      <c r="AW139" s="40"/>
      <c r="AX139" s="40">
        <f t="shared" ref="AX139:AX193" si="61">SUM(AT139:AW139)</f>
        <v>0</v>
      </c>
      <c r="AY139" s="40">
        <f t="shared" ref="AY139:AY194" si="62">SUM(AX139+AS139+I139)</f>
        <v>2522008000</v>
      </c>
    </row>
    <row r="140" spans="1:51" ht="52.8">
      <c r="A140">
        <v>78</v>
      </c>
      <c r="B140" s="30" t="s">
        <v>2582</v>
      </c>
      <c r="C140" s="31" t="s">
        <v>2583</v>
      </c>
      <c r="D140" s="32" t="s">
        <v>2581</v>
      </c>
      <c r="E140" s="40"/>
      <c r="F140" s="40"/>
      <c r="G140" s="40">
        <v>800000000</v>
      </c>
      <c r="H140" s="40"/>
      <c r="I140" s="40">
        <f t="shared" si="53"/>
        <v>800000000</v>
      </c>
      <c r="J140" s="40">
        <v>0</v>
      </c>
      <c r="K140" s="40">
        <v>0</v>
      </c>
      <c r="L140" s="40">
        <v>0</v>
      </c>
      <c r="M140" s="40">
        <v>0</v>
      </c>
      <c r="N140" s="40">
        <f t="shared" si="54"/>
        <v>0</v>
      </c>
      <c r="O140" s="40"/>
      <c r="P140" s="40"/>
      <c r="Q140" s="40"/>
      <c r="R140" s="40"/>
      <c r="S140" s="40">
        <f t="shared" si="55"/>
        <v>0</v>
      </c>
      <c r="T140" s="40">
        <v>67992000</v>
      </c>
      <c r="U140" s="40">
        <v>112896000</v>
      </c>
      <c r="V140" s="40">
        <v>112896000</v>
      </c>
      <c r="W140" s="40">
        <v>112896000</v>
      </c>
      <c r="X140" s="40">
        <f t="shared" si="56"/>
        <v>406680000</v>
      </c>
      <c r="Y140" s="40"/>
      <c r="Z140" s="40"/>
      <c r="AA140" s="40"/>
      <c r="AB140" s="40"/>
      <c r="AC140" s="40">
        <f t="shared" si="57"/>
        <v>0</v>
      </c>
      <c r="AD140" s="40"/>
      <c r="AE140" s="40"/>
      <c r="AF140" s="40"/>
      <c r="AG140" s="40"/>
      <c r="AH140" s="40">
        <f t="shared" si="58"/>
        <v>0</v>
      </c>
      <c r="AI140" s="40"/>
      <c r="AJ140" s="40"/>
      <c r="AK140" s="40"/>
      <c r="AL140" s="40"/>
      <c r="AM140" s="40">
        <f t="shared" si="59"/>
        <v>0</v>
      </c>
      <c r="AN140" s="40">
        <v>70000000</v>
      </c>
      <c r="AO140" s="40"/>
      <c r="AP140" s="40"/>
      <c r="AQ140" s="40"/>
      <c r="AR140" s="40">
        <f t="shared" si="60"/>
        <v>70000000</v>
      </c>
      <c r="AS140" s="40">
        <f t="shared" si="42"/>
        <v>476680000</v>
      </c>
      <c r="AT140" s="40"/>
      <c r="AU140" s="40"/>
      <c r="AV140" s="40"/>
      <c r="AW140" s="40"/>
      <c r="AX140" s="40">
        <f t="shared" si="61"/>
        <v>0</v>
      </c>
      <c r="AY140" s="40">
        <f t="shared" si="62"/>
        <v>1276680000</v>
      </c>
    </row>
    <row r="141" spans="1:51" ht="39.6">
      <c r="A141">
        <v>79</v>
      </c>
      <c r="B141" s="30" t="s">
        <v>2584</v>
      </c>
      <c r="C141" s="31" t="s">
        <v>2585</v>
      </c>
      <c r="D141" s="32" t="s">
        <v>2581</v>
      </c>
      <c r="E141" s="40"/>
      <c r="F141" s="40">
        <v>4835819427</v>
      </c>
      <c r="G141" s="40"/>
      <c r="H141" s="40"/>
      <c r="I141" s="40">
        <f t="shared" si="53"/>
        <v>4835819427</v>
      </c>
      <c r="J141" s="40">
        <v>0</v>
      </c>
      <c r="K141" s="40">
        <v>0</v>
      </c>
      <c r="L141" s="40">
        <v>0</v>
      </c>
      <c r="M141" s="40">
        <v>0</v>
      </c>
      <c r="N141" s="40">
        <f t="shared" si="54"/>
        <v>0</v>
      </c>
      <c r="O141" s="40"/>
      <c r="P141" s="40"/>
      <c r="Q141" s="40"/>
      <c r="R141" s="40"/>
      <c r="S141" s="40">
        <f t="shared" si="55"/>
        <v>0</v>
      </c>
      <c r="T141" s="40">
        <v>11332000</v>
      </c>
      <c r="U141" s="40">
        <v>28224000</v>
      </c>
      <c r="V141" s="40">
        <v>28224000</v>
      </c>
      <c r="W141" s="40">
        <v>28224000</v>
      </c>
      <c r="X141" s="40">
        <f t="shared" si="56"/>
        <v>96004000</v>
      </c>
      <c r="Y141" s="40"/>
      <c r="Z141" s="40"/>
      <c r="AA141" s="40"/>
      <c r="AB141" s="40"/>
      <c r="AC141" s="40">
        <f t="shared" si="57"/>
        <v>0</v>
      </c>
      <c r="AD141" s="40"/>
      <c r="AE141" s="40"/>
      <c r="AF141" s="40"/>
      <c r="AG141" s="40"/>
      <c r="AH141" s="40">
        <f t="shared" si="58"/>
        <v>0</v>
      </c>
      <c r="AI141" s="40"/>
      <c r="AJ141" s="40"/>
      <c r="AK141" s="40"/>
      <c r="AL141" s="40"/>
      <c r="AM141" s="40">
        <f t="shared" si="59"/>
        <v>0</v>
      </c>
      <c r="AN141" s="40"/>
      <c r="AO141" s="40"/>
      <c r="AP141" s="40"/>
      <c r="AQ141" s="40"/>
      <c r="AR141" s="40">
        <f t="shared" si="60"/>
        <v>0</v>
      </c>
      <c r="AS141" s="40">
        <f t="shared" si="42"/>
        <v>96004000</v>
      </c>
      <c r="AT141" s="40"/>
      <c r="AU141" s="40"/>
      <c r="AV141" s="40"/>
      <c r="AW141" s="40"/>
      <c r="AX141" s="40">
        <f t="shared" si="61"/>
        <v>0</v>
      </c>
      <c r="AY141" s="40">
        <f t="shared" si="62"/>
        <v>4931823427</v>
      </c>
    </row>
    <row r="142" spans="1:51" ht="96.6">
      <c r="B142" s="89" t="s">
        <v>2586</v>
      </c>
      <c r="C142" s="89"/>
      <c r="D142" s="89"/>
      <c r="E142" s="41">
        <f>SUM(E139:E141)</f>
        <v>0</v>
      </c>
      <c r="F142" s="41">
        <f t="shared" ref="F142:AX142" si="63">SUM(F139:F141)</f>
        <v>4835819427</v>
      </c>
      <c r="G142" s="41">
        <f t="shared" si="63"/>
        <v>3000000000</v>
      </c>
      <c r="H142" s="41">
        <f t="shared" si="63"/>
        <v>0</v>
      </c>
      <c r="I142" s="41">
        <f t="shared" si="63"/>
        <v>7835819427</v>
      </c>
      <c r="J142" s="41">
        <f t="shared" si="63"/>
        <v>0</v>
      </c>
      <c r="K142" s="41">
        <f t="shared" si="63"/>
        <v>0</v>
      </c>
      <c r="L142" s="41">
        <f t="shared" si="63"/>
        <v>0</v>
      </c>
      <c r="M142" s="41">
        <f t="shared" si="63"/>
        <v>0</v>
      </c>
      <c r="N142" s="41">
        <f t="shared" si="63"/>
        <v>0</v>
      </c>
      <c r="O142" s="41">
        <f t="shared" si="63"/>
        <v>0</v>
      </c>
      <c r="P142" s="41">
        <f t="shared" si="63"/>
        <v>0</v>
      </c>
      <c r="Q142" s="41">
        <f t="shared" si="63"/>
        <v>0</v>
      </c>
      <c r="R142" s="41">
        <f t="shared" si="63"/>
        <v>0</v>
      </c>
      <c r="S142" s="41">
        <f t="shared" si="63"/>
        <v>0</v>
      </c>
      <c r="T142" s="41">
        <f t="shared" si="63"/>
        <v>147316000</v>
      </c>
      <c r="U142" s="41">
        <f t="shared" si="63"/>
        <v>225792000</v>
      </c>
      <c r="V142" s="41">
        <f t="shared" si="63"/>
        <v>225792000</v>
      </c>
      <c r="W142" s="41">
        <f t="shared" si="63"/>
        <v>225792000</v>
      </c>
      <c r="X142" s="41">
        <f t="shared" si="63"/>
        <v>824692000</v>
      </c>
      <c r="Y142" s="41">
        <f t="shared" si="63"/>
        <v>0</v>
      </c>
      <c r="Z142" s="41">
        <f t="shared" si="63"/>
        <v>0</v>
      </c>
      <c r="AA142" s="41">
        <f t="shared" si="63"/>
        <v>0</v>
      </c>
      <c r="AB142" s="41">
        <f t="shared" si="63"/>
        <v>0</v>
      </c>
      <c r="AC142" s="41">
        <f t="shared" si="63"/>
        <v>0</v>
      </c>
      <c r="AD142" s="41">
        <f t="shared" si="63"/>
        <v>0</v>
      </c>
      <c r="AE142" s="41">
        <f t="shared" si="63"/>
        <v>0</v>
      </c>
      <c r="AF142" s="41">
        <f t="shared" si="63"/>
        <v>0</v>
      </c>
      <c r="AG142" s="41">
        <f t="shared" si="63"/>
        <v>0</v>
      </c>
      <c r="AH142" s="41">
        <f t="shared" si="63"/>
        <v>0</v>
      </c>
      <c r="AI142" s="41">
        <f t="shared" si="63"/>
        <v>0</v>
      </c>
      <c r="AJ142" s="41">
        <f t="shared" si="63"/>
        <v>0</v>
      </c>
      <c r="AK142" s="41">
        <f t="shared" si="63"/>
        <v>0</v>
      </c>
      <c r="AL142" s="41">
        <f t="shared" si="63"/>
        <v>0</v>
      </c>
      <c r="AM142" s="41">
        <f t="shared" si="63"/>
        <v>0</v>
      </c>
      <c r="AN142" s="41">
        <f t="shared" si="63"/>
        <v>70000000</v>
      </c>
      <c r="AO142" s="41">
        <f t="shared" si="63"/>
        <v>0</v>
      </c>
      <c r="AP142" s="41">
        <f t="shared" si="63"/>
        <v>0</v>
      </c>
      <c r="AQ142" s="41">
        <f t="shared" si="63"/>
        <v>0</v>
      </c>
      <c r="AR142" s="41">
        <f t="shared" si="63"/>
        <v>70000000</v>
      </c>
      <c r="AS142" s="41">
        <f t="shared" si="42"/>
        <v>894692000</v>
      </c>
      <c r="AT142" s="41">
        <f t="shared" si="63"/>
        <v>0</v>
      </c>
      <c r="AU142" s="41">
        <f t="shared" si="63"/>
        <v>0</v>
      </c>
      <c r="AV142" s="41">
        <f t="shared" si="63"/>
        <v>0</v>
      </c>
      <c r="AW142" s="41">
        <f t="shared" si="63"/>
        <v>0</v>
      </c>
      <c r="AX142" s="41">
        <f t="shared" si="63"/>
        <v>0</v>
      </c>
      <c r="AY142" s="41">
        <f t="shared" si="62"/>
        <v>8730511427</v>
      </c>
    </row>
    <row r="143" spans="1:51" ht="105">
      <c r="B143" s="29" t="s">
        <v>2587</v>
      </c>
      <c r="C143" s="88" t="s">
        <v>2588</v>
      </c>
      <c r="D143" s="88"/>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row>
    <row r="144" spans="1:51" ht="145.19999999999999">
      <c r="A144">
        <v>80</v>
      </c>
      <c r="B144" s="30" t="s">
        <v>2589</v>
      </c>
      <c r="C144" s="31" t="s">
        <v>2590</v>
      </c>
      <c r="D144" s="32" t="s">
        <v>2475</v>
      </c>
      <c r="E144" s="40">
        <f>28318820689-5800000000</f>
        <v>22518820689</v>
      </c>
      <c r="F144" s="40"/>
      <c r="G144" s="40"/>
      <c r="H144" s="40"/>
      <c r="I144" s="40">
        <f t="shared" si="53"/>
        <v>22518820689</v>
      </c>
      <c r="J144" s="40">
        <v>0</v>
      </c>
      <c r="K144" s="40">
        <v>0</v>
      </c>
      <c r="L144" s="40">
        <v>0</v>
      </c>
      <c r="M144" s="40">
        <v>0</v>
      </c>
      <c r="N144" s="40">
        <f t="shared" si="54"/>
        <v>0</v>
      </c>
      <c r="O144" s="40"/>
      <c r="P144" s="40"/>
      <c r="Q144" s="40"/>
      <c r="R144" s="40"/>
      <c r="S144" s="40">
        <f t="shared" si="55"/>
        <v>0</v>
      </c>
      <c r="T144" s="40"/>
      <c r="U144" s="40"/>
      <c r="V144" s="40"/>
      <c r="W144" s="40"/>
      <c r="X144" s="40">
        <f t="shared" si="56"/>
        <v>0</v>
      </c>
      <c r="Y144" s="40"/>
      <c r="Z144" s="40"/>
      <c r="AA144" s="40"/>
      <c r="AB144" s="40"/>
      <c r="AC144" s="40">
        <f t="shared" si="57"/>
        <v>0</v>
      </c>
      <c r="AD144" s="40"/>
      <c r="AE144" s="40"/>
      <c r="AF144" s="40"/>
      <c r="AG144" s="40"/>
      <c r="AH144" s="40">
        <f t="shared" si="58"/>
        <v>0</v>
      </c>
      <c r="AI144" s="40"/>
      <c r="AJ144" s="40"/>
      <c r="AK144" s="40"/>
      <c r="AL144" s="40"/>
      <c r="AM144" s="40">
        <f t="shared" si="59"/>
        <v>0</v>
      </c>
      <c r="AN144" s="40"/>
      <c r="AO144" s="40"/>
      <c r="AP144" s="40"/>
      <c r="AQ144" s="40"/>
      <c r="AR144" s="40">
        <f t="shared" si="60"/>
        <v>0</v>
      </c>
      <c r="AS144" s="40">
        <f t="shared" si="42"/>
        <v>0</v>
      </c>
      <c r="AT144" s="40"/>
      <c r="AU144" s="40"/>
      <c r="AV144" s="40"/>
      <c r="AW144" s="40"/>
      <c r="AX144" s="40">
        <f t="shared" si="61"/>
        <v>0</v>
      </c>
      <c r="AY144" s="40">
        <f t="shared" si="62"/>
        <v>22518820689</v>
      </c>
    </row>
    <row r="145" spans="1:51" ht="132">
      <c r="A145">
        <v>81</v>
      </c>
      <c r="B145" s="30" t="s">
        <v>2591</v>
      </c>
      <c r="C145" s="31" t="s">
        <v>2592</v>
      </c>
      <c r="D145" s="32" t="s">
        <v>2475</v>
      </c>
      <c r="E145" s="40"/>
      <c r="F145" s="40"/>
      <c r="G145" s="40"/>
      <c r="H145" s="40">
        <v>10000894009</v>
      </c>
      <c r="I145" s="40">
        <f t="shared" si="53"/>
        <v>10000894009</v>
      </c>
      <c r="J145" s="40">
        <v>0</v>
      </c>
      <c r="K145" s="40">
        <v>0</v>
      </c>
      <c r="L145" s="40">
        <v>0</v>
      </c>
      <c r="M145" s="40">
        <v>0</v>
      </c>
      <c r="N145" s="40">
        <f t="shared" si="54"/>
        <v>0</v>
      </c>
      <c r="O145" s="40"/>
      <c r="P145" s="40"/>
      <c r="Q145" s="40"/>
      <c r="R145" s="40"/>
      <c r="S145" s="40">
        <f t="shared" si="55"/>
        <v>0</v>
      </c>
      <c r="T145" s="40"/>
      <c r="U145" s="40"/>
      <c r="V145" s="40"/>
      <c r="W145" s="40"/>
      <c r="X145" s="40">
        <f t="shared" si="56"/>
        <v>0</v>
      </c>
      <c r="Y145" s="40"/>
      <c r="Z145" s="40"/>
      <c r="AA145" s="40"/>
      <c r="AB145" s="40"/>
      <c r="AC145" s="40">
        <f t="shared" si="57"/>
        <v>0</v>
      </c>
      <c r="AD145" s="40"/>
      <c r="AE145" s="40"/>
      <c r="AF145" s="40"/>
      <c r="AG145" s="40"/>
      <c r="AH145" s="40">
        <f t="shared" si="58"/>
        <v>0</v>
      </c>
      <c r="AI145" s="40"/>
      <c r="AJ145" s="40"/>
      <c r="AK145" s="40"/>
      <c r="AL145" s="40"/>
      <c r="AM145" s="40">
        <f t="shared" si="59"/>
        <v>0</v>
      </c>
      <c r="AN145" s="40"/>
      <c r="AO145" s="40"/>
      <c r="AP145" s="40"/>
      <c r="AQ145" s="40"/>
      <c r="AR145" s="40">
        <f t="shared" si="60"/>
        <v>0</v>
      </c>
      <c r="AS145" s="40">
        <f t="shared" si="42"/>
        <v>0</v>
      </c>
      <c r="AT145" s="40"/>
      <c r="AU145" s="40"/>
      <c r="AV145" s="40"/>
      <c r="AW145" s="40"/>
      <c r="AX145" s="40">
        <f t="shared" si="61"/>
        <v>0</v>
      </c>
      <c r="AY145" s="40">
        <f t="shared" si="62"/>
        <v>10000894009</v>
      </c>
    </row>
    <row r="146" spans="1:51" ht="82.8">
      <c r="B146" s="89" t="s">
        <v>2593</v>
      </c>
      <c r="C146" s="89"/>
      <c r="D146" s="89"/>
      <c r="E146" s="41">
        <f>SUM(E144:E145)</f>
        <v>22518820689</v>
      </c>
      <c r="F146" s="41">
        <f t="shared" ref="F146:AX146" si="64">SUM(F144:F145)</f>
        <v>0</v>
      </c>
      <c r="G146" s="41">
        <f t="shared" si="64"/>
        <v>0</v>
      </c>
      <c r="H146" s="41">
        <f t="shared" si="64"/>
        <v>10000894009</v>
      </c>
      <c r="I146" s="41">
        <f t="shared" si="64"/>
        <v>32519714698</v>
      </c>
      <c r="J146" s="41">
        <f t="shared" si="64"/>
        <v>0</v>
      </c>
      <c r="K146" s="41">
        <f t="shared" si="64"/>
        <v>0</v>
      </c>
      <c r="L146" s="41">
        <f t="shared" si="64"/>
        <v>0</v>
      </c>
      <c r="M146" s="41">
        <f t="shared" si="64"/>
        <v>0</v>
      </c>
      <c r="N146" s="41">
        <f t="shared" si="64"/>
        <v>0</v>
      </c>
      <c r="O146" s="41">
        <f t="shared" si="64"/>
        <v>0</v>
      </c>
      <c r="P146" s="41">
        <f t="shared" si="64"/>
        <v>0</v>
      </c>
      <c r="Q146" s="41">
        <f t="shared" si="64"/>
        <v>0</v>
      </c>
      <c r="R146" s="41">
        <f t="shared" si="64"/>
        <v>0</v>
      </c>
      <c r="S146" s="41">
        <f t="shared" si="64"/>
        <v>0</v>
      </c>
      <c r="T146" s="41">
        <f t="shared" si="64"/>
        <v>0</v>
      </c>
      <c r="U146" s="41">
        <f t="shared" si="64"/>
        <v>0</v>
      </c>
      <c r="V146" s="41">
        <f t="shared" si="64"/>
        <v>0</v>
      </c>
      <c r="W146" s="41">
        <f t="shared" si="64"/>
        <v>0</v>
      </c>
      <c r="X146" s="41">
        <f t="shared" si="64"/>
        <v>0</v>
      </c>
      <c r="Y146" s="41">
        <f t="shared" si="64"/>
        <v>0</v>
      </c>
      <c r="Z146" s="41">
        <f t="shared" si="64"/>
        <v>0</v>
      </c>
      <c r="AA146" s="41">
        <f t="shared" si="64"/>
        <v>0</v>
      </c>
      <c r="AB146" s="41">
        <f t="shared" si="64"/>
        <v>0</v>
      </c>
      <c r="AC146" s="41">
        <f t="shared" si="64"/>
        <v>0</v>
      </c>
      <c r="AD146" s="41">
        <f t="shared" si="64"/>
        <v>0</v>
      </c>
      <c r="AE146" s="41">
        <f t="shared" si="64"/>
        <v>0</v>
      </c>
      <c r="AF146" s="41">
        <f t="shared" si="64"/>
        <v>0</v>
      </c>
      <c r="AG146" s="41">
        <f t="shared" si="64"/>
        <v>0</v>
      </c>
      <c r="AH146" s="41">
        <f t="shared" si="64"/>
        <v>0</v>
      </c>
      <c r="AI146" s="41">
        <f t="shared" si="64"/>
        <v>0</v>
      </c>
      <c r="AJ146" s="41">
        <f t="shared" si="64"/>
        <v>0</v>
      </c>
      <c r="AK146" s="41">
        <f t="shared" si="64"/>
        <v>0</v>
      </c>
      <c r="AL146" s="41">
        <f t="shared" si="64"/>
        <v>0</v>
      </c>
      <c r="AM146" s="41">
        <f t="shared" si="64"/>
        <v>0</v>
      </c>
      <c r="AN146" s="41">
        <f t="shared" si="64"/>
        <v>0</v>
      </c>
      <c r="AO146" s="41">
        <f t="shared" si="64"/>
        <v>0</v>
      </c>
      <c r="AP146" s="41">
        <f t="shared" si="64"/>
        <v>0</v>
      </c>
      <c r="AQ146" s="41">
        <f t="shared" si="64"/>
        <v>0</v>
      </c>
      <c r="AR146" s="41">
        <f t="shared" si="64"/>
        <v>0</v>
      </c>
      <c r="AS146" s="41">
        <f t="shared" si="42"/>
        <v>0</v>
      </c>
      <c r="AT146" s="41">
        <f t="shared" si="64"/>
        <v>0</v>
      </c>
      <c r="AU146" s="41">
        <f t="shared" si="64"/>
        <v>0</v>
      </c>
      <c r="AV146" s="41">
        <f t="shared" si="64"/>
        <v>0</v>
      </c>
      <c r="AW146" s="41">
        <f t="shared" si="64"/>
        <v>0</v>
      </c>
      <c r="AX146" s="41">
        <f t="shared" si="64"/>
        <v>0</v>
      </c>
      <c r="AY146" s="41">
        <f t="shared" si="62"/>
        <v>32519714698</v>
      </c>
    </row>
    <row r="147" spans="1:51" ht="105">
      <c r="B147" s="29" t="s">
        <v>2594</v>
      </c>
      <c r="C147" s="88" t="s">
        <v>2595</v>
      </c>
      <c r="D147" s="88"/>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row>
    <row r="148" spans="1:51" ht="105.6">
      <c r="A148">
        <v>82</v>
      </c>
      <c r="B148" s="30" t="s">
        <v>2596</v>
      </c>
      <c r="C148" s="31" t="s">
        <v>2597</v>
      </c>
      <c r="D148" s="32" t="s">
        <v>2572</v>
      </c>
      <c r="E148" s="40"/>
      <c r="F148" s="40">
        <v>7000000000</v>
      </c>
      <c r="G148" s="40"/>
      <c r="H148" s="40"/>
      <c r="I148" s="40">
        <f t="shared" si="53"/>
        <v>7000000000</v>
      </c>
      <c r="J148" s="40">
        <v>0</v>
      </c>
      <c r="K148" s="40">
        <v>0</v>
      </c>
      <c r="L148" s="40">
        <v>0</v>
      </c>
      <c r="M148" s="40">
        <v>0</v>
      </c>
      <c r="N148" s="40">
        <f t="shared" si="54"/>
        <v>0</v>
      </c>
      <c r="O148" s="40"/>
      <c r="P148" s="40"/>
      <c r="Q148" s="40"/>
      <c r="R148" s="40"/>
      <c r="S148" s="40">
        <f t="shared" si="55"/>
        <v>0</v>
      </c>
      <c r="T148" s="40">
        <v>63000000</v>
      </c>
      <c r="U148" s="40"/>
      <c r="V148" s="40"/>
      <c r="W148" s="40"/>
      <c r="X148" s="40">
        <f t="shared" si="56"/>
        <v>63000000</v>
      </c>
      <c r="Y148" s="40"/>
      <c r="Z148" s="40"/>
      <c r="AA148" s="40"/>
      <c r="AB148" s="40"/>
      <c r="AC148" s="40">
        <f t="shared" si="57"/>
        <v>0</v>
      </c>
      <c r="AD148" s="40"/>
      <c r="AE148" s="40"/>
      <c r="AF148" s="40"/>
      <c r="AG148" s="40"/>
      <c r="AH148" s="40">
        <f t="shared" si="58"/>
        <v>0</v>
      </c>
      <c r="AI148" s="40"/>
      <c r="AJ148" s="40"/>
      <c r="AK148" s="40"/>
      <c r="AL148" s="40"/>
      <c r="AM148" s="40">
        <f t="shared" si="59"/>
        <v>0</v>
      </c>
      <c r="AN148" s="40"/>
      <c r="AO148" s="40"/>
      <c r="AP148" s="40"/>
      <c r="AQ148" s="40"/>
      <c r="AR148" s="40">
        <f t="shared" si="60"/>
        <v>0</v>
      </c>
      <c r="AS148" s="40">
        <f t="shared" si="42"/>
        <v>63000000</v>
      </c>
      <c r="AT148" s="40"/>
      <c r="AU148" s="40"/>
      <c r="AV148" s="40"/>
      <c r="AW148" s="40"/>
      <c r="AX148" s="40">
        <f t="shared" si="61"/>
        <v>0</v>
      </c>
      <c r="AY148" s="40">
        <f t="shared" si="62"/>
        <v>7063000000</v>
      </c>
    </row>
    <row r="149" spans="1:51" ht="105.6">
      <c r="A149">
        <v>83</v>
      </c>
      <c r="B149" s="30" t="s">
        <v>2598</v>
      </c>
      <c r="C149" s="31" t="s">
        <v>1976</v>
      </c>
      <c r="D149" s="32" t="s">
        <v>2399</v>
      </c>
      <c r="E149" s="40"/>
      <c r="F149" s="40">
        <v>4500000000</v>
      </c>
      <c r="G149" s="40"/>
      <c r="H149" s="40"/>
      <c r="I149" s="40">
        <f t="shared" si="53"/>
        <v>4500000000</v>
      </c>
      <c r="J149" s="40">
        <v>0</v>
      </c>
      <c r="K149" s="40">
        <v>0</v>
      </c>
      <c r="L149" s="40">
        <v>0</v>
      </c>
      <c r="M149" s="40">
        <v>0</v>
      </c>
      <c r="N149" s="40">
        <f t="shared" si="54"/>
        <v>0</v>
      </c>
      <c r="O149" s="40"/>
      <c r="P149" s="40"/>
      <c r="Q149" s="40">
        <v>7500000000</v>
      </c>
      <c r="R149" s="40">
        <v>8500000000</v>
      </c>
      <c r="S149" s="40">
        <f t="shared" si="55"/>
        <v>16000000000</v>
      </c>
      <c r="T149" s="40"/>
      <c r="U149" s="40"/>
      <c r="V149" s="40"/>
      <c r="W149" s="40"/>
      <c r="X149" s="40">
        <f t="shared" si="56"/>
        <v>0</v>
      </c>
      <c r="Y149" s="40"/>
      <c r="Z149" s="40"/>
      <c r="AA149" s="40"/>
      <c r="AB149" s="40"/>
      <c r="AC149" s="40">
        <f t="shared" si="57"/>
        <v>0</v>
      </c>
      <c r="AD149" s="40"/>
      <c r="AE149" s="40"/>
      <c r="AF149" s="40"/>
      <c r="AG149" s="40"/>
      <c r="AH149" s="40">
        <f t="shared" si="58"/>
        <v>0</v>
      </c>
      <c r="AI149" s="40"/>
      <c r="AJ149" s="40"/>
      <c r="AK149" s="40"/>
      <c r="AL149" s="40"/>
      <c r="AM149" s="40">
        <f t="shared" si="59"/>
        <v>0</v>
      </c>
      <c r="AN149" s="40"/>
      <c r="AO149" s="40"/>
      <c r="AP149" s="40"/>
      <c r="AQ149" s="40"/>
      <c r="AR149" s="40">
        <f t="shared" si="60"/>
        <v>0</v>
      </c>
      <c r="AS149" s="40">
        <f t="shared" si="42"/>
        <v>16000000000</v>
      </c>
      <c r="AT149" s="40"/>
      <c r="AU149" s="40"/>
      <c r="AV149" s="40"/>
      <c r="AW149" s="40"/>
      <c r="AX149" s="40">
        <f t="shared" si="61"/>
        <v>0</v>
      </c>
      <c r="AY149" s="40">
        <f t="shared" si="62"/>
        <v>20500000000</v>
      </c>
    </row>
    <row r="150" spans="1:51" ht="96.6">
      <c r="B150" s="89" t="s">
        <v>2599</v>
      </c>
      <c r="C150" s="89"/>
      <c r="D150" s="89"/>
      <c r="E150" s="41">
        <f>SUM(E148:E149)</f>
        <v>0</v>
      </c>
      <c r="F150" s="41">
        <f t="shared" ref="F150:AX150" si="65">SUM(F148:F149)</f>
        <v>11500000000</v>
      </c>
      <c r="G150" s="41">
        <f t="shared" si="65"/>
        <v>0</v>
      </c>
      <c r="H150" s="41">
        <f t="shared" si="65"/>
        <v>0</v>
      </c>
      <c r="I150" s="41">
        <f t="shared" si="65"/>
        <v>11500000000</v>
      </c>
      <c r="J150" s="41">
        <f t="shared" si="65"/>
        <v>0</v>
      </c>
      <c r="K150" s="41">
        <f t="shared" si="65"/>
        <v>0</v>
      </c>
      <c r="L150" s="41">
        <f t="shared" si="65"/>
        <v>0</v>
      </c>
      <c r="M150" s="41">
        <f t="shared" si="65"/>
        <v>0</v>
      </c>
      <c r="N150" s="41">
        <f t="shared" si="65"/>
        <v>0</v>
      </c>
      <c r="O150" s="41">
        <f t="shared" si="65"/>
        <v>0</v>
      </c>
      <c r="P150" s="41">
        <f t="shared" si="65"/>
        <v>0</v>
      </c>
      <c r="Q150" s="41">
        <f t="shared" si="65"/>
        <v>7500000000</v>
      </c>
      <c r="R150" s="41">
        <f t="shared" si="65"/>
        <v>8500000000</v>
      </c>
      <c r="S150" s="41">
        <f t="shared" si="65"/>
        <v>16000000000</v>
      </c>
      <c r="T150" s="41">
        <f t="shared" si="65"/>
        <v>63000000</v>
      </c>
      <c r="U150" s="41">
        <f t="shared" si="65"/>
        <v>0</v>
      </c>
      <c r="V150" s="41">
        <f t="shared" si="65"/>
        <v>0</v>
      </c>
      <c r="W150" s="41">
        <f t="shared" si="65"/>
        <v>0</v>
      </c>
      <c r="X150" s="41">
        <f t="shared" si="65"/>
        <v>63000000</v>
      </c>
      <c r="Y150" s="41">
        <f t="shared" si="65"/>
        <v>0</v>
      </c>
      <c r="Z150" s="41">
        <f t="shared" si="65"/>
        <v>0</v>
      </c>
      <c r="AA150" s="41">
        <f t="shared" si="65"/>
        <v>0</v>
      </c>
      <c r="AB150" s="41">
        <f t="shared" si="65"/>
        <v>0</v>
      </c>
      <c r="AC150" s="41">
        <f t="shared" si="65"/>
        <v>0</v>
      </c>
      <c r="AD150" s="41">
        <f t="shared" si="65"/>
        <v>0</v>
      </c>
      <c r="AE150" s="41">
        <f t="shared" si="65"/>
        <v>0</v>
      </c>
      <c r="AF150" s="41">
        <f t="shared" si="65"/>
        <v>0</v>
      </c>
      <c r="AG150" s="41">
        <f t="shared" si="65"/>
        <v>0</v>
      </c>
      <c r="AH150" s="41">
        <f t="shared" si="65"/>
        <v>0</v>
      </c>
      <c r="AI150" s="41">
        <f t="shared" si="65"/>
        <v>0</v>
      </c>
      <c r="AJ150" s="41">
        <f t="shared" si="65"/>
        <v>0</v>
      </c>
      <c r="AK150" s="41">
        <f t="shared" si="65"/>
        <v>0</v>
      </c>
      <c r="AL150" s="41">
        <f t="shared" si="65"/>
        <v>0</v>
      </c>
      <c r="AM150" s="41">
        <f t="shared" si="65"/>
        <v>0</v>
      </c>
      <c r="AN150" s="41">
        <f t="shared" si="65"/>
        <v>0</v>
      </c>
      <c r="AO150" s="41">
        <f t="shared" si="65"/>
        <v>0</v>
      </c>
      <c r="AP150" s="41">
        <f t="shared" si="65"/>
        <v>0</v>
      </c>
      <c r="AQ150" s="41">
        <f t="shared" si="65"/>
        <v>0</v>
      </c>
      <c r="AR150" s="41">
        <f t="shared" si="65"/>
        <v>0</v>
      </c>
      <c r="AS150" s="41">
        <f t="shared" si="42"/>
        <v>16063000000</v>
      </c>
      <c r="AT150" s="41">
        <f t="shared" si="65"/>
        <v>0</v>
      </c>
      <c r="AU150" s="41">
        <f t="shared" si="65"/>
        <v>0</v>
      </c>
      <c r="AV150" s="41">
        <f t="shared" si="65"/>
        <v>0</v>
      </c>
      <c r="AW150" s="41">
        <f t="shared" si="65"/>
        <v>0</v>
      </c>
      <c r="AX150" s="41">
        <f t="shared" si="65"/>
        <v>0</v>
      </c>
      <c r="AY150" s="41">
        <f t="shared" si="62"/>
        <v>27563000000</v>
      </c>
    </row>
    <row r="151" spans="1:51" ht="120">
      <c r="B151" s="90" t="s">
        <v>2600</v>
      </c>
      <c r="C151" s="90"/>
      <c r="D151" s="90"/>
      <c r="E151" s="42">
        <f>E150+E146+E142</f>
        <v>22518820689</v>
      </c>
      <c r="F151" s="42">
        <f t="shared" ref="F151:AY151" si="66">F150+F146+F142</f>
        <v>16335819427</v>
      </c>
      <c r="G151" s="42">
        <f t="shared" si="66"/>
        <v>3000000000</v>
      </c>
      <c r="H151" s="42">
        <f t="shared" si="66"/>
        <v>10000894009</v>
      </c>
      <c r="I151" s="42">
        <f t="shared" si="66"/>
        <v>51855534125</v>
      </c>
      <c r="J151" s="42">
        <f t="shared" si="66"/>
        <v>0</v>
      </c>
      <c r="K151" s="42">
        <f t="shared" si="66"/>
        <v>0</v>
      </c>
      <c r="L151" s="42">
        <f t="shared" si="66"/>
        <v>0</v>
      </c>
      <c r="M151" s="42">
        <f t="shared" si="66"/>
        <v>0</v>
      </c>
      <c r="N151" s="42">
        <f t="shared" si="66"/>
        <v>0</v>
      </c>
      <c r="O151" s="42">
        <f t="shared" si="66"/>
        <v>0</v>
      </c>
      <c r="P151" s="42">
        <f t="shared" si="66"/>
        <v>0</v>
      </c>
      <c r="Q151" s="42">
        <f t="shared" si="66"/>
        <v>7500000000</v>
      </c>
      <c r="R151" s="42">
        <f t="shared" si="66"/>
        <v>8500000000</v>
      </c>
      <c r="S151" s="42">
        <f t="shared" si="66"/>
        <v>16000000000</v>
      </c>
      <c r="T151" s="42">
        <f t="shared" si="66"/>
        <v>210316000</v>
      </c>
      <c r="U151" s="42">
        <f t="shared" si="66"/>
        <v>225792000</v>
      </c>
      <c r="V151" s="42">
        <f t="shared" si="66"/>
        <v>225792000</v>
      </c>
      <c r="W151" s="42">
        <f t="shared" si="66"/>
        <v>225792000</v>
      </c>
      <c r="X151" s="42">
        <f t="shared" si="66"/>
        <v>887692000</v>
      </c>
      <c r="Y151" s="42">
        <f t="shared" si="66"/>
        <v>0</v>
      </c>
      <c r="Z151" s="42">
        <f t="shared" si="66"/>
        <v>0</v>
      </c>
      <c r="AA151" s="42">
        <f t="shared" si="66"/>
        <v>0</v>
      </c>
      <c r="AB151" s="42">
        <f t="shared" si="66"/>
        <v>0</v>
      </c>
      <c r="AC151" s="42">
        <f t="shared" si="66"/>
        <v>0</v>
      </c>
      <c r="AD151" s="42">
        <f t="shared" si="66"/>
        <v>0</v>
      </c>
      <c r="AE151" s="42">
        <f t="shared" si="66"/>
        <v>0</v>
      </c>
      <c r="AF151" s="42">
        <f t="shared" si="66"/>
        <v>0</v>
      </c>
      <c r="AG151" s="42">
        <f t="shared" si="66"/>
        <v>0</v>
      </c>
      <c r="AH151" s="42">
        <f t="shared" si="66"/>
        <v>0</v>
      </c>
      <c r="AI151" s="42">
        <f t="shared" si="66"/>
        <v>0</v>
      </c>
      <c r="AJ151" s="42">
        <f t="shared" si="66"/>
        <v>0</v>
      </c>
      <c r="AK151" s="42">
        <f t="shared" si="66"/>
        <v>0</v>
      </c>
      <c r="AL151" s="42">
        <f t="shared" si="66"/>
        <v>0</v>
      </c>
      <c r="AM151" s="42">
        <f t="shared" si="66"/>
        <v>0</v>
      </c>
      <c r="AN151" s="42">
        <f t="shared" si="66"/>
        <v>70000000</v>
      </c>
      <c r="AO151" s="42">
        <f t="shared" si="66"/>
        <v>0</v>
      </c>
      <c r="AP151" s="42">
        <f t="shared" si="66"/>
        <v>0</v>
      </c>
      <c r="AQ151" s="42">
        <f t="shared" si="66"/>
        <v>0</v>
      </c>
      <c r="AR151" s="42">
        <f t="shared" si="66"/>
        <v>70000000</v>
      </c>
      <c r="AS151" s="42">
        <f t="shared" si="66"/>
        <v>16957692000</v>
      </c>
      <c r="AT151" s="42">
        <f t="shared" si="66"/>
        <v>0</v>
      </c>
      <c r="AU151" s="42">
        <f t="shared" si="66"/>
        <v>0</v>
      </c>
      <c r="AV151" s="42">
        <f t="shared" si="66"/>
        <v>0</v>
      </c>
      <c r="AW151" s="42">
        <f t="shared" si="66"/>
        <v>0</v>
      </c>
      <c r="AX151" s="42">
        <f t="shared" si="66"/>
        <v>0</v>
      </c>
      <c r="AY151" s="42">
        <f t="shared" si="66"/>
        <v>68813226125</v>
      </c>
    </row>
    <row r="152" spans="1:51" ht="105">
      <c r="B152" s="28">
        <v>5</v>
      </c>
      <c r="C152" s="92" t="s">
        <v>2601</v>
      </c>
      <c r="D152" s="92"/>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8"/>
      <c r="AT152" s="38"/>
      <c r="AU152" s="38"/>
      <c r="AV152" s="38"/>
      <c r="AW152" s="38"/>
      <c r="AX152" s="38"/>
      <c r="AY152" s="38"/>
    </row>
    <row r="153" spans="1:51" ht="120">
      <c r="B153" s="29" t="s">
        <v>741</v>
      </c>
      <c r="C153" s="88" t="s">
        <v>2602</v>
      </c>
      <c r="D153" s="88"/>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row>
    <row r="154" spans="1:51" ht="52.8">
      <c r="A154">
        <v>84</v>
      </c>
      <c r="B154" s="30" t="s">
        <v>2603</v>
      </c>
      <c r="C154" s="31" t="s">
        <v>2604</v>
      </c>
      <c r="D154" s="32" t="s">
        <v>2395</v>
      </c>
      <c r="E154" s="40"/>
      <c r="F154" s="40"/>
      <c r="G154" s="40"/>
      <c r="H154" s="40"/>
      <c r="I154" s="40">
        <f t="shared" si="53"/>
        <v>0</v>
      </c>
      <c r="J154" s="40">
        <v>0</v>
      </c>
      <c r="K154" s="40">
        <v>0</v>
      </c>
      <c r="L154" s="40">
        <v>0</v>
      </c>
      <c r="M154" s="40">
        <v>0</v>
      </c>
      <c r="N154" s="40">
        <f t="shared" si="54"/>
        <v>0</v>
      </c>
      <c r="O154" s="40">
        <v>100000000</v>
      </c>
      <c r="P154" s="40">
        <v>200000000</v>
      </c>
      <c r="Q154" s="40">
        <v>200000000</v>
      </c>
      <c r="R154" s="40">
        <v>200000000</v>
      </c>
      <c r="S154" s="40">
        <f t="shared" si="55"/>
        <v>700000000</v>
      </c>
      <c r="T154" s="40"/>
      <c r="U154" s="40"/>
      <c r="V154" s="40"/>
      <c r="W154" s="40"/>
      <c r="X154" s="40">
        <f t="shared" si="56"/>
        <v>0</v>
      </c>
      <c r="Y154" s="40"/>
      <c r="Z154" s="40"/>
      <c r="AA154" s="40"/>
      <c r="AB154" s="40"/>
      <c r="AC154" s="40">
        <f t="shared" si="57"/>
        <v>0</v>
      </c>
      <c r="AD154" s="40"/>
      <c r="AE154" s="40"/>
      <c r="AF154" s="40"/>
      <c r="AG154" s="40"/>
      <c r="AH154" s="40">
        <f t="shared" si="58"/>
        <v>0</v>
      </c>
      <c r="AI154" s="40"/>
      <c r="AJ154" s="40"/>
      <c r="AK154" s="40"/>
      <c r="AL154" s="40"/>
      <c r="AM154" s="40">
        <f t="shared" si="59"/>
        <v>0</v>
      </c>
      <c r="AN154" s="40"/>
      <c r="AO154" s="40"/>
      <c r="AP154" s="40"/>
      <c r="AQ154" s="40"/>
      <c r="AR154" s="40">
        <f t="shared" si="60"/>
        <v>0</v>
      </c>
      <c r="AS154" s="40">
        <f t="shared" si="42"/>
        <v>700000000</v>
      </c>
      <c r="AT154" s="40"/>
      <c r="AU154" s="40"/>
      <c r="AV154" s="40"/>
      <c r="AW154" s="40"/>
      <c r="AX154" s="40">
        <f t="shared" si="61"/>
        <v>0</v>
      </c>
      <c r="AY154" s="40">
        <f t="shared" si="62"/>
        <v>700000000</v>
      </c>
    </row>
    <row r="155" spans="1:51" ht="52.8">
      <c r="A155">
        <v>85</v>
      </c>
      <c r="B155" s="30" t="s">
        <v>2605</v>
      </c>
      <c r="C155" s="31" t="s">
        <v>2606</v>
      </c>
      <c r="D155" s="32" t="s">
        <v>2395</v>
      </c>
      <c r="E155" s="40"/>
      <c r="F155" s="40">
        <v>17996284738</v>
      </c>
      <c r="G155" s="40">
        <v>16472121105.189098</v>
      </c>
      <c r="H155" s="40">
        <v>18528607495.48267</v>
      </c>
      <c r="I155" s="40">
        <f t="shared" si="53"/>
        <v>52997013338.671768</v>
      </c>
      <c r="J155" s="40">
        <v>0</v>
      </c>
      <c r="K155" s="40">
        <v>0</v>
      </c>
      <c r="L155" s="40">
        <v>0</v>
      </c>
      <c r="M155" s="40">
        <v>0</v>
      </c>
      <c r="N155" s="40">
        <f t="shared" si="54"/>
        <v>0</v>
      </c>
      <c r="O155" s="40">
        <v>7900000000</v>
      </c>
      <c r="P155" s="40">
        <v>8040000000</v>
      </c>
      <c r="Q155" s="40">
        <v>8287200000</v>
      </c>
      <c r="R155" s="40">
        <v>8626688000</v>
      </c>
      <c r="S155" s="40">
        <f t="shared" si="55"/>
        <v>32853888000</v>
      </c>
      <c r="T155" s="40">
        <v>516119873</v>
      </c>
      <c r="U155" s="40">
        <v>1250000000</v>
      </c>
      <c r="V155" s="40">
        <v>1312500000</v>
      </c>
      <c r="W155" s="40">
        <v>1378125000</v>
      </c>
      <c r="X155" s="40">
        <f t="shared" si="56"/>
        <v>4456744873</v>
      </c>
      <c r="Y155" s="40"/>
      <c r="Z155" s="40"/>
      <c r="AA155" s="40"/>
      <c r="AB155" s="40"/>
      <c r="AC155" s="40">
        <f t="shared" si="57"/>
        <v>0</v>
      </c>
      <c r="AD155" s="40"/>
      <c r="AE155" s="40"/>
      <c r="AF155" s="40">
        <v>25000000000</v>
      </c>
      <c r="AG155" s="40"/>
      <c r="AH155" s="40">
        <f t="shared" si="58"/>
        <v>25000000000</v>
      </c>
      <c r="AI155" s="40">
        <v>93783792889</v>
      </c>
      <c r="AJ155" s="40"/>
      <c r="AK155" s="40">
        <v>25000000000</v>
      </c>
      <c r="AL155" s="40"/>
      <c r="AM155" s="40">
        <f t="shared" si="59"/>
        <v>118783792889</v>
      </c>
      <c r="AN155" s="40"/>
      <c r="AO155" s="40"/>
      <c r="AP155" s="40"/>
      <c r="AQ155" s="40"/>
      <c r="AR155" s="40">
        <f t="shared" si="60"/>
        <v>0</v>
      </c>
      <c r="AS155" s="40">
        <f t="shared" si="42"/>
        <v>181094425762</v>
      </c>
      <c r="AT155" s="40"/>
      <c r="AU155" s="40"/>
      <c r="AV155" s="40"/>
      <c r="AW155" s="40"/>
      <c r="AX155" s="40">
        <f t="shared" si="61"/>
        <v>0</v>
      </c>
      <c r="AY155" s="40">
        <f t="shared" si="62"/>
        <v>234091439100.67175</v>
      </c>
    </row>
    <row r="156" spans="1:51" ht="110.4">
      <c r="B156" s="89" t="s">
        <v>2607</v>
      </c>
      <c r="C156" s="89"/>
      <c r="D156" s="89"/>
      <c r="E156" s="41">
        <f>SUM(E154:E155)</f>
        <v>0</v>
      </c>
      <c r="F156" s="41">
        <f t="shared" ref="F156:AX156" si="67">SUM(F154:F155)</f>
        <v>17996284738</v>
      </c>
      <c r="G156" s="41">
        <f t="shared" si="67"/>
        <v>16472121105.189098</v>
      </c>
      <c r="H156" s="41">
        <f t="shared" si="67"/>
        <v>18528607495.48267</v>
      </c>
      <c r="I156" s="41">
        <f t="shared" si="67"/>
        <v>52997013338.671768</v>
      </c>
      <c r="J156" s="41">
        <f t="shared" si="67"/>
        <v>0</v>
      </c>
      <c r="K156" s="41">
        <f t="shared" si="67"/>
        <v>0</v>
      </c>
      <c r="L156" s="41">
        <f t="shared" si="67"/>
        <v>0</v>
      </c>
      <c r="M156" s="41">
        <f t="shared" si="67"/>
        <v>0</v>
      </c>
      <c r="N156" s="41">
        <f t="shared" si="67"/>
        <v>0</v>
      </c>
      <c r="O156" s="41">
        <f t="shared" si="67"/>
        <v>8000000000</v>
      </c>
      <c r="P156" s="41">
        <f t="shared" si="67"/>
        <v>8240000000</v>
      </c>
      <c r="Q156" s="41">
        <f t="shared" si="67"/>
        <v>8487200000</v>
      </c>
      <c r="R156" s="41">
        <f t="shared" si="67"/>
        <v>8826688000</v>
      </c>
      <c r="S156" s="41">
        <f t="shared" si="67"/>
        <v>33553888000</v>
      </c>
      <c r="T156" s="41">
        <f t="shared" si="67"/>
        <v>516119873</v>
      </c>
      <c r="U156" s="41">
        <f t="shared" si="67"/>
        <v>1250000000</v>
      </c>
      <c r="V156" s="41">
        <f t="shared" si="67"/>
        <v>1312500000</v>
      </c>
      <c r="W156" s="41">
        <f t="shared" si="67"/>
        <v>1378125000</v>
      </c>
      <c r="X156" s="41">
        <f t="shared" si="67"/>
        <v>4456744873</v>
      </c>
      <c r="Y156" s="41">
        <f t="shared" si="67"/>
        <v>0</v>
      </c>
      <c r="Z156" s="41">
        <f t="shared" si="67"/>
        <v>0</v>
      </c>
      <c r="AA156" s="41">
        <f t="shared" si="67"/>
        <v>0</v>
      </c>
      <c r="AB156" s="41">
        <f t="shared" si="67"/>
        <v>0</v>
      </c>
      <c r="AC156" s="41">
        <f t="shared" si="67"/>
        <v>0</v>
      </c>
      <c r="AD156" s="41">
        <f t="shared" si="67"/>
        <v>0</v>
      </c>
      <c r="AE156" s="41">
        <f t="shared" si="67"/>
        <v>0</v>
      </c>
      <c r="AF156" s="41">
        <f t="shared" si="67"/>
        <v>25000000000</v>
      </c>
      <c r="AG156" s="41">
        <f t="shared" si="67"/>
        <v>0</v>
      </c>
      <c r="AH156" s="41">
        <f t="shared" si="67"/>
        <v>25000000000</v>
      </c>
      <c r="AI156" s="41">
        <f t="shared" si="67"/>
        <v>93783792889</v>
      </c>
      <c r="AJ156" s="41">
        <f t="shared" si="67"/>
        <v>0</v>
      </c>
      <c r="AK156" s="41">
        <f t="shared" si="67"/>
        <v>25000000000</v>
      </c>
      <c r="AL156" s="41">
        <f t="shared" si="67"/>
        <v>0</v>
      </c>
      <c r="AM156" s="41">
        <f t="shared" si="67"/>
        <v>118783792889</v>
      </c>
      <c r="AN156" s="41">
        <f t="shared" si="67"/>
        <v>0</v>
      </c>
      <c r="AO156" s="41">
        <f t="shared" si="67"/>
        <v>0</v>
      </c>
      <c r="AP156" s="41">
        <f t="shared" si="67"/>
        <v>0</v>
      </c>
      <c r="AQ156" s="41">
        <f t="shared" si="67"/>
        <v>0</v>
      </c>
      <c r="AR156" s="41">
        <f t="shared" si="67"/>
        <v>0</v>
      </c>
      <c r="AS156" s="41">
        <f t="shared" si="42"/>
        <v>181794425762</v>
      </c>
      <c r="AT156" s="41">
        <f t="shared" si="67"/>
        <v>0</v>
      </c>
      <c r="AU156" s="41">
        <f t="shared" si="67"/>
        <v>0</v>
      </c>
      <c r="AV156" s="41">
        <f t="shared" si="67"/>
        <v>0</v>
      </c>
      <c r="AW156" s="41">
        <f t="shared" si="67"/>
        <v>0</v>
      </c>
      <c r="AX156" s="41">
        <f t="shared" si="67"/>
        <v>0</v>
      </c>
      <c r="AY156" s="41">
        <f t="shared" si="62"/>
        <v>234791439100.67175</v>
      </c>
    </row>
    <row r="157" spans="1:51" ht="105">
      <c r="B157" s="29" t="s">
        <v>2608</v>
      </c>
      <c r="C157" s="88" t="s">
        <v>2609</v>
      </c>
      <c r="D157" s="88"/>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row>
    <row r="158" spans="1:51" ht="158.4">
      <c r="A158">
        <v>86</v>
      </c>
      <c r="B158" s="30" t="s">
        <v>2610</v>
      </c>
      <c r="C158" s="31" t="s">
        <v>2611</v>
      </c>
      <c r="D158" s="32" t="s">
        <v>1250</v>
      </c>
      <c r="E158" s="40"/>
      <c r="F158" s="40"/>
      <c r="G158" s="40"/>
      <c r="H158" s="40"/>
      <c r="I158" s="40">
        <f t="shared" si="53"/>
        <v>0</v>
      </c>
      <c r="J158" s="40">
        <v>0</v>
      </c>
      <c r="K158" s="40">
        <v>0</v>
      </c>
      <c r="L158" s="40">
        <v>0</v>
      </c>
      <c r="M158" s="40">
        <v>0</v>
      </c>
      <c r="N158" s="40">
        <f t="shared" si="54"/>
        <v>0</v>
      </c>
      <c r="O158" s="40"/>
      <c r="P158" s="40"/>
      <c r="Q158" s="40"/>
      <c r="R158" s="40"/>
      <c r="S158" s="40">
        <f t="shared" si="55"/>
        <v>0</v>
      </c>
      <c r="T158" s="40"/>
      <c r="U158" s="40">
        <v>600000000</v>
      </c>
      <c r="V158" s="40">
        <v>630000000</v>
      </c>
      <c r="W158" s="40">
        <v>661500000</v>
      </c>
      <c r="X158" s="40">
        <f t="shared" si="56"/>
        <v>1891500000</v>
      </c>
      <c r="Y158" s="40"/>
      <c r="Z158" s="40"/>
      <c r="AA158" s="40"/>
      <c r="AB158" s="40"/>
      <c r="AC158" s="40">
        <f t="shared" si="57"/>
        <v>0</v>
      </c>
      <c r="AD158" s="40"/>
      <c r="AE158" s="40"/>
      <c r="AF158" s="40"/>
      <c r="AG158" s="40"/>
      <c r="AH158" s="40">
        <f t="shared" si="58"/>
        <v>0</v>
      </c>
      <c r="AI158" s="40"/>
      <c r="AJ158" s="40"/>
      <c r="AK158" s="40"/>
      <c r="AL158" s="40"/>
      <c r="AM158" s="40">
        <f t="shared" si="59"/>
        <v>0</v>
      </c>
      <c r="AN158" s="40"/>
      <c r="AO158" s="40"/>
      <c r="AP158" s="40"/>
      <c r="AQ158" s="40"/>
      <c r="AR158" s="40">
        <f t="shared" si="60"/>
        <v>0</v>
      </c>
      <c r="AS158" s="40">
        <f t="shared" si="42"/>
        <v>1891500000</v>
      </c>
      <c r="AT158" s="40">
        <v>4000000000</v>
      </c>
      <c r="AU158" s="40">
        <v>4200000000</v>
      </c>
      <c r="AV158" s="40">
        <v>4410000000</v>
      </c>
      <c r="AW158" s="40">
        <v>4520000000</v>
      </c>
      <c r="AX158" s="40">
        <f t="shared" si="61"/>
        <v>17130000000</v>
      </c>
      <c r="AY158" s="40">
        <f t="shared" si="62"/>
        <v>19021500000</v>
      </c>
    </row>
    <row r="159" spans="1:51" ht="26.4">
      <c r="A159">
        <v>87</v>
      </c>
      <c r="B159" s="30" t="s">
        <v>2612</v>
      </c>
      <c r="C159" s="31" t="s">
        <v>2613</v>
      </c>
      <c r="D159" s="32" t="s">
        <v>1250</v>
      </c>
      <c r="E159" s="40"/>
      <c r="F159" s="40"/>
      <c r="G159" s="40">
        <v>5000000000</v>
      </c>
      <c r="H159" s="40"/>
      <c r="I159" s="40">
        <f t="shared" si="53"/>
        <v>5000000000</v>
      </c>
      <c r="J159" s="40">
        <v>0</v>
      </c>
      <c r="K159" s="40">
        <v>0</v>
      </c>
      <c r="L159" s="40">
        <v>0</v>
      </c>
      <c r="M159" s="40">
        <v>0</v>
      </c>
      <c r="N159" s="40">
        <f t="shared" si="54"/>
        <v>0</v>
      </c>
      <c r="O159" s="40"/>
      <c r="P159" s="40"/>
      <c r="Q159" s="40"/>
      <c r="R159" s="40"/>
      <c r="S159" s="40">
        <f t="shared" si="55"/>
        <v>0</v>
      </c>
      <c r="T159" s="40"/>
      <c r="U159" s="40"/>
      <c r="V159" s="40"/>
      <c r="W159" s="40"/>
      <c r="X159" s="40">
        <f t="shared" si="56"/>
        <v>0</v>
      </c>
      <c r="Y159" s="40"/>
      <c r="Z159" s="40"/>
      <c r="AA159" s="40"/>
      <c r="AB159" s="40"/>
      <c r="AC159" s="40">
        <f t="shared" si="57"/>
        <v>0</v>
      </c>
      <c r="AD159" s="40"/>
      <c r="AE159" s="40"/>
      <c r="AF159" s="40"/>
      <c r="AG159" s="40"/>
      <c r="AH159" s="40">
        <f t="shared" si="58"/>
        <v>0</v>
      </c>
      <c r="AI159" s="40"/>
      <c r="AJ159" s="40"/>
      <c r="AK159" s="40"/>
      <c r="AL159" s="40"/>
      <c r="AM159" s="40">
        <f t="shared" si="59"/>
        <v>0</v>
      </c>
      <c r="AN159" s="40"/>
      <c r="AO159" s="40"/>
      <c r="AP159" s="40"/>
      <c r="AQ159" s="40"/>
      <c r="AR159" s="40">
        <f t="shared" si="60"/>
        <v>0</v>
      </c>
      <c r="AS159" s="40">
        <f t="shared" si="42"/>
        <v>0</v>
      </c>
      <c r="AT159" s="40"/>
      <c r="AU159" s="40"/>
      <c r="AV159" s="40"/>
      <c r="AW159" s="40"/>
      <c r="AX159" s="40">
        <f t="shared" si="61"/>
        <v>0</v>
      </c>
      <c r="AY159" s="40">
        <f t="shared" si="62"/>
        <v>5000000000</v>
      </c>
    </row>
    <row r="160" spans="1:51" ht="96.6">
      <c r="B160" s="89" t="s">
        <v>2614</v>
      </c>
      <c r="C160" s="89"/>
      <c r="D160" s="89"/>
      <c r="E160" s="41">
        <f>SUM(E158:E159)</f>
        <v>0</v>
      </c>
      <c r="F160" s="41">
        <f t="shared" ref="F160:AX160" si="68">SUM(F158:F159)</f>
        <v>0</v>
      </c>
      <c r="G160" s="41">
        <f t="shared" si="68"/>
        <v>5000000000</v>
      </c>
      <c r="H160" s="41">
        <f t="shared" si="68"/>
        <v>0</v>
      </c>
      <c r="I160" s="41">
        <f t="shared" si="68"/>
        <v>5000000000</v>
      </c>
      <c r="J160" s="41">
        <f t="shared" si="68"/>
        <v>0</v>
      </c>
      <c r="K160" s="41">
        <f t="shared" si="68"/>
        <v>0</v>
      </c>
      <c r="L160" s="41">
        <f t="shared" si="68"/>
        <v>0</v>
      </c>
      <c r="M160" s="41">
        <f t="shared" si="68"/>
        <v>0</v>
      </c>
      <c r="N160" s="41">
        <f t="shared" si="68"/>
        <v>0</v>
      </c>
      <c r="O160" s="41">
        <f t="shared" si="68"/>
        <v>0</v>
      </c>
      <c r="P160" s="41">
        <f t="shared" si="68"/>
        <v>0</v>
      </c>
      <c r="Q160" s="41">
        <f t="shared" si="68"/>
        <v>0</v>
      </c>
      <c r="R160" s="41">
        <f t="shared" si="68"/>
        <v>0</v>
      </c>
      <c r="S160" s="41">
        <f t="shared" si="68"/>
        <v>0</v>
      </c>
      <c r="T160" s="41">
        <f t="shared" si="68"/>
        <v>0</v>
      </c>
      <c r="U160" s="41">
        <f t="shared" si="68"/>
        <v>600000000</v>
      </c>
      <c r="V160" s="41">
        <f t="shared" si="68"/>
        <v>630000000</v>
      </c>
      <c r="W160" s="41">
        <f t="shared" si="68"/>
        <v>661500000</v>
      </c>
      <c r="X160" s="41">
        <f t="shared" si="68"/>
        <v>1891500000</v>
      </c>
      <c r="Y160" s="41">
        <f t="shared" si="68"/>
        <v>0</v>
      </c>
      <c r="Z160" s="41">
        <f t="shared" si="68"/>
        <v>0</v>
      </c>
      <c r="AA160" s="41">
        <f t="shared" si="68"/>
        <v>0</v>
      </c>
      <c r="AB160" s="41">
        <f t="shared" si="68"/>
        <v>0</v>
      </c>
      <c r="AC160" s="41">
        <f t="shared" si="68"/>
        <v>0</v>
      </c>
      <c r="AD160" s="41">
        <f t="shared" si="68"/>
        <v>0</v>
      </c>
      <c r="AE160" s="41">
        <f t="shared" si="68"/>
        <v>0</v>
      </c>
      <c r="AF160" s="41">
        <f t="shared" si="68"/>
        <v>0</v>
      </c>
      <c r="AG160" s="41">
        <f t="shared" si="68"/>
        <v>0</v>
      </c>
      <c r="AH160" s="41">
        <f t="shared" si="68"/>
        <v>0</v>
      </c>
      <c r="AI160" s="41">
        <f t="shared" si="68"/>
        <v>0</v>
      </c>
      <c r="AJ160" s="41">
        <f t="shared" si="68"/>
        <v>0</v>
      </c>
      <c r="AK160" s="41">
        <f t="shared" si="68"/>
        <v>0</v>
      </c>
      <c r="AL160" s="41">
        <f t="shared" si="68"/>
        <v>0</v>
      </c>
      <c r="AM160" s="41">
        <f t="shared" si="68"/>
        <v>0</v>
      </c>
      <c r="AN160" s="41">
        <f t="shared" si="68"/>
        <v>0</v>
      </c>
      <c r="AO160" s="41">
        <f t="shared" si="68"/>
        <v>0</v>
      </c>
      <c r="AP160" s="41">
        <f t="shared" si="68"/>
        <v>0</v>
      </c>
      <c r="AQ160" s="41">
        <f t="shared" si="68"/>
        <v>0</v>
      </c>
      <c r="AR160" s="41">
        <f t="shared" si="68"/>
        <v>0</v>
      </c>
      <c r="AS160" s="41">
        <f t="shared" si="42"/>
        <v>1891500000</v>
      </c>
      <c r="AT160" s="41">
        <f t="shared" si="68"/>
        <v>4000000000</v>
      </c>
      <c r="AU160" s="41">
        <f t="shared" si="68"/>
        <v>4200000000</v>
      </c>
      <c r="AV160" s="41">
        <f t="shared" si="68"/>
        <v>4410000000</v>
      </c>
      <c r="AW160" s="41">
        <f t="shared" si="68"/>
        <v>4520000000</v>
      </c>
      <c r="AX160" s="41">
        <f t="shared" si="68"/>
        <v>17130000000</v>
      </c>
      <c r="AY160" s="41">
        <f t="shared" si="62"/>
        <v>24021500000</v>
      </c>
    </row>
    <row r="161" spans="1:51" ht="120">
      <c r="B161" s="90" t="s">
        <v>2615</v>
      </c>
      <c r="C161" s="90"/>
      <c r="D161" s="90"/>
      <c r="E161" s="42">
        <f>E160+E156</f>
        <v>0</v>
      </c>
      <c r="F161" s="42">
        <f t="shared" ref="F161:AY161" si="69">F160+F156</f>
        <v>17996284738</v>
      </c>
      <c r="G161" s="42">
        <f t="shared" si="69"/>
        <v>21472121105.189098</v>
      </c>
      <c r="H161" s="42">
        <f t="shared" si="69"/>
        <v>18528607495.48267</v>
      </c>
      <c r="I161" s="42">
        <f t="shared" si="69"/>
        <v>57997013338.671768</v>
      </c>
      <c r="J161" s="42">
        <f t="shared" si="69"/>
        <v>0</v>
      </c>
      <c r="K161" s="42">
        <f t="shared" si="69"/>
        <v>0</v>
      </c>
      <c r="L161" s="42">
        <f t="shared" si="69"/>
        <v>0</v>
      </c>
      <c r="M161" s="42">
        <f t="shared" si="69"/>
        <v>0</v>
      </c>
      <c r="N161" s="42">
        <f t="shared" si="69"/>
        <v>0</v>
      </c>
      <c r="O161" s="42">
        <f t="shared" si="69"/>
        <v>8000000000</v>
      </c>
      <c r="P161" s="42">
        <f t="shared" si="69"/>
        <v>8240000000</v>
      </c>
      <c r="Q161" s="42">
        <f t="shared" si="69"/>
        <v>8487200000</v>
      </c>
      <c r="R161" s="42">
        <f t="shared" si="69"/>
        <v>8826688000</v>
      </c>
      <c r="S161" s="42">
        <f t="shared" si="69"/>
        <v>33553888000</v>
      </c>
      <c r="T161" s="42">
        <f t="shared" si="69"/>
        <v>516119873</v>
      </c>
      <c r="U161" s="42">
        <f t="shared" si="69"/>
        <v>1850000000</v>
      </c>
      <c r="V161" s="42">
        <f t="shared" si="69"/>
        <v>1942500000</v>
      </c>
      <c r="W161" s="42">
        <f t="shared" si="69"/>
        <v>2039625000</v>
      </c>
      <c r="X161" s="42">
        <f t="shared" si="69"/>
        <v>6348244873</v>
      </c>
      <c r="Y161" s="42">
        <f t="shared" si="69"/>
        <v>0</v>
      </c>
      <c r="Z161" s="42">
        <f t="shared" si="69"/>
        <v>0</v>
      </c>
      <c r="AA161" s="42">
        <f t="shared" si="69"/>
        <v>0</v>
      </c>
      <c r="AB161" s="42">
        <f t="shared" si="69"/>
        <v>0</v>
      </c>
      <c r="AC161" s="42">
        <f t="shared" si="69"/>
        <v>0</v>
      </c>
      <c r="AD161" s="42">
        <f t="shared" si="69"/>
        <v>0</v>
      </c>
      <c r="AE161" s="42">
        <f t="shared" si="69"/>
        <v>0</v>
      </c>
      <c r="AF161" s="42">
        <f t="shared" si="69"/>
        <v>25000000000</v>
      </c>
      <c r="AG161" s="42">
        <f t="shared" si="69"/>
        <v>0</v>
      </c>
      <c r="AH161" s="42">
        <f t="shared" si="69"/>
        <v>25000000000</v>
      </c>
      <c r="AI161" s="42">
        <f t="shared" si="69"/>
        <v>93783792889</v>
      </c>
      <c r="AJ161" s="42">
        <f t="shared" si="69"/>
        <v>0</v>
      </c>
      <c r="AK161" s="42">
        <f t="shared" si="69"/>
        <v>25000000000</v>
      </c>
      <c r="AL161" s="42">
        <f t="shared" si="69"/>
        <v>0</v>
      </c>
      <c r="AM161" s="42">
        <f t="shared" si="69"/>
        <v>118783792889</v>
      </c>
      <c r="AN161" s="42">
        <f t="shared" si="69"/>
        <v>0</v>
      </c>
      <c r="AO161" s="42">
        <f t="shared" si="69"/>
        <v>0</v>
      </c>
      <c r="AP161" s="42">
        <f t="shared" si="69"/>
        <v>0</v>
      </c>
      <c r="AQ161" s="42">
        <f t="shared" si="69"/>
        <v>0</v>
      </c>
      <c r="AR161" s="42">
        <f t="shared" si="69"/>
        <v>0</v>
      </c>
      <c r="AS161" s="42">
        <f t="shared" si="69"/>
        <v>183685925762</v>
      </c>
      <c r="AT161" s="42">
        <f t="shared" si="69"/>
        <v>4000000000</v>
      </c>
      <c r="AU161" s="42">
        <f t="shared" si="69"/>
        <v>4200000000</v>
      </c>
      <c r="AV161" s="42">
        <f t="shared" si="69"/>
        <v>4410000000</v>
      </c>
      <c r="AW161" s="42">
        <f t="shared" si="69"/>
        <v>4520000000</v>
      </c>
      <c r="AX161" s="42">
        <f t="shared" si="69"/>
        <v>17130000000</v>
      </c>
      <c r="AY161" s="42">
        <f t="shared" si="69"/>
        <v>258812939100.67175</v>
      </c>
    </row>
    <row r="162" spans="1:51" ht="105">
      <c r="B162" s="28">
        <v>6</v>
      </c>
      <c r="C162" s="92" t="s">
        <v>2616</v>
      </c>
      <c r="D162" s="92"/>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8"/>
      <c r="AT162" s="38"/>
      <c r="AU162" s="38"/>
      <c r="AV162" s="38"/>
      <c r="AW162" s="38"/>
      <c r="AX162" s="38"/>
      <c r="AY162" s="38"/>
    </row>
    <row r="163" spans="1:51" ht="105">
      <c r="B163" s="29" t="s">
        <v>747</v>
      </c>
      <c r="C163" s="88" t="s">
        <v>2617</v>
      </c>
      <c r="D163" s="88"/>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row>
    <row r="164" spans="1:51" ht="66">
      <c r="A164">
        <v>88</v>
      </c>
      <c r="B164" s="30" t="s">
        <v>2618</v>
      </c>
      <c r="C164" s="31" t="s">
        <v>2619</v>
      </c>
      <c r="D164" s="32" t="s">
        <v>2475</v>
      </c>
      <c r="E164" s="40"/>
      <c r="F164" s="40"/>
      <c r="G164" s="40"/>
      <c r="H164" s="40"/>
      <c r="I164" s="40">
        <f t="shared" si="53"/>
        <v>0</v>
      </c>
      <c r="J164" s="40">
        <v>0</v>
      </c>
      <c r="K164" s="40">
        <v>0</v>
      </c>
      <c r="L164" s="40">
        <v>0</v>
      </c>
      <c r="M164" s="40">
        <v>0</v>
      </c>
      <c r="N164" s="40">
        <f t="shared" si="54"/>
        <v>0</v>
      </c>
      <c r="O164" s="40"/>
      <c r="P164" s="40"/>
      <c r="Q164" s="40"/>
      <c r="R164" s="40"/>
      <c r="S164" s="40">
        <f t="shared" si="55"/>
        <v>0</v>
      </c>
      <c r="T164" s="40">
        <v>95202523.25</v>
      </c>
      <c r="U164" s="40">
        <v>427623029</v>
      </c>
      <c r="V164" s="40">
        <v>469750000</v>
      </c>
      <c r="W164" s="40">
        <v>583975636.5</v>
      </c>
      <c r="X164" s="40">
        <f t="shared" si="56"/>
        <v>1576551188.75</v>
      </c>
      <c r="Y164" s="40"/>
      <c r="Z164" s="40"/>
      <c r="AA164" s="40"/>
      <c r="AB164" s="40"/>
      <c r="AC164" s="40">
        <f t="shared" si="57"/>
        <v>0</v>
      </c>
      <c r="AD164" s="40"/>
      <c r="AE164" s="40"/>
      <c r="AF164" s="40"/>
      <c r="AG164" s="40"/>
      <c r="AH164" s="40">
        <f t="shared" si="58"/>
        <v>0</v>
      </c>
      <c r="AI164" s="40"/>
      <c r="AJ164" s="40"/>
      <c r="AK164" s="40"/>
      <c r="AL164" s="40"/>
      <c r="AM164" s="40">
        <f t="shared" si="59"/>
        <v>0</v>
      </c>
      <c r="AN164" s="40"/>
      <c r="AO164" s="40"/>
      <c r="AP164" s="40"/>
      <c r="AQ164" s="40"/>
      <c r="AR164" s="40">
        <f t="shared" si="60"/>
        <v>0</v>
      </c>
      <c r="AS164" s="40">
        <f t="shared" si="42"/>
        <v>1576551188.75</v>
      </c>
      <c r="AT164" s="40"/>
      <c r="AU164" s="40"/>
      <c r="AV164" s="40"/>
      <c r="AW164" s="40"/>
      <c r="AX164" s="40">
        <f t="shared" si="61"/>
        <v>0</v>
      </c>
      <c r="AY164" s="40">
        <f t="shared" si="62"/>
        <v>1576551188.75</v>
      </c>
    </row>
    <row r="165" spans="1:51" ht="52.8">
      <c r="A165">
        <v>89</v>
      </c>
      <c r="B165" s="30" t="s">
        <v>2620</v>
      </c>
      <c r="C165" s="31" t="s">
        <v>2621</v>
      </c>
      <c r="D165" s="32" t="s">
        <v>2475</v>
      </c>
      <c r="E165" s="40"/>
      <c r="F165" s="40"/>
      <c r="G165" s="40"/>
      <c r="H165" s="40"/>
      <c r="I165" s="40">
        <f t="shared" si="53"/>
        <v>0</v>
      </c>
      <c r="J165" s="40">
        <v>0</v>
      </c>
      <c r="K165" s="40">
        <v>0</v>
      </c>
      <c r="L165" s="40">
        <v>0</v>
      </c>
      <c r="M165" s="40">
        <v>0</v>
      </c>
      <c r="N165" s="40">
        <f t="shared" si="54"/>
        <v>0</v>
      </c>
      <c r="O165" s="40"/>
      <c r="P165" s="40"/>
      <c r="Q165" s="40"/>
      <c r="R165" s="40"/>
      <c r="S165" s="40">
        <f t="shared" si="55"/>
        <v>0</v>
      </c>
      <c r="T165" s="40">
        <v>95202523.25</v>
      </c>
      <c r="U165" s="40">
        <v>427623029</v>
      </c>
      <c r="V165" s="40">
        <v>469750000</v>
      </c>
      <c r="W165" s="40">
        <v>583975636.5</v>
      </c>
      <c r="X165" s="40">
        <f t="shared" si="56"/>
        <v>1576551188.75</v>
      </c>
      <c r="Y165" s="40"/>
      <c r="Z165" s="40"/>
      <c r="AA165" s="40"/>
      <c r="AB165" s="40"/>
      <c r="AC165" s="40">
        <f t="shared" si="57"/>
        <v>0</v>
      </c>
      <c r="AD165" s="40"/>
      <c r="AE165" s="40"/>
      <c r="AF165" s="40"/>
      <c r="AG165" s="40"/>
      <c r="AH165" s="40">
        <f t="shared" si="58"/>
        <v>0</v>
      </c>
      <c r="AI165" s="40"/>
      <c r="AJ165" s="40"/>
      <c r="AK165" s="40"/>
      <c r="AL165" s="40"/>
      <c r="AM165" s="40">
        <f t="shared" si="59"/>
        <v>0</v>
      </c>
      <c r="AN165" s="40"/>
      <c r="AO165" s="40"/>
      <c r="AP165" s="40"/>
      <c r="AQ165" s="40"/>
      <c r="AR165" s="40">
        <f t="shared" si="60"/>
        <v>0</v>
      </c>
      <c r="AS165" s="40">
        <f t="shared" si="42"/>
        <v>1576551188.75</v>
      </c>
      <c r="AT165" s="40"/>
      <c r="AU165" s="40"/>
      <c r="AV165" s="40"/>
      <c r="AW165" s="40"/>
      <c r="AX165" s="40">
        <f t="shared" si="61"/>
        <v>0</v>
      </c>
      <c r="AY165" s="40">
        <f t="shared" si="62"/>
        <v>1576551188.75</v>
      </c>
    </row>
    <row r="166" spans="1:51" ht="52.8">
      <c r="A166">
        <v>90</v>
      </c>
      <c r="B166" s="30" t="s">
        <v>2622</v>
      </c>
      <c r="C166" s="31" t="s">
        <v>2623</v>
      </c>
      <c r="D166" s="32" t="s">
        <v>2475</v>
      </c>
      <c r="E166" s="40"/>
      <c r="F166" s="40"/>
      <c r="G166" s="40"/>
      <c r="H166" s="40"/>
      <c r="I166" s="40">
        <f t="shared" si="53"/>
        <v>0</v>
      </c>
      <c r="J166" s="40">
        <v>0</v>
      </c>
      <c r="K166" s="40">
        <v>0</v>
      </c>
      <c r="L166" s="40">
        <v>0</v>
      </c>
      <c r="M166" s="40">
        <v>0</v>
      </c>
      <c r="N166" s="40">
        <f t="shared" si="54"/>
        <v>0</v>
      </c>
      <c r="O166" s="40"/>
      <c r="P166" s="40"/>
      <c r="Q166" s="40"/>
      <c r="R166" s="40"/>
      <c r="S166" s="40">
        <f t="shared" si="55"/>
        <v>0</v>
      </c>
      <c r="T166" s="40">
        <v>95202523.25</v>
      </c>
      <c r="U166" s="40">
        <v>427623029</v>
      </c>
      <c r="V166" s="40">
        <v>469750000</v>
      </c>
      <c r="W166" s="40">
        <v>583975636.5</v>
      </c>
      <c r="X166" s="40">
        <f t="shared" si="56"/>
        <v>1576551188.75</v>
      </c>
      <c r="Y166" s="40"/>
      <c r="Z166" s="40"/>
      <c r="AA166" s="40"/>
      <c r="AB166" s="40"/>
      <c r="AC166" s="40">
        <f t="shared" si="57"/>
        <v>0</v>
      </c>
      <c r="AD166" s="40"/>
      <c r="AE166" s="40"/>
      <c r="AF166" s="40"/>
      <c r="AG166" s="40"/>
      <c r="AH166" s="40">
        <f t="shared" si="58"/>
        <v>0</v>
      </c>
      <c r="AI166" s="40"/>
      <c r="AJ166" s="40"/>
      <c r="AK166" s="40"/>
      <c r="AL166" s="40"/>
      <c r="AM166" s="40">
        <f t="shared" si="59"/>
        <v>0</v>
      </c>
      <c r="AN166" s="40"/>
      <c r="AO166" s="40"/>
      <c r="AP166" s="40"/>
      <c r="AQ166" s="40"/>
      <c r="AR166" s="40">
        <f t="shared" si="60"/>
        <v>0</v>
      </c>
      <c r="AS166" s="40">
        <f t="shared" si="42"/>
        <v>1576551188.75</v>
      </c>
      <c r="AT166" s="40"/>
      <c r="AU166" s="40"/>
      <c r="AV166" s="40"/>
      <c r="AW166" s="40"/>
      <c r="AX166" s="40">
        <f t="shared" si="61"/>
        <v>0</v>
      </c>
      <c r="AY166" s="40">
        <f t="shared" si="62"/>
        <v>1576551188.75</v>
      </c>
    </row>
    <row r="167" spans="1:51" ht="105.6">
      <c r="A167">
        <v>91</v>
      </c>
      <c r="B167" s="30" t="s">
        <v>2624</v>
      </c>
      <c r="C167" s="31" t="s">
        <v>2625</v>
      </c>
      <c r="D167" s="32" t="s">
        <v>2626</v>
      </c>
      <c r="E167" s="40"/>
      <c r="F167" s="40"/>
      <c r="G167" s="40">
        <v>4000000000</v>
      </c>
      <c r="H167" s="40"/>
      <c r="I167" s="40">
        <f t="shared" si="53"/>
        <v>4000000000</v>
      </c>
      <c r="J167" s="40">
        <v>0</v>
      </c>
      <c r="K167" s="40">
        <v>0</v>
      </c>
      <c r="L167" s="40">
        <v>0</v>
      </c>
      <c r="M167" s="40">
        <v>0</v>
      </c>
      <c r="N167" s="40">
        <f t="shared" si="54"/>
        <v>0</v>
      </c>
      <c r="O167" s="40"/>
      <c r="P167" s="40"/>
      <c r="Q167" s="40"/>
      <c r="R167" s="40"/>
      <c r="S167" s="40">
        <f t="shared" si="55"/>
        <v>0</v>
      </c>
      <c r="T167" s="40">
        <v>4100000000</v>
      </c>
      <c r="U167" s="40">
        <v>5035460890.4646196</v>
      </c>
      <c r="V167" s="40">
        <v>5956774736.1012897</v>
      </c>
      <c r="W167" s="40">
        <v>6571571304.8744698</v>
      </c>
      <c r="X167" s="40">
        <f t="shared" si="56"/>
        <v>21663806931.440376</v>
      </c>
      <c r="Y167" s="40"/>
      <c r="Z167" s="40"/>
      <c r="AA167" s="40"/>
      <c r="AB167" s="40"/>
      <c r="AC167" s="40">
        <f t="shared" si="57"/>
        <v>0</v>
      </c>
      <c r="AD167" s="40"/>
      <c r="AE167" s="40"/>
      <c r="AF167" s="40"/>
      <c r="AG167" s="40"/>
      <c r="AH167" s="40">
        <f t="shared" si="58"/>
        <v>0</v>
      </c>
      <c r="AI167" s="40"/>
      <c r="AJ167" s="40"/>
      <c r="AK167" s="40"/>
      <c r="AL167" s="40"/>
      <c r="AM167" s="40">
        <f t="shared" si="59"/>
        <v>0</v>
      </c>
      <c r="AN167" s="40"/>
      <c r="AO167" s="40"/>
      <c r="AP167" s="40"/>
      <c r="AQ167" s="40"/>
      <c r="AR167" s="40">
        <f t="shared" si="60"/>
        <v>0</v>
      </c>
      <c r="AS167" s="40">
        <f t="shared" si="42"/>
        <v>21663806931.440376</v>
      </c>
      <c r="AT167" s="40"/>
      <c r="AU167" s="40"/>
      <c r="AV167" s="40"/>
      <c r="AW167" s="40"/>
      <c r="AX167" s="40">
        <f t="shared" si="61"/>
        <v>0</v>
      </c>
      <c r="AY167" s="40">
        <f t="shared" si="62"/>
        <v>25663806931.440376</v>
      </c>
    </row>
    <row r="168" spans="1:51" ht="92.4">
      <c r="A168">
        <v>92</v>
      </c>
      <c r="B168" s="30" t="s">
        <v>2627</v>
      </c>
      <c r="C168" s="31" t="s">
        <v>2628</v>
      </c>
      <c r="D168" s="32" t="s">
        <v>2629</v>
      </c>
      <c r="E168" s="40"/>
      <c r="F168" s="40"/>
      <c r="G168" s="40"/>
      <c r="H168" s="40"/>
      <c r="I168" s="40">
        <f t="shared" si="53"/>
        <v>0</v>
      </c>
      <c r="J168" s="40">
        <v>0</v>
      </c>
      <c r="K168" s="40">
        <v>0</v>
      </c>
      <c r="L168" s="40">
        <v>0</v>
      </c>
      <c r="M168" s="40">
        <v>0</v>
      </c>
      <c r="N168" s="40">
        <f t="shared" si="54"/>
        <v>0</v>
      </c>
      <c r="O168" s="40">
        <v>3900000000</v>
      </c>
      <c r="P168" s="40">
        <v>2575000000</v>
      </c>
      <c r="Q168" s="40">
        <v>2652250000</v>
      </c>
      <c r="R168" s="40">
        <v>2758340000</v>
      </c>
      <c r="S168" s="40">
        <f t="shared" si="55"/>
        <v>11885590000</v>
      </c>
      <c r="T168" s="40">
        <v>1500000000</v>
      </c>
      <c r="U168" s="40">
        <v>4789828652</v>
      </c>
      <c r="V168" s="40">
        <v>5666200359</v>
      </c>
      <c r="W168" s="40">
        <v>6251006851</v>
      </c>
      <c r="X168" s="40">
        <f t="shared" si="56"/>
        <v>18207035862</v>
      </c>
      <c r="Y168" s="40"/>
      <c r="Z168" s="40"/>
      <c r="AA168" s="40"/>
      <c r="AB168" s="40"/>
      <c r="AC168" s="40">
        <f t="shared" si="57"/>
        <v>0</v>
      </c>
      <c r="AD168" s="40"/>
      <c r="AE168" s="40"/>
      <c r="AF168" s="40"/>
      <c r="AG168" s="40"/>
      <c r="AH168" s="40">
        <f t="shared" si="58"/>
        <v>0</v>
      </c>
      <c r="AI168" s="40"/>
      <c r="AJ168" s="40"/>
      <c r="AK168" s="40"/>
      <c r="AL168" s="40"/>
      <c r="AM168" s="40">
        <f t="shared" si="59"/>
        <v>0</v>
      </c>
      <c r="AN168" s="40"/>
      <c r="AO168" s="40"/>
      <c r="AP168" s="40"/>
      <c r="AQ168" s="40"/>
      <c r="AR168" s="40">
        <f t="shared" si="60"/>
        <v>0</v>
      </c>
      <c r="AS168" s="40">
        <f t="shared" si="42"/>
        <v>30092625862</v>
      </c>
      <c r="AT168" s="40"/>
      <c r="AU168" s="40"/>
      <c r="AV168" s="40"/>
      <c r="AW168" s="40"/>
      <c r="AX168" s="40">
        <f t="shared" si="61"/>
        <v>0</v>
      </c>
      <c r="AY168" s="40">
        <f t="shared" si="62"/>
        <v>30092625862</v>
      </c>
    </row>
    <row r="169" spans="1:51" ht="79.2">
      <c r="A169">
        <v>93</v>
      </c>
      <c r="B169" s="30" t="s">
        <v>2630</v>
      </c>
      <c r="C169" s="31" t="s">
        <v>2631</v>
      </c>
      <c r="D169" s="32" t="s">
        <v>2632</v>
      </c>
      <c r="E169" s="40"/>
      <c r="F169" s="40"/>
      <c r="G169" s="40"/>
      <c r="H169" s="40"/>
      <c r="I169" s="40">
        <f t="shared" si="53"/>
        <v>0</v>
      </c>
      <c r="J169" s="40">
        <v>0</v>
      </c>
      <c r="K169" s="40">
        <v>0</v>
      </c>
      <c r="L169" s="40">
        <v>0</v>
      </c>
      <c r="M169" s="40">
        <v>0</v>
      </c>
      <c r="N169" s="40">
        <f t="shared" si="54"/>
        <v>0</v>
      </c>
      <c r="O169" s="40"/>
      <c r="P169" s="40"/>
      <c r="Q169" s="40"/>
      <c r="R169" s="40"/>
      <c r="S169" s="40">
        <f t="shared" si="55"/>
        <v>0</v>
      </c>
      <c r="T169" s="40">
        <v>2500000000</v>
      </c>
      <c r="U169" s="40">
        <v>3070402982</v>
      </c>
      <c r="V169" s="40">
        <v>3632179717</v>
      </c>
      <c r="W169" s="40">
        <v>4007055674</v>
      </c>
      <c r="X169" s="40">
        <f t="shared" si="56"/>
        <v>13209638373</v>
      </c>
      <c r="Y169" s="40"/>
      <c r="Z169" s="40"/>
      <c r="AA169" s="40"/>
      <c r="AB169" s="40"/>
      <c r="AC169" s="40">
        <f t="shared" si="57"/>
        <v>0</v>
      </c>
      <c r="AD169" s="40"/>
      <c r="AE169" s="40"/>
      <c r="AF169" s="40"/>
      <c r="AG169" s="40"/>
      <c r="AH169" s="40">
        <f t="shared" si="58"/>
        <v>0</v>
      </c>
      <c r="AI169" s="40"/>
      <c r="AJ169" s="40"/>
      <c r="AK169" s="40"/>
      <c r="AL169" s="40"/>
      <c r="AM169" s="40">
        <f t="shared" si="59"/>
        <v>0</v>
      </c>
      <c r="AN169" s="40"/>
      <c r="AO169" s="40"/>
      <c r="AP169" s="40"/>
      <c r="AQ169" s="40"/>
      <c r="AR169" s="40">
        <f t="shared" si="60"/>
        <v>0</v>
      </c>
      <c r="AS169" s="40">
        <f t="shared" ref="AS169:AS194" si="70">SUM(AR169+AM169+AH169+AC169+X169+S169+N169)</f>
        <v>13209638373</v>
      </c>
      <c r="AT169" s="40"/>
      <c r="AU169" s="40"/>
      <c r="AV169" s="40"/>
      <c r="AW169" s="40"/>
      <c r="AX169" s="40">
        <f t="shared" si="61"/>
        <v>0</v>
      </c>
      <c r="AY169" s="40">
        <f t="shared" si="62"/>
        <v>13209638373</v>
      </c>
    </row>
    <row r="170" spans="1:51" ht="105.6">
      <c r="A170">
        <v>94</v>
      </c>
      <c r="B170" s="30" t="s">
        <v>2633</v>
      </c>
      <c r="C170" s="31" t="s">
        <v>2634</v>
      </c>
      <c r="D170" s="32" t="s">
        <v>2410</v>
      </c>
      <c r="E170" s="40"/>
      <c r="F170" s="40"/>
      <c r="G170" s="40"/>
      <c r="H170" s="40"/>
      <c r="I170" s="40">
        <f t="shared" si="53"/>
        <v>0</v>
      </c>
      <c r="J170" s="40">
        <v>0</v>
      </c>
      <c r="K170" s="40">
        <v>0</v>
      </c>
      <c r="L170" s="40">
        <v>0</v>
      </c>
      <c r="M170" s="40">
        <v>0</v>
      </c>
      <c r="N170" s="40">
        <f t="shared" si="54"/>
        <v>0</v>
      </c>
      <c r="O170" s="40"/>
      <c r="P170" s="40"/>
      <c r="Q170" s="40"/>
      <c r="R170" s="40"/>
      <c r="S170" s="40">
        <f t="shared" si="55"/>
        <v>0</v>
      </c>
      <c r="T170" s="40">
        <v>150000000</v>
      </c>
      <c r="U170" s="40">
        <v>434224178.77775002</v>
      </c>
      <c r="V170" s="40">
        <v>480430783.11238003</v>
      </c>
      <c r="W170" s="40">
        <v>516048340.68895</v>
      </c>
      <c r="X170" s="40">
        <f t="shared" si="56"/>
        <v>1580703302.5790801</v>
      </c>
      <c r="Y170" s="40"/>
      <c r="Z170" s="40"/>
      <c r="AA170" s="40"/>
      <c r="AB170" s="40"/>
      <c r="AC170" s="40">
        <f t="shared" si="57"/>
        <v>0</v>
      </c>
      <c r="AD170" s="40"/>
      <c r="AE170" s="40"/>
      <c r="AF170" s="40"/>
      <c r="AG170" s="40"/>
      <c r="AH170" s="40">
        <f t="shared" si="58"/>
        <v>0</v>
      </c>
      <c r="AI170" s="40"/>
      <c r="AJ170" s="40"/>
      <c r="AK170" s="40"/>
      <c r="AL170" s="40"/>
      <c r="AM170" s="40">
        <f t="shared" si="59"/>
        <v>0</v>
      </c>
      <c r="AN170" s="40"/>
      <c r="AO170" s="40"/>
      <c r="AP170" s="40"/>
      <c r="AQ170" s="40"/>
      <c r="AR170" s="40">
        <f t="shared" si="60"/>
        <v>0</v>
      </c>
      <c r="AS170" s="40">
        <f t="shared" si="70"/>
        <v>1580703302.5790801</v>
      </c>
      <c r="AT170" s="40"/>
      <c r="AU170" s="40"/>
      <c r="AV170" s="40"/>
      <c r="AW170" s="40"/>
      <c r="AX170" s="40">
        <f t="shared" si="61"/>
        <v>0</v>
      </c>
      <c r="AY170" s="40">
        <f t="shared" si="62"/>
        <v>1580703302.5790801</v>
      </c>
    </row>
    <row r="171" spans="1:51" ht="105.6">
      <c r="A171">
        <v>95</v>
      </c>
      <c r="B171" s="30" t="s">
        <v>2635</v>
      </c>
      <c r="C171" s="31" t="s">
        <v>2146</v>
      </c>
      <c r="D171" s="32" t="s">
        <v>2410</v>
      </c>
      <c r="E171" s="40"/>
      <c r="F171" s="40"/>
      <c r="G171" s="40"/>
      <c r="H171" s="40"/>
      <c r="I171" s="40">
        <f t="shared" si="53"/>
        <v>0</v>
      </c>
      <c r="J171" s="40">
        <v>0</v>
      </c>
      <c r="K171" s="40">
        <v>0</v>
      </c>
      <c r="L171" s="40">
        <v>0</v>
      </c>
      <c r="M171" s="40">
        <v>0</v>
      </c>
      <c r="N171" s="40">
        <f t="shared" si="54"/>
        <v>0</v>
      </c>
      <c r="O171" s="40"/>
      <c r="P171" s="40"/>
      <c r="Q171" s="40"/>
      <c r="R171" s="40"/>
      <c r="S171" s="40">
        <f t="shared" si="55"/>
        <v>0</v>
      </c>
      <c r="T171" s="40">
        <v>150000000</v>
      </c>
      <c r="U171" s="40">
        <v>434224179</v>
      </c>
      <c r="V171" s="40">
        <v>480430783</v>
      </c>
      <c r="W171" s="40">
        <v>516048340</v>
      </c>
      <c r="X171" s="40">
        <f t="shared" si="56"/>
        <v>1580703302</v>
      </c>
      <c r="Y171" s="40"/>
      <c r="Z171" s="40"/>
      <c r="AA171" s="40"/>
      <c r="AB171" s="40"/>
      <c r="AC171" s="40">
        <f t="shared" si="57"/>
        <v>0</v>
      </c>
      <c r="AD171" s="40"/>
      <c r="AE171" s="40"/>
      <c r="AF171" s="40"/>
      <c r="AG171" s="40"/>
      <c r="AH171" s="40">
        <f t="shared" si="58"/>
        <v>0</v>
      </c>
      <c r="AI171" s="40"/>
      <c r="AJ171" s="40"/>
      <c r="AK171" s="40"/>
      <c r="AL171" s="40"/>
      <c r="AM171" s="40">
        <f t="shared" si="59"/>
        <v>0</v>
      </c>
      <c r="AN171" s="40"/>
      <c r="AO171" s="40"/>
      <c r="AP171" s="40"/>
      <c r="AQ171" s="40"/>
      <c r="AR171" s="40">
        <f t="shared" si="60"/>
        <v>0</v>
      </c>
      <c r="AS171" s="40">
        <f t="shared" si="70"/>
        <v>1580703302</v>
      </c>
      <c r="AT171" s="40"/>
      <c r="AU171" s="40"/>
      <c r="AV171" s="40"/>
      <c r="AW171" s="40"/>
      <c r="AX171" s="40">
        <f t="shared" si="61"/>
        <v>0</v>
      </c>
      <c r="AY171" s="40">
        <f t="shared" si="62"/>
        <v>1580703302</v>
      </c>
    </row>
    <row r="172" spans="1:51" ht="79.2">
      <c r="A172">
        <v>96</v>
      </c>
      <c r="B172" s="30" t="s">
        <v>2636</v>
      </c>
      <c r="C172" s="31" t="s">
        <v>2637</v>
      </c>
      <c r="D172" s="32" t="s">
        <v>2410</v>
      </c>
      <c r="E172" s="40"/>
      <c r="F172" s="40"/>
      <c r="G172" s="40"/>
      <c r="H172" s="40"/>
      <c r="I172" s="40">
        <f t="shared" si="53"/>
        <v>0</v>
      </c>
      <c r="J172" s="40">
        <v>0</v>
      </c>
      <c r="K172" s="40">
        <v>0</v>
      </c>
      <c r="L172" s="40">
        <v>0</v>
      </c>
      <c r="M172" s="40">
        <v>0</v>
      </c>
      <c r="N172" s="40">
        <f t="shared" si="54"/>
        <v>0</v>
      </c>
      <c r="O172" s="40"/>
      <c r="P172" s="40"/>
      <c r="Q172" s="40"/>
      <c r="R172" s="40"/>
      <c r="S172" s="40">
        <f t="shared" si="55"/>
        <v>0</v>
      </c>
      <c r="T172" s="40">
        <v>150000000</v>
      </c>
      <c r="U172" s="40">
        <v>434224179</v>
      </c>
      <c r="V172" s="40">
        <v>480430783</v>
      </c>
      <c r="W172" s="40">
        <v>516048340</v>
      </c>
      <c r="X172" s="40">
        <f t="shared" si="56"/>
        <v>1580703302</v>
      </c>
      <c r="Y172" s="40"/>
      <c r="Z172" s="40"/>
      <c r="AA172" s="40"/>
      <c r="AB172" s="40"/>
      <c r="AC172" s="40">
        <f t="shared" si="57"/>
        <v>0</v>
      </c>
      <c r="AD172" s="40"/>
      <c r="AE172" s="40"/>
      <c r="AF172" s="40"/>
      <c r="AG172" s="40"/>
      <c r="AH172" s="40">
        <f t="shared" si="58"/>
        <v>0</v>
      </c>
      <c r="AI172" s="40"/>
      <c r="AJ172" s="40"/>
      <c r="AK172" s="40"/>
      <c r="AL172" s="40"/>
      <c r="AM172" s="40">
        <f t="shared" si="59"/>
        <v>0</v>
      </c>
      <c r="AN172" s="40"/>
      <c r="AO172" s="40"/>
      <c r="AP172" s="40"/>
      <c r="AQ172" s="40"/>
      <c r="AR172" s="40">
        <f t="shared" si="60"/>
        <v>0</v>
      </c>
      <c r="AS172" s="40">
        <f t="shared" si="70"/>
        <v>1580703302</v>
      </c>
      <c r="AT172" s="40"/>
      <c r="AU172" s="40"/>
      <c r="AV172" s="40"/>
      <c r="AW172" s="40"/>
      <c r="AX172" s="40">
        <f t="shared" si="61"/>
        <v>0</v>
      </c>
      <c r="AY172" s="40">
        <f t="shared" si="62"/>
        <v>1580703302</v>
      </c>
    </row>
    <row r="173" spans="1:51" ht="66">
      <c r="A173">
        <v>97</v>
      </c>
      <c r="B173" s="30" t="s">
        <v>2638</v>
      </c>
      <c r="C173" s="31" t="s">
        <v>2158</v>
      </c>
      <c r="D173" s="32" t="s">
        <v>2410</v>
      </c>
      <c r="E173" s="40"/>
      <c r="F173" s="40"/>
      <c r="G173" s="40"/>
      <c r="H173" s="40"/>
      <c r="I173" s="40">
        <f t="shared" si="53"/>
        <v>0</v>
      </c>
      <c r="J173" s="40">
        <v>0</v>
      </c>
      <c r="K173" s="40">
        <v>0</v>
      </c>
      <c r="L173" s="40">
        <v>0</v>
      </c>
      <c r="M173" s="40">
        <v>0</v>
      </c>
      <c r="N173" s="40">
        <f t="shared" si="54"/>
        <v>0</v>
      </c>
      <c r="O173" s="40"/>
      <c r="P173" s="40"/>
      <c r="Q173" s="40"/>
      <c r="R173" s="40"/>
      <c r="S173" s="40">
        <f t="shared" si="55"/>
        <v>0</v>
      </c>
      <c r="T173" s="40">
        <v>150000000</v>
      </c>
      <c r="U173" s="40">
        <v>434224179</v>
      </c>
      <c r="V173" s="40">
        <v>480430783</v>
      </c>
      <c r="W173" s="40">
        <v>516048340</v>
      </c>
      <c r="X173" s="40">
        <f t="shared" si="56"/>
        <v>1580703302</v>
      </c>
      <c r="Y173" s="40"/>
      <c r="Z173" s="40"/>
      <c r="AA173" s="40"/>
      <c r="AB173" s="40"/>
      <c r="AC173" s="40">
        <f t="shared" si="57"/>
        <v>0</v>
      </c>
      <c r="AD173" s="40"/>
      <c r="AE173" s="40"/>
      <c r="AF173" s="40"/>
      <c r="AG173" s="40"/>
      <c r="AH173" s="40">
        <f t="shared" si="58"/>
        <v>0</v>
      </c>
      <c r="AI173" s="40"/>
      <c r="AJ173" s="40"/>
      <c r="AK173" s="40"/>
      <c r="AL173" s="40"/>
      <c r="AM173" s="40">
        <f t="shared" si="59"/>
        <v>0</v>
      </c>
      <c r="AN173" s="40"/>
      <c r="AO173" s="40"/>
      <c r="AP173" s="40"/>
      <c r="AQ173" s="40"/>
      <c r="AR173" s="40">
        <f t="shared" si="60"/>
        <v>0</v>
      </c>
      <c r="AS173" s="40">
        <f t="shared" si="70"/>
        <v>1580703302</v>
      </c>
      <c r="AT173" s="40"/>
      <c r="AU173" s="40"/>
      <c r="AV173" s="40"/>
      <c r="AW173" s="40"/>
      <c r="AX173" s="40">
        <f t="shared" si="61"/>
        <v>0</v>
      </c>
      <c r="AY173" s="40">
        <f t="shared" si="62"/>
        <v>1580703302</v>
      </c>
    </row>
    <row r="174" spans="1:51" ht="105.6">
      <c r="A174">
        <v>98</v>
      </c>
      <c r="B174" s="30" t="s">
        <v>2639</v>
      </c>
      <c r="C174" s="31" t="s">
        <v>2640</v>
      </c>
      <c r="D174" s="32" t="s">
        <v>2475</v>
      </c>
      <c r="E174" s="40">
        <v>657737017</v>
      </c>
      <c r="F174" s="40">
        <v>177185680</v>
      </c>
      <c r="G174" s="40">
        <v>182501250</v>
      </c>
      <c r="H174" s="40">
        <v>187976288</v>
      </c>
      <c r="I174" s="40">
        <f t="shared" si="53"/>
        <v>1205400235</v>
      </c>
      <c r="J174" s="40">
        <v>0</v>
      </c>
      <c r="K174" s="40">
        <v>0</v>
      </c>
      <c r="L174" s="40">
        <v>0</v>
      </c>
      <c r="M174" s="40">
        <v>0</v>
      </c>
      <c r="N174" s="40">
        <f t="shared" si="54"/>
        <v>0</v>
      </c>
      <c r="O174" s="40"/>
      <c r="P174" s="40"/>
      <c r="Q174" s="40"/>
      <c r="R174" s="40"/>
      <c r="S174" s="40">
        <f t="shared" si="55"/>
        <v>0</v>
      </c>
      <c r="T174" s="40">
        <v>95202523.25</v>
      </c>
      <c r="U174" s="40">
        <v>427623029</v>
      </c>
      <c r="V174" s="40">
        <v>469750000</v>
      </c>
      <c r="W174" s="40">
        <v>583975636.5</v>
      </c>
      <c r="X174" s="40">
        <f t="shared" si="56"/>
        <v>1576551188.75</v>
      </c>
      <c r="Y174" s="40"/>
      <c r="Z174" s="40"/>
      <c r="AA174" s="40"/>
      <c r="AB174" s="40"/>
      <c r="AC174" s="40">
        <f t="shared" si="57"/>
        <v>0</v>
      </c>
      <c r="AD174" s="40"/>
      <c r="AE174" s="40"/>
      <c r="AF174" s="40"/>
      <c r="AG174" s="40"/>
      <c r="AH174" s="40">
        <f t="shared" si="58"/>
        <v>0</v>
      </c>
      <c r="AI174" s="40"/>
      <c r="AJ174" s="40"/>
      <c r="AK174" s="40"/>
      <c r="AL174" s="40"/>
      <c r="AM174" s="40">
        <f t="shared" si="59"/>
        <v>0</v>
      </c>
      <c r="AN174" s="40"/>
      <c r="AO174" s="40"/>
      <c r="AP174" s="40"/>
      <c r="AQ174" s="40"/>
      <c r="AR174" s="40">
        <f t="shared" si="60"/>
        <v>0</v>
      </c>
      <c r="AS174" s="40">
        <f t="shared" si="70"/>
        <v>1576551188.75</v>
      </c>
      <c r="AT174" s="40"/>
      <c r="AU174" s="40"/>
      <c r="AV174" s="40"/>
      <c r="AW174" s="40"/>
      <c r="AX174" s="40">
        <f t="shared" si="61"/>
        <v>0</v>
      </c>
      <c r="AY174" s="40">
        <f t="shared" si="62"/>
        <v>2781951423.75</v>
      </c>
    </row>
    <row r="175" spans="1:51" ht="105.6">
      <c r="A175">
        <v>99</v>
      </c>
      <c r="B175" s="30" t="s">
        <v>2641</v>
      </c>
      <c r="C175" s="31" t="s">
        <v>2642</v>
      </c>
      <c r="D175" s="32" t="s">
        <v>2643</v>
      </c>
      <c r="E175" s="40"/>
      <c r="F175" s="40"/>
      <c r="G175" s="40"/>
      <c r="H175" s="40"/>
      <c r="I175" s="40">
        <f t="shared" si="53"/>
        <v>0</v>
      </c>
      <c r="J175" s="40">
        <v>0</v>
      </c>
      <c r="K175" s="40">
        <v>0</v>
      </c>
      <c r="L175" s="40">
        <v>0</v>
      </c>
      <c r="M175" s="40">
        <v>0</v>
      </c>
      <c r="N175" s="40">
        <f t="shared" si="54"/>
        <v>0</v>
      </c>
      <c r="O175" s="40"/>
      <c r="P175" s="40"/>
      <c r="Q175" s="40"/>
      <c r="R175" s="40"/>
      <c r="S175" s="40">
        <f t="shared" si="55"/>
        <v>0</v>
      </c>
      <c r="T175" s="40">
        <v>1300000000</v>
      </c>
      <c r="U175" s="40">
        <v>1842241789.19437</v>
      </c>
      <c r="V175" s="40">
        <v>2179307830.2809601</v>
      </c>
      <c r="W175" s="40">
        <v>2404233404.2223701</v>
      </c>
      <c r="X175" s="40">
        <f t="shared" si="56"/>
        <v>7725783023.6977005</v>
      </c>
      <c r="Y175" s="40"/>
      <c r="Z175" s="40"/>
      <c r="AA175" s="40"/>
      <c r="AB175" s="40"/>
      <c r="AC175" s="40">
        <f t="shared" si="57"/>
        <v>0</v>
      </c>
      <c r="AD175" s="40"/>
      <c r="AE175" s="40"/>
      <c r="AF175" s="40"/>
      <c r="AG175" s="40"/>
      <c r="AH175" s="40">
        <f t="shared" si="58"/>
        <v>0</v>
      </c>
      <c r="AI175" s="40"/>
      <c r="AJ175" s="40"/>
      <c r="AK175" s="40"/>
      <c r="AL175" s="40"/>
      <c r="AM175" s="40">
        <f t="shared" si="59"/>
        <v>0</v>
      </c>
      <c r="AN175" s="40"/>
      <c r="AO175" s="40"/>
      <c r="AP175" s="40"/>
      <c r="AQ175" s="40"/>
      <c r="AR175" s="40">
        <f t="shared" si="60"/>
        <v>0</v>
      </c>
      <c r="AS175" s="40">
        <f t="shared" si="70"/>
        <v>7725783023.6977005</v>
      </c>
      <c r="AT175" s="40"/>
      <c r="AU175" s="40"/>
      <c r="AV175" s="40"/>
      <c r="AW175" s="40"/>
      <c r="AX175" s="40">
        <f t="shared" si="61"/>
        <v>0</v>
      </c>
      <c r="AY175" s="40">
        <f t="shared" si="62"/>
        <v>7725783023.6977005</v>
      </c>
    </row>
    <row r="176" spans="1:51" ht="79.2">
      <c r="A176">
        <v>100</v>
      </c>
      <c r="B176" s="30" t="s">
        <v>2644</v>
      </c>
      <c r="C176" s="31" t="s">
        <v>2645</v>
      </c>
      <c r="D176" s="32" t="s">
        <v>2646</v>
      </c>
      <c r="E176" s="40"/>
      <c r="F176" s="40"/>
      <c r="G176" s="40"/>
      <c r="H176" s="40"/>
      <c r="I176" s="40">
        <f t="shared" si="53"/>
        <v>0</v>
      </c>
      <c r="J176" s="40">
        <v>0</v>
      </c>
      <c r="K176" s="40">
        <v>0</v>
      </c>
      <c r="L176" s="40">
        <v>0</v>
      </c>
      <c r="M176" s="40">
        <v>0</v>
      </c>
      <c r="N176" s="40">
        <f t="shared" si="54"/>
        <v>0</v>
      </c>
      <c r="O176" s="40"/>
      <c r="P176" s="40"/>
      <c r="Q176" s="40"/>
      <c r="R176" s="40"/>
      <c r="S176" s="40">
        <f t="shared" si="55"/>
        <v>0</v>
      </c>
      <c r="T176" s="40">
        <v>150000000</v>
      </c>
      <c r="U176" s="40">
        <v>184224178.91943699</v>
      </c>
      <c r="V176" s="40">
        <v>217930783.02809599</v>
      </c>
      <c r="W176" s="40">
        <v>240423340.42223701</v>
      </c>
      <c r="X176" s="40">
        <f t="shared" si="56"/>
        <v>792578302.36977005</v>
      </c>
      <c r="Y176" s="40"/>
      <c r="Z176" s="40"/>
      <c r="AA176" s="40"/>
      <c r="AB176" s="40"/>
      <c r="AC176" s="40">
        <f t="shared" si="57"/>
        <v>0</v>
      </c>
      <c r="AD176" s="40"/>
      <c r="AE176" s="40"/>
      <c r="AF176" s="40"/>
      <c r="AG176" s="40"/>
      <c r="AH176" s="40">
        <f t="shared" si="58"/>
        <v>0</v>
      </c>
      <c r="AI176" s="40"/>
      <c r="AJ176" s="40"/>
      <c r="AK176" s="40"/>
      <c r="AL176" s="40"/>
      <c r="AM176" s="40">
        <f t="shared" si="59"/>
        <v>0</v>
      </c>
      <c r="AN176" s="40"/>
      <c r="AO176" s="40"/>
      <c r="AP176" s="40"/>
      <c r="AQ176" s="40"/>
      <c r="AR176" s="40">
        <f t="shared" si="60"/>
        <v>0</v>
      </c>
      <c r="AS176" s="40">
        <f t="shared" si="70"/>
        <v>792578302.36977005</v>
      </c>
      <c r="AT176" s="40"/>
      <c r="AU176" s="40"/>
      <c r="AV176" s="40"/>
      <c r="AW176" s="40"/>
      <c r="AX176" s="40">
        <f t="shared" si="61"/>
        <v>0</v>
      </c>
      <c r="AY176" s="40">
        <f t="shared" si="62"/>
        <v>792578302.36977005</v>
      </c>
    </row>
    <row r="177" spans="1:51" ht="92.4">
      <c r="A177">
        <v>101</v>
      </c>
      <c r="B177" s="30" t="s">
        <v>2647</v>
      </c>
      <c r="C177" s="31" t="s">
        <v>2648</v>
      </c>
      <c r="D177" s="32" t="s">
        <v>2649</v>
      </c>
      <c r="E177" s="40"/>
      <c r="F177" s="40"/>
      <c r="G177" s="40"/>
      <c r="H177" s="40"/>
      <c r="I177" s="40">
        <f t="shared" si="53"/>
        <v>0</v>
      </c>
      <c r="J177" s="40">
        <v>0</v>
      </c>
      <c r="K177" s="40">
        <v>0</v>
      </c>
      <c r="L177" s="40">
        <v>0</v>
      </c>
      <c r="M177" s="40">
        <v>0</v>
      </c>
      <c r="N177" s="40">
        <f t="shared" si="54"/>
        <v>0</v>
      </c>
      <c r="O177" s="40"/>
      <c r="P177" s="40"/>
      <c r="Q177" s="40"/>
      <c r="R177" s="40"/>
      <c r="S177" s="40">
        <f t="shared" si="55"/>
        <v>0</v>
      </c>
      <c r="T177" s="40">
        <v>150000000</v>
      </c>
      <c r="U177" s="40">
        <v>184224178.91943699</v>
      </c>
      <c r="V177" s="40">
        <v>217930783.02809599</v>
      </c>
      <c r="W177" s="40">
        <v>240423340.42223701</v>
      </c>
      <c r="X177" s="40">
        <f t="shared" si="56"/>
        <v>792578302.36977005</v>
      </c>
      <c r="Y177" s="40"/>
      <c r="Z177" s="40"/>
      <c r="AA177" s="40"/>
      <c r="AB177" s="40"/>
      <c r="AC177" s="40">
        <f t="shared" si="57"/>
        <v>0</v>
      </c>
      <c r="AD177" s="40"/>
      <c r="AE177" s="40"/>
      <c r="AF177" s="40"/>
      <c r="AG177" s="40"/>
      <c r="AH177" s="40">
        <f t="shared" si="58"/>
        <v>0</v>
      </c>
      <c r="AI177" s="40"/>
      <c r="AJ177" s="40"/>
      <c r="AK177" s="40"/>
      <c r="AL177" s="40"/>
      <c r="AM177" s="40">
        <f t="shared" si="59"/>
        <v>0</v>
      </c>
      <c r="AN177" s="40"/>
      <c r="AO177" s="40"/>
      <c r="AP177" s="40"/>
      <c r="AQ177" s="40"/>
      <c r="AR177" s="40">
        <f t="shared" si="60"/>
        <v>0</v>
      </c>
      <c r="AS177" s="40">
        <f t="shared" si="70"/>
        <v>792578302.36977005</v>
      </c>
      <c r="AT177" s="40"/>
      <c r="AU177" s="40"/>
      <c r="AV177" s="40"/>
      <c r="AW177" s="40"/>
      <c r="AX177" s="40">
        <f t="shared" si="61"/>
        <v>0</v>
      </c>
      <c r="AY177" s="40">
        <f t="shared" si="62"/>
        <v>792578302.36977005</v>
      </c>
    </row>
    <row r="178" spans="1:51" ht="82.8">
      <c r="B178" s="89" t="s">
        <v>2650</v>
      </c>
      <c r="C178" s="89"/>
      <c r="D178" s="89"/>
      <c r="E178" s="41">
        <f>SUM(E164:E177)</f>
        <v>657737017</v>
      </c>
      <c r="F178" s="41">
        <f t="shared" ref="F178:AX178" si="71">SUM(F164:F177)</f>
        <v>177185680</v>
      </c>
      <c r="G178" s="41">
        <f t="shared" si="71"/>
        <v>4182501250</v>
      </c>
      <c r="H178" s="41">
        <f t="shared" si="71"/>
        <v>187976288</v>
      </c>
      <c r="I178" s="41">
        <f t="shared" si="71"/>
        <v>5205400235</v>
      </c>
      <c r="J178" s="41">
        <f t="shared" si="71"/>
        <v>0</v>
      </c>
      <c r="K178" s="41">
        <f t="shared" si="71"/>
        <v>0</v>
      </c>
      <c r="L178" s="41">
        <f t="shared" si="71"/>
        <v>0</v>
      </c>
      <c r="M178" s="41">
        <f t="shared" si="71"/>
        <v>0</v>
      </c>
      <c r="N178" s="41">
        <f t="shared" si="71"/>
        <v>0</v>
      </c>
      <c r="O178" s="41">
        <f t="shared" si="71"/>
        <v>3900000000</v>
      </c>
      <c r="P178" s="41">
        <f t="shared" si="71"/>
        <v>2575000000</v>
      </c>
      <c r="Q178" s="41">
        <f t="shared" si="71"/>
        <v>2652250000</v>
      </c>
      <c r="R178" s="41">
        <f t="shared" si="71"/>
        <v>2758340000</v>
      </c>
      <c r="S178" s="41">
        <f t="shared" si="71"/>
        <v>11885590000</v>
      </c>
      <c r="T178" s="41">
        <f t="shared" si="71"/>
        <v>10680810093</v>
      </c>
      <c r="U178" s="41">
        <f t="shared" si="71"/>
        <v>18553771503.275612</v>
      </c>
      <c r="V178" s="41">
        <f t="shared" si="71"/>
        <v>21671047340.550819</v>
      </c>
      <c r="W178" s="41">
        <f t="shared" si="71"/>
        <v>24114809821.630264</v>
      </c>
      <c r="X178" s="41">
        <f t="shared" si="71"/>
        <v>75020438758.456696</v>
      </c>
      <c r="Y178" s="41">
        <f t="shared" si="71"/>
        <v>0</v>
      </c>
      <c r="Z178" s="41">
        <f t="shared" si="71"/>
        <v>0</v>
      </c>
      <c r="AA178" s="41">
        <f t="shared" si="71"/>
        <v>0</v>
      </c>
      <c r="AB178" s="41">
        <f t="shared" si="71"/>
        <v>0</v>
      </c>
      <c r="AC178" s="41">
        <f t="shared" si="71"/>
        <v>0</v>
      </c>
      <c r="AD178" s="41">
        <f t="shared" si="71"/>
        <v>0</v>
      </c>
      <c r="AE178" s="41">
        <f t="shared" si="71"/>
        <v>0</v>
      </c>
      <c r="AF178" s="41">
        <f t="shared" si="71"/>
        <v>0</v>
      </c>
      <c r="AG178" s="41">
        <f t="shared" si="71"/>
        <v>0</v>
      </c>
      <c r="AH178" s="41">
        <f t="shared" si="71"/>
        <v>0</v>
      </c>
      <c r="AI178" s="41">
        <f t="shared" si="71"/>
        <v>0</v>
      </c>
      <c r="AJ178" s="41">
        <f t="shared" si="71"/>
        <v>0</v>
      </c>
      <c r="AK178" s="41">
        <f t="shared" si="71"/>
        <v>0</v>
      </c>
      <c r="AL178" s="41">
        <f t="shared" si="71"/>
        <v>0</v>
      </c>
      <c r="AM178" s="41">
        <f t="shared" si="71"/>
        <v>0</v>
      </c>
      <c r="AN178" s="41">
        <f t="shared" si="71"/>
        <v>0</v>
      </c>
      <c r="AO178" s="41">
        <f t="shared" si="71"/>
        <v>0</v>
      </c>
      <c r="AP178" s="41">
        <f t="shared" si="71"/>
        <v>0</v>
      </c>
      <c r="AQ178" s="41">
        <f t="shared" si="71"/>
        <v>0</v>
      </c>
      <c r="AR178" s="41">
        <f t="shared" si="71"/>
        <v>0</v>
      </c>
      <c r="AS178" s="41">
        <f t="shared" si="70"/>
        <v>86906028758.456696</v>
      </c>
      <c r="AT178" s="41">
        <f t="shared" si="71"/>
        <v>0</v>
      </c>
      <c r="AU178" s="41">
        <f t="shared" si="71"/>
        <v>0</v>
      </c>
      <c r="AV178" s="41">
        <f t="shared" si="71"/>
        <v>0</v>
      </c>
      <c r="AW178" s="41">
        <f t="shared" si="71"/>
        <v>0</v>
      </c>
      <c r="AX178" s="41">
        <f t="shared" si="71"/>
        <v>0</v>
      </c>
      <c r="AY178" s="41">
        <f t="shared" si="62"/>
        <v>92111428993.456696</v>
      </c>
    </row>
    <row r="179" spans="1:51" ht="105">
      <c r="B179" s="29" t="s">
        <v>2651</v>
      </c>
      <c r="C179" s="88" t="s">
        <v>2652</v>
      </c>
      <c r="D179" s="88"/>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row>
    <row r="180" spans="1:51" ht="132">
      <c r="A180">
        <v>102</v>
      </c>
      <c r="B180" s="30" t="s">
        <v>2653</v>
      </c>
      <c r="C180" s="31" t="s">
        <v>2209</v>
      </c>
      <c r="D180" s="32" t="s">
        <v>2654</v>
      </c>
      <c r="E180" s="40"/>
      <c r="F180" s="40"/>
      <c r="G180" s="40"/>
      <c r="H180" s="40"/>
      <c r="I180" s="40">
        <f t="shared" si="53"/>
        <v>0</v>
      </c>
      <c r="J180" s="40">
        <v>0</v>
      </c>
      <c r="K180" s="40">
        <v>0</v>
      </c>
      <c r="L180" s="40">
        <v>0</v>
      </c>
      <c r="M180" s="40">
        <v>0</v>
      </c>
      <c r="N180" s="40">
        <f t="shared" si="54"/>
        <v>0</v>
      </c>
      <c r="O180" s="40"/>
      <c r="P180" s="40"/>
      <c r="Q180" s="40"/>
      <c r="R180" s="40"/>
      <c r="S180" s="40">
        <f t="shared" si="55"/>
        <v>0</v>
      </c>
      <c r="T180" s="40"/>
      <c r="U180" s="40"/>
      <c r="V180" s="40"/>
      <c r="W180" s="40"/>
      <c r="X180" s="40">
        <f t="shared" si="56"/>
        <v>0</v>
      </c>
      <c r="Y180" s="40"/>
      <c r="Z180" s="40"/>
      <c r="AA180" s="40"/>
      <c r="AB180" s="40"/>
      <c r="AC180" s="40">
        <f t="shared" si="57"/>
        <v>0</v>
      </c>
      <c r="AD180" s="40"/>
      <c r="AE180" s="40"/>
      <c r="AF180" s="40"/>
      <c r="AG180" s="40"/>
      <c r="AH180" s="40">
        <f t="shared" si="58"/>
        <v>0</v>
      </c>
      <c r="AI180" s="40"/>
      <c r="AJ180" s="40"/>
      <c r="AK180" s="40"/>
      <c r="AL180" s="40"/>
      <c r="AM180" s="40">
        <f t="shared" si="59"/>
        <v>0</v>
      </c>
      <c r="AN180" s="40"/>
      <c r="AO180" s="40"/>
      <c r="AP180" s="40"/>
      <c r="AQ180" s="40"/>
      <c r="AR180" s="40">
        <f t="shared" si="60"/>
        <v>0</v>
      </c>
      <c r="AS180" s="40">
        <f t="shared" si="70"/>
        <v>0</v>
      </c>
      <c r="AT180" s="40">
        <v>1200000000</v>
      </c>
      <c r="AU180" s="40">
        <v>1260000000</v>
      </c>
      <c r="AV180" s="40">
        <v>1323000000</v>
      </c>
      <c r="AW180" s="40">
        <v>1389150000</v>
      </c>
      <c r="AX180" s="40">
        <f t="shared" si="61"/>
        <v>5172150000</v>
      </c>
      <c r="AY180" s="40">
        <f t="shared" si="62"/>
        <v>5172150000</v>
      </c>
    </row>
    <row r="181" spans="1:51" ht="52.8">
      <c r="A181">
        <v>103</v>
      </c>
      <c r="B181" s="30" t="s">
        <v>2655</v>
      </c>
      <c r="C181" s="31" t="s">
        <v>2656</v>
      </c>
      <c r="D181" s="32" t="s">
        <v>2657</v>
      </c>
      <c r="E181" s="40"/>
      <c r="F181" s="40"/>
      <c r="G181" s="40"/>
      <c r="H181" s="40"/>
      <c r="I181" s="40">
        <f t="shared" si="53"/>
        <v>0</v>
      </c>
      <c r="J181" s="40">
        <v>0</v>
      </c>
      <c r="K181" s="40">
        <v>0</v>
      </c>
      <c r="L181" s="40">
        <v>0</v>
      </c>
      <c r="M181" s="40">
        <v>0</v>
      </c>
      <c r="N181" s="40">
        <f t="shared" si="54"/>
        <v>0</v>
      </c>
      <c r="O181" s="40"/>
      <c r="P181" s="40"/>
      <c r="Q181" s="40"/>
      <c r="R181" s="40"/>
      <c r="S181" s="40">
        <f t="shared" si="55"/>
        <v>0</v>
      </c>
      <c r="T181" s="40"/>
      <c r="U181" s="40"/>
      <c r="V181" s="40"/>
      <c r="W181" s="40"/>
      <c r="X181" s="40">
        <f t="shared" si="56"/>
        <v>0</v>
      </c>
      <c r="Y181" s="40"/>
      <c r="Z181" s="40"/>
      <c r="AA181" s="40"/>
      <c r="AB181" s="40"/>
      <c r="AC181" s="40">
        <f t="shared" si="57"/>
        <v>0</v>
      </c>
      <c r="AD181" s="40"/>
      <c r="AE181" s="40"/>
      <c r="AF181" s="40"/>
      <c r="AG181" s="40"/>
      <c r="AH181" s="40">
        <f t="shared" si="58"/>
        <v>0</v>
      </c>
      <c r="AI181" s="40"/>
      <c r="AJ181" s="40"/>
      <c r="AK181" s="40"/>
      <c r="AL181" s="40"/>
      <c r="AM181" s="40">
        <f t="shared" si="59"/>
        <v>0</v>
      </c>
      <c r="AN181" s="40"/>
      <c r="AO181" s="40"/>
      <c r="AP181" s="40"/>
      <c r="AQ181" s="40"/>
      <c r="AR181" s="40">
        <f t="shared" si="60"/>
        <v>0</v>
      </c>
      <c r="AS181" s="40">
        <f t="shared" si="70"/>
        <v>0</v>
      </c>
      <c r="AT181" s="40">
        <v>3269000000</v>
      </c>
      <c r="AU181" s="40">
        <v>3234000000</v>
      </c>
      <c r="AV181" s="40">
        <v>2617000000</v>
      </c>
      <c r="AW181" s="40">
        <v>2587000000</v>
      </c>
      <c r="AX181" s="40">
        <f t="shared" si="61"/>
        <v>11707000000</v>
      </c>
      <c r="AY181" s="40">
        <f t="shared" si="62"/>
        <v>11707000000</v>
      </c>
    </row>
    <row r="182" spans="1:51" ht="132">
      <c r="A182">
        <v>104</v>
      </c>
      <c r="B182" s="30" t="s">
        <v>2658</v>
      </c>
      <c r="C182" s="31" t="s">
        <v>2659</v>
      </c>
      <c r="D182" s="32" t="s">
        <v>1259</v>
      </c>
      <c r="E182" s="40"/>
      <c r="F182" s="40"/>
      <c r="G182" s="40"/>
      <c r="H182" s="40"/>
      <c r="I182" s="40">
        <f t="shared" si="53"/>
        <v>0</v>
      </c>
      <c r="J182" s="40">
        <v>0</v>
      </c>
      <c r="K182" s="40">
        <v>0</v>
      </c>
      <c r="L182" s="40">
        <v>0</v>
      </c>
      <c r="M182" s="40">
        <v>0</v>
      </c>
      <c r="N182" s="40">
        <f t="shared" si="54"/>
        <v>0</v>
      </c>
      <c r="O182" s="40"/>
      <c r="P182" s="40"/>
      <c r="Q182" s="40"/>
      <c r="R182" s="40"/>
      <c r="S182" s="40">
        <f t="shared" si="55"/>
        <v>0</v>
      </c>
      <c r="T182" s="40"/>
      <c r="U182" s="40"/>
      <c r="V182" s="40"/>
      <c r="W182" s="40"/>
      <c r="X182" s="40">
        <f t="shared" si="56"/>
        <v>0</v>
      </c>
      <c r="Y182" s="40"/>
      <c r="Z182" s="40"/>
      <c r="AA182" s="40"/>
      <c r="AB182" s="40"/>
      <c r="AC182" s="40">
        <f t="shared" si="57"/>
        <v>0</v>
      </c>
      <c r="AD182" s="40"/>
      <c r="AE182" s="40"/>
      <c r="AF182" s="40"/>
      <c r="AG182" s="40"/>
      <c r="AH182" s="40">
        <f t="shared" si="58"/>
        <v>0</v>
      </c>
      <c r="AI182" s="40"/>
      <c r="AJ182" s="40"/>
      <c r="AK182" s="40"/>
      <c r="AL182" s="40"/>
      <c r="AM182" s="40">
        <f t="shared" si="59"/>
        <v>0</v>
      </c>
      <c r="AN182" s="40"/>
      <c r="AO182" s="40"/>
      <c r="AP182" s="40"/>
      <c r="AQ182" s="40"/>
      <c r="AR182" s="40">
        <f t="shared" si="60"/>
        <v>0</v>
      </c>
      <c r="AS182" s="40">
        <f t="shared" si="70"/>
        <v>0</v>
      </c>
      <c r="AT182" s="40">
        <v>4168789000</v>
      </c>
      <c r="AU182" s="40">
        <v>4293852670</v>
      </c>
      <c r="AV182" s="40">
        <v>4422668250</v>
      </c>
      <c r="AW182" s="40">
        <v>4555348298</v>
      </c>
      <c r="AX182" s="40">
        <f t="shared" si="61"/>
        <v>17440658218</v>
      </c>
      <c r="AY182" s="40">
        <f t="shared" si="62"/>
        <v>17440658218</v>
      </c>
    </row>
    <row r="183" spans="1:51" ht="39.6">
      <c r="A183">
        <v>105</v>
      </c>
      <c r="B183" s="30" t="s">
        <v>2660</v>
      </c>
      <c r="C183" s="31" t="s">
        <v>2252</v>
      </c>
      <c r="D183" s="32" t="s">
        <v>1259</v>
      </c>
      <c r="E183" s="40"/>
      <c r="F183" s="40"/>
      <c r="G183" s="40"/>
      <c r="H183" s="40"/>
      <c r="I183" s="40">
        <f t="shared" si="53"/>
        <v>0</v>
      </c>
      <c r="J183" s="40">
        <v>0</v>
      </c>
      <c r="K183" s="40">
        <v>0</v>
      </c>
      <c r="L183" s="40">
        <v>0</v>
      </c>
      <c r="M183" s="40">
        <v>0</v>
      </c>
      <c r="N183" s="40">
        <f t="shared" si="54"/>
        <v>0</v>
      </c>
      <c r="O183" s="40"/>
      <c r="P183" s="40"/>
      <c r="Q183" s="40"/>
      <c r="R183" s="40"/>
      <c r="S183" s="40">
        <f t="shared" si="55"/>
        <v>0</v>
      </c>
      <c r="T183" s="40"/>
      <c r="U183" s="40"/>
      <c r="V183" s="40"/>
      <c r="W183" s="40"/>
      <c r="X183" s="40">
        <f t="shared" si="56"/>
        <v>0</v>
      </c>
      <c r="Y183" s="40"/>
      <c r="Z183" s="40"/>
      <c r="AA183" s="40"/>
      <c r="AB183" s="40"/>
      <c r="AC183" s="40">
        <f t="shared" si="57"/>
        <v>0</v>
      </c>
      <c r="AD183" s="40"/>
      <c r="AE183" s="40"/>
      <c r="AF183" s="40"/>
      <c r="AG183" s="40"/>
      <c r="AH183" s="40">
        <f t="shared" si="58"/>
        <v>0</v>
      </c>
      <c r="AI183" s="40"/>
      <c r="AJ183" s="40"/>
      <c r="AK183" s="40"/>
      <c r="AL183" s="40"/>
      <c r="AM183" s="40">
        <f t="shared" si="59"/>
        <v>0</v>
      </c>
      <c r="AN183" s="40"/>
      <c r="AO183" s="40"/>
      <c r="AP183" s="40"/>
      <c r="AQ183" s="40"/>
      <c r="AR183" s="40">
        <f t="shared" si="60"/>
        <v>0</v>
      </c>
      <c r="AS183" s="40">
        <f t="shared" si="70"/>
        <v>0</v>
      </c>
      <c r="AT183" s="40">
        <v>1112211000</v>
      </c>
      <c r="AU183" s="40">
        <v>1145577330</v>
      </c>
      <c r="AV183" s="40">
        <v>1179944650</v>
      </c>
      <c r="AW183" s="40">
        <v>1215342989</v>
      </c>
      <c r="AX183" s="40">
        <f t="shared" si="61"/>
        <v>4653075969</v>
      </c>
      <c r="AY183" s="40">
        <f t="shared" si="62"/>
        <v>4653075969</v>
      </c>
    </row>
    <row r="184" spans="1:51" ht="96.6">
      <c r="B184" s="89" t="s">
        <v>2661</v>
      </c>
      <c r="C184" s="89"/>
      <c r="D184" s="89"/>
      <c r="E184" s="41">
        <f>SUM(E180:E183)</f>
        <v>0</v>
      </c>
      <c r="F184" s="41">
        <f t="shared" ref="F184:AX184" si="72">SUM(F180:F183)</f>
        <v>0</v>
      </c>
      <c r="G184" s="41">
        <f t="shared" si="72"/>
        <v>0</v>
      </c>
      <c r="H184" s="41">
        <f t="shared" si="72"/>
        <v>0</v>
      </c>
      <c r="I184" s="41">
        <f t="shared" si="72"/>
        <v>0</v>
      </c>
      <c r="J184" s="41">
        <f t="shared" si="72"/>
        <v>0</v>
      </c>
      <c r="K184" s="41">
        <f t="shared" si="72"/>
        <v>0</v>
      </c>
      <c r="L184" s="41">
        <f t="shared" si="72"/>
        <v>0</v>
      </c>
      <c r="M184" s="41">
        <f t="shared" si="72"/>
        <v>0</v>
      </c>
      <c r="N184" s="41">
        <f t="shared" si="72"/>
        <v>0</v>
      </c>
      <c r="O184" s="41">
        <f t="shared" si="72"/>
        <v>0</v>
      </c>
      <c r="P184" s="41">
        <f t="shared" si="72"/>
        <v>0</v>
      </c>
      <c r="Q184" s="41">
        <f t="shared" si="72"/>
        <v>0</v>
      </c>
      <c r="R184" s="41">
        <f t="shared" si="72"/>
        <v>0</v>
      </c>
      <c r="S184" s="41">
        <f t="shared" si="72"/>
        <v>0</v>
      </c>
      <c r="T184" s="41">
        <f t="shared" si="72"/>
        <v>0</v>
      </c>
      <c r="U184" s="41">
        <f t="shared" si="72"/>
        <v>0</v>
      </c>
      <c r="V184" s="41">
        <f t="shared" si="72"/>
        <v>0</v>
      </c>
      <c r="W184" s="41">
        <f t="shared" si="72"/>
        <v>0</v>
      </c>
      <c r="X184" s="41">
        <f t="shared" si="72"/>
        <v>0</v>
      </c>
      <c r="Y184" s="41">
        <f t="shared" si="72"/>
        <v>0</v>
      </c>
      <c r="Z184" s="41">
        <f t="shared" si="72"/>
        <v>0</v>
      </c>
      <c r="AA184" s="41">
        <f t="shared" si="72"/>
        <v>0</v>
      </c>
      <c r="AB184" s="41">
        <f t="shared" si="72"/>
        <v>0</v>
      </c>
      <c r="AC184" s="41">
        <f t="shared" si="72"/>
        <v>0</v>
      </c>
      <c r="AD184" s="41">
        <f t="shared" si="72"/>
        <v>0</v>
      </c>
      <c r="AE184" s="41">
        <f t="shared" si="72"/>
        <v>0</v>
      </c>
      <c r="AF184" s="41">
        <f t="shared" si="72"/>
        <v>0</v>
      </c>
      <c r="AG184" s="41">
        <f t="shared" si="72"/>
        <v>0</v>
      </c>
      <c r="AH184" s="41">
        <f t="shared" si="72"/>
        <v>0</v>
      </c>
      <c r="AI184" s="41">
        <f t="shared" si="72"/>
        <v>0</v>
      </c>
      <c r="AJ184" s="41">
        <f t="shared" si="72"/>
        <v>0</v>
      </c>
      <c r="AK184" s="41">
        <f t="shared" si="72"/>
        <v>0</v>
      </c>
      <c r="AL184" s="41">
        <f t="shared" si="72"/>
        <v>0</v>
      </c>
      <c r="AM184" s="41">
        <f t="shared" si="72"/>
        <v>0</v>
      </c>
      <c r="AN184" s="41">
        <f t="shared" si="72"/>
        <v>0</v>
      </c>
      <c r="AO184" s="41">
        <f t="shared" si="72"/>
        <v>0</v>
      </c>
      <c r="AP184" s="41">
        <f t="shared" si="72"/>
        <v>0</v>
      </c>
      <c r="AQ184" s="41">
        <f t="shared" si="72"/>
        <v>0</v>
      </c>
      <c r="AR184" s="41">
        <f t="shared" si="72"/>
        <v>0</v>
      </c>
      <c r="AS184" s="41">
        <f t="shared" si="70"/>
        <v>0</v>
      </c>
      <c r="AT184" s="41">
        <f t="shared" si="72"/>
        <v>9750000000</v>
      </c>
      <c r="AU184" s="41">
        <f t="shared" si="72"/>
        <v>9933430000</v>
      </c>
      <c r="AV184" s="41">
        <f t="shared" si="72"/>
        <v>9542612900</v>
      </c>
      <c r="AW184" s="41">
        <f t="shared" si="72"/>
        <v>9746841287</v>
      </c>
      <c r="AX184" s="41">
        <f t="shared" si="72"/>
        <v>38972884187</v>
      </c>
      <c r="AY184" s="41">
        <f t="shared" si="62"/>
        <v>38972884187</v>
      </c>
    </row>
    <row r="185" spans="1:51" ht="75">
      <c r="B185" s="29" t="s">
        <v>2662</v>
      </c>
      <c r="C185" s="88" t="s">
        <v>2663</v>
      </c>
      <c r="D185" s="88"/>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row>
    <row r="186" spans="1:51" ht="105.6">
      <c r="A186">
        <v>106</v>
      </c>
      <c r="B186" s="30" t="s">
        <v>2664</v>
      </c>
      <c r="C186" s="31" t="s">
        <v>2665</v>
      </c>
      <c r="D186" s="32" t="s">
        <v>2581</v>
      </c>
      <c r="E186" s="40"/>
      <c r="F186" s="40"/>
      <c r="G186" s="40"/>
      <c r="H186" s="40"/>
      <c r="I186" s="40">
        <f t="shared" si="53"/>
        <v>0</v>
      </c>
      <c r="J186" s="40">
        <v>0</v>
      </c>
      <c r="K186" s="40">
        <v>0</v>
      </c>
      <c r="L186" s="40">
        <v>0</v>
      </c>
      <c r="M186" s="40">
        <v>0</v>
      </c>
      <c r="N186" s="40">
        <f t="shared" si="54"/>
        <v>0</v>
      </c>
      <c r="O186" s="40"/>
      <c r="P186" s="40"/>
      <c r="Q186" s="40"/>
      <c r="R186" s="40"/>
      <c r="S186" s="40">
        <f t="shared" si="55"/>
        <v>0</v>
      </c>
      <c r="T186" s="40">
        <v>34193400</v>
      </c>
      <c r="U186" s="40">
        <v>212992000</v>
      </c>
      <c r="V186" s="40">
        <v>229992000</v>
      </c>
      <c r="W186" s="40">
        <v>247842000</v>
      </c>
      <c r="X186" s="40">
        <f t="shared" si="56"/>
        <v>725019400</v>
      </c>
      <c r="Y186" s="40"/>
      <c r="Z186" s="40"/>
      <c r="AA186" s="40"/>
      <c r="AB186" s="40"/>
      <c r="AC186" s="40">
        <f t="shared" si="57"/>
        <v>0</v>
      </c>
      <c r="AD186" s="40"/>
      <c r="AE186" s="40"/>
      <c r="AF186" s="40"/>
      <c r="AG186" s="40"/>
      <c r="AH186" s="40">
        <f t="shared" si="58"/>
        <v>0</v>
      </c>
      <c r="AI186" s="40"/>
      <c r="AJ186" s="40"/>
      <c r="AK186" s="40"/>
      <c r="AL186" s="40"/>
      <c r="AM186" s="40">
        <f t="shared" si="59"/>
        <v>0</v>
      </c>
      <c r="AN186" s="40"/>
      <c r="AO186" s="40"/>
      <c r="AP186" s="40"/>
      <c r="AQ186" s="40"/>
      <c r="AR186" s="40">
        <f t="shared" si="60"/>
        <v>0</v>
      </c>
      <c r="AS186" s="40">
        <f t="shared" si="70"/>
        <v>725019400</v>
      </c>
      <c r="AT186" s="40"/>
      <c r="AU186" s="40"/>
      <c r="AV186" s="40"/>
      <c r="AW186" s="40"/>
      <c r="AX186" s="40">
        <f t="shared" si="61"/>
        <v>0</v>
      </c>
      <c r="AY186" s="40">
        <f t="shared" si="62"/>
        <v>725019400</v>
      </c>
    </row>
    <row r="187" spans="1:51" ht="132">
      <c r="A187">
        <v>107</v>
      </c>
      <c r="B187" s="30" t="s">
        <v>2666</v>
      </c>
      <c r="C187" s="31" t="s">
        <v>2667</v>
      </c>
      <c r="D187" s="32" t="s">
        <v>2475</v>
      </c>
      <c r="E187" s="40"/>
      <c r="F187" s="40"/>
      <c r="G187" s="40"/>
      <c r="H187" s="40"/>
      <c r="I187" s="40">
        <f t="shared" si="53"/>
        <v>0</v>
      </c>
      <c r="J187" s="40">
        <v>0</v>
      </c>
      <c r="K187" s="40">
        <v>0</v>
      </c>
      <c r="L187" s="40">
        <v>0</v>
      </c>
      <c r="M187" s="40">
        <v>0</v>
      </c>
      <c r="N187" s="40">
        <f t="shared" si="54"/>
        <v>0</v>
      </c>
      <c r="O187" s="40"/>
      <c r="P187" s="40"/>
      <c r="Q187" s="40"/>
      <c r="R187" s="40"/>
      <c r="S187" s="40">
        <f t="shared" si="55"/>
        <v>0</v>
      </c>
      <c r="T187" s="40">
        <v>130000000</v>
      </c>
      <c r="U187" s="40">
        <v>135000000</v>
      </c>
      <c r="V187" s="40">
        <v>140000000</v>
      </c>
      <c r="W187" s="40">
        <v>165000000</v>
      </c>
      <c r="X187" s="40">
        <f t="shared" si="56"/>
        <v>570000000</v>
      </c>
      <c r="Y187" s="40"/>
      <c r="Z187" s="40"/>
      <c r="AA187" s="40"/>
      <c r="AB187" s="40"/>
      <c r="AC187" s="40">
        <f t="shared" si="57"/>
        <v>0</v>
      </c>
      <c r="AD187" s="40"/>
      <c r="AE187" s="40"/>
      <c r="AF187" s="40"/>
      <c r="AG187" s="40"/>
      <c r="AH187" s="40">
        <f t="shared" si="58"/>
        <v>0</v>
      </c>
      <c r="AI187" s="40"/>
      <c r="AJ187" s="40"/>
      <c r="AK187" s="40"/>
      <c r="AL187" s="40"/>
      <c r="AM187" s="40">
        <f t="shared" si="59"/>
        <v>0</v>
      </c>
      <c r="AN187" s="40"/>
      <c r="AO187" s="40"/>
      <c r="AP187" s="40"/>
      <c r="AQ187" s="40"/>
      <c r="AR187" s="40">
        <f t="shared" si="60"/>
        <v>0</v>
      </c>
      <c r="AS187" s="40">
        <f t="shared" si="70"/>
        <v>570000000</v>
      </c>
      <c r="AT187" s="40"/>
      <c r="AU187" s="40"/>
      <c r="AV187" s="40"/>
      <c r="AW187" s="40"/>
      <c r="AX187" s="40">
        <f t="shared" si="61"/>
        <v>0</v>
      </c>
      <c r="AY187" s="40">
        <f t="shared" si="62"/>
        <v>570000000</v>
      </c>
    </row>
    <row r="188" spans="1:51" ht="105">
      <c r="A188">
        <v>108</v>
      </c>
      <c r="B188" s="30" t="s">
        <v>2668</v>
      </c>
      <c r="C188" s="31" t="s">
        <v>2669</v>
      </c>
      <c r="D188" s="32" t="s">
        <v>2670</v>
      </c>
      <c r="E188" s="40"/>
      <c r="F188" s="40"/>
      <c r="G188" s="40"/>
      <c r="H188" s="40"/>
      <c r="I188" s="40">
        <f t="shared" si="53"/>
        <v>0</v>
      </c>
      <c r="J188" s="40">
        <v>0</v>
      </c>
      <c r="K188" s="40">
        <v>0</v>
      </c>
      <c r="L188" s="40">
        <v>0</v>
      </c>
      <c r="M188" s="40">
        <v>0</v>
      </c>
      <c r="N188" s="40">
        <f t="shared" si="54"/>
        <v>0</v>
      </c>
      <c r="O188" s="40"/>
      <c r="P188" s="40"/>
      <c r="Q188" s="40"/>
      <c r="R188" s="40"/>
      <c r="S188" s="40">
        <f t="shared" si="55"/>
        <v>0</v>
      </c>
      <c r="T188" s="40">
        <v>200000000</v>
      </c>
      <c r="U188" s="40">
        <v>450000000</v>
      </c>
      <c r="V188" s="40">
        <v>472500000</v>
      </c>
      <c r="W188" s="40">
        <v>496125000</v>
      </c>
      <c r="X188" s="40">
        <f t="shared" si="56"/>
        <v>1618625000</v>
      </c>
      <c r="Y188" s="40"/>
      <c r="Z188" s="40"/>
      <c r="AA188" s="40"/>
      <c r="AB188" s="40"/>
      <c r="AC188" s="40">
        <f t="shared" si="57"/>
        <v>0</v>
      </c>
      <c r="AD188" s="40"/>
      <c r="AE188" s="40"/>
      <c r="AF188" s="40"/>
      <c r="AG188" s="40"/>
      <c r="AH188" s="40">
        <f t="shared" si="58"/>
        <v>0</v>
      </c>
      <c r="AI188" s="40"/>
      <c r="AJ188" s="40"/>
      <c r="AK188" s="40"/>
      <c r="AL188" s="40"/>
      <c r="AM188" s="40">
        <f t="shared" si="59"/>
        <v>0</v>
      </c>
      <c r="AN188" s="40"/>
      <c r="AO188" s="40"/>
      <c r="AP188" s="40"/>
      <c r="AQ188" s="40"/>
      <c r="AR188" s="40">
        <f t="shared" si="60"/>
        <v>0</v>
      </c>
      <c r="AS188" s="40">
        <f t="shared" si="70"/>
        <v>1618625000</v>
      </c>
      <c r="AT188" s="40"/>
      <c r="AU188" s="40"/>
      <c r="AV188" s="40"/>
      <c r="AW188" s="40"/>
      <c r="AX188" s="40">
        <f t="shared" si="61"/>
        <v>0</v>
      </c>
      <c r="AY188" s="40">
        <f t="shared" si="62"/>
        <v>1618625000</v>
      </c>
    </row>
    <row r="189" spans="1:51" ht="69">
      <c r="B189" s="89" t="s">
        <v>2671</v>
      </c>
      <c r="C189" s="89"/>
      <c r="D189" s="89"/>
      <c r="E189" s="41">
        <f>SUM(E186:E188)</f>
        <v>0</v>
      </c>
      <c r="F189" s="41">
        <f t="shared" ref="F189:AX189" si="73">SUM(F186:F188)</f>
        <v>0</v>
      </c>
      <c r="G189" s="41">
        <f t="shared" si="73"/>
        <v>0</v>
      </c>
      <c r="H189" s="41">
        <f t="shared" si="73"/>
        <v>0</v>
      </c>
      <c r="I189" s="41">
        <f t="shared" si="73"/>
        <v>0</v>
      </c>
      <c r="J189" s="41">
        <f t="shared" si="73"/>
        <v>0</v>
      </c>
      <c r="K189" s="41">
        <f t="shared" si="73"/>
        <v>0</v>
      </c>
      <c r="L189" s="41">
        <f t="shared" si="73"/>
        <v>0</v>
      </c>
      <c r="M189" s="41">
        <f t="shared" si="73"/>
        <v>0</v>
      </c>
      <c r="N189" s="41">
        <f t="shared" si="73"/>
        <v>0</v>
      </c>
      <c r="O189" s="41">
        <f t="shared" si="73"/>
        <v>0</v>
      </c>
      <c r="P189" s="41">
        <f t="shared" si="73"/>
        <v>0</v>
      </c>
      <c r="Q189" s="41">
        <f t="shared" si="73"/>
        <v>0</v>
      </c>
      <c r="R189" s="41">
        <f t="shared" si="73"/>
        <v>0</v>
      </c>
      <c r="S189" s="41">
        <f t="shared" si="73"/>
        <v>0</v>
      </c>
      <c r="T189" s="41">
        <f t="shared" si="73"/>
        <v>364193400</v>
      </c>
      <c r="U189" s="41">
        <f t="shared" si="73"/>
        <v>797992000</v>
      </c>
      <c r="V189" s="41">
        <f t="shared" si="73"/>
        <v>842492000</v>
      </c>
      <c r="W189" s="41">
        <f t="shared" si="73"/>
        <v>908967000</v>
      </c>
      <c r="X189" s="41">
        <f t="shared" si="73"/>
        <v>2913644400</v>
      </c>
      <c r="Y189" s="41">
        <f t="shared" si="73"/>
        <v>0</v>
      </c>
      <c r="Z189" s="41">
        <f t="shared" si="73"/>
        <v>0</v>
      </c>
      <c r="AA189" s="41">
        <f t="shared" si="73"/>
        <v>0</v>
      </c>
      <c r="AB189" s="41">
        <f t="shared" si="73"/>
        <v>0</v>
      </c>
      <c r="AC189" s="41">
        <f t="shared" si="73"/>
        <v>0</v>
      </c>
      <c r="AD189" s="41">
        <f t="shared" si="73"/>
        <v>0</v>
      </c>
      <c r="AE189" s="41">
        <f t="shared" si="73"/>
        <v>0</v>
      </c>
      <c r="AF189" s="41">
        <f t="shared" si="73"/>
        <v>0</v>
      </c>
      <c r="AG189" s="41">
        <f t="shared" si="73"/>
        <v>0</v>
      </c>
      <c r="AH189" s="41">
        <f t="shared" si="73"/>
        <v>0</v>
      </c>
      <c r="AI189" s="41">
        <f t="shared" si="73"/>
        <v>0</v>
      </c>
      <c r="AJ189" s="41">
        <f t="shared" si="73"/>
        <v>0</v>
      </c>
      <c r="AK189" s="41">
        <f t="shared" si="73"/>
        <v>0</v>
      </c>
      <c r="AL189" s="41">
        <f t="shared" si="73"/>
        <v>0</v>
      </c>
      <c r="AM189" s="41">
        <f t="shared" si="73"/>
        <v>0</v>
      </c>
      <c r="AN189" s="41">
        <f t="shared" si="73"/>
        <v>0</v>
      </c>
      <c r="AO189" s="41">
        <f t="shared" si="73"/>
        <v>0</v>
      </c>
      <c r="AP189" s="41">
        <f t="shared" si="73"/>
        <v>0</v>
      </c>
      <c r="AQ189" s="41">
        <f t="shared" si="73"/>
        <v>0</v>
      </c>
      <c r="AR189" s="41">
        <f t="shared" si="73"/>
        <v>0</v>
      </c>
      <c r="AS189" s="41">
        <f t="shared" si="70"/>
        <v>2913644400</v>
      </c>
      <c r="AT189" s="41">
        <f t="shared" si="73"/>
        <v>0</v>
      </c>
      <c r="AU189" s="41">
        <f t="shared" si="73"/>
        <v>0</v>
      </c>
      <c r="AV189" s="41">
        <f t="shared" si="73"/>
        <v>0</v>
      </c>
      <c r="AW189" s="41">
        <f t="shared" si="73"/>
        <v>0</v>
      </c>
      <c r="AX189" s="41">
        <f t="shared" si="73"/>
        <v>0</v>
      </c>
      <c r="AY189" s="41">
        <f t="shared" si="62"/>
        <v>2913644400</v>
      </c>
    </row>
    <row r="190" spans="1:51" ht="90">
      <c r="B190" s="29" t="s">
        <v>2672</v>
      </c>
      <c r="C190" s="88" t="s">
        <v>2673</v>
      </c>
      <c r="D190" s="88"/>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row>
    <row r="191" spans="1:51" ht="79.2">
      <c r="A191">
        <v>109</v>
      </c>
      <c r="B191" s="30" t="s">
        <v>2674</v>
      </c>
      <c r="C191" s="31" t="s">
        <v>2675</v>
      </c>
      <c r="D191" s="32" t="s">
        <v>2556</v>
      </c>
      <c r="E191" s="40"/>
      <c r="F191" s="40"/>
      <c r="G191" s="40">
        <v>1000000000</v>
      </c>
      <c r="H191" s="40"/>
      <c r="I191" s="40">
        <f t="shared" si="53"/>
        <v>1000000000</v>
      </c>
      <c r="J191" s="40">
        <v>0</v>
      </c>
      <c r="K191" s="40">
        <v>0</v>
      </c>
      <c r="L191" s="40">
        <v>0</v>
      </c>
      <c r="M191" s="40">
        <v>0</v>
      </c>
      <c r="N191" s="40">
        <f t="shared" si="54"/>
        <v>0</v>
      </c>
      <c r="O191" s="40"/>
      <c r="P191" s="40"/>
      <c r="Q191" s="40"/>
      <c r="R191" s="40"/>
      <c r="S191" s="40">
        <f t="shared" si="55"/>
        <v>0</v>
      </c>
      <c r="T191" s="40">
        <v>99000000</v>
      </c>
      <c r="U191" s="40">
        <v>102000000</v>
      </c>
      <c r="V191" s="40">
        <v>105000000</v>
      </c>
      <c r="W191" s="40">
        <v>109000000</v>
      </c>
      <c r="X191" s="40">
        <f t="shared" si="56"/>
        <v>415000000</v>
      </c>
      <c r="Y191" s="40"/>
      <c r="Z191" s="40"/>
      <c r="AA191" s="40"/>
      <c r="AB191" s="40"/>
      <c r="AC191" s="40">
        <f t="shared" si="57"/>
        <v>0</v>
      </c>
      <c r="AD191" s="40"/>
      <c r="AE191" s="40"/>
      <c r="AF191" s="40"/>
      <c r="AG191" s="40"/>
      <c r="AH191" s="40">
        <f t="shared" si="58"/>
        <v>0</v>
      </c>
      <c r="AI191" s="40"/>
      <c r="AJ191" s="40"/>
      <c r="AK191" s="40"/>
      <c r="AL191" s="40"/>
      <c r="AM191" s="40">
        <f t="shared" si="59"/>
        <v>0</v>
      </c>
      <c r="AN191" s="40"/>
      <c r="AO191" s="40"/>
      <c r="AP191" s="40"/>
      <c r="AQ191" s="40"/>
      <c r="AR191" s="40">
        <f t="shared" si="60"/>
        <v>0</v>
      </c>
      <c r="AS191" s="40">
        <f t="shared" si="70"/>
        <v>415000000</v>
      </c>
      <c r="AT191" s="40"/>
      <c r="AU191" s="40"/>
      <c r="AV191" s="40"/>
      <c r="AW191" s="40"/>
      <c r="AX191" s="40">
        <f t="shared" si="61"/>
        <v>0</v>
      </c>
      <c r="AY191" s="40">
        <f t="shared" si="62"/>
        <v>1415000000</v>
      </c>
    </row>
    <row r="192" spans="1:51" ht="92.4">
      <c r="A192">
        <v>110</v>
      </c>
      <c r="B192" s="30" t="s">
        <v>2676</v>
      </c>
      <c r="C192" s="31" t="s">
        <v>2677</v>
      </c>
      <c r="D192" s="32" t="s">
        <v>2581</v>
      </c>
      <c r="E192" s="40"/>
      <c r="F192" s="40"/>
      <c r="G192" s="40"/>
      <c r="H192" s="40"/>
      <c r="I192" s="40">
        <f t="shared" si="53"/>
        <v>0</v>
      </c>
      <c r="J192" s="40">
        <v>0</v>
      </c>
      <c r="K192" s="40">
        <v>0</v>
      </c>
      <c r="L192" s="40">
        <v>0</v>
      </c>
      <c r="M192" s="40">
        <v>0</v>
      </c>
      <c r="N192" s="40">
        <f t="shared" si="54"/>
        <v>0</v>
      </c>
      <c r="O192" s="40"/>
      <c r="P192" s="40"/>
      <c r="Q192" s="40"/>
      <c r="R192" s="40"/>
      <c r="S192" s="40">
        <f t="shared" si="55"/>
        <v>0</v>
      </c>
      <c r="T192" s="40">
        <v>34193400</v>
      </c>
      <c r="U192" s="40">
        <v>212992000</v>
      </c>
      <c r="V192" s="40">
        <v>229992000</v>
      </c>
      <c r="W192" s="40">
        <v>247842000</v>
      </c>
      <c r="X192" s="40">
        <f t="shared" si="56"/>
        <v>725019400</v>
      </c>
      <c r="Y192" s="40"/>
      <c r="Z192" s="40"/>
      <c r="AA192" s="40"/>
      <c r="AB192" s="40"/>
      <c r="AC192" s="40">
        <f t="shared" si="57"/>
        <v>0</v>
      </c>
      <c r="AD192" s="40"/>
      <c r="AE192" s="40"/>
      <c r="AF192" s="40"/>
      <c r="AG192" s="40"/>
      <c r="AH192" s="40">
        <f t="shared" si="58"/>
        <v>0</v>
      </c>
      <c r="AI192" s="40"/>
      <c r="AJ192" s="40"/>
      <c r="AK192" s="40"/>
      <c r="AL192" s="40"/>
      <c r="AM192" s="40">
        <f t="shared" si="59"/>
        <v>0</v>
      </c>
      <c r="AN192" s="40"/>
      <c r="AO192" s="40"/>
      <c r="AP192" s="40"/>
      <c r="AQ192" s="40"/>
      <c r="AR192" s="40">
        <f t="shared" si="60"/>
        <v>0</v>
      </c>
      <c r="AS192" s="40">
        <f t="shared" si="70"/>
        <v>725019400</v>
      </c>
      <c r="AT192" s="40"/>
      <c r="AU192" s="40"/>
      <c r="AV192" s="40"/>
      <c r="AW192" s="40"/>
      <c r="AX192" s="40">
        <f t="shared" si="61"/>
        <v>0</v>
      </c>
      <c r="AY192" s="40">
        <f t="shared" si="62"/>
        <v>725019400</v>
      </c>
    </row>
    <row r="193" spans="1:51" ht="79.2">
      <c r="A193">
        <v>111</v>
      </c>
      <c r="B193" s="30" t="s">
        <v>2678</v>
      </c>
      <c r="C193" s="31" t="s">
        <v>2318</v>
      </c>
      <c r="D193" s="32" t="s">
        <v>2581</v>
      </c>
      <c r="E193" s="40"/>
      <c r="F193" s="40"/>
      <c r="G193" s="40"/>
      <c r="H193" s="40"/>
      <c r="I193" s="40">
        <f t="shared" si="53"/>
        <v>0</v>
      </c>
      <c r="J193" s="40">
        <v>0</v>
      </c>
      <c r="K193" s="40">
        <v>0</v>
      </c>
      <c r="L193" s="40">
        <v>0</v>
      </c>
      <c r="M193" s="40">
        <v>0</v>
      </c>
      <c r="N193" s="40">
        <f t="shared" si="54"/>
        <v>0</v>
      </c>
      <c r="O193" s="40"/>
      <c r="P193" s="40"/>
      <c r="Q193" s="40"/>
      <c r="R193" s="40"/>
      <c r="S193" s="40">
        <f t="shared" si="55"/>
        <v>0</v>
      </c>
      <c r="T193" s="40">
        <v>11332000</v>
      </c>
      <c r="U193" s="40">
        <v>28224000</v>
      </c>
      <c r="V193" s="40">
        <v>28224000</v>
      </c>
      <c r="W193" s="40">
        <v>28224000</v>
      </c>
      <c r="X193" s="40">
        <f t="shared" si="56"/>
        <v>96004000</v>
      </c>
      <c r="Y193" s="40"/>
      <c r="Z193" s="40"/>
      <c r="AA193" s="40"/>
      <c r="AB193" s="40"/>
      <c r="AC193" s="40">
        <f t="shared" si="57"/>
        <v>0</v>
      </c>
      <c r="AD193" s="40"/>
      <c r="AE193" s="40"/>
      <c r="AF193" s="40"/>
      <c r="AG193" s="40"/>
      <c r="AH193" s="40">
        <f t="shared" si="58"/>
        <v>0</v>
      </c>
      <c r="AI193" s="40"/>
      <c r="AJ193" s="40"/>
      <c r="AK193" s="40"/>
      <c r="AL193" s="40"/>
      <c r="AM193" s="40">
        <f t="shared" si="59"/>
        <v>0</v>
      </c>
      <c r="AN193" s="40"/>
      <c r="AO193" s="40"/>
      <c r="AP193" s="40"/>
      <c r="AQ193" s="40"/>
      <c r="AR193" s="40">
        <f t="shared" si="60"/>
        <v>0</v>
      </c>
      <c r="AS193" s="40">
        <f t="shared" si="70"/>
        <v>96004000</v>
      </c>
      <c r="AT193" s="40"/>
      <c r="AU193" s="40"/>
      <c r="AV193" s="40"/>
      <c r="AW193" s="40"/>
      <c r="AX193" s="40">
        <f t="shared" si="61"/>
        <v>0</v>
      </c>
      <c r="AY193" s="40">
        <f t="shared" si="62"/>
        <v>96004000</v>
      </c>
    </row>
    <row r="194" spans="1:51" ht="82.8">
      <c r="B194" s="89" t="s">
        <v>2679</v>
      </c>
      <c r="C194" s="89"/>
      <c r="D194" s="89"/>
      <c r="E194" s="41">
        <f>SUM(E191:E193)</f>
        <v>0</v>
      </c>
      <c r="F194" s="41">
        <f t="shared" ref="F194:AX194" si="74">SUM(F191:F193)</f>
        <v>0</v>
      </c>
      <c r="G194" s="41">
        <f t="shared" si="74"/>
        <v>1000000000</v>
      </c>
      <c r="H194" s="41">
        <f t="shared" si="74"/>
        <v>0</v>
      </c>
      <c r="I194" s="41">
        <f t="shared" si="74"/>
        <v>1000000000</v>
      </c>
      <c r="J194" s="41">
        <f t="shared" si="74"/>
        <v>0</v>
      </c>
      <c r="K194" s="41">
        <f t="shared" si="74"/>
        <v>0</v>
      </c>
      <c r="L194" s="41">
        <f t="shared" si="74"/>
        <v>0</v>
      </c>
      <c r="M194" s="41">
        <f t="shared" si="74"/>
        <v>0</v>
      </c>
      <c r="N194" s="41">
        <f t="shared" si="74"/>
        <v>0</v>
      </c>
      <c r="O194" s="41">
        <f t="shared" si="74"/>
        <v>0</v>
      </c>
      <c r="P194" s="41">
        <f t="shared" si="74"/>
        <v>0</v>
      </c>
      <c r="Q194" s="41">
        <f t="shared" si="74"/>
        <v>0</v>
      </c>
      <c r="R194" s="41">
        <f t="shared" si="74"/>
        <v>0</v>
      </c>
      <c r="S194" s="41">
        <f t="shared" si="74"/>
        <v>0</v>
      </c>
      <c r="T194" s="41">
        <f t="shared" si="74"/>
        <v>144525400</v>
      </c>
      <c r="U194" s="41">
        <f t="shared" si="74"/>
        <v>343216000</v>
      </c>
      <c r="V194" s="41">
        <f t="shared" si="74"/>
        <v>363216000</v>
      </c>
      <c r="W194" s="41">
        <f t="shared" si="74"/>
        <v>385066000</v>
      </c>
      <c r="X194" s="41">
        <f t="shared" si="74"/>
        <v>1236023400</v>
      </c>
      <c r="Y194" s="41">
        <f t="shared" si="74"/>
        <v>0</v>
      </c>
      <c r="Z194" s="41">
        <f t="shared" si="74"/>
        <v>0</v>
      </c>
      <c r="AA194" s="41">
        <f t="shared" si="74"/>
        <v>0</v>
      </c>
      <c r="AB194" s="41">
        <f t="shared" si="74"/>
        <v>0</v>
      </c>
      <c r="AC194" s="41">
        <f t="shared" si="74"/>
        <v>0</v>
      </c>
      <c r="AD194" s="41">
        <f t="shared" si="74"/>
        <v>0</v>
      </c>
      <c r="AE194" s="41">
        <f t="shared" si="74"/>
        <v>0</v>
      </c>
      <c r="AF194" s="41">
        <f t="shared" si="74"/>
        <v>0</v>
      </c>
      <c r="AG194" s="41">
        <f t="shared" si="74"/>
        <v>0</v>
      </c>
      <c r="AH194" s="41">
        <f t="shared" si="74"/>
        <v>0</v>
      </c>
      <c r="AI194" s="41">
        <f t="shared" si="74"/>
        <v>0</v>
      </c>
      <c r="AJ194" s="41">
        <f t="shared" si="74"/>
        <v>0</v>
      </c>
      <c r="AK194" s="41">
        <f t="shared" si="74"/>
        <v>0</v>
      </c>
      <c r="AL194" s="41">
        <f t="shared" si="74"/>
        <v>0</v>
      </c>
      <c r="AM194" s="41">
        <f t="shared" si="74"/>
        <v>0</v>
      </c>
      <c r="AN194" s="41">
        <f t="shared" si="74"/>
        <v>0</v>
      </c>
      <c r="AO194" s="41">
        <f t="shared" si="74"/>
        <v>0</v>
      </c>
      <c r="AP194" s="41">
        <f t="shared" si="74"/>
        <v>0</v>
      </c>
      <c r="AQ194" s="41">
        <f t="shared" si="74"/>
        <v>0</v>
      </c>
      <c r="AR194" s="41">
        <f t="shared" si="74"/>
        <v>0</v>
      </c>
      <c r="AS194" s="41">
        <f t="shared" si="70"/>
        <v>1236023400</v>
      </c>
      <c r="AT194" s="41">
        <f t="shared" si="74"/>
        <v>0</v>
      </c>
      <c r="AU194" s="41">
        <f t="shared" si="74"/>
        <v>0</v>
      </c>
      <c r="AV194" s="41">
        <f t="shared" si="74"/>
        <v>0</v>
      </c>
      <c r="AW194" s="41">
        <f t="shared" si="74"/>
        <v>0</v>
      </c>
      <c r="AX194" s="41">
        <f t="shared" si="74"/>
        <v>0</v>
      </c>
      <c r="AY194" s="41">
        <f t="shared" si="62"/>
        <v>2236023400</v>
      </c>
    </row>
    <row r="195" spans="1:51" ht="120">
      <c r="B195" s="90" t="s">
        <v>2680</v>
      </c>
      <c r="C195" s="90"/>
      <c r="D195" s="90"/>
      <c r="E195" s="42">
        <f>E194+E189+E184+E178</f>
        <v>657737017</v>
      </c>
      <c r="F195" s="42">
        <f>F194+F189+F184+F178</f>
        <v>177185680</v>
      </c>
      <c r="G195" s="42">
        <f t="shared" ref="G195:AY195" si="75">G194+G189+G184+G178</f>
        <v>5182501250</v>
      </c>
      <c r="H195" s="42">
        <f t="shared" si="75"/>
        <v>187976288</v>
      </c>
      <c r="I195" s="42">
        <f t="shared" si="75"/>
        <v>6205400235</v>
      </c>
      <c r="J195" s="42">
        <f t="shared" si="75"/>
        <v>0</v>
      </c>
      <c r="K195" s="42">
        <f t="shared" si="75"/>
        <v>0</v>
      </c>
      <c r="L195" s="42">
        <f t="shared" si="75"/>
        <v>0</v>
      </c>
      <c r="M195" s="42">
        <f t="shared" si="75"/>
        <v>0</v>
      </c>
      <c r="N195" s="42">
        <f t="shared" si="75"/>
        <v>0</v>
      </c>
      <c r="O195" s="42">
        <f t="shared" si="75"/>
        <v>3900000000</v>
      </c>
      <c r="P195" s="42">
        <f t="shared" si="75"/>
        <v>2575000000</v>
      </c>
      <c r="Q195" s="42">
        <f t="shared" si="75"/>
        <v>2652250000</v>
      </c>
      <c r="R195" s="42">
        <f t="shared" si="75"/>
        <v>2758340000</v>
      </c>
      <c r="S195" s="42">
        <f t="shared" si="75"/>
        <v>11885590000</v>
      </c>
      <c r="T195" s="42">
        <f t="shared" si="75"/>
        <v>11189528893</v>
      </c>
      <c r="U195" s="42">
        <f t="shared" si="75"/>
        <v>19694979503.275612</v>
      </c>
      <c r="V195" s="42">
        <f t="shared" si="75"/>
        <v>22876755340.550819</v>
      </c>
      <c r="W195" s="42">
        <f t="shared" si="75"/>
        <v>25408842821.630264</v>
      </c>
      <c r="X195" s="42">
        <f t="shared" si="75"/>
        <v>79170106558.456696</v>
      </c>
      <c r="Y195" s="42">
        <f t="shared" si="75"/>
        <v>0</v>
      </c>
      <c r="Z195" s="42">
        <f t="shared" si="75"/>
        <v>0</v>
      </c>
      <c r="AA195" s="42">
        <f t="shared" si="75"/>
        <v>0</v>
      </c>
      <c r="AB195" s="42">
        <f t="shared" si="75"/>
        <v>0</v>
      </c>
      <c r="AC195" s="42">
        <f t="shared" si="75"/>
        <v>0</v>
      </c>
      <c r="AD195" s="42">
        <f t="shared" si="75"/>
        <v>0</v>
      </c>
      <c r="AE195" s="42">
        <f t="shared" si="75"/>
        <v>0</v>
      </c>
      <c r="AF195" s="42">
        <f t="shared" si="75"/>
        <v>0</v>
      </c>
      <c r="AG195" s="42">
        <f t="shared" si="75"/>
        <v>0</v>
      </c>
      <c r="AH195" s="42">
        <f t="shared" si="75"/>
        <v>0</v>
      </c>
      <c r="AI195" s="42">
        <f t="shared" si="75"/>
        <v>0</v>
      </c>
      <c r="AJ195" s="42">
        <f t="shared" si="75"/>
        <v>0</v>
      </c>
      <c r="AK195" s="42">
        <f t="shared" si="75"/>
        <v>0</v>
      </c>
      <c r="AL195" s="42">
        <f t="shared" si="75"/>
        <v>0</v>
      </c>
      <c r="AM195" s="42">
        <f t="shared" si="75"/>
        <v>0</v>
      </c>
      <c r="AN195" s="42">
        <f t="shared" si="75"/>
        <v>0</v>
      </c>
      <c r="AO195" s="42">
        <f t="shared" si="75"/>
        <v>0</v>
      </c>
      <c r="AP195" s="42">
        <f t="shared" si="75"/>
        <v>0</v>
      </c>
      <c r="AQ195" s="42">
        <f t="shared" si="75"/>
        <v>0</v>
      </c>
      <c r="AR195" s="42">
        <f t="shared" si="75"/>
        <v>0</v>
      </c>
      <c r="AS195" s="42">
        <f t="shared" si="75"/>
        <v>91055696558.456696</v>
      </c>
      <c r="AT195" s="42">
        <f t="shared" si="75"/>
        <v>9750000000</v>
      </c>
      <c r="AU195" s="42">
        <f t="shared" si="75"/>
        <v>9933430000</v>
      </c>
      <c r="AV195" s="42">
        <f t="shared" si="75"/>
        <v>9542612900</v>
      </c>
      <c r="AW195" s="42">
        <f t="shared" si="75"/>
        <v>9746841287</v>
      </c>
      <c r="AX195" s="42">
        <f t="shared" si="75"/>
        <v>38972884187</v>
      </c>
      <c r="AY195" s="42">
        <f t="shared" si="75"/>
        <v>136233980980.4567</v>
      </c>
    </row>
    <row r="196" spans="1:51" ht="34.799999999999997">
      <c r="B196" s="91" t="s">
        <v>2681</v>
      </c>
      <c r="C196" s="91"/>
      <c r="D196" s="32"/>
      <c r="E196" s="40">
        <f>E195+E161+E151+E136+E97+E70</f>
        <v>93888571053.529999</v>
      </c>
      <c r="F196" s="40">
        <f t="shared" ref="F196:AX196" si="76">F195+F161+F151+F136+F97+F70</f>
        <v>107144851827.60907</v>
      </c>
      <c r="G196" s="40">
        <f t="shared" si="76"/>
        <v>107012252420.5864</v>
      </c>
      <c r="H196" s="40">
        <f t="shared" si="76"/>
        <v>109060776021.10501</v>
      </c>
      <c r="I196" s="40">
        <f t="shared" si="76"/>
        <v>417106451322.83044</v>
      </c>
      <c r="J196" s="40">
        <f t="shared" si="76"/>
        <v>610955420797</v>
      </c>
      <c r="K196" s="40">
        <f t="shared" si="76"/>
        <v>629284083420.91003</v>
      </c>
      <c r="L196" s="40">
        <f t="shared" si="76"/>
        <v>648162605923.828</v>
      </c>
      <c r="M196" s="40">
        <f t="shared" si="76"/>
        <v>667607484101.07288</v>
      </c>
      <c r="N196" s="40">
        <f t="shared" si="76"/>
        <v>2556009594242.8101</v>
      </c>
      <c r="O196" s="40">
        <f t="shared" si="76"/>
        <v>144243616982.77319</v>
      </c>
      <c r="P196" s="40">
        <f t="shared" si="76"/>
        <v>149173053025.61047</v>
      </c>
      <c r="Q196" s="40">
        <f t="shared" si="76"/>
        <v>161308940303.33392</v>
      </c>
      <c r="R196" s="40">
        <f t="shared" si="76"/>
        <v>168560621852.3992</v>
      </c>
      <c r="S196" s="40">
        <f t="shared" si="76"/>
        <v>623286232164.11682</v>
      </c>
      <c r="T196" s="40">
        <f t="shared" si="76"/>
        <v>25785226643.260002</v>
      </c>
      <c r="U196" s="40">
        <f t="shared" si="76"/>
        <v>52171793477.275612</v>
      </c>
      <c r="V196" s="40">
        <f t="shared" si="76"/>
        <v>55568797522.450821</v>
      </c>
      <c r="W196" s="40">
        <f t="shared" si="76"/>
        <v>61595455552.466965</v>
      </c>
      <c r="X196" s="40">
        <f t="shared" si="76"/>
        <v>195121273195.4534</v>
      </c>
      <c r="Y196" s="40">
        <f t="shared" si="76"/>
        <v>100000000</v>
      </c>
      <c r="Z196" s="40">
        <f t="shared" si="76"/>
        <v>110000000</v>
      </c>
      <c r="AA196" s="40">
        <f t="shared" si="76"/>
        <v>115000000</v>
      </c>
      <c r="AB196" s="40">
        <f t="shared" si="76"/>
        <v>135000000</v>
      </c>
      <c r="AC196" s="40">
        <f t="shared" si="76"/>
        <v>460000000</v>
      </c>
      <c r="AD196" s="40">
        <f t="shared" si="76"/>
        <v>0</v>
      </c>
      <c r="AE196" s="40">
        <f t="shared" si="76"/>
        <v>0</v>
      </c>
      <c r="AF196" s="40">
        <f t="shared" si="76"/>
        <v>25000000000</v>
      </c>
      <c r="AG196" s="40">
        <f t="shared" si="76"/>
        <v>0</v>
      </c>
      <c r="AH196" s="40">
        <f t="shared" si="76"/>
        <v>25000000000</v>
      </c>
      <c r="AI196" s="40">
        <f t="shared" si="76"/>
        <v>103783792889</v>
      </c>
      <c r="AJ196" s="40">
        <f t="shared" si="76"/>
        <v>60000000000</v>
      </c>
      <c r="AK196" s="40">
        <f t="shared" si="76"/>
        <v>35000000000</v>
      </c>
      <c r="AL196" s="40">
        <f t="shared" si="76"/>
        <v>0</v>
      </c>
      <c r="AM196" s="40">
        <f t="shared" si="76"/>
        <v>198783792889</v>
      </c>
      <c r="AN196" s="40">
        <f t="shared" si="76"/>
        <v>14569237200</v>
      </c>
      <c r="AO196" s="40">
        <f t="shared" si="76"/>
        <v>105000000</v>
      </c>
      <c r="AP196" s="40">
        <f t="shared" si="76"/>
        <v>141750000</v>
      </c>
      <c r="AQ196" s="40">
        <f t="shared" si="76"/>
        <v>148837500</v>
      </c>
      <c r="AR196" s="40">
        <f t="shared" si="76"/>
        <v>14964824700</v>
      </c>
      <c r="AS196" s="40">
        <f t="shared" si="76"/>
        <v>3613625717191.3804</v>
      </c>
      <c r="AT196" s="40">
        <f t="shared" si="76"/>
        <v>18650000000</v>
      </c>
      <c r="AU196" s="40">
        <f t="shared" si="76"/>
        <v>19194430000</v>
      </c>
      <c r="AV196" s="40">
        <f t="shared" si="76"/>
        <v>19180142900</v>
      </c>
      <c r="AW196" s="40">
        <f t="shared" si="76"/>
        <v>19666632187</v>
      </c>
      <c r="AX196" s="40">
        <f t="shared" si="76"/>
        <v>76691205087</v>
      </c>
      <c r="AY196" s="40">
        <f>SUM(AX196+AS196+I196)</f>
        <v>4107423373601.2109</v>
      </c>
    </row>
  </sheetData>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1BFC2-DE19-4E8D-B2C1-E5436F24F2CE}">
  <sheetPr>
    <tabColor theme="8" tint="0.59999389629810485"/>
  </sheetPr>
  <dimension ref="A1:JV252"/>
  <sheetViews>
    <sheetView topLeftCell="B1" workbookViewId="0">
      <selection activeCell="B2" sqref="B2"/>
    </sheetView>
  </sheetViews>
  <sheetFormatPr baseColWidth="10" defaultColWidth="8.8984375" defaultRowHeight="13.8"/>
  <cols>
    <col min="1" max="1" width="17.8984375" hidden="1" customWidth="1"/>
    <col min="2" max="2" width="9.3984375" style="349" customWidth="1"/>
    <col min="3" max="3" width="10.8984375" customWidth="1"/>
    <col min="4" max="4" width="15.3984375" customWidth="1"/>
    <col min="5" max="12" width="34.69921875" hidden="1" customWidth="1"/>
    <col min="13" max="14" width="34.69921875" customWidth="1"/>
    <col min="15" max="15" width="7.69921875" bestFit="1" customWidth="1"/>
    <col min="16" max="16" width="34.69921875" hidden="1" customWidth="1"/>
    <col min="17" max="17" width="5.296875" customWidth="1"/>
    <col min="18" max="18" width="34.69921875" hidden="1" customWidth="1"/>
    <col min="19" max="20" width="34.69921875" style="376" customWidth="1"/>
    <col min="21" max="21" width="34.69921875" style="376" hidden="1" customWidth="1"/>
    <col min="22" max="23" width="34.69921875" style="376" customWidth="1"/>
    <col min="24" max="24" width="43.8984375" style="446" customWidth="1"/>
    <col min="25" max="25" width="8.8984375" style="626"/>
    <col min="26" max="27" width="8.8984375" style="627"/>
    <col min="28" max="28" width="8.8984375" style="628"/>
    <col min="29" max="29" width="8.8984375" style="637"/>
    <col min="30" max="30" width="44" style="446" bestFit="1" customWidth="1"/>
    <col min="31" max="31" width="8.8984375" style="626"/>
    <col min="32" max="33" width="8.8984375" style="627"/>
    <col min="34" max="34" width="8.8984375" style="628"/>
    <col min="35" max="35" width="8.8984375" style="637"/>
    <col min="36" max="36" width="44" style="446" bestFit="1" customWidth="1"/>
    <col min="37" max="37" width="8.8984375" style="626"/>
    <col min="38" max="39" width="8.8984375" style="627"/>
    <col min="40" max="40" width="8.8984375" style="628"/>
    <col min="41" max="41" width="8.8984375" style="637"/>
    <col min="42" max="42" width="44" style="446" bestFit="1" customWidth="1"/>
    <col min="43" max="43" width="8.8984375" style="626"/>
    <col min="44" max="45" width="8.8984375" style="627"/>
    <col min="46" max="46" width="8.8984375" style="628"/>
    <col min="47" max="47" width="8.8984375" style="637"/>
    <col min="48" max="48" width="13.3984375" style="427" customWidth="1"/>
    <col min="49" max="49" width="15.59765625" style="428" customWidth="1"/>
  </cols>
  <sheetData>
    <row r="1" spans="1:282" s="604" customFormat="1" ht="39" customHeight="1">
      <c r="A1" s="599" t="s">
        <v>2348</v>
      </c>
      <c r="B1" s="599" t="s">
        <v>5023</v>
      </c>
      <c r="C1" s="599" t="s">
        <v>6747</v>
      </c>
      <c r="D1" s="599" t="s">
        <v>5040</v>
      </c>
      <c r="E1" s="599" t="s">
        <v>3991</v>
      </c>
      <c r="F1" s="599" t="s">
        <v>3992</v>
      </c>
      <c r="G1" s="599" t="s">
        <v>3993</v>
      </c>
      <c r="H1" s="599" t="s">
        <v>3994</v>
      </c>
      <c r="I1" s="599" t="s">
        <v>0</v>
      </c>
      <c r="J1" s="599" t="s">
        <v>2347</v>
      </c>
      <c r="K1" s="599" t="s">
        <v>3995</v>
      </c>
      <c r="L1" s="599" t="s">
        <v>3996</v>
      </c>
      <c r="M1" s="599" t="s">
        <v>3997</v>
      </c>
      <c r="N1" s="599" t="s">
        <v>5660</v>
      </c>
      <c r="O1" s="599" t="s">
        <v>753</v>
      </c>
      <c r="P1" s="599" t="s">
        <v>3998</v>
      </c>
      <c r="Q1" s="599" t="s">
        <v>3999</v>
      </c>
      <c r="R1" s="599" t="s">
        <v>2348</v>
      </c>
      <c r="S1" s="582" t="s">
        <v>6332</v>
      </c>
      <c r="T1" s="564" t="s">
        <v>5038</v>
      </c>
      <c r="U1" s="564"/>
      <c r="V1" s="567" t="s">
        <v>5039</v>
      </c>
      <c r="W1" s="581" t="s">
        <v>6658</v>
      </c>
      <c r="X1" s="600" t="s">
        <v>5648</v>
      </c>
      <c r="Y1" s="647" t="s">
        <v>5034</v>
      </c>
      <c r="Z1" s="647" t="s">
        <v>5035</v>
      </c>
      <c r="AA1" s="647" t="s">
        <v>5036</v>
      </c>
      <c r="AB1" s="647" t="s">
        <v>5037</v>
      </c>
      <c r="AC1" s="648" t="s">
        <v>3974</v>
      </c>
      <c r="AD1" s="600" t="s">
        <v>5649</v>
      </c>
      <c r="AE1" s="647" t="s">
        <v>5075</v>
      </c>
      <c r="AF1" s="647" t="s">
        <v>5076</v>
      </c>
      <c r="AG1" s="647" t="s">
        <v>5077</v>
      </c>
      <c r="AH1" s="647" t="s">
        <v>5078</v>
      </c>
      <c r="AI1" s="648" t="s">
        <v>3975</v>
      </c>
      <c r="AJ1" s="600" t="s">
        <v>5650</v>
      </c>
      <c r="AK1" s="647" t="s">
        <v>5079</v>
      </c>
      <c r="AL1" s="647" t="s">
        <v>5080</v>
      </c>
      <c r="AM1" s="647" t="s">
        <v>5081</v>
      </c>
      <c r="AN1" s="647" t="s">
        <v>5082</v>
      </c>
      <c r="AO1" s="648" t="s">
        <v>3976</v>
      </c>
      <c r="AP1" s="600" t="s">
        <v>6179</v>
      </c>
      <c r="AQ1" s="647" t="s">
        <v>5083</v>
      </c>
      <c r="AR1" s="647" t="s">
        <v>5084</v>
      </c>
      <c r="AS1" s="647" t="s">
        <v>5085</v>
      </c>
      <c r="AT1" s="647" t="s">
        <v>5086</v>
      </c>
      <c r="AU1" s="648" t="s">
        <v>3977</v>
      </c>
      <c r="AV1" s="601" t="s">
        <v>6337</v>
      </c>
      <c r="AW1" s="602" t="s">
        <v>5041</v>
      </c>
      <c r="AX1" s="372" t="s">
        <v>5089</v>
      </c>
      <c r="AY1" s="373" t="s">
        <v>5090</v>
      </c>
      <c r="AZ1" s="373" t="s">
        <v>5091</v>
      </c>
      <c r="BA1" s="373" t="s">
        <v>5092</v>
      </c>
      <c r="BB1" s="373" t="s">
        <v>5093</v>
      </c>
      <c r="BC1" s="373" t="s">
        <v>5094</v>
      </c>
      <c r="BD1" s="373" t="s">
        <v>5095</v>
      </c>
      <c r="BE1" s="373" t="s">
        <v>5096</v>
      </c>
      <c r="BF1" s="387" t="s">
        <v>5102</v>
      </c>
      <c r="BG1" s="374" t="s">
        <v>5098</v>
      </c>
      <c r="BH1" s="374" t="s">
        <v>5099</v>
      </c>
      <c r="BI1" s="374" t="s">
        <v>5100</v>
      </c>
      <c r="BJ1" s="387" t="s">
        <v>5101</v>
      </c>
      <c r="BK1" s="386" t="s">
        <v>5097</v>
      </c>
      <c r="BL1" s="372" t="s">
        <v>5124</v>
      </c>
      <c r="BM1" s="373" t="s">
        <v>5125</v>
      </c>
      <c r="BN1" s="373" t="s">
        <v>5126</v>
      </c>
      <c r="BO1" s="373" t="s">
        <v>5127</v>
      </c>
      <c r="BP1" s="373" t="s">
        <v>5128</v>
      </c>
      <c r="BQ1" s="373" t="s">
        <v>5116</v>
      </c>
      <c r="BR1" s="373" t="s">
        <v>5117</v>
      </c>
      <c r="BS1" s="375" t="s">
        <v>5118</v>
      </c>
      <c r="BT1" s="387" t="s">
        <v>5309</v>
      </c>
      <c r="BU1" s="374" t="s">
        <v>5120</v>
      </c>
      <c r="BV1" s="374" t="s">
        <v>5121</v>
      </c>
      <c r="BW1" s="374" t="s">
        <v>5122</v>
      </c>
      <c r="BX1" s="385" t="s">
        <v>5123</v>
      </c>
      <c r="BY1" s="386" t="s">
        <v>5119</v>
      </c>
      <c r="BZ1" s="372" t="s">
        <v>5129</v>
      </c>
      <c r="CA1" s="373" t="s">
        <v>5130</v>
      </c>
      <c r="CB1" s="373" t="s">
        <v>5131</v>
      </c>
      <c r="CC1" s="373" t="s">
        <v>5132</v>
      </c>
      <c r="CD1" s="373" t="s">
        <v>5133</v>
      </c>
      <c r="CE1" s="373" t="s">
        <v>5134</v>
      </c>
      <c r="CF1" s="373" t="s">
        <v>5135</v>
      </c>
      <c r="CG1" s="373" t="s">
        <v>5136</v>
      </c>
      <c r="CH1" s="385" t="s">
        <v>5310</v>
      </c>
      <c r="CI1" s="374" t="s">
        <v>5138</v>
      </c>
      <c r="CJ1" s="374" t="s">
        <v>5139</v>
      </c>
      <c r="CK1" s="374" t="s">
        <v>5140</v>
      </c>
      <c r="CL1" s="385" t="s">
        <v>5141</v>
      </c>
      <c r="CM1" s="386" t="s">
        <v>5137</v>
      </c>
      <c r="CN1" s="372" t="s">
        <v>5142</v>
      </c>
      <c r="CO1" s="373" t="s">
        <v>5143</v>
      </c>
      <c r="CP1" s="373" t="s">
        <v>5144</v>
      </c>
      <c r="CQ1" s="373" t="s">
        <v>5145</v>
      </c>
      <c r="CR1" s="373" t="s">
        <v>5146</v>
      </c>
      <c r="CS1" s="373" t="s">
        <v>5147</v>
      </c>
      <c r="CT1" s="373" t="s">
        <v>5148</v>
      </c>
      <c r="CU1" s="373" t="s">
        <v>5149</v>
      </c>
      <c r="CV1" s="385" t="s">
        <v>5155</v>
      </c>
      <c r="CW1" s="374" t="s">
        <v>5151</v>
      </c>
      <c r="CX1" s="374" t="s">
        <v>5152</v>
      </c>
      <c r="CY1" s="374" t="s">
        <v>5153</v>
      </c>
      <c r="CZ1" s="385" t="s">
        <v>5154</v>
      </c>
      <c r="DA1" s="386" t="s">
        <v>5150</v>
      </c>
      <c r="DB1" s="379" t="s">
        <v>5156</v>
      </c>
      <c r="DC1" s="380" t="s">
        <v>5308</v>
      </c>
      <c r="DD1" s="372" t="s">
        <v>5103</v>
      </c>
      <c r="DE1" s="373" t="s">
        <v>5104</v>
      </c>
      <c r="DF1" s="373" t="s">
        <v>5105</v>
      </c>
      <c r="DG1" s="373" t="s">
        <v>5106</v>
      </c>
      <c r="DH1" s="373" t="s">
        <v>5107</v>
      </c>
      <c r="DI1" s="373" t="s">
        <v>5108</v>
      </c>
      <c r="DJ1" s="373" t="s">
        <v>5109</v>
      </c>
      <c r="DK1" s="373" t="s">
        <v>5110</v>
      </c>
      <c r="DL1" s="385" t="s">
        <v>5157</v>
      </c>
      <c r="DM1" s="374" t="s">
        <v>5112</v>
      </c>
      <c r="DN1" s="374" t="s">
        <v>5113</v>
      </c>
      <c r="DO1" s="374" t="s">
        <v>5114</v>
      </c>
      <c r="DP1" s="385" t="s">
        <v>5115</v>
      </c>
      <c r="DQ1" s="378" t="s">
        <v>5111</v>
      </c>
      <c r="DR1" s="372" t="s">
        <v>5158</v>
      </c>
      <c r="DS1" s="373" t="s">
        <v>5159</v>
      </c>
      <c r="DT1" s="373" t="s">
        <v>5160</v>
      </c>
      <c r="DU1" s="373" t="s">
        <v>5161</v>
      </c>
      <c r="DV1" s="373" t="s">
        <v>5162</v>
      </c>
      <c r="DW1" s="373" t="s">
        <v>5163</v>
      </c>
      <c r="DX1" s="373" t="s">
        <v>5164</v>
      </c>
      <c r="DY1" s="373" t="s">
        <v>5165</v>
      </c>
      <c r="DZ1" s="385" t="s">
        <v>6171</v>
      </c>
      <c r="EA1" s="374" t="s">
        <v>5167</v>
      </c>
      <c r="EB1" s="374" t="s">
        <v>5168</v>
      </c>
      <c r="EC1" s="374" t="s">
        <v>5169</v>
      </c>
      <c r="ED1" s="385" t="s">
        <v>5170</v>
      </c>
      <c r="EE1" s="378" t="s">
        <v>5166</v>
      </c>
      <c r="EF1" s="372" t="s">
        <v>5171</v>
      </c>
      <c r="EG1" s="373" t="s">
        <v>5172</v>
      </c>
      <c r="EH1" s="373" t="s">
        <v>5173</v>
      </c>
      <c r="EI1" s="373" t="s">
        <v>5174</v>
      </c>
      <c r="EJ1" s="373" t="s">
        <v>5175</v>
      </c>
      <c r="EK1" s="373" t="s">
        <v>5176</v>
      </c>
      <c r="EL1" s="373" t="s">
        <v>5177</v>
      </c>
      <c r="EM1" s="373" t="s">
        <v>5178</v>
      </c>
      <c r="EN1" s="385" t="s">
        <v>6172</v>
      </c>
      <c r="EO1" s="374" t="s">
        <v>5180</v>
      </c>
      <c r="EP1" s="374" t="s">
        <v>5181</v>
      </c>
      <c r="EQ1" s="374" t="s">
        <v>5182</v>
      </c>
      <c r="ER1" s="385" t="s">
        <v>5183</v>
      </c>
      <c r="ES1" s="378" t="s">
        <v>5179</v>
      </c>
      <c r="ET1" s="372" t="s">
        <v>5184</v>
      </c>
      <c r="EU1" s="373" t="s">
        <v>5185</v>
      </c>
      <c r="EV1" s="373" t="s">
        <v>5186</v>
      </c>
      <c r="EW1" s="373" t="s">
        <v>5187</v>
      </c>
      <c r="EX1" s="373" t="s">
        <v>5188</v>
      </c>
      <c r="EY1" s="373" t="s">
        <v>5189</v>
      </c>
      <c r="EZ1" s="373" t="s">
        <v>5190</v>
      </c>
      <c r="FA1" s="373" t="s">
        <v>5191</v>
      </c>
      <c r="FB1" s="385" t="s">
        <v>5192</v>
      </c>
      <c r="FC1" s="374" t="s">
        <v>5193</v>
      </c>
      <c r="FD1" s="374" t="s">
        <v>5194</v>
      </c>
      <c r="FE1" s="374" t="s">
        <v>5195</v>
      </c>
      <c r="FF1" s="384" t="s">
        <v>5196</v>
      </c>
      <c r="FG1" s="378" t="s">
        <v>5198</v>
      </c>
      <c r="FH1" s="379" t="s">
        <v>5197</v>
      </c>
      <c r="FI1" s="380" t="s">
        <v>6170</v>
      </c>
      <c r="FJ1" s="372" t="s">
        <v>5199</v>
      </c>
      <c r="FK1" s="373" t="s">
        <v>5200</v>
      </c>
      <c r="FL1" s="373" t="s">
        <v>5201</v>
      </c>
      <c r="FM1" s="373" t="s">
        <v>5202</v>
      </c>
      <c r="FN1" s="373" t="s">
        <v>5203</v>
      </c>
      <c r="FO1" s="373" t="s">
        <v>5204</v>
      </c>
      <c r="FP1" s="373" t="s">
        <v>5205</v>
      </c>
      <c r="FQ1" s="373" t="s">
        <v>5206</v>
      </c>
      <c r="FR1" s="377" t="s">
        <v>5207</v>
      </c>
      <c r="FS1" s="374" t="s">
        <v>5208</v>
      </c>
      <c r="FT1" s="374" t="s">
        <v>5209</v>
      </c>
      <c r="FU1" s="374" t="s">
        <v>5210</v>
      </c>
      <c r="FV1" s="377" t="s">
        <v>5211</v>
      </c>
      <c r="FW1" s="378" t="s">
        <v>5212</v>
      </c>
      <c r="FX1" s="372" t="s">
        <v>5213</v>
      </c>
      <c r="FY1" s="373" t="s">
        <v>5214</v>
      </c>
      <c r="FZ1" s="373" t="s">
        <v>5215</v>
      </c>
      <c r="GA1" s="373" t="s">
        <v>5216</v>
      </c>
      <c r="GB1" s="373" t="s">
        <v>5217</v>
      </c>
      <c r="GC1" s="373" t="s">
        <v>5218</v>
      </c>
      <c r="GD1" s="373" t="s">
        <v>5219</v>
      </c>
      <c r="GE1" s="373" t="s">
        <v>5220</v>
      </c>
      <c r="GF1" s="377" t="s">
        <v>6174</v>
      </c>
      <c r="GG1" s="374" t="s">
        <v>5222</v>
      </c>
      <c r="GH1" s="374" t="s">
        <v>5223</v>
      </c>
      <c r="GI1" s="374" t="s">
        <v>5224</v>
      </c>
      <c r="GJ1" s="377" t="s">
        <v>5225</v>
      </c>
      <c r="GK1" s="378" t="s">
        <v>5221</v>
      </c>
      <c r="GL1" s="372" t="s">
        <v>5226</v>
      </c>
      <c r="GM1" s="373" t="s">
        <v>5227</v>
      </c>
      <c r="GN1" s="373" t="s">
        <v>5228</v>
      </c>
      <c r="GO1" s="373" t="s">
        <v>5229</v>
      </c>
      <c r="GP1" s="373" t="s">
        <v>5230</v>
      </c>
      <c r="GQ1" s="373" t="s">
        <v>5231</v>
      </c>
      <c r="GR1" s="373" t="s">
        <v>5232</v>
      </c>
      <c r="GS1" s="373" t="s">
        <v>5233</v>
      </c>
      <c r="GT1" s="377" t="s">
        <v>6175</v>
      </c>
      <c r="GU1" s="374" t="s">
        <v>5235</v>
      </c>
      <c r="GV1" s="374" t="s">
        <v>5236</v>
      </c>
      <c r="GW1" s="374" t="s">
        <v>5237</v>
      </c>
      <c r="GX1" s="377" t="s">
        <v>5238</v>
      </c>
      <c r="GY1" s="378" t="s">
        <v>5234</v>
      </c>
      <c r="GZ1" s="372" t="s">
        <v>5239</v>
      </c>
      <c r="HA1" s="373" t="s">
        <v>5240</v>
      </c>
      <c r="HB1" s="373" t="s">
        <v>5241</v>
      </c>
      <c r="HC1" s="373" t="s">
        <v>5242</v>
      </c>
      <c r="HD1" s="373" t="s">
        <v>5243</v>
      </c>
      <c r="HE1" s="373" t="s">
        <v>5244</v>
      </c>
      <c r="HF1" s="373" t="s">
        <v>5245</v>
      </c>
      <c r="HG1" s="373" t="s">
        <v>5246</v>
      </c>
      <c r="HH1" s="377" t="s">
        <v>5247</v>
      </c>
      <c r="HI1" s="374" t="s">
        <v>5248</v>
      </c>
      <c r="HJ1" s="374" t="s">
        <v>5249</v>
      </c>
      <c r="HK1" s="374" t="s">
        <v>5250</v>
      </c>
      <c r="HL1" s="377" t="s">
        <v>5251</v>
      </c>
      <c r="HM1" s="378" t="s">
        <v>5234</v>
      </c>
      <c r="HN1" s="379" t="s">
        <v>5252</v>
      </c>
      <c r="HO1" s="380" t="s">
        <v>6173</v>
      </c>
      <c r="HP1" s="372" t="s">
        <v>5253</v>
      </c>
      <c r="HQ1" s="373" t="s">
        <v>5254</v>
      </c>
      <c r="HR1" s="373" t="s">
        <v>5255</v>
      </c>
      <c r="HS1" s="373" t="s">
        <v>5256</v>
      </c>
      <c r="HT1" s="373" t="s">
        <v>5257</v>
      </c>
      <c r="HU1" s="373" t="s">
        <v>5258</v>
      </c>
      <c r="HV1" s="373" t="s">
        <v>5259</v>
      </c>
      <c r="HW1" s="373" t="s">
        <v>5260</v>
      </c>
      <c r="HX1" s="377" t="s">
        <v>5261</v>
      </c>
      <c r="HY1" s="374" t="s">
        <v>5262</v>
      </c>
      <c r="HZ1" s="374" t="s">
        <v>5263</v>
      </c>
      <c r="IA1" s="374" t="s">
        <v>5264</v>
      </c>
      <c r="IB1" s="377" t="s">
        <v>5265</v>
      </c>
      <c r="IC1" s="378" t="s">
        <v>5266</v>
      </c>
      <c r="ID1" s="372" t="s">
        <v>5267</v>
      </c>
      <c r="IE1" s="373" t="s">
        <v>5268</v>
      </c>
      <c r="IF1" s="373" t="s">
        <v>5269</v>
      </c>
      <c r="IG1" s="373" t="s">
        <v>5270</v>
      </c>
      <c r="IH1" s="373" t="s">
        <v>5271</v>
      </c>
      <c r="II1" s="373" t="s">
        <v>5272</v>
      </c>
      <c r="IJ1" s="373" t="s">
        <v>5273</v>
      </c>
      <c r="IK1" s="373" t="s">
        <v>5274</v>
      </c>
      <c r="IL1" s="377" t="s">
        <v>6176</v>
      </c>
      <c r="IM1" s="374" t="s">
        <v>5276</v>
      </c>
      <c r="IN1" s="374" t="s">
        <v>5277</v>
      </c>
      <c r="IO1" s="374" t="s">
        <v>5278</v>
      </c>
      <c r="IP1" s="377" t="s">
        <v>5279</v>
      </c>
      <c r="IQ1" s="378" t="s">
        <v>5275</v>
      </c>
      <c r="IR1" s="372" t="s">
        <v>5280</v>
      </c>
      <c r="IS1" s="373" t="s">
        <v>5281</v>
      </c>
      <c r="IT1" s="373" t="s">
        <v>5282</v>
      </c>
      <c r="IU1" s="373" t="s">
        <v>5283</v>
      </c>
      <c r="IV1" s="373" t="s">
        <v>5284</v>
      </c>
      <c r="IW1" s="373" t="s">
        <v>5285</v>
      </c>
      <c r="IX1" s="373" t="s">
        <v>5286</v>
      </c>
      <c r="IY1" s="373" t="s">
        <v>5287</v>
      </c>
      <c r="IZ1" s="377" t="s">
        <v>6177</v>
      </c>
      <c r="JA1" s="374" t="s">
        <v>5289</v>
      </c>
      <c r="JB1" s="374" t="s">
        <v>5290</v>
      </c>
      <c r="JC1" s="374" t="s">
        <v>5291</v>
      </c>
      <c r="JD1" s="377" t="s">
        <v>5292</v>
      </c>
      <c r="JE1" s="378" t="s">
        <v>5288</v>
      </c>
      <c r="JF1" s="372" t="s">
        <v>5293</v>
      </c>
      <c r="JG1" s="373" t="s">
        <v>5294</v>
      </c>
      <c r="JH1" s="373" t="s">
        <v>5295</v>
      </c>
      <c r="JI1" s="373" t="s">
        <v>5296</v>
      </c>
      <c r="JJ1" s="373" t="s">
        <v>5297</v>
      </c>
      <c r="JK1" s="373" t="s">
        <v>5298</v>
      </c>
      <c r="JL1" s="373" t="s">
        <v>5299</v>
      </c>
      <c r="JM1" s="373" t="s">
        <v>5300</v>
      </c>
      <c r="JN1" s="377" t="s">
        <v>5301</v>
      </c>
      <c r="JO1" s="374" t="s">
        <v>5302</v>
      </c>
      <c r="JP1" s="374" t="s">
        <v>5303</v>
      </c>
      <c r="JQ1" s="374" t="s">
        <v>5304</v>
      </c>
      <c r="JR1" s="377" t="s">
        <v>5305</v>
      </c>
      <c r="JS1" s="378" t="s">
        <v>5288</v>
      </c>
      <c r="JT1" s="379" t="s">
        <v>5306</v>
      </c>
      <c r="JU1" s="380" t="s">
        <v>6178</v>
      </c>
      <c r="JV1" s="603" t="s">
        <v>5307</v>
      </c>
    </row>
    <row r="2" spans="1:282">
      <c r="A2" t="str" cm="1">
        <f t="array" ref="A2">IFERROR(_xlfn._xlws.FILTER('Ind Man-Inc'!A1:R43, 'Ind Man-Inc'!A1:A43 = 'Datos Enlace'!A2), "")</f>
        <v/>
      </c>
      <c r="S2" s="568"/>
      <c r="T2" s="414"/>
      <c r="U2" s="661" t="str">
        <f t="shared" ref="U2" si="0">"Dimensión_"&amp;MID(T2,11,1)</f>
        <v>Dimensión_</v>
      </c>
      <c r="V2" s="414"/>
      <c r="W2" s="568"/>
      <c r="X2" s="449" t="str">
        <f>IFERROR(IF(VLOOKUP(B2,'Matriz de Referencia'!$B$2:$CO$584,'Matriz de Referencia'!AM$1,FALSE)&gt;0,"Diligenciar la vigencia, tiene presupuesto programado","No diligenciar, no programo presupuesto"),"")</f>
        <v/>
      </c>
      <c r="Y2" s="649"/>
      <c r="Z2" s="649"/>
      <c r="AA2" s="649"/>
      <c r="AB2" s="649"/>
      <c r="AC2" s="650" t="str">
        <f>IFERROR(IF(D2="Mantenimiento", AVERAGE(Y2:AB2), IF(D2="Incremento", SUM(Y2:AB2), "")),"")</f>
        <v/>
      </c>
      <c r="AD2" s="449" t="str">
        <f>IFERROR(IF(VLOOKUP($B2,'Matriz de Referencia'!$B$2:$CO$584,'Matriz de Referencia'!BA$1,FALSE)&gt;0,"Diligenciar la vigencia, tiene presupuesto programado","No diligenciar, no programo presupuesto"),"")</f>
        <v/>
      </c>
      <c r="AE2" s="649"/>
      <c r="AF2" s="649"/>
      <c r="AG2" s="649"/>
      <c r="AH2" s="649"/>
      <c r="AI2" s="650" t="str">
        <f>IFERROR(IF(D2="Mantenimiento", AVERAGE(AE2:AH2), IF(D2="Incremento", SUM(AE2:AH2), "")),"")</f>
        <v/>
      </c>
      <c r="AJ2" s="449" t="str">
        <f>IFERROR(IF(VLOOKUP($B2,'Matriz de Referencia'!$B$2:$CO$584,'Matriz de Referencia'!BO$1,FALSE)&gt;0,"Diligenciar la vigencia, tiene presupuesto programado","No diligenciar, no programo presupuesto"),"")</f>
        <v/>
      </c>
      <c r="AK2" s="649"/>
      <c r="AL2" s="649"/>
      <c r="AM2" s="649"/>
      <c r="AN2" s="649"/>
      <c r="AO2" s="650" t="str">
        <f>IFERROR(IF(D2="Mantenimiento", AVERAGE(AK2:AN2), IF(D2="Incremento", SUM(AK2:AN2), "")),"")</f>
        <v/>
      </c>
      <c r="AP2" s="449" t="str">
        <f>IFERROR(IF(VLOOKUP($B2,'Matriz de Referencia'!$B$2:$CO$584,'Matriz de Referencia'!CC$1,FALSE)&gt;0,"Diligenciar la vigencia, tiene presupuesto programado","No diligenciar, no programo presupuesto"),"")</f>
        <v/>
      </c>
      <c r="AQ2" s="649"/>
      <c r="AR2" s="649"/>
      <c r="AS2" s="649"/>
      <c r="AT2" s="649"/>
      <c r="AU2" s="650" t="str">
        <f>IFERROR(IF(D2="Mantenimiento", AVERAGE(AQ2:AT2), IF(D2="Incremento", SUM(AQ2:AT2), "")),"")</f>
        <v/>
      </c>
      <c r="AV2" s="448" t="str">
        <f>IFERROR(IF(Z2="Incremento",AU2+AO2+AI2+AC2,AVERAGE(AU2,AO2,AI2,AC2)),"")</f>
        <v/>
      </c>
      <c r="AW2" s="416" t="str">
        <f>IF(AV2="","",IF(D2="Incremento",IF(AV2=(O2-Q2),"Continue",IF(D2="Mantenimiento",IF(AV2=Q2,"Continue","Su Programación es diferente a la meta, revise para continuar"),"Su Programación es diferente a la meta, revise para continuar"))))</f>
        <v/>
      </c>
      <c r="AX2" s="455" t="str">
        <f>IF(OR(Y2=0,Y2=""),"",IF(VLOOKUP(B2,'Matriz de Referencia'!$B$2:$CO$584,'Matriz de Referencia'!BB$1,FALSE)=0,"","Digite"))</f>
        <v/>
      </c>
      <c r="AY2" s="456">
        <f>IF(OR(Y2=0,Y2=""),0,IF(VLOOKUP(B2,'Matriz de Referencia'!$B$2:$CO$584,26,FALSE)=0,0,"Digite"))</f>
        <v>0</v>
      </c>
      <c r="AZ2" s="456">
        <f>IF(OR(Y2=0,Y2=""),0,IF(VLOOKUP(B2,'Matriz de Referencia'!$B$2:$CO$584,27,FALSE)=0,0,"Digite"))</f>
        <v>0</v>
      </c>
      <c r="BA2" s="456">
        <f>IF(OR(Y2=0,Y2=""),0,IF(VLOOKUP(B2,'Matriz de Referencia'!$B$2:$CO$584,28,FALSE)=0,0,"Digite"))</f>
        <v>0</v>
      </c>
      <c r="BB2" s="456">
        <f>IF(OR(Y2=0,Y2=""),0,IF(VLOOKUP(B2,'Matriz de Referencia'!$B$2:$CO$584,29,FALSE)=0,0,"Digite"))</f>
        <v>0</v>
      </c>
      <c r="BC2" s="456">
        <f>IF(OR(Y2=0,Y2=""),0,IF(VLOOKUP(B2,'Matriz de Referencia'!$B$2:$CO$584,30,FALSE)=0,0,"Digite"))</f>
        <v>0</v>
      </c>
      <c r="BD2" s="456">
        <f>IF(OR(Y2=0,Y2=""),0,IF(VLOOKUP(B2,'Matriz de Referencia'!$B$2:$CO$584,31,FALSE)=0,0,"Digite"))</f>
        <v>0</v>
      </c>
      <c r="BE2" s="456">
        <f>IF(OR(Y2=0,Y2=""),0,IF(VLOOKUP(B2,'Matriz de Referencia'!$B$2:$CO$584,32,FALSE)=0,0,"Digite"))</f>
        <v>0</v>
      </c>
      <c r="BF2" s="460">
        <f>SUM(AX2:BE2)</f>
        <v>0</v>
      </c>
      <c r="BG2" s="456">
        <f>IF(OR(Y2=0,Y2=""),0,IF(VLOOKUP(B2,'Matriz de Referencia'!$B$2:$CO$584,34,FALSE)=0,0,"Digite"))</f>
        <v>0</v>
      </c>
      <c r="BH2" s="456">
        <f>IF(OR(Y2=0,Y2=""),0,IF(VLOOKUP(B2,'Matriz de Referencia'!$B$2:$CO$584,35,FALSE)=0,0,"Digite"))</f>
        <v>0</v>
      </c>
      <c r="BI2" s="456">
        <f>IF(OR(Y2=0,Y2=""),0,IF(VLOOKUP(B2,'Matriz de Referencia'!$B$2:$CO$584,36,FALSE)=0,0,"Digite"))</f>
        <v>0</v>
      </c>
      <c r="BJ2" s="457">
        <f>SUM(BG2:BI2)</f>
        <v>0</v>
      </c>
      <c r="BK2" s="457">
        <f>BJ2+BF2</f>
        <v>0</v>
      </c>
      <c r="BL2" s="455">
        <f>IF(OR(Z2=0,Z2=""),0,IF(VLOOKUP(B2,'Matriz de Referencia'!$B$2:$CO$584,25,FALSE)=0,0,"Digite"))</f>
        <v>0</v>
      </c>
      <c r="BM2" s="456">
        <f>IF(OR(Z2=0,Z2=""),0,IF(VLOOKUP(B2,'Matriz de Referencia'!$B$2:$CO$584,26,FALSE)=0,0,"Digite"))</f>
        <v>0</v>
      </c>
      <c r="BN2" s="456">
        <f>IF(OR(Z2=0,Z2=""),0,IF(VLOOKUP(B2,'Matriz de Referencia'!$B$2:$CO$584,27,FALSE)=0,0,"Digite"))</f>
        <v>0</v>
      </c>
      <c r="BO2" s="456">
        <f>IF(OR(Z2=0,Z2=""),0,IF(VLOOKUP(B2,'Matriz de Referencia'!$B$2:$CO$584,28,FALSE)=0,0,"Digite"))</f>
        <v>0</v>
      </c>
      <c r="BP2" s="456">
        <f>IF(OR(Z2=0,Z2=""),0,IF(VLOOKUP(B2,'Matriz de Referencia'!$B$2:$CO$584,29,FALSE)=0,0,"Digite"))</f>
        <v>0</v>
      </c>
      <c r="BQ2" s="456">
        <f>IF(OR(Z2=0,Z2=""),0,IF(VLOOKUP(B2,'Matriz de Referencia'!$B$2:$CO$584,30,FALSE)=0,0,"Digite"))</f>
        <v>0</v>
      </c>
      <c r="BR2" s="456">
        <f>IF(OR(Z2=0,Z2=""),0,IF(VLOOKUP(B2,'Matriz de Referencia'!$B$2:$CO$584,31,FALSE)=0,0,"Digite"))</f>
        <v>0</v>
      </c>
      <c r="BS2" s="456">
        <f>IF(OR(Z2=0,Z2=""),0,IF(VLOOKUP(B2,'Matriz de Referencia'!$B$2:$CO$584,32,FALSE)=0,0,"Digite"))</f>
        <v>0</v>
      </c>
      <c r="BT2" s="457">
        <f>SUM(BL2:BS2)</f>
        <v>0</v>
      </c>
      <c r="BU2" s="456">
        <f>IF(OR(Z2=0,Z2=""),0,IF(VLOOKUP(B2,'Matriz de Referencia'!$B$2:$CO$584,34,FALSE)=0,0,"Digite"))</f>
        <v>0</v>
      </c>
      <c r="BV2" s="456">
        <f>IF(OR(Z2=0,Z2=""),0,IF(VLOOKUP(B2,'Matriz de Referencia'!$B$2:$CO$584,35,FALSE)=0,0,"Digite"))</f>
        <v>0</v>
      </c>
      <c r="BW2" s="456">
        <f>IF(OR(Z2=0,Z2=""),0,IF(VLOOKUP(B2,'Matriz de Referencia'!$B$2:$CO$584,36,FALSE)=0,0,"Digite"))</f>
        <v>0</v>
      </c>
      <c r="BX2" s="457">
        <f>SUM(BU2:BW2)</f>
        <v>0</v>
      </c>
      <c r="BY2" s="457">
        <f>BX2+BT2</f>
        <v>0</v>
      </c>
      <c r="BZ2" s="455">
        <f>IF(OR(AA2=0,AA2=""),0,IF(VLOOKUP(B2,'Matriz de Referencia'!$B$2:$CO$584,25,FALSE)=0,0,"Digite"))</f>
        <v>0</v>
      </c>
      <c r="CA2" s="456">
        <f>IF(OR(AA2=0,AA2=""),0,IF(VLOOKUP(B2,'Matriz de Referencia'!$B$2:$CO$584,26,FALSE)=0,0,"Digite"))</f>
        <v>0</v>
      </c>
      <c r="CB2" s="456">
        <f>IF(OR(AA2=0,AA2=""),0,IF(VLOOKUP(B2,'Matriz de Referencia'!$B$2:$CO$584,27,FALSE)=0,0,"Digite"))</f>
        <v>0</v>
      </c>
      <c r="CC2" s="456">
        <f>IF(OR(AA2=0,AA2=""),0,IF(VLOOKUP(B2,'Matriz de Referencia'!$B$2:$CO$584,28,FALSE)=0,0,"Digite"))</f>
        <v>0</v>
      </c>
      <c r="CD2" s="456">
        <f>IF(OR(AA2=0,AA2=""),0,IF(VLOOKUP(B2,'Matriz de Referencia'!$B$2:$CO$584,29,FALSE)=0,0,"Digite"))</f>
        <v>0</v>
      </c>
      <c r="CE2" s="456">
        <f>IF(OR(AA2=0,AA2=""),0,IF(VLOOKUP(B2,'Matriz de Referencia'!$B$2:$CO$584,30,FALSE)=0,0,"Digite"))</f>
        <v>0</v>
      </c>
      <c r="CF2" s="456">
        <f>IF(OR(AA2=0,AA2=""),0,IF(VLOOKUP(B2,'Matriz de Referencia'!$B$2:$CO$584,31,FALSE)=0,0,"Digite"))</f>
        <v>0</v>
      </c>
      <c r="CG2" s="456">
        <f>IF(OR(AA2=0,AA2=""),0,IF(VLOOKUP(B2,'Matriz de Referencia'!$B$2:$CO$584,32,FALSE)=0,0,"Digite"))</f>
        <v>0</v>
      </c>
      <c r="CH2" s="457">
        <f>SUM(BZ2:CG2)</f>
        <v>0</v>
      </c>
      <c r="CI2" s="456">
        <f>IF(OR(AA2=0,AA2=""),0,IF(VLOOKUP(B2,'Matriz de Referencia'!$B$2:$CO$584,34,FALSE)=0,0,"Digite"))</f>
        <v>0</v>
      </c>
      <c r="CJ2" s="456">
        <f>IF(OR(AA2=0,AA2=""),0,IF(VLOOKUP(B2,'Matriz de Referencia'!$B$2:$CO$584,35,FALSE)=0,0,"Digite"))</f>
        <v>0</v>
      </c>
      <c r="CK2" s="456">
        <f>IF(OR(AA2=0,AA2=""),0,IF(VLOOKUP(B2,'Matriz de Referencia'!$B$2:$CO$584,36,FALSE)=0,0,"Digite"))</f>
        <v>0</v>
      </c>
      <c r="CL2" s="457">
        <f>SUM(CI2:CK2)</f>
        <v>0</v>
      </c>
      <c r="CM2" s="457">
        <f>CL2+CH2</f>
        <v>0</v>
      </c>
      <c r="CN2" s="455">
        <f>IF(OR(AB2=0,AB2=""),0,IF(VLOOKUP(B2,'Matriz de Referencia'!$B$2:$CO$584,25,FALSE)=0,0,"Digite"))</f>
        <v>0</v>
      </c>
      <c r="CO2" s="456">
        <f>IF(OR(AB2=0,AB2=""),0,IF(VLOOKUP(B2,'Matriz de Referencia'!$B$2:$CO$584,26,FALSE)=0,0,"Digite"))</f>
        <v>0</v>
      </c>
      <c r="CP2" s="456">
        <f>IF(OR(AB2=0,AB2=""),0,IF(VLOOKUP(B2,'Matriz de Referencia'!$B$2:$CO$584,27,FALSE)=0,0,"Digite"))</f>
        <v>0</v>
      </c>
      <c r="CQ2" s="456">
        <f>IF(OR(AB2=0,AB2=""),0,IF(VLOOKUP(B2,'Matriz de Referencia'!$B$2:$CO$584,28,FALSE)=0,0,"Digite"))</f>
        <v>0</v>
      </c>
      <c r="CR2" s="456">
        <f>IF(OR(AB2=0,AB2=""),0,IF(VLOOKUP(B2,'Matriz de Referencia'!$B$2:$CO$584,29,FALSE)=0,0,"Digite"))</f>
        <v>0</v>
      </c>
      <c r="CS2" s="456">
        <f>IF(OR(AB2=0,AB2=""),0,IF(VLOOKUP(B2,'Matriz de Referencia'!$B$2:$CO$584,30,FALSE)=0,0,"Digite"))</f>
        <v>0</v>
      </c>
      <c r="CT2" s="456">
        <f>IF(OR(AB2=0,AB2=""),0,IF(VLOOKUP(B2,'Matriz de Referencia'!$B$2:$CO$584,31,FALSE)=0,0,"Digite"))</f>
        <v>0</v>
      </c>
      <c r="CU2" s="456">
        <f>IF(OR(AB2=0,AB2=""),0,IF(VLOOKUP(B2,'Matriz de Referencia'!$B$2:$CO$584,32,FALSE)=0,0,"Digite"))</f>
        <v>0</v>
      </c>
      <c r="CV2" s="457">
        <f>SUM(CN2:CU2)</f>
        <v>0</v>
      </c>
      <c r="CW2" s="456">
        <f>IF(OR(AB2=0,AB2=""),0,IF(VLOOKUP(B2,'Matriz de Referencia'!$B$2:$CO$584,34,FALSE)=0,0,"Digite"))</f>
        <v>0</v>
      </c>
      <c r="CX2" s="456">
        <f>IF(OR(AB2=0,AB2=""),0,IF(VLOOKUP(B2,'Matriz de Referencia'!$B$2:$CO$584,35,FALSE)=0,0,"Digite"))</f>
        <v>0</v>
      </c>
      <c r="CY2" s="456">
        <f>IF(OR(AB2=0,AB2=""),0,IF(VLOOKUP(B2,'Matriz de Referencia'!$B$2:$CO$584,36,FALSE)=0,0,"Digite"))</f>
        <v>0</v>
      </c>
      <c r="CZ2" s="457">
        <f>SUM(CW2:CY2)</f>
        <v>0</v>
      </c>
      <c r="DA2" s="457">
        <f>CZ2+CV2</f>
        <v>0</v>
      </c>
      <c r="DB2" s="457">
        <f>DA2+CM2+BY2+BK2</f>
        <v>0</v>
      </c>
      <c r="DC2" s="101" t="str">
        <f>IFERROR(IF(DB2=0,"",IF(VLOOKUP(B2,'Matriz de Referencia'!$B$2:$CO$584,'Matriz de Referencia'!BO$1,FALSE)=DB2,"Techos ok, cotinue","Debe revisar el valor programado")),"")</f>
        <v/>
      </c>
      <c r="DD2" s="453">
        <f>IF(OR(AE2=0,AE2=""),0,IF(VLOOKUP(B2,'Matriz de Referencia'!$B$2:$CO$584,39,FALSE)=0,0,"Digite"))</f>
        <v>0</v>
      </c>
      <c r="DE2" s="454">
        <f>IF(OR(AE2=0,AE2=""),0,IF(VLOOKUP(B2,'Matriz de Referencia'!$B$2:$CO$584,40,FALSE)=0,0,"Digite"))</f>
        <v>0</v>
      </c>
      <c r="DF2" s="454">
        <f>IF(OR(AE2=0,AE2=""),0,IF(VLOOKUP(B2,'Matriz de Referencia'!$B$2:$CO$584,41,FALSE)=0,0,"Digite"))</f>
        <v>0</v>
      </c>
      <c r="DG2" s="454">
        <f>IF(OR(AE2=0,AE2=""),0,IF(VLOOKUP(B2,'Matriz de Referencia'!$B$2:$CO$584,42,FALSE)=0,0,"Digite"))</f>
        <v>0</v>
      </c>
      <c r="DH2" s="454">
        <f>IF(OR(AE2=0,AE2=""),0,IF(VLOOKUP(B2,'Matriz de Referencia'!$B$2:$CO$584,43,FALSE)=0,0,"Digite"))</f>
        <v>0</v>
      </c>
      <c r="DI2" s="454">
        <f>IF(OR(AE2=0,AE2=""),0,IF(VLOOKUP(B2,'Matriz de Referencia'!$B$2:$CO$584,44,FALSE)=0,0,"Digite"))</f>
        <v>0</v>
      </c>
      <c r="DJ2" s="454">
        <f>IF(OR(AE2=0,AE2=""),0,IF(VLOOKUP(B2,'Matriz de Referencia'!$B$2:$CO$584,45,FALSE)=0,0,"Digite"))</f>
        <v>0</v>
      </c>
      <c r="DK2" s="454">
        <f>IF(OR(AE2=0,AE2=""),0,IF(VLOOKUP(B2,'Matriz de Referencia'!$B$2:$CO$584,46,FALSE)=0,0,"Digite"))</f>
        <v>0</v>
      </c>
      <c r="DL2" s="382">
        <f>SUM(DD2:DK2)</f>
        <v>0</v>
      </c>
      <c r="DM2" s="454">
        <f>IF(OR(AE2=0,AE2=""),0,IF(VLOOKUP(B2,'Matriz de Referencia'!$B$2:$CO$584,48,FALSE)=0,0,"Digite"))</f>
        <v>0</v>
      </c>
      <c r="DN2" s="454">
        <f>IF(OR(AE2=0,AE2=""),0,IF(VLOOKUP(B2,'Matriz de Referencia'!$B$2:$CO$584,49,FALSE)=0,0,"Digite"))</f>
        <v>0</v>
      </c>
      <c r="DO2" s="454">
        <f>IF(OR(AE2=0,AE2=""),0,IF(VLOOKUP(B2,'Matriz de Referencia'!$B$2:$CO$584,50,FALSE)=0,0,"Digite"))</f>
        <v>0</v>
      </c>
      <c r="DP2" s="382">
        <f>SUM(DM2:DO2)</f>
        <v>0</v>
      </c>
      <c r="DQ2" s="382">
        <f>DP2+DL2</f>
        <v>0</v>
      </c>
      <c r="DR2" s="453">
        <f>IF(OR(AF2=0,AF2=""),0,IF(VLOOKUP(B2,'Matriz de Referencia'!$B$2:$CO$584,39,FALSE)=0,0,"Digite"))</f>
        <v>0</v>
      </c>
      <c r="DS2" s="454">
        <f>IF(OR(AF2=0,AF2=""),0,IF(VLOOKUP(B2,'Matriz de Referencia'!$B$2:$CO$584,40,FALSE)=0,0,"Digite"))</f>
        <v>0</v>
      </c>
      <c r="DT2" s="454">
        <f>IF(OR(AF2=0,AF2=""),0,IF(VLOOKUP(B2,'Matriz de Referencia'!$B$2:$CO$584,41,FALSE)=0,0,"Digite"))</f>
        <v>0</v>
      </c>
      <c r="DU2" s="454">
        <f>IF(OR(AF2=0,AF2=""),0,IF(VLOOKUP(B2,'Matriz de Referencia'!$B$2:$CO$584,42,FALSE)=0,0,"Digite"))</f>
        <v>0</v>
      </c>
      <c r="DV2" s="454">
        <f>IF(OR(AF2=0,AF2=""),0,IF(VLOOKUP(B2,'Matriz de Referencia'!$B$2:$CO$584,43,FALSE)=0,0,"Digite"))</f>
        <v>0</v>
      </c>
      <c r="DW2" s="454">
        <f>IF(OR(AF2=0,AF2=""),0,IF(VLOOKUP(B2,'Matriz de Referencia'!$B$2:$CO$584,44,FALSE)=0,0,"Digite"))</f>
        <v>0</v>
      </c>
      <c r="DX2" s="454">
        <f>IF(OR(AF2=0,AF2=""),0,IF(VLOOKUP(B2,'Matriz de Referencia'!$B$2:$CO$584,45,FALSE)=0,0,"Digite"))</f>
        <v>0</v>
      </c>
      <c r="DY2" s="454">
        <f>IF(OR(AF2=0,AF2=""),0,IF(VLOOKUP(B2,'Matriz de Referencia'!$B$2:$CO$584,46,FALSE)=0,0,"Digite"))</f>
        <v>0</v>
      </c>
      <c r="DZ2" s="382">
        <f>SUM(DR2:DY2)</f>
        <v>0</v>
      </c>
      <c r="EA2" s="454">
        <f>IF(OR(AF2=0,AF2=""),0,IF(VLOOKUP(B2,'Matriz de Referencia'!$B$2:$CO$584,48,FALSE)=0,0,"Digite"))</f>
        <v>0</v>
      </c>
      <c r="EB2" s="454">
        <f>IF(OR(AF2=0,AF2=""),0,IF(VLOOKUP(B2,'Matriz de Referencia'!$B$2:$CO$584,49,FALSE)=0,0,"Digite"))</f>
        <v>0</v>
      </c>
      <c r="EC2" s="454">
        <f>IF(OR(AF2=0,AF2=""),0,IF(VLOOKUP(B2,'Matriz de Referencia'!$B$2:$CO$584,50,FALSE)=0,0,"Digite"))</f>
        <v>0</v>
      </c>
      <c r="ED2" s="382">
        <f>SUM(EA2:EC2)</f>
        <v>0</v>
      </c>
      <c r="EE2" s="382">
        <f>ED2+DZ2</f>
        <v>0</v>
      </c>
      <c r="EF2" s="453">
        <f>IF(OR(AG2=0,AG2=""),0,IF(VLOOKUP(B2,'Matriz de Referencia'!$B$2:$CO$584,39,FALSE)=0,0,"Digite"))</f>
        <v>0</v>
      </c>
      <c r="EG2" s="454">
        <f>IF(OR(AG2=0,AG2=""),0,IF(VLOOKUP(B2,'Matriz de Referencia'!$B$2:$CO$584,40,FALSE)=0,0,"Digite"))</f>
        <v>0</v>
      </c>
      <c r="EH2" s="454">
        <f>IF(OR(AG2=0,AG2=""),0,IF(VLOOKUP(B2,'Matriz de Referencia'!$B$2:$CO$584,41,FALSE)=0,0,"Digite"))</f>
        <v>0</v>
      </c>
      <c r="EI2" s="454">
        <f>IF(OR(AG2=0,AG2=""),0,IF(VLOOKUP(B2,'Matriz de Referencia'!$B$2:$CO$584,42,FALSE)=0,0,"Digite"))</f>
        <v>0</v>
      </c>
      <c r="EJ2" s="454">
        <f>IF(OR(AG2=0,AG2=""),0,IF(VLOOKUP(B2,'Matriz de Referencia'!$B$2:$CO$584,43,FALSE)=0,0,"Digite"))</f>
        <v>0</v>
      </c>
      <c r="EK2" s="454">
        <f>IF(OR(AG2=0,AG2=""),0,IF(VLOOKUP(B2,'Matriz de Referencia'!$B$2:$CO$584,44,FALSE)=0,0,"Digite"))</f>
        <v>0</v>
      </c>
      <c r="EL2" s="454">
        <f>IF(OR(AG2=0,AG2=""),0,IF(VLOOKUP(B2,'Matriz de Referencia'!$B$2:$CO$584,45,FALSE)=0,0,"Digite"))</f>
        <v>0</v>
      </c>
      <c r="EM2" s="454">
        <f>IF(OR(AG2=0,AG2=""),0,IF(VLOOKUP(B2,'Matriz de Referencia'!$B$2:$CO$584,46,FALSE)=0,0,"Digite"))</f>
        <v>0</v>
      </c>
      <c r="EN2" s="382">
        <f>SUM(EF2:EM2)</f>
        <v>0</v>
      </c>
      <c r="EO2" s="454">
        <f>IF(OR(AG2=0,AG2=""),0,IF(VLOOKUP(B2,'Matriz de Referencia'!$B$2:$CO$584,48,FALSE)=0,0,"Digite"))</f>
        <v>0</v>
      </c>
      <c r="EP2" s="454">
        <f>IF(OR(AG2=0,AG2=""),0,IF(VLOOKUP(B2,'Matriz de Referencia'!$B$2:$CO$584,49,FALSE)=0,0,"Digite"))</f>
        <v>0</v>
      </c>
      <c r="EQ2" s="454">
        <f>IF(OR(AG2=0,AG2=""),0,IF(VLOOKUP(B2,'Matriz de Referencia'!$B$2:$CO$584,50,FALSE)=0,0,"Digite"))</f>
        <v>0</v>
      </c>
      <c r="ER2" s="382">
        <f>SUM(EO2:EQ2)</f>
        <v>0</v>
      </c>
      <c r="ES2" s="382">
        <f>ER2+EN2</f>
        <v>0</v>
      </c>
      <c r="ET2" s="453">
        <f>IF(OR(AH2=0,AH2=""),0,IF(VLOOKUP(B2,'Matriz de Referencia'!$B$2:$CO$584,39,FALSE)=0,0,"Digite"))</f>
        <v>0</v>
      </c>
      <c r="EU2" s="454">
        <f>IF(OR(AH2=0,AH2=""),0,IF(VLOOKUP(B2,'Matriz de Referencia'!$B$2:$CO$584,40,FALSE)=0,0,"Digite"))</f>
        <v>0</v>
      </c>
      <c r="EV2" s="454">
        <f>IF(OR(AH2=0,AH2=""),0,IF(VLOOKUP(B2,'Matriz de Referencia'!$B$2:$CO$584,41,FALSE)=0,0,"Digite"))</f>
        <v>0</v>
      </c>
      <c r="EW2" s="454">
        <f>IF(OR(AH2=0,AH2=""),0,IF(VLOOKUP(B2,'Matriz de Referencia'!$B$2:$CO$584,42,FALSE)=0,0,"Digite"))</f>
        <v>0</v>
      </c>
      <c r="EX2" s="454">
        <f>IF(OR(AH2=0,AH2=""),0,IF(VLOOKUP(B2,'Matriz de Referencia'!$B$2:$CO$584,43,FALSE)=0,0,"Digite"))</f>
        <v>0</v>
      </c>
      <c r="EY2" s="454">
        <f>IF(OR(AH2=0,AH2=""),0,IF(VLOOKUP(B2,'Matriz de Referencia'!$B$2:$CO$584,44,FALSE)=0,0,"Digite"))</f>
        <v>0</v>
      </c>
      <c r="EZ2" s="454">
        <f>IF(OR(AH2=0,AH2=""),0,IF(VLOOKUP(B2,'Matriz de Referencia'!$B$2:$CO$584,45,FALSE)=0,0,"Digite"))</f>
        <v>0</v>
      </c>
      <c r="FA2" s="454">
        <f>IF(OR(AH2=0,AH2=""),0,IF(VLOOKUP(B2,'Matriz de Referencia'!$B$2:$CO$584,46,FALSE)=0,0,"Digite"))</f>
        <v>0</v>
      </c>
      <c r="FB2" s="382">
        <f>SUM(ET2:FA2)</f>
        <v>0</v>
      </c>
      <c r="FC2" s="454">
        <f>IF(OR(AH2=0,AH2=""),0,IF(VLOOKUP(B2,'Matriz de Referencia'!$B$2:$CO$584,48,FALSE)=0,0,"Digite"))</f>
        <v>0</v>
      </c>
      <c r="FD2" s="454">
        <f>IF(OR(AH2=0,AH2=""),0,IF(VLOOKUP(B2,'Matriz de Referencia'!$B$2:$CO$584,49,FALSE)=0,0,"Digite"))</f>
        <v>0</v>
      </c>
      <c r="FE2" s="454">
        <f>IF(OR(AH2=0,AH2=""),0,IF(VLOOKUP(B2,'Matriz de Referencia'!$B$2:$CO$584,50,FALSE)=0,0,"Digite"))</f>
        <v>0</v>
      </c>
      <c r="FF2" s="382">
        <f>SUM(FC2:FE2)</f>
        <v>0</v>
      </c>
      <c r="FG2" s="382">
        <f>FF2+FB2</f>
        <v>0</v>
      </c>
      <c r="FH2" s="382">
        <f>FG2+ES2+EE2+DQ2</f>
        <v>0</v>
      </c>
      <c r="FI2" s="101" t="str">
        <f>IFERROR(IF(FH2=0,"",IF(VLOOKUP(B2,'Matriz de Referencia'!$B$2:$CO$584,52,FALSE)=FH2,"Techos ok, cotinue","Debe revisar el valor programado")),"")</f>
        <v/>
      </c>
      <c r="FJ2" s="453">
        <f>IF(OR(AK2=0,AK2=""),0,IF(VLOOKUP(B2,'Matriz de Referencia'!$B$2:$CO$584,53,FALSE)=0,0,"Digite"))</f>
        <v>0</v>
      </c>
      <c r="FK2" s="454">
        <f>IF(OR(AK2=0,AK2=""),0,IF(VLOOKUP(B2,'Matriz de Referencia'!$B$2:$CO$584,54,FALSE)=0,0,"Digite"))</f>
        <v>0</v>
      </c>
      <c r="FL2" s="454">
        <f>IF(OR(AK2=0,AK2=""),0,IF(VLOOKUP(B2,'Matriz de Referencia'!$B$2:$CO$584,55,FALSE)=0,0,"Digite"))</f>
        <v>0</v>
      </c>
      <c r="FM2" s="454">
        <f>IF(OR(AK2=0,AK2=""),0,IF(VLOOKUP(B2,'Matriz de Referencia'!$B$2:$CO$584,56,FALSE)=0,0,"Digite"))</f>
        <v>0</v>
      </c>
      <c r="FN2" s="454">
        <f>IF(OR(AK2=0,AK2=""),0,IF(VLOOKUP(B2,'Matriz de Referencia'!$B$2:$CO$584,57,FALSE)=0,0,"Digite"))</f>
        <v>0</v>
      </c>
      <c r="FO2" s="454">
        <f>IF(OR(AK2=0,AK2=""),0,IF(VLOOKUP(B2,'Matriz de Referencia'!$B$2:$CO$584,58,FALSE)=0,0,"Digite"))</f>
        <v>0</v>
      </c>
      <c r="FP2" s="454">
        <f>IF(OR(AK2=0,AK2=""),0,IF(VLOOKUP(B2,'Matriz de Referencia'!$B$2:$CO$584,59,FALSE)=0,0,"Digite"))</f>
        <v>0</v>
      </c>
      <c r="FQ2" s="454">
        <f>IF(OR(AK2=0,AK2=""),0,IF(VLOOKUP(B2,'Matriz de Referencia'!$B$2:$CO$584,60,FALSE)=0,0,"Digite"))</f>
        <v>0</v>
      </c>
      <c r="FR2" s="382">
        <f>SUM(FJ2:FQ2)</f>
        <v>0</v>
      </c>
      <c r="FS2" s="454">
        <f>IF(OR(AK2=0,AK2=""),0,IF(VLOOKUP(B2,'Matriz de Referencia'!$B$2:$CO$584,62,FALSE)=0,0,"Digite"))</f>
        <v>0</v>
      </c>
      <c r="FT2" s="454">
        <f>IF(OR(AK2=0,AK2=""),0,IF(VLOOKUP(B2,'Matriz de Referencia'!$B$2:$CO$584,63,FALSE)=0,0,"Digite"))</f>
        <v>0</v>
      </c>
      <c r="FU2" s="454">
        <f>IF(OR(AK2=0,AK2=""),0,IF(VLOOKUP(B2,'Matriz de Referencia'!$B$2:$CO$584,64,FALSE)=0,"","Digite"))</f>
        <v>0</v>
      </c>
      <c r="FV2" s="382">
        <f>SUM(FS2:FU2)</f>
        <v>0</v>
      </c>
      <c r="FW2" s="382">
        <f>FV2+FR2</f>
        <v>0</v>
      </c>
      <c r="FX2" s="453">
        <f>IF(OR(AL2=0,AL2=""),0,IF(VLOOKUP(B2,'Matriz de Referencia'!$B$2:$CO$584,53,FALSE)=0,0,"Digite"))</f>
        <v>0</v>
      </c>
      <c r="FY2" s="454">
        <f>IF(OR(AL2=0,AL2=""),0,IF(VLOOKUP(B2,'Matriz de Referencia'!$B$2:$CO$584,54,FALSE)=0,0,"Digite"))</f>
        <v>0</v>
      </c>
      <c r="FZ2" s="454">
        <f>IF(OR(AL2=0,AL2=""),0,IF(VLOOKUP(B2,'Matriz de Referencia'!$B$2:$CO$584,55,FALSE)=0,0,"Digite"))</f>
        <v>0</v>
      </c>
      <c r="GA2" s="454">
        <f>IF(OR(AL2=0,AL2=""),0,IF(VLOOKUP(B2,'Matriz de Referencia'!$B$2:$CO$584,56,FALSE)=0,0,"Digite"))</f>
        <v>0</v>
      </c>
      <c r="GB2" s="454">
        <f>IF(OR(AL2=0,AL2=""),0,IF(VLOOKUP(B2,'Matriz de Referencia'!$B$2:$CO$584,57,FALSE)=0,0,"Digite"))</f>
        <v>0</v>
      </c>
      <c r="GC2" s="454">
        <f>IF(OR(AL2=0,AL2=""),0,IF(VLOOKUP(B2,'Matriz de Referencia'!$B$2:$CO$584,58,FALSE)=0,0,"Digite"))</f>
        <v>0</v>
      </c>
      <c r="GD2" s="454">
        <f>IF(OR(AL2=0,AL2=""),0,IF(VLOOKUP(B2,'Matriz de Referencia'!$B$2:$CO$584,59,FALSE)=0,0,"Digite"))</f>
        <v>0</v>
      </c>
      <c r="GE2" s="454">
        <f>IF(OR(AL2=0,AL2=""),0,IF(VLOOKUP(B2,'Matriz de Referencia'!$B$2:$CO$584,60,FALSE)=0,0,"Digite"))</f>
        <v>0</v>
      </c>
      <c r="GF2" s="382">
        <f>SUM(FX2:GE2)</f>
        <v>0</v>
      </c>
      <c r="GG2" s="454">
        <f>IF(OR(AL2=0,AL2=""),0,IF(VLOOKUP(B2,'Matriz de Referencia'!$B$2:$CO$584,62,FALSE)=0,0,"Digite"))</f>
        <v>0</v>
      </c>
      <c r="GH2" s="454">
        <f>IF(OR(AL2=0,AL2=""),0,IF(VLOOKUP(B2,'Matriz de Referencia'!$B$2:$CO$584,63,FALSE)=0,0,"Digite"))</f>
        <v>0</v>
      </c>
      <c r="GI2" s="454">
        <f>IF(OR(AL2=0,AL2=""),0,IF(VLOOKUP(B2,'Matriz de Referencia'!$B$2:$CO$584,64,FALSE)=0,0,"Digite"))</f>
        <v>0</v>
      </c>
      <c r="GJ2" s="382">
        <f>SUM(GG2:GI2)</f>
        <v>0</v>
      </c>
      <c r="GK2" s="382">
        <f>GJ2+GF2</f>
        <v>0</v>
      </c>
      <c r="GL2" s="453">
        <f>IF(OR(AM2=0,AM2=""),0,IF(VLOOKUP(B2,'Matriz de Referencia'!$B$2:$CO$584,53,FALSE)=0,0,"Digite"))</f>
        <v>0</v>
      </c>
      <c r="GM2" s="454">
        <f>IF(OR(AM2=0,AM2=""),0,IF(VLOOKUP(B2,'Matriz de Referencia'!$B$2:$CO$584,54,FALSE)=0,0,"Digite"))</f>
        <v>0</v>
      </c>
      <c r="GN2" s="454">
        <f>IF(OR(AM2=0,AM2=""),0,IF(VLOOKUP(B2,'Matriz de Referencia'!$B$2:$CO$584,55,FALSE)=0,0,"Digite"))</f>
        <v>0</v>
      </c>
      <c r="GO2" s="454">
        <f>IF(OR(AM2=0,AM2=""),0,IF(VLOOKUP(B2,'Matriz de Referencia'!$B$2:$CO$584,56,FALSE)=0,0,"Digite"))</f>
        <v>0</v>
      </c>
      <c r="GP2" s="454">
        <f>IF(OR(AM2=0,AM2=""),0,IF(VLOOKUP(B2,'Matriz de Referencia'!$B$2:$CO$584,57,FALSE)=0,0,"Digite"))</f>
        <v>0</v>
      </c>
      <c r="GQ2" s="454">
        <f>IF(OR(AM2=0,AM2=""),0,IF(VLOOKUP(B2,'Matriz de Referencia'!$B$2:$CO$584,58,FALSE)=0,0,"Digite"))</f>
        <v>0</v>
      </c>
      <c r="GR2" s="454">
        <f>IF(OR(AM2=0,AM2=""),0,IF(VLOOKUP(B2,'Matriz de Referencia'!$B$2:$CO$584,59,FALSE)=0,0,"Digite"))</f>
        <v>0</v>
      </c>
      <c r="GS2" s="454">
        <f>IF(OR(AM2=0,AM2=""),0,IF(VLOOKUP(B2,'Matriz de Referencia'!$B$2:$CO$584,60,FALSE)=0,0,"Digite"))</f>
        <v>0</v>
      </c>
      <c r="GT2" s="382">
        <f>SUM(GL2:GS2)</f>
        <v>0</v>
      </c>
      <c r="GU2" s="454">
        <f>IF(OR(AM2=0,AM2=""),0,IF(VLOOKUP(B2,'Matriz de Referencia'!$B$2:$CO$584,62,FALSE)=0,0,"Digite"))</f>
        <v>0</v>
      </c>
      <c r="GV2" s="454">
        <f>IF(OR(AM2=0,AM2=""),0,IF(VLOOKUP(B2,'Matriz de Referencia'!$B$2:$CO$584,63,FALSE)=0,0,"Digite"))</f>
        <v>0</v>
      </c>
      <c r="GW2" s="454">
        <f>IF(OR(AM2=0,AM2=""),0,IF(VLOOKUP(B2,'Matriz de Referencia'!$B$2:$CO$584,64,FALSE)=0,0,"Digite"))</f>
        <v>0</v>
      </c>
      <c r="GX2" s="382">
        <f>SUM(GU2:GW2)</f>
        <v>0</v>
      </c>
      <c r="GY2" s="382">
        <f>GX2+GT2</f>
        <v>0</v>
      </c>
      <c r="GZ2" s="453">
        <f>IF(OR(AN2=0,AN2=""),0,IF(VLOOKUP(B2,'Matriz de Referencia'!$B$2:$CO$584,53,FALSE)=0,0,"Digite"))</f>
        <v>0</v>
      </c>
      <c r="HA2" s="454">
        <f>IF(OR(AN2=0,AN2=""),0,IF(VLOOKUP(B2,'Matriz de Referencia'!$B$2:$CO$584,54,FALSE)=0,0,"Digite"))</f>
        <v>0</v>
      </c>
      <c r="HB2" s="454">
        <f>IF(OR(AN2=0,AN2=""),0,IF(VLOOKUP(B2,'Matriz de Referencia'!$B$2:$CO$584,55,FALSE)=0,0,"Digite"))</f>
        <v>0</v>
      </c>
      <c r="HC2" s="454">
        <f>IF(OR(AN2=0,AN2=""),0,IF(VLOOKUP(B2,'Matriz de Referencia'!$B$2:$CO$584,56,FALSE)=0,0,"Digite"))</f>
        <v>0</v>
      </c>
      <c r="HD2" s="454">
        <f>IF(OR(AN2=0,AN2=""),0,IF(VLOOKUP(B2,'Matriz de Referencia'!$B$2:$CO$584,57,FALSE)=0,0,"Digite"))</f>
        <v>0</v>
      </c>
      <c r="HE2" s="454">
        <f>IF(OR(AN2=0,AN2=""),0,IF(VLOOKUP(B2,'Matriz de Referencia'!$B$2:$CO$584,58,FALSE)=0,0,"Digite"))</f>
        <v>0</v>
      </c>
      <c r="HF2" s="454">
        <f>IF(OR(AN2=0,AN2=""),0,IF(VLOOKUP(B2,'Matriz de Referencia'!$B$2:$CO$584,59,FALSE)=0,0,"Digite"))</f>
        <v>0</v>
      </c>
      <c r="HG2" s="454">
        <f>IF(OR(AN2=0,AN2=""),0,IF(VLOOKUP(B2,'Matriz de Referencia'!$B$2:$CO$584,60,FALSE)=0,0,"Digite"))</f>
        <v>0</v>
      </c>
      <c r="HH2" s="382">
        <f>SUM(GZ2:HG2)</f>
        <v>0</v>
      </c>
      <c r="HI2" s="454">
        <f>IF(OR(AN2=0,AN2=""),0,IF(VLOOKUP(B2,'Matriz de Referencia'!$B$2:$CO$584,62,FALSE)=0,0,"Digite"))</f>
        <v>0</v>
      </c>
      <c r="HJ2" s="454">
        <f>IF(OR(AN2=0,AN2=""),0,IF(VLOOKUP(B2,'Matriz de Referencia'!$B$2:$CO$584,63,FALSE)=0,0,"Digite"))</f>
        <v>0</v>
      </c>
      <c r="HK2" s="454">
        <f>IF(OR(AN2=0,AN2=""),0,IF(VLOOKUP(B2,'Matriz de Referencia'!$B$2:$CO$584,64,FALSE)=0,0,"Digite"))</f>
        <v>0</v>
      </c>
      <c r="HL2" s="382">
        <f>SUM(HI2:HK2)</f>
        <v>0</v>
      </c>
      <c r="HM2" s="382">
        <f>HL2+HH2</f>
        <v>0</v>
      </c>
      <c r="HN2" s="382">
        <f>HM2+GY2+GK2+FW2</f>
        <v>0</v>
      </c>
      <c r="HO2" s="101" t="str">
        <f>IFERROR(IF(HN2=0,"",IF(VLOOKUP(B2,'Matriz de Referencia'!$B$2:$CO$584,66,FALSE)=HN2,"Techos ok, cotinue","Debe revisar el valor programado")),"")</f>
        <v/>
      </c>
      <c r="HP2" s="453">
        <f>IF(OR(AQ2=0,AQ2=""),0,IF(VLOOKUP(B2,'Matriz de Referencia'!$B$2:$CO$584,67,FALSE)=0,0,"Digite"))</f>
        <v>0</v>
      </c>
      <c r="HQ2" s="454">
        <f>IF(OR(AQ2=0,AQ2=""),0,IF(VLOOKUP(B2,'Matriz de Referencia'!$B$2:$CO$584,68,FALSE)=0,0,"Digite"))</f>
        <v>0</v>
      </c>
      <c r="HR2" s="454">
        <f>IF(OR(AQ2=0,AQ2=""),0,IF(VLOOKUP(B2,'Matriz de Referencia'!$B$2:$CO$584,69,FALSE)=0,0,"Digite"))</f>
        <v>0</v>
      </c>
      <c r="HS2" s="454">
        <f>IF(OR(AQ2=0,AQ2=""),0,IF(VLOOKUP(B2,'Matriz de Referencia'!$B$2:$CO$584,70,FALSE)=0,0,"Digite"))</f>
        <v>0</v>
      </c>
      <c r="HT2" s="454">
        <f>IF(OR(AQ2=0,AQ2=""),0,IF(VLOOKUP(B2,'Matriz de Referencia'!$B$2:$CO$584,71,FALSE)=0,0,"Digite"))</f>
        <v>0</v>
      </c>
      <c r="HU2" s="454">
        <f>IF(OR(AQ2=0,AQ2=""),0,IF(VLOOKUP(B2,'Matriz de Referencia'!$B$2:$CO$584,72,FALSE)=0,0,"Digite"))</f>
        <v>0</v>
      </c>
      <c r="HV2" s="454">
        <f>IF(OR(AQ2=0,AQ2=""),0,IF(VLOOKUP(B2,'Matriz de Referencia'!$B$2:$CO$584,73,FALSE)=0,0,"Digite"))</f>
        <v>0</v>
      </c>
      <c r="HW2" s="454">
        <f>IF(OR(AQ2=0,AQ2=""),0,IF(VLOOKUP(B2,'Matriz de Referencia'!$B$2:$CO$584,74,FALSE)=0,0,"Digite"))</f>
        <v>0</v>
      </c>
      <c r="HX2" s="382">
        <f>SUM(HP2:HW2)</f>
        <v>0</v>
      </c>
      <c r="HY2" s="454">
        <f>IF(OR(AQ2=0,AQ2=""),0,IF(VLOOKUP(B2,'Matriz de Referencia'!$B$2:$CO$584,76,FALSE)=0,0,"Digite"))</f>
        <v>0</v>
      </c>
      <c r="HZ2" s="454">
        <f>IF(OR(AQ2=0,AQ2=""),0,IF(VLOOKUP(B2,'Matriz de Referencia'!$B$2:$CO$584,77,FALSE)=0,0,"Digite"))</f>
        <v>0</v>
      </c>
      <c r="IA2" s="454">
        <f>IF(OR(AQ2=0,AQ2=""),0,IF(VLOOKUP(B2,'Matriz de Referencia'!$B$2:$CO$584,78,FALSE)=0,0,"Digite"))</f>
        <v>0</v>
      </c>
      <c r="IB2" s="382">
        <f>SUM(HY2:IA2)</f>
        <v>0</v>
      </c>
      <c r="IC2" s="382">
        <f>IB2+HX2</f>
        <v>0</v>
      </c>
      <c r="ID2" s="453">
        <f>IF(OR(AR2=0,AR2=""),0,IF(VLOOKUP(B2,'Matriz de Referencia'!$B$2:$CO$584,67,FALSE)=0,0,"Digite"))</f>
        <v>0</v>
      </c>
      <c r="IE2" s="454">
        <f>IF(OR(AR2=0,AR2=""),0,IF(VLOOKUP(B2,'Matriz de Referencia'!$B$2:$CO$584,68,FALSE)=0,0,"Digite"))</f>
        <v>0</v>
      </c>
      <c r="IF2" s="454">
        <f>IF(OR(AR2=0,AR2=""),0,IF(VLOOKUP(B2,'Matriz de Referencia'!$B$2:$CO$584,69,FALSE)=0,0,"Digite"))</f>
        <v>0</v>
      </c>
      <c r="IG2" s="454">
        <f>IF(OR(AR2=0,AR2=""),0,IF(VLOOKUP(B2,'Matriz de Referencia'!$B$2:$CO$584,70,FALSE)=0,0,"Digite"))</f>
        <v>0</v>
      </c>
      <c r="IH2" s="454">
        <f>IF(OR(AR2=0,AR2=""),0,IF(VLOOKUP(B2,'Matriz de Referencia'!$B$2:$CO$584,71,FALSE)=0,0,"Digite"))</f>
        <v>0</v>
      </c>
      <c r="II2" s="454">
        <f>IF(OR(AR2=0,AR2=""),0,IF(VLOOKUP(B2,'Matriz de Referencia'!$B$2:$CO$584,72,FALSE)=0,0,"Digite"))</f>
        <v>0</v>
      </c>
      <c r="IJ2" s="454">
        <f>IF(OR(AR2=0,AR2=""),0,IF(VLOOKUP(B2,'Matriz de Referencia'!$B$2:$CO$584,73,FALSE)=0,0,"Digite"))</f>
        <v>0</v>
      </c>
      <c r="IK2" s="454">
        <f>IF(OR(AR2=0,AR2=""),0,IF(VLOOKUP(B2,'Matriz de Referencia'!$B$2:$CO$584,74,FALSE)=0,0,"Digite"))</f>
        <v>0</v>
      </c>
      <c r="IL2" s="382">
        <f>SUM(ID2:IK2)</f>
        <v>0</v>
      </c>
      <c r="IM2" s="454">
        <f>IF(OR(AR2=0,AR2=""),0,IF(VLOOKUP(B2,'Matriz de Referencia'!$B$2:$CO$584,76,FALSE)=0,0,"Digite"))</f>
        <v>0</v>
      </c>
      <c r="IN2" s="454">
        <f>IF(OR(AR2=0,AR2=""),0,IF(VLOOKUP(B2,'Matriz de Referencia'!$B$2:$CO$584,77,FALSE)=0,0,"Digite"))</f>
        <v>0</v>
      </c>
      <c r="IO2" s="454">
        <f>IF(OR(AR2=0,AR2=""),0,IF(VLOOKUP(B2,'Matriz de Referencia'!$B$2:$CO$584,78,FALSE)=0,0,"Digite"))</f>
        <v>0</v>
      </c>
      <c r="IP2" s="382">
        <f>SUM(IM2:IO2)</f>
        <v>0</v>
      </c>
      <c r="IQ2" s="382">
        <f>IP2+IL2</f>
        <v>0</v>
      </c>
      <c r="IR2" s="453">
        <f>IF(OR(AS2=0,AS2=""),0,IF(VLOOKUP(B2,'Matriz de Referencia'!$B$2:$CO$584,67,FALSE)=0,0,"Digite"))</f>
        <v>0</v>
      </c>
      <c r="IS2" s="454">
        <f>IF(OR(AS2=0,AS2=""),0,IF(VLOOKUP(B2,'Matriz de Referencia'!$B$2:$CO$584,68,FALSE)=0,0,"Digite"))</f>
        <v>0</v>
      </c>
      <c r="IT2" s="454">
        <f>IF(OR(AS2=0,AS2=""),0,IF(VLOOKUP(B2,'Matriz de Referencia'!$B$2:$CO$584,69,FALSE)=0,0,"Digite"))</f>
        <v>0</v>
      </c>
      <c r="IU2" s="454">
        <f>IF(OR(AS2=0,AS2=""),0,IF(VLOOKUP(B2,'Matriz de Referencia'!$B$2:$CO$584,70,FALSE)=0,0,"Digite"))</f>
        <v>0</v>
      </c>
      <c r="IV2" s="454">
        <f>IF(OR(AS2=0,AS2=""),0,IF(VLOOKUP(B2,'Matriz de Referencia'!$B$2:$CO$584,71,FALSE)=0,0,"Digite"))</f>
        <v>0</v>
      </c>
      <c r="IW2" s="454">
        <f>IF(OR(AS2=0,AS2=""),0,IF(VLOOKUP(B2,'Matriz de Referencia'!$B$2:$CO$584,72,FALSE)=0,0,"Digite"))</f>
        <v>0</v>
      </c>
      <c r="IX2" s="454">
        <f>IF(OR(AS2=0,AS2=""),0,IF(VLOOKUP(B2,'Matriz de Referencia'!$B$2:$CO$584,73,FALSE)=0,0,"Digite"))</f>
        <v>0</v>
      </c>
      <c r="IY2" s="454">
        <f>IF(OR(AS2=0,AS2=""),0,IF(VLOOKUP(B2,'Matriz de Referencia'!$B$2:$CO$584,74,FALSE)=0,0,"Digite"))</f>
        <v>0</v>
      </c>
      <c r="IZ2" s="382">
        <f>SUM(IR2:IY2)</f>
        <v>0</v>
      </c>
      <c r="JA2" s="454">
        <f>IF(OR(AS2=0,AS2=""),0,IF(VLOOKUP(B2,'Matriz de Referencia'!$B$2:$CO$584,76,FALSE)=0,0,"Digite"))</f>
        <v>0</v>
      </c>
      <c r="JB2" s="454">
        <f>IF(OR(AS2=0,AS2=""),0,IF(VLOOKUP(B2,'Matriz de Referencia'!$B$2:$CO$584,77,FALSE)=0,0,"Digite"))</f>
        <v>0</v>
      </c>
      <c r="JC2" s="454">
        <f>IF(OR(AS2=0,AS2=""),0,IF(VLOOKUP(B2,'Matriz de Referencia'!$B$2:$CO$584,78,FALSE)=0,0,"Digite"))</f>
        <v>0</v>
      </c>
      <c r="JD2" s="382">
        <f>SUM(JA2:JC2)</f>
        <v>0</v>
      </c>
      <c r="JE2" s="382">
        <f>JD2+IZ2</f>
        <v>0</v>
      </c>
      <c r="JF2" s="453">
        <f>IF(OR(AT2=0,AT2=""),0,IF(VLOOKUP(B2,'Matriz de Referencia'!$B$2:$CO$584,67,FALSE)=0,0,"Digite"))</f>
        <v>0</v>
      </c>
      <c r="JG2" s="454">
        <f>IF(OR(AT2=0,AT2=""),0,IF(VLOOKUP(B2,'Matriz de Referencia'!$B$2:$CO$584,68,FALSE)=0,0,"Digite"))</f>
        <v>0</v>
      </c>
      <c r="JH2" s="454">
        <f>IF(OR(AT2=0,AT2=""),0,IF(VLOOKUP(B2,'Matriz de Referencia'!$B$2:$CO$584,69,FALSE)=0,0,"Digite"))</f>
        <v>0</v>
      </c>
      <c r="JI2" s="454">
        <f>IF(OR(AT2=0,AT2=""),0,IF(VLOOKUP(B2,'Matriz de Referencia'!$B$2:$CO$584,70,FALSE)=0,0,"Digite"))</f>
        <v>0</v>
      </c>
      <c r="JJ2" s="454">
        <f>IF(OR(AT2=0,AT2=""),0,IF(VLOOKUP(B2,'Matriz de Referencia'!$B$2:$CO$584,71,FALSE)=0,0,"Digite"))</f>
        <v>0</v>
      </c>
      <c r="JK2" s="454">
        <f>IF(OR(AT2=0,AT2=""),0,IF(VLOOKUP(B2,'Matriz de Referencia'!$B$2:$CO$584,72,FALSE)=0,0,"Digite"))</f>
        <v>0</v>
      </c>
      <c r="JL2" s="454">
        <f>IF(OR(AT2=0,AT2=""),0,IF(VLOOKUP(B2,'Matriz de Referencia'!$B$2:$CO$584,73,FALSE)=0,0,"Digite"))</f>
        <v>0</v>
      </c>
      <c r="JM2" s="454">
        <f>IF(OR(AT2=0,AT2=""),0,IF(VLOOKUP(B2,'Matriz de Referencia'!$B$2:$CO$584,74,FALSE)=0,0,"Digite"))</f>
        <v>0</v>
      </c>
      <c r="JN2" s="382">
        <f>SUM(JF2:JM2)</f>
        <v>0</v>
      </c>
      <c r="JO2" s="454">
        <f>IF(OR(AT2=0,AT2=""),0,IF(VLOOKUP(B2,'Matriz de Referencia'!$B$2:$CO$584,76,FALSE)=0,0,"Digite"))</f>
        <v>0</v>
      </c>
      <c r="JP2" s="454">
        <f>IF(OR(AT2=0,AT2=""),0,IF(VLOOKUP(B2,'Matriz de Referencia'!$B$2:$CO$584,77,FALSE)=0,0,"Digite"))</f>
        <v>0</v>
      </c>
      <c r="JQ2" s="454">
        <f>IF(OR(AT2=0,AT2=""),0,IF(VLOOKUP(B2,'Matriz de Referencia'!$B$2:$CO$584,78,FALSE)=0,0,"Digite"))</f>
        <v>0</v>
      </c>
      <c r="JR2" s="382">
        <f>SUM(JO2:JQ2)</f>
        <v>0</v>
      </c>
      <c r="JS2" s="382">
        <f>JR2+JN2</f>
        <v>0</v>
      </c>
      <c r="JT2" s="382">
        <f>JS2+JE2+IQ2+IC2</f>
        <v>0</v>
      </c>
      <c r="JU2" s="101" t="str">
        <f>IFERROR(IF(JT2=0,"",IF(VLOOKUP(B2,'Matriz de Referencia'!$B$2:$CO$584,80,FALSE)=JT2,"Techos ok, cotinue","Debe revisar el valor programado")),"")</f>
        <v/>
      </c>
      <c r="JV2" s="382">
        <f>JT2+HN2+FH2+DB2</f>
        <v>0</v>
      </c>
    </row>
    <row r="3" spans="1:282">
      <c r="S3" s="568"/>
      <c r="T3" s="414"/>
      <c r="U3" s="661" t="str">
        <f t="shared" ref="U3:U66" si="1">"Dimensión_"&amp;MID(T3,11,1)</f>
        <v>Dimensión_</v>
      </c>
      <c r="V3" s="414"/>
      <c r="W3" s="568"/>
      <c r="X3" s="449" t="str">
        <f>IFERROR(IF(VLOOKUP(B3,'Matriz de Referencia'!$B$2:$CO$584,'Matriz de Referencia'!AM$1,FALSE)&gt;0,"Diligenciar la vigencia, tiene presupuesto programado","No diligenciar, no programo presupuesto"),"")</f>
        <v/>
      </c>
      <c r="Y3" s="649"/>
      <c r="Z3" s="649"/>
      <c r="AA3" s="649"/>
      <c r="AB3" s="649"/>
      <c r="AC3" s="650" t="str">
        <f t="shared" ref="AC3:AC14" si="2">IFERROR(IF(D3="Mantenimiento", AVERAGE(Y3:AB3), IF(D3="Incremento", SUM(Y3:AB3), "")),"")</f>
        <v/>
      </c>
      <c r="AD3" s="449" t="str">
        <f>IFERROR(IF(VLOOKUP($B3,'Matriz de Referencia'!$B$2:$CO$584,'Matriz de Referencia'!BA$1,FALSE)&gt;0,"Diligenciar la vigencia, tiene presupuesto programado","No diligenciar, no programo presupuesto"),"")</f>
        <v/>
      </c>
      <c r="AE3" s="649"/>
      <c r="AF3" s="649"/>
      <c r="AG3" s="649"/>
      <c r="AH3" s="649"/>
      <c r="AI3" s="650" t="str">
        <f t="shared" ref="AI3:AI20" si="3">IFERROR(IF(D3="Mantenimiento", AVERAGE(AE3:AH3), IF(D3="Incremento", SUM(AE3:AH3), "")),"")</f>
        <v/>
      </c>
      <c r="AJ3" s="449" t="str">
        <f>IFERROR(IF(VLOOKUP($B3,'Matriz de Referencia'!$B$2:$CO$584,'Matriz de Referencia'!BO$1,FALSE)&gt;0,"Diligenciar la vigencia, tiene presupuesto programado","No diligenciar, no programo presupuesto"),"")</f>
        <v/>
      </c>
      <c r="AK3" s="649"/>
      <c r="AL3" s="649"/>
      <c r="AM3" s="649"/>
      <c r="AN3" s="649"/>
      <c r="AO3" s="650" t="str">
        <f t="shared" ref="AO3:AO20" si="4">IFERROR(IF(D3="Mantenimiento", AVERAGE(AK3:AN3), IF(D3="Incremento", SUM(AK3:AN3), "")),"")</f>
        <v/>
      </c>
      <c r="AP3" s="449" t="str">
        <f>IFERROR(IF(VLOOKUP($B3,'Matriz de Referencia'!$B$2:$CO$584,'Matriz de Referencia'!CC$1,FALSE)&gt;0,"Diligenciar la vigencia, tiene presupuesto programado","No diligenciar, no programo presupuesto"),"")</f>
        <v/>
      </c>
      <c r="AQ3" s="649"/>
      <c r="AR3" s="649"/>
      <c r="AS3" s="649"/>
      <c r="AT3" s="649"/>
      <c r="AU3" s="650" t="str">
        <f t="shared" ref="AU3:AU20" si="5">IFERROR(IF(D3="Mantenimiento", AVERAGE(AQ3:AT3), IF(D3="Incremento", SUM(AQ3:AT3), "")),"")</f>
        <v/>
      </c>
      <c r="AV3" s="448" t="str">
        <f t="shared" ref="AV3:AV66" si="6">IFERROR(IF(Z3="Incremento",AU3+AO3+AI3+AC3,AVERAGE(AU3,AO3,AI3,AC3)),"")</f>
        <v/>
      </c>
      <c r="AW3" s="416" t="str">
        <f t="shared" ref="AW3:AW66" si="7">IF(AV3="","",IF(D3="Incremento",IF(AV3=(O3-Q3),"Continue",IF(D3="Mantenimiento",IF(AV3=Q3,"Continue","Su Programación es diferente a la meta, revise para continuar"),"Su Programación es diferente a la meta, revise para continuar"))))</f>
        <v/>
      </c>
      <c r="AX3" s="455" t="str">
        <f>IF(OR(Y3=0,Y3=""),"",IF(VLOOKUP(B3,'Matriz de Referencia'!$B$2:$CO$584,'Matriz de Referencia'!BB$1,FALSE)=0,"","Digite"))</f>
        <v/>
      </c>
      <c r="AY3" s="456">
        <f>IF(OR(Y3=0,Y3=""),0,IF(VLOOKUP(B3,'Matriz de Referencia'!$B$2:$CO$584,26,FALSE)=0,0,"Digite"))</f>
        <v>0</v>
      </c>
      <c r="AZ3" s="456">
        <f>IF(OR(Y3=0,Y3=""),0,IF(VLOOKUP(B3,'Matriz de Referencia'!$B$2:$CO$584,27,FALSE)=0,0,"Digite"))</f>
        <v>0</v>
      </c>
      <c r="BA3" s="456">
        <f>IF(OR(Y3=0,Y3=""),0,IF(VLOOKUP(B3,'Matriz de Referencia'!$B$2:$CO$584,28,FALSE)=0,0,"Digite"))</f>
        <v>0</v>
      </c>
      <c r="BB3" s="456">
        <f>IF(OR(Y3=0,Y3=""),0,IF(VLOOKUP(B3,'Matriz de Referencia'!$B$2:$CO$584,29,FALSE)=0,0,"Digite"))</f>
        <v>0</v>
      </c>
      <c r="BC3" s="456">
        <f>IF(OR(Y3=0,Y3=""),0,IF(VLOOKUP(B3,'Matriz de Referencia'!$B$2:$CO$584,30,FALSE)=0,0,"Digite"))</f>
        <v>0</v>
      </c>
      <c r="BD3" s="456">
        <f>IF(OR(Y3=0,Y3=""),0,IF(VLOOKUP(B3,'Matriz de Referencia'!$B$2:$CO$584,31,FALSE)=0,0,"Digite"))</f>
        <v>0</v>
      </c>
      <c r="BE3" s="456">
        <f>IF(OR(Y3=0,Y3=""),0,IF(VLOOKUP(B3,'Matriz de Referencia'!$B$2:$CO$584,32,FALSE)=0,0,"Digite"))</f>
        <v>0</v>
      </c>
      <c r="BF3" s="460">
        <f t="shared" ref="BF3:BF20" si="8">SUM(AX3:BE3)</f>
        <v>0</v>
      </c>
      <c r="BG3" s="456">
        <f>IF(OR(Y3=0,Y3=""),0,IF(VLOOKUP(B3,'Matriz de Referencia'!$B$2:$CO$584,34,FALSE)=0,0,"Digite"))</f>
        <v>0</v>
      </c>
      <c r="BH3" s="456">
        <f>IF(OR(Y3=0,Y3=""),0,IF(VLOOKUP(B3,'Matriz de Referencia'!$B$2:$CO$584,35,FALSE)=0,0,"Digite"))</f>
        <v>0</v>
      </c>
      <c r="BI3" s="456">
        <f>IF(OR(Y3=0,Y3=""),0,IF(VLOOKUP(B3,'Matriz de Referencia'!$B$2:$CO$584,36,FALSE)=0,0,"Digite"))</f>
        <v>0</v>
      </c>
      <c r="BJ3" s="457">
        <f t="shared" ref="BJ3:BJ20" si="9">SUM(BG3:BI3)</f>
        <v>0</v>
      </c>
      <c r="BK3" s="457">
        <f t="shared" ref="BK3:BK20" si="10">BJ3+BF3</f>
        <v>0</v>
      </c>
      <c r="BL3" s="455">
        <f>IF(OR(Z3=0,Z3=""),0,IF(VLOOKUP(B3,'Matriz de Referencia'!$B$2:$CO$584,25,FALSE)=0,0,"Digite"))</f>
        <v>0</v>
      </c>
      <c r="BM3" s="456">
        <f>IF(OR(Z3=0,Z3=""),0,IF(VLOOKUP(B3,'Matriz de Referencia'!$B$2:$CO$584,26,FALSE)=0,0,"Digite"))</f>
        <v>0</v>
      </c>
      <c r="BN3" s="456">
        <f>IF(OR(Z3=0,Z3=""),0,IF(VLOOKUP(B3,'Matriz de Referencia'!$B$2:$CO$584,27,FALSE)=0,0,"Digite"))</f>
        <v>0</v>
      </c>
      <c r="BO3" s="456">
        <f>IF(OR(Z3=0,Z3=""),0,IF(VLOOKUP(B3,'Matriz de Referencia'!$B$2:$CO$584,28,FALSE)=0,0,"Digite"))</f>
        <v>0</v>
      </c>
      <c r="BP3" s="456">
        <f>IF(OR(Z3=0,Z3=""),0,IF(VLOOKUP(B3,'Matriz de Referencia'!$B$2:$CO$584,29,FALSE)=0,0,"Digite"))</f>
        <v>0</v>
      </c>
      <c r="BQ3" s="456">
        <f>IF(OR(Z3=0,Z3=""),0,IF(VLOOKUP(B3,'Matriz de Referencia'!$B$2:$CO$584,30,FALSE)=0,0,"Digite"))</f>
        <v>0</v>
      </c>
      <c r="BR3" s="456">
        <f>IF(OR(Z3=0,Z3=""),0,IF(VLOOKUP(B3,'Matriz de Referencia'!$B$2:$CO$584,31,FALSE)=0,0,"Digite"))</f>
        <v>0</v>
      </c>
      <c r="BS3" s="456">
        <f>IF(OR(Z3=0,Z3=""),0,IF(VLOOKUP(B3,'Matriz de Referencia'!$B$2:$CO$584,32,FALSE)=0,0,"Digite"))</f>
        <v>0</v>
      </c>
      <c r="BT3" s="457">
        <f t="shared" ref="BT3:BT20" si="11">SUM(BL3:BS3)</f>
        <v>0</v>
      </c>
      <c r="BU3" s="456">
        <f>IF(OR(Z3=0,Z3=""),0,IF(VLOOKUP(B3,'Matriz de Referencia'!$B$2:$CO$584,34,FALSE)=0,0,"Digite"))</f>
        <v>0</v>
      </c>
      <c r="BV3" s="456">
        <f>IF(OR(Z3=0,Z3=""),0,IF(VLOOKUP(B3,'Matriz de Referencia'!$B$2:$CO$584,35,FALSE)=0,0,"Digite"))</f>
        <v>0</v>
      </c>
      <c r="BW3" s="456">
        <f>IF(OR(Z3=0,Z3=""),0,IF(VLOOKUP(B3,'Matriz de Referencia'!$B$2:$CO$584,36,FALSE)=0,0,"Digite"))</f>
        <v>0</v>
      </c>
      <c r="BX3" s="457">
        <f t="shared" ref="BX3:BX20" si="12">SUM(BU3:BW3)</f>
        <v>0</v>
      </c>
      <c r="BY3" s="457">
        <f t="shared" ref="BY3:BY20" si="13">BX3+BT3</f>
        <v>0</v>
      </c>
      <c r="BZ3" s="455">
        <f>IF(OR(AA3=0,AA3=""),0,IF(VLOOKUP(B3,'Matriz de Referencia'!$B$2:$CO$584,25,FALSE)=0,0,"Digite"))</f>
        <v>0</v>
      </c>
      <c r="CA3" s="456">
        <f>IF(OR(AA3=0,AA3=""),0,IF(VLOOKUP(B3,'Matriz de Referencia'!$B$2:$CO$584,26,FALSE)=0,0,"Digite"))</f>
        <v>0</v>
      </c>
      <c r="CB3" s="456">
        <f>IF(OR(AA3=0,AA3=""),0,IF(VLOOKUP(B3,'Matriz de Referencia'!$B$2:$CO$584,27,FALSE)=0,0,"Digite"))</f>
        <v>0</v>
      </c>
      <c r="CC3" s="456">
        <f>IF(OR(AA3=0,AA3=""),0,IF(VLOOKUP(B3,'Matriz de Referencia'!$B$2:$CO$584,28,FALSE)=0,0,"Digite"))</f>
        <v>0</v>
      </c>
      <c r="CD3" s="456">
        <f>IF(OR(AA3=0,AA3=""),0,IF(VLOOKUP(B3,'Matriz de Referencia'!$B$2:$CO$584,29,FALSE)=0,0,"Digite"))</f>
        <v>0</v>
      </c>
      <c r="CE3" s="456">
        <f>IF(OR(AA3=0,AA3=""),0,IF(VLOOKUP(B3,'Matriz de Referencia'!$B$2:$CO$584,30,FALSE)=0,0,"Digite"))</f>
        <v>0</v>
      </c>
      <c r="CF3" s="456">
        <f>IF(OR(AA3=0,AA3=""),0,IF(VLOOKUP(B3,'Matriz de Referencia'!$B$2:$CO$584,31,FALSE)=0,0,"Digite"))</f>
        <v>0</v>
      </c>
      <c r="CG3" s="456">
        <f>IF(OR(AA3=0,AA3=""),0,IF(VLOOKUP(B3,'Matriz de Referencia'!$B$2:$CO$584,32,FALSE)=0,0,"Digite"))</f>
        <v>0</v>
      </c>
      <c r="CH3" s="457">
        <f t="shared" ref="CH3:CH20" si="14">SUM(BZ3:CG3)</f>
        <v>0</v>
      </c>
      <c r="CI3" s="456">
        <f>IF(OR(AA3=0,AA3=""),0,IF(VLOOKUP(B3,'Matriz de Referencia'!$B$2:$CO$584,34,FALSE)=0,0,"Digite"))</f>
        <v>0</v>
      </c>
      <c r="CJ3" s="456">
        <f>IF(OR(AA3=0,AA3=""),0,IF(VLOOKUP(B3,'Matriz de Referencia'!$B$2:$CO$584,35,FALSE)=0,0,"Digite"))</f>
        <v>0</v>
      </c>
      <c r="CK3" s="456">
        <f>IF(OR(AA3=0,AA3=""),0,IF(VLOOKUP(B3,'Matriz de Referencia'!$B$2:$CO$584,36,FALSE)=0,0,"Digite"))</f>
        <v>0</v>
      </c>
      <c r="CL3" s="457">
        <f t="shared" ref="CL3:CL20" si="15">SUM(CI3:CK3)</f>
        <v>0</v>
      </c>
      <c r="CM3" s="457">
        <f t="shared" ref="CM3:CM20" si="16">CL3+CH3</f>
        <v>0</v>
      </c>
      <c r="CN3" s="455">
        <f>IF(OR(AB3=0,AB3=""),0,IF(VLOOKUP(B3,'Matriz de Referencia'!$B$2:$CO$584,25,FALSE)=0,0,"Digite"))</f>
        <v>0</v>
      </c>
      <c r="CO3" s="456">
        <f>IF(OR(AB3=0,AB3=""),0,IF(VLOOKUP(B3,'Matriz de Referencia'!$B$2:$CO$584,26,FALSE)=0,0,"Digite"))</f>
        <v>0</v>
      </c>
      <c r="CP3" s="456">
        <f>IF(OR(AB3=0,AB3=""),0,IF(VLOOKUP(B3,'Matriz de Referencia'!$B$2:$CO$584,27,FALSE)=0,0,"Digite"))</f>
        <v>0</v>
      </c>
      <c r="CQ3" s="456">
        <f>IF(OR(AB3=0,AB3=""),0,IF(VLOOKUP(B3,'Matriz de Referencia'!$B$2:$CO$584,28,FALSE)=0,0,"Digite"))</f>
        <v>0</v>
      </c>
      <c r="CR3" s="456">
        <f>IF(OR(AB3=0,AB3=""),0,IF(VLOOKUP(B3,'Matriz de Referencia'!$B$2:$CO$584,29,FALSE)=0,0,"Digite"))</f>
        <v>0</v>
      </c>
      <c r="CS3" s="456">
        <f>IF(OR(AB3=0,AB3=""),0,IF(VLOOKUP(B3,'Matriz de Referencia'!$B$2:$CO$584,30,FALSE)=0,0,"Digite"))</f>
        <v>0</v>
      </c>
      <c r="CT3" s="456">
        <f>IF(OR(AB3=0,AB3=""),0,IF(VLOOKUP(B3,'Matriz de Referencia'!$B$2:$CO$584,31,FALSE)=0,0,"Digite"))</f>
        <v>0</v>
      </c>
      <c r="CU3" s="456">
        <f>IF(OR(AB3=0,AB3=""),0,IF(VLOOKUP(B3,'Matriz de Referencia'!$B$2:$CO$584,32,FALSE)=0,0,"Digite"))</f>
        <v>0</v>
      </c>
      <c r="CV3" s="457">
        <f t="shared" ref="CV3:CV20" si="17">SUM(CN3:CU3)</f>
        <v>0</v>
      </c>
      <c r="CW3" s="456">
        <f>IF(OR(AB3=0,AB3=""),0,IF(VLOOKUP(B3,'Matriz de Referencia'!$B$2:$CO$584,34,FALSE)=0,0,"Digite"))</f>
        <v>0</v>
      </c>
      <c r="CX3" s="456">
        <f>IF(OR(AB3=0,AB3=""),0,IF(VLOOKUP(B3,'Matriz de Referencia'!$B$2:$CO$584,35,FALSE)=0,0,"Digite"))</f>
        <v>0</v>
      </c>
      <c r="CY3" s="456">
        <f>IF(OR(AB3=0,AB3=""),0,IF(VLOOKUP(B3,'Matriz de Referencia'!$B$2:$CO$584,36,FALSE)=0,0,"Digite"))</f>
        <v>0</v>
      </c>
      <c r="CZ3" s="457">
        <f t="shared" ref="CZ3:CZ20" si="18">SUM(CW3:CY3)</f>
        <v>0</v>
      </c>
      <c r="DA3" s="457">
        <f t="shared" ref="DA3:DA20" si="19">CZ3+CV3</f>
        <v>0</v>
      </c>
      <c r="DB3" s="457">
        <f t="shared" ref="DB3:DB20" si="20">DA3+CM3+BY3+BK3</f>
        <v>0</v>
      </c>
      <c r="DC3" s="101" t="str">
        <f>IFERROR(IF(DB3=0,"",IF(VLOOKUP(B3,'Matriz de Referencia'!$B$2:$CO$584,'Matriz de Referencia'!BO$1,FALSE)=DB3,"Techos ok, cotinue","Debe revisar el valor programado")),"")</f>
        <v/>
      </c>
      <c r="DD3" s="453">
        <f>IF(OR(AE3=0,AE3=""),0,IF(VLOOKUP(B3,'Matriz de Referencia'!$B$2:$CO$584,39,FALSE)=0,0,"Digite"))</f>
        <v>0</v>
      </c>
      <c r="DE3" s="454">
        <f>IF(OR(AE3=0,AE3=""),0,IF(VLOOKUP(B3,'Matriz de Referencia'!$B$2:$CO$584,40,FALSE)=0,0,"Digite"))</f>
        <v>0</v>
      </c>
      <c r="DF3" s="454">
        <f>IF(OR(AE3=0,AE3=""),0,IF(VLOOKUP(B3,'Matriz de Referencia'!$B$2:$CO$584,41,FALSE)=0,0,"Digite"))</f>
        <v>0</v>
      </c>
      <c r="DG3" s="454">
        <f>IF(OR(AE3=0,AE3=""),0,IF(VLOOKUP(B3,'Matriz de Referencia'!$B$2:$CO$584,42,FALSE)=0,0,"Digite"))</f>
        <v>0</v>
      </c>
      <c r="DH3" s="454">
        <f>IF(OR(AE3=0,AE3=""),0,IF(VLOOKUP(B3,'Matriz de Referencia'!$B$2:$CO$584,43,FALSE)=0,0,"Digite"))</f>
        <v>0</v>
      </c>
      <c r="DI3" s="454">
        <f>IF(OR(AE3=0,AE3=""),0,IF(VLOOKUP(B3,'Matriz de Referencia'!$B$2:$CO$584,44,FALSE)=0,0,"Digite"))</f>
        <v>0</v>
      </c>
      <c r="DJ3" s="454">
        <f>IF(OR(AE3=0,AE3=""),0,IF(VLOOKUP(B3,'Matriz de Referencia'!$B$2:$CO$584,45,FALSE)=0,0,"Digite"))</f>
        <v>0</v>
      </c>
      <c r="DK3" s="454">
        <f>IF(OR(AE3=0,AE3=""),0,IF(VLOOKUP(B3,'Matriz de Referencia'!$B$2:$CO$584,46,FALSE)=0,0,"Digite"))</f>
        <v>0</v>
      </c>
      <c r="DL3" s="382">
        <f t="shared" ref="DL3:DL20" si="21">SUM(DD3:DK3)</f>
        <v>0</v>
      </c>
      <c r="DM3" s="454">
        <f>IF(OR(AE3=0,AE3=""),0,IF(VLOOKUP(B3,'Matriz de Referencia'!$B$2:$CO$584,48,FALSE)=0,0,"Digite"))</f>
        <v>0</v>
      </c>
      <c r="DN3" s="454">
        <f>IF(OR(AE3=0,AE3=""),0,IF(VLOOKUP(B3,'Matriz de Referencia'!$B$2:$CO$584,49,FALSE)=0,0,"Digite"))</f>
        <v>0</v>
      </c>
      <c r="DO3" s="454">
        <f>IF(OR(AE3=0,AE3=""),0,IF(VLOOKUP(B3,'Matriz de Referencia'!$B$2:$CO$584,50,FALSE)=0,0,"Digite"))</f>
        <v>0</v>
      </c>
      <c r="DP3" s="382">
        <f t="shared" ref="DP3:DP20" si="22">SUM(DM3:DO3)</f>
        <v>0</v>
      </c>
      <c r="DQ3" s="382">
        <f t="shared" ref="DQ3:DQ20" si="23">DP3+DL3</f>
        <v>0</v>
      </c>
      <c r="DR3" s="453">
        <f>IF(OR(AF3=0,AF3=""),0,IF(VLOOKUP(B3,'Matriz de Referencia'!$B$2:$CO$584,39,FALSE)=0,0,"Digite"))</f>
        <v>0</v>
      </c>
      <c r="DS3" s="454">
        <f>IF(OR(AF3=0,AF3=""),0,IF(VLOOKUP(B3,'Matriz de Referencia'!$B$2:$CO$584,40,FALSE)=0,0,"Digite"))</f>
        <v>0</v>
      </c>
      <c r="DT3" s="454">
        <f>IF(OR(AF3=0,AF3=""),0,IF(VLOOKUP(B3,'Matriz de Referencia'!$B$2:$CO$584,41,FALSE)=0,0,"Digite"))</f>
        <v>0</v>
      </c>
      <c r="DU3" s="454">
        <f>IF(OR(AF3=0,AF3=""),0,IF(VLOOKUP(B3,'Matriz de Referencia'!$B$2:$CO$584,42,FALSE)=0,0,"Digite"))</f>
        <v>0</v>
      </c>
      <c r="DV3" s="454">
        <f>IF(OR(AF3=0,AF3=""),0,IF(VLOOKUP(B3,'Matriz de Referencia'!$B$2:$CO$584,43,FALSE)=0,0,"Digite"))</f>
        <v>0</v>
      </c>
      <c r="DW3" s="454">
        <f>IF(OR(AF3=0,AF3=""),0,IF(VLOOKUP(B3,'Matriz de Referencia'!$B$2:$CO$584,44,FALSE)=0,0,"Digite"))</f>
        <v>0</v>
      </c>
      <c r="DX3" s="454">
        <f>IF(OR(AF3=0,AF3=""),0,IF(VLOOKUP(B3,'Matriz de Referencia'!$B$2:$CO$584,45,FALSE)=0,0,"Digite"))</f>
        <v>0</v>
      </c>
      <c r="DY3" s="454">
        <f>IF(OR(AF3=0,AF3=""),0,IF(VLOOKUP(B3,'Matriz de Referencia'!$B$2:$CO$584,46,FALSE)=0,0,"Digite"))</f>
        <v>0</v>
      </c>
      <c r="DZ3" s="382">
        <f t="shared" ref="DZ3:DZ20" si="24">SUM(DR3:DY3)</f>
        <v>0</v>
      </c>
      <c r="EA3" s="454">
        <f>IF(OR(AF3=0,AF3=""),0,IF(VLOOKUP(B3,'Matriz de Referencia'!$B$2:$CO$584,48,FALSE)=0,0,"Digite"))</f>
        <v>0</v>
      </c>
      <c r="EB3" s="454">
        <f>IF(OR(AF3=0,AF3=""),0,IF(VLOOKUP(B3,'Matriz de Referencia'!$B$2:$CO$584,49,FALSE)=0,0,"Digite"))</f>
        <v>0</v>
      </c>
      <c r="EC3" s="454">
        <f>IF(OR(AF3=0,AF3=""),0,IF(VLOOKUP(B3,'Matriz de Referencia'!$B$2:$CO$584,50,FALSE)=0,0,"Digite"))</f>
        <v>0</v>
      </c>
      <c r="ED3" s="382">
        <f t="shared" ref="ED3:ED20" si="25">SUM(EA3:EC3)</f>
        <v>0</v>
      </c>
      <c r="EE3" s="382">
        <f t="shared" ref="EE3:EE20" si="26">ED3+DZ3</f>
        <v>0</v>
      </c>
      <c r="EF3" s="453">
        <f>IF(OR(AG3=0,AG3=""),0,IF(VLOOKUP(B3,'Matriz de Referencia'!$B$2:$CO$584,39,FALSE)=0,0,"Digite"))</f>
        <v>0</v>
      </c>
      <c r="EG3" s="454">
        <f>IF(OR(AG3=0,AG3=""),0,IF(VLOOKUP(B3,'Matriz de Referencia'!$B$2:$CO$584,40,FALSE)=0,0,"Digite"))</f>
        <v>0</v>
      </c>
      <c r="EH3" s="454">
        <f>IF(OR(AG3=0,AG3=""),0,IF(VLOOKUP(B3,'Matriz de Referencia'!$B$2:$CO$584,41,FALSE)=0,0,"Digite"))</f>
        <v>0</v>
      </c>
      <c r="EI3" s="454">
        <f>IF(OR(AG3=0,AG3=""),0,IF(VLOOKUP(B3,'Matriz de Referencia'!$B$2:$CO$584,42,FALSE)=0,0,"Digite"))</f>
        <v>0</v>
      </c>
      <c r="EJ3" s="454">
        <f>IF(OR(AG3=0,AG3=""),0,IF(VLOOKUP(B3,'Matriz de Referencia'!$B$2:$CO$584,43,FALSE)=0,0,"Digite"))</f>
        <v>0</v>
      </c>
      <c r="EK3" s="454">
        <f>IF(OR(AG3=0,AG3=""),0,IF(VLOOKUP(B3,'Matriz de Referencia'!$B$2:$CO$584,44,FALSE)=0,0,"Digite"))</f>
        <v>0</v>
      </c>
      <c r="EL3" s="454">
        <f>IF(OR(AG3=0,AG3=""),0,IF(VLOOKUP(B3,'Matriz de Referencia'!$B$2:$CO$584,45,FALSE)=0,0,"Digite"))</f>
        <v>0</v>
      </c>
      <c r="EM3" s="454">
        <f>IF(OR(AG3=0,AG3=""),0,IF(VLOOKUP(B3,'Matriz de Referencia'!$B$2:$CO$584,46,FALSE)=0,0,"Digite"))</f>
        <v>0</v>
      </c>
      <c r="EN3" s="382">
        <f t="shared" ref="EN3:EN20" si="27">SUM(EF3:EM3)</f>
        <v>0</v>
      </c>
      <c r="EO3" s="454">
        <f>IF(OR(AG3=0,AG3=""),0,IF(VLOOKUP(B3,'Matriz de Referencia'!$B$2:$CO$584,48,FALSE)=0,0,"Digite"))</f>
        <v>0</v>
      </c>
      <c r="EP3" s="454">
        <f>IF(OR(AG3=0,AG3=""),0,IF(VLOOKUP(B3,'Matriz de Referencia'!$B$2:$CO$584,49,FALSE)=0,0,"Digite"))</f>
        <v>0</v>
      </c>
      <c r="EQ3" s="454">
        <f>IF(OR(AG3=0,AG3=""),0,IF(VLOOKUP(B3,'Matriz de Referencia'!$B$2:$CO$584,50,FALSE)=0,0,"Digite"))</f>
        <v>0</v>
      </c>
      <c r="ER3" s="382">
        <f t="shared" ref="ER3:ER20" si="28">SUM(EO3:EQ3)</f>
        <v>0</v>
      </c>
      <c r="ES3" s="382">
        <f t="shared" ref="ES3:ES20" si="29">ER3+EN3</f>
        <v>0</v>
      </c>
      <c r="ET3" s="453">
        <f>IF(OR(AH3=0,AH3=""),0,IF(VLOOKUP(B3,'Matriz de Referencia'!$B$2:$CO$584,39,FALSE)=0,0,"Digite"))</f>
        <v>0</v>
      </c>
      <c r="EU3" s="454">
        <f>IF(OR(AH3=0,AH3=""),0,IF(VLOOKUP(B3,'Matriz de Referencia'!$B$2:$CO$584,40,FALSE)=0,0,"Digite"))</f>
        <v>0</v>
      </c>
      <c r="EV3" s="454">
        <f>IF(OR(AH3=0,AH3=""),0,IF(VLOOKUP(B3,'Matriz de Referencia'!$B$2:$CO$584,41,FALSE)=0,0,"Digite"))</f>
        <v>0</v>
      </c>
      <c r="EW3" s="454">
        <f>IF(OR(AH3=0,AH3=""),0,IF(VLOOKUP(B3,'Matriz de Referencia'!$B$2:$CO$584,42,FALSE)=0,0,"Digite"))</f>
        <v>0</v>
      </c>
      <c r="EX3" s="454">
        <f>IF(OR(AH3=0,AH3=""),0,IF(VLOOKUP(B3,'Matriz de Referencia'!$B$2:$CO$584,43,FALSE)=0,0,"Digite"))</f>
        <v>0</v>
      </c>
      <c r="EY3" s="454">
        <f>IF(OR(AH3=0,AH3=""),0,IF(VLOOKUP(B3,'Matriz de Referencia'!$B$2:$CO$584,44,FALSE)=0,0,"Digite"))</f>
        <v>0</v>
      </c>
      <c r="EZ3" s="454">
        <f>IF(OR(AH3=0,AH3=""),0,IF(VLOOKUP(B3,'Matriz de Referencia'!$B$2:$CO$584,45,FALSE)=0,0,"Digite"))</f>
        <v>0</v>
      </c>
      <c r="FA3" s="454">
        <f>IF(OR(AH3=0,AH3=""),0,IF(VLOOKUP(B3,'Matriz de Referencia'!$B$2:$CO$584,46,FALSE)=0,0,"Digite"))</f>
        <v>0</v>
      </c>
      <c r="FB3" s="382">
        <f t="shared" ref="FB3:FB20" si="30">SUM(ET3:FA3)</f>
        <v>0</v>
      </c>
      <c r="FC3" s="454">
        <f>IF(OR(AH3=0,AH3=""),0,IF(VLOOKUP(B3,'Matriz de Referencia'!$B$2:$CO$584,48,FALSE)=0,0,"Digite"))</f>
        <v>0</v>
      </c>
      <c r="FD3" s="454">
        <f>IF(OR(AH3=0,AH3=""),0,IF(VLOOKUP(B3,'Matriz de Referencia'!$B$2:$CO$584,49,FALSE)=0,0,"Digite"))</f>
        <v>0</v>
      </c>
      <c r="FE3" s="454">
        <f>IF(OR(AH3=0,AH3=""),0,IF(VLOOKUP(B3,'Matriz de Referencia'!$B$2:$CO$584,50,FALSE)=0,0,"Digite"))</f>
        <v>0</v>
      </c>
      <c r="FF3" s="382">
        <f t="shared" ref="FF3:FF20" si="31">SUM(FC3:FE3)</f>
        <v>0</v>
      </c>
      <c r="FG3" s="382">
        <f t="shared" ref="FG3:FG20" si="32">FF3+FB3</f>
        <v>0</v>
      </c>
      <c r="FH3" s="382">
        <f t="shared" ref="FH3:FH20" si="33">FG3+ES3+EE3+DQ3</f>
        <v>0</v>
      </c>
      <c r="FI3" s="101" t="str">
        <f>IFERROR(IF(FH3=0,"",IF(VLOOKUP(B3,'Matriz de Referencia'!$B$2:$CO$584,52,FALSE)=FH3,"Techos ok, cotinue","Debe revisar el valor programado")),"")</f>
        <v/>
      </c>
      <c r="FJ3" s="453">
        <f>IF(OR(AK3=0,AK3=""),0,IF(VLOOKUP(B3,'Matriz de Referencia'!$B$2:$CO$584,53,FALSE)=0,0,"Digite"))</f>
        <v>0</v>
      </c>
      <c r="FK3" s="454">
        <f>IF(OR(AK3=0,AK3=""),0,IF(VLOOKUP(B3,'Matriz de Referencia'!$B$2:$CO$584,54,FALSE)=0,0,"Digite"))</f>
        <v>0</v>
      </c>
      <c r="FL3" s="454">
        <f>IF(OR(AK3=0,AK3=""),0,IF(VLOOKUP(B3,'Matriz de Referencia'!$B$2:$CO$584,55,FALSE)=0,0,"Digite"))</f>
        <v>0</v>
      </c>
      <c r="FM3" s="454">
        <f>IF(OR(AK3=0,AK3=""),0,IF(VLOOKUP(B3,'Matriz de Referencia'!$B$2:$CO$584,56,FALSE)=0,0,"Digite"))</f>
        <v>0</v>
      </c>
      <c r="FN3" s="454">
        <f>IF(OR(AK3=0,AK3=""),0,IF(VLOOKUP(B3,'Matriz de Referencia'!$B$2:$CO$584,57,FALSE)=0,0,"Digite"))</f>
        <v>0</v>
      </c>
      <c r="FO3" s="454">
        <f>IF(OR(AK3=0,AK3=""),0,IF(VLOOKUP(B3,'Matriz de Referencia'!$B$2:$CO$584,58,FALSE)=0,0,"Digite"))</f>
        <v>0</v>
      </c>
      <c r="FP3" s="454">
        <f>IF(OR(AK3=0,AK3=""),0,IF(VLOOKUP(B3,'Matriz de Referencia'!$B$2:$CO$584,59,FALSE)=0,0,"Digite"))</f>
        <v>0</v>
      </c>
      <c r="FQ3" s="454">
        <f>IF(OR(AK3=0,AK3=""),0,IF(VLOOKUP(B3,'Matriz de Referencia'!$B$2:$CO$584,60,FALSE)=0,0,"Digite"))</f>
        <v>0</v>
      </c>
      <c r="FR3" s="382">
        <f t="shared" ref="FR3:FR20" si="34">SUM(FJ3:FQ3)</f>
        <v>0</v>
      </c>
      <c r="FS3" s="454">
        <f>IF(OR(AK3=0,AK3=""),0,IF(VLOOKUP(B3,'Matriz de Referencia'!$B$2:$CO$584,62,FALSE)=0,0,"Digite"))</f>
        <v>0</v>
      </c>
      <c r="FT3" s="454">
        <f>IF(OR(AK3=0,AK3=""),0,IF(VLOOKUP(B3,'Matriz de Referencia'!$B$2:$CO$584,63,FALSE)=0,0,"Digite"))</f>
        <v>0</v>
      </c>
      <c r="FU3" s="454">
        <f>IF(OR(AK3=0,AK3=""),0,IF(VLOOKUP(B3,'Matriz de Referencia'!$B$2:$CO$584,64,FALSE)=0,"","Digite"))</f>
        <v>0</v>
      </c>
      <c r="FV3" s="382">
        <f t="shared" ref="FV3:FV20" si="35">SUM(FS3:FU3)</f>
        <v>0</v>
      </c>
      <c r="FW3" s="382">
        <f t="shared" ref="FW3:FW20" si="36">FV3+FR3</f>
        <v>0</v>
      </c>
      <c r="FX3" s="453">
        <f>IF(OR(AL3=0,AL3=""),0,IF(VLOOKUP(B3,'Matriz de Referencia'!$B$2:$CO$584,53,FALSE)=0,0,"Digite"))</f>
        <v>0</v>
      </c>
      <c r="FY3" s="454">
        <f>IF(OR(AL3=0,AL3=""),0,IF(VLOOKUP(B3,'Matriz de Referencia'!$B$2:$CO$584,54,FALSE)=0,0,"Digite"))</f>
        <v>0</v>
      </c>
      <c r="FZ3" s="454">
        <f>IF(OR(AL3=0,AL3=""),0,IF(VLOOKUP(B3,'Matriz de Referencia'!$B$2:$CO$584,55,FALSE)=0,0,"Digite"))</f>
        <v>0</v>
      </c>
      <c r="GA3" s="454">
        <f>IF(OR(AL3=0,AL3=""),0,IF(VLOOKUP(B3,'Matriz de Referencia'!$B$2:$CO$584,56,FALSE)=0,0,"Digite"))</f>
        <v>0</v>
      </c>
      <c r="GB3" s="454">
        <f>IF(OR(AL3=0,AL3=""),0,IF(VLOOKUP(B3,'Matriz de Referencia'!$B$2:$CO$584,57,FALSE)=0,0,"Digite"))</f>
        <v>0</v>
      </c>
      <c r="GC3" s="454">
        <f>IF(OR(AL3=0,AL3=""),0,IF(VLOOKUP(B3,'Matriz de Referencia'!$B$2:$CO$584,58,FALSE)=0,0,"Digite"))</f>
        <v>0</v>
      </c>
      <c r="GD3" s="454">
        <f>IF(OR(AL3=0,AL3=""),0,IF(VLOOKUP(B3,'Matriz de Referencia'!$B$2:$CO$584,59,FALSE)=0,0,"Digite"))</f>
        <v>0</v>
      </c>
      <c r="GE3" s="454">
        <f>IF(OR(AL3=0,AL3=""),0,IF(VLOOKUP(B3,'Matriz de Referencia'!$B$2:$CO$584,60,FALSE)=0,0,"Digite"))</f>
        <v>0</v>
      </c>
      <c r="GF3" s="382">
        <f t="shared" ref="GF3:GF20" si="37">SUM(FX3:GE3)</f>
        <v>0</v>
      </c>
      <c r="GG3" s="454">
        <f>IF(OR(AL3=0,AL3=""),0,IF(VLOOKUP(B3,'Matriz de Referencia'!$B$2:$CO$584,62,FALSE)=0,0,"Digite"))</f>
        <v>0</v>
      </c>
      <c r="GH3" s="454">
        <f>IF(OR(AL3=0,AL3=""),0,IF(VLOOKUP(B3,'Matriz de Referencia'!$B$2:$CO$584,63,FALSE)=0,0,"Digite"))</f>
        <v>0</v>
      </c>
      <c r="GI3" s="454">
        <f>IF(OR(AL3=0,AL3=""),0,IF(VLOOKUP(B3,'Matriz de Referencia'!$B$2:$CO$584,64,FALSE)=0,0,"Digite"))</f>
        <v>0</v>
      </c>
      <c r="GJ3" s="382">
        <f t="shared" ref="GJ3:GJ20" si="38">SUM(GG3:GI3)</f>
        <v>0</v>
      </c>
      <c r="GK3" s="382">
        <f t="shared" ref="GK3:GK20" si="39">GJ3+GF3</f>
        <v>0</v>
      </c>
      <c r="GL3" s="453">
        <f>IF(OR(AM3=0,AM3=""),0,IF(VLOOKUP(B3,'Matriz de Referencia'!$B$2:$CO$584,53,FALSE)=0,0,"Digite"))</f>
        <v>0</v>
      </c>
      <c r="GM3" s="454">
        <f>IF(OR(AM3=0,AM3=""),0,IF(VLOOKUP(B3,'Matriz de Referencia'!$B$2:$CO$584,54,FALSE)=0,0,"Digite"))</f>
        <v>0</v>
      </c>
      <c r="GN3" s="454">
        <f>IF(OR(AM3=0,AM3=""),0,IF(VLOOKUP(B3,'Matriz de Referencia'!$B$2:$CO$584,55,FALSE)=0,0,"Digite"))</f>
        <v>0</v>
      </c>
      <c r="GO3" s="454">
        <f>IF(OR(AM3=0,AM3=""),0,IF(VLOOKUP(B3,'Matriz de Referencia'!$B$2:$CO$584,56,FALSE)=0,0,"Digite"))</f>
        <v>0</v>
      </c>
      <c r="GP3" s="454">
        <f>IF(OR(AM3=0,AM3=""),0,IF(VLOOKUP(B3,'Matriz de Referencia'!$B$2:$CO$584,57,FALSE)=0,0,"Digite"))</f>
        <v>0</v>
      </c>
      <c r="GQ3" s="454">
        <f>IF(OR(AM3=0,AM3=""),0,IF(VLOOKUP(B3,'Matriz de Referencia'!$B$2:$CO$584,58,FALSE)=0,0,"Digite"))</f>
        <v>0</v>
      </c>
      <c r="GR3" s="454">
        <f>IF(OR(AM3=0,AM3=""),0,IF(VLOOKUP(B3,'Matriz de Referencia'!$B$2:$CO$584,59,FALSE)=0,0,"Digite"))</f>
        <v>0</v>
      </c>
      <c r="GS3" s="454">
        <f>IF(OR(AM3=0,AM3=""),0,IF(VLOOKUP(B3,'Matriz de Referencia'!$B$2:$CO$584,60,FALSE)=0,0,"Digite"))</f>
        <v>0</v>
      </c>
      <c r="GT3" s="382">
        <f t="shared" ref="GT3:GT20" si="40">SUM(GL3:GS3)</f>
        <v>0</v>
      </c>
      <c r="GU3" s="454">
        <f>IF(OR(AM3=0,AM3=""),0,IF(VLOOKUP(B3,'Matriz de Referencia'!$B$2:$CO$584,62,FALSE)=0,0,"Digite"))</f>
        <v>0</v>
      </c>
      <c r="GV3" s="454">
        <f>IF(OR(AM3=0,AM3=""),0,IF(VLOOKUP(B3,'Matriz de Referencia'!$B$2:$CO$584,63,FALSE)=0,0,"Digite"))</f>
        <v>0</v>
      </c>
      <c r="GW3" s="454">
        <f>IF(OR(AM3=0,AM3=""),0,IF(VLOOKUP(B3,'Matriz de Referencia'!$B$2:$CO$584,64,FALSE)=0,0,"Digite"))</f>
        <v>0</v>
      </c>
      <c r="GX3" s="382">
        <f t="shared" ref="GX3:GX20" si="41">SUM(GU3:GW3)</f>
        <v>0</v>
      </c>
      <c r="GY3" s="382">
        <f t="shared" ref="GY3:GY20" si="42">GX3+GT3</f>
        <v>0</v>
      </c>
      <c r="GZ3" s="453">
        <f>IF(OR(AN3=0,AN3=""),0,IF(VLOOKUP(B3,'Matriz de Referencia'!$B$2:$CO$584,53,FALSE)=0,0,"Digite"))</f>
        <v>0</v>
      </c>
      <c r="HA3" s="454">
        <f>IF(OR(AN3=0,AN3=""),0,IF(VLOOKUP(B3,'Matriz de Referencia'!$B$2:$CO$584,54,FALSE)=0,0,"Digite"))</f>
        <v>0</v>
      </c>
      <c r="HB3" s="454">
        <f>IF(OR(AN3=0,AN3=""),0,IF(VLOOKUP(B3,'Matriz de Referencia'!$B$2:$CO$584,55,FALSE)=0,0,"Digite"))</f>
        <v>0</v>
      </c>
      <c r="HC3" s="454">
        <f>IF(OR(AN3=0,AN3=""),0,IF(VLOOKUP(B3,'Matriz de Referencia'!$B$2:$CO$584,56,FALSE)=0,0,"Digite"))</f>
        <v>0</v>
      </c>
      <c r="HD3" s="454">
        <f>IF(OR(AN3=0,AN3=""),0,IF(VLOOKUP(B3,'Matriz de Referencia'!$B$2:$CO$584,57,FALSE)=0,0,"Digite"))</f>
        <v>0</v>
      </c>
      <c r="HE3" s="454">
        <f>IF(OR(AN3=0,AN3=""),0,IF(VLOOKUP(B3,'Matriz de Referencia'!$B$2:$CO$584,58,FALSE)=0,0,"Digite"))</f>
        <v>0</v>
      </c>
      <c r="HF3" s="454">
        <f>IF(OR(AN3=0,AN3=""),0,IF(VLOOKUP(B3,'Matriz de Referencia'!$B$2:$CO$584,59,FALSE)=0,0,"Digite"))</f>
        <v>0</v>
      </c>
      <c r="HG3" s="454">
        <f>IF(OR(AN3=0,AN3=""),0,IF(VLOOKUP(B3,'Matriz de Referencia'!$B$2:$CO$584,60,FALSE)=0,0,"Digite"))</f>
        <v>0</v>
      </c>
      <c r="HH3" s="382">
        <f t="shared" ref="HH3:HH20" si="43">SUM(GZ3:HG3)</f>
        <v>0</v>
      </c>
      <c r="HI3" s="454">
        <f>IF(OR(AN3=0,AN3=""),0,IF(VLOOKUP(B3,'Matriz de Referencia'!$B$2:$CO$584,62,FALSE)=0,0,"Digite"))</f>
        <v>0</v>
      </c>
      <c r="HJ3" s="454">
        <f>IF(OR(AN3=0,AN3=""),0,IF(VLOOKUP(B3,'Matriz de Referencia'!$B$2:$CO$584,63,FALSE)=0,0,"Digite"))</f>
        <v>0</v>
      </c>
      <c r="HK3" s="454">
        <f>IF(OR(AN3=0,AN3=""),0,IF(VLOOKUP(B3,'Matriz de Referencia'!$B$2:$CO$584,64,FALSE)=0,0,"Digite"))</f>
        <v>0</v>
      </c>
      <c r="HL3" s="382">
        <f t="shared" ref="HL3:HL20" si="44">SUM(HI3:HK3)</f>
        <v>0</v>
      </c>
      <c r="HM3" s="382">
        <f t="shared" ref="HM3:HM20" si="45">HL3+HH3</f>
        <v>0</v>
      </c>
      <c r="HN3" s="382">
        <f t="shared" ref="HN3:HN20" si="46">HM3+GY3+GK3+FW3</f>
        <v>0</v>
      </c>
      <c r="HO3" s="101" t="str">
        <f>IFERROR(IF(HN3=0,"",IF(VLOOKUP(B3,'Matriz de Referencia'!$B$2:$CO$584,66,FALSE)=HN3,"Techos ok, cotinue","Debe revisar el valor programado")),"")</f>
        <v/>
      </c>
      <c r="HP3" s="453">
        <f>IF(OR(AQ3=0,AQ3=""),0,IF(VLOOKUP(B3,'Matriz de Referencia'!$B$2:$CO$584,67,FALSE)=0,0,"Digite"))</f>
        <v>0</v>
      </c>
      <c r="HQ3" s="454">
        <f>IF(OR(AQ3=0,AQ3=""),0,IF(VLOOKUP(B3,'Matriz de Referencia'!$B$2:$CO$584,68,FALSE)=0,0,"Digite"))</f>
        <v>0</v>
      </c>
      <c r="HR3" s="454">
        <f>IF(OR(AQ3=0,AQ3=""),0,IF(VLOOKUP(B3,'Matriz de Referencia'!$B$2:$CO$584,69,FALSE)=0,0,"Digite"))</f>
        <v>0</v>
      </c>
      <c r="HS3" s="454">
        <f>IF(OR(AQ3=0,AQ3=""),0,IF(VLOOKUP(B3,'Matriz de Referencia'!$B$2:$CO$584,70,FALSE)=0,0,"Digite"))</f>
        <v>0</v>
      </c>
      <c r="HT3" s="454">
        <f>IF(OR(AQ3=0,AQ3=""),0,IF(VLOOKUP(B3,'Matriz de Referencia'!$B$2:$CO$584,71,FALSE)=0,0,"Digite"))</f>
        <v>0</v>
      </c>
      <c r="HU3" s="454">
        <f>IF(OR(AQ3=0,AQ3=""),0,IF(VLOOKUP(B3,'Matriz de Referencia'!$B$2:$CO$584,72,FALSE)=0,0,"Digite"))</f>
        <v>0</v>
      </c>
      <c r="HV3" s="454">
        <f>IF(OR(AQ3=0,AQ3=""),0,IF(VLOOKUP(B3,'Matriz de Referencia'!$B$2:$CO$584,73,FALSE)=0,0,"Digite"))</f>
        <v>0</v>
      </c>
      <c r="HW3" s="454">
        <f>IF(OR(AQ3=0,AQ3=""),0,IF(VLOOKUP(B3,'Matriz de Referencia'!$B$2:$CO$584,74,FALSE)=0,0,"Digite"))</f>
        <v>0</v>
      </c>
      <c r="HX3" s="382">
        <f t="shared" ref="HX3:HX20" si="47">SUM(HP3:HW3)</f>
        <v>0</v>
      </c>
      <c r="HY3" s="454">
        <f>IF(OR(AQ3=0,AQ3=""),0,IF(VLOOKUP(B3,'Matriz de Referencia'!$B$2:$CO$584,76,FALSE)=0,0,"Digite"))</f>
        <v>0</v>
      </c>
      <c r="HZ3" s="454">
        <f>IF(OR(AQ3=0,AQ3=""),0,IF(VLOOKUP(B3,'Matriz de Referencia'!$B$2:$CO$584,77,FALSE)=0,0,"Digite"))</f>
        <v>0</v>
      </c>
      <c r="IA3" s="454">
        <f>IF(OR(AQ3=0,AQ3=""),0,IF(VLOOKUP(B3,'Matriz de Referencia'!$B$2:$CO$584,78,FALSE)=0,0,"Digite"))</f>
        <v>0</v>
      </c>
      <c r="IB3" s="382">
        <f t="shared" ref="IB3:IB20" si="48">SUM(HY3:IA3)</f>
        <v>0</v>
      </c>
      <c r="IC3" s="382">
        <f t="shared" ref="IC3:IC20" si="49">IB3+HX3</f>
        <v>0</v>
      </c>
      <c r="ID3" s="453">
        <f>IF(OR(AR3=0,AR3=""),0,IF(VLOOKUP(B3,'Matriz de Referencia'!$B$2:$CO$584,67,FALSE)=0,0,"Digite"))</f>
        <v>0</v>
      </c>
      <c r="IE3" s="454">
        <f>IF(OR(AR3=0,AR3=""),0,IF(VLOOKUP(B3,'Matriz de Referencia'!$B$2:$CO$584,68,FALSE)=0,0,"Digite"))</f>
        <v>0</v>
      </c>
      <c r="IF3" s="454">
        <f>IF(OR(AR3=0,AR3=""),0,IF(VLOOKUP(B3,'Matriz de Referencia'!$B$2:$CO$584,69,FALSE)=0,0,"Digite"))</f>
        <v>0</v>
      </c>
      <c r="IG3" s="454">
        <f>IF(OR(AR3=0,AR3=""),0,IF(VLOOKUP(B3,'Matriz de Referencia'!$B$2:$CO$584,70,FALSE)=0,0,"Digite"))</f>
        <v>0</v>
      </c>
      <c r="IH3" s="454">
        <f>IF(OR(AR3=0,AR3=""),0,IF(VLOOKUP(B3,'Matriz de Referencia'!$B$2:$CO$584,71,FALSE)=0,0,"Digite"))</f>
        <v>0</v>
      </c>
      <c r="II3" s="454">
        <f>IF(OR(AR3=0,AR3=""),0,IF(VLOOKUP(B3,'Matriz de Referencia'!$B$2:$CO$584,72,FALSE)=0,0,"Digite"))</f>
        <v>0</v>
      </c>
      <c r="IJ3" s="454">
        <f>IF(OR(AR3=0,AR3=""),0,IF(VLOOKUP(B3,'Matriz de Referencia'!$B$2:$CO$584,73,FALSE)=0,0,"Digite"))</f>
        <v>0</v>
      </c>
      <c r="IK3" s="454">
        <f>IF(OR(AR3=0,AR3=""),0,IF(VLOOKUP(B3,'Matriz de Referencia'!$B$2:$CO$584,74,FALSE)=0,0,"Digite"))</f>
        <v>0</v>
      </c>
      <c r="IL3" s="382">
        <f t="shared" ref="IL3:IL20" si="50">SUM(ID3:IK3)</f>
        <v>0</v>
      </c>
      <c r="IM3" s="454">
        <f>IF(OR(AR3=0,AR3=""),0,IF(VLOOKUP(B3,'Matriz de Referencia'!$B$2:$CO$584,76,FALSE)=0,0,"Digite"))</f>
        <v>0</v>
      </c>
      <c r="IN3" s="454">
        <f>IF(OR(AR3=0,AR3=""),0,IF(VLOOKUP(B3,'Matriz de Referencia'!$B$2:$CO$584,77,FALSE)=0,0,"Digite"))</f>
        <v>0</v>
      </c>
      <c r="IO3" s="454">
        <f>IF(OR(AR3=0,AR3=""),0,IF(VLOOKUP(B3,'Matriz de Referencia'!$B$2:$CO$584,78,FALSE)=0,0,"Digite"))</f>
        <v>0</v>
      </c>
      <c r="IP3" s="382">
        <f t="shared" ref="IP3:IP20" si="51">SUM(IM3:IO3)</f>
        <v>0</v>
      </c>
      <c r="IQ3" s="382">
        <f t="shared" ref="IQ3:IQ20" si="52">IP3+IL3</f>
        <v>0</v>
      </c>
      <c r="IR3" s="453">
        <f>IF(OR(AS3=0,AS3=""),0,IF(VLOOKUP(B3,'Matriz de Referencia'!$B$2:$CO$584,67,FALSE)=0,0,"Digite"))</f>
        <v>0</v>
      </c>
      <c r="IS3" s="454">
        <f>IF(OR(AS3=0,AS3=""),0,IF(VLOOKUP(B3,'Matriz de Referencia'!$B$2:$CO$584,68,FALSE)=0,0,"Digite"))</f>
        <v>0</v>
      </c>
      <c r="IT3" s="454">
        <f>IF(OR(AS3=0,AS3=""),0,IF(VLOOKUP(B3,'Matriz de Referencia'!$B$2:$CO$584,69,FALSE)=0,0,"Digite"))</f>
        <v>0</v>
      </c>
      <c r="IU3" s="454">
        <f>IF(OR(AS3=0,AS3=""),0,IF(VLOOKUP(B3,'Matriz de Referencia'!$B$2:$CO$584,70,FALSE)=0,0,"Digite"))</f>
        <v>0</v>
      </c>
      <c r="IV3" s="454">
        <f>IF(OR(AS3=0,AS3=""),0,IF(VLOOKUP(B3,'Matriz de Referencia'!$B$2:$CO$584,71,FALSE)=0,0,"Digite"))</f>
        <v>0</v>
      </c>
      <c r="IW3" s="454">
        <f>IF(OR(AS3=0,AS3=""),0,IF(VLOOKUP(B3,'Matriz de Referencia'!$B$2:$CO$584,72,FALSE)=0,0,"Digite"))</f>
        <v>0</v>
      </c>
      <c r="IX3" s="454">
        <f>IF(OR(AS3=0,AS3=""),0,IF(VLOOKUP(B3,'Matriz de Referencia'!$B$2:$CO$584,73,FALSE)=0,0,"Digite"))</f>
        <v>0</v>
      </c>
      <c r="IY3" s="454">
        <f>IF(OR(AS3=0,AS3=""),0,IF(VLOOKUP(B3,'Matriz de Referencia'!$B$2:$CO$584,74,FALSE)=0,0,"Digite"))</f>
        <v>0</v>
      </c>
      <c r="IZ3" s="382">
        <f t="shared" ref="IZ3:IZ20" si="53">SUM(IR3:IY3)</f>
        <v>0</v>
      </c>
      <c r="JA3" s="454">
        <f>IF(OR(AS3=0,AS3=""),0,IF(VLOOKUP(B3,'Matriz de Referencia'!$B$2:$CO$584,76,FALSE)=0,0,"Digite"))</f>
        <v>0</v>
      </c>
      <c r="JB3" s="454">
        <f>IF(OR(AS3=0,AS3=""),0,IF(VLOOKUP(B3,'Matriz de Referencia'!$B$2:$CO$584,77,FALSE)=0,0,"Digite"))</f>
        <v>0</v>
      </c>
      <c r="JC3" s="454">
        <f>IF(OR(AS3=0,AS3=""),0,IF(VLOOKUP(B3,'Matriz de Referencia'!$B$2:$CO$584,78,FALSE)=0,0,"Digite"))</f>
        <v>0</v>
      </c>
      <c r="JD3" s="382">
        <f t="shared" ref="JD3:JD20" si="54">SUM(JA3:JC3)</f>
        <v>0</v>
      </c>
      <c r="JE3" s="382">
        <f t="shared" ref="JE3:JE20" si="55">JD3+IZ3</f>
        <v>0</v>
      </c>
      <c r="JF3" s="453">
        <f>IF(OR(AT3=0,AT3=""),0,IF(VLOOKUP(B3,'Matriz de Referencia'!$B$2:$CO$584,67,FALSE)=0,0,"Digite"))</f>
        <v>0</v>
      </c>
      <c r="JG3" s="454">
        <f>IF(OR(AT3=0,AT3=""),0,IF(VLOOKUP(B3,'Matriz de Referencia'!$B$2:$CO$584,68,FALSE)=0,0,"Digite"))</f>
        <v>0</v>
      </c>
      <c r="JH3" s="454">
        <f>IF(OR(AT3=0,AT3=""),0,IF(VLOOKUP(B3,'Matriz de Referencia'!$B$2:$CO$584,69,FALSE)=0,0,"Digite"))</f>
        <v>0</v>
      </c>
      <c r="JI3" s="454">
        <f>IF(OR(AT3=0,AT3=""),0,IF(VLOOKUP(B3,'Matriz de Referencia'!$B$2:$CO$584,70,FALSE)=0,0,"Digite"))</f>
        <v>0</v>
      </c>
      <c r="JJ3" s="454">
        <f>IF(OR(AT3=0,AT3=""),0,IF(VLOOKUP(B3,'Matriz de Referencia'!$B$2:$CO$584,71,FALSE)=0,0,"Digite"))</f>
        <v>0</v>
      </c>
      <c r="JK3" s="454">
        <f>IF(OR(AT3=0,AT3=""),0,IF(VLOOKUP(B3,'Matriz de Referencia'!$B$2:$CO$584,72,FALSE)=0,0,"Digite"))</f>
        <v>0</v>
      </c>
      <c r="JL3" s="454">
        <f>IF(OR(AT3=0,AT3=""),0,IF(VLOOKUP(B3,'Matriz de Referencia'!$B$2:$CO$584,73,FALSE)=0,0,"Digite"))</f>
        <v>0</v>
      </c>
      <c r="JM3" s="454">
        <f>IF(OR(AT3=0,AT3=""),0,IF(VLOOKUP(B3,'Matriz de Referencia'!$B$2:$CO$584,74,FALSE)=0,0,"Digite"))</f>
        <v>0</v>
      </c>
      <c r="JN3" s="382">
        <f t="shared" ref="JN3:JN20" si="56">SUM(JF3:JM3)</f>
        <v>0</v>
      </c>
      <c r="JO3" s="454">
        <f>IF(OR(AT3=0,AT3=""),0,IF(VLOOKUP(B3,'Matriz de Referencia'!$B$2:$CO$584,76,FALSE)=0,0,"Digite"))</f>
        <v>0</v>
      </c>
      <c r="JP3" s="454">
        <f>IF(OR(AT3=0,AT3=""),0,IF(VLOOKUP(B3,'Matriz de Referencia'!$B$2:$CO$584,77,FALSE)=0,0,"Digite"))</f>
        <v>0</v>
      </c>
      <c r="JQ3" s="454">
        <f>IF(OR(AT3=0,AT3=""),0,IF(VLOOKUP(B3,'Matriz de Referencia'!$B$2:$CO$584,78,FALSE)=0,0,"Digite"))</f>
        <v>0</v>
      </c>
      <c r="JR3" s="382">
        <f t="shared" ref="JR3:JR20" si="57">SUM(JO3:JQ3)</f>
        <v>0</v>
      </c>
      <c r="JS3" s="382">
        <f t="shared" ref="JS3:JS20" si="58">JR3+JN3</f>
        <v>0</v>
      </c>
      <c r="JT3" s="382">
        <f t="shared" ref="JT3:JT20" si="59">JS3+JE3+IQ3+IC3</f>
        <v>0</v>
      </c>
      <c r="JU3" s="101" t="str">
        <f>IFERROR(IF(JT3=0,"",IF(VLOOKUP(B3,'Matriz de Referencia'!$B$2:$CO$584,80,FALSE)=JT3,"Techos ok, cotinue","Debe revisar el valor programado")),"")</f>
        <v/>
      </c>
      <c r="JV3" s="382">
        <f t="shared" ref="JV3:JV20" si="60">JT3+HN3+FH3+DB3</f>
        <v>0</v>
      </c>
    </row>
    <row r="4" spans="1:282">
      <c r="S4" s="568"/>
      <c r="T4" s="414"/>
      <c r="U4" s="661" t="str">
        <f t="shared" si="1"/>
        <v>Dimensión_</v>
      </c>
      <c r="V4" s="414"/>
      <c r="W4" s="568"/>
      <c r="X4" s="449" t="str">
        <f>IFERROR(IF(VLOOKUP(B4,'Matriz de Referencia'!$B$2:$CO$584,'Matriz de Referencia'!AM$1,FALSE)&gt;0,"Diligenciar la vigencia, tiene presupuesto programado","No diligenciar, no programo presupuesto"),"")</f>
        <v/>
      </c>
      <c r="Y4" s="649"/>
      <c r="Z4" s="649"/>
      <c r="AA4" s="649"/>
      <c r="AB4" s="649"/>
      <c r="AC4" s="650" t="str">
        <f t="shared" si="2"/>
        <v/>
      </c>
      <c r="AD4" s="449" t="str">
        <f>IFERROR(IF(VLOOKUP($B4,'Matriz de Referencia'!$B$2:$CO$584,'Matriz de Referencia'!BA$1,FALSE)&gt;0,"Diligenciar la vigencia, tiene presupuesto programado","No diligenciar, no programo presupuesto"),"")</f>
        <v/>
      </c>
      <c r="AE4" s="649"/>
      <c r="AF4" s="649"/>
      <c r="AG4" s="649"/>
      <c r="AH4" s="649"/>
      <c r="AI4" s="650" t="str">
        <f t="shared" si="3"/>
        <v/>
      </c>
      <c r="AJ4" s="449" t="str">
        <f>IFERROR(IF(VLOOKUP($B4,'Matriz de Referencia'!$B$2:$CO$584,'Matriz de Referencia'!BO$1,FALSE)&gt;0,"Diligenciar la vigencia, tiene presupuesto programado","No diligenciar, no programo presupuesto"),"")</f>
        <v/>
      </c>
      <c r="AK4" s="649"/>
      <c r="AL4" s="649"/>
      <c r="AM4" s="649"/>
      <c r="AN4" s="649"/>
      <c r="AO4" s="650" t="str">
        <f t="shared" si="4"/>
        <v/>
      </c>
      <c r="AP4" s="449" t="str">
        <f>IFERROR(IF(VLOOKUP($B4,'Matriz de Referencia'!$B$2:$CO$584,'Matriz de Referencia'!CC$1,FALSE)&gt;0,"Diligenciar la vigencia, tiene presupuesto programado","No diligenciar, no programo presupuesto"),"")</f>
        <v/>
      </c>
      <c r="AQ4" s="649"/>
      <c r="AR4" s="649"/>
      <c r="AS4" s="649"/>
      <c r="AT4" s="649"/>
      <c r="AU4" s="650" t="str">
        <f t="shared" si="5"/>
        <v/>
      </c>
      <c r="AV4" s="448" t="str">
        <f t="shared" si="6"/>
        <v/>
      </c>
      <c r="AW4" s="416" t="str">
        <f t="shared" si="7"/>
        <v/>
      </c>
      <c r="AX4" s="455" t="str">
        <f>IF(OR(Y4=0,Y4=""),"",IF(VLOOKUP(B4,'Matriz de Referencia'!$B$2:$CO$584,'Matriz de Referencia'!BB$1,FALSE)=0,"","Digite"))</f>
        <v/>
      </c>
      <c r="AY4" s="456">
        <f>IF(OR(Y4=0,Y4=""),0,IF(VLOOKUP(B4,'Matriz de Referencia'!$B$2:$CO$584,26,FALSE)=0,0,"Digite"))</f>
        <v>0</v>
      </c>
      <c r="AZ4" s="456">
        <f>IF(OR(Y4=0,Y4=""),0,IF(VLOOKUP(B4,'Matriz de Referencia'!$B$2:$CO$584,27,FALSE)=0,0,"Digite"))</f>
        <v>0</v>
      </c>
      <c r="BA4" s="456">
        <f>IF(OR(Y4=0,Y4=""),0,IF(VLOOKUP(B4,'Matriz de Referencia'!$B$2:$CO$584,28,FALSE)=0,0,"Digite"))</f>
        <v>0</v>
      </c>
      <c r="BB4" s="456">
        <f>IF(OR(Y4=0,Y4=""),0,IF(VLOOKUP(B4,'Matriz de Referencia'!$B$2:$CO$584,29,FALSE)=0,0,"Digite"))</f>
        <v>0</v>
      </c>
      <c r="BC4" s="456">
        <f>IF(OR(Y4=0,Y4=""),0,IF(VLOOKUP(B4,'Matriz de Referencia'!$B$2:$CO$584,30,FALSE)=0,0,"Digite"))</f>
        <v>0</v>
      </c>
      <c r="BD4" s="456">
        <f>IF(OR(Y4=0,Y4=""),0,IF(VLOOKUP(B4,'Matriz de Referencia'!$B$2:$CO$584,31,FALSE)=0,0,"Digite"))</f>
        <v>0</v>
      </c>
      <c r="BE4" s="456">
        <f>IF(OR(Y4=0,Y4=""),0,IF(VLOOKUP(B4,'Matriz de Referencia'!$B$2:$CO$584,32,FALSE)=0,0,"Digite"))</f>
        <v>0</v>
      </c>
      <c r="BF4" s="460">
        <f t="shared" si="8"/>
        <v>0</v>
      </c>
      <c r="BG4" s="456">
        <f>IF(OR(Y4=0,Y4=""),0,IF(VLOOKUP(B4,'Matriz de Referencia'!$B$2:$CO$584,34,FALSE)=0,0,"Digite"))</f>
        <v>0</v>
      </c>
      <c r="BH4" s="456">
        <f>IF(OR(Y4=0,Y4=""),0,IF(VLOOKUP(B4,'Matriz de Referencia'!$B$2:$CO$584,35,FALSE)=0,0,"Digite"))</f>
        <v>0</v>
      </c>
      <c r="BI4" s="456">
        <f>IF(OR(Y4=0,Y4=""),0,IF(VLOOKUP(B4,'Matriz de Referencia'!$B$2:$CO$584,36,FALSE)=0,0,"Digite"))</f>
        <v>0</v>
      </c>
      <c r="BJ4" s="457">
        <f t="shared" si="9"/>
        <v>0</v>
      </c>
      <c r="BK4" s="457">
        <f t="shared" si="10"/>
        <v>0</v>
      </c>
      <c r="BL4" s="455">
        <f>IF(OR(Z4=0,Z4=""),0,IF(VLOOKUP(B4,'Matriz de Referencia'!$B$2:$CO$584,25,FALSE)=0,0,"Digite"))</f>
        <v>0</v>
      </c>
      <c r="BM4" s="456">
        <f>IF(OR(Z4=0,Z4=""),0,IF(VLOOKUP(B4,'Matriz de Referencia'!$B$2:$CO$584,26,FALSE)=0,0,"Digite"))</f>
        <v>0</v>
      </c>
      <c r="BN4" s="456">
        <f>IF(OR(Z4=0,Z4=""),0,IF(VLOOKUP(B4,'Matriz de Referencia'!$B$2:$CO$584,27,FALSE)=0,0,"Digite"))</f>
        <v>0</v>
      </c>
      <c r="BO4" s="456">
        <f>IF(OR(Z4=0,Z4=""),0,IF(VLOOKUP(B4,'Matriz de Referencia'!$B$2:$CO$584,28,FALSE)=0,0,"Digite"))</f>
        <v>0</v>
      </c>
      <c r="BP4" s="456">
        <f>IF(OR(Z4=0,Z4=""),0,IF(VLOOKUP(B4,'Matriz de Referencia'!$B$2:$CO$584,29,FALSE)=0,0,"Digite"))</f>
        <v>0</v>
      </c>
      <c r="BQ4" s="456">
        <f>IF(OR(Z4=0,Z4=""),0,IF(VLOOKUP(B4,'Matriz de Referencia'!$B$2:$CO$584,30,FALSE)=0,0,"Digite"))</f>
        <v>0</v>
      </c>
      <c r="BR4" s="456">
        <f>IF(OR(Z4=0,Z4=""),0,IF(VLOOKUP(B4,'Matriz de Referencia'!$B$2:$CO$584,31,FALSE)=0,0,"Digite"))</f>
        <v>0</v>
      </c>
      <c r="BS4" s="456">
        <f>IF(OR(Z4=0,Z4=""),0,IF(VLOOKUP(B4,'Matriz de Referencia'!$B$2:$CO$584,32,FALSE)=0,0,"Digite"))</f>
        <v>0</v>
      </c>
      <c r="BT4" s="457">
        <f t="shared" si="11"/>
        <v>0</v>
      </c>
      <c r="BU4" s="456">
        <f>IF(OR(Z4=0,Z4=""),0,IF(VLOOKUP(B4,'Matriz de Referencia'!$B$2:$CO$584,34,FALSE)=0,0,"Digite"))</f>
        <v>0</v>
      </c>
      <c r="BV4" s="456">
        <f>IF(OR(Z4=0,Z4=""),0,IF(VLOOKUP(B4,'Matriz de Referencia'!$B$2:$CO$584,35,FALSE)=0,0,"Digite"))</f>
        <v>0</v>
      </c>
      <c r="BW4" s="456">
        <f>IF(OR(Z4=0,Z4=""),0,IF(VLOOKUP(B4,'Matriz de Referencia'!$B$2:$CO$584,36,FALSE)=0,0,"Digite"))</f>
        <v>0</v>
      </c>
      <c r="BX4" s="457">
        <f t="shared" si="12"/>
        <v>0</v>
      </c>
      <c r="BY4" s="457">
        <f t="shared" si="13"/>
        <v>0</v>
      </c>
      <c r="BZ4" s="455">
        <f>IF(OR(AA4=0,AA4=""),0,IF(VLOOKUP(B4,'Matriz de Referencia'!$B$2:$CO$584,25,FALSE)=0,0,"Digite"))</f>
        <v>0</v>
      </c>
      <c r="CA4" s="456">
        <f>IF(OR(AA4=0,AA4=""),0,IF(VLOOKUP(B4,'Matriz de Referencia'!$B$2:$CO$584,26,FALSE)=0,0,"Digite"))</f>
        <v>0</v>
      </c>
      <c r="CB4" s="456">
        <f>IF(OR(AA4=0,AA4=""),0,IF(VLOOKUP(B4,'Matriz de Referencia'!$B$2:$CO$584,27,FALSE)=0,0,"Digite"))</f>
        <v>0</v>
      </c>
      <c r="CC4" s="456">
        <f>IF(OR(AA4=0,AA4=""),0,IF(VLOOKUP(B4,'Matriz de Referencia'!$B$2:$CO$584,28,FALSE)=0,0,"Digite"))</f>
        <v>0</v>
      </c>
      <c r="CD4" s="456">
        <f>IF(OR(AA4=0,AA4=""),0,IF(VLOOKUP(B4,'Matriz de Referencia'!$B$2:$CO$584,29,FALSE)=0,0,"Digite"))</f>
        <v>0</v>
      </c>
      <c r="CE4" s="456">
        <f>IF(OR(AA4=0,AA4=""),0,IF(VLOOKUP(B4,'Matriz de Referencia'!$B$2:$CO$584,30,FALSE)=0,0,"Digite"))</f>
        <v>0</v>
      </c>
      <c r="CF4" s="456">
        <f>IF(OR(AA4=0,AA4=""),0,IF(VLOOKUP(B4,'Matriz de Referencia'!$B$2:$CO$584,31,FALSE)=0,0,"Digite"))</f>
        <v>0</v>
      </c>
      <c r="CG4" s="456">
        <f>IF(OR(AA4=0,AA4=""),0,IF(VLOOKUP(B4,'Matriz de Referencia'!$B$2:$CO$584,32,FALSE)=0,0,"Digite"))</f>
        <v>0</v>
      </c>
      <c r="CH4" s="457">
        <f t="shared" si="14"/>
        <v>0</v>
      </c>
      <c r="CI4" s="456">
        <f>IF(OR(AA4=0,AA4=""),0,IF(VLOOKUP(B4,'Matriz de Referencia'!$B$2:$CO$584,34,FALSE)=0,0,"Digite"))</f>
        <v>0</v>
      </c>
      <c r="CJ4" s="456">
        <f>IF(OR(AA4=0,AA4=""),0,IF(VLOOKUP(B4,'Matriz de Referencia'!$B$2:$CO$584,35,FALSE)=0,0,"Digite"))</f>
        <v>0</v>
      </c>
      <c r="CK4" s="456">
        <f>IF(OR(AA4=0,AA4=""),0,IF(VLOOKUP(B4,'Matriz de Referencia'!$B$2:$CO$584,36,FALSE)=0,0,"Digite"))</f>
        <v>0</v>
      </c>
      <c r="CL4" s="457">
        <f t="shared" si="15"/>
        <v>0</v>
      </c>
      <c r="CM4" s="457">
        <f t="shared" si="16"/>
        <v>0</v>
      </c>
      <c r="CN4" s="455">
        <f>IF(OR(AB4=0,AB4=""),0,IF(VLOOKUP(B4,'Matriz de Referencia'!$B$2:$CO$584,25,FALSE)=0,0,"Digite"))</f>
        <v>0</v>
      </c>
      <c r="CO4" s="456">
        <f>IF(OR(AB4=0,AB4=""),0,IF(VLOOKUP(B4,'Matriz de Referencia'!$B$2:$CO$584,26,FALSE)=0,0,"Digite"))</f>
        <v>0</v>
      </c>
      <c r="CP4" s="456">
        <f>IF(OR(AB4=0,AB4=""),0,IF(VLOOKUP(B4,'Matriz de Referencia'!$B$2:$CO$584,27,FALSE)=0,0,"Digite"))</f>
        <v>0</v>
      </c>
      <c r="CQ4" s="456">
        <f>IF(OR(AB4=0,AB4=""),0,IF(VLOOKUP(B4,'Matriz de Referencia'!$B$2:$CO$584,28,FALSE)=0,0,"Digite"))</f>
        <v>0</v>
      </c>
      <c r="CR4" s="456">
        <f>IF(OR(AB4=0,AB4=""),0,IF(VLOOKUP(B4,'Matriz de Referencia'!$B$2:$CO$584,29,FALSE)=0,0,"Digite"))</f>
        <v>0</v>
      </c>
      <c r="CS4" s="456">
        <f>IF(OR(AB4=0,AB4=""),0,IF(VLOOKUP(B4,'Matriz de Referencia'!$B$2:$CO$584,30,FALSE)=0,0,"Digite"))</f>
        <v>0</v>
      </c>
      <c r="CT4" s="456">
        <f>IF(OR(AB4=0,AB4=""),0,IF(VLOOKUP(B4,'Matriz de Referencia'!$B$2:$CO$584,31,FALSE)=0,0,"Digite"))</f>
        <v>0</v>
      </c>
      <c r="CU4" s="456">
        <f>IF(OR(AB4=0,AB4=""),0,IF(VLOOKUP(B4,'Matriz de Referencia'!$B$2:$CO$584,32,FALSE)=0,0,"Digite"))</f>
        <v>0</v>
      </c>
      <c r="CV4" s="457">
        <f t="shared" si="17"/>
        <v>0</v>
      </c>
      <c r="CW4" s="456">
        <f>IF(OR(AB4=0,AB4=""),0,IF(VLOOKUP(B4,'Matriz de Referencia'!$B$2:$CO$584,34,FALSE)=0,0,"Digite"))</f>
        <v>0</v>
      </c>
      <c r="CX4" s="456">
        <f>IF(OR(AB4=0,AB4=""),0,IF(VLOOKUP(B4,'Matriz de Referencia'!$B$2:$CO$584,35,FALSE)=0,0,"Digite"))</f>
        <v>0</v>
      </c>
      <c r="CY4" s="456">
        <f>IF(OR(AB4=0,AB4=""),0,IF(VLOOKUP(B4,'Matriz de Referencia'!$B$2:$CO$584,36,FALSE)=0,0,"Digite"))</f>
        <v>0</v>
      </c>
      <c r="CZ4" s="457">
        <f t="shared" si="18"/>
        <v>0</v>
      </c>
      <c r="DA4" s="457">
        <f t="shared" si="19"/>
        <v>0</v>
      </c>
      <c r="DB4" s="457">
        <f t="shared" si="20"/>
        <v>0</v>
      </c>
      <c r="DC4" s="101" t="str">
        <f>IFERROR(IF(DB4=0,"",IF(VLOOKUP(B4,'Matriz de Referencia'!$B$2:$CO$584,'Matriz de Referencia'!BO$1,FALSE)=DB4,"Techos ok, cotinue","Debe revisar el valor programado")),"")</f>
        <v/>
      </c>
      <c r="DD4" s="453">
        <f>IF(OR(AE4=0,AE4=""),0,IF(VLOOKUP(B4,'Matriz de Referencia'!$B$2:$CO$584,39,FALSE)=0,0,"Digite"))</f>
        <v>0</v>
      </c>
      <c r="DE4" s="454">
        <f>IF(OR(AE4=0,AE4=""),0,IF(VLOOKUP(B4,'Matriz de Referencia'!$B$2:$CO$584,40,FALSE)=0,0,"Digite"))</f>
        <v>0</v>
      </c>
      <c r="DF4" s="454">
        <f>IF(OR(AE4=0,AE4=""),0,IF(VLOOKUP(B4,'Matriz de Referencia'!$B$2:$CO$584,41,FALSE)=0,0,"Digite"))</f>
        <v>0</v>
      </c>
      <c r="DG4" s="454">
        <f>IF(OR(AE4=0,AE4=""),0,IF(VLOOKUP(B4,'Matriz de Referencia'!$B$2:$CO$584,42,FALSE)=0,0,"Digite"))</f>
        <v>0</v>
      </c>
      <c r="DH4" s="454">
        <f>IF(OR(AE4=0,AE4=""),0,IF(VLOOKUP(B4,'Matriz de Referencia'!$B$2:$CO$584,43,FALSE)=0,0,"Digite"))</f>
        <v>0</v>
      </c>
      <c r="DI4" s="454">
        <f>IF(OR(AE4=0,AE4=""),0,IF(VLOOKUP(B4,'Matriz de Referencia'!$B$2:$CO$584,44,FALSE)=0,0,"Digite"))</f>
        <v>0</v>
      </c>
      <c r="DJ4" s="454">
        <f>IF(OR(AE4=0,AE4=""),0,IF(VLOOKUP(B4,'Matriz de Referencia'!$B$2:$CO$584,45,FALSE)=0,0,"Digite"))</f>
        <v>0</v>
      </c>
      <c r="DK4" s="454">
        <f>IF(OR(AE4=0,AE4=""),0,IF(VLOOKUP(B4,'Matriz de Referencia'!$B$2:$CO$584,46,FALSE)=0,0,"Digite"))</f>
        <v>0</v>
      </c>
      <c r="DL4" s="382">
        <f t="shared" si="21"/>
        <v>0</v>
      </c>
      <c r="DM4" s="454">
        <f>IF(OR(AE4=0,AE4=""),0,IF(VLOOKUP(B4,'Matriz de Referencia'!$B$2:$CO$584,48,FALSE)=0,0,"Digite"))</f>
        <v>0</v>
      </c>
      <c r="DN4" s="454">
        <f>IF(OR(AE4=0,AE4=""),0,IF(VLOOKUP(B4,'Matriz de Referencia'!$B$2:$CO$584,49,FALSE)=0,0,"Digite"))</f>
        <v>0</v>
      </c>
      <c r="DO4" s="454">
        <f>IF(OR(AE4=0,AE4=""),0,IF(VLOOKUP(B4,'Matriz de Referencia'!$B$2:$CO$584,50,FALSE)=0,0,"Digite"))</f>
        <v>0</v>
      </c>
      <c r="DP4" s="382">
        <f t="shared" si="22"/>
        <v>0</v>
      </c>
      <c r="DQ4" s="382">
        <f t="shared" si="23"/>
        <v>0</v>
      </c>
      <c r="DR4" s="453">
        <f>IF(OR(AF4=0,AF4=""),0,IF(VLOOKUP(B4,'Matriz de Referencia'!$B$2:$CO$584,39,FALSE)=0,0,"Digite"))</f>
        <v>0</v>
      </c>
      <c r="DS4" s="454">
        <f>IF(OR(AF4=0,AF4=""),0,IF(VLOOKUP(B4,'Matriz de Referencia'!$B$2:$CO$584,40,FALSE)=0,0,"Digite"))</f>
        <v>0</v>
      </c>
      <c r="DT4" s="454">
        <f>IF(OR(AF4=0,AF4=""),0,IF(VLOOKUP(B4,'Matriz de Referencia'!$B$2:$CO$584,41,FALSE)=0,0,"Digite"))</f>
        <v>0</v>
      </c>
      <c r="DU4" s="454">
        <f>IF(OR(AF4=0,AF4=""),0,IF(VLOOKUP(B4,'Matriz de Referencia'!$B$2:$CO$584,42,FALSE)=0,0,"Digite"))</f>
        <v>0</v>
      </c>
      <c r="DV4" s="454">
        <f>IF(OR(AF4=0,AF4=""),0,IF(VLOOKUP(B4,'Matriz de Referencia'!$B$2:$CO$584,43,FALSE)=0,0,"Digite"))</f>
        <v>0</v>
      </c>
      <c r="DW4" s="454">
        <f>IF(OR(AF4=0,AF4=""),0,IF(VLOOKUP(B4,'Matriz de Referencia'!$B$2:$CO$584,44,FALSE)=0,0,"Digite"))</f>
        <v>0</v>
      </c>
      <c r="DX4" s="454">
        <f>IF(OR(AF4=0,AF4=""),0,IF(VLOOKUP(B4,'Matriz de Referencia'!$B$2:$CO$584,45,FALSE)=0,0,"Digite"))</f>
        <v>0</v>
      </c>
      <c r="DY4" s="454">
        <f>IF(OR(AF4=0,AF4=""),0,IF(VLOOKUP(B4,'Matriz de Referencia'!$B$2:$CO$584,46,FALSE)=0,0,"Digite"))</f>
        <v>0</v>
      </c>
      <c r="DZ4" s="382">
        <f t="shared" si="24"/>
        <v>0</v>
      </c>
      <c r="EA4" s="454">
        <f>IF(OR(AF4=0,AF4=""),0,IF(VLOOKUP(B4,'Matriz de Referencia'!$B$2:$CO$584,48,FALSE)=0,0,"Digite"))</f>
        <v>0</v>
      </c>
      <c r="EB4" s="454">
        <f>IF(OR(AF4=0,AF4=""),0,IF(VLOOKUP(B4,'Matriz de Referencia'!$B$2:$CO$584,49,FALSE)=0,0,"Digite"))</f>
        <v>0</v>
      </c>
      <c r="EC4" s="454">
        <f>IF(OR(AF4=0,AF4=""),0,IF(VLOOKUP(B4,'Matriz de Referencia'!$B$2:$CO$584,50,FALSE)=0,0,"Digite"))</f>
        <v>0</v>
      </c>
      <c r="ED4" s="382">
        <f t="shared" si="25"/>
        <v>0</v>
      </c>
      <c r="EE4" s="382">
        <f t="shared" si="26"/>
        <v>0</v>
      </c>
      <c r="EF4" s="453">
        <f>IF(OR(AG4=0,AG4=""),0,IF(VLOOKUP(B4,'Matriz de Referencia'!$B$2:$CO$584,39,FALSE)=0,0,"Digite"))</f>
        <v>0</v>
      </c>
      <c r="EG4" s="454">
        <f>IF(OR(AG4=0,AG4=""),0,IF(VLOOKUP(B4,'Matriz de Referencia'!$B$2:$CO$584,40,FALSE)=0,0,"Digite"))</f>
        <v>0</v>
      </c>
      <c r="EH4" s="454">
        <f>IF(OR(AG4=0,AG4=""),0,IF(VLOOKUP(B4,'Matriz de Referencia'!$B$2:$CO$584,41,FALSE)=0,0,"Digite"))</f>
        <v>0</v>
      </c>
      <c r="EI4" s="454">
        <f>IF(OR(AG4=0,AG4=""),0,IF(VLOOKUP(B4,'Matriz de Referencia'!$B$2:$CO$584,42,FALSE)=0,0,"Digite"))</f>
        <v>0</v>
      </c>
      <c r="EJ4" s="454">
        <f>IF(OR(AG4=0,AG4=""),0,IF(VLOOKUP(B4,'Matriz de Referencia'!$B$2:$CO$584,43,FALSE)=0,0,"Digite"))</f>
        <v>0</v>
      </c>
      <c r="EK4" s="454">
        <f>IF(OR(AG4=0,AG4=""),0,IF(VLOOKUP(B4,'Matriz de Referencia'!$B$2:$CO$584,44,FALSE)=0,0,"Digite"))</f>
        <v>0</v>
      </c>
      <c r="EL4" s="454">
        <f>IF(OR(AG4=0,AG4=""),0,IF(VLOOKUP(B4,'Matriz de Referencia'!$B$2:$CO$584,45,FALSE)=0,0,"Digite"))</f>
        <v>0</v>
      </c>
      <c r="EM4" s="454">
        <f>IF(OR(AG4=0,AG4=""),0,IF(VLOOKUP(B4,'Matriz de Referencia'!$B$2:$CO$584,46,FALSE)=0,0,"Digite"))</f>
        <v>0</v>
      </c>
      <c r="EN4" s="382">
        <f t="shared" si="27"/>
        <v>0</v>
      </c>
      <c r="EO4" s="454">
        <f>IF(OR(AG4=0,AG4=""),0,IF(VLOOKUP(B4,'Matriz de Referencia'!$B$2:$CO$584,48,FALSE)=0,0,"Digite"))</f>
        <v>0</v>
      </c>
      <c r="EP4" s="454">
        <f>IF(OR(AG4=0,AG4=""),0,IF(VLOOKUP(B4,'Matriz de Referencia'!$B$2:$CO$584,49,FALSE)=0,0,"Digite"))</f>
        <v>0</v>
      </c>
      <c r="EQ4" s="454">
        <f>IF(OR(AG4=0,AG4=""),0,IF(VLOOKUP(B4,'Matriz de Referencia'!$B$2:$CO$584,50,FALSE)=0,0,"Digite"))</f>
        <v>0</v>
      </c>
      <c r="ER4" s="382">
        <f t="shared" si="28"/>
        <v>0</v>
      </c>
      <c r="ES4" s="382">
        <f t="shared" si="29"/>
        <v>0</v>
      </c>
      <c r="ET4" s="453">
        <f>IF(OR(AH4=0,AH4=""),0,IF(VLOOKUP(B4,'Matriz de Referencia'!$B$2:$CO$584,39,FALSE)=0,0,"Digite"))</f>
        <v>0</v>
      </c>
      <c r="EU4" s="454">
        <f>IF(OR(AH4=0,AH4=""),0,IF(VLOOKUP(B4,'Matriz de Referencia'!$B$2:$CO$584,40,FALSE)=0,0,"Digite"))</f>
        <v>0</v>
      </c>
      <c r="EV4" s="454">
        <f>IF(OR(AH4=0,AH4=""),0,IF(VLOOKUP(B4,'Matriz de Referencia'!$B$2:$CO$584,41,FALSE)=0,0,"Digite"))</f>
        <v>0</v>
      </c>
      <c r="EW4" s="454">
        <f>IF(OR(AH4=0,AH4=""),0,IF(VLOOKUP(B4,'Matriz de Referencia'!$B$2:$CO$584,42,FALSE)=0,0,"Digite"))</f>
        <v>0</v>
      </c>
      <c r="EX4" s="454">
        <f>IF(OR(AH4=0,AH4=""),0,IF(VLOOKUP(B4,'Matriz de Referencia'!$B$2:$CO$584,43,FALSE)=0,0,"Digite"))</f>
        <v>0</v>
      </c>
      <c r="EY4" s="454">
        <f>IF(OR(AH4=0,AH4=""),0,IF(VLOOKUP(B4,'Matriz de Referencia'!$B$2:$CO$584,44,FALSE)=0,0,"Digite"))</f>
        <v>0</v>
      </c>
      <c r="EZ4" s="454">
        <f>IF(OR(AH4=0,AH4=""),0,IF(VLOOKUP(B4,'Matriz de Referencia'!$B$2:$CO$584,45,FALSE)=0,0,"Digite"))</f>
        <v>0</v>
      </c>
      <c r="FA4" s="454">
        <f>IF(OR(AH4=0,AH4=""),0,IF(VLOOKUP(B4,'Matriz de Referencia'!$B$2:$CO$584,46,FALSE)=0,0,"Digite"))</f>
        <v>0</v>
      </c>
      <c r="FB4" s="382">
        <f t="shared" si="30"/>
        <v>0</v>
      </c>
      <c r="FC4" s="454">
        <f>IF(OR(AH4=0,AH4=""),0,IF(VLOOKUP(B4,'Matriz de Referencia'!$B$2:$CO$584,48,FALSE)=0,0,"Digite"))</f>
        <v>0</v>
      </c>
      <c r="FD4" s="454">
        <f>IF(OR(AH4=0,AH4=""),0,IF(VLOOKUP(B4,'Matriz de Referencia'!$B$2:$CO$584,49,FALSE)=0,0,"Digite"))</f>
        <v>0</v>
      </c>
      <c r="FE4" s="454">
        <f>IF(OR(AH4=0,AH4=""),0,IF(VLOOKUP(B4,'Matriz de Referencia'!$B$2:$CO$584,50,FALSE)=0,0,"Digite"))</f>
        <v>0</v>
      </c>
      <c r="FF4" s="382">
        <f t="shared" si="31"/>
        <v>0</v>
      </c>
      <c r="FG4" s="382">
        <f t="shared" si="32"/>
        <v>0</v>
      </c>
      <c r="FH4" s="382">
        <f t="shared" si="33"/>
        <v>0</v>
      </c>
      <c r="FI4" s="101" t="str">
        <f>IFERROR(IF(FH4=0,"",IF(VLOOKUP(B4,'Matriz de Referencia'!$B$2:$CO$584,52,FALSE)=FH4,"Techos ok, cotinue","Debe revisar el valor programado")),"")</f>
        <v/>
      </c>
      <c r="FJ4" s="453">
        <f>IF(OR(AK4=0,AK4=""),0,IF(VLOOKUP(B4,'Matriz de Referencia'!$B$2:$CO$584,53,FALSE)=0,0,"Digite"))</f>
        <v>0</v>
      </c>
      <c r="FK4" s="454">
        <f>IF(OR(AK4=0,AK4=""),0,IF(VLOOKUP(B4,'Matriz de Referencia'!$B$2:$CO$584,54,FALSE)=0,0,"Digite"))</f>
        <v>0</v>
      </c>
      <c r="FL4" s="454">
        <f>IF(OR(AK4=0,AK4=""),0,IF(VLOOKUP(B4,'Matriz de Referencia'!$B$2:$CO$584,55,FALSE)=0,0,"Digite"))</f>
        <v>0</v>
      </c>
      <c r="FM4" s="454">
        <f>IF(OR(AK4=0,AK4=""),0,IF(VLOOKUP(B4,'Matriz de Referencia'!$B$2:$CO$584,56,FALSE)=0,0,"Digite"))</f>
        <v>0</v>
      </c>
      <c r="FN4" s="454">
        <f>IF(OR(AK4=0,AK4=""),0,IF(VLOOKUP(B4,'Matriz de Referencia'!$B$2:$CO$584,57,FALSE)=0,0,"Digite"))</f>
        <v>0</v>
      </c>
      <c r="FO4" s="454">
        <f>IF(OR(AK4=0,AK4=""),0,IF(VLOOKUP(B4,'Matriz de Referencia'!$B$2:$CO$584,58,FALSE)=0,0,"Digite"))</f>
        <v>0</v>
      </c>
      <c r="FP4" s="454">
        <f>IF(OR(AK4=0,AK4=""),0,IF(VLOOKUP(B4,'Matriz de Referencia'!$B$2:$CO$584,59,FALSE)=0,0,"Digite"))</f>
        <v>0</v>
      </c>
      <c r="FQ4" s="454">
        <f>IF(OR(AK4=0,AK4=""),0,IF(VLOOKUP(B4,'Matriz de Referencia'!$B$2:$CO$584,60,FALSE)=0,0,"Digite"))</f>
        <v>0</v>
      </c>
      <c r="FR4" s="382">
        <f t="shared" si="34"/>
        <v>0</v>
      </c>
      <c r="FS4" s="454">
        <f>IF(OR(AK4=0,AK4=""),0,IF(VLOOKUP(B4,'Matriz de Referencia'!$B$2:$CO$584,62,FALSE)=0,0,"Digite"))</f>
        <v>0</v>
      </c>
      <c r="FT4" s="454">
        <f>IF(OR(AK4=0,AK4=""),0,IF(VLOOKUP(B4,'Matriz de Referencia'!$B$2:$CO$584,63,FALSE)=0,0,"Digite"))</f>
        <v>0</v>
      </c>
      <c r="FU4" s="454">
        <f>IF(OR(AK4=0,AK4=""),0,IF(VLOOKUP(B4,'Matriz de Referencia'!$B$2:$CO$584,64,FALSE)=0,"","Digite"))</f>
        <v>0</v>
      </c>
      <c r="FV4" s="382">
        <f t="shared" si="35"/>
        <v>0</v>
      </c>
      <c r="FW4" s="382">
        <f t="shared" si="36"/>
        <v>0</v>
      </c>
      <c r="FX4" s="453">
        <f>IF(OR(AL4=0,AL4=""),0,IF(VLOOKUP(B4,'Matriz de Referencia'!$B$2:$CO$584,53,FALSE)=0,0,"Digite"))</f>
        <v>0</v>
      </c>
      <c r="FY4" s="454">
        <f>IF(OR(AL4=0,AL4=""),0,IF(VLOOKUP(B4,'Matriz de Referencia'!$B$2:$CO$584,54,FALSE)=0,0,"Digite"))</f>
        <v>0</v>
      </c>
      <c r="FZ4" s="454">
        <f>IF(OR(AL4=0,AL4=""),0,IF(VLOOKUP(B4,'Matriz de Referencia'!$B$2:$CO$584,55,FALSE)=0,0,"Digite"))</f>
        <v>0</v>
      </c>
      <c r="GA4" s="454">
        <f>IF(OR(AL4=0,AL4=""),0,IF(VLOOKUP(B4,'Matriz de Referencia'!$B$2:$CO$584,56,FALSE)=0,0,"Digite"))</f>
        <v>0</v>
      </c>
      <c r="GB4" s="454">
        <f>IF(OR(AL4=0,AL4=""),0,IF(VLOOKUP(B4,'Matriz de Referencia'!$B$2:$CO$584,57,FALSE)=0,0,"Digite"))</f>
        <v>0</v>
      </c>
      <c r="GC4" s="454">
        <f>IF(OR(AL4=0,AL4=""),0,IF(VLOOKUP(B4,'Matriz de Referencia'!$B$2:$CO$584,58,FALSE)=0,0,"Digite"))</f>
        <v>0</v>
      </c>
      <c r="GD4" s="454">
        <f>IF(OR(AL4=0,AL4=""),0,IF(VLOOKUP(B4,'Matriz de Referencia'!$B$2:$CO$584,59,FALSE)=0,0,"Digite"))</f>
        <v>0</v>
      </c>
      <c r="GE4" s="454">
        <f>IF(OR(AL4=0,AL4=""),0,IF(VLOOKUP(B4,'Matriz de Referencia'!$B$2:$CO$584,60,FALSE)=0,0,"Digite"))</f>
        <v>0</v>
      </c>
      <c r="GF4" s="382">
        <f t="shared" si="37"/>
        <v>0</v>
      </c>
      <c r="GG4" s="454">
        <f>IF(OR(AL4=0,AL4=""),0,IF(VLOOKUP(B4,'Matriz de Referencia'!$B$2:$CO$584,62,FALSE)=0,0,"Digite"))</f>
        <v>0</v>
      </c>
      <c r="GH4" s="454">
        <f>IF(OR(AL4=0,AL4=""),0,IF(VLOOKUP(B4,'Matriz de Referencia'!$B$2:$CO$584,63,FALSE)=0,0,"Digite"))</f>
        <v>0</v>
      </c>
      <c r="GI4" s="454">
        <f>IF(OR(AL4=0,AL4=""),0,IF(VLOOKUP(B4,'Matriz de Referencia'!$B$2:$CO$584,64,FALSE)=0,0,"Digite"))</f>
        <v>0</v>
      </c>
      <c r="GJ4" s="382">
        <f t="shared" si="38"/>
        <v>0</v>
      </c>
      <c r="GK4" s="382">
        <f t="shared" si="39"/>
        <v>0</v>
      </c>
      <c r="GL4" s="453">
        <f>IF(OR(AM4=0,AM4=""),0,IF(VLOOKUP(B4,'Matriz de Referencia'!$B$2:$CO$584,53,FALSE)=0,0,"Digite"))</f>
        <v>0</v>
      </c>
      <c r="GM4" s="454">
        <f>IF(OR(AM4=0,AM4=""),0,IF(VLOOKUP(B4,'Matriz de Referencia'!$B$2:$CO$584,54,FALSE)=0,0,"Digite"))</f>
        <v>0</v>
      </c>
      <c r="GN4" s="454">
        <f>IF(OR(AM4=0,AM4=""),0,IF(VLOOKUP(B4,'Matriz de Referencia'!$B$2:$CO$584,55,FALSE)=0,0,"Digite"))</f>
        <v>0</v>
      </c>
      <c r="GO4" s="454">
        <f>IF(OR(AM4=0,AM4=""),0,IF(VLOOKUP(B4,'Matriz de Referencia'!$B$2:$CO$584,56,FALSE)=0,0,"Digite"))</f>
        <v>0</v>
      </c>
      <c r="GP4" s="454">
        <f>IF(OR(AM4=0,AM4=""),0,IF(VLOOKUP(B4,'Matriz de Referencia'!$B$2:$CO$584,57,FALSE)=0,0,"Digite"))</f>
        <v>0</v>
      </c>
      <c r="GQ4" s="454">
        <f>IF(OR(AM4=0,AM4=""),0,IF(VLOOKUP(B4,'Matriz de Referencia'!$B$2:$CO$584,58,FALSE)=0,0,"Digite"))</f>
        <v>0</v>
      </c>
      <c r="GR4" s="454">
        <f>IF(OR(AM4=0,AM4=""),0,IF(VLOOKUP(B4,'Matriz de Referencia'!$B$2:$CO$584,59,FALSE)=0,0,"Digite"))</f>
        <v>0</v>
      </c>
      <c r="GS4" s="454">
        <f>IF(OR(AM4=0,AM4=""),0,IF(VLOOKUP(B4,'Matriz de Referencia'!$B$2:$CO$584,60,FALSE)=0,0,"Digite"))</f>
        <v>0</v>
      </c>
      <c r="GT4" s="382">
        <f t="shared" si="40"/>
        <v>0</v>
      </c>
      <c r="GU4" s="454">
        <f>IF(OR(AM4=0,AM4=""),0,IF(VLOOKUP(B4,'Matriz de Referencia'!$B$2:$CO$584,62,FALSE)=0,0,"Digite"))</f>
        <v>0</v>
      </c>
      <c r="GV4" s="454">
        <f>IF(OR(AM4=0,AM4=""),0,IF(VLOOKUP(B4,'Matriz de Referencia'!$B$2:$CO$584,63,FALSE)=0,0,"Digite"))</f>
        <v>0</v>
      </c>
      <c r="GW4" s="454">
        <f>IF(OR(AM4=0,AM4=""),0,IF(VLOOKUP(B4,'Matriz de Referencia'!$B$2:$CO$584,64,FALSE)=0,0,"Digite"))</f>
        <v>0</v>
      </c>
      <c r="GX4" s="382">
        <f t="shared" si="41"/>
        <v>0</v>
      </c>
      <c r="GY4" s="382">
        <f t="shared" si="42"/>
        <v>0</v>
      </c>
      <c r="GZ4" s="453">
        <f>IF(OR(AN4=0,AN4=""),0,IF(VLOOKUP(B4,'Matriz de Referencia'!$B$2:$CO$584,53,FALSE)=0,0,"Digite"))</f>
        <v>0</v>
      </c>
      <c r="HA4" s="454">
        <f>IF(OR(AN4=0,AN4=""),0,IF(VLOOKUP(B4,'Matriz de Referencia'!$B$2:$CO$584,54,FALSE)=0,0,"Digite"))</f>
        <v>0</v>
      </c>
      <c r="HB4" s="454">
        <f>IF(OR(AN4=0,AN4=""),0,IF(VLOOKUP(B4,'Matriz de Referencia'!$B$2:$CO$584,55,FALSE)=0,0,"Digite"))</f>
        <v>0</v>
      </c>
      <c r="HC4" s="454">
        <f>IF(OR(AN4=0,AN4=""),0,IF(VLOOKUP(B4,'Matriz de Referencia'!$B$2:$CO$584,56,FALSE)=0,0,"Digite"))</f>
        <v>0</v>
      </c>
      <c r="HD4" s="454">
        <f>IF(OR(AN4=0,AN4=""),0,IF(VLOOKUP(B4,'Matriz de Referencia'!$B$2:$CO$584,57,FALSE)=0,0,"Digite"))</f>
        <v>0</v>
      </c>
      <c r="HE4" s="454">
        <f>IF(OR(AN4=0,AN4=""),0,IF(VLOOKUP(B4,'Matriz de Referencia'!$B$2:$CO$584,58,FALSE)=0,0,"Digite"))</f>
        <v>0</v>
      </c>
      <c r="HF4" s="454">
        <f>IF(OR(AN4=0,AN4=""),0,IF(VLOOKUP(B4,'Matriz de Referencia'!$B$2:$CO$584,59,FALSE)=0,0,"Digite"))</f>
        <v>0</v>
      </c>
      <c r="HG4" s="454">
        <f>IF(OR(AN4=0,AN4=""),0,IF(VLOOKUP(B4,'Matriz de Referencia'!$B$2:$CO$584,60,FALSE)=0,0,"Digite"))</f>
        <v>0</v>
      </c>
      <c r="HH4" s="382">
        <f t="shared" si="43"/>
        <v>0</v>
      </c>
      <c r="HI4" s="454">
        <f>IF(OR(AN4=0,AN4=""),0,IF(VLOOKUP(B4,'Matriz de Referencia'!$B$2:$CO$584,62,FALSE)=0,0,"Digite"))</f>
        <v>0</v>
      </c>
      <c r="HJ4" s="454">
        <f>IF(OR(AN4=0,AN4=""),0,IF(VLOOKUP(B4,'Matriz de Referencia'!$B$2:$CO$584,63,FALSE)=0,0,"Digite"))</f>
        <v>0</v>
      </c>
      <c r="HK4" s="454">
        <f>IF(OR(AN4=0,AN4=""),0,IF(VLOOKUP(B4,'Matriz de Referencia'!$B$2:$CO$584,64,FALSE)=0,0,"Digite"))</f>
        <v>0</v>
      </c>
      <c r="HL4" s="382">
        <f t="shared" si="44"/>
        <v>0</v>
      </c>
      <c r="HM4" s="382">
        <f t="shared" si="45"/>
        <v>0</v>
      </c>
      <c r="HN4" s="382">
        <f t="shared" si="46"/>
        <v>0</v>
      </c>
      <c r="HO4" s="101" t="str">
        <f>IFERROR(IF(HN4=0,"",IF(VLOOKUP(B4,'Matriz de Referencia'!$B$2:$CO$584,66,FALSE)=HN4,"Techos ok, cotinue","Debe revisar el valor programado")),"")</f>
        <v/>
      </c>
      <c r="HP4" s="453">
        <f>IF(OR(AQ4=0,AQ4=""),0,IF(VLOOKUP(B4,'Matriz de Referencia'!$B$2:$CO$584,67,FALSE)=0,0,"Digite"))</f>
        <v>0</v>
      </c>
      <c r="HQ4" s="454">
        <f>IF(OR(AQ4=0,AQ4=""),0,IF(VLOOKUP(B4,'Matriz de Referencia'!$B$2:$CO$584,68,FALSE)=0,0,"Digite"))</f>
        <v>0</v>
      </c>
      <c r="HR4" s="454">
        <f>IF(OR(AQ4=0,AQ4=""),0,IF(VLOOKUP(B4,'Matriz de Referencia'!$B$2:$CO$584,69,FALSE)=0,0,"Digite"))</f>
        <v>0</v>
      </c>
      <c r="HS4" s="454">
        <f>IF(OR(AQ4=0,AQ4=""),0,IF(VLOOKUP(B4,'Matriz de Referencia'!$B$2:$CO$584,70,FALSE)=0,0,"Digite"))</f>
        <v>0</v>
      </c>
      <c r="HT4" s="454">
        <f>IF(OR(AQ4=0,AQ4=""),0,IF(VLOOKUP(B4,'Matriz de Referencia'!$B$2:$CO$584,71,FALSE)=0,0,"Digite"))</f>
        <v>0</v>
      </c>
      <c r="HU4" s="454">
        <f>IF(OR(AQ4=0,AQ4=""),0,IF(VLOOKUP(B4,'Matriz de Referencia'!$B$2:$CO$584,72,FALSE)=0,0,"Digite"))</f>
        <v>0</v>
      </c>
      <c r="HV4" s="454">
        <f>IF(OR(AQ4=0,AQ4=""),0,IF(VLOOKUP(B4,'Matriz de Referencia'!$B$2:$CO$584,73,FALSE)=0,0,"Digite"))</f>
        <v>0</v>
      </c>
      <c r="HW4" s="454">
        <f>IF(OR(AQ4=0,AQ4=""),0,IF(VLOOKUP(B4,'Matriz de Referencia'!$B$2:$CO$584,74,FALSE)=0,0,"Digite"))</f>
        <v>0</v>
      </c>
      <c r="HX4" s="382">
        <f t="shared" si="47"/>
        <v>0</v>
      </c>
      <c r="HY4" s="454">
        <f>IF(OR(AQ4=0,AQ4=""),0,IF(VLOOKUP(B4,'Matriz de Referencia'!$B$2:$CO$584,76,FALSE)=0,0,"Digite"))</f>
        <v>0</v>
      </c>
      <c r="HZ4" s="454">
        <f>IF(OR(AQ4=0,AQ4=""),0,IF(VLOOKUP(B4,'Matriz de Referencia'!$B$2:$CO$584,77,FALSE)=0,0,"Digite"))</f>
        <v>0</v>
      </c>
      <c r="IA4" s="454">
        <f>IF(OR(AQ4=0,AQ4=""),0,IF(VLOOKUP(B4,'Matriz de Referencia'!$B$2:$CO$584,78,FALSE)=0,0,"Digite"))</f>
        <v>0</v>
      </c>
      <c r="IB4" s="382">
        <f t="shared" si="48"/>
        <v>0</v>
      </c>
      <c r="IC4" s="382">
        <f t="shared" si="49"/>
        <v>0</v>
      </c>
      <c r="ID4" s="453">
        <f>IF(OR(AR4=0,AR4=""),0,IF(VLOOKUP(B4,'Matriz de Referencia'!$B$2:$CO$584,67,FALSE)=0,0,"Digite"))</f>
        <v>0</v>
      </c>
      <c r="IE4" s="454">
        <f>IF(OR(AR4=0,AR4=""),0,IF(VLOOKUP(B4,'Matriz de Referencia'!$B$2:$CO$584,68,FALSE)=0,0,"Digite"))</f>
        <v>0</v>
      </c>
      <c r="IF4" s="454">
        <f>IF(OR(AR4=0,AR4=""),0,IF(VLOOKUP(B4,'Matriz de Referencia'!$B$2:$CO$584,69,FALSE)=0,0,"Digite"))</f>
        <v>0</v>
      </c>
      <c r="IG4" s="454">
        <f>IF(OR(AR4=0,AR4=""),0,IF(VLOOKUP(B4,'Matriz de Referencia'!$B$2:$CO$584,70,FALSE)=0,0,"Digite"))</f>
        <v>0</v>
      </c>
      <c r="IH4" s="454">
        <f>IF(OR(AR4=0,AR4=""),0,IF(VLOOKUP(B4,'Matriz de Referencia'!$B$2:$CO$584,71,FALSE)=0,0,"Digite"))</f>
        <v>0</v>
      </c>
      <c r="II4" s="454">
        <f>IF(OR(AR4=0,AR4=""),0,IF(VLOOKUP(B4,'Matriz de Referencia'!$B$2:$CO$584,72,FALSE)=0,0,"Digite"))</f>
        <v>0</v>
      </c>
      <c r="IJ4" s="454">
        <f>IF(OR(AR4=0,AR4=""),0,IF(VLOOKUP(B4,'Matriz de Referencia'!$B$2:$CO$584,73,FALSE)=0,0,"Digite"))</f>
        <v>0</v>
      </c>
      <c r="IK4" s="454">
        <f>IF(OR(AR4=0,AR4=""),0,IF(VLOOKUP(B4,'Matriz de Referencia'!$B$2:$CO$584,74,FALSE)=0,0,"Digite"))</f>
        <v>0</v>
      </c>
      <c r="IL4" s="382">
        <f t="shared" si="50"/>
        <v>0</v>
      </c>
      <c r="IM4" s="454">
        <f>IF(OR(AR4=0,AR4=""),0,IF(VLOOKUP(B4,'Matriz de Referencia'!$B$2:$CO$584,76,FALSE)=0,0,"Digite"))</f>
        <v>0</v>
      </c>
      <c r="IN4" s="454">
        <f>IF(OR(AR4=0,AR4=""),0,IF(VLOOKUP(B4,'Matriz de Referencia'!$B$2:$CO$584,77,FALSE)=0,0,"Digite"))</f>
        <v>0</v>
      </c>
      <c r="IO4" s="454">
        <f>IF(OR(AR4=0,AR4=""),0,IF(VLOOKUP(B4,'Matriz de Referencia'!$B$2:$CO$584,78,FALSE)=0,0,"Digite"))</f>
        <v>0</v>
      </c>
      <c r="IP4" s="382">
        <f t="shared" si="51"/>
        <v>0</v>
      </c>
      <c r="IQ4" s="382">
        <f t="shared" si="52"/>
        <v>0</v>
      </c>
      <c r="IR4" s="453">
        <f>IF(OR(AS4=0,AS4=""),0,IF(VLOOKUP(B4,'Matriz de Referencia'!$B$2:$CO$584,67,FALSE)=0,0,"Digite"))</f>
        <v>0</v>
      </c>
      <c r="IS4" s="454">
        <f>IF(OR(AS4=0,AS4=""),0,IF(VLOOKUP(B4,'Matriz de Referencia'!$B$2:$CO$584,68,FALSE)=0,0,"Digite"))</f>
        <v>0</v>
      </c>
      <c r="IT4" s="454">
        <f>IF(OR(AS4=0,AS4=""),0,IF(VLOOKUP(B4,'Matriz de Referencia'!$B$2:$CO$584,69,FALSE)=0,0,"Digite"))</f>
        <v>0</v>
      </c>
      <c r="IU4" s="454">
        <f>IF(OR(AS4=0,AS4=""),0,IF(VLOOKUP(B4,'Matriz de Referencia'!$B$2:$CO$584,70,FALSE)=0,0,"Digite"))</f>
        <v>0</v>
      </c>
      <c r="IV4" s="454">
        <f>IF(OR(AS4=0,AS4=""),0,IF(VLOOKUP(B4,'Matriz de Referencia'!$B$2:$CO$584,71,FALSE)=0,0,"Digite"))</f>
        <v>0</v>
      </c>
      <c r="IW4" s="454">
        <f>IF(OR(AS4=0,AS4=""),0,IF(VLOOKUP(B4,'Matriz de Referencia'!$B$2:$CO$584,72,FALSE)=0,0,"Digite"))</f>
        <v>0</v>
      </c>
      <c r="IX4" s="454">
        <f>IF(OR(AS4=0,AS4=""),0,IF(VLOOKUP(B4,'Matriz de Referencia'!$B$2:$CO$584,73,FALSE)=0,0,"Digite"))</f>
        <v>0</v>
      </c>
      <c r="IY4" s="454">
        <f>IF(OR(AS4=0,AS4=""),0,IF(VLOOKUP(B4,'Matriz de Referencia'!$B$2:$CO$584,74,FALSE)=0,0,"Digite"))</f>
        <v>0</v>
      </c>
      <c r="IZ4" s="382">
        <f t="shared" si="53"/>
        <v>0</v>
      </c>
      <c r="JA4" s="454">
        <f>IF(OR(AS4=0,AS4=""),0,IF(VLOOKUP(B4,'Matriz de Referencia'!$B$2:$CO$584,76,FALSE)=0,0,"Digite"))</f>
        <v>0</v>
      </c>
      <c r="JB4" s="454">
        <f>IF(OR(AS4=0,AS4=""),0,IF(VLOOKUP(B4,'Matriz de Referencia'!$B$2:$CO$584,77,FALSE)=0,0,"Digite"))</f>
        <v>0</v>
      </c>
      <c r="JC4" s="454">
        <f>IF(OR(AS4=0,AS4=""),0,IF(VLOOKUP(B4,'Matriz de Referencia'!$B$2:$CO$584,78,FALSE)=0,0,"Digite"))</f>
        <v>0</v>
      </c>
      <c r="JD4" s="382">
        <f t="shared" si="54"/>
        <v>0</v>
      </c>
      <c r="JE4" s="382">
        <f t="shared" si="55"/>
        <v>0</v>
      </c>
      <c r="JF4" s="453">
        <f>IF(OR(AT4=0,AT4=""),0,IF(VLOOKUP(B4,'Matriz de Referencia'!$B$2:$CO$584,67,FALSE)=0,0,"Digite"))</f>
        <v>0</v>
      </c>
      <c r="JG4" s="454">
        <f>IF(OR(AT4=0,AT4=""),0,IF(VLOOKUP(B4,'Matriz de Referencia'!$B$2:$CO$584,68,FALSE)=0,0,"Digite"))</f>
        <v>0</v>
      </c>
      <c r="JH4" s="454">
        <f>IF(OR(AT4=0,AT4=""),0,IF(VLOOKUP(B4,'Matriz de Referencia'!$B$2:$CO$584,69,FALSE)=0,0,"Digite"))</f>
        <v>0</v>
      </c>
      <c r="JI4" s="454">
        <f>IF(OR(AT4=0,AT4=""),0,IF(VLOOKUP(B4,'Matriz de Referencia'!$B$2:$CO$584,70,FALSE)=0,0,"Digite"))</f>
        <v>0</v>
      </c>
      <c r="JJ4" s="454">
        <f>IF(OR(AT4=0,AT4=""),0,IF(VLOOKUP(B4,'Matriz de Referencia'!$B$2:$CO$584,71,FALSE)=0,0,"Digite"))</f>
        <v>0</v>
      </c>
      <c r="JK4" s="454">
        <f>IF(OR(AT4=0,AT4=""),0,IF(VLOOKUP(B4,'Matriz de Referencia'!$B$2:$CO$584,72,FALSE)=0,0,"Digite"))</f>
        <v>0</v>
      </c>
      <c r="JL4" s="454">
        <f>IF(OR(AT4=0,AT4=""),0,IF(VLOOKUP(B4,'Matriz de Referencia'!$B$2:$CO$584,73,FALSE)=0,0,"Digite"))</f>
        <v>0</v>
      </c>
      <c r="JM4" s="454">
        <f>IF(OR(AT4=0,AT4=""),0,IF(VLOOKUP(B4,'Matriz de Referencia'!$B$2:$CO$584,74,FALSE)=0,0,"Digite"))</f>
        <v>0</v>
      </c>
      <c r="JN4" s="382">
        <f t="shared" si="56"/>
        <v>0</v>
      </c>
      <c r="JO4" s="454">
        <f>IF(OR(AT4=0,AT4=""),0,IF(VLOOKUP(B4,'Matriz de Referencia'!$B$2:$CO$584,76,FALSE)=0,0,"Digite"))</f>
        <v>0</v>
      </c>
      <c r="JP4" s="454">
        <f>IF(OR(AT4=0,AT4=""),0,IF(VLOOKUP(B4,'Matriz de Referencia'!$B$2:$CO$584,77,FALSE)=0,0,"Digite"))</f>
        <v>0</v>
      </c>
      <c r="JQ4" s="454">
        <f>IF(OR(AT4=0,AT4=""),0,IF(VLOOKUP(B4,'Matriz de Referencia'!$B$2:$CO$584,78,FALSE)=0,0,"Digite"))</f>
        <v>0</v>
      </c>
      <c r="JR4" s="382">
        <f t="shared" si="57"/>
        <v>0</v>
      </c>
      <c r="JS4" s="382">
        <f t="shared" si="58"/>
        <v>0</v>
      </c>
      <c r="JT4" s="382">
        <f t="shared" si="59"/>
        <v>0</v>
      </c>
      <c r="JU4" s="101" t="str">
        <f>IFERROR(IF(JT4=0,"",IF(VLOOKUP(B4,'Matriz de Referencia'!$B$2:$CO$584,80,FALSE)=JT4,"Techos ok, cotinue","Debe revisar el valor programado")),"")</f>
        <v/>
      </c>
      <c r="JV4" s="382">
        <f t="shared" si="60"/>
        <v>0</v>
      </c>
    </row>
    <row r="5" spans="1:282">
      <c r="S5" s="568"/>
      <c r="T5" s="414"/>
      <c r="U5" s="661" t="str">
        <f t="shared" si="1"/>
        <v>Dimensión_</v>
      </c>
      <c r="V5" s="414"/>
      <c r="W5" s="568"/>
      <c r="X5" s="449" t="str">
        <f>IFERROR(IF(VLOOKUP(B5,'Matriz de Referencia'!$B$2:$CO$584,'Matriz de Referencia'!AM$1,FALSE)&gt;0,"Diligenciar la vigencia, tiene presupuesto programado","No diligenciar, no programo presupuesto"),"")</f>
        <v/>
      </c>
      <c r="Y5" s="649"/>
      <c r="Z5" s="649"/>
      <c r="AA5" s="649"/>
      <c r="AB5" s="649"/>
      <c r="AC5" s="650" t="str">
        <f t="shared" si="2"/>
        <v/>
      </c>
      <c r="AD5" s="449" t="str">
        <f>IFERROR(IF(VLOOKUP($B5,'Matriz de Referencia'!$B$2:$CO$584,'Matriz de Referencia'!BA$1,FALSE)&gt;0,"Diligenciar la vigencia, tiene presupuesto programado","No diligenciar, no programo presupuesto"),"")</f>
        <v/>
      </c>
      <c r="AE5" s="649"/>
      <c r="AF5" s="649"/>
      <c r="AG5" s="649"/>
      <c r="AH5" s="649"/>
      <c r="AI5" s="650" t="str">
        <f t="shared" si="3"/>
        <v/>
      </c>
      <c r="AJ5" s="449" t="str">
        <f>IFERROR(IF(VLOOKUP($B5,'Matriz de Referencia'!$B$2:$CO$584,'Matriz de Referencia'!BO$1,FALSE)&gt;0,"Diligenciar la vigencia, tiene presupuesto programado","No diligenciar, no programo presupuesto"),"")</f>
        <v/>
      </c>
      <c r="AK5" s="649"/>
      <c r="AL5" s="649"/>
      <c r="AM5" s="649"/>
      <c r="AN5" s="649"/>
      <c r="AO5" s="650" t="str">
        <f t="shared" si="4"/>
        <v/>
      </c>
      <c r="AP5" s="449" t="str">
        <f>IFERROR(IF(VLOOKUP($B5,'Matriz de Referencia'!$B$2:$CO$584,'Matriz de Referencia'!CC$1,FALSE)&gt;0,"Diligenciar la vigencia, tiene presupuesto programado","No diligenciar, no programo presupuesto"),"")</f>
        <v/>
      </c>
      <c r="AQ5" s="649"/>
      <c r="AR5" s="649"/>
      <c r="AS5" s="649"/>
      <c r="AT5" s="649"/>
      <c r="AU5" s="650" t="str">
        <f t="shared" si="5"/>
        <v/>
      </c>
      <c r="AV5" s="448" t="str">
        <f t="shared" si="6"/>
        <v/>
      </c>
      <c r="AW5" s="416" t="str">
        <f t="shared" si="7"/>
        <v/>
      </c>
      <c r="AX5" s="455" t="str">
        <f>IF(OR(Y5=0,Y5=""),"",IF(VLOOKUP(B5,'Matriz de Referencia'!$B$2:$CO$584,'Matriz de Referencia'!BB$1,FALSE)=0,"","Digite"))</f>
        <v/>
      </c>
      <c r="AY5" s="456">
        <f>IF(OR(Y5=0,Y5=""),0,IF(VLOOKUP(B5,'Matriz de Referencia'!$B$2:$CO$584,26,FALSE)=0,0,"Digite"))</f>
        <v>0</v>
      </c>
      <c r="AZ5" s="456">
        <f>IF(OR(Y5=0,Y5=""),0,IF(VLOOKUP(B5,'Matriz de Referencia'!$B$2:$CO$584,27,FALSE)=0,0,"Digite"))</f>
        <v>0</v>
      </c>
      <c r="BA5" s="456">
        <f>IF(OR(Y5=0,Y5=""),0,IF(VLOOKUP(B5,'Matriz de Referencia'!$B$2:$CO$584,28,FALSE)=0,0,"Digite"))</f>
        <v>0</v>
      </c>
      <c r="BB5" s="456">
        <f>IF(OR(Y5=0,Y5=""),0,IF(VLOOKUP(B5,'Matriz de Referencia'!$B$2:$CO$584,29,FALSE)=0,0,"Digite"))</f>
        <v>0</v>
      </c>
      <c r="BC5" s="456">
        <f>IF(OR(Y5=0,Y5=""),0,IF(VLOOKUP(B5,'Matriz de Referencia'!$B$2:$CO$584,30,FALSE)=0,0,"Digite"))</f>
        <v>0</v>
      </c>
      <c r="BD5" s="456">
        <f>IF(OR(Y5=0,Y5=""),0,IF(VLOOKUP(B5,'Matriz de Referencia'!$B$2:$CO$584,31,FALSE)=0,0,"Digite"))</f>
        <v>0</v>
      </c>
      <c r="BE5" s="456">
        <f>IF(OR(Y5=0,Y5=""),0,IF(VLOOKUP(B5,'Matriz de Referencia'!$B$2:$CO$584,32,FALSE)=0,0,"Digite"))</f>
        <v>0</v>
      </c>
      <c r="BF5" s="460">
        <f t="shared" si="8"/>
        <v>0</v>
      </c>
      <c r="BG5" s="456">
        <f>IF(OR(Y5=0,Y5=""),0,IF(VLOOKUP(B5,'Matriz de Referencia'!$B$2:$CO$584,34,FALSE)=0,0,"Digite"))</f>
        <v>0</v>
      </c>
      <c r="BH5" s="456">
        <f>IF(OR(Y5=0,Y5=""),0,IF(VLOOKUP(B5,'Matriz de Referencia'!$B$2:$CO$584,35,FALSE)=0,0,"Digite"))</f>
        <v>0</v>
      </c>
      <c r="BI5" s="456">
        <f>IF(OR(Y5=0,Y5=""),0,IF(VLOOKUP(B5,'Matriz de Referencia'!$B$2:$CO$584,36,FALSE)=0,0,"Digite"))</f>
        <v>0</v>
      </c>
      <c r="BJ5" s="457">
        <f t="shared" si="9"/>
        <v>0</v>
      </c>
      <c r="BK5" s="457">
        <f t="shared" si="10"/>
        <v>0</v>
      </c>
      <c r="BL5" s="455">
        <f>IF(OR(Z5=0,Z5=""),0,IF(VLOOKUP(B5,'Matriz de Referencia'!$B$2:$CO$584,25,FALSE)=0,0,"Digite"))</f>
        <v>0</v>
      </c>
      <c r="BM5" s="456">
        <f>IF(OR(Z5=0,Z5=""),0,IF(VLOOKUP(B5,'Matriz de Referencia'!$B$2:$CO$584,26,FALSE)=0,0,"Digite"))</f>
        <v>0</v>
      </c>
      <c r="BN5" s="456">
        <f>IF(OR(Z5=0,Z5=""),0,IF(VLOOKUP(B5,'Matriz de Referencia'!$B$2:$CO$584,27,FALSE)=0,0,"Digite"))</f>
        <v>0</v>
      </c>
      <c r="BO5" s="456">
        <f>IF(OR(Z5=0,Z5=""),0,IF(VLOOKUP(B5,'Matriz de Referencia'!$B$2:$CO$584,28,FALSE)=0,0,"Digite"))</f>
        <v>0</v>
      </c>
      <c r="BP5" s="456">
        <f>IF(OR(Z5=0,Z5=""),0,IF(VLOOKUP(B5,'Matriz de Referencia'!$B$2:$CO$584,29,FALSE)=0,0,"Digite"))</f>
        <v>0</v>
      </c>
      <c r="BQ5" s="456">
        <f>IF(OR(Z5=0,Z5=""),0,IF(VLOOKUP(B5,'Matriz de Referencia'!$B$2:$CO$584,30,FALSE)=0,0,"Digite"))</f>
        <v>0</v>
      </c>
      <c r="BR5" s="456">
        <f>IF(OR(Z5=0,Z5=""),0,IF(VLOOKUP(B5,'Matriz de Referencia'!$B$2:$CO$584,31,FALSE)=0,0,"Digite"))</f>
        <v>0</v>
      </c>
      <c r="BS5" s="456">
        <f>IF(OR(Z5=0,Z5=""),0,IF(VLOOKUP(B5,'Matriz de Referencia'!$B$2:$CO$584,32,FALSE)=0,0,"Digite"))</f>
        <v>0</v>
      </c>
      <c r="BT5" s="457">
        <f t="shared" si="11"/>
        <v>0</v>
      </c>
      <c r="BU5" s="456">
        <f>IF(OR(Z5=0,Z5=""),0,IF(VLOOKUP(B5,'Matriz de Referencia'!$B$2:$CO$584,34,FALSE)=0,0,"Digite"))</f>
        <v>0</v>
      </c>
      <c r="BV5" s="456">
        <f>IF(OR(Z5=0,Z5=""),0,IF(VLOOKUP(B5,'Matriz de Referencia'!$B$2:$CO$584,35,FALSE)=0,0,"Digite"))</f>
        <v>0</v>
      </c>
      <c r="BW5" s="456">
        <f>IF(OR(Z5=0,Z5=""),0,IF(VLOOKUP(B5,'Matriz de Referencia'!$B$2:$CO$584,36,FALSE)=0,0,"Digite"))</f>
        <v>0</v>
      </c>
      <c r="BX5" s="457">
        <f t="shared" si="12"/>
        <v>0</v>
      </c>
      <c r="BY5" s="457">
        <f t="shared" si="13"/>
        <v>0</v>
      </c>
      <c r="BZ5" s="455">
        <f>IF(OR(AA5=0,AA5=""),0,IF(VLOOKUP(B5,'Matriz de Referencia'!$B$2:$CO$584,25,FALSE)=0,0,"Digite"))</f>
        <v>0</v>
      </c>
      <c r="CA5" s="456">
        <f>IF(OR(AA5=0,AA5=""),0,IF(VLOOKUP(B5,'Matriz de Referencia'!$B$2:$CO$584,26,FALSE)=0,0,"Digite"))</f>
        <v>0</v>
      </c>
      <c r="CB5" s="456">
        <f>IF(OR(AA5=0,AA5=""),0,IF(VLOOKUP(B5,'Matriz de Referencia'!$B$2:$CO$584,27,FALSE)=0,0,"Digite"))</f>
        <v>0</v>
      </c>
      <c r="CC5" s="456">
        <f>IF(OR(AA5=0,AA5=""),0,IF(VLOOKUP(B5,'Matriz de Referencia'!$B$2:$CO$584,28,FALSE)=0,0,"Digite"))</f>
        <v>0</v>
      </c>
      <c r="CD5" s="456">
        <f>IF(OR(AA5=0,AA5=""),0,IF(VLOOKUP(B5,'Matriz de Referencia'!$B$2:$CO$584,29,FALSE)=0,0,"Digite"))</f>
        <v>0</v>
      </c>
      <c r="CE5" s="456">
        <f>IF(OR(AA5=0,AA5=""),0,IF(VLOOKUP(B5,'Matriz de Referencia'!$B$2:$CO$584,30,FALSE)=0,0,"Digite"))</f>
        <v>0</v>
      </c>
      <c r="CF5" s="456">
        <f>IF(OR(AA5=0,AA5=""),0,IF(VLOOKUP(B5,'Matriz de Referencia'!$B$2:$CO$584,31,FALSE)=0,0,"Digite"))</f>
        <v>0</v>
      </c>
      <c r="CG5" s="456">
        <f>IF(OR(AA5=0,AA5=""),0,IF(VLOOKUP(B5,'Matriz de Referencia'!$B$2:$CO$584,32,FALSE)=0,0,"Digite"))</f>
        <v>0</v>
      </c>
      <c r="CH5" s="457">
        <f t="shared" si="14"/>
        <v>0</v>
      </c>
      <c r="CI5" s="456">
        <f>IF(OR(AA5=0,AA5=""),0,IF(VLOOKUP(B5,'Matriz de Referencia'!$B$2:$CO$584,34,FALSE)=0,0,"Digite"))</f>
        <v>0</v>
      </c>
      <c r="CJ5" s="456">
        <f>IF(OR(AA5=0,AA5=""),0,IF(VLOOKUP(B5,'Matriz de Referencia'!$B$2:$CO$584,35,FALSE)=0,0,"Digite"))</f>
        <v>0</v>
      </c>
      <c r="CK5" s="456">
        <f>IF(OR(AA5=0,AA5=""),0,IF(VLOOKUP(B5,'Matriz de Referencia'!$B$2:$CO$584,36,FALSE)=0,0,"Digite"))</f>
        <v>0</v>
      </c>
      <c r="CL5" s="457">
        <f t="shared" si="15"/>
        <v>0</v>
      </c>
      <c r="CM5" s="457">
        <f t="shared" si="16"/>
        <v>0</v>
      </c>
      <c r="CN5" s="455">
        <f>IF(OR(AB5=0,AB5=""),0,IF(VLOOKUP(B5,'Matriz de Referencia'!$B$2:$CO$584,25,FALSE)=0,0,"Digite"))</f>
        <v>0</v>
      </c>
      <c r="CO5" s="456">
        <f>IF(OR(AB5=0,AB5=""),0,IF(VLOOKUP(B5,'Matriz de Referencia'!$B$2:$CO$584,26,FALSE)=0,0,"Digite"))</f>
        <v>0</v>
      </c>
      <c r="CP5" s="456">
        <f>IF(OR(AB5=0,AB5=""),0,IF(VLOOKUP(B5,'Matriz de Referencia'!$B$2:$CO$584,27,FALSE)=0,0,"Digite"))</f>
        <v>0</v>
      </c>
      <c r="CQ5" s="456">
        <f>IF(OR(AB5=0,AB5=""),0,IF(VLOOKUP(B5,'Matriz de Referencia'!$B$2:$CO$584,28,FALSE)=0,0,"Digite"))</f>
        <v>0</v>
      </c>
      <c r="CR5" s="456">
        <f>IF(OR(AB5=0,AB5=""),0,IF(VLOOKUP(B5,'Matriz de Referencia'!$B$2:$CO$584,29,FALSE)=0,0,"Digite"))</f>
        <v>0</v>
      </c>
      <c r="CS5" s="456">
        <f>IF(OR(AB5=0,AB5=""),0,IF(VLOOKUP(B5,'Matriz de Referencia'!$B$2:$CO$584,30,FALSE)=0,0,"Digite"))</f>
        <v>0</v>
      </c>
      <c r="CT5" s="456">
        <f>IF(OR(AB5=0,AB5=""),0,IF(VLOOKUP(B5,'Matriz de Referencia'!$B$2:$CO$584,31,FALSE)=0,0,"Digite"))</f>
        <v>0</v>
      </c>
      <c r="CU5" s="456">
        <f>IF(OR(AB5=0,AB5=""),0,IF(VLOOKUP(B5,'Matriz de Referencia'!$B$2:$CO$584,32,FALSE)=0,0,"Digite"))</f>
        <v>0</v>
      </c>
      <c r="CV5" s="457">
        <f t="shared" si="17"/>
        <v>0</v>
      </c>
      <c r="CW5" s="456">
        <f>IF(OR(AB5=0,AB5=""),0,IF(VLOOKUP(B5,'Matriz de Referencia'!$B$2:$CO$584,34,FALSE)=0,0,"Digite"))</f>
        <v>0</v>
      </c>
      <c r="CX5" s="456">
        <f>IF(OR(AB5=0,AB5=""),0,IF(VLOOKUP(B5,'Matriz de Referencia'!$B$2:$CO$584,35,FALSE)=0,0,"Digite"))</f>
        <v>0</v>
      </c>
      <c r="CY5" s="456">
        <f>IF(OR(AB5=0,AB5=""),0,IF(VLOOKUP(B5,'Matriz de Referencia'!$B$2:$CO$584,36,FALSE)=0,0,"Digite"))</f>
        <v>0</v>
      </c>
      <c r="CZ5" s="457">
        <f t="shared" si="18"/>
        <v>0</v>
      </c>
      <c r="DA5" s="457">
        <f t="shared" si="19"/>
        <v>0</v>
      </c>
      <c r="DB5" s="457">
        <f t="shared" si="20"/>
        <v>0</v>
      </c>
      <c r="DC5" s="101" t="str">
        <f>IFERROR(IF(DB5=0,"",IF(VLOOKUP(B5,'Matriz de Referencia'!$B$2:$CO$584,'Matriz de Referencia'!BO$1,FALSE)=DB5,"Techos ok, cotinue","Debe revisar el valor programado")),"")</f>
        <v/>
      </c>
      <c r="DD5" s="453">
        <f>IF(OR(AE5=0,AE5=""),0,IF(VLOOKUP(B5,'Matriz de Referencia'!$B$2:$CO$584,39,FALSE)=0,0,"Digite"))</f>
        <v>0</v>
      </c>
      <c r="DE5" s="454">
        <f>IF(OR(AE5=0,AE5=""),0,IF(VLOOKUP(B5,'Matriz de Referencia'!$B$2:$CO$584,40,FALSE)=0,0,"Digite"))</f>
        <v>0</v>
      </c>
      <c r="DF5" s="454">
        <f>IF(OR(AE5=0,AE5=""),0,IF(VLOOKUP(B5,'Matriz de Referencia'!$B$2:$CO$584,41,FALSE)=0,0,"Digite"))</f>
        <v>0</v>
      </c>
      <c r="DG5" s="454">
        <f>IF(OR(AE5=0,AE5=""),0,IF(VLOOKUP(B5,'Matriz de Referencia'!$B$2:$CO$584,42,FALSE)=0,0,"Digite"))</f>
        <v>0</v>
      </c>
      <c r="DH5" s="454">
        <f>IF(OR(AE5=0,AE5=""),0,IF(VLOOKUP(B5,'Matriz de Referencia'!$B$2:$CO$584,43,FALSE)=0,0,"Digite"))</f>
        <v>0</v>
      </c>
      <c r="DI5" s="454">
        <f>IF(OR(AE5=0,AE5=""),0,IF(VLOOKUP(B5,'Matriz de Referencia'!$B$2:$CO$584,44,FALSE)=0,0,"Digite"))</f>
        <v>0</v>
      </c>
      <c r="DJ5" s="454">
        <f>IF(OR(AE5=0,AE5=""),0,IF(VLOOKUP(B5,'Matriz de Referencia'!$B$2:$CO$584,45,FALSE)=0,0,"Digite"))</f>
        <v>0</v>
      </c>
      <c r="DK5" s="454">
        <f>IF(OR(AE5=0,AE5=""),0,IF(VLOOKUP(B5,'Matriz de Referencia'!$B$2:$CO$584,46,FALSE)=0,0,"Digite"))</f>
        <v>0</v>
      </c>
      <c r="DL5" s="382">
        <f t="shared" si="21"/>
        <v>0</v>
      </c>
      <c r="DM5" s="454">
        <f>IF(OR(AE5=0,AE5=""),0,IF(VLOOKUP(B5,'Matriz de Referencia'!$B$2:$CO$584,48,FALSE)=0,0,"Digite"))</f>
        <v>0</v>
      </c>
      <c r="DN5" s="454">
        <f>IF(OR(AE5=0,AE5=""),0,IF(VLOOKUP(B5,'Matriz de Referencia'!$B$2:$CO$584,49,FALSE)=0,0,"Digite"))</f>
        <v>0</v>
      </c>
      <c r="DO5" s="454">
        <f>IF(OR(AE5=0,AE5=""),0,IF(VLOOKUP(B5,'Matriz de Referencia'!$B$2:$CO$584,50,FALSE)=0,0,"Digite"))</f>
        <v>0</v>
      </c>
      <c r="DP5" s="382">
        <f t="shared" si="22"/>
        <v>0</v>
      </c>
      <c r="DQ5" s="382">
        <f t="shared" si="23"/>
        <v>0</v>
      </c>
      <c r="DR5" s="453">
        <f>IF(OR(AF5=0,AF5=""),0,IF(VLOOKUP(B5,'Matriz de Referencia'!$B$2:$CO$584,39,FALSE)=0,0,"Digite"))</f>
        <v>0</v>
      </c>
      <c r="DS5" s="454">
        <f>IF(OR(AF5=0,AF5=""),0,IF(VLOOKUP(B5,'Matriz de Referencia'!$B$2:$CO$584,40,FALSE)=0,0,"Digite"))</f>
        <v>0</v>
      </c>
      <c r="DT5" s="454">
        <f>IF(OR(AF5=0,AF5=""),0,IF(VLOOKUP(B5,'Matriz de Referencia'!$B$2:$CO$584,41,FALSE)=0,0,"Digite"))</f>
        <v>0</v>
      </c>
      <c r="DU5" s="454">
        <f>IF(OR(AF5=0,AF5=""),0,IF(VLOOKUP(B5,'Matriz de Referencia'!$B$2:$CO$584,42,FALSE)=0,0,"Digite"))</f>
        <v>0</v>
      </c>
      <c r="DV5" s="454">
        <f>IF(OR(AF5=0,AF5=""),0,IF(VLOOKUP(B5,'Matriz de Referencia'!$B$2:$CO$584,43,FALSE)=0,0,"Digite"))</f>
        <v>0</v>
      </c>
      <c r="DW5" s="454">
        <f>IF(OR(AF5=0,AF5=""),0,IF(VLOOKUP(B5,'Matriz de Referencia'!$B$2:$CO$584,44,FALSE)=0,0,"Digite"))</f>
        <v>0</v>
      </c>
      <c r="DX5" s="454">
        <f>IF(OR(AF5=0,AF5=""),0,IF(VLOOKUP(B5,'Matriz de Referencia'!$B$2:$CO$584,45,FALSE)=0,0,"Digite"))</f>
        <v>0</v>
      </c>
      <c r="DY5" s="454">
        <f>IF(OR(AF5=0,AF5=""),0,IF(VLOOKUP(B5,'Matriz de Referencia'!$B$2:$CO$584,46,FALSE)=0,0,"Digite"))</f>
        <v>0</v>
      </c>
      <c r="DZ5" s="382">
        <f t="shared" si="24"/>
        <v>0</v>
      </c>
      <c r="EA5" s="454">
        <f>IF(OR(AF5=0,AF5=""),0,IF(VLOOKUP(B5,'Matriz de Referencia'!$B$2:$CO$584,48,FALSE)=0,0,"Digite"))</f>
        <v>0</v>
      </c>
      <c r="EB5" s="454">
        <f>IF(OR(AF5=0,AF5=""),0,IF(VLOOKUP(B5,'Matriz de Referencia'!$B$2:$CO$584,49,FALSE)=0,0,"Digite"))</f>
        <v>0</v>
      </c>
      <c r="EC5" s="454">
        <f>IF(OR(AF5=0,AF5=""),0,IF(VLOOKUP(B5,'Matriz de Referencia'!$B$2:$CO$584,50,FALSE)=0,0,"Digite"))</f>
        <v>0</v>
      </c>
      <c r="ED5" s="382">
        <f t="shared" si="25"/>
        <v>0</v>
      </c>
      <c r="EE5" s="382">
        <f t="shared" si="26"/>
        <v>0</v>
      </c>
      <c r="EF5" s="453">
        <f>IF(OR(AG5=0,AG5=""),0,IF(VLOOKUP(B5,'Matriz de Referencia'!$B$2:$CO$584,39,FALSE)=0,0,"Digite"))</f>
        <v>0</v>
      </c>
      <c r="EG5" s="454">
        <f>IF(OR(AG5=0,AG5=""),0,IF(VLOOKUP(B5,'Matriz de Referencia'!$B$2:$CO$584,40,FALSE)=0,0,"Digite"))</f>
        <v>0</v>
      </c>
      <c r="EH5" s="454">
        <f>IF(OR(AG5=0,AG5=""),0,IF(VLOOKUP(B5,'Matriz de Referencia'!$B$2:$CO$584,41,FALSE)=0,0,"Digite"))</f>
        <v>0</v>
      </c>
      <c r="EI5" s="454">
        <f>IF(OR(AG5=0,AG5=""),0,IF(VLOOKUP(B5,'Matriz de Referencia'!$B$2:$CO$584,42,FALSE)=0,0,"Digite"))</f>
        <v>0</v>
      </c>
      <c r="EJ5" s="454">
        <f>IF(OR(AG5=0,AG5=""),0,IF(VLOOKUP(B5,'Matriz de Referencia'!$B$2:$CO$584,43,FALSE)=0,0,"Digite"))</f>
        <v>0</v>
      </c>
      <c r="EK5" s="454">
        <f>IF(OR(AG5=0,AG5=""),0,IF(VLOOKUP(B5,'Matriz de Referencia'!$B$2:$CO$584,44,FALSE)=0,0,"Digite"))</f>
        <v>0</v>
      </c>
      <c r="EL5" s="454">
        <f>IF(OR(AG5=0,AG5=""),0,IF(VLOOKUP(B5,'Matriz de Referencia'!$B$2:$CO$584,45,FALSE)=0,0,"Digite"))</f>
        <v>0</v>
      </c>
      <c r="EM5" s="454">
        <f>IF(OR(AG5=0,AG5=""),0,IF(VLOOKUP(B5,'Matriz de Referencia'!$B$2:$CO$584,46,FALSE)=0,0,"Digite"))</f>
        <v>0</v>
      </c>
      <c r="EN5" s="382">
        <f t="shared" si="27"/>
        <v>0</v>
      </c>
      <c r="EO5" s="454">
        <f>IF(OR(AG5=0,AG5=""),0,IF(VLOOKUP(B5,'Matriz de Referencia'!$B$2:$CO$584,48,FALSE)=0,0,"Digite"))</f>
        <v>0</v>
      </c>
      <c r="EP5" s="454">
        <f>IF(OR(AG5=0,AG5=""),0,IF(VLOOKUP(B5,'Matriz de Referencia'!$B$2:$CO$584,49,FALSE)=0,0,"Digite"))</f>
        <v>0</v>
      </c>
      <c r="EQ5" s="454">
        <f>IF(OR(AG5=0,AG5=""),0,IF(VLOOKUP(B5,'Matriz de Referencia'!$B$2:$CO$584,50,FALSE)=0,0,"Digite"))</f>
        <v>0</v>
      </c>
      <c r="ER5" s="382">
        <f t="shared" si="28"/>
        <v>0</v>
      </c>
      <c r="ES5" s="382">
        <f t="shared" si="29"/>
        <v>0</v>
      </c>
      <c r="ET5" s="453">
        <f>IF(OR(AH5=0,AH5=""),0,IF(VLOOKUP(B5,'Matriz de Referencia'!$B$2:$CO$584,39,FALSE)=0,0,"Digite"))</f>
        <v>0</v>
      </c>
      <c r="EU5" s="454">
        <f>IF(OR(AH5=0,AH5=""),0,IF(VLOOKUP(B5,'Matriz de Referencia'!$B$2:$CO$584,40,FALSE)=0,0,"Digite"))</f>
        <v>0</v>
      </c>
      <c r="EV5" s="454">
        <f>IF(OR(AH5=0,AH5=""),0,IF(VLOOKUP(B5,'Matriz de Referencia'!$B$2:$CO$584,41,FALSE)=0,0,"Digite"))</f>
        <v>0</v>
      </c>
      <c r="EW5" s="454">
        <f>IF(OR(AH5=0,AH5=""),0,IF(VLOOKUP(B5,'Matriz de Referencia'!$B$2:$CO$584,42,FALSE)=0,0,"Digite"))</f>
        <v>0</v>
      </c>
      <c r="EX5" s="454">
        <f>IF(OR(AH5=0,AH5=""),0,IF(VLOOKUP(B5,'Matriz de Referencia'!$B$2:$CO$584,43,FALSE)=0,0,"Digite"))</f>
        <v>0</v>
      </c>
      <c r="EY5" s="454">
        <f>IF(OR(AH5=0,AH5=""),0,IF(VLOOKUP(B5,'Matriz de Referencia'!$B$2:$CO$584,44,FALSE)=0,0,"Digite"))</f>
        <v>0</v>
      </c>
      <c r="EZ5" s="454">
        <f>IF(OR(AH5=0,AH5=""),0,IF(VLOOKUP(B5,'Matriz de Referencia'!$B$2:$CO$584,45,FALSE)=0,0,"Digite"))</f>
        <v>0</v>
      </c>
      <c r="FA5" s="454">
        <f>IF(OR(AH5=0,AH5=""),0,IF(VLOOKUP(B5,'Matriz de Referencia'!$B$2:$CO$584,46,FALSE)=0,0,"Digite"))</f>
        <v>0</v>
      </c>
      <c r="FB5" s="382">
        <f t="shared" si="30"/>
        <v>0</v>
      </c>
      <c r="FC5" s="454">
        <f>IF(OR(AH5=0,AH5=""),0,IF(VLOOKUP(B5,'Matriz de Referencia'!$B$2:$CO$584,48,FALSE)=0,0,"Digite"))</f>
        <v>0</v>
      </c>
      <c r="FD5" s="454">
        <f>IF(OR(AH5=0,AH5=""),0,IF(VLOOKUP(B5,'Matriz de Referencia'!$B$2:$CO$584,49,FALSE)=0,0,"Digite"))</f>
        <v>0</v>
      </c>
      <c r="FE5" s="454">
        <f>IF(OR(AH5=0,AH5=""),0,IF(VLOOKUP(B5,'Matriz de Referencia'!$B$2:$CO$584,50,FALSE)=0,0,"Digite"))</f>
        <v>0</v>
      </c>
      <c r="FF5" s="382">
        <f t="shared" si="31"/>
        <v>0</v>
      </c>
      <c r="FG5" s="382">
        <f t="shared" si="32"/>
        <v>0</v>
      </c>
      <c r="FH5" s="382">
        <f t="shared" si="33"/>
        <v>0</v>
      </c>
      <c r="FI5" s="101" t="str">
        <f>IFERROR(IF(FH5=0,"",IF(VLOOKUP(B5,'Matriz de Referencia'!$B$2:$CO$584,52,FALSE)=FH5,"Techos ok, cotinue","Debe revisar el valor programado")),"")</f>
        <v/>
      </c>
      <c r="FJ5" s="453">
        <f>IF(OR(AK5=0,AK5=""),0,IF(VLOOKUP(B5,'Matriz de Referencia'!$B$2:$CO$584,53,FALSE)=0,0,"Digite"))</f>
        <v>0</v>
      </c>
      <c r="FK5" s="454">
        <f>IF(OR(AK5=0,AK5=""),0,IF(VLOOKUP(B5,'Matriz de Referencia'!$B$2:$CO$584,54,FALSE)=0,0,"Digite"))</f>
        <v>0</v>
      </c>
      <c r="FL5" s="454">
        <f>IF(OR(AK5=0,AK5=""),0,IF(VLOOKUP(B5,'Matriz de Referencia'!$B$2:$CO$584,55,FALSE)=0,0,"Digite"))</f>
        <v>0</v>
      </c>
      <c r="FM5" s="454">
        <f>IF(OR(AK5=0,AK5=""),0,IF(VLOOKUP(B5,'Matriz de Referencia'!$B$2:$CO$584,56,FALSE)=0,0,"Digite"))</f>
        <v>0</v>
      </c>
      <c r="FN5" s="454">
        <f>IF(OR(AK5=0,AK5=""),0,IF(VLOOKUP(B5,'Matriz de Referencia'!$B$2:$CO$584,57,FALSE)=0,0,"Digite"))</f>
        <v>0</v>
      </c>
      <c r="FO5" s="454">
        <f>IF(OR(AK5=0,AK5=""),0,IF(VLOOKUP(B5,'Matriz de Referencia'!$B$2:$CO$584,58,FALSE)=0,0,"Digite"))</f>
        <v>0</v>
      </c>
      <c r="FP5" s="454">
        <f>IF(OR(AK5=0,AK5=""),0,IF(VLOOKUP(B5,'Matriz de Referencia'!$B$2:$CO$584,59,FALSE)=0,0,"Digite"))</f>
        <v>0</v>
      </c>
      <c r="FQ5" s="454">
        <f>IF(OR(AK5=0,AK5=""),0,IF(VLOOKUP(B5,'Matriz de Referencia'!$B$2:$CO$584,60,FALSE)=0,0,"Digite"))</f>
        <v>0</v>
      </c>
      <c r="FR5" s="382">
        <f t="shared" si="34"/>
        <v>0</v>
      </c>
      <c r="FS5" s="454">
        <f>IF(OR(AK5=0,AK5=""),0,IF(VLOOKUP(B5,'Matriz de Referencia'!$B$2:$CO$584,62,FALSE)=0,0,"Digite"))</f>
        <v>0</v>
      </c>
      <c r="FT5" s="454">
        <f>IF(OR(AK5=0,AK5=""),0,IF(VLOOKUP(B5,'Matriz de Referencia'!$B$2:$CO$584,63,FALSE)=0,0,"Digite"))</f>
        <v>0</v>
      </c>
      <c r="FU5" s="454">
        <f>IF(OR(AK5=0,AK5=""),0,IF(VLOOKUP(B5,'Matriz de Referencia'!$B$2:$CO$584,64,FALSE)=0,"","Digite"))</f>
        <v>0</v>
      </c>
      <c r="FV5" s="382">
        <f t="shared" si="35"/>
        <v>0</v>
      </c>
      <c r="FW5" s="382">
        <f t="shared" si="36"/>
        <v>0</v>
      </c>
      <c r="FX5" s="453">
        <f>IF(OR(AL5=0,AL5=""),0,IF(VLOOKUP(B5,'Matriz de Referencia'!$B$2:$CO$584,53,FALSE)=0,0,"Digite"))</f>
        <v>0</v>
      </c>
      <c r="FY5" s="454">
        <f>IF(OR(AL5=0,AL5=""),0,IF(VLOOKUP(B5,'Matriz de Referencia'!$B$2:$CO$584,54,FALSE)=0,0,"Digite"))</f>
        <v>0</v>
      </c>
      <c r="FZ5" s="454">
        <f>IF(OR(AL5=0,AL5=""),0,IF(VLOOKUP(B5,'Matriz de Referencia'!$B$2:$CO$584,55,FALSE)=0,0,"Digite"))</f>
        <v>0</v>
      </c>
      <c r="GA5" s="454">
        <f>IF(OR(AL5=0,AL5=""),0,IF(VLOOKUP(B5,'Matriz de Referencia'!$B$2:$CO$584,56,FALSE)=0,0,"Digite"))</f>
        <v>0</v>
      </c>
      <c r="GB5" s="454">
        <f>IF(OR(AL5=0,AL5=""),0,IF(VLOOKUP(B5,'Matriz de Referencia'!$B$2:$CO$584,57,FALSE)=0,0,"Digite"))</f>
        <v>0</v>
      </c>
      <c r="GC5" s="454">
        <f>IF(OR(AL5=0,AL5=""),0,IF(VLOOKUP(B5,'Matriz de Referencia'!$B$2:$CO$584,58,FALSE)=0,0,"Digite"))</f>
        <v>0</v>
      </c>
      <c r="GD5" s="454">
        <f>IF(OR(AL5=0,AL5=""),0,IF(VLOOKUP(B5,'Matriz de Referencia'!$B$2:$CO$584,59,FALSE)=0,0,"Digite"))</f>
        <v>0</v>
      </c>
      <c r="GE5" s="454">
        <f>IF(OR(AL5=0,AL5=""),0,IF(VLOOKUP(B5,'Matriz de Referencia'!$B$2:$CO$584,60,FALSE)=0,0,"Digite"))</f>
        <v>0</v>
      </c>
      <c r="GF5" s="382">
        <f t="shared" si="37"/>
        <v>0</v>
      </c>
      <c r="GG5" s="454">
        <f>IF(OR(AL5=0,AL5=""),0,IF(VLOOKUP(B5,'Matriz de Referencia'!$B$2:$CO$584,62,FALSE)=0,0,"Digite"))</f>
        <v>0</v>
      </c>
      <c r="GH5" s="454">
        <f>IF(OR(AL5=0,AL5=""),0,IF(VLOOKUP(B5,'Matriz de Referencia'!$B$2:$CO$584,63,FALSE)=0,0,"Digite"))</f>
        <v>0</v>
      </c>
      <c r="GI5" s="454">
        <f>IF(OR(AL5=0,AL5=""),0,IF(VLOOKUP(B5,'Matriz de Referencia'!$B$2:$CO$584,64,FALSE)=0,0,"Digite"))</f>
        <v>0</v>
      </c>
      <c r="GJ5" s="382">
        <f t="shared" si="38"/>
        <v>0</v>
      </c>
      <c r="GK5" s="382">
        <f t="shared" si="39"/>
        <v>0</v>
      </c>
      <c r="GL5" s="453">
        <f>IF(OR(AM5=0,AM5=""),0,IF(VLOOKUP(B5,'Matriz de Referencia'!$B$2:$CO$584,53,FALSE)=0,0,"Digite"))</f>
        <v>0</v>
      </c>
      <c r="GM5" s="454">
        <f>IF(OR(AM5=0,AM5=""),0,IF(VLOOKUP(B5,'Matriz de Referencia'!$B$2:$CO$584,54,FALSE)=0,0,"Digite"))</f>
        <v>0</v>
      </c>
      <c r="GN5" s="454">
        <f>IF(OR(AM5=0,AM5=""),0,IF(VLOOKUP(B5,'Matriz de Referencia'!$B$2:$CO$584,55,FALSE)=0,0,"Digite"))</f>
        <v>0</v>
      </c>
      <c r="GO5" s="454">
        <f>IF(OR(AM5=0,AM5=""),0,IF(VLOOKUP(B5,'Matriz de Referencia'!$B$2:$CO$584,56,FALSE)=0,0,"Digite"))</f>
        <v>0</v>
      </c>
      <c r="GP5" s="454">
        <f>IF(OR(AM5=0,AM5=""),0,IF(VLOOKUP(B5,'Matriz de Referencia'!$B$2:$CO$584,57,FALSE)=0,0,"Digite"))</f>
        <v>0</v>
      </c>
      <c r="GQ5" s="454">
        <f>IF(OR(AM5=0,AM5=""),0,IF(VLOOKUP(B5,'Matriz de Referencia'!$B$2:$CO$584,58,FALSE)=0,0,"Digite"))</f>
        <v>0</v>
      </c>
      <c r="GR5" s="454">
        <f>IF(OR(AM5=0,AM5=""),0,IF(VLOOKUP(B5,'Matriz de Referencia'!$B$2:$CO$584,59,FALSE)=0,0,"Digite"))</f>
        <v>0</v>
      </c>
      <c r="GS5" s="454">
        <f>IF(OR(AM5=0,AM5=""),0,IF(VLOOKUP(B5,'Matriz de Referencia'!$B$2:$CO$584,60,FALSE)=0,0,"Digite"))</f>
        <v>0</v>
      </c>
      <c r="GT5" s="382">
        <f t="shared" si="40"/>
        <v>0</v>
      </c>
      <c r="GU5" s="454">
        <f>IF(OR(AM5=0,AM5=""),0,IF(VLOOKUP(B5,'Matriz de Referencia'!$B$2:$CO$584,62,FALSE)=0,0,"Digite"))</f>
        <v>0</v>
      </c>
      <c r="GV5" s="454">
        <f>IF(OR(AM5=0,AM5=""),0,IF(VLOOKUP(B5,'Matriz de Referencia'!$B$2:$CO$584,63,FALSE)=0,0,"Digite"))</f>
        <v>0</v>
      </c>
      <c r="GW5" s="454">
        <f>IF(OR(AM5=0,AM5=""),0,IF(VLOOKUP(B5,'Matriz de Referencia'!$B$2:$CO$584,64,FALSE)=0,0,"Digite"))</f>
        <v>0</v>
      </c>
      <c r="GX5" s="382">
        <f t="shared" si="41"/>
        <v>0</v>
      </c>
      <c r="GY5" s="382">
        <f t="shared" si="42"/>
        <v>0</v>
      </c>
      <c r="GZ5" s="453">
        <f>IF(OR(AN5=0,AN5=""),0,IF(VLOOKUP(B5,'Matriz de Referencia'!$B$2:$CO$584,53,FALSE)=0,0,"Digite"))</f>
        <v>0</v>
      </c>
      <c r="HA5" s="454">
        <f>IF(OR(AN5=0,AN5=""),0,IF(VLOOKUP(B5,'Matriz de Referencia'!$B$2:$CO$584,54,FALSE)=0,0,"Digite"))</f>
        <v>0</v>
      </c>
      <c r="HB5" s="454">
        <f>IF(OR(AN5=0,AN5=""),0,IF(VLOOKUP(B5,'Matriz de Referencia'!$B$2:$CO$584,55,FALSE)=0,0,"Digite"))</f>
        <v>0</v>
      </c>
      <c r="HC5" s="454">
        <f>IF(OR(AN5=0,AN5=""),0,IF(VLOOKUP(B5,'Matriz de Referencia'!$B$2:$CO$584,56,FALSE)=0,0,"Digite"))</f>
        <v>0</v>
      </c>
      <c r="HD5" s="454">
        <f>IF(OR(AN5=0,AN5=""),0,IF(VLOOKUP(B5,'Matriz de Referencia'!$B$2:$CO$584,57,FALSE)=0,0,"Digite"))</f>
        <v>0</v>
      </c>
      <c r="HE5" s="454">
        <f>IF(OR(AN5=0,AN5=""),0,IF(VLOOKUP(B5,'Matriz de Referencia'!$B$2:$CO$584,58,FALSE)=0,0,"Digite"))</f>
        <v>0</v>
      </c>
      <c r="HF5" s="454">
        <f>IF(OR(AN5=0,AN5=""),0,IF(VLOOKUP(B5,'Matriz de Referencia'!$B$2:$CO$584,59,FALSE)=0,0,"Digite"))</f>
        <v>0</v>
      </c>
      <c r="HG5" s="454">
        <f>IF(OR(AN5=0,AN5=""),0,IF(VLOOKUP(B5,'Matriz de Referencia'!$B$2:$CO$584,60,FALSE)=0,0,"Digite"))</f>
        <v>0</v>
      </c>
      <c r="HH5" s="382">
        <f t="shared" si="43"/>
        <v>0</v>
      </c>
      <c r="HI5" s="454">
        <f>IF(OR(AN5=0,AN5=""),0,IF(VLOOKUP(B5,'Matriz de Referencia'!$B$2:$CO$584,62,FALSE)=0,0,"Digite"))</f>
        <v>0</v>
      </c>
      <c r="HJ5" s="454">
        <f>IF(OR(AN5=0,AN5=""),0,IF(VLOOKUP(B5,'Matriz de Referencia'!$B$2:$CO$584,63,FALSE)=0,0,"Digite"))</f>
        <v>0</v>
      </c>
      <c r="HK5" s="454">
        <f>IF(OR(AN5=0,AN5=""),0,IF(VLOOKUP(B5,'Matriz de Referencia'!$B$2:$CO$584,64,FALSE)=0,0,"Digite"))</f>
        <v>0</v>
      </c>
      <c r="HL5" s="382">
        <f t="shared" si="44"/>
        <v>0</v>
      </c>
      <c r="HM5" s="382">
        <f t="shared" si="45"/>
        <v>0</v>
      </c>
      <c r="HN5" s="382">
        <f t="shared" si="46"/>
        <v>0</v>
      </c>
      <c r="HO5" s="101" t="str">
        <f>IFERROR(IF(HN5=0,"",IF(VLOOKUP(B5,'Matriz de Referencia'!$B$2:$CO$584,66,FALSE)=HN5,"Techos ok, cotinue","Debe revisar el valor programado")),"")</f>
        <v/>
      </c>
      <c r="HP5" s="453">
        <f>IF(OR(AQ5=0,AQ5=""),0,IF(VLOOKUP(B5,'Matriz de Referencia'!$B$2:$CO$584,67,FALSE)=0,0,"Digite"))</f>
        <v>0</v>
      </c>
      <c r="HQ5" s="454">
        <f>IF(OR(AQ5=0,AQ5=""),0,IF(VLOOKUP(B5,'Matriz de Referencia'!$B$2:$CO$584,68,FALSE)=0,0,"Digite"))</f>
        <v>0</v>
      </c>
      <c r="HR5" s="454">
        <f>IF(OR(AQ5=0,AQ5=""),0,IF(VLOOKUP(B5,'Matriz de Referencia'!$B$2:$CO$584,69,FALSE)=0,0,"Digite"))</f>
        <v>0</v>
      </c>
      <c r="HS5" s="454">
        <f>IF(OR(AQ5=0,AQ5=""),0,IF(VLOOKUP(B5,'Matriz de Referencia'!$B$2:$CO$584,70,FALSE)=0,0,"Digite"))</f>
        <v>0</v>
      </c>
      <c r="HT5" s="454">
        <f>IF(OR(AQ5=0,AQ5=""),0,IF(VLOOKUP(B5,'Matriz de Referencia'!$B$2:$CO$584,71,FALSE)=0,0,"Digite"))</f>
        <v>0</v>
      </c>
      <c r="HU5" s="454">
        <f>IF(OR(AQ5=0,AQ5=""),0,IF(VLOOKUP(B5,'Matriz de Referencia'!$B$2:$CO$584,72,FALSE)=0,0,"Digite"))</f>
        <v>0</v>
      </c>
      <c r="HV5" s="454">
        <f>IF(OR(AQ5=0,AQ5=""),0,IF(VLOOKUP(B5,'Matriz de Referencia'!$B$2:$CO$584,73,FALSE)=0,0,"Digite"))</f>
        <v>0</v>
      </c>
      <c r="HW5" s="454">
        <f>IF(OR(AQ5=0,AQ5=""),0,IF(VLOOKUP(B5,'Matriz de Referencia'!$B$2:$CO$584,74,FALSE)=0,0,"Digite"))</f>
        <v>0</v>
      </c>
      <c r="HX5" s="382">
        <f t="shared" si="47"/>
        <v>0</v>
      </c>
      <c r="HY5" s="454">
        <f>IF(OR(AQ5=0,AQ5=""),0,IF(VLOOKUP(B5,'Matriz de Referencia'!$B$2:$CO$584,76,FALSE)=0,0,"Digite"))</f>
        <v>0</v>
      </c>
      <c r="HZ5" s="454">
        <f>IF(OR(AQ5=0,AQ5=""),0,IF(VLOOKUP(B5,'Matriz de Referencia'!$B$2:$CO$584,77,FALSE)=0,0,"Digite"))</f>
        <v>0</v>
      </c>
      <c r="IA5" s="454">
        <f>IF(OR(AQ5=0,AQ5=""),0,IF(VLOOKUP(B5,'Matriz de Referencia'!$B$2:$CO$584,78,FALSE)=0,0,"Digite"))</f>
        <v>0</v>
      </c>
      <c r="IB5" s="382">
        <f t="shared" si="48"/>
        <v>0</v>
      </c>
      <c r="IC5" s="382">
        <f t="shared" si="49"/>
        <v>0</v>
      </c>
      <c r="ID5" s="453">
        <f>IF(OR(AR5=0,AR5=""),0,IF(VLOOKUP(B5,'Matriz de Referencia'!$B$2:$CO$584,67,FALSE)=0,0,"Digite"))</f>
        <v>0</v>
      </c>
      <c r="IE5" s="454">
        <f>IF(OR(AR5=0,AR5=""),0,IF(VLOOKUP(B5,'Matriz de Referencia'!$B$2:$CO$584,68,FALSE)=0,0,"Digite"))</f>
        <v>0</v>
      </c>
      <c r="IF5" s="454">
        <f>IF(OR(AR5=0,AR5=""),0,IF(VLOOKUP(B5,'Matriz de Referencia'!$B$2:$CO$584,69,FALSE)=0,0,"Digite"))</f>
        <v>0</v>
      </c>
      <c r="IG5" s="454">
        <f>IF(OR(AR5=0,AR5=""),0,IF(VLOOKUP(B5,'Matriz de Referencia'!$B$2:$CO$584,70,FALSE)=0,0,"Digite"))</f>
        <v>0</v>
      </c>
      <c r="IH5" s="454">
        <f>IF(OR(AR5=0,AR5=""),0,IF(VLOOKUP(B5,'Matriz de Referencia'!$B$2:$CO$584,71,FALSE)=0,0,"Digite"))</f>
        <v>0</v>
      </c>
      <c r="II5" s="454">
        <f>IF(OR(AR5=0,AR5=""),0,IF(VLOOKUP(B5,'Matriz de Referencia'!$B$2:$CO$584,72,FALSE)=0,0,"Digite"))</f>
        <v>0</v>
      </c>
      <c r="IJ5" s="454">
        <f>IF(OR(AR5=0,AR5=""),0,IF(VLOOKUP(B5,'Matriz de Referencia'!$B$2:$CO$584,73,FALSE)=0,0,"Digite"))</f>
        <v>0</v>
      </c>
      <c r="IK5" s="454">
        <f>IF(OR(AR5=0,AR5=""),0,IF(VLOOKUP(B5,'Matriz de Referencia'!$B$2:$CO$584,74,FALSE)=0,0,"Digite"))</f>
        <v>0</v>
      </c>
      <c r="IL5" s="382">
        <f t="shared" si="50"/>
        <v>0</v>
      </c>
      <c r="IM5" s="454">
        <f>IF(OR(AR5=0,AR5=""),0,IF(VLOOKUP(B5,'Matriz de Referencia'!$B$2:$CO$584,76,FALSE)=0,0,"Digite"))</f>
        <v>0</v>
      </c>
      <c r="IN5" s="454">
        <f>IF(OR(AR5=0,AR5=""),0,IF(VLOOKUP(B5,'Matriz de Referencia'!$B$2:$CO$584,77,FALSE)=0,0,"Digite"))</f>
        <v>0</v>
      </c>
      <c r="IO5" s="454">
        <f>IF(OR(AR5=0,AR5=""),0,IF(VLOOKUP(B5,'Matriz de Referencia'!$B$2:$CO$584,78,FALSE)=0,0,"Digite"))</f>
        <v>0</v>
      </c>
      <c r="IP5" s="382">
        <f t="shared" si="51"/>
        <v>0</v>
      </c>
      <c r="IQ5" s="382">
        <f t="shared" si="52"/>
        <v>0</v>
      </c>
      <c r="IR5" s="453">
        <f>IF(OR(AS5=0,AS5=""),0,IF(VLOOKUP(B5,'Matriz de Referencia'!$B$2:$CO$584,67,FALSE)=0,0,"Digite"))</f>
        <v>0</v>
      </c>
      <c r="IS5" s="454">
        <f>IF(OR(AS5=0,AS5=""),0,IF(VLOOKUP(B5,'Matriz de Referencia'!$B$2:$CO$584,68,FALSE)=0,0,"Digite"))</f>
        <v>0</v>
      </c>
      <c r="IT5" s="454">
        <f>IF(OR(AS5=0,AS5=""),0,IF(VLOOKUP(B5,'Matriz de Referencia'!$B$2:$CO$584,69,FALSE)=0,0,"Digite"))</f>
        <v>0</v>
      </c>
      <c r="IU5" s="454">
        <f>IF(OR(AS5=0,AS5=""),0,IF(VLOOKUP(B5,'Matriz de Referencia'!$B$2:$CO$584,70,FALSE)=0,0,"Digite"))</f>
        <v>0</v>
      </c>
      <c r="IV5" s="454">
        <f>IF(OR(AS5=0,AS5=""),0,IF(VLOOKUP(B5,'Matriz de Referencia'!$B$2:$CO$584,71,FALSE)=0,0,"Digite"))</f>
        <v>0</v>
      </c>
      <c r="IW5" s="454">
        <f>IF(OR(AS5=0,AS5=""),0,IF(VLOOKUP(B5,'Matriz de Referencia'!$B$2:$CO$584,72,FALSE)=0,0,"Digite"))</f>
        <v>0</v>
      </c>
      <c r="IX5" s="454">
        <f>IF(OR(AS5=0,AS5=""),0,IF(VLOOKUP(B5,'Matriz de Referencia'!$B$2:$CO$584,73,FALSE)=0,0,"Digite"))</f>
        <v>0</v>
      </c>
      <c r="IY5" s="454">
        <f>IF(OR(AS5=0,AS5=""),0,IF(VLOOKUP(B5,'Matriz de Referencia'!$B$2:$CO$584,74,FALSE)=0,0,"Digite"))</f>
        <v>0</v>
      </c>
      <c r="IZ5" s="382">
        <f t="shared" si="53"/>
        <v>0</v>
      </c>
      <c r="JA5" s="454">
        <f>IF(OR(AS5=0,AS5=""),0,IF(VLOOKUP(B5,'Matriz de Referencia'!$B$2:$CO$584,76,FALSE)=0,0,"Digite"))</f>
        <v>0</v>
      </c>
      <c r="JB5" s="454">
        <f>IF(OR(AS5=0,AS5=""),0,IF(VLOOKUP(B5,'Matriz de Referencia'!$B$2:$CO$584,77,FALSE)=0,0,"Digite"))</f>
        <v>0</v>
      </c>
      <c r="JC5" s="454">
        <f>IF(OR(AS5=0,AS5=""),0,IF(VLOOKUP(B5,'Matriz de Referencia'!$B$2:$CO$584,78,FALSE)=0,0,"Digite"))</f>
        <v>0</v>
      </c>
      <c r="JD5" s="382">
        <f t="shared" si="54"/>
        <v>0</v>
      </c>
      <c r="JE5" s="382">
        <f t="shared" si="55"/>
        <v>0</v>
      </c>
      <c r="JF5" s="453">
        <f>IF(OR(AT5=0,AT5=""),0,IF(VLOOKUP(B5,'Matriz de Referencia'!$B$2:$CO$584,67,FALSE)=0,0,"Digite"))</f>
        <v>0</v>
      </c>
      <c r="JG5" s="454">
        <f>IF(OR(AT5=0,AT5=""),0,IF(VLOOKUP(B5,'Matriz de Referencia'!$B$2:$CO$584,68,FALSE)=0,0,"Digite"))</f>
        <v>0</v>
      </c>
      <c r="JH5" s="454">
        <f>IF(OR(AT5=0,AT5=""),0,IF(VLOOKUP(B5,'Matriz de Referencia'!$B$2:$CO$584,69,FALSE)=0,0,"Digite"))</f>
        <v>0</v>
      </c>
      <c r="JI5" s="454">
        <f>IF(OR(AT5=0,AT5=""),0,IF(VLOOKUP(B5,'Matriz de Referencia'!$B$2:$CO$584,70,FALSE)=0,0,"Digite"))</f>
        <v>0</v>
      </c>
      <c r="JJ5" s="454">
        <f>IF(OR(AT5=0,AT5=""),0,IF(VLOOKUP(B5,'Matriz de Referencia'!$B$2:$CO$584,71,FALSE)=0,0,"Digite"))</f>
        <v>0</v>
      </c>
      <c r="JK5" s="454">
        <f>IF(OR(AT5=0,AT5=""),0,IF(VLOOKUP(B5,'Matriz de Referencia'!$B$2:$CO$584,72,FALSE)=0,0,"Digite"))</f>
        <v>0</v>
      </c>
      <c r="JL5" s="454">
        <f>IF(OR(AT5=0,AT5=""),0,IF(VLOOKUP(B5,'Matriz de Referencia'!$B$2:$CO$584,73,FALSE)=0,0,"Digite"))</f>
        <v>0</v>
      </c>
      <c r="JM5" s="454">
        <f>IF(OR(AT5=0,AT5=""),0,IF(VLOOKUP(B5,'Matriz de Referencia'!$B$2:$CO$584,74,FALSE)=0,0,"Digite"))</f>
        <v>0</v>
      </c>
      <c r="JN5" s="382">
        <f t="shared" si="56"/>
        <v>0</v>
      </c>
      <c r="JO5" s="454">
        <f>IF(OR(AT5=0,AT5=""),0,IF(VLOOKUP(B5,'Matriz de Referencia'!$B$2:$CO$584,76,FALSE)=0,0,"Digite"))</f>
        <v>0</v>
      </c>
      <c r="JP5" s="454">
        <f>IF(OR(AT5=0,AT5=""),0,IF(VLOOKUP(B5,'Matriz de Referencia'!$B$2:$CO$584,77,FALSE)=0,0,"Digite"))</f>
        <v>0</v>
      </c>
      <c r="JQ5" s="454">
        <f>IF(OR(AT5=0,AT5=""),0,IF(VLOOKUP(B5,'Matriz de Referencia'!$B$2:$CO$584,78,FALSE)=0,0,"Digite"))</f>
        <v>0</v>
      </c>
      <c r="JR5" s="382">
        <f t="shared" si="57"/>
        <v>0</v>
      </c>
      <c r="JS5" s="382">
        <f t="shared" si="58"/>
        <v>0</v>
      </c>
      <c r="JT5" s="382">
        <f t="shared" si="59"/>
        <v>0</v>
      </c>
      <c r="JU5" s="101" t="str">
        <f>IFERROR(IF(JT5=0,"",IF(VLOOKUP(B5,'Matriz de Referencia'!$B$2:$CO$584,80,FALSE)=JT5,"Techos ok, cotinue","Debe revisar el valor programado")),"")</f>
        <v/>
      </c>
      <c r="JV5" s="382">
        <f t="shared" si="60"/>
        <v>0</v>
      </c>
    </row>
    <row r="6" spans="1:282">
      <c r="S6" s="568"/>
      <c r="T6" s="414"/>
      <c r="U6" s="661" t="str">
        <f t="shared" si="1"/>
        <v>Dimensión_</v>
      </c>
      <c r="V6" s="414"/>
      <c r="W6" s="568"/>
      <c r="X6" s="449" t="str">
        <f>IFERROR(IF(VLOOKUP(B6,'Matriz de Referencia'!$B$2:$CO$584,'Matriz de Referencia'!AM$1,FALSE)&gt;0,"Diligenciar la vigencia, tiene presupuesto programado","No diligenciar, no programo presupuesto"),"")</f>
        <v/>
      </c>
      <c r="Y6" s="649"/>
      <c r="Z6" s="649"/>
      <c r="AA6" s="649"/>
      <c r="AB6" s="649"/>
      <c r="AC6" s="650" t="str">
        <f t="shared" si="2"/>
        <v/>
      </c>
      <c r="AD6" s="449" t="str">
        <f>IFERROR(IF(VLOOKUP($B6,'Matriz de Referencia'!$B$2:$CO$584,'Matriz de Referencia'!BA$1,FALSE)&gt;0,"Diligenciar la vigencia, tiene presupuesto programado","No diligenciar, no programo presupuesto"),"")</f>
        <v/>
      </c>
      <c r="AE6" s="649"/>
      <c r="AF6" s="649"/>
      <c r="AG6" s="649"/>
      <c r="AH6" s="649"/>
      <c r="AI6" s="650" t="str">
        <f t="shared" si="3"/>
        <v/>
      </c>
      <c r="AJ6" s="449" t="str">
        <f>IFERROR(IF(VLOOKUP($B6,'Matriz de Referencia'!$B$2:$CO$584,'Matriz de Referencia'!BO$1,FALSE)&gt;0,"Diligenciar la vigencia, tiene presupuesto programado","No diligenciar, no programo presupuesto"),"")</f>
        <v/>
      </c>
      <c r="AK6" s="649"/>
      <c r="AL6" s="649"/>
      <c r="AM6" s="649"/>
      <c r="AN6" s="649"/>
      <c r="AO6" s="650" t="str">
        <f t="shared" si="4"/>
        <v/>
      </c>
      <c r="AP6" s="449" t="str">
        <f>IFERROR(IF(VLOOKUP($B6,'Matriz de Referencia'!$B$2:$CO$584,'Matriz de Referencia'!CC$1,FALSE)&gt;0,"Diligenciar la vigencia, tiene presupuesto programado","No diligenciar, no programo presupuesto"),"")</f>
        <v/>
      </c>
      <c r="AQ6" s="649"/>
      <c r="AR6" s="649"/>
      <c r="AS6" s="649"/>
      <c r="AT6" s="649"/>
      <c r="AU6" s="650" t="str">
        <f t="shared" si="5"/>
        <v/>
      </c>
      <c r="AV6" s="448" t="str">
        <f t="shared" si="6"/>
        <v/>
      </c>
      <c r="AW6" s="416" t="str">
        <f t="shared" si="7"/>
        <v/>
      </c>
      <c r="AX6" s="455" t="str">
        <f>IF(OR(Y6=0,Y6=""),"",IF(VLOOKUP(B6,'Matriz de Referencia'!$B$2:$CO$584,'Matriz de Referencia'!BB$1,FALSE)=0,"","Digite"))</f>
        <v/>
      </c>
      <c r="AY6" s="456">
        <f>IF(OR(Y6=0,Y6=""),0,IF(VLOOKUP(B6,'Matriz de Referencia'!$B$2:$CO$584,26,FALSE)=0,0,"Digite"))</f>
        <v>0</v>
      </c>
      <c r="AZ6" s="456">
        <f>IF(OR(Y6=0,Y6=""),0,IF(VLOOKUP(B6,'Matriz de Referencia'!$B$2:$CO$584,27,FALSE)=0,0,"Digite"))</f>
        <v>0</v>
      </c>
      <c r="BA6" s="456">
        <f>IF(OR(Y6=0,Y6=""),0,IF(VLOOKUP(B6,'Matriz de Referencia'!$B$2:$CO$584,28,FALSE)=0,0,"Digite"))</f>
        <v>0</v>
      </c>
      <c r="BB6" s="456">
        <f>IF(OR(Y6=0,Y6=""),0,IF(VLOOKUP(B6,'Matriz de Referencia'!$B$2:$CO$584,29,FALSE)=0,0,"Digite"))</f>
        <v>0</v>
      </c>
      <c r="BC6" s="456">
        <f>IF(OR(Y6=0,Y6=""),0,IF(VLOOKUP(B6,'Matriz de Referencia'!$B$2:$CO$584,30,FALSE)=0,0,"Digite"))</f>
        <v>0</v>
      </c>
      <c r="BD6" s="456">
        <f>IF(OR(Y6=0,Y6=""),0,IF(VLOOKUP(B6,'Matriz de Referencia'!$B$2:$CO$584,31,FALSE)=0,0,"Digite"))</f>
        <v>0</v>
      </c>
      <c r="BE6" s="456">
        <f>IF(OR(Y6=0,Y6=""),0,IF(VLOOKUP(B6,'Matriz de Referencia'!$B$2:$CO$584,32,FALSE)=0,0,"Digite"))</f>
        <v>0</v>
      </c>
      <c r="BF6" s="460">
        <f t="shared" si="8"/>
        <v>0</v>
      </c>
      <c r="BG6" s="456">
        <f>IF(OR(Y6=0,Y6=""),0,IF(VLOOKUP(B6,'Matriz de Referencia'!$B$2:$CO$584,34,FALSE)=0,0,"Digite"))</f>
        <v>0</v>
      </c>
      <c r="BH6" s="456">
        <f>IF(OR(Y6=0,Y6=""),0,IF(VLOOKUP(B6,'Matriz de Referencia'!$B$2:$CO$584,35,FALSE)=0,0,"Digite"))</f>
        <v>0</v>
      </c>
      <c r="BI6" s="456">
        <f>IF(OR(Y6=0,Y6=""),0,IF(VLOOKUP(B6,'Matriz de Referencia'!$B$2:$CO$584,36,FALSE)=0,0,"Digite"))</f>
        <v>0</v>
      </c>
      <c r="BJ6" s="457">
        <f t="shared" si="9"/>
        <v>0</v>
      </c>
      <c r="BK6" s="457">
        <f t="shared" si="10"/>
        <v>0</v>
      </c>
      <c r="BL6" s="455">
        <f>IF(OR(Z6=0,Z6=""),0,IF(VLOOKUP(B6,'Matriz de Referencia'!$B$2:$CO$584,25,FALSE)=0,0,"Digite"))</f>
        <v>0</v>
      </c>
      <c r="BM6" s="456">
        <f>IF(OR(Z6=0,Z6=""),0,IF(VLOOKUP(B6,'Matriz de Referencia'!$B$2:$CO$584,26,FALSE)=0,0,"Digite"))</f>
        <v>0</v>
      </c>
      <c r="BN6" s="456">
        <f>IF(OR(Z6=0,Z6=""),0,IF(VLOOKUP(B6,'Matriz de Referencia'!$B$2:$CO$584,27,FALSE)=0,0,"Digite"))</f>
        <v>0</v>
      </c>
      <c r="BO6" s="456">
        <f>IF(OR(Z6=0,Z6=""),0,IF(VLOOKUP(B6,'Matriz de Referencia'!$B$2:$CO$584,28,FALSE)=0,0,"Digite"))</f>
        <v>0</v>
      </c>
      <c r="BP6" s="456">
        <f>IF(OR(Z6=0,Z6=""),0,IF(VLOOKUP(B6,'Matriz de Referencia'!$B$2:$CO$584,29,FALSE)=0,0,"Digite"))</f>
        <v>0</v>
      </c>
      <c r="BQ6" s="456">
        <f>IF(OR(Z6=0,Z6=""),0,IF(VLOOKUP(B6,'Matriz de Referencia'!$B$2:$CO$584,30,FALSE)=0,0,"Digite"))</f>
        <v>0</v>
      </c>
      <c r="BR6" s="456">
        <f>IF(OR(Z6=0,Z6=""),0,IF(VLOOKUP(B6,'Matriz de Referencia'!$B$2:$CO$584,31,FALSE)=0,0,"Digite"))</f>
        <v>0</v>
      </c>
      <c r="BS6" s="456">
        <f>IF(OR(Z6=0,Z6=""),0,IF(VLOOKUP(B6,'Matriz de Referencia'!$B$2:$CO$584,32,FALSE)=0,0,"Digite"))</f>
        <v>0</v>
      </c>
      <c r="BT6" s="457">
        <f t="shared" si="11"/>
        <v>0</v>
      </c>
      <c r="BU6" s="456">
        <f>IF(OR(Z6=0,Z6=""),0,IF(VLOOKUP(B6,'Matriz de Referencia'!$B$2:$CO$584,34,FALSE)=0,0,"Digite"))</f>
        <v>0</v>
      </c>
      <c r="BV6" s="456">
        <f>IF(OR(Z6=0,Z6=""),0,IF(VLOOKUP(B6,'Matriz de Referencia'!$B$2:$CO$584,35,FALSE)=0,0,"Digite"))</f>
        <v>0</v>
      </c>
      <c r="BW6" s="456">
        <f>IF(OR(Z6=0,Z6=""),0,IF(VLOOKUP(B6,'Matriz de Referencia'!$B$2:$CO$584,36,FALSE)=0,0,"Digite"))</f>
        <v>0</v>
      </c>
      <c r="BX6" s="457">
        <f t="shared" si="12"/>
        <v>0</v>
      </c>
      <c r="BY6" s="457">
        <f t="shared" si="13"/>
        <v>0</v>
      </c>
      <c r="BZ6" s="455">
        <f>IF(OR(AA6=0,AA6=""),0,IF(VLOOKUP(B6,'Matriz de Referencia'!$B$2:$CO$584,25,FALSE)=0,0,"Digite"))</f>
        <v>0</v>
      </c>
      <c r="CA6" s="456">
        <f>IF(OR(AA6=0,AA6=""),0,IF(VLOOKUP(B6,'Matriz de Referencia'!$B$2:$CO$584,26,FALSE)=0,0,"Digite"))</f>
        <v>0</v>
      </c>
      <c r="CB6" s="456">
        <f>IF(OR(AA6=0,AA6=""),0,IF(VLOOKUP(B6,'Matriz de Referencia'!$B$2:$CO$584,27,FALSE)=0,0,"Digite"))</f>
        <v>0</v>
      </c>
      <c r="CC6" s="456">
        <f>IF(OR(AA6=0,AA6=""),0,IF(VLOOKUP(B6,'Matriz de Referencia'!$B$2:$CO$584,28,FALSE)=0,0,"Digite"))</f>
        <v>0</v>
      </c>
      <c r="CD6" s="456">
        <f>IF(OR(AA6=0,AA6=""),0,IF(VLOOKUP(B6,'Matriz de Referencia'!$B$2:$CO$584,29,FALSE)=0,0,"Digite"))</f>
        <v>0</v>
      </c>
      <c r="CE6" s="456">
        <f>IF(OR(AA6=0,AA6=""),0,IF(VLOOKUP(B6,'Matriz de Referencia'!$B$2:$CO$584,30,FALSE)=0,0,"Digite"))</f>
        <v>0</v>
      </c>
      <c r="CF6" s="456">
        <f>IF(OR(AA6=0,AA6=""),0,IF(VLOOKUP(B6,'Matriz de Referencia'!$B$2:$CO$584,31,FALSE)=0,0,"Digite"))</f>
        <v>0</v>
      </c>
      <c r="CG6" s="456">
        <f>IF(OR(AA6=0,AA6=""),0,IF(VLOOKUP(B6,'Matriz de Referencia'!$B$2:$CO$584,32,FALSE)=0,0,"Digite"))</f>
        <v>0</v>
      </c>
      <c r="CH6" s="457">
        <f t="shared" si="14"/>
        <v>0</v>
      </c>
      <c r="CI6" s="456">
        <f>IF(OR(AA6=0,AA6=""),0,IF(VLOOKUP(B6,'Matriz de Referencia'!$B$2:$CO$584,34,FALSE)=0,0,"Digite"))</f>
        <v>0</v>
      </c>
      <c r="CJ6" s="456">
        <f>IF(OR(AA6=0,AA6=""),0,IF(VLOOKUP(B6,'Matriz de Referencia'!$B$2:$CO$584,35,FALSE)=0,0,"Digite"))</f>
        <v>0</v>
      </c>
      <c r="CK6" s="456">
        <f>IF(OR(AA6=0,AA6=""),0,IF(VLOOKUP(B6,'Matriz de Referencia'!$B$2:$CO$584,36,FALSE)=0,0,"Digite"))</f>
        <v>0</v>
      </c>
      <c r="CL6" s="457">
        <f t="shared" si="15"/>
        <v>0</v>
      </c>
      <c r="CM6" s="457">
        <f t="shared" si="16"/>
        <v>0</v>
      </c>
      <c r="CN6" s="455">
        <f>IF(OR(AB6=0,AB6=""),0,IF(VLOOKUP(B6,'Matriz de Referencia'!$B$2:$CO$584,25,FALSE)=0,0,"Digite"))</f>
        <v>0</v>
      </c>
      <c r="CO6" s="456">
        <f>IF(OR(AB6=0,AB6=""),0,IF(VLOOKUP(B6,'Matriz de Referencia'!$B$2:$CO$584,26,FALSE)=0,0,"Digite"))</f>
        <v>0</v>
      </c>
      <c r="CP6" s="456">
        <f>IF(OR(AB6=0,AB6=""),0,IF(VLOOKUP(B6,'Matriz de Referencia'!$B$2:$CO$584,27,FALSE)=0,0,"Digite"))</f>
        <v>0</v>
      </c>
      <c r="CQ6" s="456">
        <f>IF(OR(AB6=0,AB6=""),0,IF(VLOOKUP(B6,'Matriz de Referencia'!$B$2:$CO$584,28,FALSE)=0,0,"Digite"))</f>
        <v>0</v>
      </c>
      <c r="CR6" s="456">
        <f>IF(OR(AB6=0,AB6=""),0,IF(VLOOKUP(B6,'Matriz de Referencia'!$B$2:$CO$584,29,FALSE)=0,0,"Digite"))</f>
        <v>0</v>
      </c>
      <c r="CS6" s="456">
        <f>IF(OR(AB6=0,AB6=""),0,IF(VLOOKUP(B6,'Matriz de Referencia'!$B$2:$CO$584,30,FALSE)=0,0,"Digite"))</f>
        <v>0</v>
      </c>
      <c r="CT6" s="456">
        <f>IF(OR(AB6=0,AB6=""),0,IF(VLOOKUP(B6,'Matriz de Referencia'!$B$2:$CO$584,31,FALSE)=0,0,"Digite"))</f>
        <v>0</v>
      </c>
      <c r="CU6" s="456">
        <f>IF(OR(AB6=0,AB6=""),0,IF(VLOOKUP(B6,'Matriz de Referencia'!$B$2:$CO$584,32,FALSE)=0,0,"Digite"))</f>
        <v>0</v>
      </c>
      <c r="CV6" s="457">
        <f t="shared" si="17"/>
        <v>0</v>
      </c>
      <c r="CW6" s="456">
        <f>IF(OR(AB6=0,AB6=""),0,IF(VLOOKUP(B6,'Matriz de Referencia'!$B$2:$CO$584,34,FALSE)=0,0,"Digite"))</f>
        <v>0</v>
      </c>
      <c r="CX6" s="456">
        <f>IF(OR(AB6=0,AB6=""),0,IF(VLOOKUP(B6,'Matriz de Referencia'!$B$2:$CO$584,35,FALSE)=0,0,"Digite"))</f>
        <v>0</v>
      </c>
      <c r="CY6" s="456">
        <f>IF(OR(AB6=0,AB6=""),0,IF(VLOOKUP(B6,'Matriz de Referencia'!$B$2:$CO$584,36,FALSE)=0,0,"Digite"))</f>
        <v>0</v>
      </c>
      <c r="CZ6" s="457">
        <f t="shared" si="18"/>
        <v>0</v>
      </c>
      <c r="DA6" s="457">
        <f t="shared" si="19"/>
        <v>0</v>
      </c>
      <c r="DB6" s="457">
        <f t="shared" si="20"/>
        <v>0</v>
      </c>
      <c r="DC6" s="101" t="str">
        <f>IFERROR(IF(DB6=0,"",IF(VLOOKUP(B6,'Matriz de Referencia'!$B$2:$CO$584,'Matriz de Referencia'!BO$1,FALSE)=DB6,"Techos ok, cotinue","Debe revisar el valor programado")),"")</f>
        <v/>
      </c>
      <c r="DD6" s="453">
        <f>IF(OR(AE6=0,AE6=""),0,IF(VLOOKUP(B6,'Matriz de Referencia'!$B$2:$CO$584,39,FALSE)=0,0,"Digite"))</f>
        <v>0</v>
      </c>
      <c r="DE6" s="454">
        <f>IF(OR(AE6=0,AE6=""),0,IF(VLOOKUP(B6,'Matriz de Referencia'!$B$2:$CO$584,40,FALSE)=0,0,"Digite"))</f>
        <v>0</v>
      </c>
      <c r="DF6" s="454">
        <f>IF(OR(AE6=0,AE6=""),0,IF(VLOOKUP(B6,'Matriz de Referencia'!$B$2:$CO$584,41,FALSE)=0,0,"Digite"))</f>
        <v>0</v>
      </c>
      <c r="DG6" s="454">
        <f>IF(OR(AE6=0,AE6=""),0,IF(VLOOKUP(B6,'Matriz de Referencia'!$B$2:$CO$584,42,FALSE)=0,0,"Digite"))</f>
        <v>0</v>
      </c>
      <c r="DH6" s="454">
        <f>IF(OR(AE6=0,AE6=""),0,IF(VLOOKUP(B6,'Matriz de Referencia'!$B$2:$CO$584,43,FALSE)=0,0,"Digite"))</f>
        <v>0</v>
      </c>
      <c r="DI6" s="454">
        <f>IF(OR(AE6=0,AE6=""),0,IF(VLOOKUP(B6,'Matriz de Referencia'!$B$2:$CO$584,44,FALSE)=0,0,"Digite"))</f>
        <v>0</v>
      </c>
      <c r="DJ6" s="454">
        <f>IF(OR(AE6=0,AE6=""),0,IF(VLOOKUP(B6,'Matriz de Referencia'!$B$2:$CO$584,45,FALSE)=0,0,"Digite"))</f>
        <v>0</v>
      </c>
      <c r="DK6" s="454">
        <f>IF(OR(AE6=0,AE6=""),0,IF(VLOOKUP(B6,'Matriz de Referencia'!$B$2:$CO$584,46,FALSE)=0,0,"Digite"))</f>
        <v>0</v>
      </c>
      <c r="DL6" s="382">
        <f t="shared" si="21"/>
        <v>0</v>
      </c>
      <c r="DM6" s="454">
        <f>IF(OR(AE6=0,AE6=""),0,IF(VLOOKUP(B6,'Matriz de Referencia'!$B$2:$CO$584,48,FALSE)=0,0,"Digite"))</f>
        <v>0</v>
      </c>
      <c r="DN6" s="454">
        <f>IF(OR(AE6=0,AE6=""),0,IF(VLOOKUP(B6,'Matriz de Referencia'!$B$2:$CO$584,49,FALSE)=0,0,"Digite"))</f>
        <v>0</v>
      </c>
      <c r="DO6" s="454">
        <f>IF(OR(AE6=0,AE6=""),0,IF(VLOOKUP(B6,'Matriz de Referencia'!$B$2:$CO$584,50,FALSE)=0,0,"Digite"))</f>
        <v>0</v>
      </c>
      <c r="DP6" s="382">
        <f t="shared" si="22"/>
        <v>0</v>
      </c>
      <c r="DQ6" s="382">
        <f t="shared" si="23"/>
        <v>0</v>
      </c>
      <c r="DR6" s="453">
        <f>IF(OR(AF6=0,AF6=""),0,IF(VLOOKUP(B6,'Matriz de Referencia'!$B$2:$CO$584,39,FALSE)=0,0,"Digite"))</f>
        <v>0</v>
      </c>
      <c r="DS6" s="454">
        <f>IF(OR(AF6=0,AF6=""),0,IF(VLOOKUP(B6,'Matriz de Referencia'!$B$2:$CO$584,40,FALSE)=0,0,"Digite"))</f>
        <v>0</v>
      </c>
      <c r="DT6" s="454">
        <f>IF(OR(AF6=0,AF6=""),0,IF(VLOOKUP(B6,'Matriz de Referencia'!$B$2:$CO$584,41,FALSE)=0,0,"Digite"))</f>
        <v>0</v>
      </c>
      <c r="DU6" s="454">
        <f>IF(OR(AF6=0,AF6=""),0,IF(VLOOKUP(B6,'Matriz de Referencia'!$B$2:$CO$584,42,FALSE)=0,0,"Digite"))</f>
        <v>0</v>
      </c>
      <c r="DV6" s="454">
        <f>IF(OR(AF6=0,AF6=""),0,IF(VLOOKUP(B6,'Matriz de Referencia'!$B$2:$CO$584,43,FALSE)=0,0,"Digite"))</f>
        <v>0</v>
      </c>
      <c r="DW6" s="454">
        <f>IF(OR(AF6=0,AF6=""),0,IF(VLOOKUP(B6,'Matriz de Referencia'!$B$2:$CO$584,44,FALSE)=0,0,"Digite"))</f>
        <v>0</v>
      </c>
      <c r="DX6" s="454">
        <f>IF(OR(AF6=0,AF6=""),0,IF(VLOOKUP(B6,'Matriz de Referencia'!$B$2:$CO$584,45,FALSE)=0,0,"Digite"))</f>
        <v>0</v>
      </c>
      <c r="DY6" s="454">
        <f>IF(OR(AF6=0,AF6=""),0,IF(VLOOKUP(B6,'Matriz de Referencia'!$B$2:$CO$584,46,FALSE)=0,0,"Digite"))</f>
        <v>0</v>
      </c>
      <c r="DZ6" s="382">
        <f t="shared" si="24"/>
        <v>0</v>
      </c>
      <c r="EA6" s="454">
        <f>IF(OR(AF6=0,AF6=""),0,IF(VLOOKUP(B6,'Matriz de Referencia'!$B$2:$CO$584,48,FALSE)=0,0,"Digite"))</f>
        <v>0</v>
      </c>
      <c r="EB6" s="454">
        <f>IF(OR(AF6=0,AF6=""),0,IF(VLOOKUP(B6,'Matriz de Referencia'!$B$2:$CO$584,49,FALSE)=0,0,"Digite"))</f>
        <v>0</v>
      </c>
      <c r="EC6" s="454">
        <f>IF(OR(AF6=0,AF6=""),0,IF(VLOOKUP(B6,'Matriz de Referencia'!$B$2:$CO$584,50,FALSE)=0,0,"Digite"))</f>
        <v>0</v>
      </c>
      <c r="ED6" s="382">
        <f t="shared" si="25"/>
        <v>0</v>
      </c>
      <c r="EE6" s="382">
        <f t="shared" si="26"/>
        <v>0</v>
      </c>
      <c r="EF6" s="453">
        <f>IF(OR(AG6=0,AG6=""),0,IF(VLOOKUP(B6,'Matriz de Referencia'!$B$2:$CO$584,39,FALSE)=0,0,"Digite"))</f>
        <v>0</v>
      </c>
      <c r="EG6" s="454">
        <f>IF(OR(AG6=0,AG6=""),0,IF(VLOOKUP(B6,'Matriz de Referencia'!$B$2:$CO$584,40,FALSE)=0,0,"Digite"))</f>
        <v>0</v>
      </c>
      <c r="EH6" s="454">
        <f>IF(OR(AG6=0,AG6=""),0,IF(VLOOKUP(B6,'Matriz de Referencia'!$B$2:$CO$584,41,FALSE)=0,0,"Digite"))</f>
        <v>0</v>
      </c>
      <c r="EI6" s="454">
        <f>IF(OR(AG6=0,AG6=""),0,IF(VLOOKUP(B6,'Matriz de Referencia'!$B$2:$CO$584,42,FALSE)=0,0,"Digite"))</f>
        <v>0</v>
      </c>
      <c r="EJ6" s="454">
        <f>IF(OR(AG6=0,AG6=""),0,IF(VLOOKUP(B6,'Matriz de Referencia'!$B$2:$CO$584,43,FALSE)=0,0,"Digite"))</f>
        <v>0</v>
      </c>
      <c r="EK6" s="454">
        <f>IF(OR(AG6=0,AG6=""),0,IF(VLOOKUP(B6,'Matriz de Referencia'!$B$2:$CO$584,44,FALSE)=0,0,"Digite"))</f>
        <v>0</v>
      </c>
      <c r="EL6" s="454">
        <f>IF(OR(AG6=0,AG6=""),0,IF(VLOOKUP(B6,'Matriz de Referencia'!$B$2:$CO$584,45,FALSE)=0,0,"Digite"))</f>
        <v>0</v>
      </c>
      <c r="EM6" s="454">
        <f>IF(OR(AG6=0,AG6=""),0,IF(VLOOKUP(B6,'Matriz de Referencia'!$B$2:$CO$584,46,FALSE)=0,0,"Digite"))</f>
        <v>0</v>
      </c>
      <c r="EN6" s="382">
        <f t="shared" si="27"/>
        <v>0</v>
      </c>
      <c r="EO6" s="454">
        <f>IF(OR(AG6=0,AG6=""),0,IF(VLOOKUP(B6,'Matriz de Referencia'!$B$2:$CO$584,48,FALSE)=0,0,"Digite"))</f>
        <v>0</v>
      </c>
      <c r="EP6" s="454">
        <f>IF(OR(AG6=0,AG6=""),0,IF(VLOOKUP(B6,'Matriz de Referencia'!$B$2:$CO$584,49,FALSE)=0,0,"Digite"))</f>
        <v>0</v>
      </c>
      <c r="EQ6" s="454">
        <f>IF(OR(AG6=0,AG6=""),0,IF(VLOOKUP(B6,'Matriz de Referencia'!$B$2:$CO$584,50,FALSE)=0,0,"Digite"))</f>
        <v>0</v>
      </c>
      <c r="ER6" s="382">
        <f t="shared" si="28"/>
        <v>0</v>
      </c>
      <c r="ES6" s="382">
        <f t="shared" si="29"/>
        <v>0</v>
      </c>
      <c r="ET6" s="453">
        <f>IF(OR(AH6=0,AH6=""),0,IF(VLOOKUP(B6,'Matriz de Referencia'!$B$2:$CO$584,39,FALSE)=0,0,"Digite"))</f>
        <v>0</v>
      </c>
      <c r="EU6" s="454">
        <f>IF(OR(AH6=0,AH6=""),0,IF(VLOOKUP(B6,'Matriz de Referencia'!$B$2:$CO$584,40,FALSE)=0,0,"Digite"))</f>
        <v>0</v>
      </c>
      <c r="EV6" s="454">
        <f>IF(OR(AH6=0,AH6=""),0,IF(VLOOKUP(B6,'Matriz de Referencia'!$B$2:$CO$584,41,FALSE)=0,0,"Digite"))</f>
        <v>0</v>
      </c>
      <c r="EW6" s="454">
        <f>IF(OR(AH6=0,AH6=""),0,IF(VLOOKUP(B6,'Matriz de Referencia'!$B$2:$CO$584,42,FALSE)=0,0,"Digite"))</f>
        <v>0</v>
      </c>
      <c r="EX6" s="454">
        <f>IF(OR(AH6=0,AH6=""),0,IF(VLOOKUP(B6,'Matriz de Referencia'!$B$2:$CO$584,43,FALSE)=0,0,"Digite"))</f>
        <v>0</v>
      </c>
      <c r="EY6" s="454">
        <f>IF(OR(AH6=0,AH6=""),0,IF(VLOOKUP(B6,'Matriz de Referencia'!$B$2:$CO$584,44,FALSE)=0,0,"Digite"))</f>
        <v>0</v>
      </c>
      <c r="EZ6" s="454">
        <f>IF(OR(AH6=0,AH6=""),0,IF(VLOOKUP(B6,'Matriz de Referencia'!$B$2:$CO$584,45,FALSE)=0,0,"Digite"))</f>
        <v>0</v>
      </c>
      <c r="FA6" s="454">
        <f>IF(OR(AH6=0,AH6=""),0,IF(VLOOKUP(B6,'Matriz de Referencia'!$B$2:$CO$584,46,FALSE)=0,0,"Digite"))</f>
        <v>0</v>
      </c>
      <c r="FB6" s="382">
        <f t="shared" si="30"/>
        <v>0</v>
      </c>
      <c r="FC6" s="454">
        <f>IF(OR(AH6=0,AH6=""),0,IF(VLOOKUP(B6,'Matriz de Referencia'!$B$2:$CO$584,48,FALSE)=0,0,"Digite"))</f>
        <v>0</v>
      </c>
      <c r="FD6" s="454">
        <f>IF(OR(AH6=0,AH6=""),0,IF(VLOOKUP(B6,'Matriz de Referencia'!$B$2:$CO$584,49,FALSE)=0,0,"Digite"))</f>
        <v>0</v>
      </c>
      <c r="FE6" s="454">
        <f>IF(OR(AH6=0,AH6=""),0,IF(VLOOKUP(B6,'Matriz de Referencia'!$B$2:$CO$584,50,FALSE)=0,0,"Digite"))</f>
        <v>0</v>
      </c>
      <c r="FF6" s="382">
        <f t="shared" si="31"/>
        <v>0</v>
      </c>
      <c r="FG6" s="382">
        <f t="shared" si="32"/>
        <v>0</v>
      </c>
      <c r="FH6" s="382">
        <f t="shared" si="33"/>
        <v>0</v>
      </c>
      <c r="FI6" s="101" t="str">
        <f>IFERROR(IF(FH6=0,"",IF(VLOOKUP(B6,'Matriz de Referencia'!$B$2:$CO$584,52,FALSE)=FH6,"Techos ok, cotinue","Debe revisar el valor programado")),"")</f>
        <v/>
      </c>
      <c r="FJ6" s="453">
        <f>IF(OR(AK6=0,AK6=""),0,IF(VLOOKUP(B6,'Matriz de Referencia'!$B$2:$CO$584,53,FALSE)=0,0,"Digite"))</f>
        <v>0</v>
      </c>
      <c r="FK6" s="454">
        <f>IF(OR(AK6=0,AK6=""),0,IF(VLOOKUP(B6,'Matriz de Referencia'!$B$2:$CO$584,54,FALSE)=0,0,"Digite"))</f>
        <v>0</v>
      </c>
      <c r="FL6" s="454">
        <f>IF(OR(AK6=0,AK6=""),0,IF(VLOOKUP(B6,'Matriz de Referencia'!$B$2:$CO$584,55,FALSE)=0,0,"Digite"))</f>
        <v>0</v>
      </c>
      <c r="FM6" s="454">
        <f>IF(OR(AK6=0,AK6=""),0,IF(VLOOKUP(B6,'Matriz de Referencia'!$B$2:$CO$584,56,FALSE)=0,0,"Digite"))</f>
        <v>0</v>
      </c>
      <c r="FN6" s="454">
        <f>IF(OR(AK6=0,AK6=""),0,IF(VLOOKUP(B6,'Matriz de Referencia'!$B$2:$CO$584,57,FALSE)=0,0,"Digite"))</f>
        <v>0</v>
      </c>
      <c r="FO6" s="454">
        <f>IF(OR(AK6=0,AK6=""),0,IF(VLOOKUP(B6,'Matriz de Referencia'!$B$2:$CO$584,58,FALSE)=0,0,"Digite"))</f>
        <v>0</v>
      </c>
      <c r="FP6" s="454">
        <f>IF(OR(AK6=0,AK6=""),0,IF(VLOOKUP(B6,'Matriz de Referencia'!$B$2:$CO$584,59,FALSE)=0,0,"Digite"))</f>
        <v>0</v>
      </c>
      <c r="FQ6" s="454">
        <f>IF(OR(AK6=0,AK6=""),0,IF(VLOOKUP(B6,'Matriz de Referencia'!$B$2:$CO$584,60,FALSE)=0,0,"Digite"))</f>
        <v>0</v>
      </c>
      <c r="FR6" s="382">
        <f t="shared" si="34"/>
        <v>0</v>
      </c>
      <c r="FS6" s="454">
        <f>IF(OR(AK6=0,AK6=""),0,IF(VLOOKUP(B6,'Matriz de Referencia'!$B$2:$CO$584,62,FALSE)=0,0,"Digite"))</f>
        <v>0</v>
      </c>
      <c r="FT6" s="454">
        <f>IF(OR(AK6=0,AK6=""),0,IF(VLOOKUP(B6,'Matriz de Referencia'!$B$2:$CO$584,63,FALSE)=0,0,"Digite"))</f>
        <v>0</v>
      </c>
      <c r="FU6" s="454">
        <f>IF(OR(AK6=0,AK6=""),0,IF(VLOOKUP(B6,'Matriz de Referencia'!$B$2:$CO$584,64,FALSE)=0,"","Digite"))</f>
        <v>0</v>
      </c>
      <c r="FV6" s="382">
        <f t="shared" si="35"/>
        <v>0</v>
      </c>
      <c r="FW6" s="382">
        <f t="shared" si="36"/>
        <v>0</v>
      </c>
      <c r="FX6" s="453">
        <f>IF(OR(AL6=0,AL6=""),0,IF(VLOOKUP(B6,'Matriz de Referencia'!$B$2:$CO$584,53,FALSE)=0,0,"Digite"))</f>
        <v>0</v>
      </c>
      <c r="FY6" s="454">
        <f>IF(OR(AL6=0,AL6=""),0,IF(VLOOKUP(B6,'Matriz de Referencia'!$B$2:$CO$584,54,FALSE)=0,0,"Digite"))</f>
        <v>0</v>
      </c>
      <c r="FZ6" s="454">
        <f>IF(OR(AL6=0,AL6=""),0,IF(VLOOKUP(B6,'Matriz de Referencia'!$B$2:$CO$584,55,FALSE)=0,0,"Digite"))</f>
        <v>0</v>
      </c>
      <c r="GA6" s="454">
        <f>IF(OR(AL6=0,AL6=""),0,IF(VLOOKUP(B6,'Matriz de Referencia'!$B$2:$CO$584,56,FALSE)=0,0,"Digite"))</f>
        <v>0</v>
      </c>
      <c r="GB6" s="454">
        <f>IF(OR(AL6=0,AL6=""),0,IF(VLOOKUP(B6,'Matriz de Referencia'!$B$2:$CO$584,57,FALSE)=0,0,"Digite"))</f>
        <v>0</v>
      </c>
      <c r="GC6" s="454">
        <f>IF(OR(AL6=0,AL6=""),0,IF(VLOOKUP(B6,'Matriz de Referencia'!$B$2:$CO$584,58,FALSE)=0,0,"Digite"))</f>
        <v>0</v>
      </c>
      <c r="GD6" s="454">
        <f>IF(OR(AL6=0,AL6=""),0,IF(VLOOKUP(B6,'Matriz de Referencia'!$B$2:$CO$584,59,FALSE)=0,0,"Digite"))</f>
        <v>0</v>
      </c>
      <c r="GE6" s="454">
        <f>IF(OR(AL6=0,AL6=""),0,IF(VLOOKUP(B6,'Matriz de Referencia'!$B$2:$CO$584,60,FALSE)=0,0,"Digite"))</f>
        <v>0</v>
      </c>
      <c r="GF6" s="382">
        <f t="shared" si="37"/>
        <v>0</v>
      </c>
      <c r="GG6" s="454">
        <f>IF(OR(AL6=0,AL6=""),0,IF(VLOOKUP(B6,'Matriz de Referencia'!$B$2:$CO$584,62,FALSE)=0,0,"Digite"))</f>
        <v>0</v>
      </c>
      <c r="GH6" s="454">
        <f>IF(OR(AL6=0,AL6=""),0,IF(VLOOKUP(B6,'Matriz de Referencia'!$B$2:$CO$584,63,FALSE)=0,0,"Digite"))</f>
        <v>0</v>
      </c>
      <c r="GI6" s="454">
        <f>IF(OR(AL6=0,AL6=""),0,IF(VLOOKUP(B6,'Matriz de Referencia'!$B$2:$CO$584,64,FALSE)=0,0,"Digite"))</f>
        <v>0</v>
      </c>
      <c r="GJ6" s="382">
        <f t="shared" si="38"/>
        <v>0</v>
      </c>
      <c r="GK6" s="382">
        <f t="shared" si="39"/>
        <v>0</v>
      </c>
      <c r="GL6" s="453">
        <f>IF(OR(AM6=0,AM6=""),0,IF(VLOOKUP(B6,'Matriz de Referencia'!$B$2:$CO$584,53,FALSE)=0,0,"Digite"))</f>
        <v>0</v>
      </c>
      <c r="GM6" s="454">
        <f>IF(OR(AM6=0,AM6=""),0,IF(VLOOKUP(B6,'Matriz de Referencia'!$B$2:$CO$584,54,FALSE)=0,0,"Digite"))</f>
        <v>0</v>
      </c>
      <c r="GN6" s="454">
        <f>IF(OR(AM6=0,AM6=""),0,IF(VLOOKUP(B6,'Matriz de Referencia'!$B$2:$CO$584,55,FALSE)=0,0,"Digite"))</f>
        <v>0</v>
      </c>
      <c r="GO6" s="454">
        <f>IF(OR(AM6=0,AM6=""),0,IF(VLOOKUP(B6,'Matriz de Referencia'!$B$2:$CO$584,56,FALSE)=0,0,"Digite"))</f>
        <v>0</v>
      </c>
      <c r="GP6" s="454">
        <f>IF(OR(AM6=0,AM6=""),0,IF(VLOOKUP(B6,'Matriz de Referencia'!$B$2:$CO$584,57,FALSE)=0,0,"Digite"))</f>
        <v>0</v>
      </c>
      <c r="GQ6" s="454">
        <f>IF(OR(AM6=0,AM6=""),0,IF(VLOOKUP(B6,'Matriz de Referencia'!$B$2:$CO$584,58,FALSE)=0,0,"Digite"))</f>
        <v>0</v>
      </c>
      <c r="GR6" s="454">
        <f>IF(OR(AM6=0,AM6=""),0,IF(VLOOKUP(B6,'Matriz de Referencia'!$B$2:$CO$584,59,FALSE)=0,0,"Digite"))</f>
        <v>0</v>
      </c>
      <c r="GS6" s="454">
        <f>IF(OR(AM6=0,AM6=""),0,IF(VLOOKUP(B6,'Matriz de Referencia'!$B$2:$CO$584,60,FALSE)=0,0,"Digite"))</f>
        <v>0</v>
      </c>
      <c r="GT6" s="382">
        <f t="shared" si="40"/>
        <v>0</v>
      </c>
      <c r="GU6" s="454">
        <f>IF(OR(AM6=0,AM6=""),0,IF(VLOOKUP(B6,'Matriz de Referencia'!$B$2:$CO$584,62,FALSE)=0,0,"Digite"))</f>
        <v>0</v>
      </c>
      <c r="GV6" s="454">
        <f>IF(OR(AM6=0,AM6=""),0,IF(VLOOKUP(B6,'Matriz de Referencia'!$B$2:$CO$584,63,FALSE)=0,0,"Digite"))</f>
        <v>0</v>
      </c>
      <c r="GW6" s="454">
        <f>IF(OR(AM6=0,AM6=""),0,IF(VLOOKUP(B6,'Matriz de Referencia'!$B$2:$CO$584,64,FALSE)=0,0,"Digite"))</f>
        <v>0</v>
      </c>
      <c r="GX6" s="382">
        <f t="shared" si="41"/>
        <v>0</v>
      </c>
      <c r="GY6" s="382">
        <f t="shared" si="42"/>
        <v>0</v>
      </c>
      <c r="GZ6" s="453">
        <f>IF(OR(AN6=0,AN6=""),0,IF(VLOOKUP(B6,'Matriz de Referencia'!$B$2:$CO$584,53,FALSE)=0,0,"Digite"))</f>
        <v>0</v>
      </c>
      <c r="HA6" s="454">
        <f>IF(OR(AN6=0,AN6=""),0,IF(VLOOKUP(B6,'Matriz de Referencia'!$B$2:$CO$584,54,FALSE)=0,0,"Digite"))</f>
        <v>0</v>
      </c>
      <c r="HB6" s="454">
        <f>IF(OR(AN6=0,AN6=""),0,IF(VLOOKUP(B6,'Matriz de Referencia'!$B$2:$CO$584,55,FALSE)=0,0,"Digite"))</f>
        <v>0</v>
      </c>
      <c r="HC6" s="454">
        <f>IF(OR(AN6=0,AN6=""),0,IF(VLOOKUP(B6,'Matriz de Referencia'!$B$2:$CO$584,56,FALSE)=0,0,"Digite"))</f>
        <v>0</v>
      </c>
      <c r="HD6" s="454">
        <f>IF(OR(AN6=0,AN6=""),0,IF(VLOOKUP(B6,'Matriz de Referencia'!$B$2:$CO$584,57,FALSE)=0,0,"Digite"))</f>
        <v>0</v>
      </c>
      <c r="HE6" s="454">
        <f>IF(OR(AN6=0,AN6=""),0,IF(VLOOKUP(B6,'Matriz de Referencia'!$B$2:$CO$584,58,FALSE)=0,0,"Digite"))</f>
        <v>0</v>
      </c>
      <c r="HF6" s="454">
        <f>IF(OR(AN6=0,AN6=""),0,IF(VLOOKUP(B6,'Matriz de Referencia'!$B$2:$CO$584,59,FALSE)=0,0,"Digite"))</f>
        <v>0</v>
      </c>
      <c r="HG6" s="454">
        <f>IF(OR(AN6=0,AN6=""),0,IF(VLOOKUP(B6,'Matriz de Referencia'!$B$2:$CO$584,60,FALSE)=0,0,"Digite"))</f>
        <v>0</v>
      </c>
      <c r="HH6" s="382">
        <f t="shared" si="43"/>
        <v>0</v>
      </c>
      <c r="HI6" s="454">
        <f>IF(OR(AN6=0,AN6=""),0,IF(VLOOKUP(B6,'Matriz de Referencia'!$B$2:$CO$584,62,FALSE)=0,0,"Digite"))</f>
        <v>0</v>
      </c>
      <c r="HJ6" s="454">
        <f>IF(OR(AN6=0,AN6=""),0,IF(VLOOKUP(B6,'Matriz de Referencia'!$B$2:$CO$584,63,FALSE)=0,0,"Digite"))</f>
        <v>0</v>
      </c>
      <c r="HK6" s="454">
        <f>IF(OR(AN6=0,AN6=""),0,IF(VLOOKUP(B6,'Matriz de Referencia'!$B$2:$CO$584,64,FALSE)=0,0,"Digite"))</f>
        <v>0</v>
      </c>
      <c r="HL6" s="382">
        <f t="shared" si="44"/>
        <v>0</v>
      </c>
      <c r="HM6" s="382">
        <f t="shared" si="45"/>
        <v>0</v>
      </c>
      <c r="HN6" s="382">
        <f t="shared" si="46"/>
        <v>0</v>
      </c>
      <c r="HO6" s="101" t="str">
        <f>IFERROR(IF(HN6=0,"",IF(VLOOKUP(B6,'Matriz de Referencia'!$B$2:$CO$584,66,FALSE)=HN6,"Techos ok, cotinue","Debe revisar el valor programado")),"")</f>
        <v/>
      </c>
      <c r="HP6" s="453">
        <f>IF(OR(AQ6=0,AQ6=""),0,IF(VLOOKUP(B6,'Matriz de Referencia'!$B$2:$CO$584,67,FALSE)=0,0,"Digite"))</f>
        <v>0</v>
      </c>
      <c r="HQ6" s="454">
        <f>IF(OR(AQ6=0,AQ6=""),0,IF(VLOOKUP(B6,'Matriz de Referencia'!$B$2:$CO$584,68,FALSE)=0,0,"Digite"))</f>
        <v>0</v>
      </c>
      <c r="HR6" s="454">
        <f>IF(OR(AQ6=0,AQ6=""),0,IF(VLOOKUP(B6,'Matriz de Referencia'!$B$2:$CO$584,69,FALSE)=0,0,"Digite"))</f>
        <v>0</v>
      </c>
      <c r="HS6" s="454">
        <f>IF(OR(AQ6=0,AQ6=""),0,IF(VLOOKUP(B6,'Matriz de Referencia'!$B$2:$CO$584,70,FALSE)=0,0,"Digite"))</f>
        <v>0</v>
      </c>
      <c r="HT6" s="454">
        <f>IF(OR(AQ6=0,AQ6=""),0,IF(VLOOKUP(B6,'Matriz de Referencia'!$B$2:$CO$584,71,FALSE)=0,0,"Digite"))</f>
        <v>0</v>
      </c>
      <c r="HU6" s="454">
        <f>IF(OR(AQ6=0,AQ6=""),0,IF(VLOOKUP(B6,'Matriz de Referencia'!$B$2:$CO$584,72,FALSE)=0,0,"Digite"))</f>
        <v>0</v>
      </c>
      <c r="HV6" s="454">
        <f>IF(OR(AQ6=0,AQ6=""),0,IF(VLOOKUP(B6,'Matriz de Referencia'!$B$2:$CO$584,73,FALSE)=0,0,"Digite"))</f>
        <v>0</v>
      </c>
      <c r="HW6" s="454">
        <f>IF(OR(AQ6=0,AQ6=""),0,IF(VLOOKUP(B6,'Matriz de Referencia'!$B$2:$CO$584,74,FALSE)=0,0,"Digite"))</f>
        <v>0</v>
      </c>
      <c r="HX6" s="382">
        <f t="shared" si="47"/>
        <v>0</v>
      </c>
      <c r="HY6" s="454">
        <f>IF(OR(AQ6=0,AQ6=""),0,IF(VLOOKUP(B6,'Matriz de Referencia'!$B$2:$CO$584,76,FALSE)=0,0,"Digite"))</f>
        <v>0</v>
      </c>
      <c r="HZ6" s="454">
        <f>IF(OR(AQ6=0,AQ6=""),0,IF(VLOOKUP(B6,'Matriz de Referencia'!$B$2:$CO$584,77,FALSE)=0,0,"Digite"))</f>
        <v>0</v>
      </c>
      <c r="IA6" s="454">
        <f>IF(OR(AQ6=0,AQ6=""),0,IF(VLOOKUP(B6,'Matriz de Referencia'!$B$2:$CO$584,78,FALSE)=0,0,"Digite"))</f>
        <v>0</v>
      </c>
      <c r="IB6" s="382">
        <f t="shared" si="48"/>
        <v>0</v>
      </c>
      <c r="IC6" s="382">
        <f t="shared" si="49"/>
        <v>0</v>
      </c>
      <c r="ID6" s="453">
        <f>IF(OR(AR6=0,AR6=""),0,IF(VLOOKUP(B6,'Matriz de Referencia'!$B$2:$CO$584,67,FALSE)=0,0,"Digite"))</f>
        <v>0</v>
      </c>
      <c r="IE6" s="454">
        <f>IF(OR(AR6=0,AR6=""),0,IF(VLOOKUP(B6,'Matriz de Referencia'!$B$2:$CO$584,68,FALSE)=0,0,"Digite"))</f>
        <v>0</v>
      </c>
      <c r="IF6" s="454">
        <f>IF(OR(AR6=0,AR6=""),0,IF(VLOOKUP(B6,'Matriz de Referencia'!$B$2:$CO$584,69,FALSE)=0,0,"Digite"))</f>
        <v>0</v>
      </c>
      <c r="IG6" s="454">
        <f>IF(OR(AR6=0,AR6=""),0,IF(VLOOKUP(B6,'Matriz de Referencia'!$B$2:$CO$584,70,FALSE)=0,0,"Digite"))</f>
        <v>0</v>
      </c>
      <c r="IH6" s="454">
        <f>IF(OR(AR6=0,AR6=""),0,IF(VLOOKUP(B6,'Matriz de Referencia'!$B$2:$CO$584,71,FALSE)=0,0,"Digite"))</f>
        <v>0</v>
      </c>
      <c r="II6" s="454">
        <f>IF(OR(AR6=0,AR6=""),0,IF(VLOOKUP(B6,'Matriz de Referencia'!$B$2:$CO$584,72,FALSE)=0,0,"Digite"))</f>
        <v>0</v>
      </c>
      <c r="IJ6" s="454">
        <f>IF(OR(AR6=0,AR6=""),0,IF(VLOOKUP(B6,'Matriz de Referencia'!$B$2:$CO$584,73,FALSE)=0,0,"Digite"))</f>
        <v>0</v>
      </c>
      <c r="IK6" s="454">
        <f>IF(OR(AR6=0,AR6=""),0,IF(VLOOKUP(B6,'Matriz de Referencia'!$B$2:$CO$584,74,FALSE)=0,0,"Digite"))</f>
        <v>0</v>
      </c>
      <c r="IL6" s="382">
        <f t="shared" si="50"/>
        <v>0</v>
      </c>
      <c r="IM6" s="454">
        <f>IF(OR(AR6=0,AR6=""),0,IF(VLOOKUP(B6,'Matriz de Referencia'!$B$2:$CO$584,76,FALSE)=0,0,"Digite"))</f>
        <v>0</v>
      </c>
      <c r="IN6" s="454">
        <f>IF(OR(AR6=0,AR6=""),0,IF(VLOOKUP(B6,'Matriz de Referencia'!$B$2:$CO$584,77,FALSE)=0,0,"Digite"))</f>
        <v>0</v>
      </c>
      <c r="IO6" s="454">
        <f>IF(OR(AR6=0,AR6=""),0,IF(VLOOKUP(B6,'Matriz de Referencia'!$B$2:$CO$584,78,FALSE)=0,0,"Digite"))</f>
        <v>0</v>
      </c>
      <c r="IP6" s="382">
        <f t="shared" si="51"/>
        <v>0</v>
      </c>
      <c r="IQ6" s="382">
        <f t="shared" si="52"/>
        <v>0</v>
      </c>
      <c r="IR6" s="453">
        <f>IF(OR(AS6=0,AS6=""),0,IF(VLOOKUP(B6,'Matriz de Referencia'!$B$2:$CO$584,67,FALSE)=0,0,"Digite"))</f>
        <v>0</v>
      </c>
      <c r="IS6" s="454">
        <f>IF(OR(AS6=0,AS6=""),0,IF(VLOOKUP(B6,'Matriz de Referencia'!$B$2:$CO$584,68,FALSE)=0,0,"Digite"))</f>
        <v>0</v>
      </c>
      <c r="IT6" s="454">
        <f>IF(OR(AS6=0,AS6=""),0,IF(VLOOKUP(B6,'Matriz de Referencia'!$B$2:$CO$584,69,FALSE)=0,0,"Digite"))</f>
        <v>0</v>
      </c>
      <c r="IU6" s="454">
        <f>IF(OR(AS6=0,AS6=""),0,IF(VLOOKUP(B6,'Matriz de Referencia'!$B$2:$CO$584,70,FALSE)=0,0,"Digite"))</f>
        <v>0</v>
      </c>
      <c r="IV6" s="454">
        <f>IF(OR(AS6=0,AS6=""),0,IF(VLOOKUP(B6,'Matriz de Referencia'!$B$2:$CO$584,71,FALSE)=0,0,"Digite"))</f>
        <v>0</v>
      </c>
      <c r="IW6" s="454">
        <f>IF(OR(AS6=0,AS6=""),0,IF(VLOOKUP(B6,'Matriz de Referencia'!$B$2:$CO$584,72,FALSE)=0,0,"Digite"))</f>
        <v>0</v>
      </c>
      <c r="IX6" s="454">
        <f>IF(OR(AS6=0,AS6=""),0,IF(VLOOKUP(B6,'Matriz de Referencia'!$B$2:$CO$584,73,FALSE)=0,0,"Digite"))</f>
        <v>0</v>
      </c>
      <c r="IY6" s="454">
        <f>IF(OR(AS6=0,AS6=""),0,IF(VLOOKUP(B6,'Matriz de Referencia'!$B$2:$CO$584,74,FALSE)=0,0,"Digite"))</f>
        <v>0</v>
      </c>
      <c r="IZ6" s="382">
        <f t="shared" si="53"/>
        <v>0</v>
      </c>
      <c r="JA6" s="454">
        <f>IF(OR(AS6=0,AS6=""),0,IF(VLOOKUP(B6,'Matriz de Referencia'!$B$2:$CO$584,76,FALSE)=0,0,"Digite"))</f>
        <v>0</v>
      </c>
      <c r="JB6" s="454">
        <f>IF(OR(AS6=0,AS6=""),0,IF(VLOOKUP(B6,'Matriz de Referencia'!$B$2:$CO$584,77,FALSE)=0,0,"Digite"))</f>
        <v>0</v>
      </c>
      <c r="JC6" s="454">
        <f>IF(OR(AS6=0,AS6=""),0,IF(VLOOKUP(B6,'Matriz de Referencia'!$B$2:$CO$584,78,FALSE)=0,0,"Digite"))</f>
        <v>0</v>
      </c>
      <c r="JD6" s="382">
        <f t="shared" si="54"/>
        <v>0</v>
      </c>
      <c r="JE6" s="382">
        <f t="shared" si="55"/>
        <v>0</v>
      </c>
      <c r="JF6" s="453">
        <f>IF(OR(AT6=0,AT6=""),0,IF(VLOOKUP(B6,'Matriz de Referencia'!$B$2:$CO$584,67,FALSE)=0,0,"Digite"))</f>
        <v>0</v>
      </c>
      <c r="JG6" s="454">
        <f>IF(OR(AT6=0,AT6=""),0,IF(VLOOKUP(B6,'Matriz de Referencia'!$B$2:$CO$584,68,FALSE)=0,0,"Digite"))</f>
        <v>0</v>
      </c>
      <c r="JH6" s="454">
        <f>IF(OR(AT6=0,AT6=""),0,IF(VLOOKUP(B6,'Matriz de Referencia'!$B$2:$CO$584,69,FALSE)=0,0,"Digite"))</f>
        <v>0</v>
      </c>
      <c r="JI6" s="454">
        <f>IF(OR(AT6=0,AT6=""),0,IF(VLOOKUP(B6,'Matriz de Referencia'!$B$2:$CO$584,70,FALSE)=0,0,"Digite"))</f>
        <v>0</v>
      </c>
      <c r="JJ6" s="454">
        <f>IF(OR(AT6=0,AT6=""),0,IF(VLOOKUP(B6,'Matriz de Referencia'!$B$2:$CO$584,71,FALSE)=0,0,"Digite"))</f>
        <v>0</v>
      </c>
      <c r="JK6" s="454">
        <f>IF(OR(AT6=0,AT6=""),0,IF(VLOOKUP(B6,'Matriz de Referencia'!$B$2:$CO$584,72,FALSE)=0,0,"Digite"))</f>
        <v>0</v>
      </c>
      <c r="JL6" s="454">
        <f>IF(OR(AT6=0,AT6=""),0,IF(VLOOKUP(B6,'Matriz de Referencia'!$B$2:$CO$584,73,FALSE)=0,0,"Digite"))</f>
        <v>0</v>
      </c>
      <c r="JM6" s="454">
        <f>IF(OR(AT6=0,AT6=""),0,IF(VLOOKUP(B6,'Matriz de Referencia'!$B$2:$CO$584,74,FALSE)=0,0,"Digite"))</f>
        <v>0</v>
      </c>
      <c r="JN6" s="382">
        <f t="shared" si="56"/>
        <v>0</v>
      </c>
      <c r="JO6" s="454">
        <f>IF(OR(AT6=0,AT6=""),0,IF(VLOOKUP(B6,'Matriz de Referencia'!$B$2:$CO$584,76,FALSE)=0,0,"Digite"))</f>
        <v>0</v>
      </c>
      <c r="JP6" s="454">
        <f>IF(OR(AT6=0,AT6=""),0,IF(VLOOKUP(B6,'Matriz de Referencia'!$B$2:$CO$584,77,FALSE)=0,0,"Digite"))</f>
        <v>0</v>
      </c>
      <c r="JQ6" s="454">
        <f>IF(OR(AT6=0,AT6=""),0,IF(VLOOKUP(B6,'Matriz de Referencia'!$B$2:$CO$584,78,FALSE)=0,0,"Digite"))</f>
        <v>0</v>
      </c>
      <c r="JR6" s="382">
        <f t="shared" si="57"/>
        <v>0</v>
      </c>
      <c r="JS6" s="382">
        <f t="shared" si="58"/>
        <v>0</v>
      </c>
      <c r="JT6" s="382">
        <f t="shared" si="59"/>
        <v>0</v>
      </c>
      <c r="JU6" s="101" t="str">
        <f>IFERROR(IF(JT6=0,"",IF(VLOOKUP(B6,'Matriz de Referencia'!$B$2:$CO$584,80,FALSE)=JT6,"Techos ok, cotinue","Debe revisar el valor programado")),"")</f>
        <v/>
      </c>
      <c r="JV6" s="382">
        <f t="shared" si="60"/>
        <v>0</v>
      </c>
    </row>
    <row r="7" spans="1:282">
      <c r="S7" s="568"/>
      <c r="T7" s="414"/>
      <c r="U7" s="661" t="str">
        <f t="shared" si="1"/>
        <v>Dimensión_</v>
      </c>
      <c r="V7" s="414"/>
      <c r="W7" s="568"/>
      <c r="X7" s="449" t="str">
        <f>IFERROR(IF(VLOOKUP(B7,'Matriz de Referencia'!$B$2:$CO$584,'Matriz de Referencia'!AM$1,FALSE)&gt;0,"Diligenciar la vigencia, tiene presupuesto programado","No diligenciar, no programo presupuesto"),"")</f>
        <v/>
      </c>
      <c r="Y7" s="649"/>
      <c r="Z7" s="649"/>
      <c r="AA7" s="649"/>
      <c r="AB7" s="649"/>
      <c r="AC7" s="650" t="str">
        <f t="shared" si="2"/>
        <v/>
      </c>
      <c r="AD7" s="449" t="str">
        <f>IFERROR(IF(VLOOKUP($B7,'Matriz de Referencia'!$B$2:$CO$584,'Matriz de Referencia'!BA$1,FALSE)&gt;0,"Diligenciar la vigencia, tiene presupuesto programado","No diligenciar, no programo presupuesto"),"")</f>
        <v/>
      </c>
      <c r="AE7" s="649"/>
      <c r="AF7" s="649"/>
      <c r="AG7" s="649"/>
      <c r="AH7" s="649"/>
      <c r="AI7" s="650" t="str">
        <f t="shared" si="3"/>
        <v/>
      </c>
      <c r="AJ7" s="449" t="str">
        <f>IFERROR(IF(VLOOKUP($B7,'Matriz de Referencia'!$B$2:$CO$584,'Matriz de Referencia'!BO$1,FALSE)&gt;0,"Diligenciar la vigencia, tiene presupuesto programado","No diligenciar, no programo presupuesto"),"")</f>
        <v/>
      </c>
      <c r="AK7" s="649"/>
      <c r="AL7" s="649"/>
      <c r="AM7" s="649"/>
      <c r="AN7" s="649"/>
      <c r="AO7" s="650" t="str">
        <f t="shared" si="4"/>
        <v/>
      </c>
      <c r="AP7" s="449" t="str">
        <f>IFERROR(IF(VLOOKUP($B7,'Matriz de Referencia'!$B$2:$CO$584,'Matriz de Referencia'!CC$1,FALSE)&gt;0,"Diligenciar la vigencia, tiene presupuesto programado","No diligenciar, no programo presupuesto"),"")</f>
        <v/>
      </c>
      <c r="AQ7" s="649"/>
      <c r="AR7" s="649"/>
      <c r="AS7" s="649"/>
      <c r="AT7" s="649"/>
      <c r="AU7" s="650" t="str">
        <f t="shared" si="5"/>
        <v/>
      </c>
      <c r="AV7" s="448" t="str">
        <f t="shared" si="6"/>
        <v/>
      </c>
      <c r="AW7" s="416" t="str">
        <f t="shared" si="7"/>
        <v/>
      </c>
      <c r="AX7" s="455" t="str">
        <f>IF(OR(Y7=0,Y7=""),"",IF(VLOOKUP(B7,'Matriz de Referencia'!$B$2:$CO$584,'Matriz de Referencia'!BB$1,FALSE)=0,"","Digite"))</f>
        <v/>
      </c>
      <c r="AY7" s="456">
        <f>IF(OR(Y7=0,Y7=""),0,IF(VLOOKUP(B7,'Matriz de Referencia'!$B$2:$CO$584,26,FALSE)=0,0,"Digite"))</f>
        <v>0</v>
      </c>
      <c r="AZ7" s="456">
        <f>IF(OR(Y7=0,Y7=""),0,IF(VLOOKUP(B7,'Matriz de Referencia'!$B$2:$CO$584,27,FALSE)=0,0,"Digite"))</f>
        <v>0</v>
      </c>
      <c r="BA7" s="456">
        <f>IF(OR(Y7=0,Y7=""),0,IF(VLOOKUP(B7,'Matriz de Referencia'!$B$2:$CO$584,28,FALSE)=0,0,"Digite"))</f>
        <v>0</v>
      </c>
      <c r="BB7" s="456">
        <f>IF(OR(Y7=0,Y7=""),0,IF(VLOOKUP(B7,'Matriz de Referencia'!$B$2:$CO$584,29,FALSE)=0,0,"Digite"))</f>
        <v>0</v>
      </c>
      <c r="BC7" s="456">
        <f>IF(OR(Y7=0,Y7=""),0,IF(VLOOKUP(B7,'Matriz de Referencia'!$B$2:$CO$584,30,FALSE)=0,0,"Digite"))</f>
        <v>0</v>
      </c>
      <c r="BD7" s="456">
        <f>IF(OR(Y7=0,Y7=""),0,IF(VLOOKUP(B7,'Matriz de Referencia'!$B$2:$CO$584,31,FALSE)=0,0,"Digite"))</f>
        <v>0</v>
      </c>
      <c r="BE7" s="456">
        <f>IF(OR(Y7=0,Y7=""),0,IF(VLOOKUP(B7,'Matriz de Referencia'!$B$2:$CO$584,32,FALSE)=0,0,"Digite"))</f>
        <v>0</v>
      </c>
      <c r="BF7" s="460">
        <f t="shared" si="8"/>
        <v>0</v>
      </c>
      <c r="BG7" s="456">
        <f>IF(OR(Y7=0,Y7=""),0,IF(VLOOKUP(B7,'Matriz de Referencia'!$B$2:$CO$584,34,FALSE)=0,0,"Digite"))</f>
        <v>0</v>
      </c>
      <c r="BH7" s="456">
        <f>IF(OR(Y7=0,Y7=""),0,IF(VLOOKUP(B7,'Matriz de Referencia'!$B$2:$CO$584,35,FALSE)=0,0,"Digite"))</f>
        <v>0</v>
      </c>
      <c r="BI7" s="456">
        <f>IF(OR(Y7=0,Y7=""),0,IF(VLOOKUP(B7,'Matriz de Referencia'!$B$2:$CO$584,36,FALSE)=0,0,"Digite"))</f>
        <v>0</v>
      </c>
      <c r="BJ7" s="457">
        <f t="shared" si="9"/>
        <v>0</v>
      </c>
      <c r="BK7" s="457">
        <f t="shared" si="10"/>
        <v>0</v>
      </c>
      <c r="BL7" s="455">
        <f>IF(OR(Z7=0,Z7=""),0,IF(VLOOKUP(B7,'Matriz de Referencia'!$B$2:$CO$584,25,FALSE)=0,0,"Digite"))</f>
        <v>0</v>
      </c>
      <c r="BM7" s="456">
        <f>IF(OR(Z7=0,Z7=""),0,IF(VLOOKUP(B7,'Matriz de Referencia'!$B$2:$CO$584,26,FALSE)=0,0,"Digite"))</f>
        <v>0</v>
      </c>
      <c r="BN7" s="456">
        <f>IF(OR(Z7=0,Z7=""),0,IF(VLOOKUP(B7,'Matriz de Referencia'!$B$2:$CO$584,27,FALSE)=0,0,"Digite"))</f>
        <v>0</v>
      </c>
      <c r="BO7" s="456">
        <f>IF(OR(Z7=0,Z7=""),0,IF(VLOOKUP(B7,'Matriz de Referencia'!$B$2:$CO$584,28,FALSE)=0,0,"Digite"))</f>
        <v>0</v>
      </c>
      <c r="BP7" s="456">
        <f>IF(OR(Z7=0,Z7=""),0,IF(VLOOKUP(B7,'Matriz de Referencia'!$B$2:$CO$584,29,FALSE)=0,0,"Digite"))</f>
        <v>0</v>
      </c>
      <c r="BQ7" s="456">
        <f>IF(OR(Z7=0,Z7=""),0,IF(VLOOKUP(B7,'Matriz de Referencia'!$B$2:$CO$584,30,FALSE)=0,0,"Digite"))</f>
        <v>0</v>
      </c>
      <c r="BR7" s="456">
        <f>IF(OR(Z7=0,Z7=""),0,IF(VLOOKUP(B7,'Matriz de Referencia'!$B$2:$CO$584,31,FALSE)=0,0,"Digite"))</f>
        <v>0</v>
      </c>
      <c r="BS7" s="456">
        <f>IF(OR(Z7=0,Z7=""),0,IF(VLOOKUP(B7,'Matriz de Referencia'!$B$2:$CO$584,32,FALSE)=0,0,"Digite"))</f>
        <v>0</v>
      </c>
      <c r="BT7" s="457">
        <f t="shared" si="11"/>
        <v>0</v>
      </c>
      <c r="BU7" s="456">
        <f>IF(OR(Z7=0,Z7=""),0,IF(VLOOKUP(B7,'Matriz de Referencia'!$B$2:$CO$584,34,FALSE)=0,0,"Digite"))</f>
        <v>0</v>
      </c>
      <c r="BV7" s="456">
        <f>IF(OR(Z7=0,Z7=""),0,IF(VLOOKUP(B7,'Matriz de Referencia'!$B$2:$CO$584,35,FALSE)=0,0,"Digite"))</f>
        <v>0</v>
      </c>
      <c r="BW7" s="456">
        <f>IF(OR(Z7=0,Z7=""),0,IF(VLOOKUP(B7,'Matriz de Referencia'!$B$2:$CO$584,36,FALSE)=0,0,"Digite"))</f>
        <v>0</v>
      </c>
      <c r="BX7" s="457">
        <f t="shared" si="12"/>
        <v>0</v>
      </c>
      <c r="BY7" s="457">
        <f t="shared" si="13"/>
        <v>0</v>
      </c>
      <c r="BZ7" s="455">
        <f>IF(OR(AA7=0,AA7=""),0,IF(VLOOKUP(B7,'Matriz de Referencia'!$B$2:$CO$584,25,FALSE)=0,0,"Digite"))</f>
        <v>0</v>
      </c>
      <c r="CA7" s="456">
        <f>IF(OR(AA7=0,AA7=""),0,IF(VLOOKUP(B7,'Matriz de Referencia'!$B$2:$CO$584,26,FALSE)=0,0,"Digite"))</f>
        <v>0</v>
      </c>
      <c r="CB7" s="456">
        <f>IF(OR(AA7=0,AA7=""),0,IF(VLOOKUP(B7,'Matriz de Referencia'!$B$2:$CO$584,27,FALSE)=0,0,"Digite"))</f>
        <v>0</v>
      </c>
      <c r="CC7" s="456">
        <f>IF(OR(AA7=0,AA7=""),0,IF(VLOOKUP(B7,'Matriz de Referencia'!$B$2:$CO$584,28,FALSE)=0,0,"Digite"))</f>
        <v>0</v>
      </c>
      <c r="CD7" s="456">
        <f>IF(OR(AA7=0,AA7=""),0,IF(VLOOKUP(B7,'Matriz de Referencia'!$B$2:$CO$584,29,FALSE)=0,0,"Digite"))</f>
        <v>0</v>
      </c>
      <c r="CE7" s="456">
        <f>IF(OR(AA7=0,AA7=""),0,IF(VLOOKUP(B7,'Matriz de Referencia'!$B$2:$CO$584,30,FALSE)=0,0,"Digite"))</f>
        <v>0</v>
      </c>
      <c r="CF7" s="456">
        <f>IF(OR(AA7=0,AA7=""),0,IF(VLOOKUP(B7,'Matriz de Referencia'!$B$2:$CO$584,31,FALSE)=0,0,"Digite"))</f>
        <v>0</v>
      </c>
      <c r="CG7" s="456">
        <f>IF(OR(AA7=0,AA7=""),0,IF(VLOOKUP(B7,'Matriz de Referencia'!$B$2:$CO$584,32,FALSE)=0,0,"Digite"))</f>
        <v>0</v>
      </c>
      <c r="CH7" s="457">
        <f t="shared" si="14"/>
        <v>0</v>
      </c>
      <c r="CI7" s="456">
        <f>IF(OR(AA7=0,AA7=""),0,IF(VLOOKUP(B7,'Matriz de Referencia'!$B$2:$CO$584,34,FALSE)=0,0,"Digite"))</f>
        <v>0</v>
      </c>
      <c r="CJ7" s="456">
        <f>IF(OR(AA7=0,AA7=""),0,IF(VLOOKUP(B7,'Matriz de Referencia'!$B$2:$CO$584,35,FALSE)=0,0,"Digite"))</f>
        <v>0</v>
      </c>
      <c r="CK7" s="456">
        <f>IF(OR(AA7=0,AA7=""),0,IF(VLOOKUP(B7,'Matriz de Referencia'!$B$2:$CO$584,36,FALSE)=0,0,"Digite"))</f>
        <v>0</v>
      </c>
      <c r="CL7" s="457">
        <f t="shared" si="15"/>
        <v>0</v>
      </c>
      <c r="CM7" s="457">
        <f t="shared" si="16"/>
        <v>0</v>
      </c>
      <c r="CN7" s="455">
        <f>IF(OR(AB7=0,AB7=""),0,IF(VLOOKUP(B7,'Matriz de Referencia'!$B$2:$CO$584,25,FALSE)=0,0,"Digite"))</f>
        <v>0</v>
      </c>
      <c r="CO7" s="456">
        <f>IF(OR(AB7=0,AB7=""),0,IF(VLOOKUP(B7,'Matriz de Referencia'!$B$2:$CO$584,26,FALSE)=0,0,"Digite"))</f>
        <v>0</v>
      </c>
      <c r="CP7" s="456">
        <f>IF(OR(AB7=0,AB7=""),0,IF(VLOOKUP(B7,'Matriz de Referencia'!$B$2:$CO$584,27,FALSE)=0,0,"Digite"))</f>
        <v>0</v>
      </c>
      <c r="CQ7" s="456">
        <f>IF(OR(AB7=0,AB7=""),0,IF(VLOOKUP(B7,'Matriz de Referencia'!$B$2:$CO$584,28,FALSE)=0,0,"Digite"))</f>
        <v>0</v>
      </c>
      <c r="CR7" s="456">
        <f>IF(OR(AB7=0,AB7=""),0,IF(VLOOKUP(B7,'Matriz de Referencia'!$B$2:$CO$584,29,FALSE)=0,0,"Digite"))</f>
        <v>0</v>
      </c>
      <c r="CS7" s="456">
        <f>IF(OR(AB7=0,AB7=""),0,IF(VLOOKUP(B7,'Matriz de Referencia'!$B$2:$CO$584,30,FALSE)=0,0,"Digite"))</f>
        <v>0</v>
      </c>
      <c r="CT7" s="456">
        <f>IF(OR(AB7=0,AB7=""),0,IF(VLOOKUP(B7,'Matriz de Referencia'!$B$2:$CO$584,31,FALSE)=0,0,"Digite"))</f>
        <v>0</v>
      </c>
      <c r="CU7" s="456">
        <f>IF(OR(AB7=0,AB7=""),0,IF(VLOOKUP(B7,'Matriz de Referencia'!$B$2:$CO$584,32,FALSE)=0,0,"Digite"))</f>
        <v>0</v>
      </c>
      <c r="CV7" s="457">
        <f t="shared" si="17"/>
        <v>0</v>
      </c>
      <c r="CW7" s="456">
        <f>IF(OR(AB7=0,AB7=""),0,IF(VLOOKUP(B7,'Matriz de Referencia'!$B$2:$CO$584,34,FALSE)=0,0,"Digite"))</f>
        <v>0</v>
      </c>
      <c r="CX7" s="456">
        <f>IF(OR(AB7=0,AB7=""),0,IF(VLOOKUP(B7,'Matriz de Referencia'!$B$2:$CO$584,35,FALSE)=0,0,"Digite"))</f>
        <v>0</v>
      </c>
      <c r="CY7" s="456">
        <f>IF(OR(AB7=0,AB7=""),0,IF(VLOOKUP(B7,'Matriz de Referencia'!$B$2:$CO$584,36,FALSE)=0,0,"Digite"))</f>
        <v>0</v>
      </c>
      <c r="CZ7" s="457">
        <f t="shared" si="18"/>
        <v>0</v>
      </c>
      <c r="DA7" s="457">
        <f t="shared" si="19"/>
        <v>0</v>
      </c>
      <c r="DB7" s="457">
        <f t="shared" si="20"/>
        <v>0</v>
      </c>
      <c r="DC7" s="101" t="str">
        <f>IFERROR(IF(DB7=0,"",IF(VLOOKUP(B7,'Matriz de Referencia'!$B$2:$CO$584,'Matriz de Referencia'!BO$1,FALSE)=DB7,"Techos ok, cotinue","Debe revisar el valor programado")),"")</f>
        <v/>
      </c>
      <c r="DD7" s="453">
        <f>IF(OR(AE7=0,AE7=""),0,IF(VLOOKUP(B7,'Matriz de Referencia'!$B$2:$CO$584,39,FALSE)=0,0,"Digite"))</f>
        <v>0</v>
      </c>
      <c r="DE7" s="454">
        <f>IF(OR(AE7=0,AE7=""),0,IF(VLOOKUP(B7,'Matriz de Referencia'!$B$2:$CO$584,40,FALSE)=0,0,"Digite"))</f>
        <v>0</v>
      </c>
      <c r="DF7" s="454">
        <f>IF(OR(AE7=0,AE7=""),0,IF(VLOOKUP(B7,'Matriz de Referencia'!$B$2:$CO$584,41,FALSE)=0,0,"Digite"))</f>
        <v>0</v>
      </c>
      <c r="DG7" s="454">
        <f>IF(OR(AE7=0,AE7=""),0,IF(VLOOKUP(B7,'Matriz de Referencia'!$B$2:$CO$584,42,FALSE)=0,0,"Digite"))</f>
        <v>0</v>
      </c>
      <c r="DH7" s="454">
        <f>IF(OR(AE7=0,AE7=""),0,IF(VLOOKUP(B7,'Matriz de Referencia'!$B$2:$CO$584,43,FALSE)=0,0,"Digite"))</f>
        <v>0</v>
      </c>
      <c r="DI7" s="454">
        <f>IF(OR(AE7=0,AE7=""),0,IF(VLOOKUP(B7,'Matriz de Referencia'!$B$2:$CO$584,44,FALSE)=0,0,"Digite"))</f>
        <v>0</v>
      </c>
      <c r="DJ7" s="454">
        <f>IF(OR(AE7=0,AE7=""),0,IF(VLOOKUP(B7,'Matriz de Referencia'!$B$2:$CO$584,45,FALSE)=0,0,"Digite"))</f>
        <v>0</v>
      </c>
      <c r="DK7" s="454">
        <f>IF(OR(AE7=0,AE7=""),0,IF(VLOOKUP(B7,'Matriz de Referencia'!$B$2:$CO$584,46,FALSE)=0,0,"Digite"))</f>
        <v>0</v>
      </c>
      <c r="DL7" s="382">
        <f t="shared" si="21"/>
        <v>0</v>
      </c>
      <c r="DM7" s="454">
        <f>IF(OR(AE7=0,AE7=""),0,IF(VLOOKUP(B7,'Matriz de Referencia'!$B$2:$CO$584,48,FALSE)=0,0,"Digite"))</f>
        <v>0</v>
      </c>
      <c r="DN7" s="454">
        <f>IF(OR(AE7=0,AE7=""),0,IF(VLOOKUP(B7,'Matriz de Referencia'!$B$2:$CO$584,49,FALSE)=0,0,"Digite"))</f>
        <v>0</v>
      </c>
      <c r="DO7" s="454">
        <f>IF(OR(AE7=0,AE7=""),0,IF(VLOOKUP(B7,'Matriz de Referencia'!$B$2:$CO$584,50,FALSE)=0,0,"Digite"))</f>
        <v>0</v>
      </c>
      <c r="DP7" s="382">
        <f t="shared" si="22"/>
        <v>0</v>
      </c>
      <c r="DQ7" s="382">
        <f t="shared" si="23"/>
        <v>0</v>
      </c>
      <c r="DR7" s="453">
        <f>IF(OR(AF7=0,AF7=""),0,IF(VLOOKUP(B7,'Matriz de Referencia'!$B$2:$CO$584,39,FALSE)=0,0,"Digite"))</f>
        <v>0</v>
      </c>
      <c r="DS7" s="454">
        <f>IF(OR(AF7=0,AF7=""),0,IF(VLOOKUP(B7,'Matriz de Referencia'!$B$2:$CO$584,40,FALSE)=0,0,"Digite"))</f>
        <v>0</v>
      </c>
      <c r="DT7" s="454">
        <f>IF(OR(AF7=0,AF7=""),0,IF(VLOOKUP(B7,'Matriz de Referencia'!$B$2:$CO$584,41,FALSE)=0,0,"Digite"))</f>
        <v>0</v>
      </c>
      <c r="DU7" s="454">
        <f>IF(OR(AF7=0,AF7=""),0,IF(VLOOKUP(B7,'Matriz de Referencia'!$B$2:$CO$584,42,FALSE)=0,0,"Digite"))</f>
        <v>0</v>
      </c>
      <c r="DV7" s="454">
        <f>IF(OR(AF7=0,AF7=""),0,IF(VLOOKUP(B7,'Matriz de Referencia'!$B$2:$CO$584,43,FALSE)=0,0,"Digite"))</f>
        <v>0</v>
      </c>
      <c r="DW7" s="454">
        <f>IF(OR(AF7=0,AF7=""),0,IF(VLOOKUP(B7,'Matriz de Referencia'!$B$2:$CO$584,44,FALSE)=0,0,"Digite"))</f>
        <v>0</v>
      </c>
      <c r="DX7" s="454">
        <f>IF(OR(AF7=0,AF7=""),0,IF(VLOOKUP(B7,'Matriz de Referencia'!$B$2:$CO$584,45,FALSE)=0,0,"Digite"))</f>
        <v>0</v>
      </c>
      <c r="DY7" s="454">
        <f>IF(OR(AF7=0,AF7=""),0,IF(VLOOKUP(B7,'Matriz de Referencia'!$B$2:$CO$584,46,FALSE)=0,0,"Digite"))</f>
        <v>0</v>
      </c>
      <c r="DZ7" s="382">
        <f t="shared" si="24"/>
        <v>0</v>
      </c>
      <c r="EA7" s="454">
        <f>IF(OR(AF7=0,AF7=""),0,IF(VLOOKUP(B7,'Matriz de Referencia'!$B$2:$CO$584,48,FALSE)=0,0,"Digite"))</f>
        <v>0</v>
      </c>
      <c r="EB7" s="454">
        <f>IF(OR(AF7=0,AF7=""),0,IF(VLOOKUP(B7,'Matriz de Referencia'!$B$2:$CO$584,49,FALSE)=0,0,"Digite"))</f>
        <v>0</v>
      </c>
      <c r="EC7" s="454">
        <f>IF(OR(AF7=0,AF7=""),0,IF(VLOOKUP(B7,'Matriz de Referencia'!$B$2:$CO$584,50,FALSE)=0,0,"Digite"))</f>
        <v>0</v>
      </c>
      <c r="ED7" s="382">
        <f t="shared" si="25"/>
        <v>0</v>
      </c>
      <c r="EE7" s="382">
        <f t="shared" si="26"/>
        <v>0</v>
      </c>
      <c r="EF7" s="453">
        <f>IF(OR(AG7=0,AG7=""),0,IF(VLOOKUP(B7,'Matriz de Referencia'!$B$2:$CO$584,39,FALSE)=0,0,"Digite"))</f>
        <v>0</v>
      </c>
      <c r="EG7" s="454">
        <f>IF(OR(AG7=0,AG7=""),0,IF(VLOOKUP(B7,'Matriz de Referencia'!$B$2:$CO$584,40,FALSE)=0,0,"Digite"))</f>
        <v>0</v>
      </c>
      <c r="EH7" s="454">
        <f>IF(OR(AG7=0,AG7=""),0,IF(VLOOKUP(B7,'Matriz de Referencia'!$B$2:$CO$584,41,FALSE)=0,0,"Digite"))</f>
        <v>0</v>
      </c>
      <c r="EI7" s="454">
        <f>IF(OR(AG7=0,AG7=""),0,IF(VLOOKUP(B7,'Matriz de Referencia'!$B$2:$CO$584,42,FALSE)=0,0,"Digite"))</f>
        <v>0</v>
      </c>
      <c r="EJ7" s="454">
        <f>IF(OR(AG7=0,AG7=""),0,IF(VLOOKUP(B7,'Matriz de Referencia'!$B$2:$CO$584,43,FALSE)=0,0,"Digite"))</f>
        <v>0</v>
      </c>
      <c r="EK7" s="454">
        <f>IF(OR(AG7=0,AG7=""),0,IF(VLOOKUP(B7,'Matriz de Referencia'!$B$2:$CO$584,44,FALSE)=0,0,"Digite"))</f>
        <v>0</v>
      </c>
      <c r="EL7" s="454">
        <f>IF(OR(AG7=0,AG7=""),0,IF(VLOOKUP(B7,'Matriz de Referencia'!$B$2:$CO$584,45,FALSE)=0,0,"Digite"))</f>
        <v>0</v>
      </c>
      <c r="EM7" s="454">
        <f>IF(OR(AG7=0,AG7=""),0,IF(VLOOKUP(B7,'Matriz de Referencia'!$B$2:$CO$584,46,FALSE)=0,0,"Digite"))</f>
        <v>0</v>
      </c>
      <c r="EN7" s="382">
        <f t="shared" si="27"/>
        <v>0</v>
      </c>
      <c r="EO7" s="454">
        <f>IF(OR(AG7=0,AG7=""),0,IF(VLOOKUP(B7,'Matriz de Referencia'!$B$2:$CO$584,48,FALSE)=0,0,"Digite"))</f>
        <v>0</v>
      </c>
      <c r="EP7" s="454">
        <f>IF(OR(AG7=0,AG7=""),0,IF(VLOOKUP(B7,'Matriz de Referencia'!$B$2:$CO$584,49,FALSE)=0,0,"Digite"))</f>
        <v>0</v>
      </c>
      <c r="EQ7" s="454">
        <f>IF(OR(AG7=0,AG7=""),0,IF(VLOOKUP(B7,'Matriz de Referencia'!$B$2:$CO$584,50,FALSE)=0,0,"Digite"))</f>
        <v>0</v>
      </c>
      <c r="ER7" s="382">
        <f t="shared" si="28"/>
        <v>0</v>
      </c>
      <c r="ES7" s="382">
        <f t="shared" si="29"/>
        <v>0</v>
      </c>
      <c r="ET7" s="453">
        <f>IF(OR(AH7=0,AH7=""),0,IF(VLOOKUP(B7,'Matriz de Referencia'!$B$2:$CO$584,39,FALSE)=0,0,"Digite"))</f>
        <v>0</v>
      </c>
      <c r="EU7" s="454">
        <f>IF(OR(AH7=0,AH7=""),0,IF(VLOOKUP(B7,'Matriz de Referencia'!$B$2:$CO$584,40,FALSE)=0,0,"Digite"))</f>
        <v>0</v>
      </c>
      <c r="EV7" s="454">
        <f>IF(OR(AH7=0,AH7=""),0,IF(VLOOKUP(B7,'Matriz de Referencia'!$B$2:$CO$584,41,FALSE)=0,0,"Digite"))</f>
        <v>0</v>
      </c>
      <c r="EW7" s="454">
        <f>IF(OR(AH7=0,AH7=""),0,IF(VLOOKUP(B7,'Matriz de Referencia'!$B$2:$CO$584,42,FALSE)=0,0,"Digite"))</f>
        <v>0</v>
      </c>
      <c r="EX7" s="454">
        <f>IF(OR(AH7=0,AH7=""),0,IF(VLOOKUP(B7,'Matriz de Referencia'!$B$2:$CO$584,43,FALSE)=0,0,"Digite"))</f>
        <v>0</v>
      </c>
      <c r="EY7" s="454">
        <f>IF(OR(AH7=0,AH7=""),0,IF(VLOOKUP(B7,'Matriz de Referencia'!$B$2:$CO$584,44,FALSE)=0,0,"Digite"))</f>
        <v>0</v>
      </c>
      <c r="EZ7" s="454">
        <f>IF(OR(AH7=0,AH7=""),0,IF(VLOOKUP(B7,'Matriz de Referencia'!$B$2:$CO$584,45,FALSE)=0,0,"Digite"))</f>
        <v>0</v>
      </c>
      <c r="FA7" s="454">
        <f>IF(OR(AH7=0,AH7=""),0,IF(VLOOKUP(B7,'Matriz de Referencia'!$B$2:$CO$584,46,FALSE)=0,0,"Digite"))</f>
        <v>0</v>
      </c>
      <c r="FB7" s="382">
        <f t="shared" si="30"/>
        <v>0</v>
      </c>
      <c r="FC7" s="454">
        <f>IF(OR(AH7=0,AH7=""),0,IF(VLOOKUP(B7,'Matriz de Referencia'!$B$2:$CO$584,48,FALSE)=0,0,"Digite"))</f>
        <v>0</v>
      </c>
      <c r="FD7" s="454">
        <f>IF(OR(AH7=0,AH7=""),0,IF(VLOOKUP(B7,'Matriz de Referencia'!$B$2:$CO$584,49,FALSE)=0,0,"Digite"))</f>
        <v>0</v>
      </c>
      <c r="FE7" s="454">
        <f>IF(OR(AH7=0,AH7=""),0,IF(VLOOKUP(B7,'Matriz de Referencia'!$B$2:$CO$584,50,FALSE)=0,0,"Digite"))</f>
        <v>0</v>
      </c>
      <c r="FF7" s="382">
        <f t="shared" si="31"/>
        <v>0</v>
      </c>
      <c r="FG7" s="382">
        <f t="shared" si="32"/>
        <v>0</v>
      </c>
      <c r="FH7" s="382">
        <f t="shared" si="33"/>
        <v>0</v>
      </c>
      <c r="FI7" s="101" t="str">
        <f>IFERROR(IF(FH7=0,"",IF(VLOOKUP(B7,'Matriz de Referencia'!$B$2:$CO$584,52,FALSE)=FH7,"Techos ok, cotinue","Debe revisar el valor programado")),"")</f>
        <v/>
      </c>
      <c r="FJ7" s="453">
        <f>IF(OR(AK7=0,AK7=""),0,IF(VLOOKUP(B7,'Matriz de Referencia'!$B$2:$CO$584,53,FALSE)=0,0,"Digite"))</f>
        <v>0</v>
      </c>
      <c r="FK7" s="454">
        <f>IF(OR(AK7=0,AK7=""),0,IF(VLOOKUP(B7,'Matriz de Referencia'!$B$2:$CO$584,54,FALSE)=0,0,"Digite"))</f>
        <v>0</v>
      </c>
      <c r="FL7" s="454">
        <f>IF(OR(AK7=0,AK7=""),0,IF(VLOOKUP(B7,'Matriz de Referencia'!$B$2:$CO$584,55,FALSE)=0,0,"Digite"))</f>
        <v>0</v>
      </c>
      <c r="FM7" s="454">
        <f>IF(OR(AK7=0,AK7=""),0,IF(VLOOKUP(B7,'Matriz de Referencia'!$B$2:$CO$584,56,FALSE)=0,0,"Digite"))</f>
        <v>0</v>
      </c>
      <c r="FN7" s="454">
        <f>IF(OR(AK7=0,AK7=""),0,IF(VLOOKUP(B7,'Matriz de Referencia'!$B$2:$CO$584,57,FALSE)=0,0,"Digite"))</f>
        <v>0</v>
      </c>
      <c r="FO7" s="454">
        <f>IF(OR(AK7=0,AK7=""),0,IF(VLOOKUP(B7,'Matriz de Referencia'!$B$2:$CO$584,58,FALSE)=0,0,"Digite"))</f>
        <v>0</v>
      </c>
      <c r="FP7" s="454">
        <f>IF(OR(AK7=0,AK7=""),0,IF(VLOOKUP(B7,'Matriz de Referencia'!$B$2:$CO$584,59,FALSE)=0,0,"Digite"))</f>
        <v>0</v>
      </c>
      <c r="FQ7" s="454">
        <f>IF(OR(AK7=0,AK7=""),0,IF(VLOOKUP(B7,'Matriz de Referencia'!$B$2:$CO$584,60,FALSE)=0,0,"Digite"))</f>
        <v>0</v>
      </c>
      <c r="FR7" s="382">
        <f t="shared" si="34"/>
        <v>0</v>
      </c>
      <c r="FS7" s="454">
        <f>IF(OR(AK7=0,AK7=""),0,IF(VLOOKUP(B7,'Matriz de Referencia'!$B$2:$CO$584,62,FALSE)=0,0,"Digite"))</f>
        <v>0</v>
      </c>
      <c r="FT7" s="454">
        <f>IF(OR(AK7=0,AK7=""),0,IF(VLOOKUP(B7,'Matriz de Referencia'!$B$2:$CO$584,63,FALSE)=0,0,"Digite"))</f>
        <v>0</v>
      </c>
      <c r="FU7" s="454">
        <f>IF(OR(AK7=0,AK7=""),0,IF(VLOOKUP(B7,'Matriz de Referencia'!$B$2:$CO$584,64,FALSE)=0,"","Digite"))</f>
        <v>0</v>
      </c>
      <c r="FV7" s="382">
        <f t="shared" si="35"/>
        <v>0</v>
      </c>
      <c r="FW7" s="382">
        <f t="shared" si="36"/>
        <v>0</v>
      </c>
      <c r="FX7" s="453">
        <f>IF(OR(AL7=0,AL7=""),0,IF(VLOOKUP(B7,'Matriz de Referencia'!$B$2:$CO$584,53,FALSE)=0,0,"Digite"))</f>
        <v>0</v>
      </c>
      <c r="FY7" s="454">
        <f>IF(OR(AL7=0,AL7=""),0,IF(VLOOKUP(B7,'Matriz de Referencia'!$B$2:$CO$584,54,FALSE)=0,0,"Digite"))</f>
        <v>0</v>
      </c>
      <c r="FZ7" s="454">
        <f>IF(OR(AL7=0,AL7=""),0,IF(VLOOKUP(B7,'Matriz de Referencia'!$B$2:$CO$584,55,FALSE)=0,0,"Digite"))</f>
        <v>0</v>
      </c>
      <c r="GA7" s="454">
        <f>IF(OR(AL7=0,AL7=""),0,IF(VLOOKUP(B7,'Matriz de Referencia'!$B$2:$CO$584,56,FALSE)=0,0,"Digite"))</f>
        <v>0</v>
      </c>
      <c r="GB7" s="454">
        <f>IF(OR(AL7=0,AL7=""),0,IF(VLOOKUP(B7,'Matriz de Referencia'!$B$2:$CO$584,57,FALSE)=0,0,"Digite"))</f>
        <v>0</v>
      </c>
      <c r="GC7" s="454">
        <f>IF(OR(AL7=0,AL7=""),0,IF(VLOOKUP(B7,'Matriz de Referencia'!$B$2:$CO$584,58,FALSE)=0,0,"Digite"))</f>
        <v>0</v>
      </c>
      <c r="GD7" s="454">
        <f>IF(OR(AL7=0,AL7=""),0,IF(VLOOKUP(B7,'Matriz de Referencia'!$B$2:$CO$584,59,FALSE)=0,0,"Digite"))</f>
        <v>0</v>
      </c>
      <c r="GE7" s="454">
        <f>IF(OR(AL7=0,AL7=""),0,IF(VLOOKUP(B7,'Matriz de Referencia'!$B$2:$CO$584,60,FALSE)=0,0,"Digite"))</f>
        <v>0</v>
      </c>
      <c r="GF7" s="382">
        <f t="shared" si="37"/>
        <v>0</v>
      </c>
      <c r="GG7" s="454">
        <f>IF(OR(AL7=0,AL7=""),0,IF(VLOOKUP(B7,'Matriz de Referencia'!$B$2:$CO$584,62,FALSE)=0,0,"Digite"))</f>
        <v>0</v>
      </c>
      <c r="GH7" s="454">
        <f>IF(OR(AL7=0,AL7=""),0,IF(VLOOKUP(B7,'Matriz de Referencia'!$B$2:$CO$584,63,FALSE)=0,0,"Digite"))</f>
        <v>0</v>
      </c>
      <c r="GI7" s="454">
        <f>IF(OR(AL7=0,AL7=""),0,IF(VLOOKUP(B7,'Matriz de Referencia'!$B$2:$CO$584,64,FALSE)=0,0,"Digite"))</f>
        <v>0</v>
      </c>
      <c r="GJ7" s="382">
        <f t="shared" si="38"/>
        <v>0</v>
      </c>
      <c r="GK7" s="382">
        <f t="shared" si="39"/>
        <v>0</v>
      </c>
      <c r="GL7" s="453">
        <f>IF(OR(AM7=0,AM7=""),0,IF(VLOOKUP(B7,'Matriz de Referencia'!$B$2:$CO$584,53,FALSE)=0,0,"Digite"))</f>
        <v>0</v>
      </c>
      <c r="GM7" s="454">
        <f>IF(OR(AM7=0,AM7=""),0,IF(VLOOKUP(B7,'Matriz de Referencia'!$B$2:$CO$584,54,FALSE)=0,0,"Digite"))</f>
        <v>0</v>
      </c>
      <c r="GN7" s="454">
        <f>IF(OR(AM7=0,AM7=""),0,IF(VLOOKUP(B7,'Matriz de Referencia'!$B$2:$CO$584,55,FALSE)=0,0,"Digite"))</f>
        <v>0</v>
      </c>
      <c r="GO7" s="454">
        <f>IF(OR(AM7=0,AM7=""),0,IF(VLOOKUP(B7,'Matriz de Referencia'!$B$2:$CO$584,56,FALSE)=0,0,"Digite"))</f>
        <v>0</v>
      </c>
      <c r="GP7" s="454">
        <f>IF(OR(AM7=0,AM7=""),0,IF(VLOOKUP(B7,'Matriz de Referencia'!$B$2:$CO$584,57,FALSE)=0,0,"Digite"))</f>
        <v>0</v>
      </c>
      <c r="GQ7" s="454">
        <f>IF(OR(AM7=0,AM7=""),0,IF(VLOOKUP(B7,'Matriz de Referencia'!$B$2:$CO$584,58,FALSE)=0,0,"Digite"))</f>
        <v>0</v>
      </c>
      <c r="GR7" s="454">
        <f>IF(OR(AM7=0,AM7=""),0,IF(VLOOKUP(B7,'Matriz de Referencia'!$B$2:$CO$584,59,FALSE)=0,0,"Digite"))</f>
        <v>0</v>
      </c>
      <c r="GS7" s="454">
        <f>IF(OR(AM7=0,AM7=""),0,IF(VLOOKUP(B7,'Matriz de Referencia'!$B$2:$CO$584,60,FALSE)=0,0,"Digite"))</f>
        <v>0</v>
      </c>
      <c r="GT7" s="382">
        <f t="shared" si="40"/>
        <v>0</v>
      </c>
      <c r="GU7" s="454">
        <f>IF(OR(AM7=0,AM7=""),0,IF(VLOOKUP(B7,'Matriz de Referencia'!$B$2:$CO$584,62,FALSE)=0,0,"Digite"))</f>
        <v>0</v>
      </c>
      <c r="GV7" s="454">
        <f>IF(OR(AM7=0,AM7=""),0,IF(VLOOKUP(B7,'Matriz de Referencia'!$B$2:$CO$584,63,FALSE)=0,0,"Digite"))</f>
        <v>0</v>
      </c>
      <c r="GW7" s="454">
        <f>IF(OR(AM7=0,AM7=""),0,IF(VLOOKUP(B7,'Matriz de Referencia'!$B$2:$CO$584,64,FALSE)=0,0,"Digite"))</f>
        <v>0</v>
      </c>
      <c r="GX7" s="382">
        <f t="shared" si="41"/>
        <v>0</v>
      </c>
      <c r="GY7" s="382">
        <f t="shared" si="42"/>
        <v>0</v>
      </c>
      <c r="GZ7" s="453">
        <f>IF(OR(AN7=0,AN7=""),0,IF(VLOOKUP(B7,'Matriz de Referencia'!$B$2:$CO$584,53,FALSE)=0,0,"Digite"))</f>
        <v>0</v>
      </c>
      <c r="HA7" s="454">
        <f>IF(OR(AN7=0,AN7=""),0,IF(VLOOKUP(B7,'Matriz de Referencia'!$B$2:$CO$584,54,FALSE)=0,0,"Digite"))</f>
        <v>0</v>
      </c>
      <c r="HB7" s="454">
        <f>IF(OR(AN7=0,AN7=""),0,IF(VLOOKUP(B7,'Matriz de Referencia'!$B$2:$CO$584,55,FALSE)=0,0,"Digite"))</f>
        <v>0</v>
      </c>
      <c r="HC7" s="454">
        <f>IF(OR(AN7=0,AN7=""),0,IF(VLOOKUP(B7,'Matriz de Referencia'!$B$2:$CO$584,56,FALSE)=0,0,"Digite"))</f>
        <v>0</v>
      </c>
      <c r="HD7" s="454">
        <f>IF(OR(AN7=0,AN7=""),0,IF(VLOOKUP(B7,'Matriz de Referencia'!$B$2:$CO$584,57,FALSE)=0,0,"Digite"))</f>
        <v>0</v>
      </c>
      <c r="HE7" s="454">
        <f>IF(OR(AN7=0,AN7=""),0,IF(VLOOKUP(B7,'Matriz de Referencia'!$B$2:$CO$584,58,FALSE)=0,0,"Digite"))</f>
        <v>0</v>
      </c>
      <c r="HF7" s="454">
        <f>IF(OR(AN7=0,AN7=""),0,IF(VLOOKUP(B7,'Matriz de Referencia'!$B$2:$CO$584,59,FALSE)=0,0,"Digite"))</f>
        <v>0</v>
      </c>
      <c r="HG7" s="454">
        <f>IF(OR(AN7=0,AN7=""),0,IF(VLOOKUP(B7,'Matriz de Referencia'!$B$2:$CO$584,60,FALSE)=0,0,"Digite"))</f>
        <v>0</v>
      </c>
      <c r="HH7" s="382">
        <f t="shared" si="43"/>
        <v>0</v>
      </c>
      <c r="HI7" s="454">
        <f>IF(OR(AN7=0,AN7=""),0,IF(VLOOKUP(B7,'Matriz de Referencia'!$B$2:$CO$584,62,FALSE)=0,0,"Digite"))</f>
        <v>0</v>
      </c>
      <c r="HJ7" s="454">
        <f>IF(OR(AN7=0,AN7=""),0,IF(VLOOKUP(B7,'Matriz de Referencia'!$B$2:$CO$584,63,FALSE)=0,0,"Digite"))</f>
        <v>0</v>
      </c>
      <c r="HK7" s="454">
        <f>IF(OR(AN7=0,AN7=""),0,IF(VLOOKUP(B7,'Matriz de Referencia'!$B$2:$CO$584,64,FALSE)=0,0,"Digite"))</f>
        <v>0</v>
      </c>
      <c r="HL7" s="382">
        <f t="shared" si="44"/>
        <v>0</v>
      </c>
      <c r="HM7" s="382">
        <f t="shared" si="45"/>
        <v>0</v>
      </c>
      <c r="HN7" s="382">
        <f t="shared" si="46"/>
        <v>0</v>
      </c>
      <c r="HO7" s="101" t="str">
        <f>IFERROR(IF(HN7=0,"",IF(VLOOKUP(B7,'Matriz de Referencia'!$B$2:$CO$584,66,FALSE)=HN7,"Techos ok, cotinue","Debe revisar el valor programado")),"")</f>
        <v/>
      </c>
      <c r="HP7" s="453">
        <f>IF(OR(AQ7=0,AQ7=""),0,IF(VLOOKUP(B7,'Matriz de Referencia'!$B$2:$CO$584,67,FALSE)=0,0,"Digite"))</f>
        <v>0</v>
      </c>
      <c r="HQ7" s="454">
        <f>IF(OR(AQ7=0,AQ7=""),0,IF(VLOOKUP(B7,'Matriz de Referencia'!$B$2:$CO$584,68,FALSE)=0,0,"Digite"))</f>
        <v>0</v>
      </c>
      <c r="HR7" s="454">
        <f>IF(OR(AQ7=0,AQ7=""),0,IF(VLOOKUP(B7,'Matriz de Referencia'!$B$2:$CO$584,69,FALSE)=0,0,"Digite"))</f>
        <v>0</v>
      </c>
      <c r="HS7" s="454">
        <f>IF(OR(AQ7=0,AQ7=""),0,IF(VLOOKUP(B7,'Matriz de Referencia'!$B$2:$CO$584,70,FALSE)=0,0,"Digite"))</f>
        <v>0</v>
      </c>
      <c r="HT7" s="454">
        <f>IF(OR(AQ7=0,AQ7=""),0,IF(VLOOKUP(B7,'Matriz de Referencia'!$B$2:$CO$584,71,FALSE)=0,0,"Digite"))</f>
        <v>0</v>
      </c>
      <c r="HU7" s="454">
        <f>IF(OR(AQ7=0,AQ7=""),0,IF(VLOOKUP(B7,'Matriz de Referencia'!$B$2:$CO$584,72,FALSE)=0,0,"Digite"))</f>
        <v>0</v>
      </c>
      <c r="HV7" s="454">
        <f>IF(OR(AQ7=0,AQ7=""),0,IF(VLOOKUP(B7,'Matriz de Referencia'!$B$2:$CO$584,73,FALSE)=0,0,"Digite"))</f>
        <v>0</v>
      </c>
      <c r="HW7" s="454">
        <f>IF(OR(AQ7=0,AQ7=""),0,IF(VLOOKUP(B7,'Matriz de Referencia'!$B$2:$CO$584,74,FALSE)=0,0,"Digite"))</f>
        <v>0</v>
      </c>
      <c r="HX7" s="382">
        <f t="shared" si="47"/>
        <v>0</v>
      </c>
      <c r="HY7" s="454">
        <f>IF(OR(AQ7=0,AQ7=""),0,IF(VLOOKUP(B7,'Matriz de Referencia'!$B$2:$CO$584,76,FALSE)=0,0,"Digite"))</f>
        <v>0</v>
      </c>
      <c r="HZ7" s="454">
        <f>IF(OR(AQ7=0,AQ7=""),0,IF(VLOOKUP(B7,'Matriz de Referencia'!$B$2:$CO$584,77,FALSE)=0,0,"Digite"))</f>
        <v>0</v>
      </c>
      <c r="IA7" s="454">
        <f>IF(OR(AQ7=0,AQ7=""),0,IF(VLOOKUP(B7,'Matriz de Referencia'!$B$2:$CO$584,78,FALSE)=0,0,"Digite"))</f>
        <v>0</v>
      </c>
      <c r="IB7" s="382">
        <f t="shared" si="48"/>
        <v>0</v>
      </c>
      <c r="IC7" s="382">
        <f t="shared" si="49"/>
        <v>0</v>
      </c>
      <c r="ID7" s="453">
        <f>IF(OR(AR7=0,AR7=""),0,IF(VLOOKUP(B7,'Matriz de Referencia'!$B$2:$CO$584,67,FALSE)=0,0,"Digite"))</f>
        <v>0</v>
      </c>
      <c r="IE7" s="454">
        <f>IF(OR(AR7=0,AR7=""),0,IF(VLOOKUP(B7,'Matriz de Referencia'!$B$2:$CO$584,68,FALSE)=0,0,"Digite"))</f>
        <v>0</v>
      </c>
      <c r="IF7" s="454">
        <f>IF(OR(AR7=0,AR7=""),0,IF(VLOOKUP(B7,'Matriz de Referencia'!$B$2:$CO$584,69,FALSE)=0,0,"Digite"))</f>
        <v>0</v>
      </c>
      <c r="IG7" s="454">
        <f>IF(OR(AR7=0,AR7=""),0,IF(VLOOKUP(B7,'Matriz de Referencia'!$B$2:$CO$584,70,FALSE)=0,0,"Digite"))</f>
        <v>0</v>
      </c>
      <c r="IH7" s="454">
        <f>IF(OR(AR7=0,AR7=""),0,IF(VLOOKUP(B7,'Matriz de Referencia'!$B$2:$CO$584,71,FALSE)=0,0,"Digite"))</f>
        <v>0</v>
      </c>
      <c r="II7" s="454">
        <f>IF(OR(AR7=0,AR7=""),0,IF(VLOOKUP(B7,'Matriz de Referencia'!$B$2:$CO$584,72,FALSE)=0,0,"Digite"))</f>
        <v>0</v>
      </c>
      <c r="IJ7" s="454">
        <f>IF(OR(AR7=0,AR7=""),0,IF(VLOOKUP(B7,'Matriz de Referencia'!$B$2:$CO$584,73,FALSE)=0,0,"Digite"))</f>
        <v>0</v>
      </c>
      <c r="IK7" s="454">
        <f>IF(OR(AR7=0,AR7=""),0,IF(VLOOKUP(B7,'Matriz de Referencia'!$B$2:$CO$584,74,FALSE)=0,0,"Digite"))</f>
        <v>0</v>
      </c>
      <c r="IL7" s="382">
        <f t="shared" si="50"/>
        <v>0</v>
      </c>
      <c r="IM7" s="454">
        <f>IF(OR(AR7=0,AR7=""),0,IF(VLOOKUP(B7,'Matriz de Referencia'!$B$2:$CO$584,76,FALSE)=0,0,"Digite"))</f>
        <v>0</v>
      </c>
      <c r="IN7" s="454">
        <f>IF(OR(AR7=0,AR7=""),0,IF(VLOOKUP(B7,'Matriz de Referencia'!$B$2:$CO$584,77,FALSE)=0,0,"Digite"))</f>
        <v>0</v>
      </c>
      <c r="IO7" s="454">
        <f>IF(OR(AR7=0,AR7=""),0,IF(VLOOKUP(B7,'Matriz de Referencia'!$B$2:$CO$584,78,FALSE)=0,0,"Digite"))</f>
        <v>0</v>
      </c>
      <c r="IP7" s="382">
        <f t="shared" si="51"/>
        <v>0</v>
      </c>
      <c r="IQ7" s="382">
        <f t="shared" si="52"/>
        <v>0</v>
      </c>
      <c r="IR7" s="453">
        <f>IF(OR(AS7=0,AS7=""),0,IF(VLOOKUP(B7,'Matriz de Referencia'!$B$2:$CO$584,67,FALSE)=0,0,"Digite"))</f>
        <v>0</v>
      </c>
      <c r="IS7" s="454">
        <f>IF(OR(AS7=0,AS7=""),0,IF(VLOOKUP(B7,'Matriz de Referencia'!$B$2:$CO$584,68,FALSE)=0,0,"Digite"))</f>
        <v>0</v>
      </c>
      <c r="IT7" s="454">
        <f>IF(OR(AS7=0,AS7=""),0,IF(VLOOKUP(B7,'Matriz de Referencia'!$B$2:$CO$584,69,FALSE)=0,0,"Digite"))</f>
        <v>0</v>
      </c>
      <c r="IU7" s="454">
        <f>IF(OR(AS7=0,AS7=""),0,IF(VLOOKUP(B7,'Matriz de Referencia'!$B$2:$CO$584,70,FALSE)=0,0,"Digite"))</f>
        <v>0</v>
      </c>
      <c r="IV7" s="454">
        <f>IF(OR(AS7=0,AS7=""),0,IF(VLOOKUP(B7,'Matriz de Referencia'!$B$2:$CO$584,71,FALSE)=0,0,"Digite"))</f>
        <v>0</v>
      </c>
      <c r="IW7" s="454">
        <f>IF(OR(AS7=0,AS7=""),0,IF(VLOOKUP(B7,'Matriz de Referencia'!$B$2:$CO$584,72,FALSE)=0,0,"Digite"))</f>
        <v>0</v>
      </c>
      <c r="IX7" s="454">
        <f>IF(OR(AS7=0,AS7=""),0,IF(VLOOKUP(B7,'Matriz de Referencia'!$B$2:$CO$584,73,FALSE)=0,0,"Digite"))</f>
        <v>0</v>
      </c>
      <c r="IY7" s="454">
        <f>IF(OR(AS7=0,AS7=""),0,IF(VLOOKUP(B7,'Matriz de Referencia'!$B$2:$CO$584,74,FALSE)=0,0,"Digite"))</f>
        <v>0</v>
      </c>
      <c r="IZ7" s="382">
        <f t="shared" si="53"/>
        <v>0</v>
      </c>
      <c r="JA7" s="454">
        <f>IF(OR(AS7=0,AS7=""),0,IF(VLOOKUP(B7,'Matriz de Referencia'!$B$2:$CO$584,76,FALSE)=0,0,"Digite"))</f>
        <v>0</v>
      </c>
      <c r="JB7" s="454">
        <f>IF(OR(AS7=0,AS7=""),0,IF(VLOOKUP(B7,'Matriz de Referencia'!$B$2:$CO$584,77,FALSE)=0,0,"Digite"))</f>
        <v>0</v>
      </c>
      <c r="JC7" s="454">
        <f>IF(OR(AS7=0,AS7=""),0,IF(VLOOKUP(B7,'Matriz de Referencia'!$B$2:$CO$584,78,FALSE)=0,0,"Digite"))</f>
        <v>0</v>
      </c>
      <c r="JD7" s="382">
        <f t="shared" si="54"/>
        <v>0</v>
      </c>
      <c r="JE7" s="382">
        <f t="shared" si="55"/>
        <v>0</v>
      </c>
      <c r="JF7" s="453">
        <f>IF(OR(AT7=0,AT7=""),0,IF(VLOOKUP(B7,'Matriz de Referencia'!$B$2:$CO$584,67,FALSE)=0,0,"Digite"))</f>
        <v>0</v>
      </c>
      <c r="JG7" s="454">
        <f>IF(OR(AT7=0,AT7=""),0,IF(VLOOKUP(B7,'Matriz de Referencia'!$B$2:$CO$584,68,FALSE)=0,0,"Digite"))</f>
        <v>0</v>
      </c>
      <c r="JH7" s="454">
        <f>IF(OR(AT7=0,AT7=""),0,IF(VLOOKUP(B7,'Matriz de Referencia'!$B$2:$CO$584,69,FALSE)=0,0,"Digite"))</f>
        <v>0</v>
      </c>
      <c r="JI7" s="454">
        <f>IF(OR(AT7=0,AT7=""),0,IF(VLOOKUP(B7,'Matriz de Referencia'!$B$2:$CO$584,70,FALSE)=0,0,"Digite"))</f>
        <v>0</v>
      </c>
      <c r="JJ7" s="454">
        <f>IF(OR(AT7=0,AT7=""),0,IF(VLOOKUP(B7,'Matriz de Referencia'!$B$2:$CO$584,71,FALSE)=0,0,"Digite"))</f>
        <v>0</v>
      </c>
      <c r="JK7" s="454">
        <f>IF(OR(AT7=0,AT7=""),0,IF(VLOOKUP(B7,'Matriz de Referencia'!$B$2:$CO$584,72,FALSE)=0,0,"Digite"))</f>
        <v>0</v>
      </c>
      <c r="JL7" s="454">
        <f>IF(OR(AT7=0,AT7=""),0,IF(VLOOKUP(B7,'Matriz de Referencia'!$B$2:$CO$584,73,FALSE)=0,0,"Digite"))</f>
        <v>0</v>
      </c>
      <c r="JM7" s="454">
        <f>IF(OR(AT7=0,AT7=""),0,IF(VLOOKUP(B7,'Matriz de Referencia'!$B$2:$CO$584,74,FALSE)=0,0,"Digite"))</f>
        <v>0</v>
      </c>
      <c r="JN7" s="382">
        <f t="shared" si="56"/>
        <v>0</v>
      </c>
      <c r="JO7" s="454">
        <f>IF(OR(AT7=0,AT7=""),0,IF(VLOOKUP(B7,'Matriz de Referencia'!$B$2:$CO$584,76,FALSE)=0,0,"Digite"))</f>
        <v>0</v>
      </c>
      <c r="JP7" s="454">
        <f>IF(OR(AT7=0,AT7=""),0,IF(VLOOKUP(B7,'Matriz de Referencia'!$B$2:$CO$584,77,FALSE)=0,0,"Digite"))</f>
        <v>0</v>
      </c>
      <c r="JQ7" s="454">
        <f>IF(OR(AT7=0,AT7=""),0,IF(VLOOKUP(B7,'Matriz de Referencia'!$B$2:$CO$584,78,FALSE)=0,0,"Digite"))</f>
        <v>0</v>
      </c>
      <c r="JR7" s="382">
        <f t="shared" si="57"/>
        <v>0</v>
      </c>
      <c r="JS7" s="382">
        <f t="shared" si="58"/>
        <v>0</v>
      </c>
      <c r="JT7" s="382">
        <f t="shared" si="59"/>
        <v>0</v>
      </c>
      <c r="JU7" s="101" t="str">
        <f>IFERROR(IF(JT7=0,"",IF(VLOOKUP(B7,'Matriz de Referencia'!$B$2:$CO$584,80,FALSE)=JT7,"Techos ok, cotinue","Debe revisar el valor programado")),"")</f>
        <v/>
      </c>
      <c r="JV7" s="382">
        <f t="shared" si="60"/>
        <v>0</v>
      </c>
    </row>
    <row r="8" spans="1:282">
      <c r="S8" s="568"/>
      <c r="T8" s="414"/>
      <c r="U8" s="661" t="str">
        <f t="shared" si="1"/>
        <v>Dimensión_</v>
      </c>
      <c r="V8" s="414"/>
      <c r="W8" s="568"/>
      <c r="X8" s="449" t="str">
        <f>IFERROR(IF(VLOOKUP(B8,'Matriz de Referencia'!$B$2:$CO$584,'Matriz de Referencia'!AM$1,FALSE)&gt;0,"Diligenciar la vigencia, tiene presupuesto programado","No diligenciar, no programo presupuesto"),"")</f>
        <v/>
      </c>
      <c r="Y8" s="649"/>
      <c r="Z8" s="649"/>
      <c r="AA8" s="649"/>
      <c r="AB8" s="649"/>
      <c r="AC8" s="650" t="str">
        <f t="shared" si="2"/>
        <v/>
      </c>
      <c r="AD8" s="449" t="str">
        <f>IFERROR(IF(VLOOKUP($B8,'Matriz de Referencia'!$B$2:$CO$584,'Matriz de Referencia'!BA$1,FALSE)&gt;0,"Diligenciar la vigencia, tiene presupuesto programado","No diligenciar, no programo presupuesto"),"")</f>
        <v/>
      </c>
      <c r="AE8" s="649"/>
      <c r="AF8" s="649"/>
      <c r="AG8" s="649"/>
      <c r="AH8" s="649"/>
      <c r="AI8" s="650" t="str">
        <f t="shared" si="3"/>
        <v/>
      </c>
      <c r="AJ8" s="449" t="str">
        <f>IFERROR(IF(VLOOKUP($B8,'Matriz de Referencia'!$B$2:$CO$584,'Matriz de Referencia'!BO$1,FALSE)&gt;0,"Diligenciar la vigencia, tiene presupuesto programado","No diligenciar, no programo presupuesto"),"")</f>
        <v/>
      </c>
      <c r="AK8" s="649"/>
      <c r="AL8" s="649"/>
      <c r="AM8" s="649"/>
      <c r="AN8" s="649"/>
      <c r="AO8" s="650" t="str">
        <f t="shared" si="4"/>
        <v/>
      </c>
      <c r="AP8" s="449" t="str">
        <f>IFERROR(IF(VLOOKUP($B8,'Matriz de Referencia'!$B$2:$CO$584,'Matriz de Referencia'!CC$1,FALSE)&gt;0,"Diligenciar la vigencia, tiene presupuesto programado","No diligenciar, no programo presupuesto"),"")</f>
        <v/>
      </c>
      <c r="AQ8" s="649"/>
      <c r="AR8" s="649"/>
      <c r="AS8" s="649"/>
      <c r="AT8" s="649"/>
      <c r="AU8" s="650" t="str">
        <f t="shared" si="5"/>
        <v/>
      </c>
      <c r="AV8" s="448" t="str">
        <f t="shared" si="6"/>
        <v/>
      </c>
      <c r="AW8" s="416" t="str">
        <f t="shared" si="7"/>
        <v/>
      </c>
      <c r="AX8" s="455" t="str">
        <f>IF(OR(Y8=0,Y8=""),"",IF(VLOOKUP(B8,'Matriz de Referencia'!$B$2:$CO$584,'Matriz de Referencia'!BB$1,FALSE)=0,"","Digite"))</f>
        <v/>
      </c>
      <c r="AY8" s="456">
        <f>IF(OR(Y8=0,Y8=""),0,IF(VLOOKUP(B8,'Matriz de Referencia'!$B$2:$CO$584,26,FALSE)=0,0,"Digite"))</f>
        <v>0</v>
      </c>
      <c r="AZ8" s="456">
        <f>IF(OR(Y8=0,Y8=""),0,IF(VLOOKUP(B8,'Matriz de Referencia'!$B$2:$CO$584,27,FALSE)=0,0,"Digite"))</f>
        <v>0</v>
      </c>
      <c r="BA8" s="456">
        <f>IF(OR(Y8=0,Y8=""),0,IF(VLOOKUP(B8,'Matriz de Referencia'!$B$2:$CO$584,28,FALSE)=0,0,"Digite"))</f>
        <v>0</v>
      </c>
      <c r="BB8" s="456">
        <f>IF(OR(Y8=0,Y8=""),0,IF(VLOOKUP(B8,'Matriz de Referencia'!$B$2:$CO$584,29,FALSE)=0,0,"Digite"))</f>
        <v>0</v>
      </c>
      <c r="BC8" s="456">
        <f>IF(OR(Y8=0,Y8=""),0,IF(VLOOKUP(B8,'Matriz de Referencia'!$B$2:$CO$584,30,FALSE)=0,0,"Digite"))</f>
        <v>0</v>
      </c>
      <c r="BD8" s="456">
        <f>IF(OR(Y8=0,Y8=""),0,IF(VLOOKUP(B8,'Matriz de Referencia'!$B$2:$CO$584,31,FALSE)=0,0,"Digite"))</f>
        <v>0</v>
      </c>
      <c r="BE8" s="456">
        <f>IF(OR(Y8=0,Y8=""),0,IF(VLOOKUP(B8,'Matriz de Referencia'!$B$2:$CO$584,32,FALSE)=0,0,"Digite"))</f>
        <v>0</v>
      </c>
      <c r="BF8" s="460">
        <f t="shared" si="8"/>
        <v>0</v>
      </c>
      <c r="BG8" s="456">
        <f>IF(OR(Y8=0,Y8=""),0,IF(VLOOKUP(B8,'Matriz de Referencia'!$B$2:$CO$584,34,FALSE)=0,0,"Digite"))</f>
        <v>0</v>
      </c>
      <c r="BH8" s="456">
        <f>IF(OR(Y8=0,Y8=""),0,IF(VLOOKUP(B8,'Matriz de Referencia'!$B$2:$CO$584,35,FALSE)=0,0,"Digite"))</f>
        <v>0</v>
      </c>
      <c r="BI8" s="456">
        <f>IF(OR(Y8=0,Y8=""),0,IF(VLOOKUP(B8,'Matriz de Referencia'!$B$2:$CO$584,36,FALSE)=0,0,"Digite"))</f>
        <v>0</v>
      </c>
      <c r="BJ8" s="457">
        <f t="shared" si="9"/>
        <v>0</v>
      </c>
      <c r="BK8" s="457">
        <f t="shared" si="10"/>
        <v>0</v>
      </c>
      <c r="BL8" s="455">
        <f>IF(OR(Z8=0,Z8=""),0,IF(VLOOKUP(B8,'Matriz de Referencia'!$B$2:$CO$584,25,FALSE)=0,0,"Digite"))</f>
        <v>0</v>
      </c>
      <c r="BM8" s="456">
        <f>IF(OR(Z8=0,Z8=""),0,IF(VLOOKUP(B8,'Matriz de Referencia'!$B$2:$CO$584,26,FALSE)=0,0,"Digite"))</f>
        <v>0</v>
      </c>
      <c r="BN8" s="456">
        <f>IF(OR(Z8=0,Z8=""),0,IF(VLOOKUP(B8,'Matriz de Referencia'!$B$2:$CO$584,27,FALSE)=0,0,"Digite"))</f>
        <v>0</v>
      </c>
      <c r="BO8" s="456">
        <f>IF(OR(Z8=0,Z8=""),0,IF(VLOOKUP(B8,'Matriz de Referencia'!$B$2:$CO$584,28,FALSE)=0,0,"Digite"))</f>
        <v>0</v>
      </c>
      <c r="BP8" s="456">
        <f>IF(OR(Z8=0,Z8=""),0,IF(VLOOKUP(B8,'Matriz de Referencia'!$B$2:$CO$584,29,FALSE)=0,0,"Digite"))</f>
        <v>0</v>
      </c>
      <c r="BQ8" s="456">
        <f>IF(OR(Z8=0,Z8=""),0,IF(VLOOKUP(B8,'Matriz de Referencia'!$B$2:$CO$584,30,FALSE)=0,0,"Digite"))</f>
        <v>0</v>
      </c>
      <c r="BR8" s="456">
        <f>IF(OR(Z8=0,Z8=""),0,IF(VLOOKUP(B8,'Matriz de Referencia'!$B$2:$CO$584,31,FALSE)=0,0,"Digite"))</f>
        <v>0</v>
      </c>
      <c r="BS8" s="456">
        <f>IF(OR(Z8=0,Z8=""),0,IF(VLOOKUP(B8,'Matriz de Referencia'!$B$2:$CO$584,32,FALSE)=0,0,"Digite"))</f>
        <v>0</v>
      </c>
      <c r="BT8" s="457">
        <f t="shared" si="11"/>
        <v>0</v>
      </c>
      <c r="BU8" s="456">
        <f>IF(OR(Z8=0,Z8=""),0,IF(VLOOKUP(B8,'Matriz de Referencia'!$B$2:$CO$584,34,FALSE)=0,0,"Digite"))</f>
        <v>0</v>
      </c>
      <c r="BV8" s="456">
        <f>IF(OR(Z8=0,Z8=""),0,IF(VLOOKUP(B8,'Matriz de Referencia'!$B$2:$CO$584,35,FALSE)=0,0,"Digite"))</f>
        <v>0</v>
      </c>
      <c r="BW8" s="456">
        <f>IF(OR(Z8=0,Z8=""),0,IF(VLOOKUP(B8,'Matriz de Referencia'!$B$2:$CO$584,36,FALSE)=0,0,"Digite"))</f>
        <v>0</v>
      </c>
      <c r="BX8" s="457">
        <f t="shared" si="12"/>
        <v>0</v>
      </c>
      <c r="BY8" s="457">
        <f t="shared" si="13"/>
        <v>0</v>
      </c>
      <c r="BZ8" s="455">
        <f>IF(OR(AA8=0,AA8=""),0,IF(VLOOKUP(B8,'Matriz de Referencia'!$B$2:$CO$584,25,FALSE)=0,0,"Digite"))</f>
        <v>0</v>
      </c>
      <c r="CA8" s="456">
        <f>IF(OR(AA8=0,AA8=""),0,IF(VLOOKUP(B8,'Matriz de Referencia'!$B$2:$CO$584,26,FALSE)=0,0,"Digite"))</f>
        <v>0</v>
      </c>
      <c r="CB8" s="456">
        <f>IF(OR(AA8=0,AA8=""),0,IF(VLOOKUP(B8,'Matriz de Referencia'!$B$2:$CO$584,27,FALSE)=0,0,"Digite"))</f>
        <v>0</v>
      </c>
      <c r="CC8" s="456">
        <f>IF(OR(AA8=0,AA8=""),0,IF(VLOOKUP(B8,'Matriz de Referencia'!$B$2:$CO$584,28,FALSE)=0,0,"Digite"))</f>
        <v>0</v>
      </c>
      <c r="CD8" s="456">
        <f>IF(OR(AA8=0,AA8=""),0,IF(VLOOKUP(B8,'Matriz de Referencia'!$B$2:$CO$584,29,FALSE)=0,0,"Digite"))</f>
        <v>0</v>
      </c>
      <c r="CE8" s="456">
        <f>IF(OR(AA8=0,AA8=""),0,IF(VLOOKUP(B8,'Matriz de Referencia'!$B$2:$CO$584,30,FALSE)=0,0,"Digite"))</f>
        <v>0</v>
      </c>
      <c r="CF8" s="456">
        <f>IF(OR(AA8=0,AA8=""),0,IF(VLOOKUP(B8,'Matriz de Referencia'!$B$2:$CO$584,31,FALSE)=0,0,"Digite"))</f>
        <v>0</v>
      </c>
      <c r="CG8" s="456">
        <f>IF(OR(AA8=0,AA8=""),0,IF(VLOOKUP(B8,'Matriz de Referencia'!$B$2:$CO$584,32,FALSE)=0,0,"Digite"))</f>
        <v>0</v>
      </c>
      <c r="CH8" s="457">
        <f t="shared" si="14"/>
        <v>0</v>
      </c>
      <c r="CI8" s="456">
        <f>IF(OR(AA8=0,AA8=""),0,IF(VLOOKUP(B8,'Matriz de Referencia'!$B$2:$CO$584,34,FALSE)=0,0,"Digite"))</f>
        <v>0</v>
      </c>
      <c r="CJ8" s="456">
        <f>IF(OR(AA8=0,AA8=""),0,IF(VLOOKUP(B8,'Matriz de Referencia'!$B$2:$CO$584,35,FALSE)=0,0,"Digite"))</f>
        <v>0</v>
      </c>
      <c r="CK8" s="456">
        <f>IF(OR(AA8=0,AA8=""),0,IF(VLOOKUP(B8,'Matriz de Referencia'!$B$2:$CO$584,36,FALSE)=0,0,"Digite"))</f>
        <v>0</v>
      </c>
      <c r="CL8" s="457">
        <f t="shared" si="15"/>
        <v>0</v>
      </c>
      <c r="CM8" s="457">
        <f t="shared" si="16"/>
        <v>0</v>
      </c>
      <c r="CN8" s="455">
        <f>IF(OR(AB8=0,AB8=""),0,IF(VLOOKUP(B8,'Matriz de Referencia'!$B$2:$CO$584,25,FALSE)=0,0,"Digite"))</f>
        <v>0</v>
      </c>
      <c r="CO8" s="456">
        <f>IF(OR(AB8=0,AB8=""),0,IF(VLOOKUP(B8,'Matriz de Referencia'!$B$2:$CO$584,26,FALSE)=0,0,"Digite"))</f>
        <v>0</v>
      </c>
      <c r="CP8" s="456">
        <f>IF(OR(AB8=0,AB8=""),0,IF(VLOOKUP(B8,'Matriz de Referencia'!$B$2:$CO$584,27,FALSE)=0,0,"Digite"))</f>
        <v>0</v>
      </c>
      <c r="CQ8" s="456">
        <f>IF(OR(AB8=0,AB8=""),0,IF(VLOOKUP(B8,'Matriz de Referencia'!$B$2:$CO$584,28,FALSE)=0,0,"Digite"))</f>
        <v>0</v>
      </c>
      <c r="CR8" s="456">
        <f>IF(OR(AB8=0,AB8=""),0,IF(VLOOKUP(B8,'Matriz de Referencia'!$B$2:$CO$584,29,FALSE)=0,0,"Digite"))</f>
        <v>0</v>
      </c>
      <c r="CS8" s="456">
        <f>IF(OR(AB8=0,AB8=""),0,IF(VLOOKUP(B8,'Matriz de Referencia'!$B$2:$CO$584,30,FALSE)=0,0,"Digite"))</f>
        <v>0</v>
      </c>
      <c r="CT8" s="456">
        <f>IF(OR(AB8=0,AB8=""),0,IF(VLOOKUP(B8,'Matriz de Referencia'!$B$2:$CO$584,31,FALSE)=0,0,"Digite"))</f>
        <v>0</v>
      </c>
      <c r="CU8" s="456">
        <f>IF(OR(AB8=0,AB8=""),0,IF(VLOOKUP(B8,'Matriz de Referencia'!$B$2:$CO$584,32,FALSE)=0,0,"Digite"))</f>
        <v>0</v>
      </c>
      <c r="CV8" s="457">
        <f t="shared" si="17"/>
        <v>0</v>
      </c>
      <c r="CW8" s="456">
        <f>IF(OR(AB8=0,AB8=""),0,IF(VLOOKUP(B8,'Matriz de Referencia'!$B$2:$CO$584,34,FALSE)=0,0,"Digite"))</f>
        <v>0</v>
      </c>
      <c r="CX8" s="456">
        <f>IF(OR(AB8=0,AB8=""),0,IF(VLOOKUP(B8,'Matriz de Referencia'!$B$2:$CO$584,35,FALSE)=0,0,"Digite"))</f>
        <v>0</v>
      </c>
      <c r="CY8" s="456">
        <f>IF(OR(AB8=0,AB8=""),0,IF(VLOOKUP(B8,'Matriz de Referencia'!$B$2:$CO$584,36,FALSE)=0,0,"Digite"))</f>
        <v>0</v>
      </c>
      <c r="CZ8" s="457">
        <f t="shared" si="18"/>
        <v>0</v>
      </c>
      <c r="DA8" s="457">
        <f t="shared" si="19"/>
        <v>0</v>
      </c>
      <c r="DB8" s="457">
        <f t="shared" si="20"/>
        <v>0</v>
      </c>
      <c r="DC8" s="101" t="str">
        <f>IFERROR(IF(DB8=0,"",IF(VLOOKUP(B8,'Matriz de Referencia'!$B$2:$CO$584,'Matriz de Referencia'!BO$1,FALSE)=DB8,"Techos ok, cotinue","Debe revisar el valor programado")),"")</f>
        <v/>
      </c>
      <c r="DD8" s="453">
        <f>IF(OR(AE8=0,AE8=""),0,IF(VLOOKUP(B8,'Matriz de Referencia'!$B$2:$CO$584,39,FALSE)=0,0,"Digite"))</f>
        <v>0</v>
      </c>
      <c r="DE8" s="454">
        <f>IF(OR(AE8=0,AE8=""),0,IF(VLOOKUP(B8,'Matriz de Referencia'!$B$2:$CO$584,40,FALSE)=0,0,"Digite"))</f>
        <v>0</v>
      </c>
      <c r="DF8" s="454">
        <f>IF(OR(AE8=0,AE8=""),0,IF(VLOOKUP(B8,'Matriz de Referencia'!$B$2:$CO$584,41,FALSE)=0,0,"Digite"))</f>
        <v>0</v>
      </c>
      <c r="DG8" s="454">
        <f>IF(OR(AE8=0,AE8=""),0,IF(VLOOKUP(B8,'Matriz de Referencia'!$B$2:$CO$584,42,FALSE)=0,0,"Digite"))</f>
        <v>0</v>
      </c>
      <c r="DH8" s="454">
        <f>IF(OR(AE8=0,AE8=""),0,IF(VLOOKUP(B8,'Matriz de Referencia'!$B$2:$CO$584,43,FALSE)=0,0,"Digite"))</f>
        <v>0</v>
      </c>
      <c r="DI8" s="454">
        <f>IF(OR(AE8=0,AE8=""),0,IF(VLOOKUP(B8,'Matriz de Referencia'!$B$2:$CO$584,44,FALSE)=0,0,"Digite"))</f>
        <v>0</v>
      </c>
      <c r="DJ8" s="454">
        <f>IF(OR(AE8=0,AE8=""),0,IF(VLOOKUP(B8,'Matriz de Referencia'!$B$2:$CO$584,45,FALSE)=0,0,"Digite"))</f>
        <v>0</v>
      </c>
      <c r="DK8" s="454">
        <f>IF(OR(AE8=0,AE8=""),0,IF(VLOOKUP(B8,'Matriz de Referencia'!$B$2:$CO$584,46,FALSE)=0,0,"Digite"))</f>
        <v>0</v>
      </c>
      <c r="DL8" s="382">
        <f t="shared" si="21"/>
        <v>0</v>
      </c>
      <c r="DM8" s="454">
        <f>IF(OR(AE8=0,AE8=""),0,IF(VLOOKUP(B8,'Matriz de Referencia'!$B$2:$CO$584,48,FALSE)=0,0,"Digite"))</f>
        <v>0</v>
      </c>
      <c r="DN8" s="454">
        <f>IF(OR(AE8=0,AE8=""),0,IF(VLOOKUP(B8,'Matriz de Referencia'!$B$2:$CO$584,49,FALSE)=0,0,"Digite"))</f>
        <v>0</v>
      </c>
      <c r="DO8" s="454">
        <f>IF(OR(AE8=0,AE8=""),0,IF(VLOOKUP(B8,'Matriz de Referencia'!$B$2:$CO$584,50,FALSE)=0,0,"Digite"))</f>
        <v>0</v>
      </c>
      <c r="DP8" s="382">
        <f t="shared" si="22"/>
        <v>0</v>
      </c>
      <c r="DQ8" s="382">
        <f t="shared" si="23"/>
        <v>0</v>
      </c>
      <c r="DR8" s="453">
        <f>IF(OR(AF8=0,AF8=""),0,IF(VLOOKUP(B8,'Matriz de Referencia'!$B$2:$CO$584,39,FALSE)=0,0,"Digite"))</f>
        <v>0</v>
      </c>
      <c r="DS8" s="454">
        <f>IF(OR(AF8=0,AF8=""),0,IF(VLOOKUP(B8,'Matriz de Referencia'!$B$2:$CO$584,40,FALSE)=0,0,"Digite"))</f>
        <v>0</v>
      </c>
      <c r="DT8" s="454">
        <f>IF(OR(AF8=0,AF8=""),0,IF(VLOOKUP(B8,'Matriz de Referencia'!$B$2:$CO$584,41,FALSE)=0,0,"Digite"))</f>
        <v>0</v>
      </c>
      <c r="DU8" s="454">
        <f>IF(OR(AF8=0,AF8=""),0,IF(VLOOKUP(B8,'Matriz de Referencia'!$B$2:$CO$584,42,FALSE)=0,0,"Digite"))</f>
        <v>0</v>
      </c>
      <c r="DV8" s="454">
        <f>IF(OR(AF8=0,AF8=""),0,IF(VLOOKUP(B8,'Matriz de Referencia'!$B$2:$CO$584,43,FALSE)=0,0,"Digite"))</f>
        <v>0</v>
      </c>
      <c r="DW8" s="454">
        <f>IF(OR(AF8=0,AF8=""),0,IF(VLOOKUP(B8,'Matriz de Referencia'!$B$2:$CO$584,44,FALSE)=0,0,"Digite"))</f>
        <v>0</v>
      </c>
      <c r="DX8" s="454">
        <f>IF(OR(AF8=0,AF8=""),0,IF(VLOOKUP(B8,'Matriz de Referencia'!$B$2:$CO$584,45,FALSE)=0,0,"Digite"))</f>
        <v>0</v>
      </c>
      <c r="DY8" s="454">
        <f>IF(OR(AF8=0,AF8=""),0,IF(VLOOKUP(B8,'Matriz de Referencia'!$B$2:$CO$584,46,FALSE)=0,0,"Digite"))</f>
        <v>0</v>
      </c>
      <c r="DZ8" s="382">
        <f t="shared" si="24"/>
        <v>0</v>
      </c>
      <c r="EA8" s="454">
        <f>IF(OR(AF8=0,AF8=""),0,IF(VLOOKUP(B8,'Matriz de Referencia'!$B$2:$CO$584,48,FALSE)=0,0,"Digite"))</f>
        <v>0</v>
      </c>
      <c r="EB8" s="454">
        <f>IF(OR(AF8=0,AF8=""),0,IF(VLOOKUP(B8,'Matriz de Referencia'!$B$2:$CO$584,49,FALSE)=0,0,"Digite"))</f>
        <v>0</v>
      </c>
      <c r="EC8" s="454">
        <f>IF(OR(AF8=0,AF8=""),0,IF(VLOOKUP(B8,'Matriz de Referencia'!$B$2:$CO$584,50,FALSE)=0,0,"Digite"))</f>
        <v>0</v>
      </c>
      <c r="ED8" s="382">
        <f t="shared" si="25"/>
        <v>0</v>
      </c>
      <c r="EE8" s="382">
        <f t="shared" si="26"/>
        <v>0</v>
      </c>
      <c r="EF8" s="453">
        <f>IF(OR(AG8=0,AG8=""),0,IF(VLOOKUP(B8,'Matriz de Referencia'!$B$2:$CO$584,39,FALSE)=0,0,"Digite"))</f>
        <v>0</v>
      </c>
      <c r="EG8" s="454">
        <f>IF(OR(AG8=0,AG8=""),0,IF(VLOOKUP(B8,'Matriz de Referencia'!$B$2:$CO$584,40,FALSE)=0,0,"Digite"))</f>
        <v>0</v>
      </c>
      <c r="EH8" s="454">
        <f>IF(OR(AG8=0,AG8=""),0,IF(VLOOKUP(B8,'Matriz de Referencia'!$B$2:$CO$584,41,FALSE)=0,0,"Digite"))</f>
        <v>0</v>
      </c>
      <c r="EI8" s="454">
        <f>IF(OR(AG8=0,AG8=""),0,IF(VLOOKUP(B8,'Matriz de Referencia'!$B$2:$CO$584,42,FALSE)=0,0,"Digite"))</f>
        <v>0</v>
      </c>
      <c r="EJ8" s="454">
        <f>IF(OR(AG8=0,AG8=""),0,IF(VLOOKUP(B8,'Matriz de Referencia'!$B$2:$CO$584,43,FALSE)=0,0,"Digite"))</f>
        <v>0</v>
      </c>
      <c r="EK8" s="454">
        <f>IF(OR(AG8=0,AG8=""),0,IF(VLOOKUP(B8,'Matriz de Referencia'!$B$2:$CO$584,44,FALSE)=0,0,"Digite"))</f>
        <v>0</v>
      </c>
      <c r="EL8" s="454">
        <f>IF(OR(AG8=0,AG8=""),0,IF(VLOOKUP(B8,'Matriz de Referencia'!$B$2:$CO$584,45,FALSE)=0,0,"Digite"))</f>
        <v>0</v>
      </c>
      <c r="EM8" s="454">
        <f>IF(OR(AG8=0,AG8=""),0,IF(VLOOKUP(B8,'Matriz de Referencia'!$B$2:$CO$584,46,FALSE)=0,0,"Digite"))</f>
        <v>0</v>
      </c>
      <c r="EN8" s="382">
        <f t="shared" si="27"/>
        <v>0</v>
      </c>
      <c r="EO8" s="454">
        <f>IF(OR(AG8=0,AG8=""),0,IF(VLOOKUP(B8,'Matriz de Referencia'!$B$2:$CO$584,48,FALSE)=0,0,"Digite"))</f>
        <v>0</v>
      </c>
      <c r="EP8" s="454">
        <f>IF(OR(AG8=0,AG8=""),0,IF(VLOOKUP(B8,'Matriz de Referencia'!$B$2:$CO$584,49,FALSE)=0,0,"Digite"))</f>
        <v>0</v>
      </c>
      <c r="EQ8" s="454">
        <f>IF(OR(AG8=0,AG8=""),0,IF(VLOOKUP(B8,'Matriz de Referencia'!$B$2:$CO$584,50,FALSE)=0,0,"Digite"))</f>
        <v>0</v>
      </c>
      <c r="ER8" s="382">
        <f t="shared" si="28"/>
        <v>0</v>
      </c>
      <c r="ES8" s="382">
        <f t="shared" si="29"/>
        <v>0</v>
      </c>
      <c r="ET8" s="453">
        <f>IF(OR(AH8=0,AH8=""),0,IF(VLOOKUP(B8,'Matriz de Referencia'!$B$2:$CO$584,39,FALSE)=0,0,"Digite"))</f>
        <v>0</v>
      </c>
      <c r="EU8" s="454">
        <f>IF(OR(AH8=0,AH8=""),0,IF(VLOOKUP(B8,'Matriz de Referencia'!$B$2:$CO$584,40,FALSE)=0,0,"Digite"))</f>
        <v>0</v>
      </c>
      <c r="EV8" s="454">
        <f>IF(OR(AH8=0,AH8=""),0,IF(VLOOKUP(B8,'Matriz de Referencia'!$B$2:$CO$584,41,FALSE)=0,0,"Digite"))</f>
        <v>0</v>
      </c>
      <c r="EW8" s="454">
        <f>IF(OR(AH8=0,AH8=""),0,IF(VLOOKUP(B8,'Matriz de Referencia'!$B$2:$CO$584,42,FALSE)=0,0,"Digite"))</f>
        <v>0</v>
      </c>
      <c r="EX8" s="454">
        <f>IF(OR(AH8=0,AH8=""),0,IF(VLOOKUP(B8,'Matriz de Referencia'!$B$2:$CO$584,43,FALSE)=0,0,"Digite"))</f>
        <v>0</v>
      </c>
      <c r="EY8" s="454">
        <f>IF(OR(AH8=0,AH8=""),0,IF(VLOOKUP(B8,'Matriz de Referencia'!$B$2:$CO$584,44,FALSE)=0,0,"Digite"))</f>
        <v>0</v>
      </c>
      <c r="EZ8" s="454">
        <f>IF(OR(AH8=0,AH8=""),0,IF(VLOOKUP(B8,'Matriz de Referencia'!$B$2:$CO$584,45,FALSE)=0,0,"Digite"))</f>
        <v>0</v>
      </c>
      <c r="FA8" s="454">
        <f>IF(OR(AH8=0,AH8=""),0,IF(VLOOKUP(B8,'Matriz de Referencia'!$B$2:$CO$584,46,FALSE)=0,0,"Digite"))</f>
        <v>0</v>
      </c>
      <c r="FB8" s="382">
        <f t="shared" si="30"/>
        <v>0</v>
      </c>
      <c r="FC8" s="454">
        <f>IF(OR(AH8=0,AH8=""),0,IF(VLOOKUP(B8,'Matriz de Referencia'!$B$2:$CO$584,48,FALSE)=0,0,"Digite"))</f>
        <v>0</v>
      </c>
      <c r="FD8" s="454">
        <f>IF(OR(AH8=0,AH8=""),0,IF(VLOOKUP(B8,'Matriz de Referencia'!$B$2:$CO$584,49,FALSE)=0,0,"Digite"))</f>
        <v>0</v>
      </c>
      <c r="FE8" s="454">
        <f>IF(OR(AH8=0,AH8=""),0,IF(VLOOKUP(B8,'Matriz de Referencia'!$B$2:$CO$584,50,FALSE)=0,0,"Digite"))</f>
        <v>0</v>
      </c>
      <c r="FF8" s="382">
        <f t="shared" si="31"/>
        <v>0</v>
      </c>
      <c r="FG8" s="382">
        <f t="shared" si="32"/>
        <v>0</v>
      </c>
      <c r="FH8" s="382">
        <f t="shared" si="33"/>
        <v>0</v>
      </c>
      <c r="FI8" s="101" t="str">
        <f>IFERROR(IF(FH8=0,"",IF(VLOOKUP(B8,'Matriz de Referencia'!$B$2:$CO$584,52,FALSE)=FH8,"Techos ok, cotinue","Debe revisar el valor programado")),"")</f>
        <v/>
      </c>
      <c r="FJ8" s="453">
        <f>IF(OR(AK8=0,AK8=""),0,IF(VLOOKUP(B8,'Matriz de Referencia'!$B$2:$CO$584,53,FALSE)=0,0,"Digite"))</f>
        <v>0</v>
      </c>
      <c r="FK8" s="454">
        <f>IF(OR(AK8=0,AK8=""),0,IF(VLOOKUP(B8,'Matriz de Referencia'!$B$2:$CO$584,54,FALSE)=0,0,"Digite"))</f>
        <v>0</v>
      </c>
      <c r="FL8" s="454">
        <f>IF(OR(AK8=0,AK8=""),0,IF(VLOOKUP(B8,'Matriz de Referencia'!$B$2:$CO$584,55,FALSE)=0,0,"Digite"))</f>
        <v>0</v>
      </c>
      <c r="FM8" s="454">
        <f>IF(OR(AK8=0,AK8=""),0,IF(VLOOKUP(B8,'Matriz de Referencia'!$B$2:$CO$584,56,FALSE)=0,0,"Digite"))</f>
        <v>0</v>
      </c>
      <c r="FN8" s="454">
        <f>IF(OR(AK8=0,AK8=""),0,IF(VLOOKUP(B8,'Matriz de Referencia'!$B$2:$CO$584,57,FALSE)=0,0,"Digite"))</f>
        <v>0</v>
      </c>
      <c r="FO8" s="454">
        <f>IF(OR(AK8=0,AK8=""),0,IF(VLOOKUP(B8,'Matriz de Referencia'!$B$2:$CO$584,58,FALSE)=0,0,"Digite"))</f>
        <v>0</v>
      </c>
      <c r="FP8" s="454">
        <f>IF(OR(AK8=0,AK8=""),0,IF(VLOOKUP(B8,'Matriz de Referencia'!$B$2:$CO$584,59,FALSE)=0,0,"Digite"))</f>
        <v>0</v>
      </c>
      <c r="FQ8" s="454">
        <f>IF(OR(AK8=0,AK8=""),0,IF(VLOOKUP(B8,'Matriz de Referencia'!$B$2:$CO$584,60,FALSE)=0,0,"Digite"))</f>
        <v>0</v>
      </c>
      <c r="FR8" s="382">
        <f t="shared" si="34"/>
        <v>0</v>
      </c>
      <c r="FS8" s="454">
        <f>IF(OR(AK8=0,AK8=""),0,IF(VLOOKUP(B8,'Matriz de Referencia'!$B$2:$CO$584,62,FALSE)=0,0,"Digite"))</f>
        <v>0</v>
      </c>
      <c r="FT8" s="454">
        <f>IF(OR(AK8=0,AK8=""),0,IF(VLOOKUP(B8,'Matriz de Referencia'!$B$2:$CO$584,63,FALSE)=0,0,"Digite"))</f>
        <v>0</v>
      </c>
      <c r="FU8" s="454">
        <f>IF(OR(AK8=0,AK8=""),0,IF(VLOOKUP(B8,'Matriz de Referencia'!$B$2:$CO$584,64,FALSE)=0,"","Digite"))</f>
        <v>0</v>
      </c>
      <c r="FV8" s="382">
        <f t="shared" si="35"/>
        <v>0</v>
      </c>
      <c r="FW8" s="382">
        <f t="shared" si="36"/>
        <v>0</v>
      </c>
      <c r="FX8" s="453">
        <f>IF(OR(AL8=0,AL8=""),0,IF(VLOOKUP(B8,'Matriz de Referencia'!$B$2:$CO$584,53,FALSE)=0,0,"Digite"))</f>
        <v>0</v>
      </c>
      <c r="FY8" s="454">
        <f>IF(OR(AL8=0,AL8=""),0,IF(VLOOKUP(B8,'Matriz de Referencia'!$B$2:$CO$584,54,FALSE)=0,0,"Digite"))</f>
        <v>0</v>
      </c>
      <c r="FZ8" s="454">
        <f>IF(OR(AL8=0,AL8=""),0,IF(VLOOKUP(B8,'Matriz de Referencia'!$B$2:$CO$584,55,FALSE)=0,0,"Digite"))</f>
        <v>0</v>
      </c>
      <c r="GA8" s="454">
        <f>IF(OR(AL8=0,AL8=""),0,IF(VLOOKUP(B8,'Matriz de Referencia'!$B$2:$CO$584,56,FALSE)=0,0,"Digite"))</f>
        <v>0</v>
      </c>
      <c r="GB8" s="454">
        <f>IF(OR(AL8=0,AL8=""),0,IF(VLOOKUP(B8,'Matriz de Referencia'!$B$2:$CO$584,57,FALSE)=0,0,"Digite"))</f>
        <v>0</v>
      </c>
      <c r="GC8" s="454">
        <f>IF(OR(AL8=0,AL8=""),0,IF(VLOOKUP(B8,'Matriz de Referencia'!$B$2:$CO$584,58,FALSE)=0,0,"Digite"))</f>
        <v>0</v>
      </c>
      <c r="GD8" s="454">
        <f>IF(OR(AL8=0,AL8=""),0,IF(VLOOKUP(B8,'Matriz de Referencia'!$B$2:$CO$584,59,FALSE)=0,0,"Digite"))</f>
        <v>0</v>
      </c>
      <c r="GE8" s="454">
        <f>IF(OR(AL8=0,AL8=""),0,IF(VLOOKUP(B8,'Matriz de Referencia'!$B$2:$CO$584,60,FALSE)=0,0,"Digite"))</f>
        <v>0</v>
      </c>
      <c r="GF8" s="382">
        <f t="shared" si="37"/>
        <v>0</v>
      </c>
      <c r="GG8" s="454">
        <f>IF(OR(AL8=0,AL8=""),0,IF(VLOOKUP(B8,'Matriz de Referencia'!$B$2:$CO$584,62,FALSE)=0,0,"Digite"))</f>
        <v>0</v>
      </c>
      <c r="GH8" s="454">
        <f>IF(OR(AL8=0,AL8=""),0,IF(VLOOKUP(B8,'Matriz de Referencia'!$B$2:$CO$584,63,FALSE)=0,0,"Digite"))</f>
        <v>0</v>
      </c>
      <c r="GI8" s="454">
        <f>IF(OR(AL8=0,AL8=""),0,IF(VLOOKUP(B8,'Matriz de Referencia'!$B$2:$CO$584,64,FALSE)=0,0,"Digite"))</f>
        <v>0</v>
      </c>
      <c r="GJ8" s="382">
        <f t="shared" si="38"/>
        <v>0</v>
      </c>
      <c r="GK8" s="382">
        <f t="shared" si="39"/>
        <v>0</v>
      </c>
      <c r="GL8" s="453">
        <f>IF(OR(AM8=0,AM8=""),0,IF(VLOOKUP(B8,'Matriz de Referencia'!$B$2:$CO$584,53,FALSE)=0,0,"Digite"))</f>
        <v>0</v>
      </c>
      <c r="GM8" s="454">
        <f>IF(OR(AM8=0,AM8=""),0,IF(VLOOKUP(B8,'Matriz de Referencia'!$B$2:$CO$584,54,FALSE)=0,0,"Digite"))</f>
        <v>0</v>
      </c>
      <c r="GN8" s="454">
        <f>IF(OR(AM8=0,AM8=""),0,IF(VLOOKUP(B8,'Matriz de Referencia'!$B$2:$CO$584,55,FALSE)=0,0,"Digite"))</f>
        <v>0</v>
      </c>
      <c r="GO8" s="454">
        <f>IF(OR(AM8=0,AM8=""),0,IF(VLOOKUP(B8,'Matriz de Referencia'!$B$2:$CO$584,56,FALSE)=0,0,"Digite"))</f>
        <v>0</v>
      </c>
      <c r="GP8" s="454">
        <f>IF(OR(AM8=0,AM8=""),0,IF(VLOOKUP(B8,'Matriz de Referencia'!$B$2:$CO$584,57,FALSE)=0,0,"Digite"))</f>
        <v>0</v>
      </c>
      <c r="GQ8" s="454">
        <f>IF(OR(AM8=0,AM8=""),0,IF(VLOOKUP(B8,'Matriz de Referencia'!$B$2:$CO$584,58,FALSE)=0,0,"Digite"))</f>
        <v>0</v>
      </c>
      <c r="GR8" s="454">
        <f>IF(OR(AM8=0,AM8=""),0,IF(VLOOKUP(B8,'Matriz de Referencia'!$B$2:$CO$584,59,FALSE)=0,0,"Digite"))</f>
        <v>0</v>
      </c>
      <c r="GS8" s="454">
        <f>IF(OR(AM8=0,AM8=""),0,IF(VLOOKUP(B8,'Matriz de Referencia'!$B$2:$CO$584,60,FALSE)=0,0,"Digite"))</f>
        <v>0</v>
      </c>
      <c r="GT8" s="382">
        <f t="shared" si="40"/>
        <v>0</v>
      </c>
      <c r="GU8" s="454">
        <f>IF(OR(AM8=0,AM8=""),0,IF(VLOOKUP(B8,'Matriz de Referencia'!$B$2:$CO$584,62,FALSE)=0,0,"Digite"))</f>
        <v>0</v>
      </c>
      <c r="GV8" s="454">
        <f>IF(OR(AM8=0,AM8=""),0,IF(VLOOKUP(B8,'Matriz de Referencia'!$B$2:$CO$584,63,FALSE)=0,0,"Digite"))</f>
        <v>0</v>
      </c>
      <c r="GW8" s="454">
        <f>IF(OR(AM8=0,AM8=""),0,IF(VLOOKUP(B8,'Matriz de Referencia'!$B$2:$CO$584,64,FALSE)=0,0,"Digite"))</f>
        <v>0</v>
      </c>
      <c r="GX8" s="382">
        <f t="shared" si="41"/>
        <v>0</v>
      </c>
      <c r="GY8" s="382">
        <f t="shared" si="42"/>
        <v>0</v>
      </c>
      <c r="GZ8" s="453">
        <f>IF(OR(AN8=0,AN8=""),0,IF(VLOOKUP(B8,'Matriz de Referencia'!$B$2:$CO$584,53,FALSE)=0,0,"Digite"))</f>
        <v>0</v>
      </c>
      <c r="HA8" s="454">
        <f>IF(OR(AN8=0,AN8=""),0,IF(VLOOKUP(B8,'Matriz de Referencia'!$B$2:$CO$584,54,FALSE)=0,0,"Digite"))</f>
        <v>0</v>
      </c>
      <c r="HB8" s="454">
        <f>IF(OR(AN8=0,AN8=""),0,IF(VLOOKUP(B8,'Matriz de Referencia'!$B$2:$CO$584,55,FALSE)=0,0,"Digite"))</f>
        <v>0</v>
      </c>
      <c r="HC8" s="454">
        <f>IF(OR(AN8=0,AN8=""),0,IF(VLOOKUP(B8,'Matriz de Referencia'!$B$2:$CO$584,56,FALSE)=0,0,"Digite"))</f>
        <v>0</v>
      </c>
      <c r="HD8" s="454">
        <f>IF(OR(AN8=0,AN8=""),0,IF(VLOOKUP(B8,'Matriz de Referencia'!$B$2:$CO$584,57,FALSE)=0,0,"Digite"))</f>
        <v>0</v>
      </c>
      <c r="HE8" s="454">
        <f>IF(OR(AN8=0,AN8=""),0,IF(VLOOKUP(B8,'Matriz de Referencia'!$B$2:$CO$584,58,FALSE)=0,0,"Digite"))</f>
        <v>0</v>
      </c>
      <c r="HF8" s="454">
        <f>IF(OR(AN8=0,AN8=""),0,IF(VLOOKUP(B8,'Matriz de Referencia'!$B$2:$CO$584,59,FALSE)=0,0,"Digite"))</f>
        <v>0</v>
      </c>
      <c r="HG8" s="454">
        <f>IF(OR(AN8=0,AN8=""),0,IF(VLOOKUP(B8,'Matriz de Referencia'!$B$2:$CO$584,60,FALSE)=0,0,"Digite"))</f>
        <v>0</v>
      </c>
      <c r="HH8" s="382">
        <f t="shared" si="43"/>
        <v>0</v>
      </c>
      <c r="HI8" s="454">
        <f>IF(OR(AN8=0,AN8=""),0,IF(VLOOKUP(B8,'Matriz de Referencia'!$B$2:$CO$584,62,FALSE)=0,0,"Digite"))</f>
        <v>0</v>
      </c>
      <c r="HJ8" s="454">
        <f>IF(OR(AN8=0,AN8=""),0,IF(VLOOKUP(B8,'Matriz de Referencia'!$B$2:$CO$584,63,FALSE)=0,0,"Digite"))</f>
        <v>0</v>
      </c>
      <c r="HK8" s="454">
        <f>IF(OR(AN8=0,AN8=""),0,IF(VLOOKUP(B8,'Matriz de Referencia'!$B$2:$CO$584,64,FALSE)=0,0,"Digite"))</f>
        <v>0</v>
      </c>
      <c r="HL8" s="382">
        <f t="shared" si="44"/>
        <v>0</v>
      </c>
      <c r="HM8" s="382">
        <f t="shared" si="45"/>
        <v>0</v>
      </c>
      <c r="HN8" s="382">
        <f t="shared" si="46"/>
        <v>0</v>
      </c>
      <c r="HO8" s="101" t="str">
        <f>IFERROR(IF(HN8=0,"",IF(VLOOKUP(B8,'Matriz de Referencia'!$B$2:$CO$584,66,FALSE)=HN8,"Techos ok, cotinue","Debe revisar el valor programado")),"")</f>
        <v/>
      </c>
      <c r="HP8" s="453">
        <f>IF(OR(AQ8=0,AQ8=""),0,IF(VLOOKUP(B8,'Matriz de Referencia'!$B$2:$CO$584,67,FALSE)=0,0,"Digite"))</f>
        <v>0</v>
      </c>
      <c r="HQ8" s="454">
        <f>IF(OR(AQ8=0,AQ8=""),0,IF(VLOOKUP(B8,'Matriz de Referencia'!$B$2:$CO$584,68,FALSE)=0,0,"Digite"))</f>
        <v>0</v>
      </c>
      <c r="HR8" s="454">
        <f>IF(OR(AQ8=0,AQ8=""),0,IF(VLOOKUP(B8,'Matriz de Referencia'!$B$2:$CO$584,69,FALSE)=0,0,"Digite"))</f>
        <v>0</v>
      </c>
      <c r="HS8" s="454">
        <f>IF(OR(AQ8=0,AQ8=""),0,IF(VLOOKUP(B8,'Matriz de Referencia'!$B$2:$CO$584,70,FALSE)=0,0,"Digite"))</f>
        <v>0</v>
      </c>
      <c r="HT8" s="454">
        <f>IF(OR(AQ8=0,AQ8=""),0,IF(VLOOKUP(B8,'Matriz de Referencia'!$B$2:$CO$584,71,FALSE)=0,0,"Digite"))</f>
        <v>0</v>
      </c>
      <c r="HU8" s="454">
        <f>IF(OR(AQ8=0,AQ8=""),0,IF(VLOOKUP(B8,'Matriz de Referencia'!$B$2:$CO$584,72,FALSE)=0,0,"Digite"))</f>
        <v>0</v>
      </c>
      <c r="HV8" s="454">
        <f>IF(OR(AQ8=0,AQ8=""),0,IF(VLOOKUP(B8,'Matriz de Referencia'!$B$2:$CO$584,73,FALSE)=0,0,"Digite"))</f>
        <v>0</v>
      </c>
      <c r="HW8" s="454">
        <f>IF(OR(AQ8=0,AQ8=""),0,IF(VLOOKUP(B8,'Matriz de Referencia'!$B$2:$CO$584,74,FALSE)=0,0,"Digite"))</f>
        <v>0</v>
      </c>
      <c r="HX8" s="382">
        <f t="shared" si="47"/>
        <v>0</v>
      </c>
      <c r="HY8" s="454">
        <f>IF(OR(AQ8=0,AQ8=""),0,IF(VLOOKUP(B8,'Matriz de Referencia'!$B$2:$CO$584,76,FALSE)=0,0,"Digite"))</f>
        <v>0</v>
      </c>
      <c r="HZ8" s="454">
        <f>IF(OR(AQ8=0,AQ8=""),0,IF(VLOOKUP(B8,'Matriz de Referencia'!$B$2:$CO$584,77,FALSE)=0,0,"Digite"))</f>
        <v>0</v>
      </c>
      <c r="IA8" s="454">
        <f>IF(OR(AQ8=0,AQ8=""),0,IF(VLOOKUP(B8,'Matriz de Referencia'!$B$2:$CO$584,78,FALSE)=0,0,"Digite"))</f>
        <v>0</v>
      </c>
      <c r="IB8" s="382">
        <f t="shared" si="48"/>
        <v>0</v>
      </c>
      <c r="IC8" s="382">
        <f t="shared" si="49"/>
        <v>0</v>
      </c>
      <c r="ID8" s="453">
        <f>IF(OR(AR8=0,AR8=""),0,IF(VLOOKUP(B8,'Matriz de Referencia'!$B$2:$CO$584,67,FALSE)=0,0,"Digite"))</f>
        <v>0</v>
      </c>
      <c r="IE8" s="454">
        <f>IF(OR(AR8=0,AR8=""),0,IF(VLOOKUP(B8,'Matriz de Referencia'!$B$2:$CO$584,68,FALSE)=0,0,"Digite"))</f>
        <v>0</v>
      </c>
      <c r="IF8" s="454">
        <f>IF(OR(AR8=0,AR8=""),0,IF(VLOOKUP(B8,'Matriz de Referencia'!$B$2:$CO$584,69,FALSE)=0,0,"Digite"))</f>
        <v>0</v>
      </c>
      <c r="IG8" s="454">
        <f>IF(OR(AR8=0,AR8=""),0,IF(VLOOKUP(B8,'Matriz de Referencia'!$B$2:$CO$584,70,FALSE)=0,0,"Digite"))</f>
        <v>0</v>
      </c>
      <c r="IH8" s="454">
        <f>IF(OR(AR8=0,AR8=""),0,IF(VLOOKUP(B8,'Matriz de Referencia'!$B$2:$CO$584,71,FALSE)=0,0,"Digite"))</f>
        <v>0</v>
      </c>
      <c r="II8" s="454">
        <f>IF(OR(AR8=0,AR8=""),0,IF(VLOOKUP(B8,'Matriz de Referencia'!$B$2:$CO$584,72,FALSE)=0,0,"Digite"))</f>
        <v>0</v>
      </c>
      <c r="IJ8" s="454">
        <f>IF(OR(AR8=0,AR8=""),0,IF(VLOOKUP(B8,'Matriz de Referencia'!$B$2:$CO$584,73,FALSE)=0,0,"Digite"))</f>
        <v>0</v>
      </c>
      <c r="IK8" s="454">
        <f>IF(OR(AR8=0,AR8=""),0,IF(VLOOKUP(B8,'Matriz de Referencia'!$B$2:$CO$584,74,FALSE)=0,0,"Digite"))</f>
        <v>0</v>
      </c>
      <c r="IL8" s="382">
        <f t="shared" si="50"/>
        <v>0</v>
      </c>
      <c r="IM8" s="454">
        <f>IF(OR(AR8=0,AR8=""),0,IF(VLOOKUP(B8,'Matriz de Referencia'!$B$2:$CO$584,76,FALSE)=0,0,"Digite"))</f>
        <v>0</v>
      </c>
      <c r="IN8" s="454">
        <f>IF(OR(AR8=0,AR8=""),0,IF(VLOOKUP(B8,'Matriz de Referencia'!$B$2:$CO$584,77,FALSE)=0,0,"Digite"))</f>
        <v>0</v>
      </c>
      <c r="IO8" s="454">
        <f>IF(OR(AR8=0,AR8=""),0,IF(VLOOKUP(B8,'Matriz de Referencia'!$B$2:$CO$584,78,FALSE)=0,0,"Digite"))</f>
        <v>0</v>
      </c>
      <c r="IP8" s="382">
        <f t="shared" si="51"/>
        <v>0</v>
      </c>
      <c r="IQ8" s="382">
        <f t="shared" si="52"/>
        <v>0</v>
      </c>
      <c r="IR8" s="453">
        <f>IF(OR(AS8=0,AS8=""),0,IF(VLOOKUP(B8,'Matriz de Referencia'!$B$2:$CO$584,67,FALSE)=0,0,"Digite"))</f>
        <v>0</v>
      </c>
      <c r="IS8" s="454">
        <f>IF(OR(AS8=0,AS8=""),0,IF(VLOOKUP(B8,'Matriz de Referencia'!$B$2:$CO$584,68,FALSE)=0,0,"Digite"))</f>
        <v>0</v>
      </c>
      <c r="IT8" s="454">
        <f>IF(OR(AS8=0,AS8=""),0,IF(VLOOKUP(B8,'Matriz de Referencia'!$B$2:$CO$584,69,FALSE)=0,0,"Digite"))</f>
        <v>0</v>
      </c>
      <c r="IU8" s="454">
        <f>IF(OR(AS8=0,AS8=""),0,IF(VLOOKUP(B8,'Matriz de Referencia'!$B$2:$CO$584,70,FALSE)=0,0,"Digite"))</f>
        <v>0</v>
      </c>
      <c r="IV8" s="454">
        <f>IF(OR(AS8=0,AS8=""),0,IF(VLOOKUP(B8,'Matriz de Referencia'!$B$2:$CO$584,71,FALSE)=0,0,"Digite"))</f>
        <v>0</v>
      </c>
      <c r="IW8" s="454">
        <f>IF(OR(AS8=0,AS8=""),0,IF(VLOOKUP(B8,'Matriz de Referencia'!$B$2:$CO$584,72,FALSE)=0,0,"Digite"))</f>
        <v>0</v>
      </c>
      <c r="IX8" s="454">
        <f>IF(OR(AS8=0,AS8=""),0,IF(VLOOKUP(B8,'Matriz de Referencia'!$B$2:$CO$584,73,FALSE)=0,0,"Digite"))</f>
        <v>0</v>
      </c>
      <c r="IY8" s="454">
        <f>IF(OR(AS8=0,AS8=""),0,IF(VLOOKUP(B8,'Matriz de Referencia'!$B$2:$CO$584,74,FALSE)=0,0,"Digite"))</f>
        <v>0</v>
      </c>
      <c r="IZ8" s="382">
        <f t="shared" si="53"/>
        <v>0</v>
      </c>
      <c r="JA8" s="454">
        <f>IF(OR(AS8=0,AS8=""),0,IF(VLOOKUP(B8,'Matriz de Referencia'!$B$2:$CO$584,76,FALSE)=0,0,"Digite"))</f>
        <v>0</v>
      </c>
      <c r="JB8" s="454">
        <f>IF(OR(AS8=0,AS8=""),0,IF(VLOOKUP(B8,'Matriz de Referencia'!$B$2:$CO$584,77,FALSE)=0,0,"Digite"))</f>
        <v>0</v>
      </c>
      <c r="JC8" s="454">
        <f>IF(OR(AS8=0,AS8=""),0,IF(VLOOKUP(B8,'Matriz de Referencia'!$B$2:$CO$584,78,FALSE)=0,0,"Digite"))</f>
        <v>0</v>
      </c>
      <c r="JD8" s="382">
        <f t="shared" si="54"/>
        <v>0</v>
      </c>
      <c r="JE8" s="382">
        <f t="shared" si="55"/>
        <v>0</v>
      </c>
      <c r="JF8" s="453">
        <f>IF(OR(AT8=0,AT8=""),0,IF(VLOOKUP(B8,'Matriz de Referencia'!$B$2:$CO$584,67,FALSE)=0,0,"Digite"))</f>
        <v>0</v>
      </c>
      <c r="JG8" s="454">
        <f>IF(OR(AT8=0,AT8=""),0,IF(VLOOKUP(B8,'Matriz de Referencia'!$B$2:$CO$584,68,FALSE)=0,0,"Digite"))</f>
        <v>0</v>
      </c>
      <c r="JH8" s="454">
        <f>IF(OR(AT8=0,AT8=""),0,IF(VLOOKUP(B8,'Matriz de Referencia'!$B$2:$CO$584,69,FALSE)=0,0,"Digite"))</f>
        <v>0</v>
      </c>
      <c r="JI8" s="454">
        <f>IF(OR(AT8=0,AT8=""),0,IF(VLOOKUP(B8,'Matriz de Referencia'!$B$2:$CO$584,70,FALSE)=0,0,"Digite"))</f>
        <v>0</v>
      </c>
      <c r="JJ8" s="454">
        <f>IF(OR(AT8=0,AT8=""),0,IF(VLOOKUP(B8,'Matriz de Referencia'!$B$2:$CO$584,71,FALSE)=0,0,"Digite"))</f>
        <v>0</v>
      </c>
      <c r="JK8" s="454">
        <f>IF(OR(AT8=0,AT8=""),0,IF(VLOOKUP(B8,'Matriz de Referencia'!$B$2:$CO$584,72,FALSE)=0,0,"Digite"))</f>
        <v>0</v>
      </c>
      <c r="JL8" s="454">
        <f>IF(OR(AT8=0,AT8=""),0,IF(VLOOKUP(B8,'Matriz de Referencia'!$B$2:$CO$584,73,FALSE)=0,0,"Digite"))</f>
        <v>0</v>
      </c>
      <c r="JM8" s="454">
        <f>IF(OR(AT8=0,AT8=""),0,IF(VLOOKUP(B8,'Matriz de Referencia'!$B$2:$CO$584,74,FALSE)=0,0,"Digite"))</f>
        <v>0</v>
      </c>
      <c r="JN8" s="382">
        <f t="shared" si="56"/>
        <v>0</v>
      </c>
      <c r="JO8" s="454">
        <f>IF(OR(AT8=0,AT8=""),0,IF(VLOOKUP(B8,'Matriz de Referencia'!$B$2:$CO$584,76,FALSE)=0,0,"Digite"))</f>
        <v>0</v>
      </c>
      <c r="JP8" s="454">
        <f>IF(OR(AT8=0,AT8=""),0,IF(VLOOKUP(B8,'Matriz de Referencia'!$B$2:$CO$584,77,FALSE)=0,0,"Digite"))</f>
        <v>0</v>
      </c>
      <c r="JQ8" s="454">
        <f>IF(OR(AT8=0,AT8=""),0,IF(VLOOKUP(B8,'Matriz de Referencia'!$B$2:$CO$584,78,FALSE)=0,0,"Digite"))</f>
        <v>0</v>
      </c>
      <c r="JR8" s="382">
        <f t="shared" si="57"/>
        <v>0</v>
      </c>
      <c r="JS8" s="382">
        <f t="shared" si="58"/>
        <v>0</v>
      </c>
      <c r="JT8" s="382">
        <f t="shared" si="59"/>
        <v>0</v>
      </c>
      <c r="JU8" s="101" t="str">
        <f>IFERROR(IF(JT8=0,"",IF(VLOOKUP(B8,'Matriz de Referencia'!$B$2:$CO$584,80,FALSE)=JT8,"Techos ok, cotinue","Debe revisar el valor programado")),"")</f>
        <v/>
      </c>
      <c r="JV8" s="382">
        <f t="shared" si="60"/>
        <v>0</v>
      </c>
    </row>
    <row r="9" spans="1:282">
      <c r="S9" s="568"/>
      <c r="T9" s="414"/>
      <c r="U9" s="661" t="str">
        <f t="shared" si="1"/>
        <v>Dimensión_</v>
      </c>
      <c r="V9" s="414"/>
      <c r="W9" s="568"/>
      <c r="X9" s="449" t="str">
        <f>IFERROR(IF(VLOOKUP(B9,'Matriz de Referencia'!$B$2:$CO$584,'Matriz de Referencia'!AM$1,FALSE)&gt;0,"Diligenciar la vigencia, tiene presupuesto programado","No diligenciar, no programo presupuesto"),"")</f>
        <v/>
      </c>
      <c r="Y9" s="649"/>
      <c r="Z9" s="649"/>
      <c r="AA9" s="649"/>
      <c r="AB9" s="649"/>
      <c r="AC9" s="650" t="str">
        <f t="shared" si="2"/>
        <v/>
      </c>
      <c r="AD9" s="449" t="str">
        <f>IFERROR(IF(VLOOKUP($B9,'Matriz de Referencia'!$B$2:$CO$584,'Matriz de Referencia'!BA$1,FALSE)&gt;0,"Diligenciar la vigencia, tiene presupuesto programado","No diligenciar, no programo presupuesto"),"")</f>
        <v/>
      </c>
      <c r="AE9" s="649"/>
      <c r="AF9" s="649"/>
      <c r="AG9" s="649"/>
      <c r="AH9" s="649"/>
      <c r="AI9" s="650" t="str">
        <f t="shared" si="3"/>
        <v/>
      </c>
      <c r="AJ9" s="449" t="str">
        <f>IFERROR(IF(VLOOKUP($B9,'Matriz de Referencia'!$B$2:$CO$584,'Matriz de Referencia'!BO$1,FALSE)&gt;0,"Diligenciar la vigencia, tiene presupuesto programado","No diligenciar, no programo presupuesto"),"")</f>
        <v/>
      </c>
      <c r="AK9" s="649"/>
      <c r="AL9" s="649"/>
      <c r="AM9" s="649"/>
      <c r="AN9" s="649"/>
      <c r="AO9" s="650" t="str">
        <f t="shared" si="4"/>
        <v/>
      </c>
      <c r="AP9" s="449" t="str">
        <f>IFERROR(IF(VLOOKUP($B9,'Matriz de Referencia'!$B$2:$CO$584,'Matriz de Referencia'!CC$1,FALSE)&gt;0,"Diligenciar la vigencia, tiene presupuesto programado","No diligenciar, no programo presupuesto"),"")</f>
        <v/>
      </c>
      <c r="AQ9" s="649"/>
      <c r="AR9" s="649"/>
      <c r="AS9" s="649"/>
      <c r="AT9" s="649"/>
      <c r="AU9" s="650" t="str">
        <f t="shared" si="5"/>
        <v/>
      </c>
      <c r="AV9" s="448" t="str">
        <f t="shared" si="6"/>
        <v/>
      </c>
      <c r="AW9" s="416" t="str">
        <f t="shared" si="7"/>
        <v/>
      </c>
      <c r="AX9" s="455" t="str">
        <f>IF(OR(Y9=0,Y9=""),"",IF(VLOOKUP(B9,'Matriz de Referencia'!$B$2:$CO$584,'Matriz de Referencia'!BB$1,FALSE)=0,"","Digite"))</f>
        <v/>
      </c>
      <c r="AY9" s="456">
        <f>IF(OR(Y9=0,Y9=""),0,IF(VLOOKUP(B9,'Matriz de Referencia'!$B$2:$CO$584,26,FALSE)=0,0,"Digite"))</f>
        <v>0</v>
      </c>
      <c r="AZ9" s="456">
        <f>IF(OR(Y9=0,Y9=""),0,IF(VLOOKUP(B9,'Matriz de Referencia'!$B$2:$CO$584,27,FALSE)=0,0,"Digite"))</f>
        <v>0</v>
      </c>
      <c r="BA9" s="456">
        <f>IF(OR(Y9=0,Y9=""),0,IF(VLOOKUP(B9,'Matriz de Referencia'!$B$2:$CO$584,28,FALSE)=0,0,"Digite"))</f>
        <v>0</v>
      </c>
      <c r="BB9" s="456">
        <f>IF(OR(Y9=0,Y9=""),0,IF(VLOOKUP(B9,'Matriz de Referencia'!$B$2:$CO$584,29,FALSE)=0,0,"Digite"))</f>
        <v>0</v>
      </c>
      <c r="BC9" s="456">
        <f>IF(OR(Y9=0,Y9=""),0,IF(VLOOKUP(B9,'Matriz de Referencia'!$B$2:$CO$584,30,FALSE)=0,0,"Digite"))</f>
        <v>0</v>
      </c>
      <c r="BD9" s="456">
        <f>IF(OR(Y9=0,Y9=""),0,IF(VLOOKUP(B9,'Matriz de Referencia'!$B$2:$CO$584,31,FALSE)=0,0,"Digite"))</f>
        <v>0</v>
      </c>
      <c r="BE9" s="456">
        <f>IF(OR(Y9=0,Y9=""),0,IF(VLOOKUP(B9,'Matriz de Referencia'!$B$2:$CO$584,32,FALSE)=0,0,"Digite"))</f>
        <v>0</v>
      </c>
      <c r="BF9" s="460">
        <f t="shared" si="8"/>
        <v>0</v>
      </c>
      <c r="BG9" s="456">
        <f>IF(OR(Y9=0,Y9=""),0,IF(VLOOKUP(B9,'Matriz de Referencia'!$B$2:$CO$584,34,FALSE)=0,0,"Digite"))</f>
        <v>0</v>
      </c>
      <c r="BH9" s="456">
        <f>IF(OR(Y9=0,Y9=""),0,IF(VLOOKUP(B9,'Matriz de Referencia'!$B$2:$CO$584,35,FALSE)=0,0,"Digite"))</f>
        <v>0</v>
      </c>
      <c r="BI9" s="456">
        <f>IF(OR(Y9=0,Y9=""),0,IF(VLOOKUP(B9,'Matriz de Referencia'!$B$2:$CO$584,36,FALSE)=0,0,"Digite"))</f>
        <v>0</v>
      </c>
      <c r="BJ9" s="457">
        <f t="shared" si="9"/>
        <v>0</v>
      </c>
      <c r="BK9" s="457">
        <f t="shared" si="10"/>
        <v>0</v>
      </c>
      <c r="BL9" s="455">
        <f>IF(OR(Z9=0,Z9=""),0,IF(VLOOKUP(B9,'Matriz de Referencia'!$B$2:$CO$584,25,FALSE)=0,0,"Digite"))</f>
        <v>0</v>
      </c>
      <c r="BM9" s="456">
        <f>IF(OR(Z9=0,Z9=""),0,IF(VLOOKUP(B9,'Matriz de Referencia'!$B$2:$CO$584,26,FALSE)=0,0,"Digite"))</f>
        <v>0</v>
      </c>
      <c r="BN9" s="456">
        <f>IF(OR(Z9=0,Z9=""),0,IF(VLOOKUP(B9,'Matriz de Referencia'!$B$2:$CO$584,27,FALSE)=0,0,"Digite"))</f>
        <v>0</v>
      </c>
      <c r="BO9" s="456">
        <f>IF(OR(Z9=0,Z9=""),0,IF(VLOOKUP(B9,'Matriz de Referencia'!$B$2:$CO$584,28,FALSE)=0,0,"Digite"))</f>
        <v>0</v>
      </c>
      <c r="BP9" s="456">
        <f>IF(OR(Z9=0,Z9=""),0,IF(VLOOKUP(B9,'Matriz de Referencia'!$B$2:$CO$584,29,FALSE)=0,0,"Digite"))</f>
        <v>0</v>
      </c>
      <c r="BQ9" s="456">
        <f>IF(OR(Z9=0,Z9=""),0,IF(VLOOKUP(B9,'Matriz de Referencia'!$B$2:$CO$584,30,FALSE)=0,0,"Digite"))</f>
        <v>0</v>
      </c>
      <c r="BR9" s="456">
        <f>IF(OR(Z9=0,Z9=""),0,IF(VLOOKUP(B9,'Matriz de Referencia'!$B$2:$CO$584,31,FALSE)=0,0,"Digite"))</f>
        <v>0</v>
      </c>
      <c r="BS9" s="456">
        <f>IF(OR(Z9=0,Z9=""),0,IF(VLOOKUP(B9,'Matriz de Referencia'!$B$2:$CO$584,32,FALSE)=0,0,"Digite"))</f>
        <v>0</v>
      </c>
      <c r="BT9" s="457">
        <f t="shared" si="11"/>
        <v>0</v>
      </c>
      <c r="BU9" s="456">
        <f>IF(OR(Z9=0,Z9=""),0,IF(VLOOKUP(B9,'Matriz de Referencia'!$B$2:$CO$584,34,FALSE)=0,0,"Digite"))</f>
        <v>0</v>
      </c>
      <c r="BV9" s="456">
        <f>IF(OR(Z9=0,Z9=""),0,IF(VLOOKUP(B9,'Matriz de Referencia'!$B$2:$CO$584,35,FALSE)=0,0,"Digite"))</f>
        <v>0</v>
      </c>
      <c r="BW9" s="456">
        <f>IF(OR(Z9=0,Z9=""),0,IF(VLOOKUP(B9,'Matriz de Referencia'!$B$2:$CO$584,36,FALSE)=0,0,"Digite"))</f>
        <v>0</v>
      </c>
      <c r="BX9" s="457">
        <f t="shared" si="12"/>
        <v>0</v>
      </c>
      <c r="BY9" s="457">
        <f t="shared" si="13"/>
        <v>0</v>
      </c>
      <c r="BZ9" s="455">
        <f>IF(OR(AA9=0,AA9=""),0,IF(VLOOKUP(B9,'Matriz de Referencia'!$B$2:$CO$584,25,FALSE)=0,0,"Digite"))</f>
        <v>0</v>
      </c>
      <c r="CA9" s="456">
        <f>IF(OR(AA9=0,AA9=""),0,IF(VLOOKUP(B9,'Matriz de Referencia'!$B$2:$CO$584,26,FALSE)=0,0,"Digite"))</f>
        <v>0</v>
      </c>
      <c r="CB9" s="456">
        <f>IF(OR(AA9=0,AA9=""),0,IF(VLOOKUP(B9,'Matriz de Referencia'!$B$2:$CO$584,27,FALSE)=0,0,"Digite"))</f>
        <v>0</v>
      </c>
      <c r="CC9" s="456">
        <f>IF(OR(AA9=0,AA9=""),0,IF(VLOOKUP(B9,'Matriz de Referencia'!$B$2:$CO$584,28,FALSE)=0,0,"Digite"))</f>
        <v>0</v>
      </c>
      <c r="CD9" s="456">
        <f>IF(OR(AA9=0,AA9=""),0,IF(VLOOKUP(B9,'Matriz de Referencia'!$B$2:$CO$584,29,FALSE)=0,0,"Digite"))</f>
        <v>0</v>
      </c>
      <c r="CE9" s="456">
        <f>IF(OR(AA9=0,AA9=""),0,IF(VLOOKUP(B9,'Matriz de Referencia'!$B$2:$CO$584,30,FALSE)=0,0,"Digite"))</f>
        <v>0</v>
      </c>
      <c r="CF9" s="456">
        <f>IF(OR(AA9=0,AA9=""),0,IF(VLOOKUP(B9,'Matriz de Referencia'!$B$2:$CO$584,31,FALSE)=0,0,"Digite"))</f>
        <v>0</v>
      </c>
      <c r="CG9" s="456">
        <f>IF(OR(AA9=0,AA9=""),0,IF(VLOOKUP(B9,'Matriz de Referencia'!$B$2:$CO$584,32,FALSE)=0,0,"Digite"))</f>
        <v>0</v>
      </c>
      <c r="CH9" s="457">
        <f t="shared" si="14"/>
        <v>0</v>
      </c>
      <c r="CI9" s="456">
        <f>IF(OR(AA9=0,AA9=""),0,IF(VLOOKUP(B9,'Matriz de Referencia'!$B$2:$CO$584,34,FALSE)=0,0,"Digite"))</f>
        <v>0</v>
      </c>
      <c r="CJ9" s="456">
        <f>IF(OR(AA9=0,AA9=""),0,IF(VLOOKUP(B9,'Matriz de Referencia'!$B$2:$CO$584,35,FALSE)=0,0,"Digite"))</f>
        <v>0</v>
      </c>
      <c r="CK9" s="456">
        <f>IF(OR(AA9=0,AA9=""),0,IF(VLOOKUP(B9,'Matriz de Referencia'!$B$2:$CO$584,36,FALSE)=0,0,"Digite"))</f>
        <v>0</v>
      </c>
      <c r="CL9" s="457">
        <f t="shared" si="15"/>
        <v>0</v>
      </c>
      <c r="CM9" s="457">
        <f t="shared" si="16"/>
        <v>0</v>
      </c>
      <c r="CN9" s="455">
        <f>IF(OR(AB9=0,AB9=""),0,IF(VLOOKUP(B9,'Matriz de Referencia'!$B$2:$CO$584,25,FALSE)=0,0,"Digite"))</f>
        <v>0</v>
      </c>
      <c r="CO9" s="456">
        <f>IF(OR(AB9=0,AB9=""),0,IF(VLOOKUP(B9,'Matriz de Referencia'!$B$2:$CO$584,26,FALSE)=0,0,"Digite"))</f>
        <v>0</v>
      </c>
      <c r="CP9" s="456">
        <f>IF(OR(AB9=0,AB9=""),0,IF(VLOOKUP(B9,'Matriz de Referencia'!$B$2:$CO$584,27,FALSE)=0,0,"Digite"))</f>
        <v>0</v>
      </c>
      <c r="CQ9" s="456">
        <f>IF(OR(AB9=0,AB9=""),0,IF(VLOOKUP(B9,'Matriz de Referencia'!$B$2:$CO$584,28,FALSE)=0,0,"Digite"))</f>
        <v>0</v>
      </c>
      <c r="CR9" s="456">
        <f>IF(OR(AB9=0,AB9=""),0,IF(VLOOKUP(B9,'Matriz de Referencia'!$B$2:$CO$584,29,FALSE)=0,0,"Digite"))</f>
        <v>0</v>
      </c>
      <c r="CS9" s="456">
        <f>IF(OR(AB9=0,AB9=""),0,IF(VLOOKUP(B9,'Matriz de Referencia'!$B$2:$CO$584,30,FALSE)=0,0,"Digite"))</f>
        <v>0</v>
      </c>
      <c r="CT9" s="456">
        <f>IF(OR(AB9=0,AB9=""),0,IF(VLOOKUP(B9,'Matriz de Referencia'!$B$2:$CO$584,31,FALSE)=0,0,"Digite"))</f>
        <v>0</v>
      </c>
      <c r="CU9" s="456">
        <f>IF(OR(AB9=0,AB9=""),0,IF(VLOOKUP(B9,'Matriz de Referencia'!$B$2:$CO$584,32,FALSE)=0,0,"Digite"))</f>
        <v>0</v>
      </c>
      <c r="CV9" s="457">
        <f t="shared" si="17"/>
        <v>0</v>
      </c>
      <c r="CW9" s="456">
        <f>IF(OR(AB9=0,AB9=""),0,IF(VLOOKUP(B9,'Matriz de Referencia'!$B$2:$CO$584,34,FALSE)=0,0,"Digite"))</f>
        <v>0</v>
      </c>
      <c r="CX9" s="456">
        <f>IF(OR(AB9=0,AB9=""),0,IF(VLOOKUP(B9,'Matriz de Referencia'!$B$2:$CO$584,35,FALSE)=0,0,"Digite"))</f>
        <v>0</v>
      </c>
      <c r="CY9" s="456">
        <f>IF(OR(AB9=0,AB9=""),0,IF(VLOOKUP(B9,'Matriz de Referencia'!$B$2:$CO$584,36,FALSE)=0,0,"Digite"))</f>
        <v>0</v>
      </c>
      <c r="CZ9" s="457">
        <f t="shared" si="18"/>
        <v>0</v>
      </c>
      <c r="DA9" s="457">
        <f t="shared" si="19"/>
        <v>0</v>
      </c>
      <c r="DB9" s="457">
        <f t="shared" si="20"/>
        <v>0</v>
      </c>
      <c r="DC9" s="101" t="str">
        <f>IFERROR(IF(DB9=0,"",IF(VLOOKUP(B9,'Matriz de Referencia'!$B$2:$CO$584,'Matriz de Referencia'!BO$1,FALSE)=DB9,"Techos ok, cotinue","Debe revisar el valor programado")),"")</f>
        <v/>
      </c>
      <c r="DD9" s="453">
        <f>IF(OR(AE9=0,AE9=""),0,IF(VLOOKUP(B9,'Matriz de Referencia'!$B$2:$CO$584,39,FALSE)=0,0,"Digite"))</f>
        <v>0</v>
      </c>
      <c r="DE9" s="454">
        <f>IF(OR(AE9=0,AE9=""),0,IF(VLOOKUP(B9,'Matriz de Referencia'!$B$2:$CO$584,40,FALSE)=0,0,"Digite"))</f>
        <v>0</v>
      </c>
      <c r="DF9" s="454">
        <f>IF(OR(AE9=0,AE9=""),0,IF(VLOOKUP(B9,'Matriz de Referencia'!$B$2:$CO$584,41,FALSE)=0,0,"Digite"))</f>
        <v>0</v>
      </c>
      <c r="DG9" s="454">
        <f>IF(OR(AE9=0,AE9=""),0,IF(VLOOKUP(B9,'Matriz de Referencia'!$B$2:$CO$584,42,FALSE)=0,0,"Digite"))</f>
        <v>0</v>
      </c>
      <c r="DH9" s="454">
        <f>IF(OR(AE9=0,AE9=""),0,IF(VLOOKUP(B9,'Matriz de Referencia'!$B$2:$CO$584,43,FALSE)=0,0,"Digite"))</f>
        <v>0</v>
      </c>
      <c r="DI9" s="454">
        <f>IF(OR(AE9=0,AE9=""),0,IF(VLOOKUP(B9,'Matriz de Referencia'!$B$2:$CO$584,44,FALSE)=0,0,"Digite"))</f>
        <v>0</v>
      </c>
      <c r="DJ9" s="454">
        <f>IF(OR(AE9=0,AE9=""),0,IF(VLOOKUP(B9,'Matriz de Referencia'!$B$2:$CO$584,45,FALSE)=0,0,"Digite"))</f>
        <v>0</v>
      </c>
      <c r="DK9" s="454">
        <f>IF(OR(AE9=0,AE9=""),0,IF(VLOOKUP(B9,'Matriz de Referencia'!$B$2:$CO$584,46,FALSE)=0,0,"Digite"))</f>
        <v>0</v>
      </c>
      <c r="DL9" s="382">
        <f t="shared" si="21"/>
        <v>0</v>
      </c>
      <c r="DM9" s="454">
        <f>IF(OR(AE9=0,AE9=""),0,IF(VLOOKUP(B9,'Matriz de Referencia'!$B$2:$CO$584,48,FALSE)=0,0,"Digite"))</f>
        <v>0</v>
      </c>
      <c r="DN9" s="454">
        <f>IF(OR(AE9=0,AE9=""),0,IF(VLOOKUP(B9,'Matriz de Referencia'!$B$2:$CO$584,49,FALSE)=0,0,"Digite"))</f>
        <v>0</v>
      </c>
      <c r="DO9" s="454">
        <f>IF(OR(AE9=0,AE9=""),0,IF(VLOOKUP(B9,'Matriz de Referencia'!$B$2:$CO$584,50,FALSE)=0,0,"Digite"))</f>
        <v>0</v>
      </c>
      <c r="DP9" s="382">
        <f t="shared" si="22"/>
        <v>0</v>
      </c>
      <c r="DQ9" s="382">
        <f t="shared" si="23"/>
        <v>0</v>
      </c>
      <c r="DR9" s="453">
        <f>IF(OR(AF9=0,AF9=""),0,IF(VLOOKUP(B9,'Matriz de Referencia'!$B$2:$CO$584,39,FALSE)=0,0,"Digite"))</f>
        <v>0</v>
      </c>
      <c r="DS9" s="454">
        <f>IF(OR(AF9=0,AF9=""),0,IF(VLOOKUP(B9,'Matriz de Referencia'!$B$2:$CO$584,40,FALSE)=0,0,"Digite"))</f>
        <v>0</v>
      </c>
      <c r="DT9" s="454">
        <f>IF(OR(AF9=0,AF9=""),0,IF(VLOOKUP(B9,'Matriz de Referencia'!$B$2:$CO$584,41,FALSE)=0,0,"Digite"))</f>
        <v>0</v>
      </c>
      <c r="DU9" s="454">
        <f>IF(OR(AF9=0,AF9=""),0,IF(VLOOKUP(B9,'Matriz de Referencia'!$B$2:$CO$584,42,FALSE)=0,0,"Digite"))</f>
        <v>0</v>
      </c>
      <c r="DV9" s="454">
        <f>IF(OR(AF9=0,AF9=""),0,IF(VLOOKUP(B9,'Matriz de Referencia'!$B$2:$CO$584,43,FALSE)=0,0,"Digite"))</f>
        <v>0</v>
      </c>
      <c r="DW9" s="454">
        <f>IF(OR(AF9=0,AF9=""),0,IF(VLOOKUP(B9,'Matriz de Referencia'!$B$2:$CO$584,44,FALSE)=0,0,"Digite"))</f>
        <v>0</v>
      </c>
      <c r="DX9" s="454">
        <f>IF(OR(AF9=0,AF9=""),0,IF(VLOOKUP(B9,'Matriz de Referencia'!$B$2:$CO$584,45,FALSE)=0,0,"Digite"))</f>
        <v>0</v>
      </c>
      <c r="DY9" s="454">
        <f>IF(OR(AF9=0,AF9=""),0,IF(VLOOKUP(B9,'Matriz de Referencia'!$B$2:$CO$584,46,FALSE)=0,0,"Digite"))</f>
        <v>0</v>
      </c>
      <c r="DZ9" s="382">
        <f t="shared" si="24"/>
        <v>0</v>
      </c>
      <c r="EA9" s="454">
        <f>IF(OR(AF9=0,AF9=""),0,IF(VLOOKUP(B9,'Matriz de Referencia'!$B$2:$CO$584,48,FALSE)=0,0,"Digite"))</f>
        <v>0</v>
      </c>
      <c r="EB9" s="454">
        <f>IF(OR(AF9=0,AF9=""),0,IF(VLOOKUP(B9,'Matriz de Referencia'!$B$2:$CO$584,49,FALSE)=0,0,"Digite"))</f>
        <v>0</v>
      </c>
      <c r="EC9" s="454">
        <f>IF(OR(AF9=0,AF9=""),0,IF(VLOOKUP(B9,'Matriz de Referencia'!$B$2:$CO$584,50,FALSE)=0,0,"Digite"))</f>
        <v>0</v>
      </c>
      <c r="ED9" s="382">
        <f t="shared" si="25"/>
        <v>0</v>
      </c>
      <c r="EE9" s="382">
        <f t="shared" si="26"/>
        <v>0</v>
      </c>
      <c r="EF9" s="453">
        <f>IF(OR(AG9=0,AG9=""),0,IF(VLOOKUP(B9,'Matriz de Referencia'!$B$2:$CO$584,39,FALSE)=0,0,"Digite"))</f>
        <v>0</v>
      </c>
      <c r="EG9" s="454">
        <f>IF(OR(AG9=0,AG9=""),0,IF(VLOOKUP(B9,'Matriz de Referencia'!$B$2:$CO$584,40,FALSE)=0,0,"Digite"))</f>
        <v>0</v>
      </c>
      <c r="EH9" s="454">
        <f>IF(OR(AG9=0,AG9=""),0,IF(VLOOKUP(B9,'Matriz de Referencia'!$B$2:$CO$584,41,FALSE)=0,0,"Digite"))</f>
        <v>0</v>
      </c>
      <c r="EI9" s="454">
        <f>IF(OR(AG9=0,AG9=""),0,IF(VLOOKUP(B9,'Matriz de Referencia'!$B$2:$CO$584,42,FALSE)=0,0,"Digite"))</f>
        <v>0</v>
      </c>
      <c r="EJ9" s="454">
        <f>IF(OR(AG9=0,AG9=""),0,IF(VLOOKUP(B9,'Matriz de Referencia'!$B$2:$CO$584,43,FALSE)=0,0,"Digite"))</f>
        <v>0</v>
      </c>
      <c r="EK9" s="454">
        <f>IF(OR(AG9=0,AG9=""),0,IF(VLOOKUP(B9,'Matriz de Referencia'!$B$2:$CO$584,44,FALSE)=0,0,"Digite"))</f>
        <v>0</v>
      </c>
      <c r="EL9" s="454">
        <f>IF(OR(AG9=0,AG9=""),0,IF(VLOOKUP(B9,'Matriz de Referencia'!$B$2:$CO$584,45,FALSE)=0,0,"Digite"))</f>
        <v>0</v>
      </c>
      <c r="EM9" s="454">
        <f>IF(OR(AG9=0,AG9=""),0,IF(VLOOKUP(B9,'Matriz de Referencia'!$B$2:$CO$584,46,FALSE)=0,0,"Digite"))</f>
        <v>0</v>
      </c>
      <c r="EN9" s="382">
        <f t="shared" si="27"/>
        <v>0</v>
      </c>
      <c r="EO9" s="454">
        <f>IF(OR(AG9=0,AG9=""),0,IF(VLOOKUP(B9,'Matriz de Referencia'!$B$2:$CO$584,48,FALSE)=0,0,"Digite"))</f>
        <v>0</v>
      </c>
      <c r="EP9" s="454">
        <f>IF(OR(AG9=0,AG9=""),0,IF(VLOOKUP(B9,'Matriz de Referencia'!$B$2:$CO$584,49,FALSE)=0,0,"Digite"))</f>
        <v>0</v>
      </c>
      <c r="EQ9" s="454">
        <f>IF(OR(AG9=0,AG9=""),0,IF(VLOOKUP(B9,'Matriz de Referencia'!$B$2:$CO$584,50,FALSE)=0,0,"Digite"))</f>
        <v>0</v>
      </c>
      <c r="ER9" s="382">
        <f t="shared" si="28"/>
        <v>0</v>
      </c>
      <c r="ES9" s="382">
        <f t="shared" si="29"/>
        <v>0</v>
      </c>
      <c r="ET9" s="453">
        <f>IF(OR(AH9=0,AH9=""),0,IF(VLOOKUP(B9,'Matriz de Referencia'!$B$2:$CO$584,39,FALSE)=0,0,"Digite"))</f>
        <v>0</v>
      </c>
      <c r="EU9" s="454">
        <f>IF(OR(AH9=0,AH9=""),0,IF(VLOOKUP(B9,'Matriz de Referencia'!$B$2:$CO$584,40,FALSE)=0,0,"Digite"))</f>
        <v>0</v>
      </c>
      <c r="EV9" s="454">
        <f>IF(OR(AH9=0,AH9=""),0,IF(VLOOKUP(B9,'Matriz de Referencia'!$B$2:$CO$584,41,FALSE)=0,0,"Digite"))</f>
        <v>0</v>
      </c>
      <c r="EW9" s="454">
        <f>IF(OR(AH9=0,AH9=""),0,IF(VLOOKUP(B9,'Matriz de Referencia'!$B$2:$CO$584,42,FALSE)=0,0,"Digite"))</f>
        <v>0</v>
      </c>
      <c r="EX9" s="454">
        <f>IF(OR(AH9=0,AH9=""),0,IF(VLOOKUP(B9,'Matriz de Referencia'!$B$2:$CO$584,43,FALSE)=0,0,"Digite"))</f>
        <v>0</v>
      </c>
      <c r="EY9" s="454">
        <f>IF(OR(AH9=0,AH9=""),0,IF(VLOOKUP(B9,'Matriz de Referencia'!$B$2:$CO$584,44,FALSE)=0,0,"Digite"))</f>
        <v>0</v>
      </c>
      <c r="EZ9" s="454">
        <f>IF(OR(AH9=0,AH9=""),0,IF(VLOOKUP(B9,'Matriz de Referencia'!$B$2:$CO$584,45,FALSE)=0,0,"Digite"))</f>
        <v>0</v>
      </c>
      <c r="FA9" s="454">
        <f>IF(OR(AH9=0,AH9=""),0,IF(VLOOKUP(B9,'Matriz de Referencia'!$B$2:$CO$584,46,FALSE)=0,0,"Digite"))</f>
        <v>0</v>
      </c>
      <c r="FB9" s="382">
        <f t="shared" si="30"/>
        <v>0</v>
      </c>
      <c r="FC9" s="454">
        <f>IF(OR(AH9=0,AH9=""),0,IF(VLOOKUP(B9,'Matriz de Referencia'!$B$2:$CO$584,48,FALSE)=0,0,"Digite"))</f>
        <v>0</v>
      </c>
      <c r="FD9" s="454">
        <f>IF(OR(AH9=0,AH9=""),0,IF(VLOOKUP(B9,'Matriz de Referencia'!$B$2:$CO$584,49,FALSE)=0,0,"Digite"))</f>
        <v>0</v>
      </c>
      <c r="FE9" s="454">
        <f>IF(OR(AH9=0,AH9=""),0,IF(VLOOKUP(B9,'Matriz de Referencia'!$B$2:$CO$584,50,FALSE)=0,0,"Digite"))</f>
        <v>0</v>
      </c>
      <c r="FF9" s="382">
        <f t="shared" si="31"/>
        <v>0</v>
      </c>
      <c r="FG9" s="382">
        <f t="shared" si="32"/>
        <v>0</v>
      </c>
      <c r="FH9" s="382">
        <f t="shared" si="33"/>
        <v>0</v>
      </c>
      <c r="FI9" s="101" t="str">
        <f>IFERROR(IF(FH9=0,"",IF(VLOOKUP(B9,'Matriz de Referencia'!$B$2:$CO$584,52,FALSE)=FH9,"Techos ok, cotinue","Debe revisar el valor programado")),"")</f>
        <v/>
      </c>
      <c r="FJ9" s="453">
        <f>IF(OR(AK9=0,AK9=""),0,IF(VLOOKUP(B9,'Matriz de Referencia'!$B$2:$CO$584,53,FALSE)=0,0,"Digite"))</f>
        <v>0</v>
      </c>
      <c r="FK9" s="454">
        <f>IF(OR(AK9=0,AK9=""),0,IF(VLOOKUP(B9,'Matriz de Referencia'!$B$2:$CO$584,54,FALSE)=0,0,"Digite"))</f>
        <v>0</v>
      </c>
      <c r="FL9" s="454">
        <f>IF(OR(AK9=0,AK9=""),0,IF(VLOOKUP(B9,'Matriz de Referencia'!$B$2:$CO$584,55,FALSE)=0,0,"Digite"))</f>
        <v>0</v>
      </c>
      <c r="FM9" s="454">
        <f>IF(OR(AK9=0,AK9=""),0,IF(VLOOKUP(B9,'Matriz de Referencia'!$B$2:$CO$584,56,FALSE)=0,0,"Digite"))</f>
        <v>0</v>
      </c>
      <c r="FN9" s="454">
        <f>IF(OR(AK9=0,AK9=""),0,IF(VLOOKUP(B9,'Matriz de Referencia'!$B$2:$CO$584,57,FALSE)=0,0,"Digite"))</f>
        <v>0</v>
      </c>
      <c r="FO9" s="454">
        <f>IF(OR(AK9=0,AK9=""),0,IF(VLOOKUP(B9,'Matriz de Referencia'!$B$2:$CO$584,58,FALSE)=0,0,"Digite"))</f>
        <v>0</v>
      </c>
      <c r="FP9" s="454">
        <f>IF(OR(AK9=0,AK9=""),0,IF(VLOOKUP(B9,'Matriz de Referencia'!$B$2:$CO$584,59,FALSE)=0,0,"Digite"))</f>
        <v>0</v>
      </c>
      <c r="FQ9" s="454">
        <f>IF(OR(AK9=0,AK9=""),0,IF(VLOOKUP(B9,'Matriz de Referencia'!$B$2:$CO$584,60,FALSE)=0,0,"Digite"))</f>
        <v>0</v>
      </c>
      <c r="FR9" s="382">
        <f t="shared" si="34"/>
        <v>0</v>
      </c>
      <c r="FS9" s="454">
        <f>IF(OR(AK9=0,AK9=""),0,IF(VLOOKUP(B9,'Matriz de Referencia'!$B$2:$CO$584,62,FALSE)=0,0,"Digite"))</f>
        <v>0</v>
      </c>
      <c r="FT9" s="454">
        <f>IF(OR(AK9=0,AK9=""),0,IF(VLOOKUP(B9,'Matriz de Referencia'!$B$2:$CO$584,63,FALSE)=0,0,"Digite"))</f>
        <v>0</v>
      </c>
      <c r="FU9" s="454">
        <f>IF(OR(AK9=0,AK9=""),0,IF(VLOOKUP(B9,'Matriz de Referencia'!$B$2:$CO$584,64,FALSE)=0,"","Digite"))</f>
        <v>0</v>
      </c>
      <c r="FV9" s="382">
        <f t="shared" si="35"/>
        <v>0</v>
      </c>
      <c r="FW9" s="382">
        <f t="shared" si="36"/>
        <v>0</v>
      </c>
      <c r="FX9" s="453">
        <f>IF(OR(AL9=0,AL9=""),0,IF(VLOOKUP(B9,'Matriz de Referencia'!$B$2:$CO$584,53,FALSE)=0,0,"Digite"))</f>
        <v>0</v>
      </c>
      <c r="FY9" s="454">
        <f>IF(OR(AL9=0,AL9=""),0,IF(VLOOKUP(B9,'Matriz de Referencia'!$B$2:$CO$584,54,FALSE)=0,0,"Digite"))</f>
        <v>0</v>
      </c>
      <c r="FZ9" s="454">
        <f>IF(OR(AL9=0,AL9=""),0,IF(VLOOKUP(B9,'Matriz de Referencia'!$B$2:$CO$584,55,FALSE)=0,0,"Digite"))</f>
        <v>0</v>
      </c>
      <c r="GA9" s="454">
        <f>IF(OR(AL9=0,AL9=""),0,IF(VLOOKUP(B9,'Matriz de Referencia'!$B$2:$CO$584,56,FALSE)=0,0,"Digite"))</f>
        <v>0</v>
      </c>
      <c r="GB9" s="454">
        <f>IF(OR(AL9=0,AL9=""),0,IF(VLOOKUP(B9,'Matriz de Referencia'!$B$2:$CO$584,57,FALSE)=0,0,"Digite"))</f>
        <v>0</v>
      </c>
      <c r="GC9" s="454">
        <f>IF(OR(AL9=0,AL9=""),0,IF(VLOOKUP(B9,'Matriz de Referencia'!$B$2:$CO$584,58,FALSE)=0,0,"Digite"))</f>
        <v>0</v>
      </c>
      <c r="GD9" s="454">
        <f>IF(OR(AL9=0,AL9=""),0,IF(VLOOKUP(B9,'Matriz de Referencia'!$B$2:$CO$584,59,FALSE)=0,0,"Digite"))</f>
        <v>0</v>
      </c>
      <c r="GE9" s="454">
        <f>IF(OR(AL9=0,AL9=""),0,IF(VLOOKUP(B9,'Matriz de Referencia'!$B$2:$CO$584,60,FALSE)=0,0,"Digite"))</f>
        <v>0</v>
      </c>
      <c r="GF9" s="382">
        <f t="shared" si="37"/>
        <v>0</v>
      </c>
      <c r="GG9" s="454">
        <f>IF(OR(AL9=0,AL9=""),0,IF(VLOOKUP(B9,'Matriz de Referencia'!$B$2:$CO$584,62,FALSE)=0,0,"Digite"))</f>
        <v>0</v>
      </c>
      <c r="GH9" s="454">
        <f>IF(OR(AL9=0,AL9=""),0,IF(VLOOKUP(B9,'Matriz de Referencia'!$B$2:$CO$584,63,FALSE)=0,0,"Digite"))</f>
        <v>0</v>
      </c>
      <c r="GI9" s="454">
        <f>IF(OR(AL9=0,AL9=""),0,IF(VLOOKUP(B9,'Matriz de Referencia'!$B$2:$CO$584,64,FALSE)=0,0,"Digite"))</f>
        <v>0</v>
      </c>
      <c r="GJ9" s="382">
        <f t="shared" si="38"/>
        <v>0</v>
      </c>
      <c r="GK9" s="382">
        <f t="shared" si="39"/>
        <v>0</v>
      </c>
      <c r="GL9" s="453">
        <f>IF(OR(AM9=0,AM9=""),0,IF(VLOOKUP(B9,'Matriz de Referencia'!$B$2:$CO$584,53,FALSE)=0,0,"Digite"))</f>
        <v>0</v>
      </c>
      <c r="GM9" s="454">
        <f>IF(OR(AM9=0,AM9=""),0,IF(VLOOKUP(B9,'Matriz de Referencia'!$B$2:$CO$584,54,FALSE)=0,0,"Digite"))</f>
        <v>0</v>
      </c>
      <c r="GN9" s="454">
        <f>IF(OR(AM9=0,AM9=""),0,IF(VLOOKUP(B9,'Matriz de Referencia'!$B$2:$CO$584,55,FALSE)=0,0,"Digite"))</f>
        <v>0</v>
      </c>
      <c r="GO9" s="454">
        <f>IF(OR(AM9=0,AM9=""),0,IF(VLOOKUP(B9,'Matriz de Referencia'!$B$2:$CO$584,56,FALSE)=0,0,"Digite"))</f>
        <v>0</v>
      </c>
      <c r="GP9" s="454">
        <f>IF(OR(AM9=0,AM9=""),0,IF(VLOOKUP(B9,'Matriz de Referencia'!$B$2:$CO$584,57,FALSE)=0,0,"Digite"))</f>
        <v>0</v>
      </c>
      <c r="GQ9" s="454">
        <f>IF(OR(AM9=0,AM9=""),0,IF(VLOOKUP(B9,'Matriz de Referencia'!$B$2:$CO$584,58,FALSE)=0,0,"Digite"))</f>
        <v>0</v>
      </c>
      <c r="GR9" s="454">
        <f>IF(OR(AM9=0,AM9=""),0,IF(VLOOKUP(B9,'Matriz de Referencia'!$B$2:$CO$584,59,FALSE)=0,0,"Digite"))</f>
        <v>0</v>
      </c>
      <c r="GS9" s="454">
        <f>IF(OR(AM9=0,AM9=""),0,IF(VLOOKUP(B9,'Matriz de Referencia'!$B$2:$CO$584,60,FALSE)=0,0,"Digite"))</f>
        <v>0</v>
      </c>
      <c r="GT9" s="382">
        <f t="shared" si="40"/>
        <v>0</v>
      </c>
      <c r="GU9" s="454">
        <f>IF(OR(AM9=0,AM9=""),0,IF(VLOOKUP(B9,'Matriz de Referencia'!$B$2:$CO$584,62,FALSE)=0,0,"Digite"))</f>
        <v>0</v>
      </c>
      <c r="GV9" s="454">
        <f>IF(OR(AM9=0,AM9=""),0,IF(VLOOKUP(B9,'Matriz de Referencia'!$B$2:$CO$584,63,FALSE)=0,0,"Digite"))</f>
        <v>0</v>
      </c>
      <c r="GW9" s="454">
        <f>IF(OR(AM9=0,AM9=""),0,IF(VLOOKUP(B9,'Matriz de Referencia'!$B$2:$CO$584,64,FALSE)=0,0,"Digite"))</f>
        <v>0</v>
      </c>
      <c r="GX9" s="382">
        <f t="shared" si="41"/>
        <v>0</v>
      </c>
      <c r="GY9" s="382">
        <f t="shared" si="42"/>
        <v>0</v>
      </c>
      <c r="GZ9" s="453">
        <f>IF(OR(AN9=0,AN9=""),0,IF(VLOOKUP(B9,'Matriz de Referencia'!$B$2:$CO$584,53,FALSE)=0,0,"Digite"))</f>
        <v>0</v>
      </c>
      <c r="HA9" s="454">
        <f>IF(OR(AN9=0,AN9=""),0,IF(VLOOKUP(B9,'Matriz de Referencia'!$B$2:$CO$584,54,FALSE)=0,0,"Digite"))</f>
        <v>0</v>
      </c>
      <c r="HB9" s="454">
        <f>IF(OR(AN9=0,AN9=""),0,IF(VLOOKUP(B9,'Matriz de Referencia'!$B$2:$CO$584,55,FALSE)=0,0,"Digite"))</f>
        <v>0</v>
      </c>
      <c r="HC9" s="454">
        <f>IF(OR(AN9=0,AN9=""),0,IF(VLOOKUP(B9,'Matriz de Referencia'!$B$2:$CO$584,56,FALSE)=0,0,"Digite"))</f>
        <v>0</v>
      </c>
      <c r="HD9" s="454">
        <f>IF(OR(AN9=0,AN9=""),0,IF(VLOOKUP(B9,'Matriz de Referencia'!$B$2:$CO$584,57,FALSE)=0,0,"Digite"))</f>
        <v>0</v>
      </c>
      <c r="HE9" s="454">
        <f>IF(OR(AN9=0,AN9=""),0,IF(VLOOKUP(B9,'Matriz de Referencia'!$B$2:$CO$584,58,FALSE)=0,0,"Digite"))</f>
        <v>0</v>
      </c>
      <c r="HF9" s="454">
        <f>IF(OR(AN9=0,AN9=""),0,IF(VLOOKUP(B9,'Matriz de Referencia'!$B$2:$CO$584,59,FALSE)=0,0,"Digite"))</f>
        <v>0</v>
      </c>
      <c r="HG9" s="454">
        <f>IF(OR(AN9=0,AN9=""),0,IF(VLOOKUP(B9,'Matriz de Referencia'!$B$2:$CO$584,60,FALSE)=0,0,"Digite"))</f>
        <v>0</v>
      </c>
      <c r="HH9" s="382">
        <f t="shared" si="43"/>
        <v>0</v>
      </c>
      <c r="HI9" s="454">
        <f>IF(OR(AN9=0,AN9=""),0,IF(VLOOKUP(B9,'Matriz de Referencia'!$B$2:$CO$584,62,FALSE)=0,0,"Digite"))</f>
        <v>0</v>
      </c>
      <c r="HJ9" s="454">
        <f>IF(OR(AN9=0,AN9=""),0,IF(VLOOKUP(B9,'Matriz de Referencia'!$B$2:$CO$584,63,FALSE)=0,0,"Digite"))</f>
        <v>0</v>
      </c>
      <c r="HK9" s="454">
        <f>IF(OR(AN9=0,AN9=""),0,IF(VLOOKUP(B9,'Matriz de Referencia'!$B$2:$CO$584,64,FALSE)=0,0,"Digite"))</f>
        <v>0</v>
      </c>
      <c r="HL9" s="382">
        <f t="shared" si="44"/>
        <v>0</v>
      </c>
      <c r="HM9" s="382">
        <f t="shared" si="45"/>
        <v>0</v>
      </c>
      <c r="HN9" s="382">
        <f t="shared" si="46"/>
        <v>0</v>
      </c>
      <c r="HO9" s="101" t="str">
        <f>IFERROR(IF(HN9=0,"",IF(VLOOKUP(B9,'Matriz de Referencia'!$B$2:$CO$584,66,FALSE)=HN9,"Techos ok, cotinue","Debe revisar el valor programado")),"")</f>
        <v/>
      </c>
      <c r="HP9" s="453">
        <f>IF(OR(AQ9=0,AQ9=""),0,IF(VLOOKUP(B9,'Matriz de Referencia'!$B$2:$CO$584,67,FALSE)=0,0,"Digite"))</f>
        <v>0</v>
      </c>
      <c r="HQ9" s="454">
        <f>IF(OR(AQ9=0,AQ9=""),0,IF(VLOOKUP(B9,'Matriz de Referencia'!$B$2:$CO$584,68,FALSE)=0,0,"Digite"))</f>
        <v>0</v>
      </c>
      <c r="HR9" s="454">
        <f>IF(OR(AQ9=0,AQ9=""),0,IF(VLOOKUP(B9,'Matriz de Referencia'!$B$2:$CO$584,69,FALSE)=0,0,"Digite"))</f>
        <v>0</v>
      </c>
      <c r="HS9" s="454">
        <f>IF(OR(AQ9=0,AQ9=""),0,IF(VLOOKUP(B9,'Matriz de Referencia'!$B$2:$CO$584,70,FALSE)=0,0,"Digite"))</f>
        <v>0</v>
      </c>
      <c r="HT9" s="454">
        <f>IF(OR(AQ9=0,AQ9=""),0,IF(VLOOKUP(B9,'Matriz de Referencia'!$B$2:$CO$584,71,FALSE)=0,0,"Digite"))</f>
        <v>0</v>
      </c>
      <c r="HU9" s="454">
        <f>IF(OR(AQ9=0,AQ9=""),0,IF(VLOOKUP(B9,'Matriz de Referencia'!$B$2:$CO$584,72,FALSE)=0,0,"Digite"))</f>
        <v>0</v>
      </c>
      <c r="HV9" s="454">
        <f>IF(OR(AQ9=0,AQ9=""),0,IF(VLOOKUP(B9,'Matriz de Referencia'!$B$2:$CO$584,73,FALSE)=0,0,"Digite"))</f>
        <v>0</v>
      </c>
      <c r="HW9" s="454">
        <f>IF(OR(AQ9=0,AQ9=""),0,IF(VLOOKUP(B9,'Matriz de Referencia'!$B$2:$CO$584,74,FALSE)=0,0,"Digite"))</f>
        <v>0</v>
      </c>
      <c r="HX9" s="382">
        <f t="shared" si="47"/>
        <v>0</v>
      </c>
      <c r="HY9" s="454">
        <f>IF(OR(AQ9=0,AQ9=""),0,IF(VLOOKUP(B9,'Matriz de Referencia'!$B$2:$CO$584,76,FALSE)=0,0,"Digite"))</f>
        <v>0</v>
      </c>
      <c r="HZ9" s="454">
        <f>IF(OR(AQ9=0,AQ9=""),0,IF(VLOOKUP(B9,'Matriz de Referencia'!$B$2:$CO$584,77,FALSE)=0,0,"Digite"))</f>
        <v>0</v>
      </c>
      <c r="IA9" s="454">
        <f>IF(OR(AQ9=0,AQ9=""),0,IF(VLOOKUP(B9,'Matriz de Referencia'!$B$2:$CO$584,78,FALSE)=0,0,"Digite"))</f>
        <v>0</v>
      </c>
      <c r="IB9" s="382">
        <f t="shared" si="48"/>
        <v>0</v>
      </c>
      <c r="IC9" s="382">
        <f t="shared" si="49"/>
        <v>0</v>
      </c>
      <c r="ID9" s="453">
        <f>IF(OR(AR9=0,AR9=""),0,IF(VLOOKUP(B9,'Matriz de Referencia'!$B$2:$CO$584,67,FALSE)=0,0,"Digite"))</f>
        <v>0</v>
      </c>
      <c r="IE9" s="454">
        <f>IF(OR(AR9=0,AR9=""),0,IF(VLOOKUP(B9,'Matriz de Referencia'!$B$2:$CO$584,68,FALSE)=0,0,"Digite"))</f>
        <v>0</v>
      </c>
      <c r="IF9" s="454">
        <f>IF(OR(AR9=0,AR9=""),0,IF(VLOOKUP(B9,'Matriz de Referencia'!$B$2:$CO$584,69,FALSE)=0,0,"Digite"))</f>
        <v>0</v>
      </c>
      <c r="IG9" s="454">
        <f>IF(OR(AR9=0,AR9=""),0,IF(VLOOKUP(B9,'Matriz de Referencia'!$B$2:$CO$584,70,FALSE)=0,0,"Digite"))</f>
        <v>0</v>
      </c>
      <c r="IH9" s="454">
        <f>IF(OR(AR9=0,AR9=""),0,IF(VLOOKUP(B9,'Matriz de Referencia'!$B$2:$CO$584,71,FALSE)=0,0,"Digite"))</f>
        <v>0</v>
      </c>
      <c r="II9" s="454">
        <f>IF(OR(AR9=0,AR9=""),0,IF(VLOOKUP(B9,'Matriz de Referencia'!$B$2:$CO$584,72,FALSE)=0,0,"Digite"))</f>
        <v>0</v>
      </c>
      <c r="IJ9" s="454">
        <f>IF(OR(AR9=0,AR9=""),0,IF(VLOOKUP(B9,'Matriz de Referencia'!$B$2:$CO$584,73,FALSE)=0,0,"Digite"))</f>
        <v>0</v>
      </c>
      <c r="IK9" s="454">
        <f>IF(OR(AR9=0,AR9=""),0,IF(VLOOKUP(B9,'Matriz de Referencia'!$B$2:$CO$584,74,FALSE)=0,0,"Digite"))</f>
        <v>0</v>
      </c>
      <c r="IL9" s="382">
        <f t="shared" si="50"/>
        <v>0</v>
      </c>
      <c r="IM9" s="454">
        <f>IF(OR(AR9=0,AR9=""),0,IF(VLOOKUP(B9,'Matriz de Referencia'!$B$2:$CO$584,76,FALSE)=0,0,"Digite"))</f>
        <v>0</v>
      </c>
      <c r="IN9" s="454">
        <f>IF(OR(AR9=0,AR9=""),0,IF(VLOOKUP(B9,'Matriz de Referencia'!$B$2:$CO$584,77,FALSE)=0,0,"Digite"))</f>
        <v>0</v>
      </c>
      <c r="IO9" s="454">
        <f>IF(OR(AR9=0,AR9=""),0,IF(VLOOKUP(B9,'Matriz de Referencia'!$B$2:$CO$584,78,FALSE)=0,0,"Digite"))</f>
        <v>0</v>
      </c>
      <c r="IP9" s="382">
        <f t="shared" si="51"/>
        <v>0</v>
      </c>
      <c r="IQ9" s="382">
        <f t="shared" si="52"/>
        <v>0</v>
      </c>
      <c r="IR9" s="453">
        <f>IF(OR(AS9=0,AS9=""),0,IF(VLOOKUP(B9,'Matriz de Referencia'!$B$2:$CO$584,67,FALSE)=0,0,"Digite"))</f>
        <v>0</v>
      </c>
      <c r="IS9" s="454">
        <f>IF(OR(AS9=0,AS9=""),0,IF(VLOOKUP(B9,'Matriz de Referencia'!$B$2:$CO$584,68,FALSE)=0,0,"Digite"))</f>
        <v>0</v>
      </c>
      <c r="IT9" s="454">
        <f>IF(OR(AS9=0,AS9=""),0,IF(VLOOKUP(B9,'Matriz de Referencia'!$B$2:$CO$584,69,FALSE)=0,0,"Digite"))</f>
        <v>0</v>
      </c>
      <c r="IU9" s="454">
        <f>IF(OR(AS9=0,AS9=""),0,IF(VLOOKUP(B9,'Matriz de Referencia'!$B$2:$CO$584,70,FALSE)=0,0,"Digite"))</f>
        <v>0</v>
      </c>
      <c r="IV9" s="454">
        <f>IF(OR(AS9=0,AS9=""),0,IF(VLOOKUP(B9,'Matriz de Referencia'!$B$2:$CO$584,71,FALSE)=0,0,"Digite"))</f>
        <v>0</v>
      </c>
      <c r="IW9" s="454">
        <f>IF(OR(AS9=0,AS9=""),0,IF(VLOOKUP(B9,'Matriz de Referencia'!$B$2:$CO$584,72,FALSE)=0,0,"Digite"))</f>
        <v>0</v>
      </c>
      <c r="IX9" s="454">
        <f>IF(OR(AS9=0,AS9=""),0,IF(VLOOKUP(B9,'Matriz de Referencia'!$B$2:$CO$584,73,FALSE)=0,0,"Digite"))</f>
        <v>0</v>
      </c>
      <c r="IY9" s="454">
        <f>IF(OR(AS9=0,AS9=""),0,IF(VLOOKUP(B9,'Matriz de Referencia'!$B$2:$CO$584,74,FALSE)=0,0,"Digite"))</f>
        <v>0</v>
      </c>
      <c r="IZ9" s="382">
        <f t="shared" si="53"/>
        <v>0</v>
      </c>
      <c r="JA9" s="454">
        <f>IF(OR(AS9=0,AS9=""),0,IF(VLOOKUP(B9,'Matriz de Referencia'!$B$2:$CO$584,76,FALSE)=0,0,"Digite"))</f>
        <v>0</v>
      </c>
      <c r="JB9" s="454">
        <f>IF(OR(AS9=0,AS9=""),0,IF(VLOOKUP(B9,'Matriz de Referencia'!$B$2:$CO$584,77,FALSE)=0,0,"Digite"))</f>
        <v>0</v>
      </c>
      <c r="JC9" s="454">
        <f>IF(OR(AS9=0,AS9=""),0,IF(VLOOKUP(B9,'Matriz de Referencia'!$B$2:$CO$584,78,FALSE)=0,0,"Digite"))</f>
        <v>0</v>
      </c>
      <c r="JD9" s="382">
        <f t="shared" si="54"/>
        <v>0</v>
      </c>
      <c r="JE9" s="382">
        <f t="shared" si="55"/>
        <v>0</v>
      </c>
      <c r="JF9" s="453">
        <f>IF(OR(AT9=0,AT9=""),0,IF(VLOOKUP(B9,'Matriz de Referencia'!$B$2:$CO$584,67,FALSE)=0,0,"Digite"))</f>
        <v>0</v>
      </c>
      <c r="JG9" s="454">
        <f>IF(OR(AT9=0,AT9=""),0,IF(VLOOKUP(B9,'Matriz de Referencia'!$B$2:$CO$584,68,FALSE)=0,0,"Digite"))</f>
        <v>0</v>
      </c>
      <c r="JH9" s="454">
        <f>IF(OR(AT9=0,AT9=""),0,IF(VLOOKUP(B9,'Matriz de Referencia'!$B$2:$CO$584,69,FALSE)=0,0,"Digite"))</f>
        <v>0</v>
      </c>
      <c r="JI9" s="454">
        <f>IF(OR(AT9=0,AT9=""),0,IF(VLOOKUP(B9,'Matriz de Referencia'!$B$2:$CO$584,70,FALSE)=0,0,"Digite"))</f>
        <v>0</v>
      </c>
      <c r="JJ9" s="454">
        <f>IF(OR(AT9=0,AT9=""),0,IF(VLOOKUP(B9,'Matriz de Referencia'!$B$2:$CO$584,71,FALSE)=0,0,"Digite"))</f>
        <v>0</v>
      </c>
      <c r="JK9" s="454">
        <f>IF(OR(AT9=0,AT9=""),0,IF(VLOOKUP(B9,'Matriz de Referencia'!$B$2:$CO$584,72,FALSE)=0,0,"Digite"))</f>
        <v>0</v>
      </c>
      <c r="JL9" s="454">
        <f>IF(OR(AT9=0,AT9=""),0,IF(VLOOKUP(B9,'Matriz de Referencia'!$B$2:$CO$584,73,FALSE)=0,0,"Digite"))</f>
        <v>0</v>
      </c>
      <c r="JM9" s="454">
        <f>IF(OR(AT9=0,AT9=""),0,IF(VLOOKUP(B9,'Matriz de Referencia'!$B$2:$CO$584,74,FALSE)=0,0,"Digite"))</f>
        <v>0</v>
      </c>
      <c r="JN9" s="382">
        <f t="shared" si="56"/>
        <v>0</v>
      </c>
      <c r="JO9" s="454">
        <f>IF(OR(AT9=0,AT9=""),0,IF(VLOOKUP(B9,'Matriz de Referencia'!$B$2:$CO$584,76,FALSE)=0,0,"Digite"))</f>
        <v>0</v>
      </c>
      <c r="JP9" s="454">
        <f>IF(OR(AT9=0,AT9=""),0,IF(VLOOKUP(B9,'Matriz de Referencia'!$B$2:$CO$584,77,FALSE)=0,0,"Digite"))</f>
        <v>0</v>
      </c>
      <c r="JQ9" s="454">
        <f>IF(OR(AT9=0,AT9=""),0,IF(VLOOKUP(B9,'Matriz de Referencia'!$B$2:$CO$584,78,FALSE)=0,0,"Digite"))</f>
        <v>0</v>
      </c>
      <c r="JR9" s="382">
        <f t="shared" si="57"/>
        <v>0</v>
      </c>
      <c r="JS9" s="382">
        <f t="shared" si="58"/>
        <v>0</v>
      </c>
      <c r="JT9" s="382">
        <f t="shared" si="59"/>
        <v>0</v>
      </c>
      <c r="JU9" s="101" t="str">
        <f>IFERROR(IF(JT9=0,"",IF(VLOOKUP(B9,'Matriz de Referencia'!$B$2:$CO$584,80,FALSE)=JT9,"Techos ok, cotinue","Debe revisar el valor programado")),"")</f>
        <v/>
      </c>
      <c r="JV9" s="382">
        <f t="shared" si="60"/>
        <v>0</v>
      </c>
    </row>
    <row r="10" spans="1:282">
      <c r="S10" s="568"/>
      <c r="T10" s="414"/>
      <c r="U10" s="661" t="str">
        <f t="shared" si="1"/>
        <v>Dimensión_</v>
      </c>
      <c r="V10" s="414"/>
      <c r="W10" s="568"/>
      <c r="X10" s="449" t="str">
        <f>IFERROR(IF(VLOOKUP(B10,'Matriz de Referencia'!$B$2:$CO$584,'Matriz de Referencia'!AM$1,FALSE)&gt;0,"Diligenciar la vigencia, tiene presupuesto programado","No diligenciar, no programo presupuesto"),"")</f>
        <v/>
      </c>
      <c r="Y10" s="649"/>
      <c r="Z10" s="649"/>
      <c r="AA10" s="649"/>
      <c r="AB10" s="649"/>
      <c r="AC10" s="650" t="str">
        <f t="shared" si="2"/>
        <v/>
      </c>
      <c r="AD10" s="449" t="str">
        <f>IFERROR(IF(VLOOKUP($B10,'Matriz de Referencia'!$B$2:$CO$584,'Matriz de Referencia'!BA$1,FALSE)&gt;0,"Diligenciar la vigencia, tiene presupuesto programado","No diligenciar, no programo presupuesto"),"")</f>
        <v/>
      </c>
      <c r="AE10" s="649"/>
      <c r="AF10" s="649"/>
      <c r="AG10" s="649"/>
      <c r="AH10" s="649"/>
      <c r="AI10" s="650" t="str">
        <f t="shared" si="3"/>
        <v/>
      </c>
      <c r="AJ10" s="449" t="str">
        <f>IFERROR(IF(VLOOKUP($B10,'Matriz de Referencia'!$B$2:$CO$584,'Matriz de Referencia'!BO$1,FALSE)&gt;0,"Diligenciar la vigencia, tiene presupuesto programado","No diligenciar, no programo presupuesto"),"")</f>
        <v/>
      </c>
      <c r="AK10" s="649"/>
      <c r="AL10" s="649"/>
      <c r="AM10" s="649"/>
      <c r="AN10" s="649"/>
      <c r="AO10" s="650" t="str">
        <f t="shared" si="4"/>
        <v/>
      </c>
      <c r="AP10" s="449" t="str">
        <f>IFERROR(IF(VLOOKUP($B10,'Matriz de Referencia'!$B$2:$CO$584,'Matriz de Referencia'!CC$1,FALSE)&gt;0,"Diligenciar la vigencia, tiene presupuesto programado","No diligenciar, no programo presupuesto"),"")</f>
        <v/>
      </c>
      <c r="AQ10" s="649"/>
      <c r="AR10" s="649"/>
      <c r="AS10" s="649"/>
      <c r="AT10" s="649"/>
      <c r="AU10" s="650" t="str">
        <f t="shared" si="5"/>
        <v/>
      </c>
      <c r="AV10" s="448" t="str">
        <f t="shared" si="6"/>
        <v/>
      </c>
      <c r="AW10" s="416" t="str">
        <f t="shared" si="7"/>
        <v/>
      </c>
      <c r="AX10" s="455" t="str">
        <f>IF(OR(Y10=0,Y10=""),"",IF(VLOOKUP(B10,'Matriz de Referencia'!$B$2:$CO$584,'Matriz de Referencia'!BB$1,FALSE)=0,"","Digite"))</f>
        <v/>
      </c>
      <c r="AY10" s="456">
        <f>IF(OR(Y10=0,Y10=""),0,IF(VLOOKUP(B10,'Matriz de Referencia'!$B$2:$CO$584,26,FALSE)=0,0,"Digite"))</f>
        <v>0</v>
      </c>
      <c r="AZ10" s="456">
        <f>IF(OR(Y10=0,Y10=""),0,IF(VLOOKUP(B10,'Matriz de Referencia'!$B$2:$CO$584,27,FALSE)=0,0,"Digite"))</f>
        <v>0</v>
      </c>
      <c r="BA10" s="456">
        <f>IF(OR(Y10=0,Y10=""),0,IF(VLOOKUP(B10,'Matriz de Referencia'!$B$2:$CO$584,28,FALSE)=0,0,"Digite"))</f>
        <v>0</v>
      </c>
      <c r="BB10" s="456">
        <f>IF(OR(Y10=0,Y10=""),0,IF(VLOOKUP(B10,'Matriz de Referencia'!$B$2:$CO$584,29,FALSE)=0,0,"Digite"))</f>
        <v>0</v>
      </c>
      <c r="BC10" s="456">
        <f>IF(OR(Y10=0,Y10=""),0,IF(VLOOKUP(B10,'Matriz de Referencia'!$B$2:$CO$584,30,FALSE)=0,0,"Digite"))</f>
        <v>0</v>
      </c>
      <c r="BD10" s="456">
        <f>IF(OR(Y10=0,Y10=""),0,IF(VLOOKUP(B10,'Matriz de Referencia'!$B$2:$CO$584,31,FALSE)=0,0,"Digite"))</f>
        <v>0</v>
      </c>
      <c r="BE10" s="456">
        <f>IF(OR(Y10=0,Y10=""),0,IF(VLOOKUP(B10,'Matriz de Referencia'!$B$2:$CO$584,32,FALSE)=0,0,"Digite"))</f>
        <v>0</v>
      </c>
      <c r="BF10" s="460">
        <f t="shared" si="8"/>
        <v>0</v>
      </c>
      <c r="BG10" s="456">
        <f>IF(OR(Y10=0,Y10=""),0,IF(VLOOKUP(B10,'Matriz de Referencia'!$B$2:$CO$584,34,FALSE)=0,0,"Digite"))</f>
        <v>0</v>
      </c>
      <c r="BH10" s="456">
        <f>IF(OR(Y10=0,Y10=""),0,IF(VLOOKUP(B10,'Matriz de Referencia'!$B$2:$CO$584,35,FALSE)=0,0,"Digite"))</f>
        <v>0</v>
      </c>
      <c r="BI10" s="456">
        <f>IF(OR(Y10=0,Y10=""),0,IF(VLOOKUP(B10,'Matriz de Referencia'!$B$2:$CO$584,36,FALSE)=0,0,"Digite"))</f>
        <v>0</v>
      </c>
      <c r="BJ10" s="457">
        <f t="shared" si="9"/>
        <v>0</v>
      </c>
      <c r="BK10" s="457">
        <f t="shared" si="10"/>
        <v>0</v>
      </c>
      <c r="BL10" s="455">
        <f>IF(OR(Z10=0,Z10=""),0,IF(VLOOKUP(B10,'Matriz de Referencia'!$B$2:$CO$584,25,FALSE)=0,0,"Digite"))</f>
        <v>0</v>
      </c>
      <c r="BM10" s="456">
        <f>IF(OR(Z10=0,Z10=""),0,IF(VLOOKUP(B10,'Matriz de Referencia'!$B$2:$CO$584,26,FALSE)=0,0,"Digite"))</f>
        <v>0</v>
      </c>
      <c r="BN10" s="456">
        <f>IF(OR(Z10=0,Z10=""),0,IF(VLOOKUP(B10,'Matriz de Referencia'!$B$2:$CO$584,27,FALSE)=0,0,"Digite"))</f>
        <v>0</v>
      </c>
      <c r="BO10" s="456">
        <f>IF(OR(Z10=0,Z10=""),0,IF(VLOOKUP(B10,'Matriz de Referencia'!$B$2:$CO$584,28,FALSE)=0,0,"Digite"))</f>
        <v>0</v>
      </c>
      <c r="BP10" s="456">
        <f>IF(OR(Z10=0,Z10=""),0,IF(VLOOKUP(B10,'Matriz de Referencia'!$B$2:$CO$584,29,FALSE)=0,0,"Digite"))</f>
        <v>0</v>
      </c>
      <c r="BQ10" s="456">
        <f>IF(OR(Z10=0,Z10=""),0,IF(VLOOKUP(B10,'Matriz de Referencia'!$B$2:$CO$584,30,FALSE)=0,0,"Digite"))</f>
        <v>0</v>
      </c>
      <c r="BR10" s="456">
        <f>IF(OR(Z10=0,Z10=""),0,IF(VLOOKUP(B10,'Matriz de Referencia'!$B$2:$CO$584,31,FALSE)=0,0,"Digite"))</f>
        <v>0</v>
      </c>
      <c r="BS10" s="456">
        <f>IF(OR(Z10=0,Z10=""),0,IF(VLOOKUP(B10,'Matriz de Referencia'!$B$2:$CO$584,32,FALSE)=0,0,"Digite"))</f>
        <v>0</v>
      </c>
      <c r="BT10" s="457">
        <f t="shared" si="11"/>
        <v>0</v>
      </c>
      <c r="BU10" s="456">
        <f>IF(OR(Z10=0,Z10=""),0,IF(VLOOKUP(B10,'Matriz de Referencia'!$B$2:$CO$584,34,FALSE)=0,0,"Digite"))</f>
        <v>0</v>
      </c>
      <c r="BV10" s="456">
        <f>IF(OR(Z10=0,Z10=""),0,IF(VLOOKUP(B10,'Matriz de Referencia'!$B$2:$CO$584,35,FALSE)=0,0,"Digite"))</f>
        <v>0</v>
      </c>
      <c r="BW10" s="456">
        <f>IF(OR(Z10=0,Z10=""),0,IF(VLOOKUP(B10,'Matriz de Referencia'!$B$2:$CO$584,36,FALSE)=0,0,"Digite"))</f>
        <v>0</v>
      </c>
      <c r="BX10" s="457">
        <f t="shared" si="12"/>
        <v>0</v>
      </c>
      <c r="BY10" s="457">
        <f t="shared" si="13"/>
        <v>0</v>
      </c>
      <c r="BZ10" s="455">
        <f>IF(OR(AA10=0,AA10=""),0,IF(VLOOKUP(B10,'Matriz de Referencia'!$B$2:$CO$584,25,FALSE)=0,0,"Digite"))</f>
        <v>0</v>
      </c>
      <c r="CA10" s="456">
        <f>IF(OR(AA10=0,AA10=""),0,IF(VLOOKUP(B10,'Matriz de Referencia'!$B$2:$CO$584,26,FALSE)=0,0,"Digite"))</f>
        <v>0</v>
      </c>
      <c r="CB10" s="456">
        <f>IF(OR(AA10=0,AA10=""),0,IF(VLOOKUP(B10,'Matriz de Referencia'!$B$2:$CO$584,27,FALSE)=0,0,"Digite"))</f>
        <v>0</v>
      </c>
      <c r="CC10" s="456">
        <f>IF(OR(AA10=0,AA10=""),0,IF(VLOOKUP(B10,'Matriz de Referencia'!$B$2:$CO$584,28,FALSE)=0,0,"Digite"))</f>
        <v>0</v>
      </c>
      <c r="CD10" s="456">
        <f>IF(OR(AA10=0,AA10=""),0,IF(VLOOKUP(B10,'Matriz de Referencia'!$B$2:$CO$584,29,FALSE)=0,0,"Digite"))</f>
        <v>0</v>
      </c>
      <c r="CE10" s="456">
        <f>IF(OR(AA10=0,AA10=""),0,IF(VLOOKUP(B10,'Matriz de Referencia'!$B$2:$CO$584,30,FALSE)=0,0,"Digite"))</f>
        <v>0</v>
      </c>
      <c r="CF10" s="456">
        <f>IF(OR(AA10=0,AA10=""),0,IF(VLOOKUP(B10,'Matriz de Referencia'!$B$2:$CO$584,31,FALSE)=0,0,"Digite"))</f>
        <v>0</v>
      </c>
      <c r="CG10" s="456">
        <f>IF(OR(AA10=0,AA10=""),0,IF(VLOOKUP(B10,'Matriz de Referencia'!$B$2:$CO$584,32,FALSE)=0,0,"Digite"))</f>
        <v>0</v>
      </c>
      <c r="CH10" s="457">
        <f t="shared" si="14"/>
        <v>0</v>
      </c>
      <c r="CI10" s="456">
        <f>IF(OR(AA10=0,AA10=""),0,IF(VLOOKUP(B10,'Matriz de Referencia'!$B$2:$CO$584,34,FALSE)=0,0,"Digite"))</f>
        <v>0</v>
      </c>
      <c r="CJ10" s="456">
        <f>IF(OR(AA10=0,AA10=""),0,IF(VLOOKUP(B10,'Matriz de Referencia'!$B$2:$CO$584,35,FALSE)=0,0,"Digite"))</f>
        <v>0</v>
      </c>
      <c r="CK10" s="456">
        <f>IF(OR(AA10=0,AA10=""),0,IF(VLOOKUP(B10,'Matriz de Referencia'!$B$2:$CO$584,36,FALSE)=0,0,"Digite"))</f>
        <v>0</v>
      </c>
      <c r="CL10" s="457">
        <f t="shared" si="15"/>
        <v>0</v>
      </c>
      <c r="CM10" s="457">
        <f t="shared" si="16"/>
        <v>0</v>
      </c>
      <c r="CN10" s="455">
        <f>IF(OR(AB10=0,AB10=""),0,IF(VLOOKUP(B10,'Matriz de Referencia'!$B$2:$CO$584,25,FALSE)=0,0,"Digite"))</f>
        <v>0</v>
      </c>
      <c r="CO10" s="456">
        <f>IF(OR(AB10=0,AB10=""),0,IF(VLOOKUP(B10,'Matriz de Referencia'!$B$2:$CO$584,26,FALSE)=0,0,"Digite"))</f>
        <v>0</v>
      </c>
      <c r="CP10" s="456">
        <f>IF(OR(AB10=0,AB10=""),0,IF(VLOOKUP(B10,'Matriz de Referencia'!$B$2:$CO$584,27,FALSE)=0,0,"Digite"))</f>
        <v>0</v>
      </c>
      <c r="CQ10" s="456">
        <f>IF(OR(AB10=0,AB10=""),0,IF(VLOOKUP(B10,'Matriz de Referencia'!$B$2:$CO$584,28,FALSE)=0,0,"Digite"))</f>
        <v>0</v>
      </c>
      <c r="CR10" s="456">
        <f>IF(OR(AB10=0,AB10=""),0,IF(VLOOKUP(B10,'Matriz de Referencia'!$B$2:$CO$584,29,FALSE)=0,0,"Digite"))</f>
        <v>0</v>
      </c>
      <c r="CS10" s="456">
        <f>IF(OR(AB10=0,AB10=""),0,IF(VLOOKUP(B10,'Matriz de Referencia'!$B$2:$CO$584,30,FALSE)=0,0,"Digite"))</f>
        <v>0</v>
      </c>
      <c r="CT10" s="456">
        <f>IF(OR(AB10=0,AB10=""),0,IF(VLOOKUP(B10,'Matriz de Referencia'!$B$2:$CO$584,31,FALSE)=0,0,"Digite"))</f>
        <v>0</v>
      </c>
      <c r="CU10" s="456">
        <f>IF(OR(AB10=0,AB10=""),0,IF(VLOOKUP(B10,'Matriz de Referencia'!$B$2:$CO$584,32,FALSE)=0,0,"Digite"))</f>
        <v>0</v>
      </c>
      <c r="CV10" s="457">
        <f t="shared" si="17"/>
        <v>0</v>
      </c>
      <c r="CW10" s="456">
        <f>IF(OR(AB10=0,AB10=""),0,IF(VLOOKUP(B10,'Matriz de Referencia'!$B$2:$CO$584,34,FALSE)=0,0,"Digite"))</f>
        <v>0</v>
      </c>
      <c r="CX10" s="456">
        <f>IF(OR(AB10=0,AB10=""),0,IF(VLOOKUP(B10,'Matriz de Referencia'!$B$2:$CO$584,35,FALSE)=0,0,"Digite"))</f>
        <v>0</v>
      </c>
      <c r="CY10" s="456">
        <f>IF(OR(AB10=0,AB10=""),0,IF(VLOOKUP(B10,'Matriz de Referencia'!$B$2:$CO$584,36,FALSE)=0,0,"Digite"))</f>
        <v>0</v>
      </c>
      <c r="CZ10" s="457">
        <f t="shared" si="18"/>
        <v>0</v>
      </c>
      <c r="DA10" s="457">
        <f t="shared" si="19"/>
        <v>0</v>
      </c>
      <c r="DB10" s="457">
        <f t="shared" si="20"/>
        <v>0</v>
      </c>
      <c r="DC10" s="101" t="str">
        <f>IFERROR(IF(DB10=0,"",IF(VLOOKUP(B10,'Matriz de Referencia'!$B$2:$CO$584,'Matriz de Referencia'!BO$1,FALSE)=DB10,"Techos ok, cotinue","Debe revisar el valor programado")),"")</f>
        <v/>
      </c>
      <c r="DD10" s="453">
        <f>IF(OR(AE10=0,AE10=""),0,IF(VLOOKUP(B10,'Matriz de Referencia'!$B$2:$CO$584,39,FALSE)=0,0,"Digite"))</f>
        <v>0</v>
      </c>
      <c r="DE10" s="454">
        <f>IF(OR(AE10=0,AE10=""),0,IF(VLOOKUP(B10,'Matriz de Referencia'!$B$2:$CO$584,40,FALSE)=0,0,"Digite"))</f>
        <v>0</v>
      </c>
      <c r="DF10" s="454">
        <f>IF(OR(AE10=0,AE10=""),0,IF(VLOOKUP(B10,'Matriz de Referencia'!$B$2:$CO$584,41,FALSE)=0,0,"Digite"))</f>
        <v>0</v>
      </c>
      <c r="DG10" s="454">
        <f>IF(OR(AE10=0,AE10=""),0,IF(VLOOKUP(B10,'Matriz de Referencia'!$B$2:$CO$584,42,FALSE)=0,0,"Digite"))</f>
        <v>0</v>
      </c>
      <c r="DH10" s="454">
        <f>IF(OR(AE10=0,AE10=""),0,IF(VLOOKUP(B10,'Matriz de Referencia'!$B$2:$CO$584,43,FALSE)=0,0,"Digite"))</f>
        <v>0</v>
      </c>
      <c r="DI10" s="454">
        <f>IF(OR(AE10=0,AE10=""),0,IF(VLOOKUP(B10,'Matriz de Referencia'!$B$2:$CO$584,44,FALSE)=0,0,"Digite"))</f>
        <v>0</v>
      </c>
      <c r="DJ10" s="454">
        <f>IF(OR(AE10=0,AE10=""),0,IF(VLOOKUP(B10,'Matriz de Referencia'!$B$2:$CO$584,45,FALSE)=0,0,"Digite"))</f>
        <v>0</v>
      </c>
      <c r="DK10" s="454">
        <f>IF(OR(AE10=0,AE10=""),0,IF(VLOOKUP(B10,'Matriz de Referencia'!$B$2:$CO$584,46,FALSE)=0,0,"Digite"))</f>
        <v>0</v>
      </c>
      <c r="DL10" s="382">
        <f t="shared" si="21"/>
        <v>0</v>
      </c>
      <c r="DM10" s="454">
        <f>IF(OR(AE10=0,AE10=""),0,IF(VLOOKUP(B10,'Matriz de Referencia'!$B$2:$CO$584,48,FALSE)=0,0,"Digite"))</f>
        <v>0</v>
      </c>
      <c r="DN10" s="454">
        <f>IF(OR(AE10=0,AE10=""),0,IF(VLOOKUP(B10,'Matriz de Referencia'!$B$2:$CO$584,49,FALSE)=0,0,"Digite"))</f>
        <v>0</v>
      </c>
      <c r="DO10" s="454">
        <f>IF(OR(AE10=0,AE10=""),0,IF(VLOOKUP(B10,'Matriz de Referencia'!$B$2:$CO$584,50,FALSE)=0,0,"Digite"))</f>
        <v>0</v>
      </c>
      <c r="DP10" s="382">
        <f t="shared" si="22"/>
        <v>0</v>
      </c>
      <c r="DQ10" s="382">
        <f t="shared" si="23"/>
        <v>0</v>
      </c>
      <c r="DR10" s="453">
        <f>IF(OR(AF10=0,AF10=""),0,IF(VLOOKUP(B10,'Matriz de Referencia'!$B$2:$CO$584,39,FALSE)=0,0,"Digite"))</f>
        <v>0</v>
      </c>
      <c r="DS10" s="454">
        <f>IF(OR(AF10=0,AF10=""),0,IF(VLOOKUP(B10,'Matriz de Referencia'!$B$2:$CO$584,40,FALSE)=0,0,"Digite"))</f>
        <v>0</v>
      </c>
      <c r="DT10" s="454">
        <f>IF(OR(AF10=0,AF10=""),0,IF(VLOOKUP(B10,'Matriz de Referencia'!$B$2:$CO$584,41,FALSE)=0,0,"Digite"))</f>
        <v>0</v>
      </c>
      <c r="DU10" s="454">
        <f>IF(OR(AF10=0,AF10=""),0,IF(VLOOKUP(B10,'Matriz de Referencia'!$B$2:$CO$584,42,FALSE)=0,0,"Digite"))</f>
        <v>0</v>
      </c>
      <c r="DV10" s="454">
        <f>IF(OR(AF10=0,AF10=""),0,IF(VLOOKUP(B10,'Matriz de Referencia'!$B$2:$CO$584,43,FALSE)=0,0,"Digite"))</f>
        <v>0</v>
      </c>
      <c r="DW10" s="454">
        <f>IF(OR(AF10=0,AF10=""),0,IF(VLOOKUP(B10,'Matriz de Referencia'!$B$2:$CO$584,44,FALSE)=0,0,"Digite"))</f>
        <v>0</v>
      </c>
      <c r="DX10" s="454">
        <f>IF(OR(AF10=0,AF10=""),0,IF(VLOOKUP(B10,'Matriz de Referencia'!$B$2:$CO$584,45,FALSE)=0,0,"Digite"))</f>
        <v>0</v>
      </c>
      <c r="DY10" s="454">
        <f>IF(OR(AF10=0,AF10=""),0,IF(VLOOKUP(B10,'Matriz de Referencia'!$B$2:$CO$584,46,FALSE)=0,0,"Digite"))</f>
        <v>0</v>
      </c>
      <c r="DZ10" s="382">
        <f t="shared" si="24"/>
        <v>0</v>
      </c>
      <c r="EA10" s="454">
        <f>IF(OR(AF10=0,AF10=""),0,IF(VLOOKUP(B10,'Matriz de Referencia'!$B$2:$CO$584,48,FALSE)=0,0,"Digite"))</f>
        <v>0</v>
      </c>
      <c r="EB10" s="454">
        <f>IF(OR(AF10=0,AF10=""),0,IF(VLOOKUP(B10,'Matriz de Referencia'!$B$2:$CO$584,49,FALSE)=0,0,"Digite"))</f>
        <v>0</v>
      </c>
      <c r="EC10" s="454">
        <f>IF(OR(AF10=0,AF10=""),0,IF(VLOOKUP(B10,'Matriz de Referencia'!$B$2:$CO$584,50,FALSE)=0,0,"Digite"))</f>
        <v>0</v>
      </c>
      <c r="ED10" s="382">
        <f t="shared" si="25"/>
        <v>0</v>
      </c>
      <c r="EE10" s="382">
        <f t="shared" si="26"/>
        <v>0</v>
      </c>
      <c r="EF10" s="453">
        <f>IF(OR(AG10=0,AG10=""),0,IF(VLOOKUP(B10,'Matriz de Referencia'!$B$2:$CO$584,39,FALSE)=0,0,"Digite"))</f>
        <v>0</v>
      </c>
      <c r="EG10" s="454">
        <f>IF(OR(AG10=0,AG10=""),0,IF(VLOOKUP(B10,'Matriz de Referencia'!$B$2:$CO$584,40,FALSE)=0,0,"Digite"))</f>
        <v>0</v>
      </c>
      <c r="EH10" s="454">
        <f>IF(OR(AG10=0,AG10=""),0,IF(VLOOKUP(B10,'Matriz de Referencia'!$B$2:$CO$584,41,FALSE)=0,0,"Digite"))</f>
        <v>0</v>
      </c>
      <c r="EI10" s="454">
        <f>IF(OR(AG10=0,AG10=""),0,IF(VLOOKUP(B10,'Matriz de Referencia'!$B$2:$CO$584,42,FALSE)=0,0,"Digite"))</f>
        <v>0</v>
      </c>
      <c r="EJ10" s="454">
        <f>IF(OR(AG10=0,AG10=""),0,IF(VLOOKUP(B10,'Matriz de Referencia'!$B$2:$CO$584,43,FALSE)=0,0,"Digite"))</f>
        <v>0</v>
      </c>
      <c r="EK10" s="454">
        <f>IF(OR(AG10=0,AG10=""),0,IF(VLOOKUP(B10,'Matriz de Referencia'!$B$2:$CO$584,44,FALSE)=0,0,"Digite"))</f>
        <v>0</v>
      </c>
      <c r="EL10" s="454">
        <f>IF(OR(AG10=0,AG10=""),0,IF(VLOOKUP(B10,'Matriz de Referencia'!$B$2:$CO$584,45,FALSE)=0,0,"Digite"))</f>
        <v>0</v>
      </c>
      <c r="EM10" s="454">
        <f>IF(OR(AG10=0,AG10=""),0,IF(VLOOKUP(B10,'Matriz de Referencia'!$B$2:$CO$584,46,FALSE)=0,0,"Digite"))</f>
        <v>0</v>
      </c>
      <c r="EN10" s="382">
        <f t="shared" si="27"/>
        <v>0</v>
      </c>
      <c r="EO10" s="454">
        <f>IF(OR(AG10=0,AG10=""),0,IF(VLOOKUP(B10,'Matriz de Referencia'!$B$2:$CO$584,48,FALSE)=0,0,"Digite"))</f>
        <v>0</v>
      </c>
      <c r="EP10" s="454">
        <f>IF(OR(AG10=0,AG10=""),0,IF(VLOOKUP(B10,'Matriz de Referencia'!$B$2:$CO$584,49,FALSE)=0,0,"Digite"))</f>
        <v>0</v>
      </c>
      <c r="EQ10" s="454">
        <f>IF(OR(AG10=0,AG10=""),0,IF(VLOOKUP(B10,'Matriz de Referencia'!$B$2:$CO$584,50,FALSE)=0,0,"Digite"))</f>
        <v>0</v>
      </c>
      <c r="ER10" s="382">
        <f t="shared" si="28"/>
        <v>0</v>
      </c>
      <c r="ES10" s="382">
        <f t="shared" si="29"/>
        <v>0</v>
      </c>
      <c r="ET10" s="453">
        <f>IF(OR(AH10=0,AH10=""),0,IF(VLOOKUP(B10,'Matriz de Referencia'!$B$2:$CO$584,39,FALSE)=0,0,"Digite"))</f>
        <v>0</v>
      </c>
      <c r="EU10" s="454">
        <f>IF(OR(AH10=0,AH10=""),0,IF(VLOOKUP(B10,'Matriz de Referencia'!$B$2:$CO$584,40,FALSE)=0,0,"Digite"))</f>
        <v>0</v>
      </c>
      <c r="EV10" s="454">
        <f>IF(OR(AH10=0,AH10=""),0,IF(VLOOKUP(B10,'Matriz de Referencia'!$B$2:$CO$584,41,FALSE)=0,0,"Digite"))</f>
        <v>0</v>
      </c>
      <c r="EW10" s="454">
        <f>IF(OR(AH10=0,AH10=""),0,IF(VLOOKUP(B10,'Matriz de Referencia'!$B$2:$CO$584,42,FALSE)=0,0,"Digite"))</f>
        <v>0</v>
      </c>
      <c r="EX10" s="454">
        <f>IF(OR(AH10=0,AH10=""),0,IF(VLOOKUP(B10,'Matriz de Referencia'!$B$2:$CO$584,43,FALSE)=0,0,"Digite"))</f>
        <v>0</v>
      </c>
      <c r="EY10" s="454">
        <f>IF(OR(AH10=0,AH10=""),0,IF(VLOOKUP(B10,'Matriz de Referencia'!$B$2:$CO$584,44,FALSE)=0,0,"Digite"))</f>
        <v>0</v>
      </c>
      <c r="EZ10" s="454">
        <f>IF(OR(AH10=0,AH10=""),0,IF(VLOOKUP(B10,'Matriz de Referencia'!$B$2:$CO$584,45,FALSE)=0,0,"Digite"))</f>
        <v>0</v>
      </c>
      <c r="FA10" s="454">
        <f>IF(OR(AH10=0,AH10=""),0,IF(VLOOKUP(B10,'Matriz de Referencia'!$B$2:$CO$584,46,FALSE)=0,0,"Digite"))</f>
        <v>0</v>
      </c>
      <c r="FB10" s="382">
        <f t="shared" si="30"/>
        <v>0</v>
      </c>
      <c r="FC10" s="454">
        <f>IF(OR(AH10=0,AH10=""),0,IF(VLOOKUP(B10,'Matriz de Referencia'!$B$2:$CO$584,48,FALSE)=0,0,"Digite"))</f>
        <v>0</v>
      </c>
      <c r="FD10" s="454">
        <f>IF(OR(AH10=0,AH10=""),0,IF(VLOOKUP(B10,'Matriz de Referencia'!$B$2:$CO$584,49,FALSE)=0,0,"Digite"))</f>
        <v>0</v>
      </c>
      <c r="FE10" s="454">
        <f>IF(OR(AH10=0,AH10=""),0,IF(VLOOKUP(B10,'Matriz de Referencia'!$B$2:$CO$584,50,FALSE)=0,0,"Digite"))</f>
        <v>0</v>
      </c>
      <c r="FF10" s="382">
        <f t="shared" si="31"/>
        <v>0</v>
      </c>
      <c r="FG10" s="382">
        <f t="shared" si="32"/>
        <v>0</v>
      </c>
      <c r="FH10" s="382">
        <f t="shared" si="33"/>
        <v>0</v>
      </c>
      <c r="FI10" s="101" t="str">
        <f>IFERROR(IF(FH10=0,"",IF(VLOOKUP(B10,'Matriz de Referencia'!$B$2:$CO$584,52,FALSE)=FH10,"Techos ok, cotinue","Debe revisar el valor programado")),"")</f>
        <v/>
      </c>
      <c r="FJ10" s="453">
        <f>IF(OR(AK10=0,AK10=""),0,IF(VLOOKUP(B10,'Matriz de Referencia'!$B$2:$CO$584,53,FALSE)=0,0,"Digite"))</f>
        <v>0</v>
      </c>
      <c r="FK10" s="454">
        <f>IF(OR(AK10=0,AK10=""),0,IF(VLOOKUP(B10,'Matriz de Referencia'!$B$2:$CO$584,54,FALSE)=0,0,"Digite"))</f>
        <v>0</v>
      </c>
      <c r="FL10" s="454">
        <f>IF(OR(AK10=0,AK10=""),0,IF(VLOOKUP(B10,'Matriz de Referencia'!$B$2:$CO$584,55,FALSE)=0,0,"Digite"))</f>
        <v>0</v>
      </c>
      <c r="FM10" s="454">
        <f>IF(OR(AK10=0,AK10=""),0,IF(VLOOKUP(B10,'Matriz de Referencia'!$B$2:$CO$584,56,FALSE)=0,0,"Digite"))</f>
        <v>0</v>
      </c>
      <c r="FN10" s="454">
        <f>IF(OR(AK10=0,AK10=""),0,IF(VLOOKUP(B10,'Matriz de Referencia'!$B$2:$CO$584,57,FALSE)=0,0,"Digite"))</f>
        <v>0</v>
      </c>
      <c r="FO10" s="454">
        <f>IF(OR(AK10=0,AK10=""),0,IF(VLOOKUP(B10,'Matriz de Referencia'!$B$2:$CO$584,58,FALSE)=0,0,"Digite"))</f>
        <v>0</v>
      </c>
      <c r="FP10" s="454">
        <f>IF(OR(AK10=0,AK10=""),0,IF(VLOOKUP(B10,'Matriz de Referencia'!$B$2:$CO$584,59,FALSE)=0,0,"Digite"))</f>
        <v>0</v>
      </c>
      <c r="FQ10" s="454">
        <f>IF(OR(AK10=0,AK10=""),0,IF(VLOOKUP(B10,'Matriz de Referencia'!$B$2:$CO$584,60,FALSE)=0,0,"Digite"))</f>
        <v>0</v>
      </c>
      <c r="FR10" s="382">
        <f t="shared" si="34"/>
        <v>0</v>
      </c>
      <c r="FS10" s="454">
        <f>IF(OR(AK10=0,AK10=""),0,IF(VLOOKUP(B10,'Matriz de Referencia'!$B$2:$CO$584,62,FALSE)=0,0,"Digite"))</f>
        <v>0</v>
      </c>
      <c r="FT10" s="454">
        <f>IF(OR(AK10=0,AK10=""),0,IF(VLOOKUP(B10,'Matriz de Referencia'!$B$2:$CO$584,63,FALSE)=0,0,"Digite"))</f>
        <v>0</v>
      </c>
      <c r="FU10" s="454">
        <f>IF(OR(AK10=0,AK10=""),0,IF(VLOOKUP(B10,'Matriz de Referencia'!$B$2:$CO$584,64,FALSE)=0,"","Digite"))</f>
        <v>0</v>
      </c>
      <c r="FV10" s="382">
        <f t="shared" si="35"/>
        <v>0</v>
      </c>
      <c r="FW10" s="382">
        <f t="shared" si="36"/>
        <v>0</v>
      </c>
      <c r="FX10" s="453">
        <f>IF(OR(AL10=0,AL10=""),0,IF(VLOOKUP(B10,'Matriz de Referencia'!$B$2:$CO$584,53,FALSE)=0,0,"Digite"))</f>
        <v>0</v>
      </c>
      <c r="FY10" s="454">
        <f>IF(OR(AL10=0,AL10=""),0,IF(VLOOKUP(B10,'Matriz de Referencia'!$B$2:$CO$584,54,FALSE)=0,0,"Digite"))</f>
        <v>0</v>
      </c>
      <c r="FZ10" s="454">
        <f>IF(OR(AL10=0,AL10=""),0,IF(VLOOKUP(B10,'Matriz de Referencia'!$B$2:$CO$584,55,FALSE)=0,0,"Digite"))</f>
        <v>0</v>
      </c>
      <c r="GA10" s="454">
        <f>IF(OR(AL10=0,AL10=""),0,IF(VLOOKUP(B10,'Matriz de Referencia'!$B$2:$CO$584,56,FALSE)=0,0,"Digite"))</f>
        <v>0</v>
      </c>
      <c r="GB10" s="454">
        <f>IF(OR(AL10=0,AL10=""),0,IF(VLOOKUP(B10,'Matriz de Referencia'!$B$2:$CO$584,57,FALSE)=0,0,"Digite"))</f>
        <v>0</v>
      </c>
      <c r="GC10" s="454">
        <f>IF(OR(AL10=0,AL10=""),0,IF(VLOOKUP(B10,'Matriz de Referencia'!$B$2:$CO$584,58,FALSE)=0,0,"Digite"))</f>
        <v>0</v>
      </c>
      <c r="GD10" s="454">
        <f>IF(OR(AL10=0,AL10=""),0,IF(VLOOKUP(B10,'Matriz de Referencia'!$B$2:$CO$584,59,FALSE)=0,0,"Digite"))</f>
        <v>0</v>
      </c>
      <c r="GE10" s="454">
        <f>IF(OR(AL10=0,AL10=""),0,IF(VLOOKUP(B10,'Matriz de Referencia'!$B$2:$CO$584,60,FALSE)=0,0,"Digite"))</f>
        <v>0</v>
      </c>
      <c r="GF10" s="382">
        <f t="shared" si="37"/>
        <v>0</v>
      </c>
      <c r="GG10" s="454">
        <f>IF(OR(AL10=0,AL10=""),0,IF(VLOOKUP(B10,'Matriz de Referencia'!$B$2:$CO$584,62,FALSE)=0,0,"Digite"))</f>
        <v>0</v>
      </c>
      <c r="GH10" s="454">
        <f>IF(OR(AL10=0,AL10=""),0,IF(VLOOKUP(B10,'Matriz de Referencia'!$B$2:$CO$584,63,FALSE)=0,0,"Digite"))</f>
        <v>0</v>
      </c>
      <c r="GI10" s="454">
        <f>IF(OR(AL10=0,AL10=""),0,IF(VLOOKUP(B10,'Matriz de Referencia'!$B$2:$CO$584,64,FALSE)=0,0,"Digite"))</f>
        <v>0</v>
      </c>
      <c r="GJ10" s="382">
        <f t="shared" si="38"/>
        <v>0</v>
      </c>
      <c r="GK10" s="382">
        <f t="shared" si="39"/>
        <v>0</v>
      </c>
      <c r="GL10" s="453">
        <f>IF(OR(AM10=0,AM10=""),0,IF(VLOOKUP(B10,'Matriz de Referencia'!$B$2:$CO$584,53,FALSE)=0,0,"Digite"))</f>
        <v>0</v>
      </c>
      <c r="GM10" s="454">
        <f>IF(OR(AM10=0,AM10=""),0,IF(VLOOKUP(B10,'Matriz de Referencia'!$B$2:$CO$584,54,FALSE)=0,0,"Digite"))</f>
        <v>0</v>
      </c>
      <c r="GN10" s="454">
        <f>IF(OR(AM10=0,AM10=""),0,IF(VLOOKUP(B10,'Matriz de Referencia'!$B$2:$CO$584,55,FALSE)=0,0,"Digite"))</f>
        <v>0</v>
      </c>
      <c r="GO10" s="454">
        <f>IF(OR(AM10=0,AM10=""),0,IF(VLOOKUP(B10,'Matriz de Referencia'!$B$2:$CO$584,56,FALSE)=0,0,"Digite"))</f>
        <v>0</v>
      </c>
      <c r="GP10" s="454">
        <f>IF(OR(AM10=0,AM10=""),0,IF(VLOOKUP(B10,'Matriz de Referencia'!$B$2:$CO$584,57,FALSE)=0,0,"Digite"))</f>
        <v>0</v>
      </c>
      <c r="GQ10" s="454">
        <f>IF(OR(AM10=0,AM10=""),0,IF(VLOOKUP(B10,'Matriz de Referencia'!$B$2:$CO$584,58,FALSE)=0,0,"Digite"))</f>
        <v>0</v>
      </c>
      <c r="GR10" s="454">
        <f>IF(OR(AM10=0,AM10=""),0,IF(VLOOKUP(B10,'Matriz de Referencia'!$B$2:$CO$584,59,FALSE)=0,0,"Digite"))</f>
        <v>0</v>
      </c>
      <c r="GS10" s="454">
        <f>IF(OR(AM10=0,AM10=""),0,IF(VLOOKUP(B10,'Matriz de Referencia'!$B$2:$CO$584,60,FALSE)=0,0,"Digite"))</f>
        <v>0</v>
      </c>
      <c r="GT10" s="382">
        <f t="shared" si="40"/>
        <v>0</v>
      </c>
      <c r="GU10" s="454">
        <f>IF(OR(AM10=0,AM10=""),0,IF(VLOOKUP(B10,'Matriz de Referencia'!$B$2:$CO$584,62,FALSE)=0,0,"Digite"))</f>
        <v>0</v>
      </c>
      <c r="GV10" s="454">
        <f>IF(OR(AM10=0,AM10=""),0,IF(VLOOKUP(B10,'Matriz de Referencia'!$B$2:$CO$584,63,FALSE)=0,0,"Digite"))</f>
        <v>0</v>
      </c>
      <c r="GW10" s="454">
        <f>IF(OR(AM10=0,AM10=""),0,IF(VLOOKUP(B10,'Matriz de Referencia'!$B$2:$CO$584,64,FALSE)=0,0,"Digite"))</f>
        <v>0</v>
      </c>
      <c r="GX10" s="382">
        <f t="shared" si="41"/>
        <v>0</v>
      </c>
      <c r="GY10" s="382">
        <f t="shared" si="42"/>
        <v>0</v>
      </c>
      <c r="GZ10" s="453">
        <f>IF(OR(AN10=0,AN10=""),0,IF(VLOOKUP(B10,'Matriz de Referencia'!$B$2:$CO$584,53,FALSE)=0,0,"Digite"))</f>
        <v>0</v>
      </c>
      <c r="HA10" s="454">
        <f>IF(OR(AN10=0,AN10=""),0,IF(VLOOKUP(B10,'Matriz de Referencia'!$B$2:$CO$584,54,FALSE)=0,0,"Digite"))</f>
        <v>0</v>
      </c>
      <c r="HB10" s="454">
        <f>IF(OR(AN10=0,AN10=""),0,IF(VLOOKUP(B10,'Matriz de Referencia'!$B$2:$CO$584,55,FALSE)=0,0,"Digite"))</f>
        <v>0</v>
      </c>
      <c r="HC10" s="454">
        <f>IF(OR(AN10=0,AN10=""),0,IF(VLOOKUP(B10,'Matriz de Referencia'!$B$2:$CO$584,56,FALSE)=0,0,"Digite"))</f>
        <v>0</v>
      </c>
      <c r="HD10" s="454">
        <f>IF(OR(AN10=0,AN10=""),0,IF(VLOOKUP(B10,'Matriz de Referencia'!$B$2:$CO$584,57,FALSE)=0,0,"Digite"))</f>
        <v>0</v>
      </c>
      <c r="HE10" s="454">
        <f>IF(OR(AN10=0,AN10=""),0,IF(VLOOKUP(B10,'Matriz de Referencia'!$B$2:$CO$584,58,FALSE)=0,0,"Digite"))</f>
        <v>0</v>
      </c>
      <c r="HF10" s="454">
        <f>IF(OR(AN10=0,AN10=""),0,IF(VLOOKUP(B10,'Matriz de Referencia'!$B$2:$CO$584,59,FALSE)=0,0,"Digite"))</f>
        <v>0</v>
      </c>
      <c r="HG10" s="454">
        <f>IF(OR(AN10=0,AN10=""),0,IF(VLOOKUP(B10,'Matriz de Referencia'!$B$2:$CO$584,60,FALSE)=0,0,"Digite"))</f>
        <v>0</v>
      </c>
      <c r="HH10" s="382">
        <f t="shared" si="43"/>
        <v>0</v>
      </c>
      <c r="HI10" s="454">
        <f>IF(OR(AN10=0,AN10=""),0,IF(VLOOKUP(B10,'Matriz de Referencia'!$B$2:$CO$584,62,FALSE)=0,0,"Digite"))</f>
        <v>0</v>
      </c>
      <c r="HJ10" s="454">
        <f>IF(OR(AN10=0,AN10=""),0,IF(VLOOKUP(B10,'Matriz de Referencia'!$B$2:$CO$584,63,FALSE)=0,0,"Digite"))</f>
        <v>0</v>
      </c>
      <c r="HK10" s="454">
        <f>IF(OR(AN10=0,AN10=""),0,IF(VLOOKUP(B10,'Matriz de Referencia'!$B$2:$CO$584,64,FALSE)=0,0,"Digite"))</f>
        <v>0</v>
      </c>
      <c r="HL10" s="382">
        <f t="shared" si="44"/>
        <v>0</v>
      </c>
      <c r="HM10" s="382">
        <f t="shared" si="45"/>
        <v>0</v>
      </c>
      <c r="HN10" s="382">
        <f t="shared" si="46"/>
        <v>0</v>
      </c>
      <c r="HO10" s="101" t="str">
        <f>IFERROR(IF(HN10=0,"",IF(VLOOKUP(B10,'Matriz de Referencia'!$B$2:$CO$584,66,FALSE)=HN10,"Techos ok, cotinue","Debe revisar el valor programado")),"")</f>
        <v/>
      </c>
      <c r="HP10" s="453">
        <f>IF(OR(AQ10=0,AQ10=""),0,IF(VLOOKUP(B10,'Matriz de Referencia'!$B$2:$CO$584,67,FALSE)=0,0,"Digite"))</f>
        <v>0</v>
      </c>
      <c r="HQ10" s="454">
        <f>IF(OR(AQ10=0,AQ10=""),0,IF(VLOOKUP(B10,'Matriz de Referencia'!$B$2:$CO$584,68,FALSE)=0,0,"Digite"))</f>
        <v>0</v>
      </c>
      <c r="HR10" s="454">
        <f>IF(OR(AQ10=0,AQ10=""),0,IF(VLOOKUP(B10,'Matriz de Referencia'!$B$2:$CO$584,69,FALSE)=0,0,"Digite"))</f>
        <v>0</v>
      </c>
      <c r="HS10" s="454">
        <f>IF(OR(AQ10=0,AQ10=""),0,IF(VLOOKUP(B10,'Matriz de Referencia'!$B$2:$CO$584,70,FALSE)=0,0,"Digite"))</f>
        <v>0</v>
      </c>
      <c r="HT10" s="454">
        <f>IF(OR(AQ10=0,AQ10=""),0,IF(VLOOKUP(B10,'Matriz de Referencia'!$B$2:$CO$584,71,FALSE)=0,0,"Digite"))</f>
        <v>0</v>
      </c>
      <c r="HU10" s="454">
        <f>IF(OR(AQ10=0,AQ10=""),0,IF(VLOOKUP(B10,'Matriz de Referencia'!$B$2:$CO$584,72,FALSE)=0,0,"Digite"))</f>
        <v>0</v>
      </c>
      <c r="HV10" s="454">
        <f>IF(OR(AQ10=0,AQ10=""),0,IF(VLOOKUP(B10,'Matriz de Referencia'!$B$2:$CO$584,73,FALSE)=0,0,"Digite"))</f>
        <v>0</v>
      </c>
      <c r="HW10" s="454">
        <f>IF(OR(AQ10=0,AQ10=""),0,IF(VLOOKUP(B10,'Matriz de Referencia'!$B$2:$CO$584,74,FALSE)=0,0,"Digite"))</f>
        <v>0</v>
      </c>
      <c r="HX10" s="382">
        <f t="shared" si="47"/>
        <v>0</v>
      </c>
      <c r="HY10" s="454">
        <f>IF(OR(AQ10=0,AQ10=""),0,IF(VLOOKUP(B10,'Matriz de Referencia'!$B$2:$CO$584,76,FALSE)=0,0,"Digite"))</f>
        <v>0</v>
      </c>
      <c r="HZ10" s="454">
        <f>IF(OR(AQ10=0,AQ10=""),0,IF(VLOOKUP(B10,'Matriz de Referencia'!$B$2:$CO$584,77,FALSE)=0,0,"Digite"))</f>
        <v>0</v>
      </c>
      <c r="IA10" s="454">
        <f>IF(OR(AQ10=0,AQ10=""),0,IF(VLOOKUP(B10,'Matriz de Referencia'!$B$2:$CO$584,78,FALSE)=0,0,"Digite"))</f>
        <v>0</v>
      </c>
      <c r="IB10" s="382">
        <f t="shared" si="48"/>
        <v>0</v>
      </c>
      <c r="IC10" s="382">
        <f t="shared" si="49"/>
        <v>0</v>
      </c>
      <c r="ID10" s="453">
        <f>IF(OR(AR10=0,AR10=""),0,IF(VLOOKUP(B10,'Matriz de Referencia'!$B$2:$CO$584,67,FALSE)=0,0,"Digite"))</f>
        <v>0</v>
      </c>
      <c r="IE10" s="454">
        <f>IF(OR(AR10=0,AR10=""),0,IF(VLOOKUP(B10,'Matriz de Referencia'!$B$2:$CO$584,68,FALSE)=0,0,"Digite"))</f>
        <v>0</v>
      </c>
      <c r="IF10" s="454">
        <f>IF(OR(AR10=0,AR10=""),0,IF(VLOOKUP(B10,'Matriz de Referencia'!$B$2:$CO$584,69,FALSE)=0,0,"Digite"))</f>
        <v>0</v>
      </c>
      <c r="IG10" s="454">
        <f>IF(OR(AR10=0,AR10=""),0,IF(VLOOKUP(B10,'Matriz de Referencia'!$B$2:$CO$584,70,FALSE)=0,0,"Digite"))</f>
        <v>0</v>
      </c>
      <c r="IH10" s="454">
        <f>IF(OR(AR10=0,AR10=""),0,IF(VLOOKUP(B10,'Matriz de Referencia'!$B$2:$CO$584,71,FALSE)=0,0,"Digite"))</f>
        <v>0</v>
      </c>
      <c r="II10" s="454">
        <f>IF(OR(AR10=0,AR10=""),0,IF(VLOOKUP(B10,'Matriz de Referencia'!$B$2:$CO$584,72,FALSE)=0,0,"Digite"))</f>
        <v>0</v>
      </c>
      <c r="IJ10" s="454">
        <f>IF(OR(AR10=0,AR10=""),0,IF(VLOOKUP(B10,'Matriz de Referencia'!$B$2:$CO$584,73,FALSE)=0,0,"Digite"))</f>
        <v>0</v>
      </c>
      <c r="IK10" s="454">
        <f>IF(OR(AR10=0,AR10=""),0,IF(VLOOKUP(B10,'Matriz de Referencia'!$B$2:$CO$584,74,FALSE)=0,0,"Digite"))</f>
        <v>0</v>
      </c>
      <c r="IL10" s="382">
        <f t="shared" si="50"/>
        <v>0</v>
      </c>
      <c r="IM10" s="454">
        <f>IF(OR(AR10=0,AR10=""),0,IF(VLOOKUP(B10,'Matriz de Referencia'!$B$2:$CO$584,76,FALSE)=0,0,"Digite"))</f>
        <v>0</v>
      </c>
      <c r="IN10" s="454">
        <f>IF(OR(AR10=0,AR10=""),0,IF(VLOOKUP(B10,'Matriz de Referencia'!$B$2:$CO$584,77,FALSE)=0,0,"Digite"))</f>
        <v>0</v>
      </c>
      <c r="IO10" s="454">
        <f>IF(OR(AR10=0,AR10=""),0,IF(VLOOKUP(B10,'Matriz de Referencia'!$B$2:$CO$584,78,FALSE)=0,0,"Digite"))</f>
        <v>0</v>
      </c>
      <c r="IP10" s="382">
        <f t="shared" si="51"/>
        <v>0</v>
      </c>
      <c r="IQ10" s="382">
        <f t="shared" si="52"/>
        <v>0</v>
      </c>
      <c r="IR10" s="453">
        <f>IF(OR(AS10=0,AS10=""),0,IF(VLOOKUP(B10,'Matriz de Referencia'!$B$2:$CO$584,67,FALSE)=0,0,"Digite"))</f>
        <v>0</v>
      </c>
      <c r="IS10" s="454">
        <f>IF(OR(AS10=0,AS10=""),0,IF(VLOOKUP(B10,'Matriz de Referencia'!$B$2:$CO$584,68,FALSE)=0,0,"Digite"))</f>
        <v>0</v>
      </c>
      <c r="IT10" s="454">
        <f>IF(OR(AS10=0,AS10=""),0,IF(VLOOKUP(B10,'Matriz de Referencia'!$B$2:$CO$584,69,FALSE)=0,0,"Digite"))</f>
        <v>0</v>
      </c>
      <c r="IU10" s="454">
        <f>IF(OR(AS10=0,AS10=""),0,IF(VLOOKUP(B10,'Matriz de Referencia'!$B$2:$CO$584,70,FALSE)=0,0,"Digite"))</f>
        <v>0</v>
      </c>
      <c r="IV10" s="454">
        <f>IF(OR(AS10=0,AS10=""),0,IF(VLOOKUP(B10,'Matriz de Referencia'!$B$2:$CO$584,71,FALSE)=0,0,"Digite"))</f>
        <v>0</v>
      </c>
      <c r="IW10" s="454">
        <f>IF(OR(AS10=0,AS10=""),0,IF(VLOOKUP(B10,'Matriz de Referencia'!$B$2:$CO$584,72,FALSE)=0,0,"Digite"))</f>
        <v>0</v>
      </c>
      <c r="IX10" s="454">
        <f>IF(OR(AS10=0,AS10=""),0,IF(VLOOKUP(B10,'Matriz de Referencia'!$B$2:$CO$584,73,FALSE)=0,0,"Digite"))</f>
        <v>0</v>
      </c>
      <c r="IY10" s="454">
        <f>IF(OR(AS10=0,AS10=""),0,IF(VLOOKUP(B10,'Matriz de Referencia'!$B$2:$CO$584,74,FALSE)=0,0,"Digite"))</f>
        <v>0</v>
      </c>
      <c r="IZ10" s="382">
        <f t="shared" si="53"/>
        <v>0</v>
      </c>
      <c r="JA10" s="454">
        <f>IF(OR(AS10=0,AS10=""),0,IF(VLOOKUP(B10,'Matriz de Referencia'!$B$2:$CO$584,76,FALSE)=0,0,"Digite"))</f>
        <v>0</v>
      </c>
      <c r="JB10" s="454">
        <f>IF(OR(AS10=0,AS10=""),0,IF(VLOOKUP(B10,'Matriz de Referencia'!$B$2:$CO$584,77,FALSE)=0,0,"Digite"))</f>
        <v>0</v>
      </c>
      <c r="JC10" s="454">
        <f>IF(OR(AS10=0,AS10=""),0,IF(VLOOKUP(B10,'Matriz de Referencia'!$B$2:$CO$584,78,FALSE)=0,0,"Digite"))</f>
        <v>0</v>
      </c>
      <c r="JD10" s="382">
        <f t="shared" si="54"/>
        <v>0</v>
      </c>
      <c r="JE10" s="382">
        <f t="shared" si="55"/>
        <v>0</v>
      </c>
      <c r="JF10" s="453">
        <f>IF(OR(AT10=0,AT10=""),0,IF(VLOOKUP(B10,'Matriz de Referencia'!$B$2:$CO$584,67,FALSE)=0,0,"Digite"))</f>
        <v>0</v>
      </c>
      <c r="JG10" s="454">
        <f>IF(OR(AT10=0,AT10=""),0,IF(VLOOKUP(B10,'Matriz de Referencia'!$B$2:$CO$584,68,FALSE)=0,0,"Digite"))</f>
        <v>0</v>
      </c>
      <c r="JH10" s="454">
        <f>IF(OR(AT10=0,AT10=""),0,IF(VLOOKUP(B10,'Matriz de Referencia'!$B$2:$CO$584,69,FALSE)=0,0,"Digite"))</f>
        <v>0</v>
      </c>
      <c r="JI10" s="454">
        <f>IF(OR(AT10=0,AT10=""),0,IF(VLOOKUP(B10,'Matriz de Referencia'!$B$2:$CO$584,70,FALSE)=0,0,"Digite"))</f>
        <v>0</v>
      </c>
      <c r="JJ10" s="454">
        <f>IF(OR(AT10=0,AT10=""),0,IF(VLOOKUP(B10,'Matriz de Referencia'!$B$2:$CO$584,71,FALSE)=0,0,"Digite"))</f>
        <v>0</v>
      </c>
      <c r="JK10" s="454">
        <f>IF(OR(AT10=0,AT10=""),0,IF(VLOOKUP(B10,'Matriz de Referencia'!$B$2:$CO$584,72,FALSE)=0,0,"Digite"))</f>
        <v>0</v>
      </c>
      <c r="JL10" s="454">
        <f>IF(OR(AT10=0,AT10=""),0,IF(VLOOKUP(B10,'Matriz de Referencia'!$B$2:$CO$584,73,FALSE)=0,0,"Digite"))</f>
        <v>0</v>
      </c>
      <c r="JM10" s="454">
        <f>IF(OR(AT10=0,AT10=""),0,IF(VLOOKUP(B10,'Matriz de Referencia'!$B$2:$CO$584,74,FALSE)=0,0,"Digite"))</f>
        <v>0</v>
      </c>
      <c r="JN10" s="382">
        <f t="shared" si="56"/>
        <v>0</v>
      </c>
      <c r="JO10" s="454">
        <f>IF(OR(AT10=0,AT10=""),0,IF(VLOOKUP(B10,'Matriz de Referencia'!$B$2:$CO$584,76,FALSE)=0,0,"Digite"))</f>
        <v>0</v>
      </c>
      <c r="JP10" s="454">
        <f>IF(OR(AT10=0,AT10=""),0,IF(VLOOKUP(B10,'Matriz de Referencia'!$B$2:$CO$584,77,FALSE)=0,0,"Digite"))</f>
        <v>0</v>
      </c>
      <c r="JQ10" s="454">
        <f>IF(OR(AT10=0,AT10=""),0,IF(VLOOKUP(B10,'Matriz de Referencia'!$B$2:$CO$584,78,FALSE)=0,0,"Digite"))</f>
        <v>0</v>
      </c>
      <c r="JR10" s="382">
        <f t="shared" si="57"/>
        <v>0</v>
      </c>
      <c r="JS10" s="382">
        <f t="shared" si="58"/>
        <v>0</v>
      </c>
      <c r="JT10" s="382">
        <f t="shared" si="59"/>
        <v>0</v>
      </c>
      <c r="JU10" s="101" t="str">
        <f>IFERROR(IF(JT10=0,"",IF(VLOOKUP(B10,'Matriz de Referencia'!$B$2:$CO$584,80,FALSE)=JT10,"Techos ok, cotinue","Debe revisar el valor programado")),"")</f>
        <v/>
      </c>
      <c r="JV10" s="382">
        <f t="shared" si="60"/>
        <v>0</v>
      </c>
    </row>
    <row r="11" spans="1:282">
      <c r="S11" s="568"/>
      <c r="T11" s="414"/>
      <c r="U11" s="661" t="str">
        <f t="shared" si="1"/>
        <v>Dimensión_</v>
      </c>
      <c r="V11" s="414"/>
      <c r="W11" s="568"/>
      <c r="X11" s="449" t="str">
        <f>IFERROR(IF(VLOOKUP(B11,'Matriz de Referencia'!$B$2:$CO$584,'Matriz de Referencia'!AM$1,FALSE)&gt;0,"Diligenciar la vigencia, tiene presupuesto programado","No diligenciar, no programo presupuesto"),"")</f>
        <v/>
      </c>
      <c r="Y11" s="649"/>
      <c r="Z11" s="649"/>
      <c r="AA11" s="649"/>
      <c r="AB11" s="649"/>
      <c r="AC11" s="650" t="str">
        <f t="shared" si="2"/>
        <v/>
      </c>
      <c r="AD11" s="449" t="str">
        <f>IFERROR(IF(VLOOKUP($B11,'Matriz de Referencia'!$B$2:$CO$584,'Matriz de Referencia'!BA$1,FALSE)&gt;0,"Diligenciar la vigencia, tiene presupuesto programado","No diligenciar, no programo presupuesto"),"")</f>
        <v/>
      </c>
      <c r="AE11" s="649"/>
      <c r="AF11" s="649"/>
      <c r="AG11" s="649"/>
      <c r="AH11" s="649"/>
      <c r="AI11" s="650" t="str">
        <f t="shared" si="3"/>
        <v/>
      </c>
      <c r="AJ11" s="449" t="str">
        <f>IFERROR(IF(VLOOKUP($B11,'Matriz de Referencia'!$B$2:$CO$584,'Matriz de Referencia'!BO$1,FALSE)&gt;0,"Diligenciar la vigencia, tiene presupuesto programado","No diligenciar, no programo presupuesto"),"")</f>
        <v/>
      </c>
      <c r="AK11" s="649"/>
      <c r="AL11" s="649"/>
      <c r="AM11" s="649"/>
      <c r="AN11" s="649"/>
      <c r="AO11" s="650" t="str">
        <f t="shared" si="4"/>
        <v/>
      </c>
      <c r="AP11" s="449" t="str">
        <f>IFERROR(IF(VLOOKUP($B11,'Matriz de Referencia'!$B$2:$CO$584,'Matriz de Referencia'!CC$1,FALSE)&gt;0,"Diligenciar la vigencia, tiene presupuesto programado","No diligenciar, no programo presupuesto"),"")</f>
        <v/>
      </c>
      <c r="AQ11" s="649"/>
      <c r="AR11" s="649"/>
      <c r="AS11" s="649"/>
      <c r="AT11" s="649"/>
      <c r="AU11" s="650" t="str">
        <f t="shared" si="5"/>
        <v/>
      </c>
      <c r="AV11" s="448" t="str">
        <f t="shared" si="6"/>
        <v/>
      </c>
      <c r="AW11" s="416" t="str">
        <f t="shared" si="7"/>
        <v/>
      </c>
      <c r="AX11" s="455" t="str">
        <f>IF(OR(Y11=0,Y11=""),"",IF(VLOOKUP(B11,'Matriz de Referencia'!$B$2:$CO$584,'Matriz de Referencia'!BB$1,FALSE)=0,"","Digite"))</f>
        <v/>
      </c>
      <c r="AY11" s="456">
        <f>IF(OR(Y11=0,Y11=""),0,IF(VLOOKUP(B11,'Matriz de Referencia'!$B$2:$CO$584,26,FALSE)=0,0,"Digite"))</f>
        <v>0</v>
      </c>
      <c r="AZ11" s="456">
        <f>IF(OR(Y11=0,Y11=""),0,IF(VLOOKUP(B11,'Matriz de Referencia'!$B$2:$CO$584,27,FALSE)=0,0,"Digite"))</f>
        <v>0</v>
      </c>
      <c r="BA11" s="456">
        <f>IF(OR(Y11=0,Y11=""),0,IF(VLOOKUP(B11,'Matriz de Referencia'!$B$2:$CO$584,28,FALSE)=0,0,"Digite"))</f>
        <v>0</v>
      </c>
      <c r="BB11" s="456">
        <f>IF(OR(Y11=0,Y11=""),0,IF(VLOOKUP(B11,'Matriz de Referencia'!$B$2:$CO$584,29,FALSE)=0,0,"Digite"))</f>
        <v>0</v>
      </c>
      <c r="BC11" s="456">
        <f>IF(OR(Y11=0,Y11=""),0,IF(VLOOKUP(B11,'Matriz de Referencia'!$B$2:$CO$584,30,FALSE)=0,0,"Digite"))</f>
        <v>0</v>
      </c>
      <c r="BD11" s="456">
        <f>IF(OR(Y11=0,Y11=""),0,IF(VLOOKUP(B11,'Matriz de Referencia'!$B$2:$CO$584,31,FALSE)=0,0,"Digite"))</f>
        <v>0</v>
      </c>
      <c r="BE11" s="456">
        <f>IF(OR(Y11=0,Y11=""),0,IF(VLOOKUP(B11,'Matriz de Referencia'!$B$2:$CO$584,32,FALSE)=0,0,"Digite"))</f>
        <v>0</v>
      </c>
      <c r="BF11" s="460">
        <f t="shared" si="8"/>
        <v>0</v>
      </c>
      <c r="BG11" s="456">
        <f>IF(OR(Y11=0,Y11=""),0,IF(VLOOKUP(B11,'Matriz de Referencia'!$B$2:$CO$584,34,FALSE)=0,0,"Digite"))</f>
        <v>0</v>
      </c>
      <c r="BH11" s="456">
        <f>IF(OR(Y11=0,Y11=""),0,IF(VLOOKUP(B11,'Matriz de Referencia'!$B$2:$CO$584,35,FALSE)=0,0,"Digite"))</f>
        <v>0</v>
      </c>
      <c r="BI11" s="456">
        <f>IF(OR(Y11=0,Y11=""),0,IF(VLOOKUP(B11,'Matriz de Referencia'!$B$2:$CO$584,36,FALSE)=0,0,"Digite"))</f>
        <v>0</v>
      </c>
      <c r="BJ11" s="457">
        <f t="shared" si="9"/>
        <v>0</v>
      </c>
      <c r="BK11" s="457">
        <f t="shared" si="10"/>
        <v>0</v>
      </c>
      <c r="BL11" s="455">
        <f>IF(OR(Z11=0,Z11=""),0,IF(VLOOKUP(B11,'Matriz de Referencia'!$B$2:$CO$584,25,FALSE)=0,0,"Digite"))</f>
        <v>0</v>
      </c>
      <c r="BM11" s="456">
        <f>IF(OR(Z11=0,Z11=""),0,IF(VLOOKUP(B11,'Matriz de Referencia'!$B$2:$CO$584,26,FALSE)=0,0,"Digite"))</f>
        <v>0</v>
      </c>
      <c r="BN11" s="456">
        <f>IF(OR(Z11=0,Z11=""),0,IF(VLOOKUP(B11,'Matriz de Referencia'!$B$2:$CO$584,27,FALSE)=0,0,"Digite"))</f>
        <v>0</v>
      </c>
      <c r="BO11" s="456">
        <f>IF(OR(Z11=0,Z11=""),0,IF(VLOOKUP(B11,'Matriz de Referencia'!$B$2:$CO$584,28,FALSE)=0,0,"Digite"))</f>
        <v>0</v>
      </c>
      <c r="BP11" s="456">
        <f>IF(OR(Z11=0,Z11=""),0,IF(VLOOKUP(B11,'Matriz de Referencia'!$B$2:$CO$584,29,FALSE)=0,0,"Digite"))</f>
        <v>0</v>
      </c>
      <c r="BQ11" s="456">
        <f>IF(OR(Z11=0,Z11=""),0,IF(VLOOKUP(B11,'Matriz de Referencia'!$B$2:$CO$584,30,FALSE)=0,0,"Digite"))</f>
        <v>0</v>
      </c>
      <c r="BR11" s="456">
        <f>IF(OR(Z11=0,Z11=""),0,IF(VLOOKUP(B11,'Matriz de Referencia'!$B$2:$CO$584,31,FALSE)=0,0,"Digite"))</f>
        <v>0</v>
      </c>
      <c r="BS11" s="456">
        <f>IF(OR(Z11=0,Z11=""),0,IF(VLOOKUP(B11,'Matriz de Referencia'!$B$2:$CO$584,32,FALSE)=0,0,"Digite"))</f>
        <v>0</v>
      </c>
      <c r="BT11" s="457">
        <f t="shared" si="11"/>
        <v>0</v>
      </c>
      <c r="BU11" s="456">
        <f>IF(OR(Z11=0,Z11=""),0,IF(VLOOKUP(B11,'Matriz de Referencia'!$B$2:$CO$584,34,FALSE)=0,0,"Digite"))</f>
        <v>0</v>
      </c>
      <c r="BV11" s="456">
        <f>IF(OR(Z11=0,Z11=""),0,IF(VLOOKUP(B11,'Matriz de Referencia'!$B$2:$CO$584,35,FALSE)=0,0,"Digite"))</f>
        <v>0</v>
      </c>
      <c r="BW11" s="456">
        <f>IF(OR(Z11=0,Z11=""),0,IF(VLOOKUP(B11,'Matriz de Referencia'!$B$2:$CO$584,36,FALSE)=0,0,"Digite"))</f>
        <v>0</v>
      </c>
      <c r="BX11" s="457">
        <f t="shared" si="12"/>
        <v>0</v>
      </c>
      <c r="BY11" s="457">
        <f t="shared" si="13"/>
        <v>0</v>
      </c>
      <c r="BZ11" s="455">
        <f>IF(OR(AA11=0,AA11=""),0,IF(VLOOKUP(B11,'Matriz de Referencia'!$B$2:$CO$584,25,FALSE)=0,0,"Digite"))</f>
        <v>0</v>
      </c>
      <c r="CA11" s="456">
        <f>IF(OR(AA11=0,AA11=""),0,IF(VLOOKUP(B11,'Matriz de Referencia'!$B$2:$CO$584,26,FALSE)=0,0,"Digite"))</f>
        <v>0</v>
      </c>
      <c r="CB11" s="456">
        <f>IF(OR(AA11=0,AA11=""),0,IF(VLOOKUP(B11,'Matriz de Referencia'!$B$2:$CO$584,27,FALSE)=0,0,"Digite"))</f>
        <v>0</v>
      </c>
      <c r="CC11" s="456">
        <f>IF(OR(AA11=0,AA11=""),0,IF(VLOOKUP(B11,'Matriz de Referencia'!$B$2:$CO$584,28,FALSE)=0,0,"Digite"))</f>
        <v>0</v>
      </c>
      <c r="CD11" s="456">
        <f>IF(OR(AA11=0,AA11=""),0,IF(VLOOKUP(B11,'Matriz de Referencia'!$B$2:$CO$584,29,FALSE)=0,0,"Digite"))</f>
        <v>0</v>
      </c>
      <c r="CE11" s="456">
        <f>IF(OR(AA11=0,AA11=""),0,IF(VLOOKUP(B11,'Matriz de Referencia'!$B$2:$CO$584,30,FALSE)=0,0,"Digite"))</f>
        <v>0</v>
      </c>
      <c r="CF11" s="456">
        <f>IF(OR(AA11=0,AA11=""),0,IF(VLOOKUP(B11,'Matriz de Referencia'!$B$2:$CO$584,31,FALSE)=0,0,"Digite"))</f>
        <v>0</v>
      </c>
      <c r="CG11" s="456">
        <f>IF(OR(AA11=0,AA11=""),0,IF(VLOOKUP(B11,'Matriz de Referencia'!$B$2:$CO$584,32,FALSE)=0,0,"Digite"))</f>
        <v>0</v>
      </c>
      <c r="CH11" s="457">
        <f t="shared" si="14"/>
        <v>0</v>
      </c>
      <c r="CI11" s="456">
        <f>IF(OR(AA11=0,AA11=""),0,IF(VLOOKUP(B11,'Matriz de Referencia'!$B$2:$CO$584,34,FALSE)=0,0,"Digite"))</f>
        <v>0</v>
      </c>
      <c r="CJ11" s="456">
        <f>IF(OR(AA11=0,AA11=""),0,IF(VLOOKUP(B11,'Matriz de Referencia'!$B$2:$CO$584,35,FALSE)=0,0,"Digite"))</f>
        <v>0</v>
      </c>
      <c r="CK11" s="456">
        <f>IF(OR(AA11=0,AA11=""),0,IF(VLOOKUP(B11,'Matriz de Referencia'!$B$2:$CO$584,36,FALSE)=0,0,"Digite"))</f>
        <v>0</v>
      </c>
      <c r="CL11" s="457">
        <f t="shared" si="15"/>
        <v>0</v>
      </c>
      <c r="CM11" s="457">
        <f t="shared" si="16"/>
        <v>0</v>
      </c>
      <c r="CN11" s="455">
        <f>IF(OR(AB11=0,AB11=""),0,IF(VLOOKUP(B11,'Matriz de Referencia'!$B$2:$CO$584,25,FALSE)=0,0,"Digite"))</f>
        <v>0</v>
      </c>
      <c r="CO11" s="456">
        <f>IF(OR(AB11=0,AB11=""),0,IF(VLOOKUP(B11,'Matriz de Referencia'!$B$2:$CO$584,26,FALSE)=0,0,"Digite"))</f>
        <v>0</v>
      </c>
      <c r="CP11" s="456">
        <f>IF(OR(AB11=0,AB11=""),0,IF(VLOOKUP(B11,'Matriz de Referencia'!$B$2:$CO$584,27,FALSE)=0,0,"Digite"))</f>
        <v>0</v>
      </c>
      <c r="CQ11" s="456">
        <f>IF(OR(AB11=0,AB11=""),0,IF(VLOOKUP(B11,'Matriz de Referencia'!$B$2:$CO$584,28,FALSE)=0,0,"Digite"))</f>
        <v>0</v>
      </c>
      <c r="CR11" s="456">
        <f>IF(OR(AB11=0,AB11=""),0,IF(VLOOKUP(B11,'Matriz de Referencia'!$B$2:$CO$584,29,FALSE)=0,0,"Digite"))</f>
        <v>0</v>
      </c>
      <c r="CS11" s="456">
        <f>IF(OR(AB11=0,AB11=""),0,IF(VLOOKUP(B11,'Matriz de Referencia'!$B$2:$CO$584,30,FALSE)=0,0,"Digite"))</f>
        <v>0</v>
      </c>
      <c r="CT11" s="456">
        <f>IF(OR(AB11=0,AB11=""),0,IF(VLOOKUP(B11,'Matriz de Referencia'!$B$2:$CO$584,31,FALSE)=0,0,"Digite"))</f>
        <v>0</v>
      </c>
      <c r="CU11" s="456">
        <f>IF(OR(AB11=0,AB11=""),0,IF(VLOOKUP(B11,'Matriz de Referencia'!$B$2:$CO$584,32,FALSE)=0,0,"Digite"))</f>
        <v>0</v>
      </c>
      <c r="CV11" s="457">
        <f t="shared" si="17"/>
        <v>0</v>
      </c>
      <c r="CW11" s="456">
        <f>IF(OR(AB11=0,AB11=""),0,IF(VLOOKUP(B11,'Matriz de Referencia'!$B$2:$CO$584,34,FALSE)=0,0,"Digite"))</f>
        <v>0</v>
      </c>
      <c r="CX11" s="456">
        <f>IF(OR(AB11=0,AB11=""),0,IF(VLOOKUP(B11,'Matriz de Referencia'!$B$2:$CO$584,35,FALSE)=0,0,"Digite"))</f>
        <v>0</v>
      </c>
      <c r="CY11" s="456">
        <f>IF(OR(AB11=0,AB11=""),0,IF(VLOOKUP(B11,'Matriz de Referencia'!$B$2:$CO$584,36,FALSE)=0,0,"Digite"))</f>
        <v>0</v>
      </c>
      <c r="CZ11" s="457">
        <f t="shared" si="18"/>
        <v>0</v>
      </c>
      <c r="DA11" s="457">
        <f t="shared" si="19"/>
        <v>0</v>
      </c>
      <c r="DB11" s="457">
        <f t="shared" si="20"/>
        <v>0</v>
      </c>
      <c r="DC11" s="101" t="str">
        <f>IFERROR(IF(DB11=0,"",IF(VLOOKUP(B11,'Matriz de Referencia'!$B$2:$CO$584,'Matriz de Referencia'!BO$1,FALSE)=DB11,"Techos ok, cotinue","Debe revisar el valor programado")),"")</f>
        <v/>
      </c>
      <c r="DD11" s="453">
        <f>IF(OR(AE11=0,AE11=""),0,IF(VLOOKUP(B11,'Matriz de Referencia'!$B$2:$CO$584,39,FALSE)=0,0,"Digite"))</f>
        <v>0</v>
      </c>
      <c r="DE11" s="454">
        <f>IF(OR(AE11=0,AE11=""),0,IF(VLOOKUP(B11,'Matriz de Referencia'!$B$2:$CO$584,40,FALSE)=0,0,"Digite"))</f>
        <v>0</v>
      </c>
      <c r="DF11" s="454">
        <f>IF(OR(AE11=0,AE11=""),0,IF(VLOOKUP(B11,'Matriz de Referencia'!$B$2:$CO$584,41,FALSE)=0,0,"Digite"))</f>
        <v>0</v>
      </c>
      <c r="DG11" s="454">
        <f>IF(OR(AE11=0,AE11=""),0,IF(VLOOKUP(B11,'Matriz de Referencia'!$B$2:$CO$584,42,FALSE)=0,0,"Digite"))</f>
        <v>0</v>
      </c>
      <c r="DH11" s="454">
        <f>IF(OR(AE11=0,AE11=""),0,IF(VLOOKUP(B11,'Matriz de Referencia'!$B$2:$CO$584,43,FALSE)=0,0,"Digite"))</f>
        <v>0</v>
      </c>
      <c r="DI11" s="454">
        <f>IF(OR(AE11=0,AE11=""),0,IF(VLOOKUP(B11,'Matriz de Referencia'!$B$2:$CO$584,44,FALSE)=0,0,"Digite"))</f>
        <v>0</v>
      </c>
      <c r="DJ11" s="454">
        <f>IF(OR(AE11=0,AE11=""),0,IF(VLOOKUP(B11,'Matriz de Referencia'!$B$2:$CO$584,45,FALSE)=0,0,"Digite"))</f>
        <v>0</v>
      </c>
      <c r="DK11" s="454">
        <f>IF(OR(AE11=0,AE11=""),0,IF(VLOOKUP(B11,'Matriz de Referencia'!$B$2:$CO$584,46,FALSE)=0,0,"Digite"))</f>
        <v>0</v>
      </c>
      <c r="DL11" s="382">
        <f t="shared" si="21"/>
        <v>0</v>
      </c>
      <c r="DM11" s="454">
        <f>IF(OR(AE11=0,AE11=""),0,IF(VLOOKUP(B11,'Matriz de Referencia'!$B$2:$CO$584,48,FALSE)=0,0,"Digite"))</f>
        <v>0</v>
      </c>
      <c r="DN11" s="454">
        <f>IF(OR(AE11=0,AE11=""),0,IF(VLOOKUP(B11,'Matriz de Referencia'!$B$2:$CO$584,49,FALSE)=0,0,"Digite"))</f>
        <v>0</v>
      </c>
      <c r="DO11" s="454">
        <f>IF(OR(AE11=0,AE11=""),0,IF(VLOOKUP(B11,'Matriz de Referencia'!$B$2:$CO$584,50,FALSE)=0,0,"Digite"))</f>
        <v>0</v>
      </c>
      <c r="DP11" s="382">
        <f t="shared" si="22"/>
        <v>0</v>
      </c>
      <c r="DQ11" s="382">
        <f t="shared" si="23"/>
        <v>0</v>
      </c>
      <c r="DR11" s="453">
        <f>IF(OR(AF11=0,AF11=""),0,IF(VLOOKUP(B11,'Matriz de Referencia'!$B$2:$CO$584,39,FALSE)=0,0,"Digite"))</f>
        <v>0</v>
      </c>
      <c r="DS11" s="454">
        <f>IF(OR(AF11=0,AF11=""),0,IF(VLOOKUP(B11,'Matriz de Referencia'!$B$2:$CO$584,40,FALSE)=0,0,"Digite"))</f>
        <v>0</v>
      </c>
      <c r="DT11" s="454">
        <f>IF(OR(AF11=0,AF11=""),0,IF(VLOOKUP(B11,'Matriz de Referencia'!$B$2:$CO$584,41,FALSE)=0,0,"Digite"))</f>
        <v>0</v>
      </c>
      <c r="DU11" s="454">
        <f>IF(OR(AF11=0,AF11=""),0,IF(VLOOKUP(B11,'Matriz de Referencia'!$B$2:$CO$584,42,FALSE)=0,0,"Digite"))</f>
        <v>0</v>
      </c>
      <c r="DV11" s="454">
        <f>IF(OR(AF11=0,AF11=""),0,IF(VLOOKUP(B11,'Matriz de Referencia'!$B$2:$CO$584,43,FALSE)=0,0,"Digite"))</f>
        <v>0</v>
      </c>
      <c r="DW11" s="454">
        <f>IF(OR(AF11=0,AF11=""),0,IF(VLOOKUP(B11,'Matriz de Referencia'!$B$2:$CO$584,44,FALSE)=0,0,"Digite"))</f>
        <v>0</v>
      </c>
      <c r="DX11" s="454">
        <f>IF(OR(AF11=0,AF11=""),0,IF(VLOOKUP(B11,'Matriz de Referencia'!$B$2:$CO$584,45,FALSE)=0,0,"Digite"))</f>
        <v>0</v>
      </c>
      <c r="DY11" s="454">
        <f>IF(OR(AF11=0,AF11=""),0,IF(VLOOKUP(B11,'Matriz de Referencia'!$B$2:$CO$584,46,FALSE)=0,0,"Digite"))</f>
        <v>0</v>
      </c>
      <c r="DZ11" s="382">
        <f t="shared" si="24"/>
        <v>0</v>
      </c>
      <c r="EA11" s="454">
        <f>IF(OR(AF11=0,AF11=""),0,IF(VLOOKUP(B11,'Matriz de Referencia'!$B$2:$CO$584,48,FALSE)=0,0,"Digite"))</f>
        <v>0</v>
      </c>
      <c r="EB11" s="454">
        <f>IF(OR(AF11=0,AF11=""),0,IF(VLOOKUP(B11,'Matriz de Referencia'!$B$2:$CO$584,49,FALSE)=0,0,"Digite"))</f>
        <v>0</v>
      </c>
      <c r="EC11" s="454">
        <f>IF(OR(AF11=0,AF11=""),0,IF(VLOOKUP(B11,'Matriz de Referencia'!$B$2:$CO$584,50,FALSE)=0,0,"Digite"))</f>
        <v>0</v>
      </c>
      <c r="ED11" s="382">
        <f t="shared" si="25"/>
        <v>0</v>
      </c>
      <c r="EE11" s="382">
        <f t="shared" si="26"/>
        <v>0</v>
      </c>
      <c r="EF11" s="453">
        <f>IF(OR(AG11=0,AG11=""),0,IF(VLOOKUP(B11,'Matriz de Referencia'!$B$2:$CO$584,39,FALSE)=0,0,"Digite"))</f>
        <v>0</v>
      </c>
      <c r="EG11" s="454">
        <f>IF(OR(AG11=0,AG11=""),0,IF(VLOOKUP(B11,'Matriz de Referencia'!$B$2:$CO$584,40,FALSE)=0,0,"Digite"))</f>
        <v>0</v>
      </c>
      <c r="EH11" s="454">
        <f>IF(OR(AG11=0,AG11=""),0,IF(VLOOKUP(B11,'Matriz de Referencia'!$B$2:$CO$584,41,FALSE)=0,0,"Digite"))</f>
        <v>0</v>
      </c>
      <c r="EI11" s="454">
        <f>IF(OR(AG11=0,AG11=""),0,IF(VLOOKUP(B11,'Matriz de Referencia'!$B$2:$CO$584,42,FALSE)=0,0,"Digite"))</f>
        <v>0</v>
      </c>
      <c r="EJ11" s="454">
        <f>IF(OR(AG11=0,AG11=""),0,IF(VLOOKUP(B11,'Matriz de Referencia'!$B$2:$CO$584,43,FALSE)=0,0,"Digite"))</f>
        <v>0</v>
      </c>
      <c r="EK11" s="454">
        <f>IF(OR(AG11=0,AG11=""),0,IF(VLOOKUP(B11,'Matriz de Referencia'!$B$2:$CO$584,44,FALSE)=0,0,"Digite"))</f>
        <v>0</v>
      </c>
      <c r="EL11" s="454">
        <f>IF(OR(AG11=0,AG11=""),0,IF(VLOOKUP(B11,'Matriz de Referencia'!$B$2:$CO$584,45,FALSE)=0,0,"Digite"))</f>
        <v>0</v>
      </c>
      <c r="EM11" s="454">
        <f>IF(OR(AG11=0,AG11=""),0,IF(VLOOKUP(B11,'Matriz de Referencia'!$B$2:$CO$584,46,FALSE)=0,0,"Digite"))</f>
        <v>0</v>
      </c>
      <c r="EN11" s="382">
        <f t="shared" si="27"/>
        <v>0</v>
      </c>
      <c r="EO11" s="454">
        <f>IF(OR(AG11=0,AG11=""),0,IF(VLOOKUP(B11,'Matriz de Referencia'!$B$2:$CO$584,48,FALSE)=0,0,"Digite"))</f>
        <v>0</v>
      </c>
      <c r="EP11" s="454">
        <f>IF(OR(AG11=0,AG11=""),0,IF(VLOOKUP(B11,'Matriz de Referencia'!$B$2:$CO$584,49,FALSE)=0,0,"Digite"))</f>
        <v>0</v>
      </c>
      <c r="EQ11" s="454">
        <f>IF(OR(AG11=0,AG11=""),0,IF(VLOOKUP(B11,'Matriz de Referencia'!$B$2:$CO$584,50,FALSE)=0,0,"Digite"))</f>
        <v>0</v>
      </c>
      <c r="ER11" s="382">
        <f t="shared" si="28"/>
        <v>0</v>
      </c>
      <c r="ES11" s="382">
        <f t="shared" si="29"/>
        <v>0</v>
      </c>
      <c r="ET11" s="453">
        <f>IF(OR(AH11=0,AH11=""),0,IF(VLOOKUP(B11,'Matriz de Referencia'!$B$2:$CO$584,39,FALSE)=0,0,"Digite"))</f>
        <v>0</v>
      </c>
      <c r="EU11" s="454">
        <f>IF(OR(AH11=0,AH11=""),0,IF(VLOOKUP(B11,'Matriz de Referencia'!$B$2:$CO$584,40,FALSE)=0,0,"Digite"))</f>
        <v>0</v>
      </c>
      <c r="EV11" s="454">
        <f>IF(OR(AH11=0,AH11=""),0,IF(VLOOKUP(B11,'Matriz de Referencia'!$B$2:$CO$584,41,FALSE)=0,0,"Digite"))</f>
        <v>0</v>
      </c>
      <c r="EW11" s="454">
        <f>IF(OR(AH11=0,AH11=""),0,IF(VLOOKUP(B11,'Matriz de Referencia'!$B$2:$CO$584,42,FALSE)=0,0,"Digite"))</f>
        <v>0</v>
      </c>
      <c r="EX11" s="454">
        <f>IF(OR(AH11=0,AH11=""),0,IF(VLOOKUP(B11,'Matriz de Referencia'!$B$2:$CO$584,43,FALSE)=0,0,"Digite"))</f>
        <v>0</v>
      </c>
      <c r="EY11" s="454">
        <f>IF(OR(AH11=0,AH11=""),0,IF(VLOOKUP(B11,'Matriz de Referencia'!$B$2:$CO$584,44,FALSE)=0,0,"Digite"))</f>
        <v>0</v>
      </c>
      <c r="EZ11" s="454">
        <f>IF(OR(AH11=0,AH11=""),0,IF(VLOOKUP(B11,'Matriz de Referencia'!$B$2:$CO$584,45,FALSE)=0,0,"Digite"))</f>
        <v>0</v>
      </c>
      <c r="FA11" s="454">
        <f>IF(OR(AH11=0,AH11=""),0,IF(VLOOKUP(B11,'Matriz de Referencia'!$B$2:$CO$584,46,FALSE)=0,0,"Digite"))</f>
        <v>0</v>
      </c>
      <c r="FB11" s="382">
        <f t="shared" si="30"/>
        <v>0</v>
      </c>
      <c r="FC11" s="454">
        <f>IF(OR(AH11=0,AH11=""),0,IF(VLOOKUP(B11,'Matriz de Referencia'!$B$2:$CO$584,48,FALSE)=0,0,"Digite"))</f>
        <v>0</v>
      </c>
      <c r="FD11" s="454">
        <f>IF(OR(AH11=0,AH11=""),0,IF(VLOOKUP(B11,'Matriz de Referencia'!$B$2:$CO$584,49,FALSE)=0,0,"Digite"))</f>
        <v>0</v>
      </c>
      <c r="FE11" s="454">
        <f>IF(OR(AH11=0,AH11=""),0,IF(VLOOKUP(B11,'Matriz de Referencia'!$B$2:$CO$584,50,FALSE)=0,0,"Digite"))</f>
        <v>0</v>
      </c>
      <c r="FF11" s="382">
        <f t="shared" si="31"/>
        <v>0</v>
      </c>
      <c r="FG11" s="382">
        <f t="shared" si="32"/>
        <v>0</v>
      </c>
      <c r="FH11" s="382">
        <f t="shared" si="33"/>
        <v>0</v>
      </c>
      <c r="FI11" s="101" t="str">
        <f>IFERROR(IF(FH11=0,"",IF(VLOOKUP(B11,'Matriz de Referencia'!$B$2:$CO$584,52,FALSE)=FH11,"Techos ok, cotinue","Debe revisar el valor programado")),"")</f>
        <v/>
      </c>
      <c r="FJ11" s="453">
        <f>IF(OR(AK11=0,AK11=""),0,IF(VLOOKUP(B11,'Matriz de Referencia'!$B$2:$CO$584,53,FALSE)=0,0,"Digite"))</f>
        <v>0</v>
      </c>
      <c r="FK11" s="454">
        <f>IF(OR(AK11=0,AK11=""),0,IF(VLOOKUP(B11,'Matriz de Referencia'!$B$2:$CO$584,54,FALSE)=0,0,"Digite"))</f>
        <v>0</v>
      </c>
      <c r="FL11" s="454">
        <f>IF(OR(AK11=0,AK11=""),0,IF(VLOOKUP(B11,'Matriz de Referencia'!$B$2:$CO$584,55,FALSE)=0,0,"Digite"))</f>
        <v>0</v>
      </c>
      <c r="FM11" s="454">
        <f>IF(OR(AK11=0,AK11=""),0,IF(VLOOKUP(B11,'Matriz de Referencia'!$B$2:$CO$584,56,FALSE)=0,0,"Digite"))</f>
        <v>0</v>
      </c>
      <c r="FN11" s="454">
        <f>IF(OR(AK11=0,AK11=""),0,IF(VLOOKUP(B11,'Matriz de Referencia'!$B$2:$CO$584,57,FALSE)=0,0,"Digite"))</f>
        <v>0</v>
      </c>
      <c r="FO11" s="454">
        <f>IF(OR(AK11=0,AK11=""),0,IF(VLOOKUP(B11,'Matriz de Referencia'!$B$2:$CO$584,58,FALSE)=0,0,"Digite"))</f>
        <v>0</v>
      </c>
      <c r="FP11" s="454">
        <f>IF(OR(AK11=0,AK11=""),0,IF(VLOOKUP(B11,'Matriz de Referencia'!$B$2:$CO$584,59,FALSE)=0,0,"Digite"))</f>
        <v>0</v>
      </c>
      <c r="FQ11" s="454">
        <f>IF(OR(AK11=0,AK11=""),0,IF(VLOOKUP(B11,'Matriz de Referencia'!$B$2:$CO$584,60,FALSE)=0,0,"Digite"))</f>
        <v>0</v>
      </c>
      <c r="FR11" s="382">
        <f t="shared" si="34"/>
        <v>0</v>
      </c>
      <c r="FS11" s="454">
        <f>IF(OR(AK11=0,AK11=""),0,IF(VLOOKUP(B11,'Matriz de Referencia'!$B$2:$CO$584,62,FALSE)=0,0,"Digite"))</f>
        <v>0</v>
      </c>
      <c r="FT11" s="454">
        <f>IF(OR(AK11=0,AK11=""),0,IF(VLOOKUP(B11,'Matriz de Referencia'!$B$2:$CO$584,63,FALSE)=0,0,"Digite"))</f>
        <v>0</v>
      </c>
      <c r="FU11" s="454">
        <f>IF(OR(AK11=0,AK11=""),0,IF(VLOOKUP(B11,'Matriz de Referencia'!$B$2:$CO$584,64,FALSE)=0,"","Digite"))</f>
        <v>0</v>
      </c>
      <c r="FV11" s="382">
        <f t="shared" si="35"/>
        <v>0</v>
      </c>
      <c r="FW11" s="382">
        <f t="shared" si="36"/>
        <v>0</v>
      </c>
      <c r="FX11" s="453">
        <f>IF(OR(AL11=0,AL11=""),0,IF(VLOOKUP(B11,'Matriz de Referencia'!$B$2:$CO$584,53,FALSE)=0,0,"Digite"))</f>
        <v>0</v>
      </c>
      <c r="FY11" s="454">
        <f>IF(OR(AL11=0,AL11=""),0,IF(VLOOKUP(B11,'Matriz de Referencia'!$B$2:$CO$584,54,FALSE)=0,0,"Digite"))</f>
        <v>0</v>
      </c>
      <c r="FZ11" s="454">
        <f>IF(OR(AL11=0,AL11=""),0,IF(VLOOKUP(B11,'Matriz de Referencia'!$B$2:$CO$584,55,FALSE)=0,0,"Digite"))</f>
        <v>0</v>
      </c>
      <c r="GA11" s="454">
        <f>IF(OR(AL11=0,AL11=""),0,IF(VLOOKUP(B11,'Matriz de Referencia'!$B$2:$CO$584,56,FALSE)=0,0,"Digite"))</f>
        <v>0</v>
      </c>
      <c r="GB11" s="454">
        <f>IF(OR(AL11=0,AL11=""),0,IF(VLOOKUP(B11,'Matriz de Referencia'!$B$2:$CO$584,57,FALSE)=0,0,"Digite"))</f>
        <v>0</v>
      </c>
      <c r="GC11" s="454">
        <f>IF(OR(AL11=0,AL11=""),0,IF(VLOOKUP(B11,'Matriz de Referencia'!$B$2:$CO$584,58,FALSE)=0,0,"Digite"))</f>
        <v>0</v>
      </c>
      <c r="GD11" s="454">
        <f>IF(OR(AL11=0,AL11=""),0,IF(VLOOKUP(B11,'Matriz de Referencia'!$B$2:$CO$584,59,FALSE)=0,0,"Digite"))</f>
        <v>0</v>
      </c>
      <c r="GE11" s="454">
        <f>IF(OR(AL11=0,AL11=""),0,IF(VLOOKUP(B11,'Matriz de Referencia'!$B$2:$CO$584,60,FALSE)=0,0,"Digite"))</f>
        <v>0</v>
      </c>
      <c r="GF11" s="382">
        <f t="shared" si="37"/>
        <v>0</v>
      </c>
      <c r="GG11" s="454">
        <f>IF(OR(AL11=0,AL11=""),0,IF(VLOOKUP(B11,'Matriz de Referencia'!$B$2:$CO$584,62,FALSE)=0,0,"Digite"))</f>
        <v>0</v>
      </c>
      <c r="GH11" s="454">
        <f>IF(OR(AL11=0,AL11=""),0,IF(VLOOKUP(B11,'Matriz de Referencia'!$B$2:$CO$584,63,FALSE)=0,0,"Digite"))</f>
        <v>0</v>
      </c>
      <c r="GI11" s="454">
        <f>IF(OR(AL11=0,AL11=""),0,IF(VLOOKUP(B11,'Matriz de Referencia'!$B$2:$CO$584,64,FALSE)=0,0,"Digite"))</f>
        <v>0</v>
      </c>
      <c r="GJ11" s="382">
        <f t="shared" si="38"/>
        <v>0</v>
      </c>
      <c r="GK11" s="382">
        <f t="shared" si="39"/>
        <v>0</v>
      </c>
      <c r="GL11" s="453">
        <f>IF(OR(AM11=0,AM11=""),0,IF(VLOOKUP(B11,'Matriz de Referencia'!$B$2:$CO$584,53,FALSE)=0,0,"Digite"))</f>
        <v>0</v>
      </c>
      <c r="GM11" s="454">
        <f>IF(OR(AM11=0,AM11=""),0,IF(VLOOKUP(B11,'Matriz de Referencia'!$B$2:$CO$584,54,FALSE)=0,0,"Digite"))</f>
        <v>0</v>
      </c>
      <c r="GN11" s="454">
        <f>IF(OR(AM11=0,AM11=""),0,IF(VLOOKUP(B11,'Matriz de Referencia'!$B$2:$CO$584,55,FALSE)=0,0,"Digite"))</f>
        <v>0</v>
      </c>
      <c r="GO11" s="454">
        <f>IF(OR(AM11=0,AM11=""),0,IF(VLOOKUP(B11,'Matriz de Referencia'!$B$2:$CO$584,56,FALSE)=0,0,"Digite"))</f>
        <v>0</v>
      </c>
      <c r="GP11" s="454">
        <f>IF(OR(AM11=0,AM11=""),0,IF(VLOOKUP(B11,'Matriz de Referencia'!$B$2:$CO$584,57,FALSE)=0,0,"Digite"))</f>
        <v>0</v>
      </c>
      <c r="GQ11" s="454">
        <f>IF(OR(AM11=0,AM11=""),0,IF(VLOOKUP(B11,'Matriz de Referencia'!$B$2:$CO$584,58,FALSE)=0,0,"Digite"))</f>
        <v>0</v>
      </c>
      <c r="GR11" s="454">
        <f>IF(OR(AM11=0,AM11=""),0,IF(VLOOKUP(B11,'Matriz de Referencia'!$B$2:$CO$584,59,FALSE)=0,0,"Digite"))</f>
        <v>0</v>
      </c>
      <c r="GS11" s="454">
        <f>IF(OR(AM11=0,AM11=""),0,IF(VLOOKUP(B11,'Matriz de Referencia'!$B$2:$CO$584,60,FALSE)=0,0,"Digite"))</f>
        <v>0</v>
      </c>
      <c r="GT11" s="382">
        <f t="shared" si="40"/>
        <v>0</v>
      </c>
      <c r="GU11" s="454">
        <f>IF(OR(AM11=0,AM11=""),0,IF(VLOOKUP(B11,'Matriz de Referencia'!$B$2:$CO$584,62,FALSE)=0,0,"Digite"))</f>
        <v>0</v>
      </c>
      <c r="GV11" s="454">
        <f>IF(OR(AM11=0,AM11=""),0,IF(VLOOKUP(B11,'Matriz de Referencia'!$B$2:$CO$584,63,FALSE)=0,0,"Digite"))</f>
        <v>0</v>
      </c>
      <c r="GW11" s="454">
        <f>IF(OR(AM11=0,AM11=""),0,IF(VLOOKUP(B11,'Matriz de Referencia'!$B$2:$CO$584,64,FALSE)=0,0,"Digite"))</f>
        <v>0</v>
      </c>
      <c r="GX11" s="382">
        <f t="shared" si="41"/>
        <v>0</v>
      </c>
      <c r="GY11" s="382">
        <f t="shared" si="42"/>
        <v>0</v>
      </c>
      <c r="GZ11" s="453">
        <f>IF(OR(AN11=0,AN11=""),0,IF(VLOOKUP(B11,'Matriz de Referencia'!$B$2:$CO$584,53,FALSE)=0,0,"Digite"))</f>
        <v>0</v>
      </c>
      <c r="HA11" s="454">
        <f>IF(OR(AN11=0,AN11=""),0,IF(VLOOKUP(B11,'Matriz de Referencia'!$B$2:$CO$584,54,FALSE)=0,0,"Digite"))</f>
        <v>0</v>
      </c>
      <c r="HB11" s="454">
        <f>IF(OR(AN11=0,AN11=""),0,IF(VLOOKUP(B11,'Matriz de Referencia'!$B$2:$CO$584,55,FALSE)=0,0,"Digite"))</f>
        <v>0</v>
      </c>
      <c r="HC11" s="454">
        <f>IF(OR(AN11=0,AN11=""),0,IF(VLOOKUP(B11,'Matriz de Referencia'!$B$2:$CO$584,56,FALSE)=0,0,"Digite"))</f>
        <v>0</v>
      </c>
      <c r="HD11" s="454">
        <f>IF(OR(AN11=0,AN11=""),0,IF(VLOOKUP(B11,'Matriz de Referencia'!$B$2:$CO$584,57,FALSE)=0,0,"Digite"))</f>
        <v>0</v>
      </c>
      <c r="HE11" s="454">
        <f>IF(OR(AN11=0,AN11=""),0,IF(VLOOKUP(B11,'Matriz de Referencia'!$B$2:$CO$584,58,FALSE)=0,0,"Digite"))</f>
        <v>0</v>
      </c>
      <c r="HF11" s="454">
        <f>IF(OR(AN11=0,AN11=""),0,IF(VLOOKUP(B11,'Matriz de Referencia'!$B$2:$CO$584,59,FALSE)=0,0,"Digite"))</f>
        <v>0</v>
      </c>
      <c r="HG11" s="454">
        <f>IF(OR(AN11=0,AN11=""),0,IF(VLOOKUP(B11,'Matriz de Referencia'!$B$2:$CO$584,60,FALSE)=0,0,"Digite"))</f>
        <v>0</v>
      </c>
      <c r="HH11" s="382">
        <f t="shared" si="43"/>
        <v>0</v>
      </c>
      <c r="HI11" s="454">
        <f>IF(OR(AN11=0,AN11=""),0,IF(VLOOKUP(B11,'Matriz de Referencia'!$B$2:$CO$584,62,FALSE)=0,0,"Digite"))</f>
        <v>0</v>
      </c>
      <c r="HJ11" s="454">
        <f>IF(OR(AN11=0,AN11=""),0,IF(VLOOKUP(B11,'Matriz de Referencia'!$B$2:$CO$584,63,FALSE)=0,0,"Digite"))</f>
        <v>0</v>
      </c>
      <c r="HK11" s="454">
        <f>IF(OR(AN11=0,AN11=""),0,IF(VLOOKUP(B11,'Matriz de Referencia'!$B$2:$CO$584,64,FALSE)=0,0,"Digite"))</f>
        <v>0</v>
      </c>
      <c r="HL11" s="382">
        <f t="shared" si="44"/>
        <v>0</v>
      </c>
      <c r="HM11" s="382">
        <f t="shared" si="45"/>
        <v>0</v>
      </c>
      <c r="HN11" s="382">
        <f t="shared" si="46"/>
        <v>0</v>
      </c>
      <c r="HO11" s="101" t="str">
        <f>IFERROR(IF(HN11=0,"",IF(VLOOKUP(B11,'Matriz de Referencia'!$B$2:$CO$584,66,FALSE)=HN11,"Techos ok, cotinue","Debe revisar el valor programado")),"")</f>
        <v/>
      </c>
      <c r="HP11" s="453">
        <f>IF(OR(AQ11=0,AQ11=""),0,IF(VLOOKUP(B11,'Matriz de Referencia'!$B$2:$CO$584,67,FALSE)=0,0,"Digite"))</f>
        <v>0</v>
      </c>
      <c r="HQ11" s="454">
        <f>IF(OR(AQ11=0,AQ11=""),0,IF(VLOOKUP(B11,'Matriz de Referencia'!$B$2:$CO$584,68,FALSE)=0,0,"Digite"))</f>
        <v>0</v>
      </c>
      <c r="HR11" s="454">
        <f>IF(OR(AQ11=0,AQ11=""),0,IF(VLOOKUP(B11,'Matriz de Referencia'!$B$2:$CO$584,69,FALSE)=0,0,"Digite"))</f>
        <v>0</v>
      </c>
      <c r="HS11" s="454">
        <f>IF(OR(AQ11=0,AQ11=""),0,IF(VLOOKUP(B11,'Matriz de Referencia'!$B$2:$CO$584,70,FALSE)=0,0,"Digite"))</f>
        <v>0</v>
      </c>
      <c r="HT11" s="454">
        <f>IF(OR(AQ11=0,AQ11=""),0,IF(VLOOKUP(B11,'Matriz de Referencia'!$B$2:$CO$584,71,FALSE)=0,0,"Digite"))</f>
        <v>0</v>
      </c>
      <c r="HU11" s="454">
        <f>IF(OR(AQ11=0,AQ11=""),0,IF(VLOOKUP(B11,'Matriz de Referencia'!$B$2:$CO$584,72,FALSE)=0,0,"Digite"))</f>
        <v>0</v>
      </c>
      <c r="HV11" s="454">
        <f>IF(OR(AQ11=0,AQ11=""),0,IF(VLOOKUP(B11,'Matriz de Referencia'!$B$2:$CO$584,73,FALSE)=0,0,"Digite"))</f>
        <v>0</v>
      </c>
      <c r="HW11" s="454">
        <f>IF(OR(AQ11=0,AQ11=""),0,IF(VLOOKUP(B11,'Matriz de Referencia'!$B$2:$CO$584,74,FALSE)=0,0,"Digite"))</f>
        <v>0</v>
      </c>
      <c r="HX11" s="382">
        <f t="shared" si="47"/>
        <v>0</v>
      </c>
      <c r="HY11" s="454">
        <f>IF(OR(AQ11=0,AQ11=""),0,IF(VLOOKUP(B11,'Matriz de Referencia'!$B$2:$CO$584,76,FALSE)=0,0,"Digite"))</f>
        <v>0</v>
      </c>
      <c r="HZ11" s="454">
        <f>IF(OR(AQ11=0,AQ11=""),0,IF(VLOOKUP(B11,'Matriz de Referencia'!$B$2:$CO$584,77,FALSE)=0,0,"Digite"))</f>
        <v>0</v>
      </c>
      <c r="IA11" s="454">
        <f>IF(OR(AQ11=0,AQ11=""),0,IF(VLOOKUP(B11,'Matriz de Referencia'!$B$2:$CO$584,78,FALSE)=0,0,"Digite"))</f>
        <v>0</v>
      </c>
      <c r="IB11" s="382">
        <f t="shared" si="48"/>
        <v>0</v>
      </c>
      <c r="IC11" s="382">
        <f t="shared" si="49"/>
        <v>0</v>
      </c>
      <c r="ID11" s="453">
        <f>IF(OR(AR11=0,AR11=""),0,IF(VLOOKUP(B11,'Matriz de Referencia'!$B$2:$CO$584,67,FALSE)=0,0,"Digite"))</f>
        <v>0</v>
      </c>
      <c r="IE11" s="454">
        <f>IF(OR(AR11=0,AR11=""),0,IF(VLOOKUP(B11,'Matriz de Referencia'!$B$2:$CO$584,68,FALSE)=0,0,"Digite"))</f>
        <v>0</v>
      </c>
      <c r="IF11" s="454">
        <f>IF(OR(AR11=0,AR11=""),0,IF(VLOOKUP(B11,'Matriz de Referencia'!$B$2:$CO$584,69,FALSE)=0,0,"Digite"))</f>
        <v>0</v>
      </c>
      <c r="IG11" s="454">
        <f>IF(OR(AR11=0,AR11=""),0,IF(VLOOKUP(B11,'Matriz de Referencia'!$B$2:$CO$584,70,FALSE)=0,0,"Digite"))</f>
        <v>0</v>
      </c>
      <c r="IH11" s="454">
        <f>IF(OR(AR11=0,AR11=""),0,IF(VLOOKUP(B11,'Matriz de Referencia'!$B$2:$CO$584,71,FALSE)=0,0,"Digite"))</f>
        <v>0</v>
      </c>
      <c r="II11" s="454">
        <f>IF(OR(AR11=0,AR11=""),0,IF(VLOOKUP(B11,'Matriz de Referencia'!$B$2:$CO$584,72,FALSE)=0,0,"Digite"))</f>
        <v>0</v>
      </c>
      <c r="IJ11" s="454">
        <f>IF(OR(AR11=0,AR11=""),0,IF(VLOOKUP(B11,'Matriz de Referencia'!$B$2:$CO$584,73,FALSE)=0,0,"Digite"))</f>
        <v>0</v>
      </c>
      <c r="IK11" s="454">
        <f>IF(OR(AR11=0,AR11=""),0,IF(VLOOKUP(B11,'Matriz de Referencia'!$B$2:$CO$584,74,FALSE)=0,0,"Digite"))</f>
        <v>0</v>
      </c>
      <c r="IL11" s="382">
        <f t="shared" si="50"/>
        <v>0</v>
      </c>
      <c r="IM11" s="454">
        <f>IF(OR(AR11=0,AR11=""),0,IF(VLOOKUP(B11,'Matriz de Referencia'!$B$2:$CO$584,76,FALSE)=0,0,"Digite"))</f>
        <v>0</v>
      </c>
      <c r="IN11" s="454">
        <f>IF(OR(AR11=0,AR11=""),0,IF(VLOOKUP(B11,'Matriz de Referencia'!$B$2:$CO$584,77,FALSE)=0,0,"Digite"))</f>
        <v>0</v>
      </c>
      <c r="IO11" s="454">
        <f>IF(OR(AR11=0,AR11=""),0,IF(VLOOKUP(B11,'Matriz de Referencia'!$B$2:$CO$584,78,FALSE)=0,0,"Digite"))</f>
        <v>0</v>
      </c>
      <c r="IP11" s="382">
        <f t="shared" si="51"/>
        <v>0</v>
      </c>
      <c r="IQ11" s="382">
        <f t="shared" si="52"/>
        <v>0</v>
      </c>
      <c r="IR11" s="453">
        <f>IF(OR(AS11=0,AS11=""),0,IF(VLOOKUP(B11,'Matriz de Referencia'!$B$2:$CO$584,67,FALSE)=0,0,"Digite"))</f>
        <v>0</v>
      </c>
      <c r="IS11" s="454">
        <f>IF(OR(AS11=0,AS11=""),0,IF(VLOOKUP(B11,'Matriz de Referencia'!$B$2:$CO$584,68,FALSE)=0,0,"Digite"))</f>
        <v>0</v>
      </c>
      <c r="IT11" s="454">
        <f>IF(OR(AS11=0,AS11=""),0,IF(VLOOKUP(B11,'Matriz de Referencia'!$B$2:$CO$584,69,FALSE)=0,0,"Digite"))</f>
        <v>0</v>
      </c>
      <c r="IU11" s="454">
        <f>IF(OR(AS11=0,AS11=""),0,IF(VLOOKUP(B11,'Matriz de Referencia'!$B$2:$CO$584,70,FALSE)=0,0,"Digite"))</f>
        <v>0</v>
      </c>
      <c r="IV11" s="454">
        <f>IF(OR(AS11=0,AS11=""),0,IF(VLOOKUP(B11,'Matriz de Referencia'!$B$2:$CO$584,71,FALSE)=0,0,"Digite"))</f>
        <v>0</v>
      </c>
      <c r="IW11" s="454">
        <f>IF(OR(AS11=0,AS11=""),0,IF(VLOOKUP(B11,'Matriz de Referencia'!$B$2:$CO$584,72,FALSE)=0,0,"Digite"))</f>
        <v>0</v>
      </c>
      <c r="IX11" s="454">
        <f>IF(OR(AS11=0,AS11=""),0,IF(VLOOKUP(B11,'Matriz de Referencia'!$B$2:$CO$584,73,FALSE)=0,0,"Digite"))</f>
        <v>0</v>
      </c>
      <c r="IY11" s="454">
        <f>IF(OR(AS11=0,AS11=""),0,IF(VLOOKUP(B11,'Matriz de Referencia'!$B$2:$CO$584,74,FALSE)=0,0,"Digite"))</f>
        <v>0</v>
      </c>
      <c r="IZ11" s="382">
        <f t="shared" si="53"/>
        <v>0</v>
      </c>
      <c r="JA11" s="454">
        <f>IF(OR(AS11=0,AS11=""),0,IF(VLOOKUP(B11,'Matriz de Referencia'!$B$2:$CO$584,76,FALSE)=0,0,"Digite"))</f>
        <v>0</v>
      </c>
      <c r="JB11" s="454">
        <f>IF(OR(AS11=0,AS11=""),0,IF(VLOOKUP(B11,'Matriz de Referencia'!$B$2:$CO$584,77,FALSE)=0,0,"Digite"))</f>
        <v>0</v>
      </c>
      <c r="JC11" s="454">
        <f>IF(OR(AS11=0,AS11=""),0,IF(VLOOKUP(B11,'Matriz de Referencia'!$B$2:$CO$584,78,FALSE)=0,0,"Digite"))</f>
        <v>0</v>
      </c>
      <c r="JD11" s="382">
        <f t="shared" si="54"/>
        <v>0</v>
      </c>
      <c r="JE11" s="382">
        <f t="shared" si="55"/>
        <v>0</v>
      </c>
      <c r="JF11" s="453">
        <f>IF(OR(AT11=0,AT11=""),0,IF(VLOOKUP(B11,'Matriz de Referencia'!$B$2:$CO$584,67,FALSE)=0,0,"Digite"))</f>
        <v>0</v>
      </c>
      <c r="JG11" s="454">
        <f>IF(OR(AT11=0,AT11=""),0,IF(VLOOKUP(B11,'Matriz de Referencia'!$B$2:$CO$584,68,FALSE)=0,0,"Digite"))</f>
        <v>0</v>
      </c>
      <c r="JH11" s="454">
        <f>IF(OR(AT11=0,AT11=""),0,IF(VLOOKUP(B11,'Matriz de Referencia'!$B$2:$CO$584,69,FALSE)=0,0,"Digite"))</f>
        <v>0</v>
      </c>
      <c r="JI11" s="454">
        <f>IF(OR(AT11=0,AT11=""),0,IF(VLOOKUP(B11,'Matriz de Referencia'!$B$2:$CO$584,70,FALSE)=0,0,"Digite"))</f>
        <v>0</v>
      </c>
      <c r="JJ11" s="454">
        <f>IF(OR(AT11=0,AT11=""),0,IF(VLOOKUP(B11,'Matriz de Referencia'!$B$2:$CO$584,71,FALSE)=0,0,"Digite"))</f>
        <v>0</v>
      </c>
      <c r="JK11" s="454">
        <f>IF(OR(AT11=0,AT11=""),0,IF(VLOOKUP(B11,'Matriz de Referencia'!$B$2:$CO$584,72,FALSE)=0,0,"Digite"))</f>
        <v>0</v>
      </c>
      <c r="JL11" s="454">
        <f>IF(OR(AT11=0,AT11=""),0,IF(VLOOKUP(B11,'Matriz de Referencia'!$B$2:$CO$584,73,FALSE)=0,0,"Digite"))</f>
        <v>0</v>
      </c>
      <c r="JM11" s="454">
        <f>IF(OR(AT11=0,AT11=""),0,IF(VLOOKUP(B11,'Matriz de Referencia'!$B$2:$CO$584,74,FALSE)=0,0,"Digite"))</f>
        <v>0</v>
      </c>
      <c r="JN11" s="382">
        <f t="shared" si="56"/>
        <v>0</v>
      </c>
      <c r="JO11" s="454">
        <f>IF(OR(AT11=0,AT11=""),0,IF(VLOOKUP(B11,'Matriz de Referencia'!$B$2:$CO$584,76,FALSE)=0,0,"Digite"))</f>
        <v>0</v>
      </c>
      <c r="JP11" s="454">
        <f>IF(OR(AT11=0,AT11=""),0,IF(VLOOKUP(B11,'Matriz de Referencia'!$B$2:$CO$584,77,FALSE)=0,0,"Digite"))</f>
        <v>0</v>
      </c>
      <c r="JQ11" s="454">
        <f>IF(OR(AT11=0,AT11=""),0,IF(VLOOKUP(B11,'Matriz de Referencia'!$B$2:$CO$584,78,FALSE)=0,0,"Digite"))</f>
        <v>0</v>
      </c>
      <c r="JR11" s="382">
        <f t="shared" si="57"/>
        <v>0</v>
      </c>
      <c r="JS11" s="382">
        <f t="shared" si="58"/>
        <v>0</v>
      </c>
      <c r="JT11" s="382">
        <f t="shared" si="59"/>
        <v>0</v>
      </c>
      <c r="JU11" s="101" t="str">
        <f>IFERROR(IF(JT11=0,"",IF(VLOOKUP(B11,'Matriz de Referencia'!$B$2:$CO$584,80,FALSE)=JT11,"Techos ok, cotinue","Debe revisar el valor programado")),"")</f>
        <v/>
      </c>
      <c r="JV11" s="382">
        <f t="shared" si="60"/>
        <v>0</v>
      </c>
    </row>
    <row r="12" spans="1:282">
      <c r="S12" s="568"/>
      <c r="T12" s="414"/>
      <c r="U12" s="661" t="str">
        <f t="shared" si="1"/>
        <v>Dimensión_</v>
      </c>
      <c r="V12" s="414"/>
      <c r="W12" s="568"/>
      <c r="X12" s="449" t="str">
        <f>IFERROR(IF(VLOOKUP(B12,'Matriz de Referencia'!$B$2:$CO$584,'Matriz de Referencia'!AM$1,FALSE)&gt;0,"Diligenciar la vigencia, tiene presupuesto programado","No diligenciar, no programo presupuesto"),"")</f>
        <v/>
      </c>
      <c r="Y12" s="649"/>
      <c r="Z12" s="649"/>
      <c r="AA12" s="649"/>
      <c r="AB12" s="649"/>
      <c r="AC12" s="650" t="str">
        <f t="shared" si="2"/>
        <v/>
      </c>
      <c r="AD12" s="449" t="str">
        <f>IFERROR(IF(VLOOKUP($B12,'Matriz de Referencia'!$B$2:$CO$584,'Matriz de Referencia'!BA$1,FALSE)&gt;0,"Diligenciar la vigencia, tiene presupuesto programado","No diligenciar, no programo presupuesto"),"")</f>
        <v/>
      </c>
      <c r="AE12" s="649"/>
      <c r="AF12" s="649"/>
      <c r="AG12" s="649"/>
      <c r="AH12" s="649"/>
      <c r="AI12" s="650" t="str">
        <f t="shared" si="3"/>
        <v/>
      </c>
      <c r="AJ12" s="449" t="str">
        <f>IFERROR(IF(VLOOKUP($B12,'Matriz de Referencia'!$B$2:$CO$584,'Matriz de Referencia'!BO$1,FALSE)&gt;0,"Diligenciar la vigencia, tiene presupuesto programado","No diligenciar, no programo presupuesto"),"")</f>
        <v/>
      </c>
      <c r="AK12" s="649"/>
      <c r="AL12" s="649"/>
      <c r="AM12" s="649"/>
      <c r="AN12" s="649"/>
      <c r="AO12" s="650" t="str">
        <f t="shared" si="4"/>
        <v/>
      </c>
      <c r="AP12" s="449" t="str">
        <f>IFERROR(IF(VLOOKUP($B12,'Matriz de Referencia'!$B$2:$CO$584,'Matriz de Referencia'!CC$1,FALSE)&gt;0,"Diligenciar la vigencia, tiene presupuesto programado","No diligenciar, no programo presupuesto"),"")</f>
        <v/>
      </c>
      <c r="AQ12" s="649"/>
      <c r="AR12" s="649"/>
      <c r="AS12" s="649"/>
      <c r="AT12" s="649"/>
      <c r="AU12" s="650" t="str">
        <f t="shared" si="5"/>
        <v/>
      </c>
      <c r="AV12" s="448" t="str">
        <f t="shared" si="6"/>
        <v/>
      </c>
      <c r="AW12" s="416" t="str">
        <f t="shared" si="7"/>
        <v/>
      </c>
      <c r="AX12" s="455" t="str">
        <f>IF(OR(Y12=0,Y12=""),"",IF(VLOOKUP(B12,'Matriz de Referencia'!$B$2:$CO$584,'Matriz de Referencia'!BB$1,FALSE)=0,"","Digite"))</f>
        <v/>
      </c>
      <c r="AY12" s="456">
        <f>IF(OR(Y12=0,Y12=""),0,IF(VLOOKUP(B12,'Matriz de Referencia'!$B$2:$CO$584,26,FALSE)=0,0,"Digite"))</f>
        <v>0</v>
      </c>
      <c r="AZ12" s="456">
        <f>IF(OR(Y12=0,Y12=""),0,IF(VLOOKUP(B12,'Matriz de Referencia'!$B$2:$CO$584,27,FALSE)=0,0,"Digite"))</f>
        <v>0</v>
      </c>
      <c r="BA12" s="456">
        <f>IF(OR(Y12=0,Y12=""),0,IF(VLOOKUP(B12,'Matriz de Referencia'!$B$2:$CO$584,28,FALSE)=0,0,"Digite"))</f>
        <v>0</v>
      </c>
      <c r="BB12" s="456">
        <f>IF(OR(Y12=0,Y12=""),0,IF(VLOOKUP(B12,'Matriz de Referencia'!$B$2:$CO$584,29,FALSE)=0,0,"Digite"))</f>
        <v>0</v>
      </c>
      <c r="BC12" s="456">
        <f>IF(OR(Y12=0,Y12=""),0,IF(VLOOKUP(B12,'Matriz de Referencia'!$B$2:$CO$584,30,FALSE)=0,0,"Digite"))</f>
        <v>0</v>
      </c>
      <c r="BD12" s="456">
        <f>IF(OR(Y12=0,Y12=""),0,IF(VLOOKUP(B12,'Matriz de Referencia'!$B$2:$CO$584,31,FALSE)=0,0,"Digite"))</f>
        <v>0</v>
      </c>
      <c r="BE12" s="456">
        <f>IF(OR(Y12=0,Y12=""),0,IF(VLOOKUP(B12,'Matriz de Referencia'!$B$2:$CO$584,32,FALSE)=0,0,"Digite"))</f>
        <v>0</v>
      </c>
      <c r="BF12" s="460">
        <f t="shared" si="8"/>
        <v>0</v>
      </c>
      <c r="BG12" s="456">
        <f>IF(OR(Y12=0,Y12=""),0,IF(VLOOKUP(B12,'Matriz de Referencia'!$B$2:$CO$584,34,FALSE)=0,0,"Digite"))</f>
        <v>0</v>
      </c>
      <c r="BH12" s="456">
        <f>IF(OR(Y12=0,Y12=""),0,IF(VLOOKUP(B12,'Matriz de Referencia'!$B$2:$CO$584,35,FALSE)=0,0,"Digite"))</f>
        <v>0</v>
      </c>
      <c r="BI12" s="456">
        <f>IF(OR(Y12=0,Y12=""),0,IF(VLOOKUP(B12,'Matriz de Referencia'!$B$2:$CO$584,36,FALSE)=0,0,"Digite"))</f>
        <v>0</v>
      </c>
      <c r="BJ12" s="457">
        <f t="shared" si="9"/>
        <v>0</v>
      </c>
      <c r="BK12" s="457">
        <f t="shared" si="10"/>
        <v>0</v>
      </c>
      <c r="BL12" s="455">
        <f>IF(OR(Z12=0,Z12=""),0,IF(VLOOKUP(B12,'Matriz de Referencia'!$B$2:$CO$584,25,FALSE)=0,0,"Digite"))</f>
        <v>0</v>
      </c>
      <c r="BM12" s="456">
        <f>IF(OR(Z12=0,Z12=""),0,IF(VLOOKUP(B12,'Matriz de Referencia'!$B$2:$CO$584,26,FALSE)=0,0,"Digite"))</f>
        <v>0</v>
      </c>
      <c r="BN12" s="456">
        <f>IF(OR(Z12=0,Z12=""),0,IF(VLOOKUP(B12,'Matriz de Referencia'!$B$2:$CO$584,27,FALSE)=0,0,"Digite"))</f>
        <v>0</v>
      </c>
      <c r="BO12" s="456">
        <f>IF(OR(Z12=0,Z12=""),0,IF(VLOOKUP(B12,'Matriz de Referencia'!$B$2:$CO$584,28,FALSE)=0,0,"Digite"))</f>
        <v>0</v>
      </c>
      <c r="BP12" s="456">
        <f>IF(OR(Z12=0,Z12=""),0,IF(VLOOKUP(B12,'Matriz de Referencia'!$B$2:$CO$584,29,FALSE)=0,0,"Digite"))</f>
        <v>0</v>
      </c>
      <c r="BQ12" s="456">
        <f>IF(OR(Z12=0,Z12=""),0,IF(VLOOKUP(B12,'Matriz de Referencia'!$B$2:$CO$584,30,FALSE)=0,0,"Digite"))</f>
        <v>0</v>
      </c>
      <c r="BR12" s="456">
        <f>IF(OR(Z12=0,Z12=""),0,IF(VLOOKUP(B12,'Matriz de Referencia'!$B$2:$CO$584,31,FALSE)=0,0,"Digite"))</f>
        <v>0</v>
      </c>
      <c r="BS12" s="456">
        <f>IF(OR(Z12=0,Z12=""),0,IF(VLOOKUP(B12,'Matriz de Referencia'!$B$2:$CO$584,32,FALSE)=0,0,"Digite"))</f>
        <v>0</v>
      </c>
      <c r="BT12" s="457">
        <f t="shared" si="11"/>
        <v>0</v>
      </c>
      <c r="BU12" s="456">
        <f>IF(OR(Z12=0,Z12=""),0,IF(VLOOKUP(B12,'Matriz de Referencia'!$B$2:$CO$584,34,FALSE)=0,0,"Digite"))</f>
        <v>0</v>
      </c>
      <c r="BV12" s="456">
        <f>IF(OR(Z12=0,Z12=""),0,IF(VLOOKUP(B12,'Matriz de Referencia'!$B$2:$CO$584,35,FALSE)=0,0,"Digite"))</f>
        <v>0</v>
      </c>
      <c r="BW12" s="456">
        <f>IF(OR(Z12=0,Z12=""),0,IF(VLOOKUP(B12,'Matriz de Referencia'!$B$2:$CO$584,36,FALSE)=0,0,"Digite"))</f>
        <v>0</v>
      </c>
      <c r="BX12" s="457">
        <f t="shared" si="12"/>
        <v>0</v>
      </c>
      <c r="BY12" s="457">
        <f t="shared" si="13"/>
        <v>0</v>
      </c>
      <c r="BZ12" s="455">
        <f>IF(OR(AA12=0,AA12=""),0,IF(VLOOKUP(B12,'Matriz de Referencia'!$B$2:$CO$584,25,FALSE)=0,0,"Digite"))</f>
        <v>0</v>
      </c>
      <c r="CA12" s="456">
        <f>IF(OR(AA12=0,AA12=""),0,IF(VLOOKUP(B12,'Matriz de Referencia'!$B$2:$CO$584,26,FALSE)=0,0,"Digite"))</f>
        <v>0</v>
      </c>
      <c r="CB12" s="456">
        <f>IF(OR(AA12=0,AA12=""),0,IF(VLOOKUP(B12,'Matriz de Referencia'!$B$2:$CO$584,27,FALSE)=0,0,"Digite"))</f>
        <v>0</v>
      </c>
      <c r="CC12" s="456">
        <f>IF(OR(AA12=0,AA12=""),0,IF(VLOOKUP(B12,'Matriz de Referencia'!$B$2:$CO$584,28,FALSE)=0,0,"Digite"))</f>
        <v>0</v>
      </c>
      <c r="CD12" s="456">
        <f>IF(OR(AA12=0,AA12=""),0,IF(VLOOKUP(B12,'Matriz de Referencia'!$B$2:$CO$584,29,FALSE)=0,0,"Digite"))</f>
        <v>0</v>
      </c>
      <c r="CE12" s="456">
        <f>IF(OR(AA12=0,AA12=""),0,IF(VLOOKUP(B12,'Matriz de Referencia'!$B$2:$CO$584,30,FALSE)=0,0,"Digite"))</f>
        <v>0</v>
      </c>
      <c r="CF12" s="456">
        <f>IF(OR(AA12=0,AA12=""),0,IF(VLOOKUP(B12,'Matriz de Referencia'!$B$2:$CO$584,31,FALSE)=0,0,"Digite"))</f>
        <v>0</v>
      </c>
      <c r="CG12" s="456">
        <f>IF(OR(AA12=0,AA12=""),0,IF(VLOOKUP(B12,'Matriz de Referencia'!$B$2:$CO$584,32,FALSE)=0,0,"Digite"))</f>
        <v>0</v>
      </c>
      <c r="CH12" s="457">
        <f t="shared" si="14"/>
        <v>0</v>
      </c>
      <c r="CI12" s="456">
        <f>IF(OR(AA12=0,AA12=""),0,IF(VLOOKUP(B12,'Matriz de Referencia'!$B$2:$CO$584,34,FALSE)=0,0,"Digite"))</f>
        <v>0</v>
      </c>
      <c r="CJ12" s="456">
        <f>IF(OR(AA12=0,AA12=""),0,IF(VLOOKUP(B12,'Matriz de Referencia'!$B$2:$CO$584,35,FALSE)=0,0,"Digite"))</f>
        <v>0</v>
      </c>
      <c r="CK12" s="456">
        <f>IF(OR(AA12=0,AA12=""),0,IF(VLOOKUP(B12,'Matriz de Referencia'!$B$2:$CO$584,36,FALSE)=0,0,"Digite"))</f>
        <v>0</v>
      </c>
      <c r="CL12" s="457">
        <f t="shared" si="15"/>
        <v>0</v>
      </c>
      <c r="CM12" s="457">
        <f t="shared" si="16"/>
        <v>0</v>
      </c>
      <c r="CN12" s="455">
        <f>IF(OR(AB12=0,AB12=""),0,IF(VLOOKUP(B12,'Matriz de Referencia'!$B$2:$CO$584,25,FALSE)=0,0,"Digite"))</f>
        <v>0</v>
      </c>
      <c r="CO12" s="456">
        <f>IF(OR(AB12=0,AB12=""),0,IF(VLOOKUP(B12,'Matriz de Referencia'!$B$2:$CO$584,26,FALSE)=0,0,"Digite"))</f>
        <v>0</v>
      </c>
      <c r="CP12" s="456">
        <f>IF(OR(AB12=0,AB12=""),0,IF(VLOOKUP(B12,'Matriz de Referencia'!$B$2:$CO$584,27,FALSE)=0,0,"Digite"))</f>
        <v>0</v>
      </c>
      <c r="CQ12" s="456">
        <f>IF(OR(AB12=0,AB12=""),0,IF(VLOOKUP(B12,'Matriz de Referencia'!$B$2:$CO$584,28,FALSE)=0,0,"Digite"))</f>
        <v>0</v>
      </c>
      <c r="CR12" s="456">
        <f>IF(OR(AB12=0,AB12=""),0,IF(VLOOKUP(B12,'Matriz de Referencia'!$B$2:$CO$584,29,FALSE)=0,0,"Digite"))</f>
        <v>0</v>
      </c>
      <c r="CS12" s="456">
        <f>IF(OR(AB12=0,AB12=""),0,IF(VLOOKUP(B12,'Matriz de Referencia'!$B$2:$CO$584,30,FALSE)=0,0,"Digite"))</f>
        <v>0</v>
      </c>
      <c r="CT12" s="456">
        <f>IF(OR(AB12=0,AB12=""),0,IF(VLOOKUP(B12,'Matriz de Referencia'!$B$2:$CO$584,31,FALSE)=0,0,"Digite"))</f>
        <v>0</v>
      </c>
      <c r="CU12" s="456">
        <f>IF(OR(AB12=0,AB12=""),0,IF(VLOOKUP(B12,'Matriz de Referencia'!$B$2:$CO$584,32,FALSE)=0,0,"Digite"))</f>
        <v>0</v>
      </c>
      <c r="CV12" s="457">
        <f t="shared" si="17"/>
        <v>0</v>
      </c>
      <c r="CW12" s="456">
        <f>IF(OR(AB12=0,AB12=""),0,IF(VLOOKUP(B12,'Matriz de Referencia'!$B$2:$CO$584,34,FALSE)=0,0,"Digite"))</f>
        <v>0</v>
      </c>
      <c r="CX12" s="456">
        <f>IF(OR(AB12=0,AB12=""),0,IF(VLOOKUP(B12,'Matriz de Referencia'!$B$2:$CO$584,35,FALSE)=0,0,"Digite"))</f>
        <v>0</v>
      </c>
      <c r="CY12" s="456">
        <f>IF(OR(AB12=0,AB12=""),0,IF(VLOOKUP(B12,'Matriz de Referencia'!$B$2:$CO$584,36,FALSE)=0,0,"Digite"))</f>
        <v>0</v>
      </c>
      <c r="CZ12" s="457">
        <f t="shared" si="18"/>
        <v>0</v>
      </c>
      <c r="DA12" s="457">
        <f t="shared" si="19"/>
        <v>0</v>
      </c>
      <c r="DB12" s="457">
        <f t="shared" si="20"/>
        <v>0</v>
      </c>
      <c r="DC12" s="101" t="str">
        <f>IFERROR(IF(DB12=0,"",IF(VLOOKUP(B12,'Matriz de Referencia'!$B$2:$CO$584,'Matriz de Referencia'!BO$1,FALSE)=DB12,"Techos ok, cotinue","Debe revisar el valor programado")),"")</f>
        <v/>
      </c>
      <c r="DD12" s="453">
        <f>IF(OR(AE12=0,AE12=""),0,IF(VLOOKUP(B12,'Matriz de Referencia'!$B$2:$CO$584,39,FALSE)=0,0,"Digite"))</f>
        <v>0</v>
      </c>
      <c r="DE12" s="454">
        <f>IF(OR(AE12=0,AE12=""),0,IF(VLOOKUP(B12,'Matriz de Referencia'!$B$2:$CO$584,40,FALSE)=0,0,"Digite"))</f>
        <v>0</v>
      </c>
      <c r="DF12" s="454">
        <f>IF(OR(AE12=0,AE12=""),0,IF(VLOOKUP(B12,'Matriz de Referencia'!$B$2:$CO$584,41,FALSE)=0,0,"Digite"))</f>
        <v>0</v>
      </c>
      <c r="DG12" s="454">
        <f>IF(OR(AE12=0,AE12=""),0,IF(VLOOKUP(B12,'Matriz de Referencia'!$B$2:$CO$584,42,FALSE)=0,0,"Digite"))</f>
        <v>0</v>
      </c>
      <c r="DH12" s="454">
        <f>IF(OR(AE12=0,AE12=""),0,IF(VLOOKUP(B12,'Matriz de Referencia'!$B$2:$CO$584,43,FALSE)=0,0,"Digite"))</f>
        <v>0</v>
      </c>
      <c r="DI12" s="454">
        <f>IF(OR(AE12=0,AE12=""),0,IF(VLOOKUP(B12,'Matriz de Referencia'!$B$2:$CO$584,44,FALSE)=0,0,"Digite"))</f>
        <v>0</v>
      </c>
      <c r="DJ12" s="454">
        <f>IF(OR(AE12=0,AE12=""),0,IF(VLOOKUP(B12,'Matriz de Referencia'!$B$2:$CO$584,45,FALSE)=0,0,"Digite"))</f>
        <v>0</v>
      </c>
      <c r="DK12" s="454">
        <f>IF(OR(AE12=0,AE12=""),0,IF(VLOOKUP(B12,'Matriz de Referencia'!$B$2:$CO$584,46,FALSE)=0,0,"Digite"))</f>
        <v>0</v>
      </c>
      <c r="DL12" s="382">
        <f t="shared" si="21"/>
        <v>0</v>
      </c>
      <c r="DM12" s="454">
        <f>IF(OR(AE12=0,AE12=""),0,IF(VLOOKUP(B12,'Matriz de Referencia'!$B$2:$CO$584,48,FALSE)=0,0,"Digite"))</f>
        <v>0</v>
      </c>
      <c r="DN12" s="454">
        <f>IF(OR(AE12=0,AE12=""),0,IF(VLOOKUP(B12,'Matriz de Referencia'!$B$2:$CO$584,49,FALSE)=0,0,"Digite"))</f>
        <v>0</v>
      </c>
      <c r="DO12" s="454">
        <f>IF(OR(AE12=0,AE12=""),0,IF(VLOOKUP(B12,'Matriz de Referencia'!$B$2:$CO$584,50,FALSE)=0,0,"Digite"))</f>
        <v>0</v>
      </c>
      <c r="DP12" s="382">
        <f t="shared" si="22"/>
        <v>0</v>
      </c>
      <c r="DQ12" s="382">
        <f t="shared" si="23"/>
        <v>0</v>
      </c>
      <c r="DR12" s="453">
        <f>IF(OR(AF12=0,AF12=""),0,IF(VLOOKUP(B12,'Matriz de Referencia'!$B$2:$CO$584,39,FALSE)=0,0,"Digite"))</f>
        <v>0</v>
      </c>
      <c r="DS12" s="454">
        <f>IF(OR(AF12=0,AF12=""),0,IF(VLOOKUP(B12,'Matriz de Referencia'!$B$2:$CO$584,40,FALSE)=0,0,"Digite"))</f>
        <v>0</v>
      </c>
      <c r="DT12" s="454">
        <f>IF(OR(AF12=0,AF12=""),0,IF(VLOOKUP(B12,'Matriz de Referencia'!$B$2:$CO$584,41,FALSE)=0,0,"Digite"))</f>
        <v>0</v>
      </c>
      <c r="DU12" s="454">
        <f>IF(OR(AF12=0,AF12=""),0,IF(VLOOKUP(B12,'Matriz de Referencia'!$B$2:$CO$584,42,FALSE)=0,0,"Digite"))</f>
        <v>0</v>
      </c>
      <c r="DV12" s="454">
        <f>IF(OR(AF12=0,AF12=""),0,IF(VLOOKUP(B12,'Matriz de Referencia'!$B$2:$CO$584,43,FALSE)=0,0,"Digite"))</f>
        <v>0</v>
      </c>
      <c r="DW12" s="454">
        <f>IF(OR(AF12=0,AF12=""),0,IF(VLOOKUP(B12,'Matriz de Referencia'!$B$2:$CO$584,44,FALSE)=0,0,"Digite"))</f>
        <v>0</v>
      </c>
      <c r="DX12" s="454">
        <f>IF(OR(AF12=0,AF12=""),0,IF(VLOOKUP(B12,'Matriz de Referencia'!$B$2:$CO$584,45,FALSE)=0,0,"Digite"))</f>
        <v>0</v>
      </c>
      <c r="DY12" s="454">
        <f>IF(OR(AF12=0,AF12=""),0,IF(VLOOKUP(B12,'Matriz de Referencia'!$B$2:$CO$584,46,FALSE)=0,0,"Digite"))</f>
        <v>0</v>
      </c>
      <c r="DZ12" s="382">
        <f t="shared" si="24"/>
        <v>0</v>
      </c>
      <c r="EA12" s="454">
        <f>IF(OR(AF12=0,AF12=""),0,IF(VLOOKUP(B12,'Matriz de Referencia'!$B$2:$CO$584,48,FALSE)=0,0,"Digite"))</f>
        <v>0</v>
      </c>
      <c r="EB12" s="454">
        <f>IF(OR(AF12=0,AF12=""),0,IF(VLOOKUP(B12,'Matriz de Referencia'!$B$2:$CO$584,49,FALSE)=0,0,"Digite"))</f>
        <v>0</v>
      </c>
      <c r="EC12" s="454">
        <f>IF(OR(AF12=0,AF12=""),0,IF(VLOOKUP(B12,'Matriz de Referencia'!$B$2:$CO$584,50,FALSE)=0,0,"Digite"))</f>
        <v>0</v>
      </c>
      <c r="ED12" s="382">
        <f t="shared" si="25"/>
        <v>0</v>
      </c>
      <c r="EE12" s="382">
        <f t="shared" si="26"/>
        <v>0</v>
      </c>
      <c r="EF12" s="453">
        <f>IF(OR(AG12=0,AG12=""),0,IF(VLOOKUP(B12,'Matriz de Referencia'!$B$2:$CO$584,39,FALSE)=0,0,"Digite"))</f>
        <v>0</v>
      </c>
      <c r="EG12" s="454">
        <f>IF(OR(AG12=0,AG12=""),0,IF(VLOOKUP(B12,'Matriz de Referencia'!$B$2:$CO$584,40,FALSE)=0,0,"Digite"))</f>
        <v>0</v>
      </c>
      <c r="EH12" s="454">
        <f>IF(OR(AG12=0,AG12=""),0,IF(VLOOKUP(B12,'Matriz de Referencia'!$B$2:$CO$584,41,FALSE)=0,0,"Digite"))</f>
        <v>0</v>
      </c>
      <c r="EI12" s="454">
        <f>IF(OR(AG12=0,AG12=""),0,IF(VLOOKUP(B12,'Matriz de Referencia'!$B$2:$CO$584,42,FALSE)=0,0,"Digite"))</f>
        <v>0</v>
      </c>
      <c r="EJ12" s="454">
        <f>IF(OR(AG12=0,AG12=""),0,IF(VLOOKUP(B12,'Matriz de Referencia'!$B$2:$CO$584,43,FALSE)=0,0,"Digite"))</f>
        <v>0</v>
      </c>
      <c r="EK12" s="454">
        <f>IF(OR(AG12=0,AG12=""),0,IF(VLOOKUP(B12,'Matriz de Referencia'!$B$2:$CO$584,44,FALSE)=0,0,"Digite"))</f>
        <v>0</v>
      </c>
      <c r="EL12" s="454">
        <f>IF(OR(AG12=0,AG12=""),0,IF(VLOOKUP(B12,'Matriz de Referencia'!$B$2:$CO$584,45,FALSE)=0,0,"Digite"))</f>
        <v>0</v>
      </c>
      <c r="EM12" s="454">
        <f>IF(OR(AG12=0,AG12=""),0,IF(VLOOKUP(B12,'Matriz de Referencia'!$B$2:$CO$584,46,FALSE)=0,0,"Digite"))</f>
        <v>0</v>
      </c>
      <c r="EN12" s="382">
        <f t="shared" si="27"/>
        <v>0</v>
      </c>
      <c r="EO12" s="454">
        <f>IF(OR(AG12=0,AG12=""),0,IF(VLOOKUP(B12,'Matriz de Referencia'!$B$2:$CO$584,48,FALSE)=0,0,"Digite"))</f>
        <v>0</v>
      </c>
      <c r="EP12" s="454">
        <f>IF(OR(AG12=0,AG12=""),0,IF(VLOOKUP(B12,'Matriz de Referencia'!$B$2:$CO$584,49,FALSE)=0,0,"Digite"))</f>
        <v>0</v>
      </c>
      <c r="EQ12" s="454">
        <f>IF(OR(AG12=0,AG12=""),0,IF(VLOOKUP(B12,'Matriz de Referencia'!$B$2:$CO$584,50,FALSE)=0,0,"Digite"))</f>
        <v>0</v>
      </c>
      <c r="ER12" s="382">
        <f t="shared" si="28"/>
        <v>0</v>
      </c>
      <c r="ES12" s="382">
        <f t="shared" si="29"/>
        <v>0</v>
      </c>
      <c r="ET12" s="453">
        <f>IF(OR(AH12=0,AH12=""),0,IF(VLOOKUP(B12,'Matriz de Referencia'!$B$2:$CO$584,39,FALSE)=0,0,"Digite"))</f>
        <v>0</v>
      </c>
      <c r="EU12" s="454">
        <f>IF(OR(AH12=0,AH12=""),0,IF(VLOOKUP(B12,'Matriz de Referencia'!$B$2:$CO$584,40,FALSE)=0,0,"Digite"))</f>
        <v>0</v>
      </c>
      <c r="EV12" s="454">
        <f>IF(OR(AH12=0,AH12=""),0,IF(VLOOKUP(B12,'Matriz de Referencia'!$B$2:$CO$584,41,FALSE)=0,0,"Digite"))</f>
        <v>0</v>
      </c>
      <c r="EW12" s="454">
        <f>IF(OR(AH12=0,AH12=""),0,IF(VLOOKUP(B12,'Matriz de Referencia'!$B$2:$CO$584,42,FALSE)=0,0,"Digite"))</f>
        <v>0</v>
      </c>
      <c r="EX12" s="454">
        <f>IF(OR(AH12=0,AH12=""),0,IF(VLOOKUP(B12,'Matriz de Referencia'!$B$2:$CO$584,43,FALSE)=0,0,"Digite"))</f>
        <v>0</v>
      </c>
      <c r="EY12" s="454">
        <f>IF(OR(AH12=0,AH12=""),0,IF(VLOOKUP(B12,'Matriz de Referencia'!$B$2:$CO$584,44,FALSE)=0,0,"Digite"))</f>
        <v>0</v>
      </c>
      <c r="EZ12" s="454">
        <f>IF(OR(AH12=0,AH12=""),0,IF(VLOOKUP(B12,'Matriz de Referencia'!$B$2:$CO$584,45,FALSE)=0,0,"Digite"))</f>
        <v>0</v>
      </c>
      <c r="FA12" s="454">
        <f>IF(OR(AH12=0,AH12=""),0,IF(VLOOKUP(B12,'Matriz de Referencia'!$B$2:$CO$584,46,FALSE)=0,0,"Digite"))</f>
        <v>0</v>
      </c>
      <c r="FB12" s="382">
        <f t="shared" si="30"/>
        <v>0</v>
      </c>
      <c r="FC12" s="454">
        <f>IF(OR(AH12=0,AH12=""),0,IF(VLOOKUP(B12,'Matriz de Referencia'!$B$2:$CO$584,48,FALSE)=0,0,"Digite"))</f>
        <v>0</v>
      </c>
      <c r="FD12" s="454">
        <f>IF(OR(AH12=0,AH12=""),0,IF(VLOOKUP(B12,'Matriz de Referencia'!$B$2:$CO$584,49,FALSE)=0,0,"Digite"))</f>
        <v>0</v>
      </c>
      <c r="FE12" s="454">
        <f>IF(OR(AH12=0,AH12=""),0,IF(VLOOKUP(B12,'Matriz de Referencia'!$B$2:$CO$584,50,FALSE)=0,0,"Digite"))</f>
        <v>0</v>
      </c>
      <c r="FF12" s="382">
        <f t="shared" si="31"/>
        <v>0</v>
      </c>
      <c r="FG12" s="382">
        <f t="shared" si="32"/>
        <v>0</v>
      </c>
      <c r="FH12" s="382">
        <f t="shared" si="33"/>
        <v>0</v>
      </c>
      <c r="FI12" s="101" t="str">
        <f>IFERROR(IF(FH12=0,"",IF(VLOOKUP(B12,'Matriz de Referencia'!$B$2:$CO$584,52,FALSE)=FH12,"Techos ok, cotinue","Debe revisar el valor programado")),"")</f>
        <v/>
      </c>
      <c r="FJ12" s="453">
        <f>IF(OR(AK12=0,AK12=""),0,IF(VLOOKUP(B12,'Matriz de Referencia'!$B$2:$CO$584,53,FALSE)=0,0,"Digite"))</f>
        <v>0</v>
      </c>
      <c r="FK12" s="454">
        <f>IF(OR(AK12=0,AK12=""),0,IF(VLOOKUP(B12,'Matriz de Referencia'!$B$2:$CO$584,54,FALSE)=0,0,"Digite"))</f>
        <v>0</v>
      </c>
      <c r="FL12" s="454">
        <f>IF(OR(AK12=0,AK12=""),0,IF(VLOOKUP(B12,'Matriz de Referencia'!$B$2:$CO$584,55,FALSE)=0,0,"Digite"))</f>
        <v>0</v>
      </c>
      <c r="FM12" s="454">
        <f>IF(OR(AK12=0,AK12=""),0,IF(VLOOKUP(B12,'Matriz de Referencia'!$B$2:$CO$584,56,FALSE)=0,0,"Digite"))</f>
        <v>0</v>
      </c>
      <c r="FN12" s="454">
        <f>IF(OR(AK12=0,AK12=""),0,IF(VLOOKUP(B12,'Matriz de Referencia'!$B$2:$CO$584,57,FALSE)=0,0,"Digite"))</f>
        <v>0</v>
      </c>
      <c r="FO12" s="454">
        <f>IF(OR(AK12=0,AK12=""),0,IF(VLOOKUP(B12,'Matriz de Referencia'!$B$2:$CO$584,58,FALSE)=0,0,"Digite"))</f>
        <v>0</v>
      </c>
      <c r="FP12" s="454">
        <f>IF(OR(AK12=0,AK12=""),0,IF(VLOOKUP(B12,'Matriz de Referencia'!$B$2:$CO$584,59,FALSE)=0,0,"Digite"))</f>
        <v>0</v>
      </c>
      <c r="FQ12" s="454">
        <f>IF(OR(AK12=0,AK12=""),0,IF(VLOOKUP(B12,'Matriz de Referencia'!$B$2:$CO$584,60,FALSE)=0,0,"Digite"))</f>
        <v>0</v>
      </c>
      <c r="FR12" s="382">
        <f t="shared" si="34"/>
        <v>0</v>
      </c>
      <c r="FS12" s="454">
        <f>IF(OR(AK12=0,AK12=""),0,IF(VLOOKUP(B12,'Matriz de Referencia'!$B$2:$CO$584,62,FALSE)=0,0,"Digite"))</f>
        <v>0</v>
      </c>
      <c r="FT12" s="454">
        <f>IF(OR(AK12=0,AK12=""),0,IF(VLOOKUP(B12,'Matriz de Referencia'!$B$2:$CO$584,63,FALSE)=0,0,"Digite"))</f>
        <v>0</v>
      </c>
      <c r="FU12" s="454">
        <f>IF(OR(AK12=0,AK12=""),0,IF(VLOOKUP(B12,'Matriz de Referencia'!$B$2:$CO$584,64,FALSE)=0,"","Digite"))</f>
        <v>0</v>
      </c>
      <c r="FV12" s="382">
        <f t="shared" si="35"/>
        <v>0</v>
      </c>
      <c r="FW12" s="382">
        <f t="shared" si="36"/>
        <v>0</v>
      </c>
      <c r="FX12" s="453">
        <f>IF(OR(AL12=0,AL12=""),0,IF(VLOOKUP(B12,'Matriz de Referencia'!$B$2:$CO$584,53,FALSE)=0,0,"Digite"))</f>
        <v>0</v>
      </c>
      <c r="FY12" s="454">
        <f>IF(OR(AL12=0,AL12=""),0,IF(VLOOKUP(B12,'Matriz de Referencia'!$B$2:$CO$584,54,FALSE)=0,0,"Digite"))</f>
        <v>0</v>
      </c>
      <c r="FZ12" s="454">
        <f>IF(OR(AL12=0,AL12=""),0,IF(VLOOKUP(B12,'Matriz de Referencia'!$B$2:$CO$584,55,FALSE)=0,0,"Digite"))</f>
        <v>0</v>
      </c>
      <c r="GA12" s="454">
        <f>IF(OR(AL12=0,AL12=""),0,IF(VLOOKUP(B12,'Matriz de Referencia'!$B$2:$CO$584,56,FALSE)=0,0,"Digite"))</f>
        <v>0</v>
      </c>
      <c r="GB12" s="454">
        <f>IF(OR(AL12=0,AL12=""),0,IF(VLOOKUP(B12,'Matriz de Referencia'!$B$2:$CO$584,57,FALSE)=0,0,"Digite"))</f>
        <v>0</v>
      </c>
      <c r="GC12" s="454">
        <f>IF(OR(AL12=0,AL12=""),0,IF(VLOOKUP(B12,'Matriz de Referencia'!$B$2:$CO$584,58,FALSE)=0,0,"Digite"))</f>
        <v>0</v>
      </c>
      <c r="GD12" s="454">
        <f>IF(OR(AL12=0,AL12=""),0,IF(VLOOKUP(B12,'Matriz de Referencia'!$B$2:$CO$584,59,FALSE)=0,0,"Digite"))</f>
        <v>0</v>
      </c>
      <c r="GE12" s="454">
        <f>IF(OR(AL12=0,AL12=""),0,IF(VLOOKUP(B12,'Matriz de Referencia'!$B$2:$CO$584,60,FALSE)=0,0,"Digite"))</f>
        <v>0</v>
      </c>
      <c r="GF12" s="382">
        <f t="shared" si="37"/>
        <v>0</v>
      </c>
      <c r="GG12" s="454">
        <f>IF(OR(AL12=0,AL12=""),0,IF(VLOOKUP(B12,'Matriz de Referencia'!$B$2:$CO$584,62,FALSE)=0,0,"Digite"))</f>
        <v>0</v>
      </c>
      <c r="GH12" s="454">
        <f>IF(OR(AL12=0,AL12=""),0,IF(VLOOKUP(B12,'Matriz de Referencia'!$B$2:$CO$584,63,FALSE)=0,0,"Digite"))</f>
        <v>0</v>
      </c>
      <c r="GI12" s="454">
        <f>IF(OR(AL12=0,AL12=""),0,IF(VLOOKUP(B12,'Matriz de Referencia'!$B$2:$CO$584,64,FALSE)=0,0,"Digite"))</f>
        <v>0</v>
      </c>
      <c r="GJ12" s="382">
        <f t="shared" si="38"/>
        <v>0</v>
      </c>
      <c r="GK12" s="382">
        <f t="shared" si="39"/>
        <v>0</v>
      </c>
      <c r="GL12" s="453">
        <f>IF(OR(AM12=0,AM12=""),0,IF(VLOOKUP(B12,'Matriz de Referencia'!$B$2:$CO$584,53,FALSE)=0,0,"Digite"))</f>
        <v>0</v>
      </c>
      <c r="GM12" s="454">
        <f>IF(OR(AM12=0,AM12=""),0,IF(VLOOKUP(B12,'Matriz de Referencia'!$B$2:$CO$584,54,FALSE)=0,0,"Digite"))</f>
        <v>0</v>
      </c>
      <c r="GN12" s="454">
        <f>IF(OR(AM12=0,AM12=""),0,IF(VLOOKUP(B12,'Matriz de Referencia'!$B$2:$CO$584,55,FALSE)=0,0,"Digite"))</f>
        <v>0</v>
      </c>
      <c r="GO12" s="454">
        <f>IF(OR(AM12=0,AM12=""),0,IF(VLOOKUP(B12,'Matriz de Referencia'!$B$2:$CO$584,56,FALSE)=0,0,"Digite"))</f>
        <v>0</v>
      </c>
      <c r="GP12" s="454">
        <f>IF(OR(AM12=0,AM12=""),0,IF(VLOOKUP(B12,'Matriz de Referencia'!$B$2:$CO$584,57,FALSE)=0,0,"Digite"))</f>
        <v>0</v>
      </c>
      <c r="GQ12" s="454">
        <f>IF(OR(AM12=0,AM12=""),0,IF(VLOOKUP(B12,'Matriz de Referencia'!$B$2:$CO$584,58,FALSE)=0,0,"Digite"))</f>
        <v>0</v>
      </c>
      <c r="GR12" s="454">
        <f>IF(OR(AM12=0,AM12=""),0,IF(VLOOKUP(B12,'Matriz de Referencia'!$B$2:$CO$584,59,FALSE)=0,0,"Digite"))</f>
        <v>0</v>
      </c>
      <c r="GS12" s="454">
        <f>IF(OR(AM12=0,AM12=""),0,IF(VLOOKUP(B12,'Matriz de Referencia'!$B$2:$CO$584,60,FALSE)=0,0,"Digite"))</f>
        <v>0</v>
      </c>
      <c r="GT12" s="382">
        <f t="shared" si="40"/>
        <v>0</v>
      </c>
      <c r="GU12" s="454">
        <f>IF(OR(AM12=0,AM12=""),0,IF(VLOOKUP(B12,'Matriz de Referencia'!$B$2:$CO$584,62,FALSE)=0,0,"Digite"))</f>
        <v>0</v>
      </c>
      <c r="GV12" s="454">
        <f>IF(OR(AM12=0,AM12=""),0,IF(VLOOKUP(B12,'Matriz de Referencia'!$B$2:$CO$584,63,FALSE)=0,0,"Digite"))</f>
        <v>0</v>
      </c>
      <c r="GW12" s="454">
        <f>IF(OR(AM12=0,AM12=""),0,IF(VLOOKUP(B12,'Matriz de Referencia'!$B$2:$CO$584,64,FALSE)=0,0,"Digite"))</f>
        <v>0</v>
      </c>
      <c r="GX12" s="382">
        <f t="shared" si="41"/>
        <v>0</v>
      </c>
      <c r="GY12" s="382">
        <f t="shared" si="42"/>
        <v>0</v>
      </c>
      <c r="GZ12" s="453">
        <f>IF(OR(AN12=0,AN12=""),0,IF(VLOOKUP(B12,'Matriz de Referencia'!$B$2:$CO$584,53,FALSE)=0,0,"Digite"))</f>
        <v>0</v>
      </c>
      <c r="HA12" s="454">
        <f>IF(OR(AN12=0,AN12=""),0,IF(VLOOKUP(B12,'Matriz de Referencia'!$B$2:$CO$584,54,FALSE)=0,0,"Digite"))</f>
        <v>0</v>
      </c>
      <c r="HB12" s="454">
        <f>IF(OR(AN12=0,AN12=""),0,IF(VLOOKUP(B12,'Matriz de Referencia'!$B$2:$CO$584,55,FALSE)=0,0,"Digite"))</f>
        <v>0</v>
      </c>
      <c r="HC12" s="454">
        <f>IF(OR(AN12=0,AN12=""),0,IF(VLOOKUP(B12,'Matriz de Referencia'!$B$2:$CO$584,56,FALSE)=0,0,"Digite"))</f>
        <v>0</v>
      </c>
      <c r="HD12" s="454">
        <f>IF(OR(AN12=0,AN12=""),0,IF(VLOOKUP(B12,'Matriz de Referencia'!$B$2:$CO$584,57,FALSE)=0,0,"Digite"))</f>
        <v>0</v>
      </c>
      <c r="HE12" s="454">
        <f>IF(OR(AN12=0,AN12=""),0,IF(VLOOKUP(B12,'Matriz de Referencia'!$B$2:$CO$584,58,FALSE)=0,0,"Digite"))</f>
        <v>0</v>
      </c>
      <c r="HF12" s="454">
        <f>IF(OR(AN12=0,AN12=""),0,IF(VLOOKUP(B12,'Matriz de Referencia'!$B$2:$CO$584,59,FALSE)=0,0,"Digite"))</f>
        <v>0</v>
      </c>
      <c r="HG12" s="454">
        <f>IF(OR(AN12=0,AN12=""),0,IF(VLOOKUP(B12,'Matriz de Referencia'!$B$2:$CO$584,60,FALSE)=0,0,"Digite"))</f>
        <v>0</v>
      </c>
      <c r="HH12" s="382">
        <f t="shared" si="43"/>
        <v>0</v>
      </c>
      <c r="HI12" s="454">
        <f>IF(OR(AN12=0,AN12=""),0,IF(VLOOKUP(B12,'Matriz de Referencia'!$B$2:$CO$584,62,FALSE)=0,0,"Digite"))</f>
        <v>0</v>
      </c>
      <c r="HJ12" s="454">
        <f>IF(OR(AN12=0,AN12=""),0,IF(VLOOKUP(B12,'Matriz de Referencia'!$B$2:$CO$584,63,FALSE)=0,0,"Digite"))</f>
        <v>0</v>
      </c>
      <c r="HK12" s="454">
        <f>IF(OR(AN12=0,AN12=""),0,IF(VLOOKUP(B12,'Matriz de Referencia'!$B$2:$CO$584,64,FALSE)=0,0,"Digite"))</f>
        <v>0</v>
      </c>
      <c r="HL12" s="382">
        <f t="shared" si="44"/>
        <v>0</v>
      </c>
      <c r="HM12" s="382">
        <f t="shared" si="45"/>
        <v>0</v>
      </c>
      <c r="HN12" s="382">
        <f t="shared" si="46"/>
        <v>0</v>
      </c>
      <c r="HO12" s="101" t="str">
        <f>IFERROR(IF(HN12=0,"",IF(VLOOKUP(B12,'Matriz de Referencia'!$B$2:$CO$584,66,FALSE)=HN12,"Techos ok, cotinue","Debe revisar el valor programado")),"")</f>
        <v/>
      </c>
      <c r="HP12" s="453">
        <f>IF(OR(AQ12=0,AQ12=""),0,IF(VLOOKUP(B12,'Matriz de Referencia'!$B$2:$CO$584,67,FALSE)=0,0,"Digite"))</f>
        <v>0</v>
      </c>
      <c r="HQ12" s="454">
        <f>IF(OR(AQ12=0,AQ12=""),0,IF(VLOOKUP(B12,'Matriz de Referencia'!$B$2:$CO$584,68,FALSE)=0,0,"Digite"))</f>
        <v>0</v>
      </c>
      <c r="HR12" s="454">
        <f>IF(OR(AQ12=0,AQ12=""),0,IF(VLOOKUP(B12,'Matriz de Referencia'!$B$2:$CO$584,69,FALSE)=0,0,"Digite"))</f>
        <v>0</v>
      </c>
      <c r="HS12" s="454">
        <f>IF(OR(AQ12=0,AQ12=""),0,IF(VLOOKUP(B12,'Matriz de Referencia'!$B$2:$CO$584,70,FALSE)=0,0,"Digite"))</f>
        <v>0</v>
      </c>
      <c r="HT12" s="454">
        <f>IF(OR(AQ12=0,AQ12=""),0,IF(VLOOKUP(B12,'Matriz de Referencia'!$B$2:$CO$584,71,FALSE)=0,0,"Digite"))</f>
        <v>0</v>
      </c>
      <c r="HU12" s="454">
        <f>IF(OR(AQ12=0,AQ12=""),0,IF(VLOOKUP(B12,'Matriz de Referencia'!$B$2:$CO$584,72,FALSE)=0,0,"Digite"))</f>
        <v>0</v>
      </c>
      <c r="HV12" s="454">
        <f>IF(OR(AQ12=0,AQ12=""),0,IF(VLOOKUP(B12,'Matriz de Referencia'!$B$2:$CO$584,73,FALSE)=0,0,"Digite"))</f>
        <v>0</v>
      </c>
      <c r="HW12" s="454">
        <f>IF(OR(AQ12=0,AQ12=""),0,IF(VLOOKUP(B12,'Matriz de Referencia'!$B$2:$CO$584,74,FALSE)=0,0,"Digite"))</f>
        <v>0</v>
      </c>
      <c r="HX12" s="382">
        <f t="shared" si="47"/>
        <v>0</v>
      </c>
      <c r="HY12" s="454">
        <f>IF(OR(AQ12=0,AQ12=""),0,IF(VLOOKUP(B12,'Matriz de Referencia'!$B$2:$CO$584,76,FALSE)=0,0,"Digite"))</f>
        <v>0</v>
      </c>
      <c r="HZ12" s="454">
        <f>IF(OR(AQ12=0,AQ12=""),0,IF(VLOOKUP(B12,'Matriz de Referencia'!$B$2:$CO$584,77,FALSE)=0,0,"Digite"))</f>
        <v>0</v>
      </c>
      <c r="IA12" s="454">
        <f>IF(OR(AQ12=0,AQ12=""),0,IF(VLOOKUP(B12,'Matriz de Referencia'!$B$2:$CO$584,78,FALSE)=0,0,"Digite"))</f>
        <v>0</v>
      </c>
      <c r="IB12" s="382">
        <f t="shared" si="48"/>
        <v>0</v>
      </c>
      <c r="IC12" s="382">
        <f t="shared" si="49"/>
        <v>0</v>
      </c>
      <c r="ID12" s="453">
        <f>IF(OR(AR12=0,AR12=""),0,IF(VLOOKUP(B12,'Matriz de Referencia'!$B$2:$CO$584,67,FALSE)=0,0,"Digite"))</f>
        <v>0</v>
      </c>
      <c r="IE12" s="454">
        <f>IF(OR(AR12=0,AR12=""),0,IF(VLOOKUP(B12,'Matriz de Referencia'!$B$2:$CO$584,68,FALSE)=0,0,"Digite"))</f>
        <v>0</v>
      </c>
      <c r="IF12" s="454">
        <f>IF(OR(AR12=0,AR12=""),0,IF(VLOOKUP(B12,'Matriz de Referencia'!$B$2:$CO$584,69,FALSE)=0,0,"Digite"))</f>
        <v>0</v>
      </c>
      <c r="IG12" s="454">
        <f>IF(OR(AR12=0,AR12=""),0,IF(VLOOKUP(B12,'Matriz de Referencia'!$B$2:$CO$584,70,FALSE)=0,0,"Digite"))</f>
        <v>0</v>
      </c>
      <c r="IH12" s="454">
        <f>IF(OR(AR12=0,AR12=""),0,IF(VLOOKUP(B12,'Matriz de Referencia'!$B$2:$CO$584,71,FALSE)=0,0,"Digite"))</f>
        <v>0</v>
      </c>
      <c r="II12" s="454">
        <f>IF(OR(AR12=0,AR12=""),0,IF(VLOOKUP(B12,'Matriz de Referencia'!$B$2:$CO$584,72,FALSE)=0,0,"Digite"))</f>
        <v>0</v>
      </c>
      <c r="IJ12" s="454">
        <f>IF(OR(AR12=0,AR12=""),0,IF(VLOOKUP(B12,'Matriz de Referencia'!$B$2:$CO$584,73,FALSE)=0,0,"Digite"))</f>
        <v>0</v>
      </c>
      <c r="IK12" s="454">
        <f>IF(OR(AR12=0,AR12=""),0,IF(VLOOKUP(B12,'Matriz de Referencia'!$B$2:$CO$584,74,FALSE)=0,0,"Digite"))</f>
        <v>0</v>
      </c>
      <c r="IL12" s="382">
        <f t="shared" si="50"/>
        <v>0</v>
      </c>
      <c r="IM12" s="454">
        <f>IF(OR(AR12=0,AR12=""),0,IF(VLOOKUP(B12,'Matriz de Referencia'!$B$2:$CO$584,76,FALSE)=0,0,"Digite"))</f>
        <v>0</v>
      </c>
      <c r="IN12" s="454">
        <f>IF(OR(AR12=0,AR12=""),0,IF(VLOOKUP(B12,'Matriz de Referencia'!$B$2:$CO$584,77,FALSE)=0,0,"Digite"))</f>
        <v>0</v>
      </c>
      <c r="IO12" s="454">
        <f>IF(OR(AR12=0,AR12=""),0,IF(VLOOKUP(B12,'Matriz de Referencia'!$B$2:$CO$584,78,FALSE)=0,0,"Digite"))</f>
        <v>0</v>
      </c>
      <c r="IP12" s="382">
        <f t="shared" si="51"/>
        <v>0</v>
      </c>
      <c r="IQ12" s="382">
        <f t="shared" si="52"/>
        <v>0</v>
      </c>
      <c r="IR12" s="453">
        <f>IF(OR(AS12=0,AS12=""),0,IF(VLOOKUP(B12,'Matriz de Referencia'!$B$2:$CO$584,67,FALSE)=0,0,"Digite"))</f>
        <v>0</v>
      </c>
      <c r="IS12" s="454">
        <f>IF(OR(AS12=0,AS12=""),0,IF(VLOOKUP(B12,'Matriz de Referencia'!$B$2:$CO$584,68,FALSE)=0,0,"Digite"))</f>
        <v>0</v>
      </c>
      <c r="IT12" s="454">
        <f>IF(OR(AS12=0,AS12=""),0,IF(VLOOKUP(B12,'Matriz de Referencia'!$B$2:$CO$584,69,FALSE)=0,0,"Digite"))</f>
        <v>0</v>
      </c>
      <c r="IU12" s="454">
        <f>IF(OR(AS12=0,AS12=""),0,IF(VLOOKUP(B12,'Matriz de Referencia'!$B$2:$CO$584,70,FALSE)=0,0,"Digite"))</f>
        <v>0</v>
      </c>
      <c r="IV12" s="454">
        <f>IF(OR(AS12=0,AS12=""),0,IF(VLOOKUP(B12,'Matriz de Referencia'!$B$2:$CO$584,71,FALSE)=0,0,"Digite"))</f>
        <v>0</v>
      </c>
      <c r="IW12" s="454">
        <f>IF(OR(AS12=0,AS12=""),0,IF(VLOOKUP(B12,'Matriz de Referencia'!$B$2:$CO$584,72,FALSE)=0,0,"Digite"))</f>
        <v>0</v>
      </c>
      <c r="IX12" s="454">
        <f>IF(OR(AS12=0,AS12=""),0,IF(VLOOKUP(B12,'Matriz de Referencia'!$B$2:$CO$584,73,FALSE)=0,0,"Digite"))</f>
        <v>0</v>
      </c>
      <c r="IY12" s="454">
        <f>IF(OR(AS12=0,AS12=""),0,IF(VLOOKUP(B12,'Matriz de Referencia'!$B$2:$CO$584,74,FALSE)=0,0,"Digite"))</f>
        <v>0</v>
      </c>
      <c r="IZ12" s="382">
        <f t="shared" si="53"/>
        <v>0</v>
      </c>
      <c r="JA12" s="454">
        <f>IF(OR(AS12=0,AS12=""),0,IF(VLOOKUP(B12,'Matriz de Referencia'!$B$2:$CO$584,76,FALSE)=0,0,"Digite"))</f>
        <v>0</v>
      </c>
      <c r="JB12" s="454">
        <f>IF(OR(AS12=0,AS12=""),0,IF(VLOOKUP(B12,'Matriz de Referencia'!$B$2:$CO$584,77,FALSE)=0,0,"Digite"))</f>
        <v>0</v>
      </c>
      <c r="JC12" s="454">
        <f>IF(OR(AS12=0,AS12=""),0,IF(VLOOKUP(B12,'Matriz de Referencia'!$B$2:$CO$584,78,FALSE)=0,0,"Digite"))</f>
        <v>0</v>
      </c>
      <c r="JD12" s="382">
        <f t="shared" si="54"/>
        <v>0</v>
      </c>
      <c r="JE12" s="382">
        <f t="shared" si="55"/>
        <v>0</v>
      </c>
      <c r="JF12" s="453">
        <f>IF(OR(AT12=0,AT12=""),0,IF(VLOOKUP(B12,'Matriz de Referencia'!$B$2:$CO$584,67,FALSE)=0,0,"Digite"))</f>
        <v>0</v>
      </c>
      <c r="JG12" s="454">
        <f>IF(OR(AT12=0,AT12=""),0,IF(VLOOKUP(B12,'Matriz de Referencia'!$B$2:$CO$584,68,FALSE)=0,0,"Digite"))</f>
        <v>0</v>
      </c>
      <c r="JH12" s="454">
        <f>IF(OR(AT12=0,AT12=""),0,IF(VLOOKUP(B12,'Matriz de Referencia'!$B$2:$CO$584,69,FALSE)=0,0,"Digite"))</f>
        <v>0</v>
      </c>
      <c r="JI12" s="454">
        <f>IF(OR(AT12=0,AT12=""),0,IF(VLOOKUP(B12,'Matriz de Referencia'!$B$2:$CO$584,70,FALSE)=0,0,"Digite"))</f>
        <v>0</v>
      </c>
      <c r="JJ12" s="454">
        <f>IF(OR(AT12=0,AT12=""),0,IF(VLOOKUP(B12,'Matriz de Referencia'!$B$2:$CO$584,71,FALSE)=0,0,"Digite"))</f>
        <v>0</v>
      </c>
      <c r="JK12" s="454">
        <f>IF(OR(AT12=0,AT12=""),0,IF(VLOOKUP(B12,'Matriz de Referencia'!$B$2:$CO$584,72,FALSE)=0,0,"Digite"))</f>
        <v>0</v>
      </c>
      <c r="JL12" s="454">
        <f>IF(OR(AT12=0,AT12=""),0,IF(VLOOKUP(B12,'Matriz de Referencia'!$B$2:$CO$584,73,FALSE)=0,0,"Digite"))</f>
        <v>0</v>
      </c>
      <c r="JM12" s="454">
        <f>IF(OR(AT12=0,AT12=""),0,IF(VLOOKUP(B12,'Matriz de Referencia'!$B$2:$CO$584,74,FALSE)=0,0,"Digite"))</f>
        <v>0</v>
      </c>
      <c r="JN12" s="382">
        <f t="shared" si="56"/>
        <v>0</v>
      </c>
      <c r="JO12" s="454">
        <f>IF(OR(AT12=0,AT12=""),0,IF(VLOOKUP(B12,'Matriz de Referencia'!$B$2:$CO$584,76,FALSE)=0,0,"Digite"))</f>
        <v>0</v>
      </c>
      <c r="JP12" s="454">
        <f>IF(OR(AT12=0,AT12=""),0,IF(VLOOKUP(B12,'Matriz de Referencia'!$B$2:$CO$584,77,FALSE)=0,0,"Digite"))</f>
        <v>0</v>
      </c>
      <c r="JQ12" s="454">
        <f>IF(OR(AT12=0,AT12=""),0,IF(VLOOKUP(B12,'Matriz de Referencia'!$B$2:$CO$584,78,FALSE)=0,0,"Digite"))</f>
        <v>0</v>
      </c>
      <c r="JR12" s="382">
        <f t="shared" si="57"/>
        <v>0</v>
      </c>
      <c r="JS12" s="382">
        <f t="shared" si="58"/>
        <v>0</v>
      </c>
      <c r="JT12" s="382">
        <f t="shared" si="59"/>
        <v>0</v>
      </c>
      <c r="JU12" s="101" t="str">
        <f>IFERROR(IF(JT12=0,"",IF(VLOOKUP(B12,'Matriz de Referencia'!$B$2:$CO$584,80,FALSE)=JT12,"Techos ok, cotinue","Debe revisar el valor programado")),"")</f>
        <v/>
      </c>
      <c r="JV12" s="382">
        <f t="shared" si="60"/>
        <v>0</v>
      </c>
    </row>
    <row r="13" spans="1:282">
      <c r="S13" s="568"/>
      <c r="T13" s="414"/>
      <c r="U13" s="661" t="str">
        <f t="shared" si="1"/>
        <v>Dimensión_</v>
      </c>
      <c r="V13" s="414"/>
      <c r="W13" s="568"/>
      <c r="X13" s="449" t="str">
        <f>IFERROR(IF(VLOOKUP(B13,'Matriz de Referencia'!$B$2:$CO$584,'Matriz de Referencia'!AM$1,FALSE)&gt;0,"Diligenciar la vigencia, tiene presupuesto programado","No diligenciar, no programo presupuesto"),"")</f>
        <v/>
      </c>
      <c r="Y13" s="649"/>
      <c r="Z13" s="649"/>
      <c r="AA13" s="649"/>
      <c r="AB13" s="649"/>
      <c r="AC13" s="650" t="str">
        <f t="shared" si="2"/>
        <v/>
      </c>
      <c r="AD13" s="449" t="str">
        <f>IFERROR(IF(VLOOKUP($B13,'Matriz de Referencia'!$B$2:$CO$584,'Matriz de Referencia'!BA$1,FALSE)&gt;0,"Diligenciar la vigencia, tiene presupuesto programado","No diligenciar, no programo presupuesto"),"")</f>
        <v/>
      </c>
      <c r="AE13" s="649"/>
      <c r="AF13" s="649"/>
      <c r="AG13" s="649"/>
      <c r="AH13" s="649"/>
      <c r="AI13" s="650" t="str">
        <f t="shared" si="3"/>
        <v/>
      </c>
      <c r="AJ13" s="449" t="str">
        <f>IFERROR(IF(VLOOKUP($B13,'Matriz de Referencia'!$B$2:$CO$584,'Matriz de Referencia'!BO$1,FALSE)&gt;0,"Diligenciar la vigencia, tiene presupuesto programado","No diligenciar, no programo presupuesto"),"")</f>
        <v/>
      </c>
      <c r="AK13" s="649"/>
      <c r="AL13" s="649"/>
      <c r="AM13" s="649"/>
      <c r="AN13" s="649"/>
      <c r="AO13" s="650" t="str">
        <f t="shared" si="4"/>
        <v/>
      </c>
      <c r="AP13" s="449" t="str">
        <f>IFERROR(IF(VLOOKUP($B13,'Matriz de Referencia'!$B$2:$CO$584,'Matriz de Referencia'!CC$1,FALSE)&gt;0,"Diligenciar la vigencia, tiene presupuesto programado","No diligenciar, no programo presupuesto"),"")</f>
        <v/>
      </c>
      <c r="AQ13" s="649"/>
      <c r="AR13" s="649"/>
      <c r="AS13" s="649"/>
      <c r="AT13" s="649"/>
      <c r="AU13" s="650" t="str">
        <f t="shared" si="5"/>
        <v/>
      </c>
      <c r="AV13" s="448" t="str">
        <f t="shared" si="6"/>
        <v/>
      </c>
      <c r="AW13" s="416" t="str">
        <f t="shared" si="7"/>
        <v/>
      </c>
      <c r="AX13" s="455" t="str">
        <f>IF(OR(Y13=0,Y13=""),"",IF(VLOOKUP(B13,'Matriz de Referencia'!$B$2:$CO$584,'Matriz de Referencia'!BB$1,FALSE)=0,"","Digite"))</f>
        <v/>
      </c>
      <c r="AY13" s="456">
        <f>IF(OR(Y13=0,Y13=""),0,IF(VLOOKUP(B13,'Matriz de Referencia'!$B$2:$CO$584,26,FALSE)=0,0,"Digite"))</f>
        <v>0</v>
      </c>
      <c r="AZ13" s="456">
        <f>IF(OR(Y13=0,Y13=""),0,IF(VLOOKUP(B13,'Matriz de Referencia'!$B$2:$CO$584,27,FALSE)=0,0,"Digite"))</f>
        <v>0</v>
      </c>
      <c r="BA13" s="456">
        <f>IF(OR(Y13=0,Y13=""),0,IF(VLOOKUP(B13,'Matriz de Referencia'!$B$2:$CO$584,28,FALSE)=0,0,"Digite"))</f>
        <v>0</v>
      </c>
      <c r="BB13" s="456">
        <f>IF(OR(Y13=0,Y13=""),0,IF(VLOOKUP(B13,'Matriz de Referencia'!$B$2:$CO$584,29,FALSE)=0,0,"Digite"))</f>
        <v>0</v>
      </c>
      <c r="BC13" s="456">
        <f>IF(OR(Y13=0,Y13=""),0,IF(VLOOKUP(B13,'Matriz de Referencia'!$B$2:$CO$584,30,FALSE)=0,0,"Digite"))</f>
        <v>0</v>
      </c>
      <c r="BD13" s="456">
        <f>IF(OR(Y13=0,Y13=""),0,IF(VLOOKUP(B13,'Matriz de Referencia'!$B$2:$CO$584,31,FALSE)=0,0,"Digite"))</f>
        <v>0</v>
      </c>
      <c r="BE13" s="456">
        <f>IF(OR(Y13=0,Y13=""),0,IF(VLOOKUP(B13,'Matriz de Referencia'!$B$2:$CO$584,32,FALSE)=0,0,"Digite"))</f>
        <v>0</v>
      </c>
      <c r="BF13" s="460">
        <f t="shared" si="8"/>
        <v>0</v>
      </c>
      <c r="BG13" s="456">
        <f>IF(OR(Y13=0,Y13=""),0,IF(VLOOKUP(B13,'Matriz de Referencia'!$B$2:$CO$584,34,FALSE)=0,0,"Digite"))</f>
        <v>0</v>
      </c>
      <c r="BH13" s="456">
        <f>IF(OR(Y13=0,Y13=""),0,IF(VLOOKUP(B13,'Matriz de Referencia'!$B$2:$CO$584,35,FALSE)=0,0,"Digite"))</f>
        <v>0</v>
      </c>
      <c r="BI13" s="456">
        <f>IF(OR(Y13=0,Y13=""),0,IF(VLOOKUP(B13,'Matriz de Referencia'!$B$2:$CO$584,36,FALSE)=0,0,"Digite"))</f>
        <v>0</v>
      </c>
      <c r="BJ13" s="457">
        <f t="shared" si="9"/>
        <v>0</v>
      </c>
      <c r="BK13" s="457">
        <f t="shared" si="10"/>
        <v>0</v>
      </c>
      <c r="BL13" s="455">
        <f>IF(OR(Z13=0,Z13=""),0,IF(VLOOKUP(B13,'Matriz de Referencia'!$B$2:$CO$584,25,FALSE)=0,0,"Digite"))</f>
        <v>0</v>
      </c>
      <c r="BM13" s="456">
        <f>IF(OR(Z13=0,Z13=""),0,IF(VLOOKUP(B13,'Matriz de Referencia'!$B$2:$CO$584,26,FALSE)=0,0,"Digite"))</f>
        <v>0</v>
      </c>
      <c r="BN13" s="456">
        <f>IF(OR(Z13=0,Z13=""),0,IF(VLOOKUP(B13,'Matriz de Referencia'!$B$2:$CO$584,27,FALSE)=0,0,"Digite"))</f>
        <v>0</v>
      </c>
      <c r="BO13" s="456">
        <f>IF(OR(Z13=0,Z13=""),0,IF(VLOOKUP(B13,'Matriz de Referencia'!$B$2:$CO$584,28,FALSE)=0,0,"Digite"))</f>
        <v>0</v>
      </c>
      <c r="BP13" s="456">
        <f>IF(OR(Z13=0,Z13=""),0,IF(VLOOKUP(B13,'Matriz de Referencia'!$B$2:$CO$584,29,FALSE)=0,0,"Digite"))</f>
        <v>0</v>
      </c>
      <c r="BQ13" s="456">
        <f>IF(OR(Z13=0,Z13=""),0,IF(VLOOKUP(B13,'Matriz de Referencia'!$B$2:$CO$584,30,FALSE)=0,0,"Digite"))</f>
        <v>0</v>
      </c>
      <c r="BR13" s="456">
        <f>IF(OR(Z13=0,Z13=""),0,IF(VLOOKUP(B13,'Matriz de Referencia'!$B$2:$CO$584,31,FALSE)=0,0,"Digite"))</f>
        <v>0</v>
      </c>
      <c r="BS13" s="456">
        <f>IF(OR(Z13=0,Z13=""),0,IF(VLOOKUP(B13,'Matriz de Referencia'!$B$2:$CO$584,32,FALSE)=0,0,"Digite"))</f>
        <v>0</v>
      </c>
      <c r="BT13" s="457">
        <f t="shared" si="11"/>
        <v>0</v>
      </c>
      <c r="BU13" s="456">
        <f>IF(OR(Z13=0,Z13=""),0,IF(VLOOKUP(B13,'Matriz de Referencia'!$B$2:$CO$584,34,FALSE)=0,0,"Digite"))</f>
        <v>0</v>
      </c>
      <c r="BV13" s="456">
        <f>IF(OR(Z13=0,Z13=""),0,IF(VLOOKUP(B13,'Matriz de Referencia'!$B$2:$CO$584,35,FALSE)=0,0,"Digite"))</f>
        <v>0</v>
      </c>
      <c r="BW13" s="456">
        <f>IF(OR(Z13=0,Z13=""),0,IF(VLOOKUP(B13,'Matriz de Referencia'!$B$2:$CO$584,36,FALSE)=0,0,"Digite"))</f>
        <v>0</v>
      </c>
      <c r="BX13" s="457">
        <f t="shared" si="12"/>
        <v>0</v>
      </c>
      <c r="BY13" s="457">
        <f t="shared" si="13"/>
        <v>0</v>
      </c>
      <c r="BZ13" s="455">
        <f>IF(OR(AA13=0,AA13=""),0,IF(VLOOKUP(B13,'Matriz de Referencia'!$B$2:$CO$584,25,FALSE)=0,0,"Digite"))</f>
        <v>0</v>
      </c>
      <c r="CA13" s="456">
        <f>IF(OR(AA13=0,AA13=""),0,IF(VLOOKUP(B13,'Matriz de Referencia'!$B$2:$CO$584,26,FALSE)=0,0,"Digite"))</f>
        <v>0</v>
      </c>
      <c r="CB13" s="456">
        <f>IF(OR(AA13=0,AA13=""),0,IF(VLOOKUP(B13,'Matriz de Referencia'!$B$2:$CO$584,27,FALSE)=0,0,"Digite"))</f>
        <v>0</v>
      </c>
      <c r="CC13" s="456">
        <f>IF(OR(AA13=0,AA13=""),0,IF(VLOOKUP(B13,'Matriz de Referencia'!$B$2:$CO$584,28,FALSE)=0,0,"Digite"))</f>
        <v>0</v>
      </c>
      <c r="CD13" s="456">
        <f>IF(OR(AA13=0,AA13=""),0,IF(VLOOKUP(B13,'Matriz de Referencia'!$B$2:$CO$584,29,FALSE)=0,0,"Digite"))</f>
        <v>0</v>
      </c>
      <c r="CE13" s="456">
        <f>IF(OR(AA13=0,AA13=""),0,IF(VLOOKUP(B13,'Matriz de Referencia'!$B$2:$CO$584,30,FALSE)=0,0,"Digite"))</f>
        <v>0</v>
      </c>
      <c r="CF13" s="456">
        <f>IF(OR(AA13=0,AA13=""),0,IF(VLOOKUP(B13,'Matriz de Referencia'!$B$2:$CO$584,31,FALSE)=0,0,"Digite"))</f>
        <v>0</v>
      </c>
      <c r="CG13" s="456">
        <f>IF(OR(AA13=0,AA13=""),0,IF(VLOOKUP(B13,'Matriz de Referencia'!$B$2:$CO$584,32,FALSE)=0,0,"Digite"))</f>
        <v>0</v>
      </c>
      <c r="CH13" s="457">
        <f t="shared" si="14"/>
        <v>0</v>
      </c>
      <c r="CI13" s="456">
        <f>IF(OR(AA13=0,AA13=""),0,IF(VLOOKUP(B13,'Matriz de Referencia'!$B$2:$CO$584,34,FALSE)=0,0,"Digite"))</f>
        <v>0</v>
      </c>
      <c r="CJ13" s="456">
        <f>IF(OR(AA13=0,AA13=""),0,IF(VLOOKUP(B13,'Matriz de Referencia'!$B$2:$CO$584,35,FALSE)=0,0,"Digite"))</f>
        <v>0</v>
      </c>
      <c r="CK13" s="456">
        <f>IF(OR(AA13=0,AA13=""),0,IF(VLOOKUP(B13,'Matriz de Referencia'!$B$2:$CO$584,36,FALSE)=0,0,"Digite"))</f>
        <v>0</v>
      </c>
      <c r="CL13" s="457">
        <f t="shared" si="15"/>
        <v>0</v>
      </c>
      <c r="CM13" s="457">
        <f t="shared" si="16"/>
        <v>0</v>
      </c>
      <c r="CN13" s="455">
        <f>IF(OR(AB13=0,AB13=""),0,IF(VLOOKUP(B13,'Matriz de Referencia'!$B$2:$CO$584,25,FALSE)=0,0,"Digite"))</f>
        <v>0</v>
      </c>
      <c r="CO13" s="456">
        <f>IF(OR(AB13=0,AB13=""),0,IF(VLOOKUP(B13,'Matriz de Referencia'!$B$2:$CO$584,26,FALSE)=0,0,"Digite"))</f>
        <v>0</v>
      </c>
      <c r="CP13" s="456">
        <f>IF(OR(AB13=0,AB13=""),0,IF(VLOOKUP(B13,'Matriz de Referencia'!$B$2:$CO$584,27,FALSE)=0,0,"Digite"))</f>
        <v>0</v>
      </c>
      <c r="CQ13" s="456">
        <f>IF(OR(AB13=0,AB13=""),0,IF(VLOOKUP(B13,'Matriz de Referencia'!$B$2:$CO$584,28,FALSE)=0,0,"Digite"))</f>
        <v>0</v>
      </c>
      <c r="CR13" s="456">
        <f>IF(OR(AB13=0,AB13=""),0,IF(VLOOKUP(B13,'Matriz de Referencia'!$B$2:$CO$584,29,FALSE)=0,0,"Digite"))</f>
        <v>0</v>
      </c>
      <c r="CS13" s="456">
        <f>IF(OR(AB13=0,AB13=""),0,IF(VLOOKUP(B13,'Matriz de Referencia'!$B$2:$CO$584,30,FALSE)=0,0,"Digite"))</f>
        <v>0</v>
      </c>
      <c r="CT13" s="456">
        <f>IF(OR(AB13=0,AB13=""),0,IF(VLOOKUP(B13,'Matriz de Referencia'!$B$2:$CO$584,31,FALSE)=0,0,"Digite"))</f>
        <v>0</v>
      </c>
      <c r="CU13" s="456">
        <f>IF(OR(AB13=0,AB13=""),0,IF(VLOOKUP(B13,'Matriz de Referencia'!$B$2:$CO$584,32,FALSE)=0,0,"Digite"))</f>
        <v>0</v>
      </c>
      <c r="CV13" s="457">
        <f t="shared" si="17"/>
        <v>0</v>
      </c>
      <c r="CW13" s="456">
        <f>IF(OR(AB13=0,AB13=""),0,IF(VLOOKUP(B13,'Matriz de Referencia'!$B$2:$CO$584,34,FALSE)=0,0,"Digite"))</f>
        <v>0</v>
      </c>
      <c r="CX13" s="456">
        <f>IF(OR(AB13=0,AB13=""),0,IF(VLOOKUP(B13,'Matriz de Referencia'!$B$2:$CO$584,35,FALSE)=0,0,"Digite"))</f>
        <v>0</v>
      </c>
      <c r="CY13" s="456">
        <f>IF(OR(AB13=0,AB13=""),0,IF(VLOOKUP(B13,'Matriz de Referencia'!$B$2:$CO$584,36,FALSE)=0,0,"Digite"))</f>
        <v>0</v>
      </c>
      <c r="CZ13" s="457">
        <f t="shared" si="18"/>
        <v>0</v>
      </c>
      <c r="DA13" s="457">
        <f t="shared" si="19"/>
        <v>0</v>
      </c>
      <c r="DB13" s="457">
        <f t="shared" si="20"/>
        <v>0</v>
      </c>
      <c r="DC13" s="101" t="str">
        <f>IFERROR(IF(DB13=0,"",IF(VLOOKUP(B13,'Matriz de Referencia'!$B$2:$CO$584,'Matriz de Referencia'!BO$1,FALSE)=DB13,"Techos ok, cotinue","Debe revisar el valor programado")),"")</f>
        <v/>
      </c>
      <c r="DD13" s="453">
        <f>IF(OR(AE13=0,AE13=""),0,IF(VLOOKUP(B13,'Matriz de Referencia'!$B$2:$CO$584,39,FALSE)=0,0,"Digite"))</f>
        <v>0</v>
      </c>
      <c r="DE13" s="454">
        <f>IF(OR(AE13=0,AE13=""),0,IF(VLOOKUP(B13,'Matriz de Referencia'!$B$2:$CO$584,40,FALSE)=0,0,"Digite"))</f>
        <v>0</v>
      </c>
      <c r="DF13" s="454">
        <f>IF(OR(AE13=0,AE13=""),0,IF(VLOOKUP(B13,'Matriz de Referencia'!$B$2:$CO$584,41,FALSE)=0,0,"Digite"))</f>
        <v>0</v>
      </c>
      <c r="DG13" s="454">
        <f>IF(OR(AE13=0,AE13=""),0,IF(VLOOKUP(B13,'Matriz de Referencia'!$B$2:$CO$584,42,FALSE)=0,0,"Digite"))</f>
        <v>0</v>
      </c>
      <c r="DH13" s="454">
        <f>IF(OR(AE13=0,AE13=""),0,IF(VLOOKUP(B13,'Matriz de Referencia'!$B$2:$CO$584,43,FALSE)=0,0,"Digite"))</f>
        <v>0</v>
      </c>
      <c r="DI13" s="454">
        <f>IF(OR(AE13=0,AE13=""),0,IF(VLOOKUP(B13,'Matriz de Referencia'!$B$2:$CO$584,44,FALSE)=0,0,"Digite"))</f>
        <v>0</v>
      </c>
      <c r="DJ13" s="454">
        <f>IF(OR(AE13=0,AE13=""),0,IF(VLOOKUP(B13,'Matriz de Referencia'!$B$2:$CO$584,45,FALSE)=0,0,"Digite"))</f>
        <v>0</v>
      </c>
      <c r="DK13" s="454">
        <f>IF(OR(AE13=0,AE13=""),0,IF(VLOOKUP(B13,'Matriz de Referencia'!$B$2:$CO$584,46,FALSE)=0,0,"Digite"))</f>
        <v>0</v>
      </c>
      <c r="DL13" s="382">
        <f t="shared" si="21"/>
        <v>0</v>
      </c>
      <c r="DM13" s="454">
        <f>IF(OR(AE13=0,AE13=""),0,IF(VLOOKUP(B13,'Matriz de Referencia'!$B$2:$CO$584,48,FALSE)=0,0,"Digite"))</f>
        <v>0</v>
      </c>
      <c r="DN13" s="454">
        <f>IF(OR(AE13=0,AE13=""),0,IF(VLOOKUP(B13,'Matriz de Referencia'!$B$2:$CO$584,49,FALSE)=0,0,"Digite"))</f>
        <v>0</v>
      </c>
      <c r="DO13" s="454">
        <f>IF(OR(AE13=0,AE13=""),0,IF(VLOOKUP(B13,'Matriz de Referencia'!$B$2:$CO$584,50,FALSE)=0,0,"Digite"))</f>
        <v>0</v>
      </c>
      <c r="DP13" s="382">
        <f t="shared" si="22"/>
        <v>0</v>
      </c>
      <c r="DQ13" s="382">
        <f t="shared" si="23"/>
        <v>0</v>
      </c>
      <c r="DR13" s="453">
        <f>IF(OR(AF13=0,AF13=""),0,IF(VLOOKUP(B13,'Matriz de Referencia'!$B$2:$CO$584,39,FALSE)=0,0,"Digite"))</f>
        <v>0</v>
      </c>
      <c r="DS13" s="454">
        <f>IF(OR(AF13=0,AF13=""),0,IF(VLOOKUP(B13,'Matriz de Referencia'!$B$2:$CO$584,40,FALSE)=0,0,"Digite"))</f>
        <v>0</v>
      </c>
      <c r="DT13" s="454">
        <f>IF(OR(AF13=0,AF13=""),0,IF(VLOOKUP(B13,'Matriz de Referencia'!$B$2:$CO$584,41,FALSE)=0,0,"Digite"))</f>
        <v>0</v>
      </c>
      <c r="DU13" s="454">
        <f>IF(OR(AF13=0,AF13=""),0,IF(VLOOKUP(B13,'Matriz de Referencia'!$B$2:$CO$584,42,FALSE)=0,0,"Digite"))</f>
        <v>0</v>
      </c>
      <c r="DV13" s="454">
        <f>IF(OR(AF13=0,AF13=""),0,IF(VLOOKUP(B13,'Matriz de Referencia'!$B$2:$CO$584,43,FALSE)=0,0,"Digite"))</f>
        <v>0</v>
      </c>
      <c r="DW13" s="454">
        <f>IF(OR(AF13=0,AF13=""),0,IF(VLOOKUP(B13,'Matriz de Referencia'!$B$2:$CO$584,44,FALSE)=0,0,"Digite"))</f>
        <v>0</v>
      </c>
      <c r="DX13" s="454">
        <f>IF(OR(AF13=0,AF13=""),0,IF(VLOOKUP(B13,'Matriz de Referencia'!$B$2:$CO$584,45,FALSE)=0,0,"Digite"))</f>
        <v>0</v>
      </c>
      <c r="DY13" s="454">
        <f>IF(OR(AF13=0,AF13=""),0,IF(VLOOKUP(B13,'Matriz de Referencia'!$B$2:$CO$584,46,FALSE)=0,0,"Digite"))</f>
        <v>0</v>
      </c>
      <c r="DZ13" s="382">
        <f t="shared" si="24"/>
        <v>0</v>
      </c>
      <c r="EA13" s="454">
        <f>IF(OR(AF13=0,AF13=""),0,IF(VLOOKUP(B13,'Matriz de Referencia'!$B$2:$CO$584,48,FALSE)=0,0,"Digite"))</f>
        <v>0</v>
      </c>
      <c r="EB13" s="454">
        <f>IF(OR(AF13=0,AF13=""),0,IF(VLOOKUP(B13,'Matriz de Referencia'!$B$2:$CO$584,49,FALSE)=0,0,"Digite"))</f>
        <v>0</v>
      </c>
      <c r="EC13" s="454">
        <f>IF(OR(AF13=0,AF13=""),0,IF(VLOOKUP(B13,'Matriz de Referencia'!$B$2:$CO$584,50,FALSE)=0,0,"Digite"))</f>
        <v>0</v>
      </c>
      <c r="ED13" s="382">
        <f t="shared" si="25"/>
        <v>0</v>
      </c>
      <c r="EE13" s="382">
        <f t="shared" si="26"/>
        <v>0</v>
      </c>
      <c r="EF13" s="453">
        <f>IF(OR(AG13=0,AG13=""),0,IF(VLOOKUP(B13,'Matriz de Referencia'!$B$2:$CO$584,39,FALSE)=0,0,"Digite"))</f>
        <v>0</v>
      </c>
      <c r="EG13" s="454">
        <f>IF(OR(AG13=0,AG13=""),0,IF(VLOOKUP(B13,'Matriz de Referencia'!$B$2:$CO$584,40,FALSE)=0,0,"Digite"))</f>
        <v>0</v>
      </c>
      <c r="EH13" s="454">
        <f>IF(OR(AG13=0,AG13=""),0,IF(VLOOKUP(B13,'Matriz de Referencia'!$B$2:$CO$584,41,FALSE)=0,0,"Digite"))</f>
        <v>0</v>
      </c>
      <c r="EI13" s="454">
        <f>IF(OR(AG13=0,AG13=""),0,IF(VLOOKUP(B13,'Matriz de Referencia'!$B$2:$CO$584,42,FALSE)=0,0,"Digite"))</f>
        <v>0</v>
      </c>
      <c r="EJ13" s="454">
        <f>IF(OR(AG13=0,AG13=""),0,IF(VLOOKUP(B13,'Matriz de Referencia'!$B$2:$CO$584,43,FALSE)=0,0,"Digite"))</f>
        <v>0</v>
      </c>
      <c r="EK13" s="454">
        <f>IF(OR(AG13=0,AG13=""),0,IF(VLOOKUP(B13,'Matriz de Referencia'!$B$2:$CO$584,44,FALSE)=0,0,"Digite"))</f>
        <v>0</v>
      </c>
      <c r="EL13" s="454">
        <f>IF(OR(AG13=0,AG13=""),0,IF(VLOOKUP(B13,'Matriz de Referencia'!$B$2:$CO$584,45,FALSE)=0,0,"Digite"))</f>
        <v>0</v>
      </c>
      <c r="EM13" s="454">
        <f>IF(OR(AG13=0,AG13=""),0,IF(VLOOKUP(B13,'Matriz de Referencia'!$B$2:$CO$584,46,FALSE)=0,0,"Digite"))</f>
        <v>0</v>
      </c>
      <c r="EN13" s="382">
        <f t="shared" si="27"/>
        <v>0</v>
      </c>
      <c r="EO13" s="454">
        <f>IF(OR(AG13=0,AG13=""),0,IF(VLOOKUP(B13,'Matriz de Referencia'!$B$2:$CO$584,48,FALSE)=0,0,"Digite"))</f>
        <v>0</v>
      </c>
      <c r="EP13" s="454">
        <f>IF(OR(AG13=0,AG13=""),0,IF(VLOOKUP(B13,'Matriz de Referencia'!$B$2:$CO$584,49,FALSE)=0,0,"Digite"))</f>
        <v>0</v>
      </c>
      <c r="EQ13" s="454">
        <f>IF(OR(AG13=0,AG13=""),0,IF(VLOOKUP(B13,'Matriz de Referencia'!$B$2:$CO$584,50,FALSE)=0,0,"Digite"))</f>
        <v>0</v>
      </c>
      <c r="ER13" s="382">
        <f t="shared" si="28"/>
        <v>0</v>
      </c>
      <c r="ES13" s="382">
        <f t="shared" si="29"/>
        <v>0</v>
      </c>
      <c r="ET13" s="453">
        <f>IF(OR(AH13=0,AH13=""),0,IF(VLOOKUP(B13,'Matriz de Referencia'!$B$2:$CO$584,39,FALSE)=0,0,"Digite"))</f>
        <v>0</v>
      </c>
      <c r="EU13" s="454">
        <f>IF(OR(AH13=0,AH13=""),0,IF(VLOOKUP(B13,'Matriz de Referencia'!$B$2:$CO$584,40,FALSE)=0,0,"Digite"))</f>
        <v>0</v>
      </c>
      <c r="EV13" s="454">
        <f>IF(OR(AH13=0,AH13=""),0,IF(VLOOKUP(B13,'Matriz de Referencia'!$B$2:$CO$584,41,FALSE)=0,0,"Digite"))</f>
        <v>0</v>
      </c>
      <c r="EW13" s="454">
        <f>IF(OR(AH13=0,AH13=""),0,IF(VLOOKUP(B13,'Matriz de Referencia'!$B$2:$CO$584,42,FALSE)=0,0,"Digite"))</f>
        <v>0</v>
      </c>
      <c r="EX13" s="454">
        <f>IF(OR(AH13=0,AH13=""),0,IF(VLOOKUP(B13,'Matriz de Referencia'!$B$2:$CO$584,43,FALSE)=0,0,"Digite"))</f>
        <v>0</v>
      </c>
      <c r="EY13" s="454">
        <f>IF(OR(AH13=0,AH13=""),0,IF(VLOOKUP(B13,'Matriz de Referencia'!$B$2:$CO$584,44,FALSE)=0,0,"Digite"))</f>
        <v>0</v>
      </c>
      <c r="EZ13" s="454">
        <f>IF(OR(AH13=0,AH13=""),0,IF(VLOOKUP(B13,'Matriz de Referencia'!$B$2:$CO$584,45,FALSE)=0,0,"Digite"))</f>
        <v>0</v>
      </c>
      <c r="FA13" s="454">
        <f>IF(OR(AH13=0,AH13=""),0,IF(VLOOKUP(B13,'Matriz de Referencia'!$B$2:$CO$584,46,FALSE)=0,0,"Digite"))</f>
        <v>0</v>
      </c>
      <c r="FB13" s="382">
        <f t="shared" si="30"/>
        <v>0</v>
      </c>
      <c r="FC13" s="454">
        <f>IF(OR(AH13=0,AH13=""),0,IF(VLOOKUP(B13,'Matriz de Referencia'!$B$2:$CO$584,48,FALSE)=0,0,"Digite"))</f>
        <v>0</v>
      </c>
      <c r="FD13" s="454">
        <f>IF(OR(AH13=0,AH13=""),0,IF(VLOOKUP(B13,'Matriz de Referencia'!$B$2:$CO$584,49,FALSE)=0,0,"Digite"))</f>
        <v>0</v>
      </c>
      <c r="FE13" s="454">
        <f>IF(OR(AH13=0,AH13=""),0,IF(VLOOKUP(B13,'Matriz de Referencia'!$B$2:$CO$584,50,FALSE)=0,0,"Digite"))</f>
        <v>0</v>
      </c>
      <c r="FF13" s="382">
        <f t="shared" si="31"/>
        <v>0</v>
      </c>
      <c r="FG13" s="382">
        <f t="shared" si="32"/>
        <v>0</v>
      </c>
      <c r="FH13" s="382">
        <f t="shared" si="33"/>
        <v>0</v>
      </c>
      <c r="FI13" s="101" t="str">
        <f>IFERROR(IF(FH13=0,"",IF(VLOOKUP(B13,'Matriz de Referencia'!$B$2:$CO$584,52,FALSE)=FH13,"Techos ok, cotinue","Debe revisar el valor programado")),"")</f>
        <v/>
      </c>
      <c r="FJ13" s="453">
        <f>IF(OR(AK13=0,AK13=""),0,IF(VLOOKUP(B13,'Matriz de Referencia'!$B$2:$CO$584,53,FALSE)=0,0,"Digite"))</f>
        <v>0</v>
      </c>
      <c r="FK13" s="454">
        <f>IF(OR(AK13=0,AK13=""),0,IF(VLOOKUP(B13,'Matriz de Referencia'!$B$2:$CO$584,54,FALSE)=0,0,"Digite"))</f>
        <v>0</v>
      </c>
      <c r="FL13" s="454">
        <f>IF(OR(AK13=0,AK13=""),0,IF(VLOOKUP(B13,'Matriz de Referencia'!$B$2:$CO$584,55,FALSE)=0,0,"Digite"))</f>
        <v>0</v>
      </c>
      <c r="FM13" s="454">
        <f>IF(OR(AK13=0,AK13=""),0,IF(VLOOKUP(B13,'Matriz de Referencia'!$B$2:$CO$584,56,FALSE)=0,0,"Digite"))</f>
        <v>0</v>
      </c>
      <c r="FN13" s="454">
        <f>IF(OR(AK13=0,AK13=""),0,IF(VLOOKUP(B13,'Matriz de Referencia'!$B$2:$CO$584,57,FALSE)=0,0,"Digite"))</f>
        <v>0</v>
      </c>
      <c r="FO13" s="454">
        <f>IF(OR(AK13=0,AK13=""),0,IF(VLOOKUP(B13,'Matriz de Referencia'!$B$2:$CO$584,58,FALSE)=0,0,"Digite"))</f>
        <v>0</v>
      </c>
      <c r="FP13" s="454">
        <f>IF(OR(AK13=0,AK13=""),0,IF(VLOOKUP(B13,'Matriz de Referencia'!$B$2:$CO$584,59,FALSE)=0,0,"Digite"))</f>
        <v>0</v>
      </c>
      <c r="FQ13" s="454">
        <f>IF(OR(AK13=0,AK13=""),0,IF(VLOOKUP(B13,'Matriz de Referencia'!$B$2:$CO$584,60,FALSE)=0,0,"Digite"))</f>
        <v>0</v>
      </c>
      <c r="FR13" s="382">
        <f t="shared" si="34"/>
        <v>0</v>
      </c>
      <c r="FS13" s="454">
        <f>IF(OR(AK13=0,AK13=""),0,IF(VLOOKUP(B13,'Matriz de Referencia'!$B$2:$CO$584,62,FALSE)=0,0,"Digite"))</f>
        <v>0</v>
      </c>
      <c r="FT13" s="454">
        <f>IF(OR(AK13=0,AK13=""),0,IF(VLOOKUP(B13,'Matriz de Referencia'!$B$2:$CO$584,63,FALSE)=0,0,"Digite"))</f>
        <v>0</v>
      </c>
      <c r="FU13" s="454">
        <f>IF(OR(AK13=0,AK13=""),0,IF(VLOOKUP(B13,'Matriz de Referencia'!$B$2:$CO$584,64,FALSE)=0,"","Digite"))</f>
        <v>0</v>
      </c>
      <c r="FV13" s="382">
        <f t="shared" si="35"/>
        <v>0</v>
      </c>
      <c r="FW13" s="382">
        <f t="shared" si="36"/>
        <v>0</v>
      </c>
      <c r="FX13" s="453">
        <f>IF(OR(AL13=0,AL13=""),0,IF(VLOOKUP(B13,'Matriz de Referencia'!$B$2:$CO$584,53,FALSE)=0,0,"Digite"))</f>
        <v>0</v>
      </c>
      <c r="FY13" s="454">
        <f>IF(OR(AL13=0,AL13=""),0,IF(VLOOKUP(B13,'Matriz de Referencia'!$B$2:$CO$584,54,FALSE)=0,0,"Digite"))</f>
        <v>0</v>
      </c>
      <c r="FZ13" s="454">
        <f>IF(OR(AL13=0,AL13=""),0,IF(VLOOKUP(B13,'Matriz de Referencia'!$B$2:$CO$584,55,FALSE)=0,0,"Digite"))</f>
        <v>0</v>
      </c>
      <c r="GA13" s="454">
        <f>IF(OR(AL13=0,AL13=""),0,IF(VLOOKUP(B13,'Matriz de Referencia'!$B$2:$CO$584,56,FALSE)=0,0,"Digite"))</f>
        <v>0</v>
      </c>
      <c r="GB13" s="454">
        <f>IF(OR(AL13=0,AL13=""),0,IF(VLOOKUP(B13,'Matriz de Referencia'!$B$2:$CO$584,57,FALSE)=0,0,"Digite"))</f>
        <v>0</v>
      </c>
      <c r="GC13" s="454">
        <f>IF(OR(AL13=0,AL13=""),0,IF(VLOOKUP(B13,'Matriz de Referencia'!$B$2:$CO$584,58,FALSE)=0,0,"Digite"))</f>
        <v>0</v>
      </c>
      <c r="GD13" s="454">
        <f>IF(OR(AL13=0,AL13=""),0,IF(VLOOKUP(B13,'Matriz de Referencia'!$B$2:$CO$584,59,FALSE)=0,0,"Digite"))</f>
        <v>0</v>
      </c>
      <c r="GE13" s="454">
        <f>IF(OR(AL13=0,AL13=""),0,IF(VLOOKUP(B13,'Matriz de Referencia'!$B$2:$CO$584,60,FALSE)=0,0,"Digite"))</f>
        <v>0</v>
      </c>
      <c r="GF13" s="382">
        <f t="shared" si="37"/>
        <v>0</v>
      </c>
      <c r="GG13" s="454">
        <f>IF(OR(AL13=0,AL13=""),0,IF(VLOOKUP(B13,'Matriz de Referencia'!$B$2:$CO$584,62,FALSE)=0,0,"Digite"))</f>
        <v>0</v>
      </c>
      <c r="GH13" s="454">
        <f>IF(OR(AL13=0,AL13=""),0,IF(VLOOKUP(B13,'Matriz de Referencia'!$B$2:$CO$584,63,FALSE)=0,0,"Digite"))</f>
        <v>0</v>
      </c>
      <c r="GI13" s="454">
        <f>IF(OR(AL13=0,AL13=""),0,IF(VLOOKUP(B13,'Matriz de Referencia'!$B$2:$CO$584,64,FALSE)=0,0,"Digite"))</f>
        <v>0</v>
      </c>
      <c r="GJ13" s="382">
        <f t="shared" si="38"/>
        <v>0</v>
      </c>
      <c r="GK13" s="382">
        <f t="shared" si="39"/>
        <v>0</v>
      </c>
      <c r="GL13" s="453">
        <f>IF(OR(AM13=0,AM13=""),0,IF(VLOOKUP(B13,'Matriz de Referencia'!$B$2:$CO$584,53,FALSE)=0,0,"Digite"))</f>
        <v>0</v>
      </c>
      <c r="GM13" s="454">
        <f>IF(OR(AM13=0,AM13=""),0,IF(VLOOKUP(B13,'Matriz de Referencia'!$B$2:$CO$584,54,FALSE)=0,0,"Digite"))</f>
        <v>0</v>
      </c>
      <c r="GN13" s="454">
        <f>IF(OR(AM13=0,AM13=""),0,IF(VLOOKUP(B13,'Matriz de Referencia'!$B$2:$CO$584,55,FALSE)=0,0,"Digite"))</f>
        <v>0</v>
      </c>
      <c r="GO13" s="454">
        <f>IF(OR(AM13=0,AM13=""),0,IF(VLOOKUP(B13,'Matriz de Referencia'!$B$2:$CO$584,56,FALSE)=0,0,"Digite"))</f>
        <v>0</v>
      </c>
      <c r="GP13" s="454">
        <f>IF(OR(AM13=0,AM13=""),0,IF(VLOOKUP(B13,'Matriz de Referencia'!$B$2:$CO$584,57,FALSE)=0,0,"Digite"))</f>
        <v>0</v>
      </c>
      <c r="GQ13" s="454">
        <f>IF(OR(AM13=0,AM13=""),0,IF(VLOOKUP(B13,'Matriz de Referencia'!$B$2:$CO$584,58,FALSE)=0,0,"Digite"))</f>
        <v>0</v>
      </c>
      <c r="GR13" s="454">
        <f>IF(OR(AM13=0,AM13=""),0,IF(VLOOKUP(B13,'Matriz de Referencia'!$B$2:$CO$584,59,FALSE)=0,0,"Digite"))</f>
        <v>0</v>
      </c>
      <c r="GS13" s="454">
        <f>IF(OR(AM13=0,AM13=""),0,IF(VLOOKUP(B13,'Matriz de Referencia'!$B$2:$CO$584,60,FALSE)=0,0,"Digite"))</f>
        <v>0</v>
      </c>
      <c r="GT13" s="382">
        <f t="shared" si="40"/>
        <v>0</v>
      </c>
      <c r="GU13" s="454">
        <f>IF(OR(AM13=0,AM13=""),0,IF(VLOOKUP(B13,'Matriz de Referencia'!$B$2:$CO$584,62,FALSE)=0,0,"Digite"))</f>
        <v>0</v>
      </c>
      <c r="GV13" s="454">
        <f>IF(OR(AM13=0,AM13=""),0,IF(VLOOKUP(B13,'Matriz de Referencia'!$B$2:$CO$584,63,FALSE)=0,0,"Digite"))</f>
        <v>0</v>
      </c>
      <c r="GW13" s="454">
        <f>IF(OR(AM13=0,AM13=""),0,IF(VLOOKUP(B13,'Matriz de Referencia'!$B$2:$CO$584,64,FALSE)=0,0,"Digite"))</f>
        <v>0</v>
      </c>
      <c r="GX13" s="382">
        <f t="shared" si="41"/>
        <v>0</v>
      </c>
      <c r="GY13" s="382">
        <f t="shared" si="42"/>
        <v>0</v>
      </c>
      <c r="GZ13" s="453">
        <f>IF(OR(AN13=0,AN13=""),0,IF(VLOOKUP(B13,'Matriz de Referencia'!$B$2:$CO$584,53,FALSE)=0,0,"Digite"))</f>
        <v>0</v>
      </c>
      <c r="HA13" s="454">
        <f>IF(OR(AN13=0,AN13=""),0,IF(VLOOKUP(B13,'Matriz de Referencia'!$B$2:$CO$584,54,FALSE)=0,0,"Digite"))</f>
        <v>0</v>
      </c>
      <c r="HB13" s="454">
        <f>IF(OR(AN13=0,AN13=""),0,IF(VLOOKUP(B13,'Matriz de Referencia'!$B$2:$CO$584,55,FALSE)=0,0,"Digite"))</f>
        <v>0</v>
      </c>
      <c r="HC13" s="454">
        <f>IF(OR(AN13=0,AN13=""),0,IF(VLOOKUP(B13,'Matriz de Referencia'!$B$2:$CO$584,56,FALSE)=0,0,"Digite"))</f>
        <v>0</v>
      </c>
      <c r="HD13" s="454">
        <f>IF(OR(AN13=0,AN13=""),0,IF(VLOOKUP(B13,'Matriz de Referencia'!$B$2:$CO$584,57,FALSE)=0,0,"Digite"))</f>
        <v>0</v>
      </c>
      <c r="HE13" s="454">
        <f>IF(OR(AN13=0,AN13=""),0,IF(VLOOKUP(B13,'Matriz de Referencia'!$B$2:$CO$584,58,FALSE)=0,0,"Digite"))</f>
        <v>0</v>
      </c>
      <c r="HF13" s="454">
        <f>IF(OR(AN13=0,AN13=""),0,IF(VLOOKUP(B13,'Matriz de Referencia'!$B$2:$CO$584,59,FALSE)=0,0,"Digite"))</f>
        <v>0</v>
      </c>
      <c r="HG13" s="454">
        <f>IF(OR(AN13=0,AN13=""),0,IF(VLOOKUP(B13,'Matriz de Referencia'!$B$2:$CO$584,60,FALSE)=0,0,"Digite"))</f>
        <v>0</v>
      </c>
      <c r="HH13" s="382">
        <f t="shared" si="43"/>
        <v>0</v>
      </c>
      <c r="HI13" s="454">
        <f>IF(OR(AN13=0,AN13=""),0,IF(VLOOKUP(B13,'Matriz de Referencia'!$B$2:$CO$584,62,FALSE)=0,0,"Digite"))</f>
        <v>0</v>
      </c>
      <c r="HJ13" s="454">
        <f>IF(OR(AN13=0,AN13=""),0,IF(VLOOKUP(B13,'Matriz de Referencia'!$B$2:$CO$584,63,FALSE)=0,0,"Digite"))</f>
        <v>0</v>
      </c>
      <c r="HK13" s="454">
        <f>IF(OR(AN13=0,AN13=""),0,IF(VLOOKUP(B13,'Matriz de Referencia'!$B$2:$CO$584,64,FALSE)=0,0,"Digite"))</f>
        <v>0</v>
      </c>
      <c r="HL13" s="382">
        <f t="shared" si="44"/>
        <v>0</v>
      </c>
      <c r="HM13" s="382">
        <f t="shared" si="45"/>
        <v>0</v>
      </c>
      <c r="HN13" s="382">
        <f t="shared" si="46"/>
        <v>0</v>
      </c>
      <c r="HO13" s="101" t="str">
        <f>IFERROR(IF(HN13=0,"",IF(VLOOKUP(B13,'Matriz de Referencia'!$B$2:$CO$584,66,FALSE)=HN13,"Techos ok, cotinue","Debe revisar el valor programado")),"")</f>
        <v/>
      </c>
      <c r="HP13" s="453">
        <f>IF(OR(AQ13=0,AQ13=""),0,IF(VLOOKUP(B13,'Matriz de Referencia'!$B$2:$CO$584,67,FALSE)=0,0,"Digite"))</f>
        <v>0</v>
      </c>
      <c r="HQ13" s="454">
        <f>IF(OR(AQ13=0,AQ13=""),0,IF(VLOOKUP(B13,'Matriz de Referencia'!$B$2:$CO$584,68,FALSE)=0,0,"Digite"))</f>
        <v>0</v>
      </c>
      <c r="HR13" s="454">
        <f>IF(OR(AQ13=0,AQ13=""),0,IF(VLOOKUP(B13,'Matriz de Referencia'!$B$2:$CO$584,69,FALSE)=0,0,"Digite"))</f>
        <v>0</v>
      </c>
      <c r="HS13" s="454">
        <f>IF(OR(AQ13=0,AQ13=""),0,IF(VLOOKUP(B13,'Matriz de Referencia'!$B$2:$CO$584,70,FALSE)=0,0,"Digite"))</f>
        <v>0</v>
      </c>
      <c r="HT13" s="454">
        <f>IF(OR(AQ13=0,AQ13=""),0,IF(VLOOKUP(B13,'Matriz de Referencia'!$B$2:$CO$584,71,FALSE)=0,0,"Digite"))</f>
        <v>0</v>
      </c>
      <c r="HU13" s="454">
        <f>IF(OR(AQ13=0,AQ13=""),0,IF(VLOOKUP(B13,'Matriz de Referencia'!$B$2:$CO$584,72,FALSE)=0,0,"Digite"))</f>
        <v>0</v>
      </c>
      <c r="HV13" s="454">
        <f>IF(OR(AQ13=0,AQ13=""),0,IF(VLOOKUP(B13,'Matriz de Referencia'!$B$2:$CO$584,73,FALSE)=0,0,"Digite"))</f>
        <v>0</v>
      </c>
      <c r="HW13" s="454">
        <f>IF(OR(AQ13=0,AQ13=""),0,IF(VLOOKUP(B13,'Matriz de Referencia'!$B$2:$CO$584,74,FALSE)=0,0,"Digite"))</f>
        <v>0</v>
      </c>
      <c r="HX13" s="382">
        <f t="shared" si="47"/>
        <v>0</v>
      </c>
      <c r="HY13" s="454">
        <f>IF(OR(AQ13=0,AQ13=""),0,IF(VLOOKUP(B13,'Matriz de Referencia'!$B$2:$CO$584,76,FALSE)=0,0,"Digite"))</f>
        <v>0</v>
      </c>
      <c r="HZ13" s="454">
        <f>IF(OR(AQ13=0,AQ13=""),0,IF(VLOOKUP(B13,'Matriz de Referencia'!$B$2:$CO$584,77,FALSE)=0,0,"Digite"))</f>
        <v>0</v>
      </c>
      <c r="IA13" s="454">
        <f>IF(OR(AQ13=0,AQ13=""),0,IF(VLOOKUP(B13,'Matriz de Referencia'!$B$2:$CO$584,78,FALSE)=0,0,"Digite"))</f>
        <v>0</v>
      </c>
      <c r="IB13" s="382">
        <f t="shared" si="48"/>
        <v>0</v>
      </c>
      <c r="IC13" s="382">
        <f t="shared" si="49"/>
        <v>0</v>
      </c>
      <c r="ID13" s="453">
        <f>IF(OR(AR13=0,AR13=""),0,IF(VLOOKUP(B13,'Matriz de Referencia'!$B$2:$CO$584,67,FALSE)=0,0,"Digite"))</f>
        <v>0</v>
      </c>
      <c r="IE13" s="454">
        <f>IF(OR(AR13=0,AR13=""),0,IF(VLOOKUP(B13,'Matriz de Referencia'!$B$2:$CO$584,68,FALSE)=0,0,"Digite"))</f>
        <v>0</v>
      </c>
      <c r="IF13" s="454">
        <f>IF(OR(AR13=0,AR13=""),0,IF(VLOOKUP(B13,'Matriz de Referencia'!$B$2:$CO$584,69,FALSE)=0,0,"Digite"))</f>
        <v>0</v>
      </c>
      <c r="IG13" s="454">
        <f>IF(OR(AR13=0,AR13=""),0,IF(VLOOKUP(B13,'Matriz de Referencia'!$B$2:$CO$584,70,FALSE)=0,0,"Digite"))</f>
        <v>0</v>
      </c>
      <c r="IH13" s="454">
        <f>IF(OR(AR13=0,AR13=""),0,IF(VLOOKUP(B13,'Matriz de Referencia'!$B$2:$CO$584,71,FALSE)=0,0,"Digite"))</f>
        <v>0</v>
      </c>
      <c r="II13" s="454">
        <f>IF(OR(AR13=0,AR13=""),0,IF(VLOOKUP(B13,'Matriz de Referencia'!$B$2:$CO$584,72,FALSE)=0,0,"Digite"))</f>
        <v>0</v>
      </c>
      <c r="IJ13" s="454">
        <f>IF(OR(AR13=0,AR13=""),0,IF(VLOOKUP(B13,'Matriz de Referencia'!$B$2:$CO$584,73,FALSE)=0,0,"Digite"))</f>
        <v>0</v>
      </c>
      <c r="IK13" s="454">
        <f>IF(OR(AR13=0,AR13=""),0,IF(VLOOKUP(B13,'Matriz de Referencia'!$B$2:$CO$584,74,FALSE)=0,0,"Digite"))</f>
        <v>0</v>
      </c>
      <c r="IL13" s="382">
        <f t="shared" si="50"/>
        <v>0</v>
      </c>
      <c r="IM13" s="454">
        <f>IF(OR(AR13=0,AR13=""),0,IF(VLOOKUP(B13,'Matriz de Referencia'!$B$2:$CO$584,76,FALSE)=0,0,"Digite"))</f>
        <v>0</v>
      </c>
      <c r="IN13" s="454">
        <f>IF(OR(AR13=0,AR13=""),0,IF(VLOOKUP(B13,'Matriz de Referencia'!$B$2:$CO$584,77,FALSE)=0,0,"Digite"))</f>
        <v>0</v>
      </c>
      <c r="IO13" s="454">
        <f>IF(OR(AR13=0,AR13=""),0,IF(VLOOKUP(B13,'Matriz de Referencia'!$B$2:$CO$584,78,FALSE)=0,0,"Digite"))</f>
        <v>0</v>
      </c>
      <c r="IP13" s="382">
        <f t="shared" si="51"/>
        <v>0</v>
      </c>
      <c r="IQ13" s="382">
        <f t="shared" si="52"/>
        <v>0</v>
      </c>
      <c r="IR13" s="453">
        <f>IF(OR(AS13=0,AS13=""),0,IF(VLOOKUP(B13,'Matriz de Referencia'!$B$2:$CO$584,67,FALSE)=0,0,"Digite"))</f>
        <v>0</v>
      </c>
      <c r="IS13" s="454">
        <f>IF(OR(AS13=0,AS13=""),0,IF(VLOOKUP(B13,'Matriz de Referencia'!$B$2:$CO$584,68,FALSE)=0,0,"Digite"))</f>
        <v>0</v>
      </c>
      <c r="IT13" s="454">
        <f>IF(OR(AS13=0,AS13=""),0,IF(VLOOKUP(B13,'Matriz de Referencia'!$B$2:$CO$584,69,FALSE)=0,0,"Digite"))</f>
        <v>0</v>
      </c>
      <c r="IU13" s="454">
        <f>IF(OR(AS13=0,AS13=""),0,IF(VLOOKUP(B13,'Matriz de Referencia'!$B$2:$CO$584,70,FALSE)=0,0,"Digite"))</f>
        <v>0</v>
      </c>
      <c r="IV13" s="454">
        <f>IF(OR(AS13=0,AS13=""),0,IF(VLOOKUP(B13,'Matriz de Referencia'!$B$2:$CO$584,71,FALSE)=0,0,"Digite"))</f>
        <v>0</v>
      </c>
      <c r="IW13" s="454">
        <f>IF(OR(AS13=0,AS13=""),0,IF(VLOOKUP(B13,'Matriz de Referencia'!$B$2:$CO$584,72,FALSE)=0,0,"Digite"))</f>
        <v>0</v>
      </c>
      <c r="IX13" s="454">
        <f>IF(OR(AS13=0,AS13=""),0,IF(VLOOKUP(B13,'Matriz de Referencia'!$B$2:$CO$584,73,FALSE)=0,0,"Digite"))</f>
        <v>0</v>
      </c>
      <c r="IY13" s="454">
        <f>IF(OR(AS13=0,AS13=""),0,IF(VLOOKUP(B13,'Matriz de Referencia'!$B$2:$CO$584,74,FALSE)=0,0,"Digite"))</f>
        <v>0</v>
      </c>
      <c r="IZ13" s="382">
        <f t="shared" si="53"/>
        <v>0</v>
      </c>
      <c r="JA13" s="454">
        <f>IF(OR(AS13=0,AS13=""),0,IF(VLOOKUP(B13,'Matriz de Referencia'!$B$2:$CO$584,76,FALSE)=0,0,"Digite"))</f>
        <v>0</v>
      </c>
      <c r="JB13" s="454">
        <f>IF(OR(AS13=0,AS13=""),0,IF(VLOOKUP(B13,'Matriz de Referencia'!$B$2:$CO$584,77,FALSE)=0,0,"Digite"))</f>
        <v>0</v>
      </c>
      <c r="JC13" s="454">
        <f>IF(OR(AS13=0,AS13=""),0,IF(VLOOKUP(B13,'Matriz de Referencia'!$B$2:$CO$584,78,FALSE)=0,0,"Digite"))</f>
        <v>0</v>
      </c>
      <c r="JD13" s="382">
        <f t="shared" si="54"/>
        <v>0</v>
      </c>
      <c r="JE13" s="382">
        <f t="shared" si="55"/>
        <v>0</v>
      </c>
      <c r="JF13" s="453">
        <f>IF(OR(AT13=0,AT13=""),0,IF(VLOOKUP(B13,'Matriz de Referencia'!$B$2:$CO$584,67,FALSE)=0,0,"Digite"))</f>
        <v>0</v>
      </c>
      <c r="JG13" s="454">
        <f>IF(OR(AT13=0,AT13=""),0,IF(VLOOKUP(B13,'Matriz de Referencia'!$B$2:$CO$584,68,FALSE)=0,0,"Digite"))</f>
        <v>0</v>
      </c>
      <c r="JH13" s="454">
        <f>IF(OR(AT13=0,AT13=""),0,IF(VLOOKUP(B13,'Matriz de Referencia'!$B$2:$CO$584,69,FALSE)=0,0,"Digite"))</f>
        <v>0</v>
      </c>
      <c r="JI13" s="454">
        <f>IF(OR(AT13=0,AT13=""),0,IF(VLOOKUP(B13,'Matriz de Referencia'!$B$2:$CO$584,70,FALSE)=0,0,"Digite"))</f>
        <v>0</v>
      </c>
      <c r="JJ13" s="454">
        <f>IF(OR(AT13=0,AT13=""),0,IF(VLOOKUP(B13,'Matriz de Referencia'!$B$2:$CO$584,71,FALSE)=0,0,"Digite"))</f>
        <v>0</v>
      </c>
      <c r="JK13" s="454">
        <f>IF(OR(AT13=0,AT13=""),0,IF(VLOOKUP(B13,'Matriz de Referencia'!$B$2:$CO$584,72,FALSE)=0,0,"Digite"))</f>
        <v>0</v>
      </c>
      <c r="JL13" s="454">
        <f>IF(OR(AT13=0,AT13=""),0,IF(VLOOKUP(B13,'Matriz de Referencia'!$B$2:$CO$584,73,FALSE)=0,0,"Digite"))</f>
        <v>0</v>
      </c>
      <c r="JM13" s="454">
        <f>IF(OR(AT13=0,AT13=""),0,IF(VLOOKUP(B13,'Matriz de Referencia'!$B$2:$CO$584,74,FALSE)=0,0,"Digite"))</f>
        <v>0</v>
      </c>
      <c r="JN13" s="382">
        <f t="shared" si="56"/>
        <v>0</v>
      </c>
      <c r="JO13" s="454">
        <f>IF(OR(AT13=0,AT13=""),0,IF(VLOOKUP(B13,'Matriz de Referencia'!$B$2:$CO$584,76,FALSE)=0,0,"Digite"))</f>
        <v>0</v>
      </c>
      <c r="JP13" s="454">
        <f>IF(OR(AT13=0,AT13=""),0,IF(VLOOKUP(B13,'Matriz de Referencia'!$B$2:$CO$584,77,FALSE)=0,0,"Digite"))</f>
        <v>0</v>
      </c>
      <c r="JQ13" s="454">
        <f>IF(OR(AT13=0,AT13=""),0,IF(VLOOKUP(B13,'Matriz de Referencia'!$B$2:$CO$584,78,FALSE)=0,0,"Digite"))</f>
        <v>0</v>
      </c>
      <c r="JR13" s="382">
        <f t="shared" si="57"/>
        <v>0</v>
      </c>
      <c r="JS13" s="382">
        <f t="shared" si="58"/>
        <v>0</v>
      </c>
      <c r="JT13" s="382">
        <f t="shared" si="59"/>
        <v>0</v>
      </c>
      <c r="JU13" s="101" t="str">
        <f>IFERROR(IF(JT13=0,"",IF(VLOOKUP(B13,'Matriz de Referencia'!$B$2:$CO$584,80,FALSE)=JT13,"Techos ok, cotinue","Debe revisar el valor programado")),"")</f>
        <v/>
      </c>
      <c r="JV13" s="382">
        <f t="shared" si="60"/>
        <v>0</v>
      </c>
    </row>
    <row r="14" spans="1:282">
      <c r="S14" s="568"/>
      <c r="T14" s="414"/>
      <c r="U14" s="661" t="str">
        <f t="shared" si="1"/>
        <v>Dimensión_</v>
      </c>
      <c r="V14" s="414"/>
      <c r="W14" s="568"/>
      <c r="X14" s="449" t="str">
        <f>IFERROR(IF(VLOOKUP(B14,'Matriz de Referencia'!$B$2:$CO$584,'Matriz de Referencia'!AM$1,FALSE)&gt;0,"Diligenciar la vigencia, tiene presupuesto programado","No diligenciar, no programo presupuesto"),"")</f>
        <v/>
      </c>
      <c r="Y14" s="649"/>
      <c r="Z14" s="649"/>
      <c r="AA14" s="649"/>
      <c r="AB14" s="649"/>
      <c r="AC14" s="650" t="str">
        <f t="shared" si="2"/>
        <v/>
      </c>
      <c r="AD14" s="449" t="str">
        <f>IFERROR(IF(VLOOKUP($B14,'Matriz de Referencia'!$B$2:$CO$584,'Matriz de Referencia'!BA$1,FALSE)&gt;0,"Diligenciar la vigencia, tiene presupuesto programado","No diligenciar, no programo presupuesto"),"")</f>
        <v/>
      </c>
      <c r="AE14" s="649"/>
      <c r="AF14" s="649"/>
      <c r="AG14" s="649"/>
      <c r="AH14" s="649"/>
      <c r="AI14" s="650" t="str">
        <f t="shared" si="3"/>
        <v/>
      </c>
      <c r="AJ14" s="449" t="str">
        <f>IFERROR(IF(VLOOKUP($B14,'Matriz de Referencia'!$B$2:$CO$584,'Matriz de Referencia'!BO$1,FALSE)&gt;0,"Diligenciar la vigencia, tiene presupuesto programado","No diligenciar, no programo presupuesto"),"")</f>
        <v/>
      </c>
      <c r="AK14" s="649"/>
      <c r="AL14" s="649"/>
      <c r="AM14" s="649"/>
      <c r="AN14" s="649"/>
      <c r="AO14" s="650" t="str">
        <f t="shared" si="4"/>
        <v/>
      </c>
      <c r="AP14" s="449" t="str">
        <f>IFERROR(IF(VLOOKUP($B14,'Matriz de Referencia'!$B$2:$CO$584,'Matriz de Referencia'!CC$1,FALSE)&gt;0,"Diligenciar la vigencia, tiene presupuesto programado","No diligenciar, no programo presupuesto"),"")</f>
        <v/>
      </c>
      <c r="AQ14" s="649"/>
      <c r="AR14" s="649"/>
      <c r="AS14" s="649"/>
      <c r="AT14" s="649"/>
      <c r="AU14" s="650" t="str">
        <f t="shared" si="5"/>
        <v/>
      </c>
      <c r="AV14" s="448" t="str">
        <f t="shared" si="6"/>
        <v/>
      </c>
      <c r="AW14" s="416" t="str">
        <f t="shared" si="7"/>
        <v/>
      </c>
      <c r="AX14" s="455" t="str">
        <f>IF(OR(Y14=0,Y14=""),"",IF(VLOOKUP(B14,'Matriz de Referencia'!$B$2:$CO$584,'Matriz de Referencia'!BB$1,FALSE)=0,"","Digite"))</f>
        <v/>
      </c>
      <c r="AY14" s="456">
        <f>IF(OR(Y14=0,Y14=""),0,IF(VLOOKUP(B14,'Matriz de Referencia'!$B$2:$CO$584,26,FALSE)=0,0,"Digite"))</f>
        <v>0</v>
      </c>
      <c r="AZ14" s="456">
        <f>IF(OR(Y14=0,Y14=""),0,IF(VLOOKUP(B14,'Matriz de Referencia'!$B$2:$CO$584,27,FALSE)=0,0,"Digite"))</f>
        <v>0</v>
      </c>
      <c r="BA14" s="456">
        <f>IF(OR(Y14=0,Y14=""),0,IF(VLOOKUP(B14,'Matriz de Referencia'!$B$2:$CO$584,28,FALSE)=0,0,"Digite"))</f>
        <v>0</v>
      </c>
      <c r="BB14" s="456">
        <f>IF(OR(Y14=0,Y14=""),0,IF(VLOOKUP(B14,'Matriz de Referencia'!$B$2:$CO$584,29,FALSE)=0,0,"Digite"))</f>
        <v>0</v>
      </c>
      <c r="BC14" s="456">
        <f>IF(OR(Y14=0,Y14=""),0,IF(VLOOKUP(B14,'Matriz de Referencia'!$B$2:$CO$584,30,FALSE)=0,0,"Digite"))</f>
        <v>0</v>
      </c>
      <c r="BD14" s="456">
        <f>IF(OR(Y14=0,Y14=""),0,IF(VLOOKUP(B14,'Matriz de Referencia'!$B$2:$CO$584,31,FALSE)=0,0,"Digite"))</f>
        <v>0</v>
      </c>
      <c r="BE14" s="456">
        <f>IF(OR(Y14=0,Y14=""),0,IF(VLOOKUP(B14,'Matriz de Referencia'!$B$2:$CO$584,32,FALSE)=0,0,"Digite"))</f>
        <v>0</v>
      </c>
      <c r="BF14" s="460">
        <f t="shared" si="8"/>
        <v>0</v>
      </c>
      <c r="BG14" s="456">
        <f>IF(OR(Y14=0,Y14=""),0,IF(VLOOKUP(B14,'Matriz de Referencia'!$B$2:$CO$584,34,FALSE)=0,0,"Digite"))</f>
        <v>0</v>
      </c>
      <c r="BH14" s="456">
        <f>IF(OR(Y14=0,Y14=""),0,IF(VLOOKUP(B14,'Matriz de Referencia'!$B$2:$CO$584,35,FALSE)=0,0,"Digite"))</f>
        <v>0</v>
      </c>
      <c r="BI14" s="456">
        <f>IF(OR(Y14=0,Y14=""),0,IF(VLOOKUP(B14,'Matriz de Referencia'!$B$2:$CO$584,36,FALSE)=0,0,"Digite"))</f>
        <v>0</v>
      </c>
      <c r="BJ14" s="457">
        <f t="shared" si="9"/>
        <v>0</v>
      </c>
      <c r="BK14" s="457">
        <f t="shared" si="10"/>
        <v>0</v>
      </c>
      <c r="BL14" s="455">
        <f>IF(OR(Z14=0,Z14=""),0,IF(VLOOKUP(B14,'Matriz de Referencia'!$B$2:$CO$584,25,FALSE)=0,0,"Digite"))</f>
        <v>0</v>
      </c>
      <c r="BM14" s="456">
        <f>IF(OR(Z14=0,Z14=""),0,IF(VLOOKUP(B14,'Matriz de Referencia'!$B$2:$CO$584,26,FALSE)=0,0,"Digite"))</f>
        <v>0</v>
      </c>
      <c r="BN14" s="456">
        <f>IF(OR(Z14=0,Z14=""),0,IF(VLOOKUP(B14,'Matriz de Referencia'!$B$2:$CO$584,27,FALSE)=0,0,"Digite"))</f>
        <v>0</v>
      </c>
      <c r="BO14" s="456">
        <f>IF(OR(Z14=0,Z14=""),0,IF(VLOOKUP(B14,'Matriz de Referencia'!$B$2:$CO$584,28,FALSE)=0,0,"Digite"))</f>
        <v>0</v>
      </c>
      <c r="BP14" s="456">
        <f>IF(OR(Z14=0,Z14=""),0,IF(VLOOKUP(B14,'Matriz de Referencia'!$B$2:$CO$584,29,FALSE)=0,0,"Digite"))</f>
        <v>0</v>
      </c>
      <c r="BQ14" s="456">
        <f>IF(OR(Z14=0,Z14=""),0,IF(VLOOKUP(B14,'Matriz de Referencia'!$B$2:$CO$584,30,FALSE)=0,0,"Digite"))</f>
        <v>0</v>
      </c>
      <c r="BR14" s="456">
        <f>IF(OR(Z14=0,Z14=""),0,IF(VLOOKUP(B14,'Matriz de Referencia'!$B$2:$CO$584,31,FALSE)=0,0,"Digite"))</f>
        <v>0</v>
      </c>
      <c r="BS14" s="456">
        <f>IF(OR(Z14=0,Z14=""),0,IF(VLOOKUP(B14,'Matriz de Referencia'!$B$2:$CO$584,32,FALSE)=0,0,"Digite"))</f>
        <v>0</v>
      </c>
      <c r="BT14" s="457">
        <f t="shared" si="11"/>
        <v>0</v>
      </c>
      <c r="BU14" s="456">
        <f>IF(OR(Z14=0,Z14=""),0,IF(VLOOKUP(B14,'Matriz de Referencia'!$B$2:$CO$584,34,FALSE)=0,0,"Digite"))</f>
        <v>0</v>
      </c>
      <c r="BV14" s="456">
        <f>IF(OR(Z14=0,Z14=""),0,IF(VLOOKUP(B14,'Matriz de Referencia'!$B$2:$CO$584,35,FALSE)=0,0,"Digite"))</f>
        <v>0</v>
      </c>
      <c r="BW14" s="456">
        <f>IF(OR(Z14=0,Z14=""),0,IF(VLOOKUP(B14,'Matriz de Referencia'!$B$2:$CO$584,36,FALSE)=0,0,"Digite"))</f>
        <v>0</v>
      </c>
      <c r="BX14" s="457">
        <f t="shared" si="12"/>
        <v>0</v>
      </c>
      <c r="BY14" s="457">
        <f t="shared" si="13"/>
        <v>0</v>
      </c>
      <c r="BZ14" s="455">
        <f>IF(OR(AA14=0,AA14=""),0,IF(VLOOKUP(B14,'Matriz de Referencia'!$B$2:$CO$584,25,FALSE)=0,0,"Digite"))</f>
        <v>0</v>
      </c>
      <c r="CA14" s="456">
        <f>IF(OR(AA14=0,AA14=""),0,IF(VLOOKUP(B14,'Matriz de Referencia'!$B$2:$CO$584,26,FALSE)=0,0,"Digite"))</f>
        <v>0</v>
      </c>
      <c r="CB14" s="456">
        <f>IF(OR(AA14=0,AA14=""),0,IF(VLOOKUP(B14,'Matriz de Referencia'!$B$2:$CO$584,27,FALSE)=0,0,"Digite"))</f>
        <v>0</v>
      </c>
      <c r="CC14" s="456">
        <f>IF(OR(AA14=0,AA14=""),0,IF(VLOOKUP(B14,'Matriz de Referencia'!$B$2:$CO$584,28,FALSE)=0,0,"Digite"))</f>
        <v>0</v>
      </c>
      <c r="CD14" s="456">
        <f>IF(OR(AA14=0,AA14=""),0,IF(VLOOKUP(B14,'Matriz de Referencia'!$B$2:$CO$584,29,FALSE)=0,0,"Digite"))</f>
        <v>0</v>
      </c>
      <c r="CE14" s="456">
        <f>IF(OR(AA14=0,AA14=""),0,IF(VLOOKUP(B14,'Matriz de Referencia'!$B$2:$CO$584,30,FALSE)=0,0,"Digite"))</f>
        <v>0</v>
      </c>
      <c r="CF14" s="456">
        <f>IF(OR(AA14=0,AA14=""),0,IF(VLOOKUP(B14,'Matriz de Referencia'!$B$2:$CO$584,31,FALSE)=0,0,"Digite"))</f>
        <v>0</v>
      </c>
      <c r="CG14" s="456">
        <f>IF(OR(AA14=0,AA14=""),0,IF(VLOOKUP(B14,'Matriz de Referencia'!$B$2:$CO$584,32,FALSE)=0,0,"Digite"))</f>
        <v>0</v>
      </c>
      <c r="CH14" s="457">
        <f t="shared" si="14"/>
        <v>0</v>
      </c>
      <c r="CI14" s="456">
        <f>IF(OR(AA14=0,AA14=""),0,IF(VLOOKUP(B14,'Matriz de Referencia'!$B$2:$CO$584,34,FALSE)=0,0,"Digite"))</f>
        <v>0</v>
      </c>
      <c r="CJ14" s="456">
        <f>IF(OR(AA14=0,AA14=""),0,IF(VLOOKUP(B14,'Matriz de Referencia'!$B$2:$CO$584,35,FALSE)=0,0,"Digite"))</f>
        <v>0</v>
      </c>
      <c r="CK14" s="456">
        <f>IF(OR(AA14=0,AA14=""),0,IF(VLOOKUP(B14,'Matriz de Referencia'!$B$2:$CO$584,36,FALSE)=0,0,"Digite"))</f>
        <v>0</v>
      </c>
      <c r="CL14" s="457">
        <f t="shared" si="15"/>
        <v>0</v>
      </c>
      <c r="CM14" s="457">
        <f t="shared" si="16"/>
        <v>0</v>
      </c>
      <c r="CN14" s="455">
        <f>IF(OR(AB14=0,AB14=""),0,IF(VLOOKUP(B14,'Matriz de Referencia'!$B$2:$CO$584,25,FALSE)=0,0,"Digite"))</f>
        <v>0</v>
      </c>
      <c r="CO14" s="456">
        <f>IF(OR(AB14=0,AB14=""),0,IF(VLOOKUP(B14,'Matriz de Referencia'!$B$2:$CO$584,26,FALSE)=0,0,"Digite"))</f>
        <v>0</v>
      </c>
      <c r="CP14" s="456">
        <f>IF(OR(AB14=0,AB14=""),0,IF(VLOOKUP(B14,'Matriz de Referencia'!$B$2:$CO$584,27,FALSE)=0,0,"Digite"))</f>
        <v>0</v>
      </c>
      <c r="CQ14" s="456">
        <f>IF(OR(AB14=0,AB14=""),0,IF(VLOOKUP(B14,'Matriz de Referencia'!$B$2:$CO$584,28,FALSE)=0,0,"Digite"))</f>
        <v>0</v>
      </c>
      <c r="CR14" s="456">
        <f>IF(OR(AB14=0,AB14=""),0,IF(VLOOKUP(B14,'Matriz de Referencia'!$B$2:$CO$584,29,FALSE)=0,0,"Digite"))</f>
        <v>0</v>
      </c>
      <c r="CS14" s="456">
        <f>IF(OR(AB14=0,AB14=""),0,IF(VLOOKUP(B14,'Matriz de Referencia'!$B$2:$CO$584,30,FALSE)=0,0,"Digite"))</f>
        <v>0</v>
      </c>
      <c r="CT14" s="456">
        <f>IF(OR(AB14=0,AB14=""),0,IF(VLOOKUP(B14,'Matriz de Referencia'!$B$2:$CO$584,31,FALSE)=0,0,"Digite"))</f>
        <v>0</v>
      </c>
      <c r="CU14" s="456">
        <f>IF(OR(AB14=0,AB14=""),0,IF(VLOOKUP(B14,'Matriz de Referencia'!$B$2:$CO$584,32,FALSE)=0,0,"Digite"))</f>
        <v>0</v>
      </c>
      <c r="CV14" s="457">
        <f t="shared" si="17"/>
        <v>0</v>
      </c>
      <c r="CW14" s="456">
        <f>IF(OR(AB14=0,AB14=""),0,IF(VLOOKUP(B14,'Matriz de Referencia'!$B$2:$CO$584,34,FALSE)=0,0,"Digite"))</f>
        <v>0</v>
      </c>
      <c r="CX14" s="456">
        <f>IF(OR(AB14=0,AB14=""),0,IF(VLOOKUP(B14,'Matriz de Referencia'!$B$2:$CO$584,35,FALSE)=0,0,"Digite"))</f>
        <v>0</v>
      </c>
      <c r="CY14" s="456">
        <f>IF(OR(AB14=0,AB14=""),0,IF(VLOOKUP(B14,'Matriz de Referencia'!$B$2:$CO$584,36,FALSE)=0,0,"Digite"))</f>
        <v>0</v>
      </c>
      <c r="CZ14" s="457">
        <f t="shared" si="18"/>
        <v>0</v>
      </c>
      <c r="DA14" s="457">
        <f t="shared" si="19"/>
        <v>0</v>
      </c>
      <c r="DB14" s="457">
        <f t="shared" si="20"/>
        <v>0</v>
      </c>
      <c r="DC14" s="101" t="str">
        <f>IFERROR(IF(DB14=0,"",IF(VLOOKUP(B14,'Matriz de Referencia'!$B$2:$CO$584,'Matriz de Referencia'!BO$1,FALSE)=DB14,"Techos ok, cotinue","Debe revisar el valor programado")),"")</f>
        <v/>
      </c>
      <c r="DD14" s="453">
        <f>IF(OR(AE14=0,AE14=""),0,IF(VLOOKUP(B14,'Matriz de Referencia'!$B$2:$CO$584,39,FALSE)=0,0,"Digite"))</f>
        <v>0</v>
      </c>
      <c r="DE14" s="454">
        <f>IF(OR(AE14=0,AE14=""),0,IF(VLOOKUP(B14,'Matriz de Referencia'!$B$2:$CO$584,40,FALSE)=0,0,"Digite"))</f>
        <v>0</v>
      </c>
      <c r="DF14" s="454">
        <f>IF(OR(AE14=0,AE14=""),0,IF(VLOOKUP(B14,'Matriz de Referencia'!$B$2:$CO$584,41,FALSE)=0,0,"Digite"))</f>
        <v>0</v>
      </c>
      <c r="DG14" s="454">
        <f>IF(OR(AE14=0,AE14=""),0,IF(VLOOKUP(B14,'Matriz de Referencia'!$B$2:$CO$584,42,FALSE)=0,0,"Digite"))</f>
        <v>0</v>
      </c>
      <c r="DH14" s="454">
        <f>IF(OR(AE14=0,AE14=""),0,IF(VLOOKUP(B14,'Matriz de Referencia'!$B$2:$CO$584,43,FALSE)=0,0,"Digite"))</f>
        <v>0</v>
      </c>
      <c r="DI14" s="454">
        <f>IF(OR(AE14=0,AE14=""),0,IF(VLOOKUP(B14,'Matriz de Referencia'!$B$2:$CO$584,44,FALSE)=0,0,"Digite"))</f>
        <v>0</v>
      </c>
      <c r="DJ14" s="454">
        <f>IF(OR(AE14=0,AE14=""),0,IF(VLOOKUP(B14,'Matriz de Referencia'!$B$2:$CO$584,45,FALSE)=0,0,"Digite"))</f>
        <v>0</v>
      </c>
      <c r="DK14" s="454">
        <f>IF(OR(AE14=0,AE14=""),0,IF(VLOOKUP(B14,'Matriz de Referencia'!$B$2:$CO$584,46,FALSE)=0,0,"Digite"))</f>
        <v>0</v>
      </c>
      <c r="DL14" s="382">
        <f t="shared" si="21"/>
        <v>0</v>
      </c>
      <c r="DM14" s="454">
        <f>IF(OR(AE14=0,AE14=""),0,IF(VLOOKUP(B14,'Matriz de Referencia'!$B$2:$CO$584,48,FALSE)=0,0,"Digite"))</f>
        <v>0</v>
      </c>
      <c r="DN14" s="454">
        <f>IF(OR(AE14=0,AE14=""),0,IF(VLOOKUP(B14,'Matriz de Referencia'!$B$2:$CO$584,49,FALSE)=0,0,"Digite"))</f>
        <v>0</v>
      </c>
      <c r="DO14" s="454">
        <f>IF(OR(AE14=0,AE14=""),0,IF(VLOOKUP(B14,'Matriz de Referencia'!$B$2:$CO$584,50,FALSE)=0,0,"Digite"))</f>
        <v>0</v>
      </c>
      <c r="DP14" s="382">
        <f t="shared" si="22"/>
        <v>0</v>
      </c>
      <c r="DQ14" s="382">
        <f t="shared" si="23"/>
        <v>0</v>
      </c>
      <c r="DR14" s="453">
        <f>IF(OR(AF14=0,AF14=""),0,IF(VLOOKUP(B14,'Matriz de Referencia'!$B$2:$CO$584,39,FALSE)=0,0,"Digite"))</f>
        <v>0</v>
      </c>
      <c r="DS14" s="454">
        <f>IF(OR(AF14=0,AF14=""),0,IF(VLOOKUP(B14,'Matriz de Referencia'!$B$2:$CO$584,40,FALSE)=0,0,"Digite"))</f>
        <v>0</v>
      </c>
      <c r="DT14" s="454">
        <f>IF(OR(AF14=0,AF14=""),0,IF(VLOOKUP(B14,'Matriz de Referencia'!$B$2:$CO$584,41,FALSE)=0,0,"Digite"))</f>
        <v>0</v>
      </c>
      <c r="DU14" s="454">
        <f>IF(OR(AF14=0,AF14=""),0,IF(VLOOKUP(B14,'Matriz de Referencia'!$B$2:$CO$584,42,FALSE)=0,0,"Digite"))</f>
        <v>0</v>
      </c>
      <c r="DV14" s="454">
        <f>IF(OR(AF14=0,AF14=""),0,IF(VLOOKUP(B14,'Matriz de Referencia'!$B$2:$CO$584,43,FALSE)=0,0,"Digite"))</f>
        <v>0</v>
      </c>
      <c r="DW14" s="454">
        <f>IF(OR(AF14=0,AF14=""),0,IF(VLOOKUP(B14,'Matriz de Referencia'!$B$2:$CO$584,44,FALSE)=0,0,"Digite"))</f>
        <v>0</v>
      </c>
      <c r="DX14" s="454">
        <f>IF(OR(AF14=0,AF14=""),0,IF(VLOOKUP(B14,'Matriz de Referencia'!$B$2:$CO$584,45,FALSE)=0,0,"Digite"))</f>
        <v>0</v>
      </c>
      <c r="DY14" s="454">
        <f>IF(OR(AF14=0,AF14=""),0,IF(VLOOKUP(B14,'Matriz de Referencia'!$B$2:$CO$584,46,FALSE)=0,0,"Digite"))</f>
        <v>0</v>
      </c>
      <c r="DZ14" s="382">
        <f t="shared" si="24"/>
        <v>0</v>
      </c>
      <c r="EA14" s="454">
        <f>IF(OR(AF14=0,AF14=""),0,IF(VLOOKUP(B14,'Matriz de Referencia'!$B$2:$CO$584,48,FALSE)=0,0,"Digite"))</f>
        <v>0</v>
      </c>
      <c r="EB14" s="454">
        <f>IF(OR(AF14=0,AF14=""),0,IF(VLOOKUP(B14,'Matriz de Referencia'!$B$2:$CO$584,49,FALSE)=0,0,"Digite"))</f>
        <v>0</v>
      </c>
      <c r="EC14" s="454">
        <f>IF(OR(AF14=0,AF14=""),0,IF(VLOOKUP(B14,'Matriz de Referencia'!$B$2:$CO$584,50,FALSE)=0,0,"Digite"))</f>
        <v>0</v>
      </c>
      <c r="ED14" s="382">
        <f t="shared" si="25"/>
        <v>0</v>
      </c>
      <c r="EE14" s="382">
        <f t="shared" si="26"/>
        <v>0</v>
      </c>
      <c r="EF14" s="453">
        <f>IF(OR(AG14=0,AG14=""),0,IF(VLOOKUP(B14,'Matriz de Referencia'!$B$2:$CO$584,39,FALSE)=0,0,"Digite"))</f>
        <v>0</v>
      </c>
      <c r="EG14" s="454">
        <f>IF(OR(AG14=0,AG14=""),0,IF(VLOOKUP(B14,'Matriz de Referencia'!$B$2:$CO$584,40,FALSE)=0,0,"Digite"))</f>
        <v>0</v>
      </c>
      <c r="EH14" s="454">
        <f>IF(OR(AG14=0,AG14=""),0,IF(VLOOKUP(B14,'Matriz de Referencia'!$B$2:$CO$584,41,FALSE)=0,0,"Digite"))</f>
        <v>0</v>
      </c>
      <c r="EI14" s="454">
        <f>IF(OR(AG14=0,AG14=""),0,IF(VLOOKUP(B14,'Matriz de Referencia'!$B$2:$CO$584,42,FALSE)=0,0,"Digite"))</f>
        <v>0</v>
      </c>
      <c r="EJ14" s="454">
        <f>IF(OR(AG14=0,AG14=""),0,IF(VLOOKUP(B14,'Matriz de Referencia'!$B$2:$CO$584,43,FALSE)=0,0,"Digite"))</f>
        <v>0</v>
      </c>
      <c r="EK14" s="454">
        <f>IF(OR(AG14=0,AG14=""),0,IF(VLOOKUP(B14,'Matriz de Referencia'!$B$2:$CO$584,44,FALSE)=0,0,"Digite"))</f>
        <v>0</v>
      </c>
      <c r="EL14" s="454">
        <f>IF(OR(AG14=0,AG14=""),0,IF(VLOOKUP(B14,'Matriz de Referencia'!$B$2:$CO$584,45,FALSE)=0,0,"Digite"))</f>
        <v>0</v>
      </c>
      <c r="EM14" s="454">
        <f>IF(OR(AG14=0,AG14=""),0,IF(VLOOKUP(B14,'Matriz de Referencia'!$B$2:$CO$584,46,FALSE)=0,0,"Digite"))</f>
        <v>0</v>
      </c>
      <c r="EN14" s="382">
        <f t="shared" si="27"/>
        <v>0</v>
      </c>
      <c r="EO14" s="454">
        <f>IF(OR(AG14=0,AG14=""),0,IF(VLOOKUP(B14,'Matriz de Referencia'!$B$2:$CO$584,48,FALSE)=0,0,"Digite"))</f>
        <v>0</v>
      </c>
      <c r="EP14" s="454">
        <f>IF(OR(AG14=0,AG14=""),0,IF(VLOOKUP(B14,'Matriz de Referencia'!$B$2:$CO$584,49,FALSE)=0,0,"Digite"))</f>
        <v>0</v>
      </c>
      <c r="EQ14" s="454">
        <f>IF(OR(AG14=0,AG14=""),0,IF(VLOOKUP(B14,'Matriz de Referencia'!$B$2:$CO$584,50,FALSE)=0,0,"Digite"))</f>
        <v>0</v>
      </c>
      <c r="ER14" s="382">
        <f t="shared" si="28"/>
        <v>0</v>
      </c>
      <c r="ES14" s="382">
        <f t="shared" si="29"/>
        <v>0</v>
      </c>
      <c r="ET14" s="453">
        <f>IF(OR(AH14=0,AH14=""),0,IF(VLOOKUP(B14,'Matriz de Referencia'!$B$2:$CO$584,39,FALSE)=0,0,"Digite"))</f>
        <v>0</v>
      </c>
      <c r="EU14" s="454">
        <f>IF(OR(AH14=0,AH14=""),0,IF(VLOOKUP(B14,'Matriz de Referencia'!$B$2:$CO$584,40,FALSE)=0,0,"Digite"))</f>
        <v>0</v>
      </c>
      <c r="EV14" s="454">
        <f>IF(OR(AH14=0,AH14=""),0,IF(VLOOKUP(B14,'Matriz de Referencia'!$B$2:$CO$584,41,FALSE)=0,0,"Digite"))</f>
        <v>0</v>
      </c>
      <c r="EW14" s="454">
        <f>IF(OR(AH14=0,AH14=""),0,IF(VLOOKUP(B14,'Matriz de Referencia'!$B$2:$CO$584,42,FALSE)=0,0,"Digite"))</f>
        <v>0</v>
      </c>
      <c r="EX14" s="454">
        <f>IF(OR(AH14=0,AH14=""),0,IF(VLOOKUP(B14,'Matriz de Referencia'!$B$2:$CO$584,43,FALSE)=0,0,"Digite"))</f>
        <v>0</v>
      </c>
      <c r="EY14" s="454">
        <f>IF(OR(AH14=0,AH14=""),0,IF(VLOOKUP(B14,'Matriz de Referencia'!$B$2:$CO$584,44,FALSE)=0,0,"Digite"))</f>
        <v>0</v>
      </c>
      <c r="EZ14" s="454">
        <f>IF(OR(AH14=0,AH14=""),0,IF(VLOOKUP(B14,'Matriz de Referencia'!$B$2:$CO$584,45,FALSE)=0,0,"Digite"))</f>
        <v>0</v>
      </c>
      <c r="FA14" s="454">
        <f>IF(OR(AH14=0,AH14=""),0,IF(VLOOKUP(B14,'Matriz de Referencia'!$B$2:$CO$584,46,FALSE)=0,0,"Digite"))</f>
        <v>0</v>
      </c>
      <c r="FB14" s="382">
        <f t="shared" si="30"/>
        <v>0</v>
      </c>
      <c r="FC14" s="454">
        <f>IF(OR(AH14=0,AH14=""),0,IF(VLOOKUP(B14,'Matriz de Referencia'!$B$2:$CO$584,48,FALSE)=0,0,"Digite"))</f>
        <v>0</v>
      </c>
      <c r="FD14" s="454">
        <f>IF(OR(AH14=0,AH14=""),0,IF(VLOOKUP(B14,'Matriz de Referencia'!$B$2:$CO$584,49,FALSE)=0,0,"Digite"))</f>
        <v>0</v>
      </c>
      <c r="FE14" s="454">
        <f>IF(OR(AH14=0,AH14=""),0,IF(VLOOKUP(B14,'Matriz de Referencia'!$B$2:$CO$584,50,FALSE)=0,0,"Digite"))</f>
        <v>0</v>
      </c>
      <c r="FF14" s="382">
        <f t="shared" si="31"/>
        <v>0</v>
      </c>
      <c r="FG14" s="382">
        <f t="shared" si="32"/>
        <v>0</v>
      </c>
      <c r="FH14" s="382">
        <f t="shared" si="33"/>
        <v>0</v>
      </c>
      <c r="FI14" s="101" t="str">
        <f>IFERROR(IF(FH14=0,"",IF(VLOOKUP(B14,'Matriz de Referencia'!$B$2:$CO$584,52,FALSE)=FH14,"Techos ok, cotinue","Debe revisar el valor programado")),"")</f>
        <v/>
      </c>
      <c r="FJ14" s="453">
        <f>IF(OR(AK14=0,AK14=""),0,IF(VLOOKUP(B14,'Matriz de Referencia'!$B$2:$CO$584,53,FALSE)=0,0,"Digite"))</f>
        <v>0</v>
      </c>
      <c r="FK14" s="454">
        <f>IF(OR(AK14=0,AK14=""),0,IF(VLOOKUP(B14,'Matriz de Referencia'!$B$2:$CO$584,54,FALSE)=0,0,"Digite"))</f>
        <v>0</v>
      </c>
      <c r="FL14" s="454">
        <f>IF(OR(AK14=0,AK14=""),0,IF(VLOOKUP(B14,'Matriz de Referencia'!$B$2:$CO$584,55,FALSE)=0,0,"Digite"))</f>
        <v>0</v>
      </c>
      <c r="FM14" s="454">
        <f>IF(OR(AK14=0,AK14=""),0,IF(VLOOKUP(B14,'Matriz de Referencia'!$B$2:$CO$584,56,FALSE)=0,0,"Digite"))</f>
        <v>0</v>
      </c>
      <c r="FN14" s="454">
        <f>IF(OR(AK14=0,AK14=""),0,IF(VLOOKUP(B14,'Matriz de Referencia'!$B$2:$CO$584,57,FALSE)=0,0,"Digite"))</f>
        <v>0</v>
      </c>
      <c r="FO14" s="454">
        <f>IF(OR(AK14=0,AK14=""),0,IF(VLOOKUP(B14,'Matriz de Referencia'!$B$2:$CO$584,58,FALSE)=0,0,"Digite"))</f>
        <v>0</v>
      </c>
      <c r="FP14" s="454">
        <f>IF(OR(AK14=0,AK14=""),0,IF(VLOOKUP(B14,'Matriz de Referencia'!$B$2:$CO$584,59,FALSE)=0,0,"Digite"))</f>
        <v>0</v>
      </c>
      <c r="FQ14" s="454">
        <f>IF(OR(AK14=0,AK14=""),0,IF(VLOOKUP(B14,'Matriz de Referencia'!$B$2:$CO$584,60,FALSE)=0,0,"Digite"))</f>
        <v>0</v>
      </c>
      <c r="FR14" s="382">
        <f t="shared" si="34"/>
        <v>0</v>
      </c>
      <c r="FS14" s="454">
        <f>IF(OR(AK14=0,AK14=""),0,IF(VLOOKUP(B14,'Matriz de Referencia'!$B$2:$CO$584,62,FALSE)=0,0,"Digite"))</f>
        <v>0</v>
      </c>
      <c r="FT14" s="454">
        <f>IF(OR(AK14=0,AK14=""),0,IF(VLOOKUP(B14,'Matriz de Referencia'!$B$2:$CO$584,63,FALSE)=0,0,"Digite"))</f>
        <v>0</v>
      </c>
      <c r="FU14" s="454">
        <f>IF(OR(AK14=0,AK14=""),0,IF(VLOOKUP(B14,'Matriz de Referencia'!$B$2:$CO$584,64,FALSE)=0,"","Digite"))</f>
        <v>0</v>
      </c>
      <c r="FV14" s="382">
        <f t="shared" si="35"/>
        <v>0</v>
      </c>
      <c r="FW14" s="382">
        <f t="shared" si="36"/>
        <v>0</v>
      </c>
      <c r="FX14" s="453">
        <f>IF(OR(AL14=0,AL14=""),0,IF(VLOOKUP(B14,'Matriz de Referencia'!$B$2:$CO$584,53,FALSE)=0,0,"Digite"))</f>
        <v>0</v>
      </c>
      <c r="FY14" s="454">
        <f>IF(OR(AL14=0,AL14=""),0,IF(VLOOKUP(B14,'Matriz de Referencia'!$B$2:$CO$584,54,FALSE)=0,0,"Digite"))</f>
        <v>0</v>
      </c>
      <c r="FZ14" s="454">
        <f>IF(OR(AL14=0,AL14=""),0,IF(VLOOKUP(B14,'Matriz de Referencia'!$B$2:$CO$584,55,FALSE)=0,0,"Digite"))</f>
        <v>0</v>
      </c>
      <c r="GA14" s="454">
        <f>IF(OR(AL14=0,AL14=""),0,IF(VLOOKUP(B14,'Matriz de Referencia'!$B$2:$CO$584,56,FALSE)=0,0,"Digite"))</f>
        <v>0</v>
      </c>
      <c r="GB14" s="454">
        <f>IF(OR(AL14=0,AL14=""),0,IF(VLOOKUP(B14,'Matriz de Referencia'!$B$2:$CO$584,57,FALSE)=0,0,"Digite"))</f>
        <v>0</v>
      </c>
      <c r="GC14" s="454">
        <f>IF(OR(AL14=0,AL14=""),0,IF(VLOOKUP(B14,'Matriz de Referencia'!$B$2:$CO$584,58,FALSE)=0,0,"Digite"))</f>
        <v>0</v>
      </c>
      <c r="GD14" s="454">
        <f>IF(OR(AL14=0,AL14=""),0,IF(VLOOKUP(B14,'Matriz de Referencia'!$B$2:$CO$584,59,FALSE)=0,0,"Digite"))</f>
        <v>0</v>
      </c>
      <c r="GE14" s="454">
        <f>IF(OR(AL14=0,AL14=""),0,IF(VLOOKUP(B14,'Matriz de Referencia'!$B$2:$CO$584,60,FALSE)=0,0,"Digite"))</f>
        <v>0</v>
      </c>
      <c r="GF14" s="382">
        <f t="shared" si="37"/>
        <v>0</v>
      </c>
      <c r="GG14" s="454">
        <f>IF(OR(AL14=0,AL14=""),0,IF(VLOOKUP(B14,'Matriz de Referencia'!$B$2:$CO$584,62,FALSE)=0,0,"Digite"))</f>
        <v>0</v>
      </c>
      <c r="GH14" s="454">
        <f>IF(OR(AL14=0,AL14=""),0,IF(VLOOKUP(B14,'Matriz de Referencia'!$B$2:$CO$584,63,FALSE)=0,0,"Digite"))</f>
        <v>0</v>
      </c>
      <c r="GI14" s="454">
        <f>IF(OR(AL14=0,AL14=""),0,IF(VLOOKUP(B14,'Matriz de Referencia'!$B$2:$CO$584,64,FALSE)=0,0,"Digite"))</f>
        <v>0</v>
      </c>
      <c r="GJ14" s="382">
        <f t="shared" si="38"/>
        <v>0</v>
      </c>
      <c r="GK14" s="382">
        <f t="shared" si="39"/>
        <v>0</v>
      </c>
      <c r="GL14" s="453">
        <f>IF(OR(AM14=0,AM14=""),0,IF(VLOOKUP(B14,'Matriz de Referencia'!$B$2:$CO$584,53,FALSE)=0,0,"Digite"))</f>
        <v>0</v>
      </c>
      <c r="GM14" s="454">
        <f>IF(OR(AM14=0,AM14=""),0,IF(VLOOKUP(B14,'Matriz de Referencia'!$B$2:$CO$584,54,FALSE)=0,0,"Digite"))</f>
        <v>0</v>
      </c>
      <c r="GN14" s="454">
        <f>IF(OR(AM14=0,AM14=""),0,IF(VLOOKUP(B14,'Matriz de Referencia'!$B$2:$CO$584,55,FALSE)=0,0,"Digite"))</f>
        <v>0</v>
      </c>
      <c r="GO14" s="454">
        <f>IF(OR(AM14=0,AM14=""),0,IF(VLOOKUP(B14,'Matriz de Referencia'!$B$2:$CO$584,56,FALSE)=0,0,"Digite"))</f>
        <v>0</v>
      </c>
      <c r="GP14" s="454">
        <f>IF(OR(AM14=0,AM14=""),0,IF(VLOOKUP(B14,'Matriz de Referencia'!$B$2:$CO$584,57,FALSE)=0,0,"Digite"))</f>
        <v>0</v>
      </c>
      <c r="GQ14" s="454">
        <f>IF(OR(AM14=0,AM14=""),0,IF(VLOOKUP(B14,'Matriz de Referencia'!$B$2:$CO$584,58,FALSE)=0,0,"Digite"))</f>
        <v>0</v>
      </c>
      <c r="GR14" s="454">
        <f>IF(OR(AM14=0,AM14=""),0,IF(VLOOKUP(B14,'Matriz de Referencia'!$B$2:$CO$584,59,FALSE)=0,0,"Digite"))</f>
        <v>0</v>
      </c>
      <c r="GS14" s="454">
        <f>IF(OR(AM14=0,AM14=""),0,IF(VLOOKUP(B14,'Matriz de Referencia'!$B$2:$CO$584,60,FALSE)=0,0,"Digite"))</f>
        <v>0</v>
      </c>
      <c r="GT14" s="382">
        <f t="shared" si="40"/>
        <v>0</v>
      </c>
      <c r="GU14" s="454">
        <f>IF(OR(AM14=0,AM14=""),0,IF(VLOOKUP(B14,'Matriz de Referencia'!$B$2:$CO$584,62,FALSE)=0,0,"Digite"))</f>
        <v>0</v>
      </c>
      <c r="GV14" s="454">
        <f>IF(OR(AM14=0,AM14=""),0,IF(VLOOKUP(B14,'Matriz de Referencia'!$B$2:$CO$584,63,FALSE)=0,0,"Digite"))</f>
        <v>0</v>
      </c>
      <c r="GW14" s="454">
        <f>IF(OR(AM14=0,AM14=""),0,IF(VLOOKUP(B14,'Matriz de Referencia'!$B$2:$CO$584,64,FALSE)=0,0,"Digite"))</f>
        <v>0</v>
      </c>
      <c r="GX14" s="382">
        <f t="shared" si="41"/>
        <v>0</v>
      </c>
      <c r="GY14" s="382">
        <f t="shared" si="42"/>
        <v>0</v>
      </c>
      <c r="GZ14" s="453">
        <f>IF(OR(AN14=0,AN14=""),0,IF(VLOOKUP(B14,'Matriz de Referencia'!$B$2:$CO$584,53,FALSE)=0,0,"Digite"))</f>
        <v>0</v>
      </c>
      <c r="HA14" s="454">
        <f>IF(OR(AN14=0,AN14=""),0,IF(VLOOKUP(B14,'Matriz de Referencia'!$B$2:$CO$584,54,FALSE)=0,0,"Digite"))</f>
        <v>0</v>
      </c>
      <c r="HB14" s="454">
        <f>IF(OR(AN14=0,AN14=""),0,IF(VLOOKUP(B14,'Matriz de Referencia'!$B$2:$CO$584,55,FALSE)=0,0,"Digite"))</f>
        <v>0</v>
      </c>
      <c r="HC14" s="454">
        <f>IF(OR(AN14=0,AN14=""),0,IF(VLOOKUP(B14,'Matriz de Referencia'!$B$2:$CO$584,56,FALSE)=0,0,"Digite"))</f>
        <v>0</v>
      </c>
      <c r="HD14" s="454">
        <f>IF(OR(AN14=0,AN14=""),0,IF(VLOOKUP(B14,'Matriz de Referencia'!$B$2:$CO$584,57,FALSE)=0,0,"Digite"))</f>
        <v>0</v>
      </c>
      <c r="HE14" s="454">
        <f>IF(OR(AN14=0,AN14=""),0,IF(VLOOKUP(B14,'Matriz de Referencia'!$B$2:$CO$584,58,FALSE)=0,0,"Digite"))</f>
        <v>0</v>
      </c>
      <c r="HF14" s="454">
        <f>IF(OR(AN14=0,AN14=""),0,IF(VLOOKUP(B14,'Matriz de Referencia'!$B$2:$CO$584,59,FALSE)=0,0,"Digite"))</f>
        <v>0</v>
      </c>
      <c r="HG14" s="454">
        <f>IF(OR(AN14=0,AN14=""),0,IF(VLOOKUP(B14,'Matriz de Referencia'!$B$2:$CO$584,60,FALSE)=0,0,"Digite"))</f>
        <v>0</v>
      </c>
      <c r="HH14" s="382">
        <f t="shared" si="43"/>
        <v>0</v>
      </c>
      <c r="HI14" s="454">
        <f>IF(OR(AN14=0,AN14=""),0,IF(VLOOKUP(B14,'Matriz de Referencia'!$B$2:$CO$584,62,FALSE)=0,0,"Digite"))</f>
        <v>0</v>
      </c>
      <c r="HJ14" s="454">
        <f>IF(OR(AN14=0,AN14=""),0,IF(VLOOKUP(B14,'Matriz de Referencia'!$B$2:$CO$584,63,FALSE)=0,0,"Digite"))</f>
        <v>0</v>
      </c>
      <c r="HK14" s="454">
        <f>IF(OR(AN14=0,AN14=""),0,IF(VLOOKUP(B14,'Matriz de Referencia'!$B$2:$CO$584,64,FALSE)=0,0,"Digite"))</f>
        <v>0</v>
      </c>
      <c r="HL14" s="382">
        <f t="shared" si="44"/>
        <v>0</v>
      </c>
      <c r="HM14" s="382">
        <f t="shared" si="45"/>
        <v>0</v>
      </c>
      <c r="HN14" s="382">
        <f t="shared" si="46"/>
        <v>0</v>
      </c>
      <c r="HO14" s="101" t="str">
        <f>IFERROR(IF(HN14=0,"",IF(VLOOKUP(B14,'Matriz de Referencia'!$B$2:$CO$584,66,FALSE)=HN14,"Techos ok, cotinue","Debe revisar el valor programado")),"")</f>
        <v/>
      </c>
      <c r="HP14" s="453">
        <f>IF(OR(AQ14=0,AQ14=""),0,IF(VLOOKUP(B14,'Matriz de Referencia'!$B$2:$CO$584,67,FALSE)=0,0,"Digite"))</f>
        <v>0</v>
      </c>
      <c r="HQ14" s="454">
        <f>IF(OR(AQ14=0,AQ14=""),0,IF(VLOOKUP(B14,'Matriz de Referencia'!$B$2:$CO$584,68,FALSE)=0,0,"Digite"))</f>
        <v>0</v>
      </c>
      <c r="HR14" s="454">
        <f>IF(OR(AQ14=0,AQ14=""),0,IF(VLOOKUP(B14,'Matriz de Referencia'!$B$2:$CO$584,69,FALSE)=0,0,"Digite"))</f>
        <v>0</v>
      </c>
      <c r="HS14" s="454">
        <f>IF(OR(AQ14=0,AQ14=""),0,IF(VLOOKUP(B14,'Matriz de Referencia'!$B$2:$CO$584,70,FALSE)=0,0,"Digite"))</f>
        <v>0</v>
      </c>
      <c r="HT14" s="454">
        <f>IF(OR(AQ14=0,AQ14=""),0,IF(VLOOKUP(B14,'Matriz de Referencia'!$B$2:$CO$584,71,FALSE)=0,0,"Digite"))</f>
        <v>0</v>
      </c>
      <c r="HU14" s="454">
        <f>IF(OR(AQ14=0,AQ14=""),0,IF(VLOOKUP(B14,'Matriz de Referencia'!$B$2:$CO$584,72,FALSE)=0,0,"Digite"))</f>
        <v>0</v>
      </c>
      <c r="HV14" s="454">
        <f>IF(OR(AQ14=0,AQ14=""),0,IF(VLOOKUP(B14,'Matriz de Referencia'!$B$2:$CO$584,73,FALSE)=0,0,"Digite"))</f>
        <v>0</v>
      </c>
      <c r="HW14" s="454">
        <f>IF(OR(AQ14=0,AQ14=""),0,IF(VLOOKUP(B14,'Matriz de Referencia'!$B$2:$CO$584,74,FALSE)=0,0,"Digite"))</f>
        <v>0</v>
      </c>
      <c r="HX14" s="382">
        <f t="shared" si="47"/>
        <v>0</v>
      </c>
      <c r="HY14" s="454">
        <f>IF(OR(AQ14=0,AQ14=""),0,IF(VLOOKUP(B14,'Matriz de Referencia'!$B$2:$CO$584,76,FALSE)=0,0,"Digite"))</f>
        <v>0</v>
      </c>
      <c r="HZ14" s="454">
        <f>IF(OR(AQ14=0,AQ14=""),0,IF(VLOOKUP(B14,'Matriz de Referencia'!$B$2:$CO$584,77,FALSE)=0,0,"Digite"))</f>
        <v>0</v>
      </c>
      <c r="IA14" s="454">
        <f>IF(OR(AQ14=0,AQ14=""),0,IF(VLOOKUP(B14,'Matriz de Referencia'!$B$2:$CO$584,78,FALSE)=0,0,"Digite"))</f>
        <v>0</v>
      </c>
      <c r="IB14" s="382">
        <f t="shared" si="48"/>
        <v>0</v>
      </c>
      <c r="IC14" s="382">
        <f t="shared" si="49"/>
        <v>0</v>
      </c>
      <c r="ID14" s="453">
        <f>IF(OR(AR14=0,AR14=""),0,IF(VLOOKUP(B14,'Matriz de Referencia'!$B$2:$CO$584,67,FALSE)=0,0,"Digite"))</f>
        <v>0</v>
      </c>
      <c r="IE14" s="454">
        <f>IF(OR(AR14=0,AR14=""),0,IF(VLOOKUP(B14,'Matriz de Referencia'!$B$2:$CO$584,68,FALSE)=0,0,"Digite"))</f>
        <v>0</v>
      </c>
      <c r="IF14" s="454">
        <f>IF(OR(AR14=0,AR14=""),0,IF(VLOOKUP(B14,'Matriz de Referencia'!$B$2:$CO$584,69,FALSE)=0,0,"Digite"))</f>
        <v>0</v>
      </c>
      <c r="IG14" s="454">
        <f>IF(OR(AR14=0,AR14=""),0,IF(VLOOKUP(B14,'Matriz de Referencia'!$B$2:$CO$584,70,FALSE)=0,0,"Digite"))</f>
        <v>0</v>
      </c>
      <c r="IH14" s="454">
        <f>IF(OR(AR14=0,AR14=""),0,IF(VLOOKUP(B14,'Matriz de Referencia'!$B$2:$CO$584,71,FALSE)=0,0,"Digite"))</f>
        <v>0</v>
      </c>
      <c r="II14" s="454">
        <f>IF(OR(AR14=0,AR14=""),0,IF(VLOOKUP(B14,'Matriz de Referencia'!$B$2:$CO$584,72,FALSE)=0,0,"Digite"))</f>
        <v>0</v>
      </c>
      <c r="IJ14" s="454">
        <f>IF(OR(AR14=0,AR14=""),0,IF(VLOOKUP(B14,'Matriz de Referencia'!$B$2:$CO$584,73,FALSE)=0,0,"Digite"))</f>
        <v>0</v>
      </c>
      <c r="IK14" s="454">
        <f>IF(OR(AR14=0,AR14=""),0,IF(VLOOKUP(B14,'Matriz de Referencia'!$B$2:$CO$584,74,FALSE)=0,0,"Digite"))</f>
        <v>0</v>
      </c>
      <c r="IL14" s="382">
        <f t="shared" si="50"/>
        <v>0</v>
      </c>
      <c r="IM14" s="454">
        <f>IF(OR(AR14=0,AR14=""),0,IF(VLOOKUP(B14,'Matriz de Referencia'!$B$2:$CO$584,76,FALSE)=0,0,"Digite"))</f>
        <v>0</v>
      </c>
      <c r="IN14" s="454">
        <f>IF(OR(AR14=0,AR14=""),0,IF(VLOOKUP(B14,'Matriz de Referencia'!$B$2:$CO$584,77,FALSE)=0,0,"Digite"))</f>
        <v>0</v>
      </c>
      <c r="IO14" s="454">
        <f>IF(OR(AR14=0,AR14=""),0,IF(VLOOKUP(B14,'Matriz de Referencia'!$B$2:$CO$584,78,FALSE)=0,0,"Digite"))</f>
        <v>0</v>
      </c>
      <c r="IP14" s="382">
        <f t="shared" si="51"/>
        <v>0</v>
      </c>
      <c r="IQ14" s="382">
        <f t="shared" si="52"/>
        <v>0</v>
      </c>
      <c r="IR14" s="453">
        <f>IF(OR(AS14=0,AS14=""),0,IF(VLOOKUP(B14,'Matriz de Referencia'!$B$2:$CO$584,67,FALSE)=0,0,"Digite"))</f>
        <v>0</v>
      </c>
      <c r="IS14" s="454">
        <f>IF(OR(AS14=0,AS14=""),0,IF(VLOOKUP(B14,'Matriz de Referencia'!$B$2:$CO$584,68,FALSE)=0,0,"Digite"))</f>
        <v>0</v>
      </c>
      <c r="IT14" s="454">
        <f>IF(OR(AS14=0,AS14=""),0,IF(VLOOKUP(B14,'Matriz de Referencia'!$B$2:$CO$584,69,FALSE)=0,0,"Digite"))</f>
        <v>0</v>
      </c>
      <c r="IU14" s="454">
        <f>IF(OR(AS14=0,AS14=""),0,IF(VLOOKUP(B14,'Matriz de Referencia'!$B$2:$CO$584,70,FALSE)=0,0,"Digite"))</f>
        <v>0</v>
      </c>
      <c r="IV14" s="454">
        <f>IF(OR(AS14=0,AS14=""),0,IF(VLOOKUP(B14,'Matriz de Referencia'!$B$2:$CO$584,71,FALSE)=0,0,"Digite"))</f>
        <v>0</v>
      </c>
      <c r="IW14" s="454">
        <f>IF(OR(AS14=0,AS14=""),0,IF(VLOOKUP(B14,'Matriz de Referencia'!$B$2:$CO$584,72,FALSE)=0,0,"Digite"))</f>
        <v>0</v>
      </c>
      <c r="IX14" s="454">
        <f>IF(OR(AS14=0,AS14=""),0,IF(VLOOKUP(B14,'Matriz de Referencia'!$B$2:$CO$584,73,FALSE)=0,0,"Digite"))</f>
        <v>0</v>
      </c>
      <c r="IY14" s="454">
        <f>IF(OR(AS14=0,AS14=""),0,IF(VLOOKUP(B14,'Matriz de Referencia'!$B$2:$CO$584,74,FALSE)=0,0,"Digite"))</f>
        <v>0</v>
      </c>
      <c r="IZ14" s="382">
        <f t="shared" si="53"/>
        <v>0</v>
      </c>
      <c r="JA14" s="454">
        <f>IF(OR(AS14=0,AS14=""),0,IF(VLOOKUP(B14,'Matriz de Referencia'!$B$2:$CO$584,76,FALSE)=0,0,"Digite"))</f>
        <v>0</v>
      </c>
      <c r="JB14" s="454">
        <f>IF(OR(AS14=0,AS14=""),0,IF(VLOOKUP(B14,'Matriz de Referencia'!$B$2:$CO$584,77,FALSE)=0,0,"Digite"))</f>
        <v>0</v>
      </c>
      <c r="JC14" s="454">
        <f>IF(OR(AS14=0,AS14=""),0,IF(VLOOKUP(B14,'Matriz de Referencia'!$B$2:$CO$584,78,FALSE)=0,0,"Digite"))</f>
        <v>0</v>
      </c>
      <c r="JD14" s="382">
        <f t="shared" si="54"/>
        <v>0</v>
      </c>
      <c r="JE14" s="382">
        <f t="shared" si="55"/>
        <v>0</v>
      </c>
      <c r="JF14" s="453">
        <f>IF(OR(AT14=0,AT14=""),0,IF(VLOOKUP(B14,'Matriz de Referencia'!$B$2:$CO$584,67,FALSE)=0,0,"Digite"))</f>
        <v>0</v>
      </c>
      <c r="JG14" s="454">
        <f>IF(OR(AT14=0,AT14=""),0,IF(VLOOKUP(B14,'Matriz de Referencia'!$B$2:$CO$584,68,FALSE)=0,0,"Digite"))</f>
        <v>0</v>
      </c>
      <c r="JH14" s="454">
        <f>IF(OR(AT14=0,AT14=""),0,IF(VLOOKUP(B14,'Matriz de Referencia'!$B$2:$CO$584,69,FALSE)=0,0,"Digite"))</f>
        <v>0</v>
      </c>
      <c r="JI14" s="454">
        <f>IF(OR(AT14=0,AT14=""),0,IF(VLOOKUP(B14,'Matriz de Referencia'!$B$2:$CO$584,70,FALSE)=0,0,"Digite"))</f>
        <v>0</v>
      </c>
      <c r="JJ14" s="454">
        <f>IF(OR(AT14=0,AT14=""),0,IF(VLOOKUP(B14,'Matriz de Referencia'!$B$2:$CO$584,71,FALSE)=0,0,"Digite"))</f>
        <v>0</v>
      </c>
      <c r="JK14" s="454">
        <f>IF(OR(AT14=0,AT14=""),0,IF(VLOOKUP(B14,'Matriz de Referencia'!$B$2:$CO$584,72,FALSE)=0,0,"Digite"))</f>
        <v>0</v>
      </c>
      <c r="JL14" s="454">
        <f>IF(OR(AT14=0,AT14=""),0,IF(VLOOKUP(B14,'Matriz de Referencia'!$B$2:$CO$584,73,FALSE)=0,0,"Digite"))</f>
        <v>0</v>
      </c>
      <c r="JM14" s="454">
        <f>IF(OR(AT14=0,AT14=""),0,IF(VLOOKUP(B14,'Matriz de Referencia'!$B$2:$CO$584,74,FALSE)=0,0,"Digite"))</f>
        <v>0</v>
      </c>
      <c r="JN14" s="382">
        <f t="shared" si="56"/>
        <v>0</v>
      </c>
      <c r="JO14" s="454">
        <f>IF(OR(AT14=0,AT14=""),0,IF(VLOOKUP(B14,'Matriz de Referencia'!$B$2:$CO$584,76,FALSE)=0,0,"Digite"))</f>
        <v>0</v>
      </c>
      <c r="JP14" s="454">
        <f>IF(OR(AT14=0,AT14=""),0,IF(VLOOKUP(B14,'Matriz de Referencia'!$B$2:$CO$584,77,FALSE)=0,0,"Digite"))</f>
        <v>0</v>
      </c>
      <c r="JQ14" s="454">
        <f>IF(OR(AT14=0,AT14=""),0,IF(VLOOKUP(B14,'Matriz de Referencia'!$B$2:$CO$584,78,FALSE)=0,0,"Digite"))</f>
        <v>0</v>
      </c>
      <c r="JR14" s="382">
        <f t="shared" si="57"/>
        <v>0</v>
      </c>
      <c r="JS14" s="382">
        <f t="shared" si="58"/>
        <v>0</v>
      </c>
      <c r="JT14" s="382">
        <f t="shared" si="59"/>
        <v>0</v>
      </c>
      <c r="JU14" s="101" t="str">
        <f>IFERROR(IF(JT14=0,"",IF(VLOOKUP(B14,'Matriz de Referencia'!$B$2:$CO$584,80,FALSE)=JT14,"Techos ok, cotinue","Debe revisar el valor programado")),"")</f>
        <v/>
      </c>
      <c r="JV14" s="382">
        <f t="shared" si="60"/>
        <v>0</v>
      </c>
    </row>
    <row r="15" spans="1:282">
      <c r="S15" s="568"/>
      <c r="T15" s="414"/>
      <c r="U15" s="661" t="str">
        <f t="shared" si="1"/>
        <v>Dimensión_</v>
      </c>
      <c r="V15" s="414"/>
      <c r="W15" s="568"/>
      <c r="X15" s="449" t="str">
        <f>IFERROR(IF(VLOOKUP(B15,'Matriz de Referencia'!$B$2:$CO$584,'Matriz de Referencia'!AM$1,FALSE)&gt;0,"Diligenciar la vigencia, tiene presupuesto programado","No diligenciar, no programo presupuesto"),"")</f>
        <v/>
      </c>
      <c r="Y15" s="649"/>
      <c r="Z15" s="649"/>
      <c r="AA15" s="649"/>
      <c r="AB15" s="649"/>
      <c r="AC15" s="650" t="str">
        <f t="shared" ref="AC15:AC20" si="61">IFERROR(IF(D15="Mantenimiento", AVERAGE(Y15:AB15), IF(D15="Incremento", SUM(Y15:AB15), "")),"")</f>
        <v/>
      </c>
      <c r="AD15" s="449" t="str">
        <f>IFERROR(IF(VLOOKUP($B15,'Matriz de Referencia'!$B$2:$CO$584,'Matriz de Referencia'!BA$1,FALSE)&gt;0,"Diligenciar la vigencia, tiene presupuesto programado","No diligenciar, no programo presupuesto"),"")</f>
        <v/>
      </c>
      <c r="AE15" s="649"/>
      <c r="AF15" s="649"/>
      <c r="AG15" s="649"/>
      <c r="AH15" s="649"/>
      <c r="AI15" s="650" t="str">
        <f t="shared" si="3"/>
        <v/>
      </c>
      <c r="AJ15" s="449" t="str">
        <f>IFERROR(IF(VLOOKUP($B15,'Matriz de Referencia'!$B$2:$CO$584,'Matriz de Referencia'!BO$1,FALSE)&gt;0,"Diligenciar la vigencia, tiene presupuesto programado","No diligenciar, no programo presupuesto"),"")</f>
        <v/>
      </c>
      <c r="AK15" s="649"/>
      <c r="AL15" s="649"/>
      <c r="AM15" s="649"/>
      <c r="AN15" s="649"/>
      <c r="AO15" s="650" t="str">
        <f t="shared" si="4"/>
        <v/>
      </c>
      <c r="AP15" s="449" t="str">
        <f>IFERROR(IF(VLOOKUP($B15,'Matriz de Referencia'!$B$2:$CO$584,'Matriz de Referencia'!CC$1,FALSE)&gt;0,"Diligenciar la vigencia, tiene presupuesto programado","No diligenciar, no programo presupuesto"),"")</f>
        <v/>
      </c>
      <c r="AQ15" s="649"/>
      <c r="AR15" s="649"/>
      <c r="AS15" s="649"/>
      <c r="AT15" s="649"/>
      <c r="AU15" s="650" t="str">
        <f t="shared" si="5"/>
        <v/>
      </c>
      <c r="AV15" s="448" t="str">
        <f t="shared" si="6"/>
        <v/>
      </c>
      <c r="AW15" s="416" t="str">
        <f t="shared" si="7"/>
        <v/>
      </c>
      <c r="AX15" s="455" t="str">
        <f>IF(OR(Y15=0,Y15=""),"",IF(VLOOKUP(B15,'Matriz de Referencia'!$B$2:$CO$584,'Matriz de Referencia'!BB$1,FALSE)=0,"","Digite"))</f>
        <v/>
      </c>
      <c r="AY15" s="456">
        <f>IF(OR(Y15=0,Y15=""),0,IF(VLOOKUP(B15,'Matriz de Referencia'!$B$2:$CO$584,26,FALSE)=0,0,"Digite"))</f>
        <v>0</v>
      </c>
      <c r="AZ15" s="456">
        <f>IF(OR(Y15=0,Y15=""),0,IF(VLOOKUP(B15,'Matriz de Referencia'!$B$2:$CO$584,27,FALSE)=0,0,"Digite"))</f>
        <v>0</v>
      </c>
      <c r="BA15" s="456">
        <f>IF(OR(Y15=0,Y15=""),0,IF(VLOOKUP(B15,'Matriz de Referencia'!$B$2:$CO$584,28,FALSE)=0,0,"Digite"))</f>
        <v>0</v>
      </c>
      <c r="BB15" s="456">
        <f>IF(OR(Y15=0,Y15=""),0,IF(VLOOKUP(B15,'Matriz de Referencia'!$B$2:$CO$584,29,FALSE)=0,0,"Digite"))</f>
        <v>0</v>
      </c>
      <c r="BC15" s="456">
        <f>IF(OR(Y15=0,Y15=""),0,IF(VLOOKUP(B15,'Matriz de Referencia'!$B$2:$CO$584,30,FALSE)=0,0,"Digite"))</f>
        <v>0</v>
      </c>
      <c r="BD15" s="456">
        <f>IF(OR(Y15=0,Y15=""),0,IF(VLOOKUP(B15,'Matriz de Referencia'!$B$2:$CO$584,31,FALSE)=0,0,"Digite"))</f>
        <v>0</v>
      </c>
      <c r="BE15" s="456">
        <f>IF(OR(Y15=0,Y15=""),0,IF(VLOOKUP(B15,'Matriz de Referencia'!$B$2:$CO$584,32,FALSE)=0,0,"Digite"))</f>
        <v>0</v>
      </c>
      <c r="BF15" s="460">
        <f t="shared" si="8"/>
        <v>0</v>
      </c>
      <c r="BG15" s="456">
        <f>IF(OR(Y15=0,Y15=""),0,IF(VLOOKUP(B15,'Matriz de Referencia'!$B$2:$CO$584,34,FALSE)=0,0,"Digite"))</f>
        <v>0</v>
      </c>
      <c r="BH15" s="456">
        <f>IF(OR(Y15=0,Y15=""),0,IF(VLOOKUP(B15,'Matriz de Referencia'!$B$2:$CO$584,35,FALSE)=0,0,"Digite"))</f>
        <v>0</v>
      </c>
      <c r="BI15" s="456">
        <f>IF(OR(Y15=0,Y15=""),0,IF(VLOOKUP(B15,'Matriz de Referencia'!$B$2:$CO$584,36,FALSE)=0,0,"Digite"))</f>
        <v>0</v>
      </c>
      <c r="BJ15" s="457">
        <f t="shared" si="9"/>
        <v>0</v>
      </c>
      <c r="BK15" s="457">
        <f t="shared" si="10"/>
        <v>0</v>
      </c>
      <c r="BL15" s="455">
        <f>IF(OR(Z15=0,Z15=""),0,IF(VLOOKUP(B15,'Matriz de Referencia'!$B$2:$CO$584,25,FALSE)=0,0,"Digite"))</f>
        <v>0</v>
      </c>
      <c r="BM15" s="456">
        <f>IF(OR(Z15=0,Z15=""),0,IF(VLOOKUP(B15,'Matriz de Referencia'!$B$2:$CO$584,26,FALSE)=0,0,"Digite"))</f>
        <v>0</v>
      </c>
      <c r="BN15" s="456">
        <f>IF(OR(Z15=0,Z15=""),0,IF(VLOOKUP(B15,'Matriz de Referencia'!$B$2:$CO$584,27,FALSE)=0,0,"Digite"))</f>
        <v>0</v>
      </c>
      <c r="BO15" s="456">
        <f>IF(OR(Z15=0,Z15=""),0,IF(VLOOKUP(B15,'Matriz de Referencia'!$B$2:$CO$584,28,FALSE)=0,0,"Digite"))</f>
        <v>0</v>
      </c>
      <c r="BP15" s="456">
        <f>IF(OR(Z15=0,Z15=""),0,IF(VLOOKUP(B15,'Matriz de Referencia'!$B$2:$CO$584,29,FALSE)=0,0,"Digite"))</f>
        <v>0</v>
      </c>
      <c r="BQ15" s="456">
        <f>IF(OR(Z15=0,Z15=""),0,IF(VLOOKUP(B15,'Matriz de Referencia'!$B$2:$CO$584,30,FALSE)=0,0,"Digite"))</f>
        <v>0</v>
      </c>
      <c r="BR15" s="456">
        <f>IF(OR(Z15=0,Z15=""),0,IF(VLOOKUP(B15,'Matriz de Referencia'!$B$2:$CO$584,31,FALSE)=0,0,"Digite"))</f>
        <v>0</v>
      </c>
      <c r="BS15" s="456">
        <f>IF(OR(Z15=0,Z15=""),0,IF(VLOOKUP(B15,'Matriz de Referencia'!$B$2:$CO$584,32,FALSE)=0,0,"Digite"))</f>
        <v>0</v>
      </c>
      <c r="BT15" s="457">
        <f t="shared" si="11"/>
        <v>0</v>
      </c>
      <c r="BU15" s="456">
        <f>IF(OR(Z15=0,Z15=""),0,IF(VLOOKUP(B15,'Matriz de Referencia'!$B$2:$CO$584,34,FALSE)=0,0,"Digite"))</f>
        <v>0</v>
      </c>
      <c r="BV15" s="456">
        <f>IF(OR(Z15=0,Z15=""),0,IF(VLOOKUP(B15,'Matriz de Referencia'!$B$2:$CO$584,35,FALSE)=0,0,"Digite"))</f>
        <v>0</v>
      </c>
      <c r="BW15" s="456">
        <f>IF(OR(Z15=0,Z15=""),0,IF(VLOOKUP(B15,'Matriz de Referencia'!$B$2:$CO$584,36,FALSE)=0,0,"Digite"))</f>
        <v>0</v>
      </c>
      <c r="BX15" s="457">
        <f t="shared" si="12"/>
        <v>0</v>
      </c>
      <c r="BY15" s="457">
        <f t="shared" si="13"/>
        <v>0</v>
      </c>
      <c r="BZ15" s="455">
        <f>IF(OR(AA15=0,AA15=""),0,IF(VLOOKUP(B15,'Matriz de Referencia'!$B$2:$CO$584,25,FALSE)=0,0,"Digite"))</f>
        <v>0</v>
      </c>
      <c r="CA15" s="456">
        <f>IF(OR(AA15=0,AA15=""),0,IF(VLOOKUP(B15,'Matriz de Referencia'!$B$2:$CO$584,26,FALSE)=0,0,"Digite"))</f>
        <v>0</v>
      </c>
      <c r="CB15" s="456">
        <f>IF(OR(AA15=0,AA15=""),0,IF(VLOOKUP(B15,'Matriz de Referencia'!$B$2:$CO$584,27,FALSE)=0,0,"Digite"))</f>
        <v>0</v>
      </c>
      <c r="CC15" s="456">
        <f>IF(OR(AA15=0,AA15=""),0,IF(VLOOKUP(B15,'Matriz de Referencia'!$B$2:$CO$584,28,FALSE)=0,0,"Digite"))</f>
        <v>0</v>
      </c>
      <c r="CD15" s="456">
        <f>IF(OR(AA15=0,AA15=""),0,IF(VLOOKUP(B15,'Matriz de Referencia'!$B$2:$CO$584,29,FALSE)=0,0,"Digite"))</f>
        <v>0</v>
      </c>
      <c r="CE15" s="456">
        <f>IF(OR(AA15=0,AA15=""),0,IF(VLOOKUP(B15,'Matriz de Referencia'!$B$2:$CO$584,30,FALSE)=0,0,"Digite"))</f>
        <v>0</v>
      </c>
      <c r="CF15" s="456">
        <f>IF(OR(AA15=0,AA15=""),0,IF(VLOOKUP(B15,'Matriz de Referencia'!$B$2:$CO$584,31,FALSE)=0,0,"Digite"))</f>
        <v>0</v>
      </c>
      <c r="CG15" s="456">
        <f>IF(OR(AA15=0,AA15=""),0,IF(VLOOKUP(B15,'Matriz de Referencia'!$B$2:$CO$584,32,FALSE)=0,0,"Digite"))</f>
        <v>0</v>
      </c>
      <c r="CH15" s="457">
        <f t="shared" si="14"/>
        <v>0</v>
      </c>
      <c r="CI15" s="456">
        <f>IF(OR(AA15=0,AA15=""),0,IF(VLOOKUP(B15,'Matriz de Referencia'!$B$2:$CO$584,34,FALSE)=0,0,"Digite"))</f>
        <v>0</v>
      </c>
      <c r="CJ15" s="456">
        <f>IF(OR(AA15=0,AA15=""),0,IF(VLOOKUP(B15,'Matriz de Referencia'!$B$2:$CO$584,35,FALSE)=0,0,"Digite"))</f>
        <v>0</v>
      </c>
      <c r="CK15" s="456">
        <f>IF(OR(AA15=0,AA15=""),0,IF(VLOOKUP(B15,'Matriz de Referencia'!$B$2:$CO$584,36,FALSE)=0,0,"Digite"))</f>
        <v>0</v>
      </c>
      <c r="CL15" s="457">
        <f t="shared" si="15"/>
        <v>0</v>
      </c>
      <c r="CM15" s="457">
        <f t="shared" si="16"/>
        <v>0</v>
      </c>
      <c r="CN15" s="455">
        <f>IF(OR(AB15=0,AB15=""),0,IF(VLOOKUP(B15,'Matriz de Referencia'!$B$2:$CO$584,25,FALSE)=0,0,"Digite"))</f>
        <v>0</v>
      </c>
      <c r="CO15" s="456">
        <f>IF(OR(AB15=0,AB15=""),0,IF(VLOOKUP(B15,'Matriz de Referencia'!$B$2:$CO$584,26,FALSE)=0,0,"Digite"))</f>
        <v>0</v>
      </c>
      <c r="CP15" s="456">
        <f>IF(OR(AB15=0,AB15=""),0,IF(VLOOKUP(B15,'Matriz de Referencia'!$B$2:$CO$584,27,FALSE)=0,0,"Digite"))</f>
        <v>0</v>
      </c>
      <c r="CQ15" s="456">
        <f>IF(OR(AB15=0,AB15=""),0,IF(VLOOKUP(B15,'Matriz de Referencia'!$B$2:$CO$584,28,FALSE)=0,0,"Digite"))</f>
        <v>0</v>
      </c>
      <c r="CR15" s="456">
        <f>IF(OR(AB15=0,AB15=""),0,IF(VLOOKUP(B15,'Matriz de Referencia'!$B$2:$CO$584,29,FALSE)=0,0,"Digite"))</f>
        <v>0</v>
      </c>
      <c r="CS15" s="456">
        <f>IF(OR(AB15=0,AB15=""),0,IF(VLOOKUP(B15,'Matriz de Referencia'!$B$2:$CO$584,30,FALSE)=0,0,"Digite"))</f>
        <v>0</v>
      </c>
      <c r="CT15" s="456">
        <f>IF(OR(AB15=0,AB15=""),0,IF(VLOOKUP(B15,'Matriz de Referencia'!$B$2:$CO$584,31,FALSE)=0,0,"Digite"))</f>
        <v>0</v>
      </c>
      <c r="CU15" s="456">
        <f>IF(OR(AB15=0,AB15=""),0,IF(VLOOKUP(B15,'Matriz de Referencia'!$B$2:$CO$584,32,FALSE)=0,0,"Digite"))</f>
        <v>0</v>
      </c>
      <c r="CV15" s="457">
        <f t="shared" si="17"/>
        <v>0</v>
      </c>
      <c r="CW15" s="456">
        <f>IF(OR(AB15=0,AB15=""),0,IF(VLOOKUP(B15,'Matriz de Referencia'!$B$2:$CO$584,34,FALSE)=0,0,"Digite"))</f>
        <v>0</v>
      </c>
      <c r="CX15" s="456">
        <f>IF(OR(AB15=0,AB15=""),0,IF(VLOOKUP(B15,'Matriz de Referencia'!$B$2:$CO$584,35,FALSE)=0,0,"Digite"))</f>
        <v>0</v>
      </c>
      <c r="CY15" s="456">
        <f>IF(OR(AB15=0,AB15=""),0,IF(VLOOKUP(B15,'Matriz de Referencia'!$B$2:$CO$584,36,FALSE)=0,0,"Digite"))</f>
        <v>0</v>
      </c>
      <c r="CZ15" s="457">
        <f t="shared" si="18"/>
        <v>0</v>
      </c>
      <c r="DA15" s="457">
        <f t="shared" si="19"/>
        <v>0</v>
      </c>
      <c r="DB15" s="457">
        <f t="shared" si="20"/>
        <v>0</v>
      </c>
      <c r="DC15" s="101" t="str">
        <f>IFERROR(IF(DB15=0,"",IF(VLOOKUP(B15,'Matriz de Referencia'!$B$2:$CO$584,'Matriz de Referencia'!BO$1,FALSE)=DB15,"Techos ok, cotinue","Debe revisar el valor programado")),"")</f>
        <v/>
      </c>
      <c r="DD15" s="453">
        <f>IF(OR(AE15=0,AE15=""),0,IF(VLOOKUP(B15,'Matriz de Referencia'!$B$2:$CO$584,39,FALSE)=0,0,"Digite"))</f>
        <v>0</v>
      </c>
      <c r="DE15" s="454">
        <f>IF(OR(AE15=0,AE15=""),0,IF(VLOOKUP(B15,'Matriz de Referencia'!$B$2:$CO$584,40,FALSE)=0,0,"Digite"))</f>
        <v>0</v>
      </c>
      <c r="DF15" s="454">
        <f>IF(OR(AE15=0,AE15=""),0,IF(VLOOKUP(B15,'Matriz de Referencia'!$B$2:$CO$584,41,FALSE)=0,0,"Digite"))</f>
        <v>0</v>
      </c>
      <c r="DG15" s="454">
        <f>IF(OR(AE15=0,AE15=""),0,IF(VLOOKUP(B15,'Matriz de Referencia'!$B$2:$CO$584,42,FALSE)=0,0,"Digite"))</f>
        <v>0</v>
      </c>
      <c r="DH15" s="454">
        <f>IF(OR(AE15=0,AE15=""),0,IF(VLOOKUP(B15,'Matriz de Referencia'!$B$2:$CO$584,43,FALSE)=0,0,"Digite"))</f>
        <v>0</v>
      </c>
      <c r="DI15" s="454">
        <f>IF(OR(AE15=0,AE15=""),0,IF(VLOOKUP(B15,'Matriz de Referencia'!$B$2:$CO$584,44,FALSE)=0,0,"Digite"))</f>
        <v>0</v>
      </c>
      <c r="DJ15" s="454">
        <f>IF(OR(AE15=0,AE15=""),0,IF(VLOOKUP(B15,'Matriz de Referencia'!$B$2:$CO$584,45,FALSE)=0,0,"Digite"))</f>
        <v>0</v>
      </c>
      <c r="DK15" s="454">
        <f>IF(OR(AE15=0,AE15=""),0,IF(VLOOKUP(B15,'Matriz de Referencia'!$B$2:$CO$584,46,FALSE)=0,0,"Digite"))</f>
        <v>0</v>
      </c>
      <c r="DL15" s="382">
        <f t="shared" si="21"/>
        <v>0</v>
      </c>
      <c r="DM15" s="454">
        <f>IF(OR(AE15=0,AE15=""),0,IF(VLOOKUP(B15,'Matriz de Referencia'!$B$2:$CO$584,48,FALSE)=0,0,"Digite"))</f>
        <v>0</v>
      </c>
      <c r="DN15" s="454">
        <f>IF(OR(AE15=0,AE15=""),0,IF(VLOOKUP(B15,'Matriz de Referencia'!$B$2:$CO$584,49,FALSE)=0,0,"Digite"))</f>
        <v>0</v>
      </c>
      <c r="DO15" s="454">
        <f>IF(OR(AE15=0,AE15=""),0,IF(VLOOKUP(B15,'Matriz de Referencia'!$B$2:$CO$584,50,FALSE)=0,0,"Digite"))</f>
        <v>0</v>
      </c>
      <c r="DP15" s="382">
        <f t="shared" si="22"/>
        <v>0</v>
      </c>
      <c r="DQ15" s="382">
        <f t="shared" si="23"/>
        <v>0</v>
      </c>
      <c r="DR15" s="453">
        <f>IF(OR(AF15=0,AF15=""),0,IF(VLOOKUP(B15,'Matriz de Referencia'!$B$2:$CO$584,39,FALSE)=0,0,"Digite"))</f>
        <v>0</v>
      </c>
      <c r="DS15" s="454">
        <f>IF(OR(AF15=0,AF15=""),0,IF(VLOOKUP(B15,'Matriz de Referencia'!$B$2:$CO$584,40,FALSE)=0,0,"Digite"))</f>
        <v>0</v>
      </c>
      <c r="DT15" s="454">
        <f>IF(OR(AF15=0,AF15=""),0,IF(VLOOKUP(B15,'Matriz de Referencia'!$B$2:$CO$584,41,FALSE)=0,0,"Digite"))</f>
        <v>0</v>
      </c>
      <c r="DU15" s="454">
        <f>IF(OR(AF15=0,AF15=""),0,IF(VLOOKUP(B15,'Matriz de Referencia'!$B$2:$CO$584,42,FALSE)=0,0,"Digite"))</f>
        <v>0</v>
      </c>
      <c r="DV15" s="454">
        <f>IF(OR(AF15=0,AF15=""),0,IF(VLOOKUP(B15,'Matriz de Referencia'!$B$2:$CO$584,43,FALSE)=0,0,"Digite"))</f>
        <v>0</v>
      </c>
      <c r="DW15" s="454">
        <f>IF(OR(AF15=0,AF15=""),0,IF(VLOOKUP(B15,'Matriz de Referencia'!$B$2:$CO$584,44,FALSE)=0,0,"Digite"))</f>
        <v>0</v>
      </c>
      <c r="DX15" s="454">
        <f>IF(OR(AF15=0,AF15=""),0,IF(VLOOKUP(B15,'Matriz de Referencia'!$B$2:$CO$584,45,FALSE)=0,0,"Digite"))</f>
        <v>0</v>
      </c>
      <c r="DY15" s="454">
        <f>IF(OR(AF15=0,AF15=""),0,IF(VLOOKUP(B15,'Matriz de Referencia'!$B$2:$CO$584,46,FALSE)=0,0,"Digite"))</f>
        <v>0</v>
      </c>
      <c r="DZ15" s="382">
        <f t="shared" si="24"/>
        <v>0</v>
      </c>
      <c r="EA15" s="454">
        <f>IF(OR(AF15=0,AF15=""),0,IF(VLOOKUP(B15,'Matriz de Referencia'!$B$2:$CO$584,48,FALSE)=0,0,"Digite"))</f>
        <v>0</v>
      </c>
      <c r="EB15" s="454">
        <f>IF(OR(AF15=0,AF15=""),0,IF(VLOOKUP(B15,'Matriz de Referencia'!$B$2:$CO$584,49,FALSE)=0,0,"Digite"))</f>
        <v>0</v>
      </c>
      <c r="EC15" s="454">
        <f>IF(OR(AF15=0,AF15=""),0,IF(VLOOKUP(B15,'Matriz de Referencia'!$B$2:$CO$584,50,FALSE)=0,0,"Digite"))</f>
        <v>0</v>
      </c>
      <c r="ED15" s="382">
        <f t="shared" si="25"/>
        <v>0</v>
      </c>
      <c r="EE15" s="382">
        <f t="shared" si="26"/>
        <v>0</v>
      </c>
      <c r="EF15" s="453">
        <f>IF(OR(AG15=0,AG15=""),0,IF(VLOOKUP(B15,'Matriz de Referencia'!$B$2:$CO$584,39,FALSE)=0,0,"Digite"))</f>
        <v>0</v>
      </c>
      <c r="EG15" s="454">
        <f>IF(OR(AG15=0,AG15=""),0,IF(VLOOKUP(B15,'Matriz de Referencia'!$B$2:$CO$584,40,FALSE)=0,0,"Digite"))</f>
        <v>0</v>
      </c>
      <c r="EH15" s="454">
        <f>IF(OR(AG15=0,AG15=""),0,IF(VLOOKUP(B15,'Matriz de Referencia'!$B$2:$CO$584,41,FALSE)=0,0,"Digite"))</f>
        <v>0</v>
      </c>
      <c r="EI15" s="454">
        <f>IF(OR(AG15=0,AG15=""),0,IF(VLOOKUP(B15,'Matriz de Referencia'!$B$2:$CO$584,42,FALSE)=0,0,"Digite"))</f>
        <v>0</v>
      </c>
      <c r="EJ15" s="454">
        <f>IF(OR(AG15=0,AG15=""),0,IF(VLOOKUP(B15,'Matriz de Referencia'!$B$2:$CO$584,43,FALSE)=0,0,"Digite"))</f>
        <v>0</v>
      </c>
      <c r="EK15" s="454">
        <f>IF(OR(AG15=0,AG15=""),0,IF(VLOOKUP(B15,'Matriz de Referencia'!$B$2:$CO$584,44,FALSE)=0,0,"Digite"))</f>
        <v>0</v>
      </c>
      <c r="EL15" s="454">
        <f>IF(OR(AG15=0,AG15=""),0,IF(VLOOKUP(B15,'Matriz de Referencia'!$B$2:$CO$584,45,FALSE)=0,0,"Digite"))</f>
        <v>0</v>
      </c>
      <c r="EM15" s="454">
        <f>IF(OR(AG15=0,AG15=""),0,IF(VLOOKUP(B15,'Matriz de Referencia'!$B$2:$CO$584,46,FALSE)=0,0,"Digite"))</f>
        <v>0</v>
      </c>
      <c r="EN15" s="382">
        <f t="shared" si="27"/>
        <v>0</v>
      </c>
      <c r="EO15" s="454">
        <f>IF(OR(AG15=0,AG15=""),0,IF(VLOOKUP(B15,'Matriz de Referencia'!$B$2:$CO$584,48,FALSE)=0,0,"Digite"))</f>
        <v>0</v>
      </c>
      <c r="EP15" s="454">
        <f>IF(OR(AG15=0,AG15=""),0,IF(VLOOKUP(B15,'Matriz de Referencia'!$B$2:$CO$584,49,FALSE)=0,0,"Digite"))</f>
        <v>0</v>
      </c>
      <c r="EQ15" s="454">
        <f>IF(OR(AG15=0,AG15=""),0,IF(VLOOKUP(B15,'Matriz de Referencia'!$B$2:$CO$584,50,FALSE)=0,0,"Digite"))</f>
        <v>0</v>
      </c>
      <c r="ER15" s="382">
        <f t="shared" si="28"/>
        <v>0</v>
      </c>
      <c r="ES15" s="382">
        <f t="shared" si="29"/>
        <v>0</v>
      </c>
      <c r="ET15" s="453">
        <f>IF(OR(AH15=0,AH15=""),0,IF(VLOOKUP(B15,'Matriz de Referencia'!$B$2:$CO$584,39,FALSE)=0,0,"Digite"))</f>
        <v>0</v>
      </c>
      <c r="EU15" s="454">
        <f>IF(OR(AH15=0,AH15=""),0,IF(VLOOKUP(B15,'Matriz de Referencia'!$B$2:$CO$584,40,FALSE)=0,0,"Digite"))</f>
        <v>0</v>
      </c>
      <c r="EV15" s="454">
        <f>IF(OR(AH15=0,AH15=""),0,IF(VLOOKUP(B15,'Matriz de Referencia'!$B$2:$CO$584,41,FALSE)=0,0,"Digite"))</f>
        <v>0</v>
      </c>
      <c r="EW15" s="454">
        <f>IF(OR(AH15=0,AH15=""),0,IF(VLOOKUP(B15,'Matriz de Referencia'!$B$2:$CO$584,42,FALSE)=0,0,"Digite"))</f>
        <v>0</v>
      </c>
      <c r="EX15" s="454">
        <f>IF(OR(AH15=0,AH15=""),0,IF(VLOOKUP(B15,'Matriz de Referencia'!$B$2:$CO$584,43,FALSE)=0,0,"Digite"))</f>
        <v>0</v>
      </c>
      <c r="EY15" s="454">
        <f>IF(OR(AH15=0,AH15=""),0,IF(VLOOKUP(B15,'Matriz de Referencia'!$B$2:$CO$584,44,FALSE)=0,0,"Digite"))</f>
        <v>0</v>
      </c>
      <c r="EZ15" s="454">
        <f>IF(OR(AH15=0,AH15=""),0,IF(VLOOKUP(B15,'Matriz de Referencia'!$B$2:$CO$584,45,FALSE)=0,0,"Digite"))</f>
        <v>0</v>
      </c>
      <c r="FA15" s="454">
        <f>IF(OR(AH15=0,AH15=""),0,IF(VLOOKUP(B15,'Matriz de Referencia'!$B$2:$CO$584,46,FALSE)=0,0,"Digite"))</f>
        <v>0</v>
      </c>
      <c r="FB15" s="382">
        <f t="shared" si="30"/>
        <v>0</v>
      </c>
      <c r="FC15" s="454">
        <f>IF(OR(AH15=0,AH15=""),0,IF(VLOOKUP(B15,'Matriz de Referencia'!$B$2:$CO$584,48,FALSE)=0,0,"Digite"))</f>
        <v>0</v>
      </c>
      <c r="FD15" s="454">
        <f>IF(OR(AH15=0,AH15=""),0,IF(VLOOKUP(B15,'Matriz de Referencia'!$B$2:$CO$584,49,FALSE)=0,0,"Digite"))</f>
        <v>0</v>
      </c>
      <c r="FE15" s="454">
        <f>IF(OR(AH15=0,AH15=""),0,IF(VLOOKUP(B15,'Matriz de Referencia'!$B$2:$CO$584,50,FALSE)=0,0,"Digite"))</f>
        <v>0</v>
      </c>
      <c r="FF15" s="382">
        <f t="shared" si="31"/>
        <v>0</v>
      </c>
      <c r="FG15" s="382">
        <f t="shared" si="32"/>
        <v>0</v>
      </c>
      <c r="FH15" s="382">
        <f t="shared" si="33"/>
        <v>0</v>
      </c>
      <c r="FI15" s="101" t="str">
        <f>IFERROR(IF(FH15=0,"",IF(VLOOKUP(B15,'Matriz de Referencia'!$B$2:$CO$584,52,FALSE)=FH15,"Techos ok, cotinue","Debe revisar el valor programado")),"")</f>
        <v/>
      </c>
      <c r="FJ15" s="453">
        <f>IF(OR(AK15=0,AK15=""),0,IF(VLOOKUP(B15,'Matriz de Referencia'!$B$2:$CO$584,53,FALSE)=0,0,"Digite"))</f>
        <v>0</v>
      </c>
      <c r="FK15" s="454">
        <f>IF(OR(AK15=0,AK15=""),0,IF(VLOOKUP(B15,'Matriz de Referencia'!$B$2:$CO$584,54,FALSE)=0,0,"Digite"))</f>
        <v>0</v>
      </c>
      <c r="FL15" s="454">
        <f>IF(OR(AK15=0,AK15=""),0,IF(VLOOKUP(B15,'Matriz de Referencia'!$B$2:$CO$584,55,FALSE)=0,0,"Digite"))</f>
        <v>0</v>
      </c>
      <c r="FM15" s="454">
        <f>IF(OR(AK15=0,AK15=""),0,IF(VLOOKUP(B15,'Matriz de Referencia'!$B$2:$CO$584,56,FALSE)=0,0,"Digite"))</f>
        <v>0</v>
      </c>
      <c r="FN15" s="454">
        <f>IF(OR(AK15=0,AK15=""),0,IF(VLOOKUP(B15,'Matriz de Referencia'!$B$2:$CO$584,57,FALSE)=0,0,"Digite"))</f>
        <v>0</v>
      </c>
      <c r="FO15" s="454">
        <f>IF(OR(AK15=0,AK15=""),0,IF(VLOOKUP(B15,'Matriz de Referencia'!$B$2:$CO$584,58,FALSE)=0,0,"Digite"))</f>
        <v>0</v>
      </c>
      <c r="FP15" s="454">
        <f>IF(OR(AK15=0,AK15=""),0,IF(VLOOKUP(B15,'Matriz de Referencia'!$B$2:$CO$584,59,FALSE)=0,0,"Digite"))</f>
        <v>0</v>
      </c>
      <c r="FQ15" s="454">
        <f>IF(OR(AK15=0,AK15=""),0,IF(VLOOKUP(B15,'Matriz de Referencia'!$B$2:$CO$584,60,FALSE)=0,0,"Digite"))</f>
        <v>0</v>
      </c>
      <c r="FR15" s="382">
        <f t="shared" si="34"/>
        <v>0</v>
      </c>
      <c r="FS15" s="454">
        <f>IF(OR(AK15=0,AK15=""),0,IF(VLOOKUP(B15,'Matriz de Referencia'!$B$2:$CO$584,62,FALSE)=0,0,"Digite"))</f>
        <v>0</v>
      </c>
      <c r="FT15" s="454">
        <f>IF(OR(AK15=0,AK15=""),0,IF(VLOOKUP(B15,'Matriz de Referencia'!$B$2:$CO$584,63,FALSE)=0,0,"Digite"))</f>
        <v>0</v>
      </c>
      <c r="FU15" s="454">
        <f>IF(OR(AK15=0,AK15=""),0,IF(VLOOKUP(B15,'Matriz de Referencia'!$B$2:$CO$584,64,FALSE)=0,"","Digite"))</f>
        <v>0</v>
      </c>
      <c r="FV15" s="382">
        <f t="shared" si="35"/>
        <v>0</v>
      </c>
      <c r="FW15" s="382">
        <f t="shared" si="36"/>
        <v>0</v>
      </c>
      <c r="FX15" s="453">
        <f>IF(OR(AL15=0,AL15=""),0,IF(VLOOKUP(B15,'Matriz de Referencia'!$B$2:$CO$584,53,FALSE)=0,0,"Digite"))</f>
        <v>0</v>
      </c>
      <c r="FY15" s="454">
        <f>IF(OR(AL15=0,AL15=""),0,IF(VLOOKUP(B15,'Matriz de Referencia'!$B$2:$CO$584,54,FALSE)=0,0,"Digite"))</f>
        <v>0</v>
      </c>
      <c r="FZ15" s="454">
        <f>IF(OR(AL15=0,AL15=""),0,IF(VLOOKUP(B15,'Matriz de Referencia'!$B$2:$CO$584,55,FALSE)=0,0,"Digite"))</f>
        <v>0</v>
      </c>
      <c r="GA15" s="454">
        <f>IF(OR(AL15=0,AL15=""),0,IF(VLOOKUP(B15,'Matriz de Referencia'!$B$2:$CO$584,56,FALSE)=0,0,"Digite"))</f>
        <v>0</v>
      </c>
      <c r="GB15" s="454">
        <f>IF(OR(AL15=0,AL15=""),0,IF(VLOOKUP(B15,'Matriz de Referencia'!$B$2:$CO$584,57,FALSE)=0,0,"Digite"))</f>
        <v>0</v>
      </c>
      <c r="GC15" s="454">
        <f>IF(OR(AL15=0,AL15=""),0,IF(VLOOKUP(B15,'Matriz de Referencia'!$B$2:$CO$584,58,FALSE)=0,0,"Digite"))</f>
        <v>0</v>
      </c>
      <c r="GD15" s="454">
        <f>IF(OR(AL15=0,AL15=""),0,IF(VLOOKUP(B15,'Matriz de Referencia'!$B$2:$CO$584,59,FALSE)=0,0,"Digite"))</f>
        <v>0</v>
      </c>
      <c r="GE15" s="454">
        <f>IF(OR(AL15=0,AL15=""),0,IF(VLOOKUP(B15,'Matriz de Referencia'!$B$2:$CO$584,60,FALSE)=0,0,"Digite"))</f>
        <v>0</v>
      </c>
      <c r="GF15" s="382">
        <f t="shared" si="37"/>
        <v>0</v>
      </c>
      <c r="GG15" s="454">
        <f>IF(OR(AL15=0,AL15=""),0,IF(VLOOKUP(B15,'Matriz de Referencia'!$B$2:$CO$584,62,FALSE)=0,0,"Digite"))</f>
        <v>0</v>
      </c>
      <c r="GH15" s="454">
        <f>IF(OR(AL15=0,AL15=""),0,IF(VLOOKUP(B15,'Matriz de Referencia'!$B$2:$CO$584,63,FALSE)=0,0,"Digite"))</f>
        <v>0</v>
      </c>
      <c r="GI15" s="454">
        <f>IF(OR(AL15=0,AL15=""),0,IF(VLOOKUP(B15,'Matriz de Referencia'!$B$2:$CO$584,64,FALSE)=0,0,"Digite"))</f>
        <v>0</v>
      </c>
      <c r="GJ15" s="382">
        <f t="shared" si="38"/>
        <v>0</v>
      </c>
      <c r="GK15" s="382">
        <f t="shared" si="39"/>
        <v>0</v>
      </c>
      <c r="GL15" s="453">
        <f>IF(OR(AM15=0,AM15=""),0,IF(VLOOKUP(B15,'Matriz de Referencia'!$B$2:$CO$584,53,FALSE)=0,0,"Digite"))</f>
        <v>0</v>
      </c>
      <c r="GM15" s="454">
        <f>IF(OR(AM15=0,AM15=""),0,IF(VLOOKUP(B15,'Matriz de Referencia'!$B$2:$CO$584,54,FALSE)=0,0,"Digite"))</f>
        <v>0</v>
      </c>
      <c r="GN15" s="454">
        <f>IF(OR(AM15=0,AM15=""),0,IF(VLOOKUP(B15,'Matriz de Referencia'!$B$2:$CO$584,55,FALSE)=0,0,"Digite"))</f>
        <v>0</v>
      </c>
      <c r="GO15" s="454">
        <f>IF(OR(AM15=0,AM15=""),0,IF(VLOOKUP(B15,'Matriz de Referencia'!$B$2:$CO$584,56,FALSE)=0,0,"Digite"))</f>
        <v>0</v>
      </c>
      <c r="GP15" s="454">
        <f>IF(OR(AM15=0,AM15=""),0,IF(VLOOKUP(B15,'Matriz de Referencia'!$B$2:$CO$584,57,FALSE)=0,0,"Digite"))</f>
        <v>0</v>
      </c>
      <c r="GQ15" s="454">
        <f>IF(OR(AM15=0,AM15=""),0,IF(VLOOKUP(B15,'Matriz de Referencia'!$B$2:$CO$584,58,FALSE)=0,0,"Digite"))</f>
        <v>0</v>
      </c>
      <c r="GR15" s="454">
        <f>IF(OR(AM15=0,AM15=""),0,IF(VLOOKUP(B15,'Matriz de Referencia'!$B$2:$CO$584,59,FALSE)=0,0,"Digite"))</f>
        <v>0</v>
      </c>
      <c r="GS15" s="454">
        <f>IF(OR(AM15=0,AM15=""),0,IF(VLOOKUP(B15,'Matriz de Referencia'!$B$2:$CO$584,60,FALSE)=0,0,"Digite"))</f>
        <v>0</v>
      </c>
      <c r="GT15" s="382">
        <f t="shared" si="40"/>
        <v>0</v>
      </c>
      <c r="GU15" s="454">
        <f>IF(OR(AM15=0,AM15=""),0,IF(VLOOKUP(B15,'Matriz de Referencia'!$B$2:$CO$584,62,FALSE)=0,0,"Digite"))</f>
        <v>0</v>
      </c>
      <c r="GV15" s="454">
        <f>IF(OR(AM15=0,AM15=""),0,IF(VLOOKUP(B15,'Matriz de Referencia'!$B$2:$CO$584,63,FALSE)=0,0,"Digite"))</f>
        <v>0</v>
      </c>
      <c r="GW15" s="454">
        <f>IF(OR(AM15=0,AM15=""),0,IF(VLOOKUP(B15,'Matriz de Referencia'!$B$2:$CO$584,64,FALSE)=0,0,"Digite"))</f>
        <v>0</v>
      </c>
      <c r="GX15" s="382">
        <f t="shared" si="41"/>
        <v>0</v>
      </c>
      <c r="GY15" s="382">
        <f t="shared" si="42"/>
        <v>0</v>
      </c>
      <c r="GZ15" s="453">
        <f>IF(OR(AN15=0,AN15=""),0,IF(VLOOKUP(B15,'Matriz de Referencia'!$B$2:$CO$584,53,FALSE)=0,0,"Digite"))</f>
        <v>0</v>
      </c>
      <c r="HA15" s="454">
        <f>IF(OR(AN15=0,AN15=""),0,IF(VLOOKUP(B15,'Matriz de Referencia'!$B$2:$CO$584,54,FALSE)=0,0,"Digite"))</f>
        <v>0</v>
      </c>
      <c r="HB15" s="454">
        <f>IF(OR(AN15=0,AN15=""),0,IF(VLOOKUP(B15,'Matriz de Referencia'!$B$2:$CO$584,55,FALSE)=0,0,"Digite"))</f>
        <v>0</v>
      </c>
      <c r="HC15" s="454">
        <f>IF(OR(AN15=0,AN15=""),0,IF(VLOOKUP(B15,'Matriz de Referencia'!$B$2:$CO$584,56,FALSE)=0,0,"Digite"))</f>
        <v>0</v>
      </c>
      <c r="HD15" s="454">
        <f>IF(OR(AN15=0,AN15=""),0,IF(VLOOKUP(B15,'Matriz de Referencia'!$B$2:$CO$584,57,FALSE)=0,0,"Digite"))</f>
        <v>0</v>
      </c>
      <c r="HE15" s="454">
        <f>IF(OR(AN15=0,AN15=""),0,IF(VLOOKUP(B15,'Matriz de Referencia'!$B$2:$CO$584,58,FALSE)=0,0,"Digite"))</f>
        <v>0</v>
      </c>
      <c r="HF15" s="454">
        <f>IF(OR(AN15=0,AN15=""),0,IF(VLOOKUP(B15,'Matriz de Referencia'!$B$2:$CO$584,59,FALSE)=0,0,"Digite"))</f>
        <v>0</v>
      </c>
      <c r="HG15" s="454">
        <f>IF(OR(AN15=0,AN15=""),0,IF(VLOOKUP(B15,'Matriz de Referencia'!$B$2:$CO$584,60,FALSE)=0,0,"Digite"))</f>
        <v>0</v>
      </c>
      <c r="HH15" s="382">
        <f t="shared" si="43"/>
        <v>0</v>
      </c>
      <c r="HI15" s="454">
        <f>IF(OR(AN15=0,AN15=""),0,IF(VLOOKUP(B15,'Matriz de Referencia'!$B$2:$CO$584,62,FALSE)=0,0,"Digite"))</f>
        <v>0</v>
      </c>
      <c r="HJ15" s="454">
        <f>IF(OR(AN15=0,AN15=""),0,IF(VLOOKUP(B15,'Matriz de Referencia'!$B$2:$CO$584,63,FALSE)=0,0,"Digite"))</f>
        <v>0</v>
      </c>
      <c r="HK15" s="454">
        <f>IF(OR(AN15=0,AN15=""),0,IF(VLOOKUP(B15,'Matriz de Referencia'!$B$2:$CO$584,64,FALSE)=0,0,"Digite"))</f>
        <v>0</v>
      </c>
      <c r="HL15" s="382">
        <f t="shared" si="44"/>
        <v>0</v>
      </c>
      <c r="HM15" s="382">
        <f t="shared" si="45"/>
        <v>0</v>
      </c>
      <c r="HN15" s="382">
        <f t="shared" si="46"/>
        <v>0</v>
      </c>
      <c r="HO15" s="101" t="str">
        <f>IFERROR(IF(HN15=0,"",IF(VLOOKUP(B15,'Matriz de Referencia'!$B$2:$CO$584,66,FALSE)=HN15,"Techos ok, cotinue","Debe revisar el valor programado")),"")</f>
        <v/>
      </c>
      <c r="HP15" s="453">
        <f>IF(OR(AQ15=0,AQ15=""),0,IF(VLOOKUP(B15,'Matriz de Referencia'!$B$2:$CO$584,67,FALSE)=0,0,"Digite"))</f>
        <v>0</v>
      </c>
      <c r="HQ15" s="454">
        <f>IF(OR(AQ15=0,AQ15=""),0,IF(VLOOKUP(B15,'Matriz de Referencia'!$B$2:$CO$584,68,FALSE)=0,0,"Digite"))</f>
        <v>0</v>
      </c>
      <c r="HR15" s="454">
        <f>IF(OR(AQ15=0,AQ15=""),0,IF(VLOOKUP(B15,'Matriz de Referencia'!$B$2:$CO$584,69,FALSE)=0,0,"Digite"))</f>
        <v>0</v>
      </c>
      <c r="HS15" s="454">
        <f>IF(OR(AQ15=0,AQ15=""),0,IF(VLOOKUP(B15,'Matriz de Referencia'!$B$2:$CO$584,70,FALSE)=0,0,"Digite"))</f>
        <v>0</v>
      </c>
      <c r="HT15" s="454">
        <f>IF(OR(AQ15=0,AQ15=""),0,IF(VLOOKUP(B15,'Matriz de Referencia'!$B$2:$CO$584,71,FALSE)=0,0,"Digite"))</f>
        <v>0</v>
      </c>
      <c r="HU15" s="454">
        <f>IF(OR(AQ15=0,AQ15=""),0,IF(VLOOKUP(B15,'Matriz de Referencia'!$B$2:$CO$584,72,FALSE)=0,0,"Digite"))</f>
        <v>0</v>
      </c>
      <c r="HV15" s="454">
        <f>IF(OR(AQ15=0,AQ15=""),0,IF(VLOOKUP(B15,'Matriz de Referencia'!$B$2:$CO$584,73,FALSE)=0,0,"Digite"))</f>
        <v>0</v>
      </c>
      <c r="HW15" s="454">
        <f>IF(OR(AQ15=0,AQ15=""),0,IF(VLOOKUP(B15,'Matriz de Referencia'!$B$2:$CO$584,74,FALSE)=0,0,"Digite"))</f>
        <v>0</v>
      </c>
      <c r="HX15" s="382">
        <f t="shared" si="47"/>
        <v>0</v>
      </c>
      <c r="HY15" s="454">
        <f>IF(OR(AQ15=0,AQ15=""),0,IF(VLOOKUP(B15,'Matriz de Referencia'!$B$2:$CO$584,76,FALSE)=0,0,"Digite"))</f>
        <v>0</v>
      </c>
      <c r="HZ15" s="454">
        <f>IF(OR(AQ15=0,AQ15=""),0,IF(VLOOKUP(B15,'Matriz de Referencia'!$B$2:$CO$584,77,FALSE)=0,0,"Digite"))</f>
        <v>0</v>
      </c>
      <c r="IA15" s="454">
        <f>IF(OR(AQ15=0,AQ15=""),0,IF(VLOOKUP(B15,'Matriz de Referencia'!$B$2:$CO$584,78,FALSE)=0,0,"Digite"))</f>
        <v>0</v>
      </c>
      <c r="IB15" s="382">
        <f t="shared" si="48"/>
        <v>0</v>
      </c>
      <c r="IC15" s="382">
        <f t="shared" si="49"/>
        <v>0</v>
      </c>
      <c r="ID15" s="453">
        <f>IF(OR(AR15=0,AR15=""),0,IF(VLOOKUP(B15,'Matriz de Referencia'!$B$2:$CO$584,67,FALSE)=0,0,"Digite"))</f>
        <v>0</v>
      </c>
      <c r="IE15" s="454">
        <f>IF(OR(AR15=0,AR15=""),0,IF(VLOOKUP(B15,'Matriz de Referencia'!$B$2:$CO$584,68,FALSE)=0,0,"Digite"))</f>
        <v>0</v>
      </c>
      <c r="IF15" s="454">
        <f>IF(OR(AR15=0,AR15=""),0,IF(VLOOKUP(B15,'Matriz de Referencia'!$B$2:$CO$584,69,FALSE)=0,0,"Digite"))</f>
        <v>0</v>
      </c>
      <c r="IG15" s="454">
        <f>IF(OR(AR15=0,AR15=""),0,IF(VLOOKUP(B15,'Matriz de Referencia'!$B$2:$CO$584,70,FALSE)=0,0,"Digite"))</f>
        <v>0</v>
      </c>
      <c r="IH15" s="454">
        <f>IF(OR(AR15=0,AR15=""),0,IF(VLOOKUP(B15,'Matriz de Referencia'!$B$2:$CO$584,71,FALSE)=0,0,"Digite"))</f>
        <v>0</v>
      </c>
      <c r="II15" s="454">
        <f>IF(OR(AR15=0,AR15=""),0,IF(VLOOKUP(B15,'Matriz de Referencia'!$B$2:$CO$584,72,FALSE)=0,0,"Digite"))</f>
        <v>0</v>
      </c>
      <c r="IJ15" s="454">
        <f>IF(OR(AR15=0,AR15=""),0,IF(VLOOKUP(B15,'Matriz de Referencia'!$B$2:$CO$584,73,FALSE)=0,0,"Digite"))</f>
        <v>0</v>
      </c>
      <c r="IK15" s="454">
        <f>IF(OR(AR15=0,AR15=""),0,IF(VLOOKUP(B15,'Matriz de Referencia'!$B$2:$CO$584,74,FALSE)=0,0,"Digite"))</f>
        <v>0</v>
      </c>
      <c r="IL15" s="382">
        <f t="shared" si="50"/>
        <v>0</v>
      </c>
      <c r="IM15" s="454">
        <f>IF(OR(AR15=0,AR15=""),0,IF(VLOOKUP(B15,'Matriz de Referencia'!$B$2:$CO$584,76,FALSE)=0,0,"Digite"))</f>
        <v>0</v>
      </c>
      <c r="IN15" s="454">
        <f>IF(OR(AR15=0,AR15=""),0,IF(VLOOKUP(B15,'Matriz de Referencia'!$B$2:$CO$584,77,FALSE)=0,0,"Digite"))</f>
        <v>0</v>
      </c>
      <c r="IO15" s="454">
        <f>IF(OR(AR15=0,AR15=""),0,IF(VLOOKUP(B15,'Matriz de Referencia'!$B$2:$CO$584,78,FALSE)=0,0,"Digite"))</f>
        <v>0</v>
      </c>
      <c r="IP15" s="382">
        <f t="shared" si="51"/>
        <v>0</v>
      </c>
      <c r="IQ15" s="382">
        <f t="shared" si="52"/>
        <v>0</v>
      </c>
      <c r="IR15" s="453">
        <f>IF(OR(AS15=0,AS15=""),0,IF(VLOOKUP(B15,'Matriz de Referencia'!$B$2:$CO$584,67,FALSE)=0,0,"Digite"))</f>
        <v>0</v>
      </c>
      <c r="IS15" s="454">
        <f>IF(OR(AS15=0,AS15=""),0,IF(VLOOKUP(B15,'Matriz de Referencia'!$B$2:$CO$584,68,FALSE)=0,0,"Digite"))</f>
        <v>0</v>
      </c>
      <c r="IT15" s="454">
        <f>IF(OR(AS15=0,AS15=""),0,IF(VLOOKUP(B15,'Matriz de Referencia'!$B$2:$CO$584,69,FALSE)=0,0,"Digite"))</f>
        <v>0</v>
      </c>
      <c r="IU15" s="454">
        <f>IF(OR(AS15=0,AS15=""),0,IF(VLOOKUP(B15,'Matriz de Referencia'!$B$2:$CO$584,70,FALSE)=0,0,"Digite"))</f>
        <v>0</v>
      </c>
      <c r="IV15" s="454">
        <f>IF(OR(AS15=0,AS15=""),0,IF(VLOOKUP(B15,'Matriz de Referencia'!$B$2:$CO$584,71,FALSE)=0,0,"Digite"))</f>
        <v>0</v>
      </c>
      <c r="IW15" s="454">
        <f>IF(OR(AS15=0,AS15=""),0,IF(VLOOKUP(B15,'Matriz de Referencia'!$B$2:$CO$584,72,FALSE)=0,0,"Digite"))</f>
        <v>0</v>
      </c>
      <c r="IX15" s="454">
        <f>IF(OR(AS15=0,AS15=""),0,IF(VLOOKUP(B15,'Matriz de Referencia'!$B$2:$CO$584,73,FALSE)=0,0,"Digite"))</f>
        <v>0</v>
      </c>
      <c r="IY15" s="454">
        <f>IF(OR(AS15=0,AS15=""),0,IF(VLOOKUP(B15,'Matriz de Referencia'!$B$2:$CO$584,74,FALSE)=0,0,"Digite"))</f>
        <v>0</v>
      </c>
      <c r="IZ15" s="382">
        <f t="shared" si="53"/>
        <v>0</v>
      </c>
      <c r="JA15" s="454">
        <f>IF(OR(AS15=0,AS15=""),0,IF(VLOOKUP(B15,'Matriz de Referencia'!$B$2:$CO$584,76,FALSE)=0,0,"Digite"))</f>
        <v>0</v>
      </c>
      <c r="JB15" s="454">
        <f>IF(OR(AS15=0,AS15=""),0,IF(VLOOKUP(B15,'Matriz de Referencia'!$B$2:$CO$584,77,FALSE)=0,0,"Digite"))</f>
        <v>0</v>
      </c>
      <c r="JC15" s="454">
        <f>IF(OR(AS15=0,AS15=""),0,IF(VLOOKUP(B15,'Matriz de Referencia'!$B$2:$CO$584,78,FALSE)=0,0,"Digite"))</f>
        <v>0</v>
      </c>
      <c r="JD15" s="382">
        <f t="shared" si="54"/>
        <v>0</v>
      </c>
      <c r="JE15" s="382">
        <f t="shared" si="55"/>
        <v>0</v>
      </c>
      <c r="JF15" s="453">
        <f>IF(OR(AT15=0,AT15=""),0,IF(VLOOKUP(B15,'Matriz de Referencia'!$B$2:$CO$584,67,FALSE)=0,0,"Digite"))</f>
        <v>0</v>
      </c>
      <c r="JG15" s="454">
        <f>IF(OR(AT15=0,AT15=""),0,IF(VLOOKUP(B15,'Matriz de Referencia'!$B$2:$CO$584,68,FALSE)=0,0,"Digite"))</f>
        <v>0</v>
      </c>
      <c r="JH15" s="454">
        <f>IF(OR(AT15=0,AT15=""),0,IF(VLOOKUP(B15,'Matriz de Referencia'!$B$2:$CO$584,69,FALSE)=0,0,"Digite"))</f>
        <v>0</v>
      </c>
      <c r="JI15" s="454">
        <f>IF(OR(AT15=0,AT15=""),0,IF(VLOOKUP(B15,'Matriz de Referencia'!$B$2:$CO$584,70,FALSE)=0,0,"Digite"))</f>
        <v>0</v>
      </c>
      <c r="JJ15" s="454">
        <f>IF(OR(AT15=0,AT15=""),0,IF(VLOOKUP(B15,'Matriz de Referencia'!$B$2:$CO$584,71,FALSE)=0,0,"Digite"))</f>
        <v>0</v>
      </c>
      <c r="JK15" s="454">
        <f>IF(OR(AT15=0,AT15=""),0,IF(VLOOKUP(B15,'Matriz de Referencia'!$B$2:$CO$584,72,FALSE)=0,0,"Digite"))</f>
        <v>0</v>
      </c>
      <c r="JL15" s="454">
        <f>IF(OR(AT15=0,AT15=""),0,IF(VLOOKUP(B15,'Matriz de Referencia'!$B$2:$CO$584,73,FALSE)=0,0,"Digite"))</f>
        <v>0</v>
      </c>
      <c r="JM15" s="454">
        <f>IF(OR(AT15=0,AT15=""),0,IF(VLOOKUP(B15,'Matriz de Referencia'!$B$2:$CO$584,74,FALSE)=0,0,"Digite"))</f>
        <v>0</v>
      </c>
      <c r="JN15" s="382">
        <f t="shared" si="56"/>
        <v>0</v>
      </c>
      <c r="JO15" s="454">
        <f>IF(OR(AT15=0,AT15=""),0,IF(VLOOKUP(B15,'Matriz de Referencia'!$B$2:$CO$584,76,FALSE)=0,0,"Digite"))</f>
        <v>0</v>
      </c>
      <c r="JP15" s="454">
        <f>IF(OR(AT15=0,AT15=""),0,IF(VLOOKUP(B15,'Matriz de Referencia'!$B$2:$CO$584,77,FALSE)=0,0,"Digite"))</f>
        <v>0</v>
      </c>
      <c r="JQ15" s="454">
        <f>IF(OR(AT15=0,AT15=""),0,IF(VLOOKUP(B15,'Matriz de Referencia'!$B$2:$CO$584,78,FALSE)=0,0,"Digite"))</f>
        <v>0</v>
      </c>
      <c r="JR15" s="382">
        <f t="shared" si="57"/>
        <v>0</v>
      </c>
      <c r="JS15" s="382">
        <f t="shared" si="58"/>
        <v>0</v>
      </c>
      <c r="JT15" s="382">
        <f t="shared" si="59"/>
        <v>0</v>
      </c>
      <c r="JU15" s="101" t="str">
        <f>IFERROR(IF(JT15=0,"",IF(VLOOKUP(B15,'Matriz de Referencia'!$B$2:$CO$584,80,FALSE)=JT15,"Techos ok, cotinue","Debe revisar el valor programado")),"")</f>
        <v/>
      </c>
      <c r="JV15" s="382">
        <f t="shared" si="60"/>
        <v>0</v>
      </c>
    </row>
    <row r="16" spans="1:282">
      <c r="S16" s="568"/>
      <c r="T16" s="414"/>
      <c r="U16" s="661" t="str">
        <f t="shared" si="1"/>
        <v>Dimensión_</v>
      </c>
      <c r="V16" s="414"/>
      <c r="W16" s="568"/>
      <c r="X16" s="449" t="str">
        <f>IFERROR(IF(VLOOKUP(B16,'Matriz de Referencia'!$B$2:$CO$584,'Matriz de Referencia'!AM$1,FALSE)&gt;0,"Diligenciar la vigencia, tiene presupuesto programado","No diligenciar, no programo presupuesto"),"")</f>
        <v/>
      </c>
      <c r="Y16" s="649"/>
      <c r="Z16" s="649"/>
      <c r="AA16" s="649"/>
      <c r="AB16" s="649"/>
      <c r="AC16" s="650" t="str">
        <f t="shared" si="61"/>
        <v/>
      </c>
      <c r="AD16" s="449" t="str">
        <f>IFERROR(IF(VLOOKUP($B16,'Matriz de Referencia'!$B$2:$CO$584,'Matriz de Referencia'!BA$1,FALSE)&gt;0,"Diligenciar la vigencia, tiene presupuesto programado","No diligenciar, no programo presupuesto"),"")</f>
        <v/>
      </c>
      <c r="AE16" s="649"/>
      <c r="AF16" s="649"/>
      <c r="AG16" s="649"/>
      <c r="AH16" s="649"/>
      <c r="AI16" s="650" t="str">
        <f t="shared" si="3"/>
        <v/>
      </c>
      <c r="AJ16" s="449" t="str">
        <f>IFERROR(IF(VLOOKUP($B16,'Matriz de Referencia'!$B$2:$CO$584,'Matriz de Referencia'!BO$1,FALSE)&gt;0,"Diligenciar la vigencia, tiene presupuesto programado","No diligenciar, no programo presupuesto"),"")</f>
        <v/>
      </c>
      <c r="AK16" s="649"/>
      <c r="AL16" s="649"/>
      <c r="AM16" s="649"/>
      <c r="AN16" s="649"/>
      <c r="AO16" s="650" t="str">
        <f t="shared" si="4"/>
        <v/>
      </c>
      <c r="AP16" s="449" t="str">
        <f>IFERROR(IF(VLOOKUP($B16,'Matriz de Referencia'!$B$2:$CO$584,'Matriz de Referencia'!CC$1,FALSE)&gt;0,"Diligenciar la vigencia, tiene presupuesto programado","No diligenciar, no programo presupuesto"),"")</f>
        <v/>
      </c>
      <c r="AQ16" s="649"/>
      <c r="AR16" s="649"/>
      <c r="AS16" s="649"/>
      <c r="AT16" s="649"/>
      <c r="AU16" s="650" t="str">
        <f t="shared" si="5"/>
        <v/>
      </c>
      <c r="AV16" s="448" t="str">
        <f t="shared" si="6"/>
        <v/>
      </c>
      <c r="AW16" s="416" t="str">
        <f t="shared" si="7"/>
        <v/>
      </c>
      <c r="AX16" s="455" t="str">
        <f>IF(OR(Y16=0,Y16=""),"",IF(VLOOKUP(B16,'Matriz de Referencia'!$B$2:$CO$584,'Matriz de Referencia'!BB$1,FALSE)=0,"","Digite"))</f>
        <v/>
      </c>
      <c r="AY16" s="456">
        <f>IF(OR(Y16=0,Y16=""),0,IF(VLOOKUP(B16,'Matriz de Referencia'!$B$2:$CO$584,26,FALSE)=0,0,"Digite"))</f>
        <v>0</v>
      </c>
      <c r="AZ16" s="456">
        <f>IF(OR(Y16=0,Y16=""),0,IF(VLOOKUP(B16,'Matriz de Referencia'!$B$2:$CO$584,27,FALSE)=0,0,"Digite"))</f>
        <v>0</v>
      </c>
      <c r="BA16" s="456">
        <f>IF(OR(Y16=0,Y16=""),0,IF(VLOOKUP(B16,'Matriz de Referencia'!$B$2:$CO$584,28,FALSE)=0,0,"Digite"))</f>
        <v>0</v>
      </c>
      <c r="BB16" s="456">
        <f>IF(OR(Y16=0,Y16=""),0,IF(VLOOKUP(B16,'Matriz de Referencia'!$B$2:$CO$584,29,FALSE)=0,0,"Digite"))</f>
        <v>0</v>
      </c>
      <c r="BC16" s="456">
        <f>IF(OR(Y16=0,Y16=""),0,IF(VLOOKUP(B16,'Matriz de Referencia'!$B$2:$CO$584,30,FALSE)=0,0,"Digite"))</f>
        <v>0</v>
      </c>
      <c r="BD16" s="456">
        <f>IF(OR(Y16=0,Y16=""),0,IF(VLOOKUP(B16,'Matriz de Referencia'!$B$2:$CO$584,31,FALSE)=0,0,"Digite"))</f>
        <v>0</v>
      </c>
      <c r="BE16" s="456">
        <f>IF(OR(Y16=0,Y16=""),0,IF(VLOOKUP(B16,'Matriz de Referencia'!$B$2:$CO$584,32,FALSE)=0,0,"Digite"))</f>
        <v>0</v>
      </c>
      <c r="BF16" s="460">
        <f t="shared" si="8"/>
        <v>0</v>
      </c>
      <c r="BG16" s="456">
        <f>IF(OR(Y16=0,Y16=""),0,IF(VLOOKUP(B16,'Matriz de Referencia'!$B$2:$CO$584,34,FALSE)=0,0,"Digite"))</f>
        <v>0</v>
      </c>
      <c r="BH16" s="456">
        <f>IF(OR(Y16=0,Y16=""),0,IF(VLOOKUP(B16,'Matriz de Referencia'!$B$2:$CO$584,35,FALSE)=0,0,"Digite"))</f>
        <v>0</v>
      </c>
      <c r="BI16" s="456">
        <f>IF(OR(Y16=0,Y16=""),0,IF(VLOOKUP(B16,'Matriz de Referencia'!$B$2:$CO$584,36,FALSE)=0,0,"Digite"))</f>
        <v>0</v>
      </c>
      <c r="BJ16" s="457">
        <f t="shared" si="9"/>
        <v>0</v>
      </c>
      <c r="BK16" s="457">
        <f t="shared" si="10"/>
        <v>0</v>
      </c>
      <c r="BL16" s="455">
        <f>IF(OR(Z16=0,Z16=""),0,IF(VLOOKUP(B16,'Matriz de Referencia'!$B$2:$CO$584,25,FALSE)=0,0,"Digite"))</f>
        <v>0</v>
      </c>
      <c r="BM16" s="456">
        <f>IF(OR(Z16=0,Z16=""),0,IF(VLOOKUP(B16,'Matriz de Referencia'!$B$2:$CO$584,26,FALSE)=0,0,"Digite"))</f>
        <v>0</v>
      </c>
      <c r="BN16" s="456">
        <f>IF(OR(Z16=0,Z16=""),0,IF(VLOOKUP(B16,'Matriz de Referencia'!$B$2:$CO$584,27,FALSE)=0,0,"Digite"))</f>
        <v>0</v>
      </c>
      <c r="BO16" s="456">
        <f>IF(OR(Z16=0,Z16=""),0,IF(VLOOKUP(B16,'Matriz de Referencia'!$B$2:$CO$584,28,FALSE)=0,0,"Digite"))</f>
        <v>0</v>
      </c>
      <c r="BP16" s="456">
        <f>IF(OR(Z16=0,Z16=""),0,IF(VLOOKUP(B16,'Matriz de Referencia'!$B$2:$CO$584,29,FALSE)=0,0,"Digite"))</f>
        <v>0</v>
      </c>
      <c r="BQ16" s="456">
        <f>IF(OR(Z16=0,Z16=""),0,IF(VLOOKUP(B16,'Matriz de Referencia'!$B$2:$CO$584,30,FALSE)=0,0,"Digite"))</f>
        <v>0</v>
      </c>
      <c r="BR16" s="456">
        <f>IF(OR(Z16=0,Z16=""),0,IF(VLOOKUP(B16,'Matriz de Referencia'!$B$2:$CO$584,31,FALSE)=0,0,"Digite"))</f>
        <v>0</v>
      </c>
      <c r="BS16" s="456">
        <f>IF(OR(Z16=0,Z16=""),0,IF(VLOOKUP(B16,'Matriz de Referencia'!$B$2:$CO$584,32,FALSE)=0,0,"Digite"))</f>
        <v>0</v>
      </c>
      <c r="BT16" s="457">
        <f t="shared" si="11"/>
        <v>0</v>
      </c>
      <c r="BU16" s="456">
        <f>IF(OR(Z16=0,Z16=""),0,IF(VLOOKUP(B16,'Matriz de Referencia'!$B$2:$CO$584,34,FALSE)=0,0,"Digite"))</f>
        <v>0</v>
      </c>
      <c r="BV16" s="456">
        <f>IF(OR(Z16=0,Z16=""),0,IF(VLOOKUP(B16,'Matriz de Referencia'!$B$2:$CO$584,35,FALSE)=0,0,"Digite"))</f>
        <v>0</v>
      </c>
      <c r="BW16" s="456">
        <f>IF(OR(Z16=0,Z16=""),0,IF(VLOOKUP(B16,'Matriz de Referencia'!$B$2:$CO$584,36,FALSE)=0,0,"Digite"))</f>
        <v>0</v>
      </c>
      <c r="BX16" s="457">
        <f t="shared" si="12"/>
        <v>0</v>
      </c>
      <c r="BY16" s="457">
        <f t="shared" si="13"/>
        <v>0</v>
      </c>
      <c r="BZ16" s="455">
        <f>IF(OR(AA16=0,AA16=""),0,IF(VLOOKUP(B16,'Matriz de Referencia'!$B$2:$CO$584,25,FALSE)=0,0,"Digite"))</f>
        <v>0</v>
      </c>
      <c r="CA16" s="456">
        <f>IF(OR(AA16=0,AA16=""),0,IF(VLOOKUP(B16,'Matriz de Referencia'!$B$2:$CO$584,26,FALSE)=0,0,"Digite"))</f>
        <v>0</v>
      </c>
      <c r="CB16" s="456">
        <f>IF(OR(AA16=0,AA16=""),0,IF(VLOOKUP(B16,'Matriz de Referencia'!$B$2:$CO$584,27,FALSE)=0,0,"Digite"))</f>
        <v>0</v>
      </c>
      <c r="CC16" s="456">
        <f>IF(OR(AA16=0,AA16=""),0,IF(VLOOKUP(B16,'Matriz de Referencia'!$B$2:$CO$584,28,FALSE)=0,0,"Digite"))</f>
        <v>0</v>
      </c>
      <c r="CD16" s="456">
        <f>IF(OR(AA16=0,AA16=""),0,IF(VLOOKUP(B16,'Matriz de Referencia'!$B$2:$CO$584,29,FALSE)=0,0,"Digite"))</f>
        <v>0</v>
      </c>
      <c r="CE16" s="456">
        <f>IF(OR(AA16=0,AA16=""),0,IF(VLOOKUP(B16,'Matriz de Referencia'!$B$2:$CO$584,30,FALSE)=0,0,"Digite"))</f>
        <v>0</v>
      </c>
      <c r="CF16" s="456">
        <f>IF(OR(AA16=0,AA16=""),0,IF(VLOOKUP(B16,'Matriz de Referencia'!$B$2:$CO$584,31,FALSE)=0,0,"Digite"))</f>
        <v>0</v>
      </c>
      <c r="CG16" s="456">
        <f>IF(OR(AA16=0,AA16=""),0,IF(VLOOKUP(B16,'Matriz de Referencia'!$B$2:$CO$584,32,FALSE)=0,0,"Digite"))</f>
        <v>0</v>
      </c>
      <c r="CH16" s="457">
        <f t="shared" si="14"/>
        <v>0</v>
      </c>
      <c r="CI16" s="456">
        <f>IF(OR(AA16=0,AA16=""),0,IF(VLOOKUP(B16,'Matriz de Referencia'!$B$2:$CO$584,34,FALSE)=0,0,"Digite"))</f>
        <v>0</v>
      </c>
      <c r="CJ16" s="456">
        <f>IF(OR(AA16=0,AA16=""),0,IF(VLOOKUP(B16,'Matriz de Referencia'!$B$2:$CO$584,35,FALSE)=0,0,"Digite"))</f>
        <v>0</v>
      </c>
      <c r="CK16" s="456">
        <f>IF(OR(AA16=0,AA16=""),0,IF(VLOOKUP(B16,'Matriz de Referencia'!$B$2:$CO$584,36,FALSE)=0,0,"Digite"))</f>
        <v>0</v>
      </c>
      <c r="CL16" s="457">
        <f t="shared" si="15"/>
        <v>0</v>
      </c>
      <c r="CM16" s="457">
        <f t="shared" si="16"/>
        <v>0</v>
      </c>
      <c r="CN16" s="455">
        <f>IF(OR(AB16=0,AB16=""),0,IF(VLOOKUP(B16,'Matriz de Referencia'!$B$2:$CO$584,25,FALSE)=0,0,"Digite"))</f>
        <v>0</v>
      </c>
      <c r="CO16" s="456">
        <f>IF(OR(AB16=0,AB16=""),0,IF(VLOOKUP(B16,'Matriz de Referencia'!$B$2:$CO$584,26,FALSE)=0,0,"Digite"))</f>
        <v>0</v>
      </c>
      <c r="CP16" s="456">
        <f>IF(OR(AB16=0,AB16=""),0,IF(VLOOKUP(B16,'Matriz de Referencia'!$B$2:$CO$584,27,FALSE)=0,0,"Digite"))</f>
        <v>0</v>
      </c>
      <c r="CQ16" s="456">
        <f>IF(OR(AB16=0,AB16=""),0,IF(VLOOKUP(B16,'Matriz de Referencia'!$B$2:$CO$584,28,FALSE)=0,0,"Digite"))</f>
        <v>0</v>
      </c>
      <c r="CR16" s="456">
        <f>IF(OR(AB16=0,AB16=""),0,IF(VLOOKUP(B16,'Matriz de Referencia'!$B$2:$CO$584,29,FALSE)=0,0,"Digite"))</f>
        <v>0</v>
      </c>
      <c r="CS16" s="456">
        <f>IF(OR(AB16=0,AB16=""),0,IF(VLOOKUP(B16,'Matriz de Referencia'!$B$2:$CO$584,30,FALSE)=0,0,"Digite"))</f>
        <v>0</v>
      </c>
      <c r="CT16" s="456">
        <f>IF(OR(AB16=0,AB16=""),0,IF(VLOOKUP(B16,'Matriz de Referencia'!$B$2:$CO$584,31,FALSE)=0,0,"Digite"))</f>
        <v>0</v>
      </c>
      <c r="CU16" s="456">
        <f>IF(OR(AB16=0,AB16=""),0,IF(VLOOKUP(B16,'Matriz de Referencia'!$B$2:$CO$584,32,FALSE)=0,0,"Digite"))</f>
        <v>0</v>
      </c>
      <c r="CV16" s="457">
        <f t="shared" si="17"/>
        <v>0</v>
      </c>
      <c r="CW16" s="456">
        <f>IF(OR(AB16=0,AB16=""),0,IF(VLOOKUP(B16,'Matriz de Referencia'!$B$2:$CO$584,34,FALSE)=0,0,"Digite"))</f>
        <v>0</v>
      </c>
      <c r="CX16" s="456">
        <f>IF(OR(AB16=0,AB16=""),0,IF(VLOOKUP(B16,'Matriz de Referencia'!$B$2:$CO$584,35,FALSE)=0,0,"Digite"))</f>
        <v>0</v>
      </c>
      <c r="CY16" s="456">
        <f>IF(OR(AB16=0,AB16=""),0,IF(VLOOKUP(B16,'Matriz de Referencia'!$B$2:$CO$584,36,FALSE)=0,0,"Digite"))</f>
        <v>0</v>
      </c>
      <c r="CZ16" s="457">
        <f t="shared" si="18"/>
        <v>0</v>
      </c>
      <c r="DA16" s="457">
        <f t="shared" si="19"/>
        <v>0</v>
      </c>
      <c r="DB16" s="457">
        <f t="shared" si="20"/>
        <v>0</v>
      </c>
      <c r="DC16" s="101" t="str">
        <f>IFERROR(IF(DB16=0,"",IF(VLOOKUP(B16,'Matriz de Referencia'!$B$2:$CO$584,'Matriz de Referencia'!BO$1,FALSE)=DB16,"Techos ok, cotinue","Debe revisar el valor programado")),"")</f>
        <v/>
      </c>
      <c r="DD16" s="453">
        <f>IF(OR(AE16=0,AE16=""),0,IF(VLOOKUP(B16,'Matriz de Referencia'!$B$2:$CO$584,39,FALSE)=0,0,"Digite"))</f>
        <v>0</v>
      </c>
      <c r="DE16" s="454">
        <f>IF(OR(AE16=0,AE16=""),0,IF(VLOOKUP(B16,'Matriz de Referencia'!$B$2:$CO$584,40,FALSE)=0,0,"Digite"))</f>
        <v>0</v>
      </c>
      <c r="DF16" s="454">
        <f>IF(OR(AE16=0,AE16=""),0,IF(VLOOKUP(B16,'Matriz de Referencia'!$B$2:$CO$584,41,FALSE)=0,0,"Digite"))</f>
        <v>0</v>
      </c>
      <c r="DG16" s="454">
        <f>IF(OR(AE16=0,AE16=""),0,IF(VLOOKUP(B16,'Matriz de Referencia'!$B$2:$CO$584,42,FALSE)=0,0,"Digite"))</f>
        <v>0</v>
      </c>
      <c r="DH16" s="454">
        <f>IF(OR(AE16=0,AE16=""),0,IF(VLOOKUP(B16,'Matriz de Referencia'!$B$2:$CO$584,43,FALSE)=0,0,"Digite"))</f>
        <v>0</v>
      </c>
      <c r="DI16" s="454">
        <f>IF(OR(AE16=0,AE16=""),0,IF(VLOOKUP(B16,'Matriz de Referencia'!$B$2:$CO$584,44,FALSE)=0,0,"Digite"))</f>
        <v>0</v>
      </c>
      <c r="DJ16" s="454">
        <f>IF(OR(AE16=0,AE16=""),0,IF(VLOOKUP(B16,'Matriz de Referencia'!$B$2:$CO$584,45,FALSE)=0,0,"Digite"))</f>
        <v>0</v>
      </c>
      <c r="DK16" s="454">
        <f>IF(OR(AE16=0,AE16=""),0,IF(VLOOKUP(B16,'Matriz de Referencia'!$B$2:$CO$584,46,FALSE)=0,0,"Digite"))</f>
        <v>0</v>
      </c>
      <c r="DL16" s="382">
        <f t="shared" si="21"/>
        <v>0</v>
      </c>
      <c r="DM16" s="454">
        <f>IF(OR(AE16=0,AE16=""),0,IF(VLOOKUP(B16,'Matriz de Referencia'!$B$2:$CO$584,48,FALSE)=0,0,"Digite"))</f>
        <v>0</v>
      </c>
      <c r="DN16" s="454">
        <f>IF(OR(AE16=0,AE16=""),0,IF(VLOOKUP(B16,'Matriz de Referencia'!$B$2:$CO$584,49,FALSE)=0,0,"Digite"))</f>
        <v>0</v>
      </c>
      <c r="DO16" s="454">
        <f>IF(OR(AE16=0,AE16=""),0,IF(VLOOKUP(B16,'Matriz de Referencia'!$B$2:$CO$584,50,FALSE)=0,0,"Digite"))</f>
        <v>0</v>
      </c>
      <c r="DP16" s="382">
        <f t="shared" si="22"/>
        <v>0</v>
      </c>
      <c r="DQ16" s="382">
        <f t="shared" si="23"/>
        <v>0</v>
      </c>
      <c r="DR16" s="453">
        <f>IF(OR(AF16=0,AF16=""),0,IF(VLOOKUP(B16,'Matriz de Referencia'!$B$2:$CO$584,39,FALSE)=0,0,"Digite"))</f>
        <v>0</v>
      </c>
      <c r="DS16" s="454">
        <f>IF(OR(AF16=0,AF16=""),0,IF(VLOOKUP(B16,'Matriz de Referencia'!$B$2:$CO$584,40,FALSE)=0,0,"Digite"))</f>
        <v>0</v>
      </c>
      <c r="DT16" s="454">
        <f>IF(OR(AF16=0,AF16=""),0,IF(VLOOKUP(B16,'Matriz de Referencia'!$B$2:$CO$584,41,FALSE)=0,0,"Digite"))</f>
        <v>0</v>
      </c>
      <c r="DU16" s="454">
        <f>IF(OR(AF16=0,AF16=""),0,IF(VLOOKUP(B16,'Matriz de Referencia'!$B$2:$CO$584,42,FALSE)=0,0,"Digite"))</f>
        <v>0</v>
      </c>
      <c r="DV16" s="454">
        <f>IF(OR(AF16=0,AF16=""),0,IF(VLOOKUP(B16,'Matriz de Referencia'!$B$2:$CO$584,43,FALSE)=0,0,"Digite"))</f>
        <v>0</v>
      </c>
      <c r="DW16" s="454">
        <f>IF(OR(AF16=0,AF16=""),0,IF(VLOOKUP(B16,'Matriz de Referencia'!$B$2:$CO$584,44,FALSE)=0,0,"Digite"))</f>
        <v>0</v>
      </c>
      <c r="DX16" s="454">
        <f>IF(OR(AF16=0,AF16=""),0,IF(VLOOKUP(B16,'Matriz de Referencia'!$B$2:$CO$584,45,FALSE)=0,0,"Digite"))</f>
        <v>0</v>
      </c>
      <c r="DY16" s="454">
        <f>IF(OR(AF16=0,AF16=""),0,IF(VLOOKUP(B16,'Matriz de Referencia'!$B$2:$CO$584,46,FALSE)=0,0,"Digite"))</f>
        <v>0</v>
      </c>
      <c r="DZ16" s="382">
        <f t="shared" si="24"/>
        <v>0</v>
      </c>
      <c r="EA16" s="454">
        <f>IF(OR(AF16=0,AF16=""),0,IF(VLOOKUP(B16,'Matriz de Referencia'!$B$2:$CO$584,48,FALSE)=0,0,"Digite"))</f>
        <v>0</v>
      </c>
      <c r="EB16" s="454">
        <f>IF(OR(AF16=0,AF16=""),0,IF(VLOOKUP(B16,'Matriz de Referencia'!$B$2:$CO$584,49,FALSE)=0,0,"Digite"))</f>
        <v>0</v>
      </c>
      <c r="EC16" s="454">
        <f>IF(OR(AF16=0,AF16=""),0,IF(VLOOKUP(B16,'Matriz de Referencia'!$B$2:$CO$584,50,FALSE)=0,0,"Digite"))</f>
        <v>0</v>
      </c>
      <c r="ED16" s="382">
        <f t="shared" si="25"/>
        <v>0</v>
      </c>
      <c r="EE16" s="382">
        <f t="shared" si="26"/>
        <v>0</v>
      </c>
      <c r="EF16" s="453">
        <f>IF(OR(AG16=0,AG16=""),0,IF(VLOOKUP(B16,'Matriz de Referencia'!$B$2:$CO$584,39,FALSE)=0,0,"Digite"))</f>
        <v>0</v>
      </c>
      <c r="EG16" s="454">
        <f>IF(OR(AG16=0,AG16=""),0,IF(VLOOKUP(B16,'Matriz de Referencia'!$B$2:$CO$584,40,FALSE)=0,0,"Digite"))</f>
        <v>0</v>
      </c>
      <c r="EH16" s="454">
        <f>IF(OR(AG16=0,AG16=""),0,IF(VLOOKUP(B16,'Matriz de Referencia'!$B$2:$CO$584,41,FALSE)=0,0,"Digite"))</f>
        <v>0</v>
      </c>
      <c r="EI16" s="454">
        <f>IF(OR(AG16=0,AG16=""),0,IF(VLOOKUP(B16,'Matriz de Referencia'!$B$2:$CO$584,42,FALSE)=0,0,"Digite"))</f>
        <v>0</v>
      </c>
      <c r="EJ16" s="454">
        <f>IF(OR(AG16=0,AG16=""),0,IF(VLOOKUP(B16,'Matriz de Referencia'!$B$2:$CO$584,43,FALSE)=0,0,"Digite"))</f>
        <v>0</v>
      </c>
      <c r="EK16" s="454">
        <f>IF(OR(AG16=0,AG16=""),0,IF(VLOOKUP(B16,'Matriz de Referencia'!$B$2:$CO$584,44,FALSE)=0,0,"Digite"))</f>
        <v>0</v>
      </c>
      <c r="EL16" s="454">
        <f>IF(OR(AG16=0,AG16=""),0,IF(VLOOKUP(B16,'Matriz de Referencia'!$B$2:$CO$584,45,FALSE)=0,0,"Digite"))</f>
        <v>0</v>
      </c>
      <c r="EM16" s="454">
        <f>IF(OR(AG16=0,AG16=""),0,IF(VLOOKUP(B16,'Matriz de Referencia'!$B$2:$CO$584,46,FALSE)=0,0,"Digite"))</f>
        <v>0</v>
      </c>
      <c r="EN16" s="382">
        <f t="shared" si="27"/>
        <v>0</v>
      </c>
      <c r="EO16" s="454">
        <f>IF(OR(AG16=0,AG16=""),0,IF(VLOOKUP(B16,'Matriz de Referencia'!$B$2:$CO$584,48,FALSE)=0,0,"Digite"))</f>
        <v>0</v>
      </c>
      <c r="EP16" s="454">
        <f>IF(OR(AG16=0,AG16=""),0,IF(VLOOKUP(B16,'Matriz de Referencia'!$B$2:$CO$584,49,FALSE)=0,0,"Digite"))</f>
        <v>0</v>
      </c>
      <c r="EQ16" s="454">
        <f>IF(OR(AG16=0,AG16=""),0,IF(VLOOKUP(B16,'Matriz de Referencia'!$B$2:$CO$584,50,FALSE)=0,0,"Digite"))</f>
        <v>0</v>
      </c>
      <c r="ER16" s="382">
        <f t="shared" si="28"/>
        <v>0</v>
      </c>
      <c r="ES16" s="382">
        <f t="shared" si="29"/>
        <v>0</v>
      </c>
      <c r="ET16" s="453">
        <f>IF(OR(AH16=0,AH16=""),0,IF(VLOOKUP(B16,'Matriz de Referencia'!$B$2:$CO$584,39,FALSE)=0,0,"Digite"))</f>
        <v>0</v>
      </c>
      <c r="EU16" s="454">
        <f>IF(OR(AH16=0,AH16=""),0,IF(VLOOKUP(B16,'Matriz de Referencia'!$B$2:$CO$584,40,FALSE)=0,0,"Digite"))</f>
        <v>0</v>
      </c>
      <c r="EV16" s="454">
        <f>IF(OR(AH16=0,AH16=""),0,IF(VLOOKUP(B16,'Matriz de Referencia'!$B$2:$CO$584,41,FALSE)=0,0,"Digite"))</f>
        <v>0</v>
      </c>
      <c r="EW16" s="454">
        <f>IF(OR(AH16=0,AH16=""),0,IF(VLOOKUP(B16,'Matriz de Referencia'!$B$2:$CO$584,42,FALSE)=0,0,"Digite"))</f>
        <v>0</v>
      </c>
      <c r="EX16" s="454">
        <f>IF(OR(AH16=0,AH16=""),0,IF(VLOOKUP(B16,'Matriz de Referencia'!$B$2:$CO$584,43,FALSE)=0,0,"Digite"))</f>
        <v>0</v>
      </c>
      <c r="EY16" s="454">
        <f>IF(OR(AH16=0,AH16=""),0,IF(VLOOKUP(B16,'Matriz de Referencia'!$B$2:$CO$584,44,FALSE)=0,0,"Digite"))</f>
        <v>0</v>
      </c>
      <c r="EZ16" s="454">
        <f>IF(OR(AH16=0,AH16=""),0,IF(VLOOKUP(B16,'Matriz de Referencia'!$B$2:$CO$584,45,FALSE)=0,0,"Digite"))</f>
        <v>0</v>
      </c>
      <c r="FA16" s="454">
        <f>IF(OR(AH16=0,AH16=""),0,IF(VLOOKUP(B16,'Matriz de Referencia'!$B$2:$CO$584,46,FALSE)=0,0,"Digite"))</f>
        <v>0</v>
      </c>
      <c r="FB16" s="382">
        <f t="shared" si="30"/>
        <v>0</v>
      </c>
      <c r="FC16" s="454">
        <f>IF(OR(AH16=0,AH16=""),0,IF(VLOOKUP(B16,'Matriz de Referencia'!$B$2:$CO$584,48,FALSE)=0,0,"Digite"))</f>
        <v>0</v>
      </c>
      <c r="FD16" s="454">
        <f>IF(OR(AH16=0,AH16=""),0,IF(VLOOKUP(B16,'Matriz de Referencia'!$B$2:$CO$584,49,FALSE)=0,0,"Digite"))</f>
        <v>0</v>
      </c>
      <c r="FE16" s="454">
        <f>IF(OR(AH16=0,AH16=""),0,IF(VLOOKUP(B16,'Matriz de Referencia'!$B$2:$CO$584,50,FALSE)=0,0,"Digite"))</f>
        <v>0</v>
      </c>
      <c r="FF16" s="382">
        <f t="shared" si="31"/>
        <v>0</v>
      </c>
      <c r="FG16" s="382">
        <f t="shared" si="32"/>
        <v>0</v>
      </c>
      <c r="FH16" s="382">
        <f t="shared" si="33"/>
        <v>0</v>
      </c>
      <c r="FI16" s="101" t="str">
        <f>IFERROR(IF(FH16=0,"",IF(VLOOKUP(B16,'Matriz de Referencia'!$B$2:$CO$584,52,FALSE)=FH16,"Techos ok, cotinue","Debe revisar el valor programado")),"")</f>
        <v/>
      </c>
      <c r="FJ16" s="453">
        <f>IF(OR(AK16=0,AK16=""),0,IF(VLOOKUP(B16,'Matriz de Referencia'!$B$2:$CO$584,53,FALSE)=0,0,"Digite"))</f>
        <v>0</v>
      </c>
      <c r="FK16" s="454">
        <f>IF(OR(AK16=0,AK16=""),0,IF(VLOOKUP(B16,'Matriz de Referencia'!$B$2:$CO$584,54,FALSE)=0,0,"Digite"))</f>
        <v>0</v>
      </c>
      <c r="FL16" s="454">
        <f>IF(OR(AK16=0,AK16=""),0,IF(VLOOKUP(B16,'Matriz de Referencia'!$B$2:$CO$584,55,FALSE)=0,0,"Digite"))</f>
        <v>0</v>
      </c>
      <c r="FM16" s="454">
        <f>IF(OR(AK16=0,AK16=""),0,IF(VLOOKUP(B16,'Matriz de Referencia'!$B$2:$CO$584,56,FALSE)=0,0,"Digite"))</f>
        <v>0</v>
      </c>
      <c r="FN16" s="454">
        <f>IF(OR(AK16=0,AK16=""),0,IF(VLOOKUP(B16,'Matriz de Referencia'!$B$2:$CO$584,57,FALSE)=0,0,"Digite"))</f>
        <v>0</v>
      </c>
      <c r="FO16" s="454">
        <f>IF(OR(AK16=0,AK16=""),0,IF(VLOOKUP(B16,'Matriz de Referencia'!$B$2:$CO$584,58,FALSE)=0,0,"Digite"))</f>
        <v>0</v>
      </c>
      <c r="FP16" s="454">
        <f>IF(OR(AK16=0,AK16=""),0,IF(VLOOKUP(B16,'Matriz de Referencia'!$B$2:$CO$584,59,FALSE)=0,0,"Digite"))</f>
        <v>0</v>
      </c>
      <c r="FQ16" s="454">
        <f>IF(OR(AK16=0,AK16=""),0,IF(VLOOKUP(B16,'Matriz de Referencia'!$B$2:$CO$584,60,FALSE)=0,0,"Digite"))</f>
        <v>0</v>
      </c>
      <c r="FR16" s="382">
        <f t="shared" si="34"/>
        <v>0</v>
      </c>
      <c r="FS16" s="454">
        <f>IF(OR(AK16=0,AK16=""),0,IF(VLOOKUP(B16,'Matriz de Referencia'!$B$2:$CO$584,62,FALSE)=0,0,"Digite"))</f>
        <v>0</v>
      </c>
      <c r="FT16" s="454">
        <f>IF(OR(AK16=0,AK16=""),0,IF(VLOOKUP(B16,'Matriz de Referencia'!$B$2:$CO$584,63,FALSE)=0,0,"Digite"))</f>
        <v>0</v>
      </c>
      <c r="FU16" s="454">
        <f>IF(OR(AK16=0,AK16=""),0,IF(VLOOKUP(B16,'Matriz de Referencia'!$B$2:$CO$584,64,FALSE)=0,"","Digite"))</f>
        <v>0</v>
      </c>
      <c r="FV16" s="382">
        <f t="shared" si="35"/>
        <v>0</v>
      </c>
      <c r="FW16" s="382">
        <f t="shared" si="36"/>
        <v>0</v>
      </c>
      <c r="FX16" s="453">
        <f>IF(OR(AL16=0,AL16=""),0,IF(VLOOKUP(B16,'Matriz de Referencia'!$B$2:$CO$584,53,FALSE)=0,0,"Digite"))</f>
        <v>0</v>
      </c>
      <c r="FY16" s="454">
        <f>IF(OR(AL16=0,AL16=""),0,IF(VLOOKUP(B16,'Matriz de Referencia'!$B$2:$CO$584,54,FALSE)=0,0,"Digite"))</f>
        <v>0</v>
      </c>
      <c r="FZ16" s="454">
        <f>IF(OR(AL16=0,AL16=""),0,IF(VLOOKUP(B16,'Matriz de Referencia'!$B$2:$CO$584,55,FALSE)=0,0,"Digite"))</f>
        <v>0</v>
      </c>
      <c r="GA16" s="454">
        <f>IF(OR(AL16=0,AL16=""),0,IF(VLOOKUP(B16,'Matriz de Referencia'!$B$2:$CO$584,56,FALSE)=0,0,"Digite"))</f>
        <v>0</v>
      </c>
      <c r="GB16" s="454">
        <f>IF(OR(AL16=0,AL16=""),0,IF(VLOOKUP(B16,'Matriz de Referencia'!$B$2:$CO$584,57,FALSE)=0,0,"Digite"))</f>
        <v>0</v>
      </c>
      <c r="GC16" s="454">
        <f>IF(OR(AL16=0,AL16=""),0,IF(VLOOKUP(B16,'Matriz de Referencia'!$B$2:$CO$584,58,FALSE)=0,0,"Digite"))</f>
        <v>0</v>
      </c>
      <c r="GD16" s="454">
        <f>IF(OR(AL16=0,AL16=""),0,IF(VLOOKUP(B16,'Matriz de Referencia'!$B$2:$CO$584,59,FALSE)=0,0,"Digite"))</f>
        <v>0</v>
      </c>
      <c r="GE16" s="454">
        <f>IF(OR(AL16=0,AL16=""),0,IF(VLOOKUP(B16,'Matriz de Referencia'!$B$2:$CO$584,60,FALSE)=0,0,"Digite"))</f>
        <v>0</v>
      </c>
      <c r="GF16" s="382">
        <f t="shared" si="37"/>
        <v>0</v>
      </c>
      <c r="GG16" s="454">
        <f>IF(OR(AL16=0,AL16=""),0,IF(VLOOKUP(B16,'Matriz de Referencia'!$B$2:$CO$584,62,FALSE)=0,0,"Digite"))</f>
        <v>0</v>
      </c>
      <c r="GH16" s="454">
        <f>IF(OR(AL16=0,AL16=""),0,IF(VLOOKUP(B16,'Matriz de Referencia'!$B$2:$CO$584,63,FALSE)=0,0,"Digite"))</f>
        <v>0</v>
      </c>
      <c r="GI16" s="454">
        <f>IF(OR(AL16=0,AL16=""),0,IF(VLOOKUP(B16,'Matriz de Referencia'!$B$2:$CO$584,64,FALSE)=0,0,"Digite"))</f>
        <v>0</v>
      </c>
      <c r="GJ16" s="382">
        <f t="shared" si="38"/>
        <v>0</v>
      </c>
      <c r="GK16" s="382">
        <f t="shared" si="39"/>
        <v>0</v>
      </c>
      <c r="GL16" s="453">
        <f>IF(OR(AM16=0,AM16=""),0,IF(VLOOKUP(B16,'Matriz de Referencia'!$B$2:$CO$584,53,FALSE)=0,0,"Digite"))</f>
        <v>0</v>
      </c>
      <c r="GM16" s="454">
        <f>IF(OR(AM16=0,AM16=""),0,IF(VLOOKUP(B16,'Matriz de Referencia'!$B$2:$CO$584,54,FALSE)=0,0,"Digite"))</f>
        <v>0</v>
      </c>
      <c r="GN16" s="454">
        <f>IF(OR(AM16=0,AM16=""),0,IF(VLOOKUP(B16,'Matriz de Referencia'!$B$2:$CO$584,55,FALSE)=0,0,"Digite"))</f>
        <v>0</v>
      </c>
      <c r="GO16" s="454">
        <f>IF(OR(AM16=0,AM16=""),0,IF(VLOOKUP(B16,'Matriz de Referencia'!$B$2:$CO$584,56,FALSE)=0,0,"Digite"))</f>
        <v>0</v>
      </c>
      <c r="GP16" s="454">
        <f>IF(OR(AM16=0,AM16=""),0,IF(VLOOKUP(B16,'Matriz de Referencia'!$B$2:$CO$584,57,FALSE)=0,0,"Digite"))</f>
        <v>0</v>
      </c>
      <c r="GQ16" s="454">
        <f>IF(OR(AM16=0,AM16=""),0,IF(VLOOKUP(B16,'Matriz de Referencia'!$B$2:$CO$584,58,FALSE)=0,0,"Digite"))</f>
        <v>0</v>
      </c>
      <c r="GR16" s="454">
        <f>IF(OR(AM16=0,AM16=""),0,IF(VLOOKUP(B16,'Matriz de Referencia'!$B$2:$CO$584,59,FALSE)=0,0,"Digite"))</f>
        <v>0</v>
      </c>
      <c r="GS16" s="454">
        <f>IF(OR(AM16=0,AM16=""),0,IF(VLOOKUP(B16,'Matriz de Referencia'!$B$2:$CO$584,60,FALSE)=0,0,"Digite"))</f>
        <v>0</v>
      </c>
      <c r="GT16" s="382">
        <f t="shared" si="40"/>
        <v>0</v>
      </c>
      <c r="GU16" s="454">
        <f>IF(OR(AM16=0,AM16=""),0,IF(VLOOKUP(B16,'Matriz de Referencia'!$B$2:$CO$584,62,FALSE)=0,0,"Digite"))</f>
        <v>0</v>
      </c>
      <c r="GV16" s="454">
        <f>IF(OR(AM16=0,AM16=""),0,IF(VLOOKUP(B16,'Matriz de Referencia'!$B$2:$CO$584,63,FALSE)=0,0,"Digite"))</f>
        <v>0</v>
      </c>
      <c r="GW16" s="454">
        <f>IF(OR(AM16=0,AM16=""),0,IF(VLOOKUP(B16,'Matriz de Referencia'!$B$2:$CO$584,64,FALSE)=0,0,"Digite"))</f>
        <v>0</v>
      </c>
      <c r="GX16" s="382">
        <f t="shared" si="41"/>
        <v>0</v>
      </c>
      <c r="GY16" s="382">
        <f t="shared" si="42"/>
        <v>0</v>
      </c>
      <c r="GZ16" s="453">
        <f>IF(OR(AN16=0,AN16=""),0,IF(VLOOKUP(B16,'Matriz de Referencia'!$B$2:$CO$584,53,FALSE)=0,0,"Digite"))</f>
        <v>0</v>
      </c>
      <c r="HA16" s="454">
        <f>IF(OR(AN16=0,AN16=""),0,IF(VLOOKUP(B16,'Matriz de Referencia'!$B$2:$CO$584,54,FALSE)=0,0,"Digite"))</f>
        <v>0</v>
      </c>
      <c r="HB16" s="454">
        <f>IF(OR(AN16=0,AN16=""),0,IF(VLOOKUP(B16,'Matriz de Referencia'!$B$2:$CO$584,55,FALSE)=0,0,"Digite"))</f>
        <v>0</v>
      </c>
      <c r="HC16" s="454">
        <f>IF(OR(AN16=0,AN16=""),0,IF(VLOOKUP(B16,'Matriz de Referencia'!$B$2:$CO$584,56,FALSE)=0,0,"Digite"))</f>
        <v>0</v>
      </c>
      <c r="HD16" s="454">
        <f>IF(OR(AN16=0,AN16=""),0,IF(VLOOKUP(B16,'Matriz de Referencia'!$B$2:$CO$584,57,FALSE)=0,0,"Digite"))</f>
        <v>0</v>
      </c>
      <c r="HE16" s="454">
        <f>IF(OR(AN16=0,AN16=""),0,IF(VLOOKUP(B16,'Matriz de Referencia'!$B$2:$CO$584,58,FALSE)=0,0,"Digite"))</f>
        <v>0</v>
      </c>
      <c r="HF16" s="454">
        <f>IF(OR(AN16=0,AN16=""),0,IF(VLOOKUP(B16,'Matriz de Referencia'!$B$2:$CO$584,59,FALSE)=0,0,"Digite"))</f>
        <v>0</v>
      </c>
      <c r="HG16" s="454">
        <f>IF(OR(AN16=0,AN16=""),0,IF(VLOOKUP(B16,'Matriz de Referencia'!$B$2:$CO$584,60,FALSE)=0,0,"Digite"))</f>
        <v>0</v>
      </c>
      <c r="HH16" s="382">
        <f t="shared" si="43"/>
        <v>0</v>
      </c>
      <c r="HI16" s="454">
        <f>IF(OR(AN16=0,AN16=""),0,IF(VLOOKUP(B16,'Matriz de Referencia'!$B$2:$CO$584,62,FALSE)=0,0,"Digite"))</f>
        <v>0</v>
      </c>
      <c r="HJ16" s="454">
        <f>IF(OR(AN16=0,AN16=""),0,IF(VLOOKUP(B16,'Matriz de Referencia'!$B$2:$CO$584,63,FALSE)=0,0,"Digite"))</f>
        <v>0</v>
      </c>
      <c r="HK16" s="454">
        <f>IF(OR(AN16=0,AN16=""),0,IF(VLOOKUP(B16,'Matriz de Referencia'!$B$2:$CO$584,64,FALSE)=0,0,"Digite"))</f>
        <v>0</v>
      </c>
      <c r="HL16" s="382">
        <f t="shared" si="44"/>
        <v>0</v>
      </c>
      <c r="HM16" s="382">
        <f t="shared" si="45"/>
        <v>0</v>
      </c>
      <c r="HN16" s="382">
        <f t="shared" si="46"/>
        <v>0</v>
      </c>
      <c r="HO16" s="101" t="str">
        <f>IFERROR(IF(HN16=0,"",IF(VLOOKUP(B16,'Matriz de Referencia'!$B$2:$CO$584,66,FALSE)=HN16,"Techos ok, cotinue","Debe revisar el valor programado")),"")</f>
        <v/>
      </c>
      <c r="HP16" s="453">
        <f>IF(OR(AQ16=0,AQ16=""),0,IF(VLOOKUP(B16,'Matriz de Referencia'!$B$2:$CO$584,67,FALSE)=0,0,"Digite"))</f>
        <v>0</v>
      </c>
      <c r="HQ16" s="454">
        <f>IF(OR(AQ16=0,AQ16=""),0,IF(VLOOKUP(B16,'Matriz de Referencia'!$B$2:$CO$584,68,FALSE)=0,0,"Digite"))</f>
        <v>0</v>
      </c>
      <c r="HR16" s="454">
        <f>IF(OR(AQ16=0,AQ16=""),0,IF(VLOOKUP(B16,'Matriz de Referencia'!$B$2:$CO$584,69,FALSE)=0,0,"Digite"))</f>
        <v>0</v>
      </c>
      <c r="HS16" s="454">
        <f>IF(OR(AQ16=0,AQ16=""),0,IF(VLOOKUP(B16,'Matriz de Referencia'!$B$2:$CO$584,70,FALSE)=0,0,"Digite"))</f>
        <v>0</v>
      </c>
      <c r="HT16" s="454">
        <f>IF(OR(AQ16=0,AQ16=""),0,IF(VLOOKUP(B16,'Matriz de Referencia'!$B$2:$CO$584,71,FALSE)=0,0,"Digite"))</f>
        <v>0</v>
      </c>
      <c r="HU16" s="454">
        <f>IF(OR(AQ16=0,AQ16=""),0,IF(VLOOKUP(B16,'Matriz de Referencia'!$B$2:$CO$584,72,FALSE)=0,0,"Digite"))</f>
        <v>0</v>
      </c>
      <c r="HV16" s="454">
        <f>IF(OR(AQ16=0,AQ16=""),0,IF(VLOOKUP(B16,'Matriz de Referencia'!$B$2:$CO$584,73,FALSE)=0,0,"Digite"))</f>
        <v>0</v>
      </c>
      <c r="HW16" s="454">
        <f>IF(OR(AQ16=0,AQ16=""),0,IF(VLOOKUP(B16,'Matriz de Referencia'!$B$2:$CO$584,74,FALSE)=0,0,"Digite"))</f>
        <v>0</v>
      </c>
      <c r="HX16" s="382">
        <f t="shared" si="47"/>
        <v>0</v>
      </c>
      <c r="HY16" s="454">
        <f>IF(OR(AQ16=0,AQ16=""),0,IF(VLOOKUP(B16,'Matriz de Referencia'!$B$2:$CO$584,76,FALSE)=0,0,"Digite"))</f>
        <v>0</v>
      </c>
      <c r="HZ16" s="454">
        <f>IF(OR(AQ16=0,AQ16=""),0,IF(VLOOKUP(B16,'Matriz de Referencia'!$B$2:$CO$584,77,FALSE)=0,0,"Digite"))</f>
        <v>0</v>
      </c>
      <c r="IA16" s="454">
        <f>IF(OR(AQ16=0,AQ16=""),0,IF(VLOOKUP(B16,'Matriz de Referencia'!$B$2:$CO$584,78,FALSE)=0,0,"Digite"))</f>
        <v>0</v>
      </c>
      <c r="IB16" s="382">
        <f t="shared" si="48"/>
        <v>0</v>
      </c>
      <c r="IC16" s="382">
        <f t="shared" si="49"/>
        <v>0</v>
      </c>
      <c r="ID16" s="453">
        <f>IF(OR(AR16=0,AR16=""),0,IF(VLOOKUP(B16,'Matriz de Referencia'!$B$2:$CO$584,67,FALSE)=0,0,"Digite"))</f>
        <v>0</v>
      </c>
      <c r="IE16" s="454">
        <f>IF(OR(AR16=0,AR16=""),0,IF(VLOOKUP(B16,'Matriz de Referencia'!$B$2:$CO$584,68,FALSE)=0,0,"Digite"))</f>
        <v>0</v>
      </c>
      <c r="IF16" s="454">
        <f>IF(OR(AR16=0,AR16=""),0,IF(VLOOKUP(B16,'Matriz de Referencia'!$B$2:$CO$584,69,FALSE)=0,0,"Digite"))</f>
        <v>0</v>
      </c>
      <c r="IG16" s="454">
        <f>IF(OR(AR16=0,AR16=""),0,IF(VLOOKUP(B16,'Matriz de Referencia'!$B$2:$CO$584,70,FALSE)=0,0,"Digite"))</f>
        <v>0</v>
      </c>
      <c r="IH16" s="454">
        <f>IF(OR(AR16=0,AR16=""),0,IF(VLOOKUP(B16,'Matriz de Referencia'!$B$2:$CO$584,71,FALSE)=0,0,"Digite"))</f>
        <v>0</v>
      </c>
      <c r="II16" s="454">
        <f>IF(OR(AR16=0,AR16=""),0,IF(VLOOKUP(B16,'Matriz de Referencia'!$B$2:$CO$584,72,FALSE)=0,0,"Digite"))</f>
        <v>0</v>
      </c>
      <c r="IJ16" s="454">
        <f>IF(OR(AR16=0,AR16=""),0,IF(VLOOKUP(B16,'Matriz de Referencia'!$B$2:$CO$584,73,FALSE)=0,0,"Digite"))</f>
        <v>0</v>
      </c>
      <c r="IK16" s="454">
        <f>IF(OR(AR16=0,AR16=""),0,IF(VLOOKUP(B16,'Matriz de Referencia'!$B$2:$CO$584,74,FALSE)=0,0,"Digite"))</f>
        <v>0</v>
      </c>
      <c r="IL16" s="382">
        <f t="shared" si="50"/>
        <v>0</v>
      </c>
      <c r="IM16" s="454">
        <f>IF(OR(AR16=0,AR16=""),0,IF(VLOOKUP(B16,'Matriz de Referencia'!$B$2:$CO$584,76,FALSE)=0,0,"Digite"))</f>
        <v>0</v>
      </c>
      <c r="IN16" s="454">
        <f>IF(OR(AR16=0,AR16=""),0,IF(VLOOKUP(B16,'Matriz de Referencia'!$B$2:$CO$584,77,FALSE)=0,0,"Digite"))</f>
        <v>0</v>
      </c>
      <c r="IO16" s="454">
        <f>IF(OR(AR16=0,AR16=""),0,IF(VLOOKUP(B16,'Matriz de Referencia'!$B$2:$CO$584,78,FALSE)=0,0,"Digite"))</f>
        <v>0</v>
      </c>
      <c r="IP16" s="382">
        <f t="shared" si="51"/>
        <v>0</v>
      </c>
      <c r="IQ16" s="382">
        <f t="shared" si="52"/>
        <v>0</v>
      </c>
      <c r="IR16" s="453">
        <f>IF(OR(AS16=0,AS16=""),0,IF(VLOOKUP(B16,'Matriz de Referencia'!$B$2:$CO$584,67,FALSE)=0,0,"Digite"))</f>
        <v>0</v>
      </c>
      <c r="IS16" s="454">
        <f>IF(OR(AS16=0,AS16=""),0,IF(VLOOKUP(B16,'Matriz de Referencia'!$B$2:$CO$584,68,FALSE)=0,0,"Digite"))</f>
        <v>0</v>
      </c>
      <c r="IT16" s="454">
        <f>IF(OR(AS16=0,AS16=""),0,IF(VLOOKUP(B16,'Matriz de Referencia'!$B$2:$CO$584,69,FALSE)=0,0,"Digite"))</f>
        <v>0</v>
      </c>
      <c r="IU16" s="454">
        <f>IF(OR(AS16=0,AS16=""),0,IF(VLOOKUP(B16,'Matriz de Referencia'!$B$2:$CO$584,70,FALSE)=0,0,"Digite"))</f>
        <v>0</v>
      </c>
      <c r="IV16" s="454">
        <f>IF(OR(AS16=0,AS16=""),0,IF(VLOOKUP(B16,'Matriz de Referencia'!$B$2:$CO$584,71,FALSE)=0,0,"Digite"))</f>
        <v>0</v>
      </c>
      <c r="IW16" s="454">
        <f>IF(OR(AS16=0,AS16=""),0,IF(VLOOKUP(B16,'Matriz de Referencia'!$B$2:$CO$584,72,FALSE)=0,0,"Digite"))</f>
        <v>0</v>
      </c>
      <c r="IX16" s="454">
        <f>IF(OR(AS16=0,AS16=""),0,IF(VLOOKUP(B16,'Matriz de Referencia'!$B$2:$CO$584,73,FALSE)=0,0,"Digite"))</f>
        <v>0</v>
      </c>
      <c r="IY16" s="454">
        <f>IF(OR(AS16=0,AS16=""),0,IF(VLOOKUP(B16,'Matriz de Referencia'!$B$2:$CO$584,74,FALSE)=0,0,"Digite"))</f>
        <v>0</v>
      </c>
      <c r="IZ16" s="382">
        <f t="shared" si="53"/>
        <v>0</v>
      </c>
      <c r="JA16" s="454">
        <f>IF(OR(AS16=0,AS16=""),0,IF(VLOOKUP(B16,'Matriz de Referencia'!$B$2:$CO$584,76,FALSE)=0,0,"Digite"))</f>
        <v>0</v>
      </c>
      <c r="JB16" s="454">
        <f>IF(OR(AS16=0,AS16=""),0,IF(VLOOKUP(B16,'Matriz de Referencia'!$B$2:$CO$584,77,FALSE)=0,0,"Digite"))</f>
        <v>0</v>
      </c>
      <c r="JC16" s="454">
        <f>IF(OR(AS16=0,AS16=""),0,IF(VLOOKUP(B16,'Matriz de Referencia'!$B$2:$CO$584,78,FALSE)=0,0,"Digite"))</f>
        <v>0</v>
      </c>
      <c r="JD16" s="382">
        <f t="shared" si="54"/>
        <v>0</v>
      </c>
      <c r="JE16" s="382">
        <f t="shared" si="55"/>
        <v>0</v>
      </c>
      <c r="JF16" s="453">
        <f>IF(OR(AT16=0,AT16=""),0,IF(VLOOKUP(B16,'Matriz de Referencia'!$B$2:$CO$584,67,FALSE)=0,0,"Digite"))</f>
        <v>0</v>
      </c>
      <c r="JG16" s="454">
        <f>IF(OR(AT16=0,AT16=""),0,IF(VLOOKUP(B16,'Matriz de Referencia'!$B$2:$CO$584,68,FALSE)=0,0,"Digite"))</f>
        <v>0</v>
      </c>
      <c r="JH16" s="454">
        <f>IF(OR(AT16=0,AT16=""),0,IF(VLOOKUP(B16,'Matriz de Referencia'!$B$2:$CO$584,69,FALSE)=0,0,"Digite"))</f>
        <v>0</v>
      </c>
      <c r="JI16" s="454">
        <f>IF(OR(AT16=0,AT16=""),0,IF(VLOOKUP(B16,'Matriz de Referencia'!$B$2:$CO$584,70,FALSE)=0,0,"Digite"))</f>
        <v>0</v>
      </c>
      <c r="JJ16" s="454">
        <f>IF(OR(AT16=0,AT16=""),0,IF(VLOOKUP(B16,'Matriz de Referencia'!$B$2:$CO$584,71,FALSE)=0,0,"Digite"))</f>
        <v>0</v>
      </c>
      <c r="JK16" s="454">
        <f>IF(OR(AT16=0,AT16=""),0,IF(VLOOKUP(B16,'Matriz de Referencia'!$B$2:$CO$584,72,FALSE)=0,0,"Digite"))</f>
        <v>0</v>
      </c>
      <c r="JL16" s="454">
        <f>IF(OR(AT16=0,AT16=""),0,IF(VLOOKUP(B16,'Matriz de Referencia'!$B$2:$CO$584,73,FALSE)=0,0,"Digite"))</f>
        <v>0</v>
      </c>
      <c r="JM16" s="454">
        <f>IF(OR(AT16=0,AT16=""),0,IF(VLOOKUP(B16,'Matriz de Referencia'!$B$2:$CO$584,74,FALSE)=0,0,"Digite"))</f>
        <v>0</v>
      </c>
      <c r="JN16" s="382">
        <f t="shared" si="56"/>
        <v>0</v>
      </c>
      <c r="JO16" s="454">
        <f>IF(OR(AT16=0,AT16=""),0,IF(VLOOKUP(B16,'Matriz de Referencia'!$B$2:$CO$584,76,FALSE)=0,0,"Digite"))</f>
        <v>0</v>
      </c>
      <c r="JP16" s="454">
        <f>IF(OR(AT16=0,AT16=""),0,IF(VLOOKUP(B16,'Matriz de Referencia'!$B$2:$CO$584,77,FALSE)=0,0,"Digite"))</f>
        <v>0</v>
      </c>
      <c r="JQ16" s="454">
        <f>IF(OR(AT16=0,AT16=""),0,IF(VLOOKUP(B16,'Matriz de Referencia'!$B$2:$CO$584,78,FALSE)=0,0,"Digite"))</f>
        <v>0</v>
      </c>
      <c r="JR16" s="382">
        <f t="shared" si="57"/>
        <v>0</v>
      </c>
      <c r="JS16" s="382">
        <f t="shared" si="58"/>
        <v>0</v>
      </c>
      <c r="JT16" s="382">
        <f t="shared" si="59"/>
        <v>0</v>
      </c>
      <c r="JU16" s="101" t="str">
        <f>IFERROR(IF(JT16=0,"",IF(VLOOKUP(B16,'Matriz de Referencia'!$B$2:$CO$584,80,FALSE)=JT16,"Techos ok, cotinue","Debe revisar el valor programado")),"")</f>
        <v/>
      </c>
      <c r="JV16" s="382">
        <f t="shared" si="60"/>
        <v>0</v>
      </c>
    </row>
    <row r="17" spans="19:282">
      <c r="S17" s="568"/>
      <c r="T17" s="414"/>
      <c r="U17" s="661" t="str">
        <f t="shared" si="1"/>
        <v>Dimensión_</v>
      </c>
      <c r="V17" s="414"/>
      <c r="W17" s="568"/>
      <c r="X17" s="449" t="str">
        <f>IFERROR(IF(VLOOKUP(B17,'Matriz de Referencia'!$B$2:$CO$584,'Matriz de Referencia'!AM$1,FALSE)&gt;0,"Diligenciar la vigencia, tiene presupuesto programado","No diligenciar, no programo presupuesto"),"")</f>
        <v/>
      </c>
      <c r="Y17" s="649"/>
      <c r="Z17" s="649"/>
      <c r="AA17" s="649"/>
      <c r="AB17" s="649"/>
      <c r="AC17" s="650" t="str">
        <f t="shared" si="61"/>
        <v/>
      </c>
      <c r="AD17" s="449" t="str">
        <f>IFERROR(IF(VLOOKUP($B17,'Matriz de Referencia'!$B$2:$CO$584,'Matriz de Referencia'!BA$1,FALSE)&gt;0,"Diligenciar la vigencia, tiene presupuesto programado","No diligenciar, no programo presupuesto"),"")</f>
        <v/>
      </c>
      <c r="AE17" s="649"/>
      <c r="AF17" s="649"/>
      <c r="AG17" s="649"/>
      <c r="AH17" s="649"/>
      <c r="AI17" s="650" t="str">
        <f t="shared" si="3"/>
        <v/>
      </c>
      <c r="AJ17" s="449" t="str">
        <f>IFERROR(IF(VLOOKUP($B17,'Matriz de Referencia'!$B$2:$CO$584,'Matriz de Referencia'!BO$1,FALSE)&gt;0,"Diligenciar la vigencia, tiene presupuesto programado","No diligenciar, no programo presupuesto"),"")</f>
        <v/>
      </c>
      <c r="AK17" s="649"/>
      <c r="AL17" s="649"/>
      <c r="AM17" s="649"/>
      <c r="AN17" s="649"/>
      <c r="AO17" s="650" t="str">
        <f t="shared" si="4"/>
        <v/>
      </c>
      <c r="AP17" s="449" t="str">
        <f>IFERROR(IF(VLOOKUP($B17,'Matriz de Referencia'!$B$2:$CO$584,'Matriz de Referencia'!CC$1,FALSE)&gt;0,"Diligenciar la vigencia, tiene presupuesto programado","No diligenciar, no programo presupuesto"),"")</f>
        <v/>
      </c>
      <c r="AQ17" s="649"/>
      <c r="AR17" s="649"/>
      <c r="AS17" s="649"/>
      <c r="AT17" s="649"/>
      <c r="AU17" s="650" t="str">
        <f t="shared" si="5"/>
        <v/>
      </c>
      <c r="AV17" s="448" t="str">
        <f t="shared" si="6"/>
        <v/>
      </c>
      <c r="AW17" s="416" t="str">
        <f t="shared" si="7"/>
        <v/>
      </c>
      <c r="AX17" s="455" t="str">
        <f>IF(OR(Y17=0,Y17=""),"",IF(VLOOKUP(B17,'Matriz de Referencia'!$B$2:$CO$584,'Matriz de Referencia'!BB$1,FALSE)=0,"","Digite"))</f>
        <v/>
      </c>
      <c r="AY17" s="456">
        <f>IF(OR(Y17=0,Y17=""),0,IF(VLOOKUP(B17,'Matriz de Referencia'!$B$2:$CO$584,26,FALSE)=0,0,"Digite"))</f>
        <v>0</v>
      </c>
      <c r="AZ17" s="456">
        <f>IF(OR(Y17=0,Y17=""),0,IF(VLOOKUP(B17,'Matriz de Referencia'!$B$2:$CO$584,27,FALSE)=0,0,"Digite"))</f>
        <v>0</v>
      </c>
      <c r="BA17" s="456">
        <f>IF(OR(Y17=0,Y17=""),0,IF(VLOOKUP(B17,'Matriz de Referencia'!$B$2:$CO$584,28,FALSE)=0,0,"Digite"))</f>
        <v>0</v>
      </c>
      <c r="BB17" s="456">
        <f>IF(OR(Y17=0,Y17=""),0,IF(VLOOKUP(B17,'Matriz de Referencia'!$B$2:$CO$584,29,FALSE)=0,0,"Digite"))</f>
        <v>0</v>
      </c>
      <c r="BC17" s="456">
        <f>IF(OR(Y17=0,Y17=""),0,IF(VLOOKUP(B17,'Matriz de Referencia'!$B$2:$CO$584,30,FALSE)=0,0,"Digite"))</f>
        <v>0</v>
      </c>
      <c r="BD17" s="456">
        <f>IF(OR(Y17=0,Y17=""),0,IF(VLOOKUP(B17,'Matriz de Referencia'!$B$2:$CO$584,31,FALSE)=0,0,"Digite"))</f>
        <v>0</v>
      </c>
      <c r="BE17" s="456">
        <f>IF(OR(Y17=0,Y17=""),0,IF(VLOOKUP(B17,'Matriz de Referencia'!$B$2:$CO$584,32,FALSE)=0,0,"Digite"))</f>
        <v>0</v>
      </c>
      <c r="BF17" s="460">
        <f t="shared" si="8"/>
        <v>0</v>
      </c>
      <c r="BG17" s="456">
        <f>IF(OR(Y17=0,Y17=""),0,IF(VLOOKUP(B17,'Matriz de Referencia'!$B$2:$CO$584,34,FALSE)=0,0,"Digite"))</f>
        <v>0</v>
      </c>
      <c r="BH17" s="456">
        <f>IF(OR(Y17=0,Y17=""),0,IF(VLOOKUP(B17,'Matriz de Referencia'!$B$2:$CO$584,35,FALSE)=0,0,"Digite"))</f>
        <v>0</v>
      </c>
      <c r="BI17" s="456">
        <f>IF(OR(Y17=0,Y17=""),0,IF(VLOOKUP(B17,'Matriz de Referencia'!$B$2:$CO$584,36,FALSE)=0,0,"Digite"))</f>
        <v>0</v>
      </c>
      <c r="BJ17" s="457">
        <f t="shared" si="9"/>
        <v>0</v>
      </c>
      <c r="BK17" s="457">
        <f t="shared" si="10"/>
        <v>0</v>
      </c>
      <c r="BL17" s="455">
        <f>IF(OR(Z17=0,Z17=""),0,IF(VLOOKUP(B17,'Matriz de Referencia'!$B$2:$CO$584,25,FALSE)=0,0,"Digite"))</f>
        <v>0</v>
      </c>
      <c r="BM17" s="456">
        <f>IF(OR(Z17=0,Z17=""),0,IF(VLOOKUP(B17,'Matriz de Referencia'!$B$2:$CO$584,26,FALSE)=0,0,"Digite"))</f>
        <v>0</v>
      </c>
      <c r="BN17" s="456">
        <f>IF(OR(Z17=0,Z17=""),0,IF(VLOOKUP(B17,'Matriz de Referencia'!$B$2:$CO$584,27,FALSE)=0,0,"Digite"))</f>
        <v>0</v>
      </c>
      <c r="BO17" s="456">
        <f>IF(OR(Z17=0,Z17=""),0,IF(VLOOKUP(B17,'Matriz de Referencia'!$B$2:$CO$584,28,FALSE)=0,0,"Digite"))</f>
        <v>0</v>
      </c>
      <c r="BP17" s="456">
        <f>IF(OR(Z17=0,Z17=""),0,IF(VLOOKUP(B17,'Matriz de Referencia'!$B$2:$CO$584,29,FALSE)=0,0,"Digite"))</f>
        <v>0</v>
      </c>
      <c r="BQ17" s="456">
        <f>IF(OR(Z17=0,Z17=""),0,IF(VLOOKUP(B17,'Matriz de Referencia'!$B$2:$CO$584,30,FALSE)=0,0,"Digite"))</f>
        <v>0</v>
      </c>
      <c r="BR17" s="456">
        <f>IF(OR(Z17=0,Z17=""),0,IF(VLOOKUP(B17,'Matriz de Referencia'!$B$2:$CO$584,31,FALSE)=0,0,"Digite"))</f>
        <v>0</v>
      </c>
      <c r="BS17" s="456">
        <f>IF(OR(Z17=0,Z17=""),0,IF(VLOOKUP(B17,'Matriz de Referencia'!$B$2:$CO$584,32,FALSE)=0,0,"Digite"))</f>
        <v>0</v>
      </c>
      <c r="BT17" s="457">
        <f t="shared" si="11"/>
        <v>0</v>
      </c>
      <c r="BU17" s="456">
        <f>IF(OR(Z17=0,Z17=""),0,IF(VLOOKUP(B17,'Matriz de Referencia'!$B$2:$CO$584,34,FALSE)=0,0,"Digite"))</f>
        <v>0</v>
      </c>
      <c r="BV17" s="456">
        <f>IF(OR(Z17=0,Z17=""),0,IF(VLOOKUP(B17,'Matriz de Referencia'!$B$2:$CO$584,35,FALSE)=0,0,"Digite"))</f>
        <v>0</v>
      </c>
      <c r="BW17" s="456">
        <f>IF(OR(Z17=0,Z17=""),0,IF(VLOOKUP(B17,'Matriz de Referencia'!$B$2:$CO$584,36,FALSE)=0,0,"Digite"))</f>
        <v>0</v>
      </c>
      <c r="BX17" s="457">
        <f t="shared" si="12"/>
        <v>0</v>
      </c>
      <c r="BY17" s="457">
        <f t="shared" si="13"/>
        <v>0</v>
      </c>
      <c r="BZ17" s="455">
        <f>IF(OR(AA17=0,AA17=""),0,IF(VLOOKUP(B17,'Matriz de Referencia'!$B$2:$CO$584,25,FALSE)=0,0,"Digite"))</f>
        <v>0</v>
      </c>
      <c r="CA17" s="456">
        <f>IF(OR(AA17=0,AA17=""),0,IF(VLOOKUP(B17,'Matriz de Referencia'!$B$2:$CO$584,26,FALSE)=0,0,"Digite"))</f>
        <v>0</v>
      </c>
      <c r="CB17" s="456">
        <f>IF(OR(AA17=0,AA17=""),0,IF(VLOOKUP(B17,'Matriz de Referencia'!$B$2:$CO$584,27,FALSE)=0,0,"Digite"))</f>
        <v>0</v>
      </c>
      <c r="CC17" s="456">
        <f>IF(OR(AA17=0,AA17=""),0,IF(VLOOKUP(B17,'Matriz de Referencia'!$B$2:$CO$584,28,FALSE)=0,0,"Digite"))</f>
        <v>0</v>
      </c>
      <c r="CD17" s="456">
        <f>IF(OR(AA17=0,AA17=""),0,IF(VLOOKUP(B17,'Matriz de Referencia'!$B$2:$CO$584,29,FALSE)=0,0,"Digite"))</f>
        <v>0</v>
      </c>
      <c r="CE17" s="456">
        <f>IF(OR(AA17=0,AA17=""),0,IF(VLOOKUP(B17,'Matriz de Referencia'!$B$2:$CO$584,30,FALSE)=0,0,"Digite"))</f>
        <v>0</v>
      </c>
      <c r="CF17" s="456">
        <f>IF(OR(AA17=0,AA17=""),0,IF(VLOOKUP(B17,'Matriz de Referencia'!$B$2:$CO$584,31,FALSE)=0,0,"Digite"))</f>
        <v>0</v>
      </c>
      <c r="CG17" s="456">
        <f>IF(OR(AA17=0,AA17=""),0,IF(VLOOKUP(B17,'Matriz de Referencia'!$B$2:$CO$584,32,FALSE)=0,0,"Digite"))</f>
        <v>0</v>
      </c>
      <c r="CH17" s="457">
        <f t="shared" si="14"/>
        <v>0</v>
      </c>
      <c r="CI17" s="456">
        <f>IF(OR(AA17=0,AA17=""),0,IF(VLOOKUP(B17,'Matriz de Referencia'!$B$2:$CO$584,34,FALSE)=0,0,"Digite"))</f>
        <v>0</v>
      </c>
      <c r="CJ17" s="456">
        <f>IF(OR(AA17=0,AA17=""),0,IF(VLOOKUP(B17,'Matriz de Referencia'!$B$2:$CO$584,35,FALSE)=0,0,"Digite"))</f>
        <v>0</v>
      </c>
      <c r="CK17" s="456">
        <f>IF(OR(AA17=0,AA17=""),0,IF(VLOOKUP(B17,'Matriz de Referencia'!$B$2:$CO$584,36,FALSE)=0,0,"Digite"))</f>
        <v>0</v>
      </c>
      <c r="CL17" s="457">
        <f t="shared" si="15"/>
        <v>0</v>
      </c>
      <c r="CM17" s="457">
        <f t="shared" si="16"/>
        <v>0</v>
      </c>
      <c r="CN17" s="455">
        <f>IF(OR(AB17=0,AB17=""),0,IF(VLOOKUP(B17,'Matriz de Referencia'!$B$2:$CO$584,25,FALSE)=0,0,"Digite"))</f>
        <v>0</v>
      </c>
      <c r="CO17" s="456">
        <f>IF(OR(AB17=0,AB17=""),0,IF(VLOOKUP(B17,'Matriz de Referencia'!$B$2:$CO$584,26,FALSE)=0,0,"Digite"))</f>
        <v>0</v>
      </c>
      <c r="CP17" s="456">
        <f>IF(OR(AB17=0,AB17=""),0,IF(VLOOKUP(B17,'Matriz de Referencia'!$B$2:$CO$584,27,FALSE)=0,0,"Digite"))</f>
        <v>0</v>
      </c>
      <c r="CQ17" s="456">
        <f>IF(OR(AB17=0,AB17=""),0,IF(VLOOKUP(B17,'Matriz de Referencia'!$B$2:$CO$584,28,FALSE)=0,0,"Digite"))</f>
        <v>0</v>
      </c>
      <c r="CR17" s="456">
        <f>IF(OR(AB17=0,AB17=""),0,IF(VLOOKUP(B17,'Matriz de Referencia'!$B$2:$CO$584,29,FALSE)=0,0,"Digite"))</f>
        <v>0</v>
      </c>
      <c r="CS17" s="456">
        <f>IF(OR(AB17=0,AB17=""),0,IF(VLOOKUP(B17,'Matriz de Referencia'!$B$2:$CO$584,30,FALSE)=0,0,"Digite"))</f>
        <v>0</v>
      </c>
      <c r="CT17" s="456">
        <f>IF(OR(AB17=0,AB17=""),0,IF(VLOOKUP(B17,'Matriz de Referencia'!$B$2:$CO$584,31,FALSE)=0,0,"Digite"))</f>
        <v>0</v>
      </c>
      <c r="CU17" s="456">
        <f>IF(OR(AB17=0,AB17=""),0,IF(VLOOKUP(B17,'Matriz de Referencia'!$B$2:$CO$584,32,FALSE)=0,0,"Digite"))</f>
        <v>0</v>
      </c>
      <c r="CV17" s="457">
        <f t="shared" si="17"/>
        <v>0</v>
      </c>
      <c r="CW17" s="456">
        <f>IF(OR(AB17=0,AB17=""),0,IF(VLOOKUP(B17,'Matriz de Referencia'!$B$2:$CO$584,34,FALSE)=0,0,"Digite"))</f>
        <v>0</v>
      </c>
      <c r="CX17" s="456">
        <f>IF(OR(AB17=0,AB17=""),0,IF(VLOOKUP(B17,'Matriz de Referencia'!$B$2:$CO$584,35,FALSE)=0,0,"Digite"))</f>
        <v>0</v>
      </c>
      <c r="CY17" s="456">
        <f>IF(OR(AB17=0,AB17=""),0,IF(VLOOKUP(B17,'Matriz de Referencia'!$B$2:$CO$584,36,FALSE)=0,0,"Digite"))</f>
        <v>0</v>
      </c>
      <c r="CZ17" s="457">
        <f t="shared" si="18"/>
        <v>0</v>
      </c>
      <c r="DA17" s="457">
        <f t="shared" si="19"/>
        <v>0</v>
      </c>
      <c r="DB17" s="457">
        <f t="shared" si="20"/>
        <v>0</v>
      </c>
      <c r="DC17" s="101" t="str">
        <f>IFERROR(IF(DB17=0,"",IF(VLOOKUP(B17,'Matriz de Referencia'!$B$2:$CO$584,'Matriz de Referencia'!BO$1,FALSE)=DB17,"Techos ok, cotinue","Debe revisar el valor programado")),"")</f>
        <v/>
      </c>
      <c r="DD17" s="453">
        <f>IF(OR(AE17=0,AE17=""),0,IF(VLOOKUP(B17,'Matriz de Referencia'!$B$2:$CO$584,39,FALSE)=0,0,"Digite"))</f>
        <v>0</v>
      </c>
      <c r="DE17" s="454">
        <f>IF(OR(AE17=0,AE17=""),0,IF(VLOOKUP(B17,'Matriz de Referencia'!$B$2:$CO$584,40,FALSE)=0,0,"Digite"))</f>
        <v>0</v>
      </c>
      <c r="DF17" s="454">
        <f>IF(OR(AE17=0,AE17=""),0,IF(VLOOKUP(B17,'Matriz de Referencia'!$B$2:$CO$584,41,FALSE)=0,0,"Digite"))</f>
        <v>0</v>
      </c>
      <c r="DG17" s="454">
        <f>IF(OR(AE17=0,AE17=""),0,IF(VLOOKUP(B17,'Matriz de Referencia'!$B$2:$CO$584,42,FALSE)=0,0,"Digite"))</f>
        <v>0</v>
      </c>
      <c r="DH17" s="454">
        <f>IF(OR(AE17=0,AE17=""),0,IF(VLOOKUP(B17,'Matriz de Referencia'!$B$2:$CO$584,43,FALSE)=0,0,"Digite"))</f>
        <v>0</v>
      </c>
      <c r="DI17" s="454">
        <f>IF(OR(AE17=0,AE17=""),0,IF(VLOOKUP(B17,'Matriz de Referencia'!$B$2:$CO$584,44,FALSE)=0,0,"Digite"))</f>
        <v>0</v>
      </c>
      <c r="DJ17" s="454">
        <f>IF(OR(AE17=0,AE17=""),0,IF(VLOOKUP(B17,'Matriz de Referencia'!$B$2:$CO$584,45,FALSE)=0,0,"Digite"))</f>
        <v>0</v>
      </c>
      <c r="DK17" s="454">
        <f>IF(OR(AE17=0,AE17=""),0,IF(VLOOKUP(B17,'Matriz de Referencia'!$B$2:$CO$584,46,FALSE)=0,0,"Digite"))</f>
        <v>0</v>
      </c>
      <c r="DL17" s="382">
        <f t="shared" si="21"/>
        <v>0</v>
      </c>
      <c r="DM17" s="454">
        <f>IF(OR(AE17=0,AE17=""),0,IF(VLOOKUP(B17,'Matriz de Referencia'!$B$2:$CO$584,48,FALSE)=0,0,"Digite"))</f>
        <v>0</v>
      </c>
      <c r="DN17" s="454">
        <f>IF(OR(AE17=0,AE17=""),0,IF(VLOOKUP(B17,'Matriz de Referencia'!$B$2:$CO$584,49,FALSE)=0,0,"Digite"))</f>
        <v>0</v>
      </c>
      <c r="DO17" s="454">
        <f>IF(OR(AE17=0,AE17=""),0,IF(VLOOKUP(B17,'Matriz de Referencia'!$B$2:$CO$584,50,FALSE)=0,0,"Digite"))</f>
        <v>0</v>
      </c>
      <c r="DP17" s="382">
        <f t="shared" si="22"/>
        <v>0</v>
      </c>
      <c r="DQ17" s="382">
        <f t="shared" si="23"/>
        <v>0</v>
      </c>
      <c r="DR17" s="453">
        <f>IF(OR(AF17=0,AF17=""),0,IF(VLOOKUP(B17,'Matriz de Referencia'!$B$2:$CO$584,39,FALSE)=0,0,"Digite"))</f>
        <v>0</v>
      </c>
      <c r="DS17" s="454">
        <f>IF(OR(AF17=0,AF17=""),0,IF(VLOOKUP(B17,'Matriz de Referencia'!$B$2:$CO$584,40,FALSE)=0,0,"Digite"))</f>
        <v>0</v>
      </c>
      <c r="DT17" s="454">
        <f>IF(OR(AF17=0,AF17=""),0,IF(VLOOKUP(B17,'Matriz de Referencia'!$B$2:$CO$584,41,FALSE)=0,0,"Digite"))</f>
        <v>0</v>
      </c>
      <c r="DU17" s="454">
        <f>IF(OR(AF17=0,AF17=""),0,IF(VLOOKUP(B17,'Matriz de Referencia'!$B$2:$CO$584,42,FALSE)=0,0,"Digite"))</f>
        <v>0</v>
      </c>
      <c r="DV17" s="454">
        <f>IF(OR(AF17=0,AF17=""),0,IF(VLOOKUP(B17,'Matriz de Referencia'!$B$2:$CO$584,43,FALSE)=0,0,"Digite"))</f>
        <v>0</v>
      </c>
      <c r="DW17" s="454">
        <f>IF(OR(AF17=0,AF17=""),0,IF(VLOOKUP(B17,'Matriz de Referencia'!$B$2:$CO$584,44,FALSE)=0,0,"Digite"))</f>
        <v>0</v>
      </c>
      <c r="DX17" s="454">
        <f>IF(OR(AF17=0,AF17=""),0,IF(VLOOKUP(B17,'Matriz de Referencia'!$B$2:$CO$584,45,FALSE)=0,0,"Digite"))</f>
        <v>0</v>
      </c>
      <c r="DY17" s="454">
        <f>IF(OR(AF17=0,AF17=""),0,IF(VLOOKUP(B17,'Matriz de Referencia'!$B$2:$CO$584,46,FALSE)=0,0,"Digite"))</f>
        <v>0</v>
      </c>
      <c r="DZ17" s="382">
        <f t="shared" si="24"/>
        <v>0</v>
      </c>
      <c r="EA17" s="454">
        <f>IF(OR(AF17=0,AF17=""),0,IF(VLOOKUP(B17,'Matriz de Referencia'!$B$2:$CO$584,48,FALSE)=0,0,"Digite"))</f>
        <v>0</v>
      </c>
      <c r="EB17" s="454">
        <f>IF(OR(AF17=0,AF17=""),0,IF(VLOOKUP(B17,'Matriz de Referencia'!$B$2:$CO$584,49,FALSE)=0,0,"Digite"))</f>
        <v>0</v>
      </c>
      <c r="EC17" s="454">
        <f>IF(OR(AF17=0,AF17=""),0,IF(VLOOKUP(B17,'Matriz de Referencia'!$B$2:$CO$584,50,FALSE)=0,0,"Digite"))</f>
        <v>0</v>
      </c>
      <c r="ED17" s="382">
        <f t="shared" si="25"/>
        <v>0</v>
      </c>
      <c r="EE17" s="382">
        <f t="shared" si="26"/>
        <v>0</v>
      </c>
      <c r="EF17" s="453">
        <f>IF(OR(AG17=0,AG17=""),0,IF(VLOOKUP(B17,'Matriz de Referencia'!$B$2:$CO$584,39,FALSE)=0,0,"Digite"))</f>
        <v>0</v>
      </c>
      <c r="EG17" s="454">
        <f>IF(OR(AG17=0,AG17=""),0,IF(VLOOKUP(B17,'Matriz de Referencia'!$B$2:$CO$584,40,FALSE)=0,0,"Digite"))</f>
        <v>0</v>
      </c>
      <c r="EH17" s="454">
        <f>IF(OR(AG17=0,AG17=""),0,IF(VLOOKUP(B17,'Matriz de Referencia'!$B$2:$CO$584,41,FALSE)=0,0,"Digite"))</f>
        <v>0</v>
      </c>
      <c r="EI17" s="454">
        <f>IF(OR(AG17=0,AG17=""),0,IF(VLOOKUP(B17,'Matriz de Referencia'!$B$2:$CO$584,42,FALSE)=0,0,"Digite"))</f>
        <v>0</v>
      </c>
      <c r="EJ17" s="454">
        <f>IF(OR(AG17=0,AG17=""),0,IF(VLOOKUP(B17,'Matriz de Referencia'!$B$2:$CO$584,43,FALSE)=0,0,"Digite"))</f>
        <v>0</v>
      </c>
      <c r="EK17" s="454">
        <f>IF(OR(AG17=0,AG17=""),0,IF(VLOOKUP(B17,'Matriz de Referencia'!$B$2:$CO$584,44,FALSE)=0,0,"Digite"))</f>
        <v>0</v>
      </c>
      <c r="EL17" s="454">
        <f>IF(OR(AG17=0,AG17=""),0,IF(VLOOKUP(B17,'Matriz de Referencia'!$B$2:$CO$584,45,FALSE)=0,0,"Digite"))</f>
        <v>0</v>
      </c>
      <c r="EM17" s="454">
        <f>IF(OR(AG17=0,AG17=""),0,IF(VLOOKUP(B17,'Matriz de Referencia'!$B$2:$CO$584,46,FALSE)=0,0,"Digite"))</f>
        <v>0</v>
      </c>
      <c r="EN17" s="382">
        <f t="shared" si="27"/>
        <v>0</v>
      </c>
      <c r="EO17" s="454">
        <f>IF(OR(AG17=0,AG17=""),0,IF(VLOOKUP(B17,'Matriz de Referencia'!$B$2:$CO$584,48,FALSE)=0,0,"Digite"))</f>
        <v>0</v>
      </c>
      <c r="EP17" s="454">
        <f>IF(OR(AG17=0,AG17=""),0,IF(VLOOKUP(B17,'Matriz de Referencia'!$B$2:$CO$584,49,FALSE)=0,0,"Digite"))</f>
        <v>0</v>
      </c>
      <c r="EQ17" s="454">
        <f>IF(OR(AG17=0,AG17=""),0,IF(VLOOKUP(B17,'Matriz de Referencia'!$B$2:$CO$584,50,FALSE)=0,0,"Digite"))</f>
        <v>0</v>
      </c>
      <c r="ER17" s="382">
        <f t="shared" si="28"/>
        <v>0</v>
      </c>
      <c r="ES17" s="382">
        <f t="shared" si="29"/>
        <v>0</v>
      </c>
      <c r="ET17" s="453">
        <f>IF(OR(AH17=0,AH17=""),0,IF(VLOOKUP(B17,'Matriz de Referencia'!$B$2:$CO$584,39,FALSE)=0,0,"Digite"))</f>
        <v>0</v>
      </c>
      <c r="EU17" s="454">
        <f>IF(OR(AH17=0,AH17=""),0,IF(VLOOKUP(B17,'Matriz de Referencia'!$B$2:$CO$584,40,FALSE)=0,0,"Digite"))</f>
        <v>0</v>
      </c>
      <c r="EV17" s="454">
        <f>IF(OR(AH17=0,AH17=""),0,IF(VLOOKUP(B17,'Matriz de Referencia'!$B$2:$CO$584,41,FALSE)=0,0,"Digite"))</f>
        <v>0</v>
      </c>
      <c r="EW17" s="454">
        <f>IF(OR(AH17=0,AH17=""),0,IF(VLOOKUP(B17,'Matriz de Referencia'!$B$2:$CO$584,42,FALSE)=0,0,"Digite"))</f>
        <v>0</v>
      </c>
      <c r="EX17" s="454">
        <f>IF(OR(AH17=0,AH17=""),0,IF(VLOOKUP(B17,'Matriz de Referencia'!$B$2:$CO$584,43,FALSE)=0,0,"Digite"))</f>
        <v>0</v>
      </c>
      <c r="EY17" s="454">
        <f>IF(OR(AH17=0,AH17=""),0,IF(VLOOKUP(B17,'Matriz de Referencia'!$B$2:$CO$584,44,FALSE)=0,0,"Digite"))</f>
        <v>0</v>
      </c>
      <c r="EZ17" s="454">
        <f>IF(OR(AH17=0,AH17=""),0,IF(VLOOKUP(B17,'Matriz de Referencia'!$B$2:$CO$584,45,FALSE)=0,0,"Digite"))</f>
        <v>0</v>
      </c>
      <c r="FA17" s="454">
        <f>IF(OR(AH17=0,AH17=""),0,IF(VLOOKUP(B17,'Matriz de Referencia'!$B$2:$CO$584,46,FALSE)=0,0,"Digite"))</f>
        <v>0</v>
      </c>
      <c r="FB17" s="382">
        <f t="shared" si="30"/>
        <v>0</v>
      </c>
      <c r="FC17" s="454">
        <f>IF(OR(AH17=0,AH17=""),0,IF(VLOOKUP(B17,'Matriz de Referencia'!$B$2:$CO$584,48,FALSE)=0,0,"Digite"))</f>
        <v>0</v>
      </c>
      <c r="FD17" s="454">
        <f>IF(OR(AH17=0,AH17=""),0,IF(VLOOKUP(B17,'Matriz de Referencia'!$B$2:$CO$584,49,FALSE)=0,0,"Digite"))</f>
        <v>0</v>
      </c>
      <c r="FE17" s="454">
        <f>IF(OR(AH17=0,AH17=""),0,IF(VLOOKUP(B17,'Matriz de Referencia'!$B$2:$CO$584,50,FALSE)=0,0,"Digite"))</f>
        <v>0</v>
      </c>
      <c r="FF17" s="382">
        <f t="shared" si="31"/>
        <v>0</v>
      </c>
      <c r="FG17" s="382">
        <f t="shared" si="32"/>
        <v>0</v>
      </c>
      <c r="FH17" s="382">
        <f t="shared" si="33"/>
        <v>0</v>
      </c>
      <c r="FI17" s="101" t="str">
        <f>IFERROR(IF(FH17=0,"",IF(VLOOKUP(B17,'Matriz de Referencia'!$B$2:$CO$584,52,FALSE)=FH17,"Techos ok, cotinue","Debe revisar el valor programado")),"")</f>
        <v/>
      </c>
      <c r="FJ17" s="453">
        <f>IF(OR(AK17=0,AK17=""),0,IF(VLOOKUP(B17,'Matriz de Referencia'!$B$2:$CO$584,53,FALSE)=0,0,"Digite"))</f>
        <v>0</v>
      </c>
      <c r="FK17" s="454">
        <f>IF(OR(AK17=0,AK17=""),0,IF(VLOOKUP(B17,'Matriz de Referencia'!$B$2:$CO$584,54,FALSE)=0,0,"Digite"))</f>
        <v>0</v>
      </c>
      <c r="FL17" s="454">
        <f>IF(OR(AK17=0,AK17=""),0,IF(VLOOKUP(B17,'Matriz de Referencia'!$B$2:$CO$584,55,FALSE)=0,0,"Digite"))</f>
        <v>0</v>
      </c>
      <c r="FM17" s="454">
        <f>IF(OR(AK17=0,AK17=""),0,IF(VLOOKUP(B17,'Matriz de Referencia'!$B$2:$CO$584,56,FALSE)=0,0,"Digite"))</f>
        <v>0</v>
      </c>
      <c r="FN17" s="454">
        <f>IF(OR(AK17=0,AK17=""),0,IF(VLOOKUP(B17,'Matriz de Referencia'!$B$2:$CO$584,57,FALSE)=0,0,"Digite"))</f>
        <v>0</v>
      </c>
      <c r="FO17" s="454">
        <f>IF(OR(AK17=0,AK17=""),0,IF(VLOOKUP(B17,'Matriz de Referencia'!$B$2:$CO$584,58,FALSE)=0,0,"Digite"))</f>
        <v>0</v>
      </c>
      <c r="FP17" s="454">
        <f>IF(OR(AK17=0,AK17=""),0,IF(VLOOKUP(B17,'Matriz de Referencia'!$B$2:$CO$584,59,FALSE)=0,0,"Digite"))</f>
        <v>0</v>
      </c>
      <c r="FQ17" s="454">
        <f>IF(OR(AK17=0,AK17=""),0,IF(VLOOKUP(B17,'Matriz de Referencia'!$B$2:$CO$584,60,FALSE)=0,0,"Digite"))</f>
        <v>0</v>
      </c>
      <c r="FR17" s="382">
        <f t="shared" si="34"/>
        <v>0</v>
      </c>
      <c r="FS17" s="454">
        <f>IF(OR(AK17=0,AK17=""),0,IF(VLOOKUP(B17,'Matriz de Referencia'!$B$2:$CO$584,62,FALSE)=0,0,"Digite"))</f>
        <v>0</v>
      </c>
      <c r="FT17" s="454">
        <f>IF(OR(AK17=0,AK17=""),0,IF(VLOOKUP(B17,'Matriz de Referencia'!$B$2:$CO$584,63,FALSE)=0,0,"Digite"))</f>
        <v>0</v>
      </c>
      <c r="FU17" s="454">
        <f>IF(OR(AK17=0,AK17=""),0,IF(VLOOKUP(B17,'Matriz de Referencia'!$B$2:$CO$584,64,FALSE)=0,"","Digite"))</f>
        <v>0</v>
      </c>
      <c r="FV17" s="382">
        <f t="shared" si="35"/>
        <v>0</v>
      </c>
      <c r="FW17" s="382">
        <f t="shared" si="36"/>
        <v>0</v>
      </c>
      <c r="FX17" s="453">
        <f>IF(OR(AL17=0,AL17=""),0,IF(VLOOKUP(B17,'Matriz de Referencia'!$B$2:$CO$584,53,FALSE)=0,0,"Digite"))</f>
        <v>0</v>
      </c>
      <c r="FY17" s="454">
        <f>IF(OR(AL17=0,AL17=""),0,IF(VLOOKUP(B17,'Matriz de Referencia'!$B$2:$CO$584,54,FALSE)=0,0,"Digite"))</f>
        <v>0</v>
      </c>
      <c r="FZ17" s="454">
        <f>IF(OR(AL17=0,AL17=""),0,IF(VLOOKUP(B17,'Matriz de Referencia'!$B$2:$CO$584,55,FALSE)=0,0,"Digite"))</f>
        <v>0</v>
      </c>
      <c r="GA17" s="454">
        <f>IF(OR(AL17=0,AL17=""),0,IF(VLOOKUP(B17,'Matriz de Referencia'!$B$2:$CO$584,56,FALSE)=0,0,"Digite"))</f>
        <v>0</v>
      </c>
      <c r="GB17" s="454">
        <f>IF(OR(AL17=0,AL17=""),0,IF(VLOOKUP(B17,'Matriz de Referencia'!$B$2:$CO$584,57,FALSE)=0,0,"Digite"))</f>
        <v>0</v>
      </c>
      <c r="GC17" s="454">
        <f>IF(OR(AL17=0,AL17=""),0,IF(VLOOKUP(B17,'Matriz de Referencia'!$B$2:$CO$584,58,FALSE)=0,0,"Digite"))</f>
        <v>0</v>
      </c>
      <c r="GD17" s="454">
        <f>IF(OR(AL17=0,AL17=""),0,IF(VLOOKUP(B17,'Matriz de Referencia'!$B$2:$CO$584,59,FALSE)=0,0,"Digite"))</f>
        <v>0</v>
      </c>
      <c r="GE17" s="454">
        <f>IF(OR(AL17=0,AL17=""),0,IF(VLOOKUP(B17,'Matriz de Referencia'!$B$2:$CO$584,60,FALSE)=0,0,"Digite"))</f>
        <v>0</v>
      </c>
      <c r="GF17" s="382">
        <f t="shared" si="37"/>
        <v>0</v>
      </c>
      <c r="GG17" s="454">
        <f>IF(OR(AL17=0,AL17=""),0,IF(VLOOKUP(B17,'Matriz de Referencia'!$B$2:$CO$584,62,FALSE)=0,0,"Digite"))</f>
        <v>0</v>
      </c>
      <c r="GH17" s="454">
        <f>IF(OR(AL17=0,AL17=""),0,IF(VLOOKUP(B17,'Matriz de Referencia'!$B$2:$CO$584,63,FALSE)=0,0,"Digite"))</f>
        <v>0</v>
      </c>
      <c r="GI17" s="454">
        <f>IF(OR(AL17=0,AL17=""),0,IF(VLOOKUP(B17,'Matriz de Referencia'!$B$2:$CO$584,64,FALSE)=0,0,"Digite"))</f>
        <v>0</v>
      </c>
      <c r="GJ17" s="382">
        <f t="shared" si="38"/>
        <v>0</v>
      </c>
      <c r="GK17" s="382">
        <f t="shared" si="39"/>
        <v>0</v>
      </c>
      <c r="GL17" s="453">
        <f>IF(OR(AM17=0,AM17=""),0,IF(VLOOKUP(B17,'Matriz de Referencia'!$B$2:$CO$584,53,FALSE)=0,0,"Digite"))</f>
        <v>0</v>
      </c>
      <c r="GM17" s="454">
        <f>IF(OR(AM17=0,AM17=""),0,IF(VLOOKUP(B17,'Matriz de Referencia'!$B$2:$CO$584,54,FALSE)=0,0,"Digite"))</f>
        <v>0</v>
      </c>
      <c r="GN17" s="454">
        <f>IF(OR(AM17=0,AM17=""),0,IF(VLOOKUP(B17,'Matriz de Referencia'!$B$2:$CO$584,55,FALSE)=0,0,"Digite"))</f>
        <v>0</v>
      </c>
      <c r="GO17" s="454">
        <f>IF(OR(AM17=0,AM17=""),0,IF(VLOOKUP(B17,'Matriz de Referencia'!$B$2:$CO$584,56,FALSE)=0,0,"Digite"))</f>
        <v>0</v>
      </c>
      <c r="GP17" s="454">
        <f>IF(OR(AM17=0,AM17=""),0,IF(VLOOKUP(B17,'Matriz de Referencia'!$B$2:$CO$584,57,FALSE)=0,0,"Digite"))</f>
        <v>0</v>
      </c>
      <c r="GQ17" s="454">
        <f>IF(OR(AM17=0,AM17=""),0,IF(VLOOKUP(B17,'Matriz de Referencia'!$B$2:$CO$584,58,FALSE)=0,0,"Digite"))</f>
        <v>0</v>
      </c>
      <c r="GR17" s="454">
        <f>IF(OR(AM17=0,AM17=""),0,IF(VLOOKUP(B17,'Matriz de Referencia'!$B$2:$CO$584,59,FALSE)=0,0,"Digite"))</f>
        <v>0</v>
      </c>
      <c r="GS17" s="454">
        <f>IF(OR(AM17=0,AM17=""),0,IF(VLOOKUP(B17,'Matriz de Referencia'!$B$2:$CO$584,60,FALSE)=0,0,"Digite"))</f>
        <v>0</v>
      </c>
      <c r="GT17" s="382">
        <f t="shared" si="40"/>
        <v>0</v>
      </c>
      <c r="GU17" s="454">
        <f>IF(OR(AM17=0,AM17=""),0,IF(VLOOKUP(B17,'Matriz de Referencia'!$B$2:$CO$584,62,FALSE)=0,0,"Digite"))</f>
        <v>0</v>
      </c>
      <c r="GV17" s="454">
        <f>IF(OR(AM17=0,AM17=""),0,IF(VLOOKUP(B17,'Matriz de Referencia'!$B$2:$CO$584,63,FALSE)=0,0,"Digite"))</f>
        <v>0</v>
      </c>
      <c r="GW17" s="454">
        <f>IF(OR(AM17=0,AM17=""),0,IF(VLOOKUP(B17,'Matriz de Referencia'!$B$2:$CO$584,64,FALSE)=0,0,"Digite"))</f>
        <v>0</v>
      </c>
      <c r="GX17" s="382">
        <f t="shared" si="41"/>
        <v>0</v>
      </c>
      <c r="GY17" s="382">
        <f t="shared" si="42"/>
        <v>0</v>
      </c>
      <c r="GZ17" s="453">
        <f>IF(OR(AN17=0,AN17=""),0,IF(VLOOKUP(B17,'Matriz de Referencia'!$B$2:$CO$584,53,FALSE)=0,0,"Digite"))</f>
        <v>0</v>
      </c>
      <c r="HA17" s="454">
        <f>IF(OR(AN17=0,AN17=""),0,IF(VLOOKUP(B17,'Matriz de Referencia'!$B$2:$CO$584,54,FALSE)=0,0,"Digite"))</f>
        <v>0</v>
      </c>
      <c r="HB17" s="454">
        <f>IF(OR(AN17=0,AN17=""),0,IF(VLOOKUP(B17,'Matriz de Referencia'!$B$2:$CO$584,55,FALSE)=0,0,"Digite"))</f>
        <v>0</v>
      </c>
      <c r="HC17" s="454">
        <f>IF(OR(AN17=0,AN17=""),0,IF(VLOOKUP(B17,'Matriz de Referencia'!$B$2:$CO$584,56,FALSE)=0,0,"Digite"))</f>
        <v>0</v>
      </c>
      <c r="HD17" s="454">
        <f>IF(OR(AN17=0,AN17=""),0,IF(VLOOKUP(B17,'Matriz de Referencia'!$B$2:$CO$584,57,FALSE)=0,0,"Digite"))</f>
        <v>0</v>
      </c>
      <c r="HE17" s="454">
        <f>IF(OR(AN17=0,AN17=""),0,IF(VLOOKUP(B17,'Matriz de Referencia'!$B$2:$CO$584,58,FALSE)=0,0,"Digite"))</f>
        <v>0</v>
      </c>
      <c r="HF17" s="454">
        <f>IF(OR(AN17=0,AN17=""),0,IF(VLOOKUP(B17,'Matriz de Referencia'!$B$2:$CO$584,59,FALSE)=0,0,"Digite"))</f>
        <v>0</v>
      </c>
      <c r="HG17" s="454">
        <f>IF(OR(AN17=0,AN17=""),0,IF(VLOOKUP(B17,'Matriz de Referencia'!$B$2:$CO$584,60,FALSE)=0,0,"Digite"))</f>
        <v>0</v>
      </c>
      <c r="HH17" s="382">
        <f t="shared" si="43"/>
        <v>0</v>
      </c>
      <c r="HI17" s="454">
        <f>IF(OR(AN17=0,AN17=""),0,IF(VLOOKUP(B17,'Matriz de Referencia'!$B$2:$CO$584,62,FALSE)=0,0,"Digite"))</f>
        <v>0</v>
      </c>
      <c r="HJ17" s="454">
        <f>IF(OR(AN17=0,AN17=""),0,IF(VLOOKUP(B17,'Matriz de Referencia'!$B$2:$CO$584,63,FALSE)=0,0,"Digite"))</f>
        <v>0</v>
      </c>
      <c r="HK17" s="454">
        <f>IF(OR(AN17=0,AN17=""),0,IF(VLOOKUP(B17,'Matriz de Referencia'!$B$2:$CO$584,64,FALSE)=0,0,"Digite"))</f>
        <v>0</v>
      </c>
      <c r="HL17" s="382">
        <f t="shared" si="44"/>
        <v>0</v>
      </c>
      <c r="HM17" s="382">
        <f t="shared" si="45"/>
        <v>0</v>
      </c>
      <c r="HN17" s="382">
        <f t="shared" si="46"/>
        <v>0</v>
      </c>
      <c r="HO17" s="101" t="str">
        <f>IFERROR(IF(HN17=0,"",IF(VLOOKUP(B17,'Matriz de Referencia'!$B$2:$CO$584,66,FALSE)=HN17,"Techos ok, cotinue","Debe revisar el valor programado")),"")</f>
        <v/>
      </c>
      <c r="HP17" s="453">
        <f>IF(OR(AQ17=0,AQ17=""),0,IF(VLOOKUP(B17,'Matriz de Referencia'!$B$2:$CO$584,67,FALSE)=0,0,"Digite"))</f>
        <v>0</v>
      </c>
      <c r="HQ17" s="454">
        <f>IF(OR(AQ17=0,AQ17=""),0,IF(VLOOKUP(B17,'Matriz de Referencia'!$B$2:$CO$584,68,FALSE)=0,0,"Digite"))</f>
        <v>0</v>
      </c>
      <c r="HR17" s="454">
        <f>IF(OR(AQ17=0,AQ17=""),0,IF(VLOOKUP(B17,'Matriz de Referencia'!$B$2:$CO$584,69,FALSE)=0,0,"Digite"))</f>
        <v>0</v>
      </c>
      <c r="HS17" s="454">
        <f>IF(OR(AQ17=0,AQ17=""),0,IF(VLOOKUP(B17,'Matriz de Referencia'!$B$2:$CO$584,70,FALSE)=0,0,"Digite"))</f>
        <v>0</v>
      </c>
      <c r="HT17" s="454">
        <f>IF(OR(AQ17=0,AQ17=""),0,IF(VLOOKUP(B17,'Matriz de Referencia'!$B$2:$CO$584,71,FALSE)=0,0,"Digite"))</f>
        <v>0</v>
      </c>
      <c r="HU17" s="454">
        <f>IF(OR(AQ17=0,AQ17=""),0,IF(VLOOKUP(B17,'Matriz de Referencia'!$B$2:$CO$584,72,FALSE)=0,0,"Digite"))</f>
        <v>0</v>
      </c>
      <c r="HV17" s="454">
        <f>IF(OR(AQ17=0,AQ17=""),0,IF(VLOOKUP(B17,'Matriz de Referencia'!$B$2:$CO$584,73,FALSE)=0,0,"Digite"))</f>
        <v>0</v>
      </c>
      <c r="HW17" s="454">
        <f>IF(OR(AQ17=0,AQ17=""),0,IF(VLOOKUP(B17,'Matriz de Referencia'!$B$2:$CO$584,74,FALSE)=0,0,"Digite"))</f>
        <v>0</v>
      </c>
      <c r="HX17" s="382">
        <f t="shared" si="47"/>
        <v>0</v>
      </c>
      <c r="HY17" s="454">
        <f>IF(OR(AQ17=0,AQ17=""),0,IF(VLOOKUP(B17,'Matriz de Referencia'!$B$2:$CO$584,76,FALSE)=0,0,"Digite"))</f>
        <v>0</v>
      </c>
      <c r="HZ17" s="454">
        <f>IF(OR(AQ17=0,AQ17=""),0,IF(VLOOKUP(B17,'Matriz de Referencia'!$B$2:$CO$584,77,FALSE)=0,0,"Digite"))</f>
        <v>0</v>
      </c>
      <c r="IA17" s="454">
        <f>IF(OR(AQ17=0,AQ17=""),0,IF(VLOOKUP(B17,'Matriz de Referencia'!$B$2:$CO$584,78,FALSE)=0,0,"Digite"))</f>
        <v>0</v>
      </c>
      <c r="IB17" s="382">
        <f t="shared" si="48"/>
        <v>0</v>
      </c>
      <c r="IC17" s="382">
        <f t="shared" si="49"/>
        <v>0</v>
      </c>
      <c r="ID17" s="453">
        <f>IF(OR(AR17=0,AR17=""),0,IF(VLOOKUP(B17,'Matriz de Referencia'!$B$2:$CO$584,67,FALSE)=0,0,"Digite"))</f>
        <v>0</v>
      </c>
      <c r="IE17" s="454">
        <f>IF(OR(AR17=0,AR17=""),0,IF(VLOOKUP(B17,'Matriz de Referencia'!$B$2:$CO$584,68,FALSE)=0,0,"Digite"))</f>
        <v>0</v>
      </c>
      <c r="IF17" s="454">
        <f>IF(OR(AR17=0,AR17=""),0,IF(VLOOKUP(B17,'Matriz de Referencia'!$B$2:$CO$584,69,FALSE)=0,0,"Digite"))</f>
        <v>0</v>
      </c>
      <c r="IG17" s="454">
        <f>IF(OR(AR17=0,AR17=""),0,IF(VLOOKUP(B17,'Matriz de Referencia'!$B$2:$CO$584,70,FALSE)=0,0,"Digite"))</f>
        <v>0</v>
      </c>
      <c r="IH17" s="454">
        <f>IF(OR(AR17=0,AR17=""),0,IF(VLOOKUP(B17,'Matriz de Referencia'!$B$2:$CO$584,71,FALSE)=0,0,"Digite"))</f>
        <v>0</v>
      </c>
      <c r="II17" s="454">
        <f>IF(OR(AR17=0,AR17=""),0,IF(VLOOKUP(B17,'Matriz de Referencia'!$B$2:$CO$584,72,FALSE)=0,0,"Digite"))</f>
        <v>0</v>
      </c>
      <c r="IJ17" s="454">
        <f>IF(OR(AR17=0,AR17=""),0,IF(VLOOKUP(B17,'Matriz de Referencia'!$B$2:$CO$584,73,FALSE)=0,0,"Digite"))</f>
        <v>0</v>
      </c>
      <c r="IK17" s="454">
        <f>IF(OR(AR17=0,AR17=""),0,IF(VLOOKUP(B17,'Matriz de Referencia'!$B$2:$CO$584,74,FALSE)=0,0,"Digite"))</f>
        <v>0</v>
      </c>
      <c r="IL17" s="382">
        <f t="shared" si="50"/>
        <v>0</v>
      </c>
      <c r="IM17" s="454">
        <f>IF(OR(AR17=0,AR17=""),0,IF(VLOOKUP(B17,'Matriz de Referencia'!$B$2:$CO$584,76,FALSE)=0,0,"Digite"))</f>
        <v>0</v>
      </c>
      <c r="IN17" s="454">
        <f>IF(OR(AR17=0,AR17=""),0,IF(VLOOKUP(B17,'Matriz de Referencia'!$B$2:$CO$584,77,FALSE)=0,0,"Digite"))</f>
        <v>0</v>
      </c>
      <c r="IO17" s="454">
        <f>IF(OR(AR17=0,AR17=""),0,IF(VLOOKUP(B17,'Matriz de Referencia'!$B$2:$CO$584,78,FALSE)=0,0,"Digite"))</f>
        <v>0</v>
      </c>
      <c r="IP17" s="382">
        <f t="shared" si="51"/>
        <v>0</v>
      </c>
      <c r="IQ17" s="382">
        <f t="shared" si="52"/>
        <v>0</v>
      </c>
      <c r="IR17" s="453">
        <f>IF(OR(AS17=0,AS17=""),0,IF(VLOOKUP(B17,'Matriz de Referencia'!$B$2:$CO$584,67,FALSE)=0,0,"Digite"))</f>
        <v>0</v>
      </c>
      <c r="IS17" s="454">
        <f>IF(OR(AS17=0,AS17=""),0,IF(VLOOKUP(B17,'Matriz de Referencia'!$B$2:$CO$584,68,FALSE)=0,0,"Digite"))</f>
        <v>0</v>
      </c>
      <c r="IT17" s="454">
        <f>IF(OR(AS17=0,AS17=""),0,IF(VLOOKUP(B17,'Matriz de Referencia'!$B$2:$CO$584,69,FALSE)=0,0,"Digite"))</f>
        <v>0</v>
      </c>
      <c r="IU17" s="454">
        <f>IF(OR(AS17=0,AS17=""),0,IF(VLOOKUP(B17,'Matriz de Referencia'!$B$2:$CO$584,70,FALSE)=0,0,"Digite"))</f>
        <v>0</v>
      </c>
      <c r="IV17" s="454">
        <f>IF(OR(AS17=0,AS17=""),0,IF(VLOOKUP(B17,'Matriz de Referencia'!$B$2:$CO$584,71,FALSE)=0,0,"Digite"))</f>
        <v>0</v>
      </c>
      <c r="IW17" s="454">
        <f>IF(OR(AS17=0,AS17=""),0,IF(VLOOKUP(B17,'Matriz de Referencia'!$B$2:$CO$584,72,FALSE)=0,0,"Digite"))</f>
        <v>0</v>
      </c>
      <c r="IX17" s="454">
        <f>IF(OR(AS17=0,AS17=""),0,IF(VLOOKUP(B17,'Matriz de Referencia'!$B$2:$CO$584,73,FALSE)=0,0,"Digite"))</f>
        <v>0</v>
      </c>
      <c r="IY17" s="454">
        <f>IF(OR(AS17=0,AS17=""),0,IF(VLOOKUP(B17,'Matriz de Referencia'!$B$2:$CO$584,74,FALSE)=0,0,"Digite"))</f>
        <v>0</v>
      </c>
      <c r="IZ17" s="382">
        <f t="shared" si="53"/>
        <v>0</v>
      </c>
      <c r="JA17" s="454">
        <f>IF(OR(AS17=0,AS17=""),0,IF(VLOOKUP(B17,'Matriz de Referencia'!$B$2:$CO$584,76,FALSE)=0,0,"Digite"))</f>
        <v>0</v>
      </c>
      <c r="JB17" s="454">
        <f>IF(OR(AS17=0,AS17=""),0,IF(VLOOKUP(B17,'Matriz de Referencia'!$B$2:$CO$584,77,FALSE)=0,0,"Digite"))</f>
        <v>0</v>
      </c>
      <c r="JC17" s="454">
        <f>IF(OR(AS17=0,AS17=""),0,IF(VLOOKUP(B17,'Matriz de Referencia'!$B$2:$CO$584,78,FALSE)=0,0,"Digite"))</f>
        <v>0</v>
      </c>
      <c r="JD17" s="382">
        <f t="shared" si="54"/>
        <v>0</v>
      </c>
      <c r="JE17" s="382">
        <f t="shared" si="55"/>
        <v>0</v>
      </c>
      <c r="JF17" s="453">
        <f>IF(OR(AT17=0,AT17=""),0,IF(VLOOKUP(B17,'Matriz de Referencia'!$B$2:$CO$584,67,FALSE)=0,0,"Digite"))</f>
        <v>0</v>
      </c>
      <c r="JG17" s="454">
        <f>IF(OR(AT17=0,AT17=""),0,IF(VLOOKUP(B17,'Matriz de Referencia'!$B$2:$CO$584,68,FALSE)=0,0,"Digite"))</f>
        <v>0</v>
      </c>
      <c r="JH17" s="454">
        <f>IF(OR(AT17=0,AT17=""),0,IF(VLOOKUP(B17,'Matriz de Referencia'!$B$2:$CO$584,69,FALSE)=0,0,"Digite"))</f>
        <v>0</v>
      </c>
      <c r="JI17" s="454">
        <f>IF(OR(AT17=0,AT17=""),0,IF(VLOOKUP(B17,'Matriz de Referencia'!$B$2:$CO$584,70,FALSE)=0,0,"Digite"))</f>
        <v>0</v>
      </c>
      <c r="JJ17" s="454">
        <f>IF(OR(AT17=0,AT17=""),0,IF(VLOOKUP(B17,'Matriz de Referencia'!$B$2:$CO$584,71,FALSE)=0,0,"Digite"))</f>
        <v>0</v>
      </c>
      <c r="JK17" s="454">
        <f>IF(OR(AT17=0,AT17=""),0,IF(VLOOKUP(B17,'Matriz de Referencia'!$B$2:$CO$584,72,FALSE)=0,0,"Digite"))</f>
        <v>0</v>
      </c>
      <c r="JL17" s="454">
        <f>IF(OR(AT17=0,AT17=""),0,IF(VLOOKUP(B17,'Matriz de Referencia'!$B$2:$CO$584,73,FALSE)=0,0,"Digite"))</f>
        <v>0</v>
      </c>
      <c r="JM17" s="454">
        <f>IF(OR(AT17=0,AT17=""),0,IF(VLOOKUP(B17,'Matriz de Referencia'!$B$2:$CO$584,74,FALSE)=0,0,"Digite"))</f>
        <v>0</v>
      </c>
      <c r="JN17" s="382">
        <f t="shared" si="56"/>
        <v>0</v>
      </c>
      <c r="JO17" s="454">
        <f>IF(OR(AT17=0,AT17=""),0,IF(VLOOKUP(B17,'Matriz de Referencia'!$B$2:$CO$584,76,FALSE)=0,0,"Digite"))</f>
        <v>0</v>
      </c>
      <c r="JP17" s="454">
        <f>IF(OR(AT17=0,AT17=""),0,IF(VLOOKUP(B17,'Matriz de Referencia'!$B$2:$CO$584,77,FALSE)=0,0,"Digite"))</f>
        <v>0</v>
      </c>
      <c r="JQ17" s="454">
        <f>IF(OR(AT17=0,AT17=""),0,IF(VLOOKUP(B17,'Matriz de Referencia'!$B$2:$CO$584,78,FALSE)=0,0,"Digite"))</f>
        <v>0</v>
      </c>
      <c r="JR17" s="382">
        <f t="shared" si="57"/>
        <v>0</v>
      </c>
      <c r="JS17" s="382">
        <f t="shared" si="58"/>
        <v>0</v>
      </c>
      <c r="JT17" s="382">
        <f t="shared" si="59"/>
        <v>0</v>
      </c>
      <c r="JU17" s="101" t="str">
        <f>IFERROR(IF(JT17=0,"",IF(VLOOKUP(B17,'Matriz de Referencia'!$B$2:$CO$584,80,FALSE)=JT17,"Techos ok, cotinue","Debe revisar el valor programado")),"")</f>
        <v/>
      </c>
      <c r="JV17" s="382">
        <f t="shared" si="60"/>
        <v>0</v>
      </c>
    </row>
    <row r="18" spans="19:282">
      <c r="S18" s="568"/>
      <c r="T18" s="414"/>
      <c r="U18" s="661" t="str">
        <f t="shared" si="1"/>
        <v>Dimensión_</v>
      </c>
      <c r="V18" s="414"/>
      <c r="W18" s="568"/>
      <c r="X18" s="449" t="str">
        <f>IFERROR(IF(VLOOKUP(B18,'Matriz de Referencia'!$B$2:$CO$584,'Matriz de Referencia'!AM$1,FALSE)&gt;0,"Diligenciar la vigencia, tiene presupuesto programado","No diligenciar, no programo presupuesto"),"")</f>
        <v/>
      </c>
      <c r="Y18" s="649"/>
      <c r="Z18" s="649"/>
      <c r="AA18" s="649"/>
      <c r="AB18" s="649"/>
      <c r="AC18" s="650" t="str">
        <f t="shared" si="61"/>
        <v/>
      </c>
      <c r="AD18" s="449" t="str">
        <f>IFERROR(IF(VLOOKUP($B18,'Matriz de Referencia'!$B$2:$CO$584,'Matriz de Referencia'!BA$1,FALSE)&gt;0,"Diligenciar la vigencia, tiene presupuesto programado","No diligenciar, no programo presupuesto"),"")</f>
        <v/>
      </c>
      <c r="AE18" s="649"/>
      <c r="AF18" s="649"/>
      <c r="AG18" s="649"/>
      <c r="AH18" s="649"/>
      <c r="AI18" s="650" t="str">
        <f t="shared" si="3"/>
        <v/>
      </c>
      <c r="AJ18" s="449" t="str">
        <f>IFERROR(IF(VLOOKUP($B18,'Matriz de Referencia'!$B$2:$CO$584,'Matriz de Referencia'!BO$1,FALSE)&gt;0,"Diligenciar la vigencia, tiene presupuesto programado","No diligenciar, no programo presupuesto"),"")</f>
        <v/>
      </c>
      <c r="AK18" s="649"/>
      <c r="AL18" s="649"/>
      <c r="AM18" s="649"/>
      <c r="AN18" s="649"/>
      <c r="AO18" s="650" t="str">
        <f t="shared" si="4"/>
        <v/>
      </c>
      <c r="AP18" s="449" t="str">
        <f>IFERROR(IF(VLOOKUP($B18,'Matriz de Referencia'!$B$2:$CO$584,'Matriz de Referencia'!CC$1,FALSE)&gt;0,"Diligenciar la vigencia, tiene presupuesto programado","No diligenciar, no programo presupuesto"),"")</f>
        <v/>
      </c>
      <c r="AQ18" s="649"/>
      <c r="AR18" s="649"/>
      <c r="AS18" s="649"/>
      <c r="AT18" s="649"/>
      <c r="AU18" s="650" t="str">
        <f t="shared" si="5"/>
        <v/>
      </c>
      <c r="AV18" s="448" t="str">
        <f t="shared" si="6"/>
        <v/>
      </c>
      <c r="AW18" s="416" t="str">
        <f t="shared" si="7"/>
        <v/>
      </c>
      <c r="AX18" s="455" t="str">
        <f>IF(OR(Y18=0,Y18=""),"",IF(VLOOKUP(B18,'Matriz de Referencia'!$B$2:$CO$584,'Matriz de Referencia'!BB$1,FALSE)=0,"","Digite"))</f>
        <v/>
      </c>
      <c r="AY18" s="456">
        <f>IF(OR(Y18=0,Y18=""),0,IF(VLOOKUP(B18,'Matriz de Referencia'!$B$2:$CO$584,26,FALSE)=0,0,"Digite"))</f>
        <v>0</v>
      </c>
      <c r="AZ18" s="456">
        <f>IF(OR(Y18=0,Y18=""),0,IF(VLOOKUP(B18,'Matriz de Referencia'!$B$2:$CO$584,27,FALSE)=0,0,"Digite"))</f>
        <v>0</v>
      </c>
      <c r="BA18" s="456">
        <f>IF(OR(Y18=0,Y18=""),0,IF(VLOOKUP(B18,'Matriz de Referencia'!$B$2:$CO$584,28,FALSE)=0,0,"Digite"))</f>
        <v>0</v>
      </c>
      <c r="BB18" s="456">
        <f>IF(OR(Y18=0,Y18=""),0,IF(VLOOKUP(B18,'Matriz de Referencia'!$B$2:$CO$584,29,FALSE)=0,0,"Digite"))</f>
        <v>0</v>
      </c>
      <c r="BC18" s="456">
        <f>IF(OR(Y18=0,Y18=""),0,IF(VLOOKUP(B18,'Matriz de Referencia'!$B$2:$CO$584,30,FALSE)=0,0,"Digite"))</f>
        <v>0</v>
      </c>
      <c r="BD18" s="456">
        <f>IF(OR(Y18=0,Y18=""),0,IF(VLOOKUP(B18,'Matriz de Referencia'!$B$2:$CO$584,31,FALSE)=0,0,"Digite"))</f>
        <v>0</v>
      </c>
      <c r="BE18" s="456">
        <f>IF(OR(Y18=0,Y18=""),0,IF(VLOOKUP(B18,'Matriz de Referencia'!$B$2:$CO$584,32,FALSE)=0,0,"Digite"))</f>
        <v>0</v>
      </c>
      <c r="BF18" s="460">
        <f t="shared" si="8"/>
        <v>0</v>
      </c>
      <c r="BG18" s="456">
        <f>IF(OR(Y18=0,Y18=""),0,IF(VLOOKUP(B18,'Matriz de Referencia'!$B$2:$CO$584,34,FALSE)=0,0,"Digite"))</f>
        <v>0</v>
      </c>
      <c r="BH18" s="456">
        <f>IF(OR(Y18=0,Y18=""),0,IF(VLOOKUP(B18,'Matriz de Referencia'!$B$2:$CO$584,35,FALSE)=0,0,"Digite"))</f>
        <v>0</v>
      </c>
      <c r="BI18" s="456">
        <f>IF(OR(Y18=0,Y18=""),0,IF(VLOOKUP(B18,'Matriz de Referencia'!$B$2:$CO$584,36,FALSE)=0,0,"Digite"))</f>
        <v>0</v>
      </c>
      <c r="BJ18" s="457">
        <f t="shared" si="9"/>
        <v>0</v>
      </c>
      <c r="BK18" s="457">
        <f t="shared" si="10"/>
        <v>0</v>
      </c>
      <c r="BL18" s="455">
        <f>IF(OR(Z18=0,Z18=""),0,IF(VLOOKUP(B18,'Matriz de Referencia'!$B$2:$CO$584,25,FALSE)=0,0,"Digite"))</f>
        <v>0</v>
      </c>
      <c r="BM18" s="456">
        <f>IF(OR(Z18=0,Z18=""),0,IF(VLOOKUP(B18,'Matriz de Referencia'!$B$2:$CO$584,26,FALSE)=0,0,"Digite"))</f>
        <v>0</v>
      </c>
      <c r="BN18" s="456">
        <f>IF(OR(Z18=0,Z18=""),0,IF(VLOOKUP(B18,'Matriz de Referencia'!$B$2:$CO$584,27,FALSE)=0,0,"Digite"))</f>
        <v>0</v>
      </c>
      <c r="BO18" s="456">
        <f>IF(OR(Z18=0,Z18=""),0,IF(VLOOKUP(B18,'Matriz de Referencia'!$B$2:$CO$584,28,FALSE)=0,0,"Digite"))</f>
        <v>0</v>
      </c>
      <c r="BP18" s="456">
        <f>IF(OR(Z18=0,Z18=""),0,IF(VLOOKUP(B18,'Matriz de Referencia'!$B$2:$CO$584,29,FALSE)=0,0,"Digite"))</f>
        <v>0</v>
      </c>
      <c r="BQ18" s="456">
        <f>IF(OR(Z18=0,Z18=""),0,IF(VLOOKUP(B18,'Matriz de Referencia'!$B$2:$CO$584,30,FALSE)=0,0,"Digite"))</f>
        <v>0</v>
      </c>
      <c r="BR18" s="456">
        <f>IF(OR(Z18=0,Z18=""),0,IF(VLOOKUP(B18,'Matriz de Referencia'!$B$2:$CO$584,31,FALSE)=0,0,"Digite"))</f>
        <v>0</v>
      </c>
      <c r="BS18" s="456">
        <f>IF(OR(Z18=0,Z18=""),0,IF(VLOOKUP(B18,'Matriz de Referencia'!$B$2:$CO$584,32,FALSE)=0,0,"Digite"))</f>
        <v>0</v>
      </c>
      <c r="BT18" s="457">
        <f t="shared" si="11"/>
        <v>0</v>
      </c>
      <c r="BU18" s="456">
        <f>IF(OR(Z18=0,Z18=""),0,IF(VLOOKUP(B18,'Matriz de Referencia'!$B$2:$CO$584,34,FALSE)=0,0,"Digite"))</f>
        <v>0</v>
      </c>
      <c r="BV18" s="456">
        <f>IF(OR(Z18=0,Z18=""),0,IF(VLOOKUP(B18,'Matriz de Referencia'!$B$2:$CO$584,35,FALSE)=0,0,"Digite"))</f>
        <v>0</v>
      </c>
      <c r="BW18" s="456">
        <f>IF(OR(Z18=0,Z18=""),0,IF(VLOOKUP(B18,'Matriz de Referencia'!$B$2:$CO$584,36,FALSE)=0,0,"Digite"))</f>
        <v>0</v>
      </c>
      <c r="BX18" s="457">
        <f t="shared" si="12"/>
        <v>0</v>
      </c>
      <c r="BY18" s="457">
        <f t="shared" si="13"/>
        <v>0</v>
      </c>
      <c r="BZ18" s="455">
        <f>IF(OR(AA18=0,AA18=""),0,IF(VLOOKUP(B18,'Matriz de Referencia'!$B$2:$CO$584,25,FALSE)=0,0,"Digite"))</f>
        <v>0</v>
      </c>
      <c r="CA18" s="456">
        <f>IF(OR(AA18=0,AA18=""),0,IF(VLOOKUP(B18,'Matriz de Referencia'!$B$2:$CO$584,26,FALSE)=0,0,"Digite"))</f>
        <v>0</v>
      </c>
      <c r="CB18" s="456">
        <f>IF(OR(AA18=0,AA18=""),0,IF(VLOOKUP(B18,'Matriz de Referencia'!$B$2:$CO$584,27,FALSE)=0,0,"Digite"))</f>
        <v>0</v>
      </c>
      <c r="CC18" s="456">
        <f>IF(OR(AA18=0,AA18=""),0,IF(VLOOKUP(B18,'Matriz de Referencia'!$B$2:$CO$584,28,FALSE)=0,0,"Digite"))</f>
        <v>0</v>
      </c>
      <c r="CD18" s="456">
        <f>IF(OR(AA18=0,AA18=""),0,IF(VLOOKUP(B18,'Matriz de Referencia'!$B$2:$CO$584,29,FALSE)=0,0,"Digite"))</f>
        <v>0</v>
      </c>
      <c r="CE18" s="456">
        <f>IF(OR(AA18=0,AA18=""),0,IF(VLOOKUP(B18,'Matriz de Referencia'!$B$2:$CO$584,30,FALSE)=0,0,"Digite"))</f>
        <v>0</v>
      </c>
      <c r="CF18" s="456">
        <f>IF(OR(AA18=0,AA18=""),0,IF(VLOOKUP(B18,'Matriz de Referencia'!$B$2:$CO$584,31,FALSE)=0,0,"Digite"))</f>
        <v>0</v>
      </c>
      <c r="CG18" s="456">
        <f>IF(OR(AA18=0,AA18=""),0,IF(VLOOKUP(B18,'Matriz de Referencia'!$B$2:$CO$584,32,FALSE)=0,0,"Digite"))</f>
        <v>0</v>
      </c>
      <c r="CH18" s="457">
        <f t="shared" si="14"/>
        <v>0</v>
      </c>
      <c r="CI18" s="456">
        <f>IF(OR(AA18=0,AA18=""),0,IF(VLOOKUP(B18,'Matriz de Referencia'!$B$2:$CO$584,34,FALSE)=0,0,"Digite"))</f>
        <v>0</v>
      </c>
      <c r="CJ18" s="456">
        <f>IF(OR(AA18=0,AA18=""),0,IF(VLOOKUP(B18,'Matriz de Referencia'!$B$2:$CO$584,35,FALSE)=0,0,"Digite"))</f>
        <v>0</v>
      </c>
      <c r="CK18" s="456">
        <f>IF(OR(AA18=0,AA18=""),0,IF(VLOOKUP(B18,'Matriz de Referencia'!$B$2:$CO$584,36,FALSE)=0,0,"Digite"))</f>
        <v>0</v>
      </c>
      <c r="CL18" s="457">
        <f t="shared" si="15"/>
        <v>0</v>
      </c>
      <c r="CM18" s="457">
        <f t="shared" si="16"/>
        <v>0</v>
      </c>
      <c r="CN18" s="455">
        <f>IF(OR(AB18=0,AB18=""),0,IF(VLOOKUP(B18,'Matriz de Referencia'!$B$2:$CO$584,25,FALSE)=0,0,"Digite"))</f>
        <v>0</v>
      </c>
      <c r="CO18" s="456">
        <f>IF(OR(AB18=0,AB18=""),0,IF(VLOOKUP(B18,'Matriz de Referencia'!$B$2:$CO$584,26,FALSE)=0,0,"Digite"))</f>
        <v>0</v>
      </c>
      <c r="CP18" s="456">
        <f>IF(OR(AB18=0,AB18=""),0,IF(VLOOKUP(B18,'Matriz de Referencia'!$B$2:$CO$584,27,FALSE)=0,0,"Digite"))</f>
        <v>0</v>
      </c>
      <c r="CQ18" s="456">
        <f>IF(OR(AB18=0,AB18=""),0,IF(VLOOKUP(B18,'Matriz de Referencia'!$B$2:$CO$584,28,FALSE)=0,0,"Digite"))</f>
        <v>0</v>
      </c>
      <c r="CR18" s="456">
        <f>IF(OR(AB18=0,AB18=""),0,IF(VLOOKUP(B18,'Matriz de Referencia'!$B$2:$CO$584,29,FALSE)=0,0,"Digite"))</f>
        <v>0</v>
      </c>
      <c r="CS18" s="456">
        <f>IF(OR(AB18=0,AB18=""),0,IF(VLOOKUP(B18,'Matriz de Referencia'!$B$2:$CO$584,30,FALSE)=0,0,"Digite"))</f>
        <v>0</v>
      </c>
      <c r="CT18" s="456">
        <f>IF(OR(AB18=0,AB18=""),0,IF(VLOOKUP(B18,'Matriz de Referencia'!$B$2:$CO$584,31,FALSE)=0,0,"Digite"))</f>
        <v>0</v>
      </c>
      <c r="CU18" s="456">
        <f>IF(OR(AB18=0,AB18=""),0,IF(VLOOKUP(B18,'Matriz de Referencia'!$B$2:$CO$584,32,FALSE)=0,0,"Digite"))</f>
        <v>0</v>
      </c>
      <c r="CV18" s="457">
        <f t="shared" si="17"/>
        <v>0</v>
      </c>
      <c r="CW18" s="456">
        <f>IF(OR(AB18=0,AB18=""),0,IF(VLOOKUP(B18,'Matriz de Referencia'!$B$2:$CO$584,34,FALSE)=0,0,"Digite"))</f>
        <v>0</v>
      </c>
      <c r="CX18" s="456">
        <f>IF(OR(AB18=0,AB18=""),0,IF(VLOOKUP(B18,'Matriz de Referencia'!$B$2:$CO$584,35,FALSE)=0,0,"Digite"))</f>
        <v>0</v>
      </c>
      <c r="CY18" s="456">
        <f>IF(OR(AB18=0,AB18=""),0,IF(VLOOKUP(B18,'Matriz de Referencia'!$B$2:$CO$584,36,FALSE)=0,0,"Digite"))</f>
        <v>0</v>
      </c>
      <c r="CZ18" s="457">
        <f t="shared" si="18"/>
        <v>0</v>
      </c>
      <c r="DA18" s="457">
        <f t="shared" si="19"/>
        <v>0</v>
      </c>
      <c r="DB18" s="457">
        <f t="shared" si="20"/>
        <v>0</v>
      </c>
      <c r="DC18" s="101" t="str">
        <f>IFERROR(IF(DB18=0,"",IF(VLOOKUP(B18,'Matriz de Referencia'!$B$2:$CO$584,'Matriz de Referencia'!BO$1,FALSE)=DB18,"Techos ok, cotinue","Debe revisar el valor programado")),"")</f>
        <v/>
      </c>
      <c r="DD18" s="453">
        <f>IF(OR(AE18=0,AE18=""),0,IF(VLOOKUP(B18,'Matriz de Referencia'!$B$2:$CO$584,39,FALSE)=0,0,"Digite"))</f>
        <v>0</v>
      </c>
      <c r="DE18" s="454">
        <f>IF(OR(AE18=0,AE18=""),0,IF(VLOOKUP(B18,'Matriz de Referencia'!$B$2:$CO$584,40,FALSE)=0,0,"Digite"))</f>
        <v>0</v>
      </c>
      <c r="DF18" s="454">
        <f>IF(OR(AE18=0,AE18=""),0,IF(VLOOKUP(B18,'Matriz de Referencia'!$B$2:$CO$584,41,FALSE)=0,0,"Digite"))</f>
        <v>0</v>
      </c>
      <c r="DG18" s="454">
        <f>IF(OR(AE18=0,AE18=""),0,IF(VLOOKUP(B18,'Matriz de Referencia'!$B$2:$CO$584,42,FALSE)=0,0,"Digite"))</f>
        <v>0</v>
      </c>
      <c r="DH18" s="454">
        <f>IF(OR(AE18=0,AE18=""),0,IF(VLOOKUP(B18,'Matriz de Referencia'!$B$2:$CO$584,43,FALSE)=0,0,"Digite"))</f>
        <v>0</v>
      </c>
      <c r="DI18" s="454">
        <f>IF(OR(AE18=0,AE18=""),0,IF(VLOOKUP(B18,'Matriz de Referencia'!$B$2:$CO$584,44,FALSE)=0,0,"Digite"))</f>
        <v>0</v>
      </c>
      <c r="DJ18" s="454">
        <f>IF(OR(AE18=0,AE18=""),0,IF(VLOOKUP(B18,'Matriz de Referencia'!$B$2:$CO$584,45,FALSE)=0,0,"Digite"))</f>
        <v>0</v>
      </c>
      <c r="DK18" s="454">
        <f>IF(OR(AE18=0,AE18=""),0,IF(VLOOKUP(B18,'Matriz de Referencia'!$B$2:$CO$584,46,FALSE)=0,0,"Digite"))</f>
        <v>0</v>
      </c>
      <c r="DL18" s="382">
        <f t="shared" si="21"/>
        <v>0</v>
      </c>
      <c r="DM18" s="454">
        <f>IF(OR(AE18=0,AE18=""),0,IF(VLOOKUP(B18,'Matriz de Referencia'!$B$2:$CO$584,48,FALSE)=0,0,"Digite"))</f>
        <v>0</v>
      </c>
      <c r="DN18" s="454">
        <f>IF(OR(AE18=0,AE18=""),0,IF(VLOOKUP(B18,'Matriz de Referencia'!$B$2:$CO$584,49,FALSE)=0,0,"Digite"))</f>
        <v>0</v>
      </c>
      <c r="DO18" s="454">
        <f>IF(OR(AE18=0,AE18=""),0,IF(VLOOKUP(B18,'Matriz de Referencia'!$B$2:$CO$584,50,FALSE)=0,0,"Digite"))</f>
        <v>0</v>
      </c>
      <c r="DP18" s="382">
        <f t="shared" si="22"/>
        <v>0</v>
      </c>
      <c r="DQ18" s="382">
        <f t="shared" si="23"/>
        <v>0</v>
      </c>
      <c r="DR18" s="453">
        <f>IF(OR(AF18=0,AF18=""),0,IF(VLOOKUP(B18,'Matriz de Referencia'!$B$2:$CO$584,39,FALSE)=0,0,"Digite"))</f>
        <v>0</v>
      </c>
      <c r="DS18" s="454">
        <f>IF(OR(AF18=0,AF18=""),0,IF(VLOOKUP(B18,'Matriz de Referencia'!$B$2:$CO$584,40,FALSE)=0,0,"Digite"))</f>
        <v>0</v>
      </c>
      <c r="DT18" s="454">
        <f>IF(OR(AF18=0,AF18=""),0,IF(VLOOKUP(B18,'Matriz de Referencia'!$B$2:$CO$584,41,FALSE)=0,0,"Digite"))</f>
        <v>0</v>
      </c>
      <c r="DU18" s="454">
        <f>IF(OR(AF18=0,AF18=""),0,IF(VLOOKUP(B18,'Matriz de Referencia'!$B$2:$CO$584,42,FALSE)=0,0,"Digite"))</f>
        <v>0</v>
      </c>
      <c r="DV18" s="454">
        <f>IF(OR(AF18=0,AF18=""),0,IF(VLOOKUP(B18,'Matriz de Referencia'!$B$2:$CO$584,43,FALSE)=0,0,"Digite"))</f>
        <v>0</v>
      </c>
      <c r="DW18" s="454">
        <f>IF(OR(AF18=0,AF18=""),0,IF(VLOOKUP(B18,'Matriz de Referencia'!$B$2:$CO$584,44,FALSE)=0,0,"Digite"))</f>
        <v>0</v>
      </c>
      <c r="DX18" s="454">
        <f>IF(OR(AF18=0,AF18=""),0,IF(VLOOKUP(B18,'Matriz de Referencia'!$B$2:$CO$584,45,FALSE)=0,0,"Digite"))</f>
        <v>0</v>
      </c>
      <c r="DY18" s="454">
        <f>IF(OR(AF18=0,AF18=""),0,IF(VLOOKUP(B18,'Matriz de Referencia'!$B$2:$CO$584,46,FALSE)=0,0,"Digite"))</f>
        <v>0</v>
      </c>
      <c r="DZ18" s="382">
        <f t="shared" si="24"/>
        <v>0</v>
      </c>
      <c r="EA18" s="454">
        <f>IF(OR(AF18=0,AF18=""),0,IF(VLOOKUP(B18,'Matriz de Referencia'!$B$2:$CO$584,48,FALSE)=0,0,"Digite"))</f>
        <v>0</v>
      </c>
      <c r="EB18" s="454">
        <f>IF(OR(AF18=0,AF18=""),0,IF(VLOOKUP(B18,'Matriz de Referencia'!$B$2:$CO$584,49,FALSE)=0,0,"Digite"))</f>
        <v>0</v>
      </c>
      <c r="EC18" s="454">
        <f>IF(OR(AF18=0,AF18=""),0,IF(VLOOKUP(B18,'Matriz de Referencia'!$B$2:$CO$584,50,FALSE)=0,0,"Digite"))</f>
        <v>0</v>
      </c>
      <c r="ED18" s="382">
        <f t="shared" si="25"/>
        <v>0</v>
      </c>
      <c r="EE18" s="382">
        <f t="shared" si="26"/>
        <v>0</v>
      </c>
      <c r="EF18" s="453">
        <f>IF(OR(AG18=0,AG18=""),0,IF(VLOOKUP(B18,'Matriz de Referencia'!$B$2:$CO$584,39,FALSE)=0,0,"Digite"))</f>
        <v>0</v>
      </c>
      <c r="EG18" s="454">
        <f>IF(OR(AG18=0,AG18=""),0,IF(VLOOKUP(B18,'Matriz de Referencia'!$B$2:$CO$584,40,FALSE)=0,0,"Digite"))</f>
        <v>0</v>
      </c>
      <c r="EH18" s="454">
        <f>IF(OR(AG18=0,AG18=""),0,IF(VLOOKUP(B18,'Matriz de Referencia'!$B$2:$CO$584,41,FALSE)=0,0,"Digite"))</f>
        <v>0</v>
      </c>
      <c r="EI18" s="454">
        <f>IF(OR(AG18=0,AG18=""),0,IF(VLOOKUP(B18,'Matriz de Referencia'!$B$2:$CO$584,42,FALSE)=0,0,"Digite"))</f>
        <v>0</v>
      </c>
      <c r="EJ18" s="454">
        <f>IF(OR(AG18=0,AG18=""),0,IF(VLOOKUP(B18,'Matriz de Referencia'!$B$2:$CO$584,43,FALSE)=0,0,"Digite"))</f>
        <v>0</v>
      </c>
      <c r="EK18" s="454">
        <f>IF(OR(AG18=0,AG18=""),0,IF(VLOOKUP(B18,'Matriz de Referencia'!$B$2:$CO$584,44,FALSE)=0,0,"Digite"))</f>
        <v>0</v>
      </c>
      <c r="EL18" s="454">
        <f>IF(OR(AG18=0,AG18=""),0,IF(VLOOKUP(B18,'Matriz de Referencia'!$B$2:$CO$584,45,FALSE)=0,0,"Digite"))</f>
        <v>0</v>
      </c>
      <c r="EM18" s="454">
        <f>IF(OR(AG18=0,AG18=""),0,IF(VLOOKUP(B18,'Matriz de Referencia'!$B$2:$CO$584,46,FALSE)=0,0,"Digite"))</f>
        <v>0</v>
      </c>
      <c r="EN18" s="382">
        <f t="shared" si="27"/>
        <v>0</v>
      </c>
      <c r="EO18" s="454">
        <f>IF(OR(AG18=0,AG18=""),0,IF(VLOOKUP(B18,'Matriz de Referencia'!$B$2:$CO$584,48,FALSE)=0,0,"Digite"))</f>
        <v>0</v>
      </c>
      <c r="EP18" s="454">
        <f>IF(OR(AG18=0,AG18=""),0,IF(VLOOKUP(B18,'Matriz de Referencia'!$B$2:$CO$584,49,FALSE)=0,0,"Digite"))</f>
        <v>0</v>
      </c>
      <c r="EQ18" s="454">
        <f>IF(OR(AG18=0,AG18=""),0,IF(VLOOKUP(B18,'Matriz de Referencia'!$B$2:$CO$584,50,FALSE)=0,0,"Digite"))</f>
        <v>0</v>
      </c>
      <c r="ER18" s="382">
        <f t="shared" si="28"/>
        <v>0</v>
      </c>
      <c r="ES18" s="382">
        <f t="shared" si="29"/>
        <v>0</v>
      </c>
      <c r="ET18" s="453">
        <f>IF(OR(AH18=0,AH18=""),0,IF(VLOOKUP(B18,'Matriz de Referencia'!$B$2:$CO$584,39,FALSE)=0,0,"Digite"))</f>
        <v>0</v>
      </c>
      <c r="EU18" s="454">
        <f>IF(OR(AH18=0,AH18=""),0,IF(VLOOKUP(B18,'Matriz de Referencia'!$B$2:$CO$584,40,FALSE)=0,0,"Digite"))</f>
        <v>0</v>
      </c>
      <c r="EV18" s="454">
        <f>IF(OR(AH18=0,AH18=""),0,IF(VLOOKUP(B18,'Matriz de Referencia'!$B$2:$CO$584,41,FALSE)=0,0,"Digite"))</f>
        <v>0</v>
      </c>
      <c r="EW18" s="454">
        <f>IF(OR(AH18=0,AH18=""),0,IF(VLOOKUP(B18,'Matriz de Referencia'!$B$2:$CO$584,42,FALSE)=0,0,"Digite"))</f>
        <v>0</v>
      </c>
      <c r="EX18" s="454">
        <f>IF(OR(AH18=0,AH18=""),0,IF(VLOOKUP(B18,'Matriz de Referencia'!$B$2:$CO$584,43,FALSE)=0,0,"Digite"))</f>
        <v>0</v>
      </c>
      <c r="EY18" s="454">
        <f>IF(OR(AH18=0,AH18=""),0,IF(VLOOKUP(B18,'Matriz de Referencia'!$B$2:$CO$584,44,FALSE)=0,0,"Digite"))</f>
        <v>0</v>
      </c>
      <c r="EZ18" s="454">
        <f>IF(OR(AH18=0,AH18=""),0,IF(VLOOKUP(B18,'Matriz de Referencia'!$B$2:$CO$584,45,FALSE)=0,0,"Digite"))</f>
        <v>0</v>
      </c>
      <c r="FA18" s="454">
        <f>IF(OR(AH18=0,AH18=""),0,IF(VLOOKUP(B18,'Matriz de Referencia'!$B$2:$CO$584,46,FALSE)=0,0,"Digite"))</f>
        <v>0</v>
      </c>
      <c r="FB18" s="382">
        <f t="shared" si="30"/>
        <v>0</v>
      </c>
      <c r="FC18" s="454">
        <f>IF(OR(AH18=0,AH18=""),0,IF(VLOOKUP(B18,'Matriz de Referencia'!$B$2:$CO$584,48,FALSE)=0,0,"Digite"))</f>
        <v>0</v>
      </c>
      <c r="FD18" s="454">
        <f>IF(OR(AH18=0,AH18=""),0,IF(VLOOKUP(B18,'Matriz de Referencia'!$B$2:$CO$584,49,FALSE)=0,0,"Digite"))</f>
        <v>0</v>
      </c>
      <c r="FE18" s="454">
        <f>IF(OR(AH18=0,AH18=""),0,IF(VLOOKUP(B18,'Matriz de Referencia'!$B$2:$CO$584,50,FALSE)=0,0,"Digite"))</f>
        <v>0</v>
      </c>
      <c r="FF18" s="382">
        <f t="shared" si="31"/>
        <v>0</v>
      </c>
      <c r="FG18" s="382">
        <f t="shared" si="32"/>
        <v>0</v>
      </c>
      <c r="FH18" s="382">
        <f t="shared" si="33"/>
        <v>0</v>
      </c>
      <c r="FI18" s="101" t="str">
        <f>IFERROR(IF(FH18=0,"",IF(VLOOKUP(B18,'Matriz de Referencia'!$B$2:$CO$584,52,FALSE)=FH18,"Techos ok, cotinue","Debe revisar el valor programado")),"")</f>
        <v/>
      </c>
      <c r="FJ18" s="453">
        <f>IF(OR(AK18=0,AK18=""),0,IF(VLOOKUP(B18,'Matriz de Referencia'!$B$2:$CO$584,53,FALSE)=0,0,"Digite"))</f>
        <v>0</v>
      </c>
      <c r="FK18" s="454">
        <f>IF(OR(AK18=0,AK18=""),0,IF(VLOOKUP(B18,'Matriz de Referencia'!$B$2:$CO$584,54,FALSE)=0,0,"Digite"))</f>
        <v>0</v>
      </c>
      <c r="FL18" s="454">
        <f>IF(OR(AK18=0,AK18=""),0,IF(VLOOKUP(B18,'Matriz de Referencia'!$B$2:$CO$584,55,FALSE)=0,0,"Digite"))</f>
        <v>0</v>
      </c>
      <c r="FM18" s="454">
        <f>IF(OR(AK18=0,AK18=""),0,IF(VLOOKUP(B18,'Matriz de Referencia'!$B$2:$CO$584,56,FALSE)=0,0,"Digite"))</f>
        <v>0</v>
      </c>
      <c r="FN18" s="454">
        <f>IF(OR(AK18=0,AK18=""),0,IF(VLOOKUP(B18,'Matriz de Referencia'!$B$2:$CO$584,57,FALSE)=0,0,"Digite"))</f>
        <v>0</v>
      </c>
      <c r="FO18" s="454">
        <f>IF(OR(AK18=0,AK18=""),0,IF(VLOOKUP(B18,'Matriz de Referencia'!$B$2:$CO$584,58,FALSE)=0,0,"Digite"))</f>
        <v>0</v>
      </c>
      <c r="FP18" s="454">
        <f>IF(OR(AK18=0,AK18=""),0,IF(VLOOKUP(B18,'Matriz de Referencia'!$B$2:$CO$584,59,FALSE)=0,0,"Digite"))</f>
        <v>0</v>
      </c>
      <c r="FQ18" s="454">
        <f>IF(OR(AK18=0,AK18=""),0,IF(VLOOKUP(B18,'Matriz de Referencia'!$B$2:$CO$584,60,FALSE)=0,0,"Digite"))</f>
        <v>0</v>
      </c>
      <c r="FR18" s="382">
        <f t="shared" si="34"/>
        <v>0</v>
      </c>
      <c r="FS18" s="454">
        <f>IF(OR(AK18=0,AK18=""),0,IF(VLOOKUP(B18,'Matriz de Referencia'!$B$2:$CO$584,62,FALSE)=0,0,"Digite"))</f>
        <v>0</v>
      </c>
      <c r="FT18" s="454">
        <f>IF(OR(AK18=0,AK18=""),0,IF(VLOOKUP(B18,'Matriz de Referencia'!$B$2:$CO$584,63,FALSE)=0,0,"Digite"))</f>
        <v>0</v>
      </c>
      <c r="FU18" s="454">
        <f>IF(OR(AK18=0,AK18=""),0,IF(VLOOKUP(B18,'Matriz de Referencia'!$B$2:$CO$584,64,FALSE)=0,"","Digite"))</f>
        <v>0</v>
      </c>
      <c r="FV18" s="382">
        <f t="shared" si="35"/>
        <v>0</v>
      </c>
      <c r="FW18" s="382">
        <f t="shared" si="36"/>
        <v>0</v>
      </c>
      <c r="FX18" s="453">
        <f>IF(OR(AL18=0,AL18=""),0,IF(VLOOKUP(B18,'Matriz de Referencia'!$B$2:$CO$584,53,FALSE)=0,0,"Digite"))</f>
        <v>0</v>
      </c>
      <c r="FY18" s="454">
        <f>IF(OR(AL18=0,AL18=""),0,IF(VLOOKUP(B18,'Matriz de Referencia'!$B$2:$CO$584,54,FALSE)=0,0,"Digite"))</f>
        <v>0</v>
      </c>
      <c r="FZ18" s="454">
        <f>IF(OR(AL18=0,AL18=""),0,IF(VLOOKUP(B18,'Matriz de Referencia'!$B$2:$CO$584,55,FALSE)=0,0,"Digite"))</f>
        <v>0</v>
      </c>
      <c r="GA18" s="454">
        <f>IF(OR(AL18=0,AL18=""),0,IF(VLOOKUP(B18,'Matriz de Referencia'!$B$2:$CO$584,56,FALSE)=0,0,"Digite"))</f>
        <v>0</v>
      </c>
      <c r="GB18" s="454">
        <f>IF(OR(AL18=0,AL18=""),0,IF(VLOOKUP(B18,'Matriz de Referencia'!$B$2:$CO$584,57,FALSE)=0,0,"Digite"))</f>
        <v>0</v>
      </c>
      <c r="GC18" s="454">
        <f>IF(OR(AL18=0,AL18=""),0,IF(VLOOKUP(B18,'Matriz de Referencia'!$B$2:$CO$584,58,FALSE)=0,0,"Digite"))</f>
        <v>0</v>
      </c>
      <c r="GD18" s="454">
        <f>IF(OR(AL18=0,AL18=""),0,IF(VLOOKUP(B18,'Matriz de Referencia'!$B$2:$CO$584,59,FALSE)=0,0,"Digite"))</f>
        <v>0</v>
      </c>
      <c r="GE18" s="454">
        <f>IF(OR(AL18=0,AL18=""),0,IF(VLOOKUP(B18,'Matriz de Referencia'!$B$2:$CO$584,60,FALSE)=0,0,"Digite"))</f>
        <v>0</v>
      </c>
      <c r="GF18" s="382">
        <f t="shared" si="37"/>
        <v>0</v>
      </c>
      <c r="GG18" s="454">
        <f>IF(OR(AL18=0,AL18=""),0,IF(VLOOKUP(B18,'Matriz de Referencia'!$B$2:$CO$584,62,FALSE)=0,0,"Digite"))</f>
        <v>0</v>
      </c>
      <c r="GH18" s="454">
        <f>IF(OR(AL18=0,AL18=""),0,IF(VLOOKUP(B18,'Matriz de Referencia'!$B$2:$CO$584,63,FALSE)=0,0,"Digite"))</f>
        <v>0</v>
      </c>
      <c r="GI18" s="454">
        <f>IF(OR(AL18=0,AL18=""),0,IF(VLOOKUP(B18,'Matriz de Referencia'!$B$2:$CO$584,64,FALSE)=0,0,"Digite"))</f>
        <v>0</v>
      </c>
      <c r="GJ18" s="382">
        <f t="shared" si="38"/>
        <v>0</v>
      </c>
      <c r="GK18" s="382">
        <f t="shared" si="39"/>
        <v>0</v>
      </c>
      <c r="GL18" s="453">
        <f>IF(OR(AM18=0,AM18=""),0,IF(VLOOKUP(B18,'Matriz de Referencia'!$B$2:$CO$584,53,FALSE)=0,0,"Digite"))</f>
        <v>0</v>
      </c>
      <c r="GM18" s="454">
        <f>IF(OR(AM18=0,AM18=""),0,IF(VLOOKUP(B18,'Matriz de Referencia'!$B$2:$CO$584,54,FALSE)=0,0,"Digite"))</f>
        <v>0</v>
      </c>
      <c r="GN18" s="454">
        <f>IF(OR(AM18=0,AM18=""),0,IF(VLOOKUP(B18,'Matriz de Referencia'!$B$2:$CO$584,55,FALSE)=0,0,"Digite"))</f>
        <v>0</v>
      </c>
      <c r="GO18" s="454">
        <f>IF(OR(AM18=0,AM18=""),0,IF(VLOOKUP(B18,'Matriz de Referencia'!$B$2:$CO$584,56,FALSE)=0,0,"Digite"))</f>
        <v>0</v>
      </c>
      <c r="GP18" s="454">
        <f>IF(OR(AM18=0,AM18=""),0,IF(VLOOKUP(B18,'Matriz de Referencia'!$B$2:$CO$584,57,FALSE)=0,0,"Digite"))</f>
        <v>0</v>
      </c>
      <c r="GQ18" s="454">
        <f>IF(OR(AM18=0,AM18=""),0,IF(VLOOKUP(B18,'Matriz de Referencia'!$B$2:$CO$584,58,FALSE)=0,0,"Digite"))</f>
        <v>0</v>
      </c>
      <c r="GR18" s="454">
        <f>IF(OR(AM18=0,AM18=""),0,IF(VLOOKUP(B18,'Matriz de Referencia'!$B$2:$CO$584,59,FALSE)=0,0,"Digite"))</f>
        <v>0</v>
      </c>
      <c r="GS18" s="454">
        <f>IF(OR(AM18=0,AM18=""),0,IF(VLOOKUP(B18,'Matriz de Referencia'!$B$2:$CO$584,60,FALSE)=0,0,"Digite"))</f>
        <v>0</v>
      </c>
      <c r="GT18" s="382">
        <f t="shared" si="40"/>
        <v>0</v>
      </c>
      <c r="GU18" s="454">
        <f>IF(OR(AM18=0,AM18=""),0,IF(VLOOKUP(B18,'Matriz de Referencia'!$B$2:$CO$584,62,FALSE)=0,0,"Digite"))</f>
        <v>0</v>
      </c>
      <c r="GV18" s="454">
        <f>IF(OR(AM18=0,AM18=""),0,IF(VLOOKUP(B18,'Matriz de Referencia'!$B$2:$CO$584,63,FALSE)=0,0,"Digite"))</f>
        <v>0</v>
      </c>
      <c r="GW18" s="454">
        <f>IF(OR(AM18=0,AM18=""),0,IF(VLOOKUP(B18,'Matriz de Referencia'!$B$2:$CO$584,64,FALSE)=0,0,"Digite"))</f>
        <v>0</v>
      </c>
      <c r="GX18" s="382">
        <f t="shared" si="41"/>
        <v>0</v>
      </c>
      <c r="GY18" s="382">
        <f t="shared" si="42"/>
        <v>0</v>
      </c>
      <c r="GZ18" s="453">
        <f>IF(OR(AN18=0,AN18=""),0,IF(VLOOKUP(B18,'Matriz de Referencia'!$B$2:$CO$584,53,FALSE)=0,0,"Digite"))</f>
        <v>0</v>
      </c>
      <c r="HA18" s="454">
        <f>IF(OR(AN18=0,AN18=""),0,IF(VLOOKUP(B18,'Matriz de Referencia'!$B$2:$CO$584,54,FALSE)=0,0,"Digite"))</f>
        <v>0</v>
      </c>
      <c r="HB18" s="454">
        <f>IF(OR(AN18=0,AN18=""),0,IF(VLOOKUP(B18,'Matriz de Referencia'!$B$2:$CO$584,55,FALSE)=0,0,"Digite"))</f>
        <v>0</v>
      </c>
      <c r="HC18" s="454">
        <f>IF(OR(AN18=0,AN18=""),0,IF(VLOOKUP(B18,'Matriz de Referencia'!$B$2:$CO$584,56,FALSE)=0,0,"Digite"))</f>
        <v>0</v>
      </c>
      <c r="HD18" s="454">
        <f>IF(OR(AN18=0,AN18=""),0,IF(VLOOKUP(B18,'Matriz de Referencia'!$B$2:$CO$584,57,FALSE)=0,0,"Digite"))</f>
        <v>0</v>
      </c>
      <c r="HE18" s="454">
        <f>IF(OR(AN18=0,AN18=""),0,IF(VLOOKUP(B18,'Matriz de Referencia'!$B$2:$CO$584,58,FALSE)=0,0,"Digite"))</f>
        <v>0</v>
      </c>
      <c r="HF18" s="454">
        <f>IF(OR(AN18=0,AN18=""),0,IF(VLOOKUP(B18,'Matriz de Referencia'!$B$2:$CO$584,59,FALSE)=0,0,"Digite"))</f>
        <v>0</v>
      </c>
      <c r="HG18" s="454">
        <f>IF(OR(AN18=0,AN18=""),0,IF(VLOOKUP(B18,'Matriz de Referencia'!$B$2:$CO$584,60,FALSE)=0,0,"Digite"))</f>
        <v>0</v>
      </c>
      <c r="HH18" s="382">
        <f t="shared" si="43"/>
        <v>0</v>
      </c>
      <c r="HI18" s="454">
        <f>IF(OR(AN18=0,AN18=""),0,IF(VLOOKUP(B18,'Matriz de Referencia'!$B$2:$CO$584,62,FALSE)=0,0,"Digite"))</f>
        <v>0</v>
      </c>
      <c r="HJ18" s="454">
        <f>IF(OR(AN18=0,AN18=""),0,IF(VLOOKUP(B18,'Matriz de Referencia'!$B$2:$CO$584,63,FALSE)=0,0,"Digite"))</f>
        <v>0</v>
      </c>
      <c r="HK18" s="454">
        <f>IF(OR(AN18=0,AN18=""),0,IF(VLOOKUP(B18,'Matriz de Referencia'!$B$2:$CO$584,64,FALSE)=0,0,"Digite"))</f>
        <v>0</v>
      </c>
      <c r="HL18" s="382">
        <f t="shared" si="44"/>
        <v>0</v>
      </c>
      <c r="HM18" s="382">
        <f t="shared" si="45"/>
        <v>0</v>
      </c>
      <c r="HN18" s="382">
        <f t="shared" si="46"/>
        <v>0</v>
      </c>
      <c r="HO18" s="101" t="str">
        <f>IFERROR(IF(HN18=0,"",IF(VLOOKUP(B18,'Matriz de Referencia'!$B$2:$CO$584,66,FALSE)=HN18,"Techos ok, cotinue","Debe revisar el valor programado")),"")</f>
        <v/>
      </c>
      <c r="HP18" s="453">
        <f>IF(OR(AQ18=0,AQ18=""),0,IF(VLOOKUP(B18,'Matriz de Referencia'!$B$2:$CO$584,67,FALSE)=0,0,"Digite"))</f>
        <v>0</v>
      </c>
      <c r="HQ18" s="454">
        <f>IF(OR(AQ18=0,AQ18=""),0,IF(VLOOKUP(B18,'Matriz de Referencia'!$B$2:$CO$584,68,FALSE)=0,0,"Digite"))</f>
        <v>0</v>
      </c>
      <c r="HR18" s="454">
        <f>IF(OR(AQ18=0,AQ18=""),0,IF(VLOOKUP(B18,'Matriz de Referencia'!$B$2:$CO$584,69,FALSE)=0,0,"Digite"))</f>
        <v>0</v>
      </c>
      <c r="HS18" s="454">
        <f>IF(OR(AQ18=0,AQ18=""),0,IF(VLOOKUP(B18,'Matriz de Referencia'!$B$2:$CO$584,70,FALSE)=0,0,"Digite"))</f>
        <v>0</v>
      </c>
      <c r="HT18" s="454">
        <f>IF(OR(AQ18=0,AQ18=""),0,IF(VLOOKUP(B18,'Matriz de Referencia'!$B$2:$CO$584,71,FALSE)=0,0,"Digite"))</f>
        <v>0</v>
      </c>
      <c r="HU18" s="454">
        <f>IF(OR(AQ18=0,AQ18=""),0,IF(VLOOKUP(B18,'Matriz de Referencia'!$B$2:$CO$584,72,FALSE)=0,0,"Digite"))</f>
        <v>0</v>
      </c>
      <c r="HV18" s="454">
        <f>IF(OR(AQ18=0,AQ18=""),0,IF(VLOOKUP(B18,'Matriz de Referencia'!$B$2:$CO$584,73,FALSE)=0,0,"Digite"))</f>
        <v>0</v>
      </c>
      <c r="HW18" s="454">
        <f>IF(OR(AQ18=0,AQ18=""),0,IF(VLOOKUP(B18,'Matriz de Referencia'!$B$2:$CO$584,74,FALSE)=0,0,"Digite"))</f>
        <v>0</v>
      </c>
      <c r="HX18" s="382">
        <f t="shared" si="47"/>
        <v>0</v>
      </c>
      <c r="HY18" s="454">
        <f>IF(OR(AQ18=0,AQ18=""),0,IF(VLOOKUP(B18,'Matriz de Referencia'!$B$2:$CO$584,76,FALSE)=0,0,"Digite"))</f>
        <v>0</v>
      </c>
      <c r="HZ18" s="454">
        <f>IF(OR(AQ18=0,AQ18=""),0,IF(VLOOKUP(B18,'Matriz de Referencia'!$B$2:$CO$584,77,FALSE)=0,0,"Digite"))</f>
        <v>0</v>
      </c>
      <c r="IA18" s="454">
        <f>IF(OR(AQ18=0,AQ18=""),0,IF(VLOOKUP(B18,'Matriz de Referencia'!$B$2:$CO$584,78,FALSE)=0,0,"Digite"))</f>
        <v>0</v>
      </c>
      <c r="IB18" s="382">
        <f t="shared" si="48"/>
        <v>0</v>
      </c>
      <c r="IC18" s="382">
        <f t="shared" si="49"/>
        <v>0</v>
      </c>
      <c r="ID18" s="453">
        <f>IF(OR(AR18=0,AR18=""),0,IF(VLOOKUP(B18,'Matriz de Referencia'!$B$2:$CO$584,67,FALSE)=0,0,"Digite"))</f>
        <v>0</v>
      </c>
      <c r="IE18" s="454">
        <f>IF(OR(AR18=0,AR18=""),0,IF(VLOOKUP(B18,'Matriz de Referencia'!$B$2:$CO$584,68,FALSE)=0,0,"Digite"))</f>
        <v>0</v>
      </c>
      <c r="IF18" s="454">
        <f>IF(OR(AR18=0,AR18=""),0,IF(VLOOKUP(B18,'Matriz de Referencia'!$B$2:$CO$584,69,FALSE)=0,0,"Digite"))</f>
        <v>0</v>
      </c>
      <c r="IG18" s="454">
        <f>IF(OR(AR18=0,AR18=""),0,IF(VLOOKUP(B18,'Matriz de Referencia'!$B$2:$CO$584,70,FALSE)=0,0,"Digite"))</f>
        <v>0</v>
      </c>
      <c r="IH18" s="454">
        <f>IF(OR(AR18=0,AR18=""),0,IF(VLOOKUP(B18,'Matriz de Referencia'!$B$2:$CO$584,71,FALSE)=0,0,"Digite"))</f>
        <v>0</v>
      </c>
      <c r="II18" s="454">
        <f>IF(OR(AR18=0,AR18=""),0,IF(VLOOKUP(B18,'Matriz de Referencia'!$B$2:$CO$584,72,FALSE)=0,0,"Digite"))</f>
        <v>0</v>
      </c>
      <c r="IJ18" s="454">
        <f>IF(OR(AR18=0,AR18=""),0,IF(VLOOKUP(B18,'Matriz de Referencia'!$B$2:$CO$584,73,FALSE)=0,0,"Digite"))</f>
        <v>0</v>
      </c>
      <c r="IK18" s="454">
        <f>IF(OR(AR18=0,AR18=""),0,IF(VLOOKUP(B18,'Matriz de Referencia'!$B$2:$CO$584,74,FALSE)=0,0,"Digite"))</f>
        <v>0</v>
      </c>
      <c r="IL18" s="382">
        <f t="shared" si="50"/>
        <v>0</v>
      </c>
      <c r="IM18" s="454">
        <f>IF(OR(AR18=0,AR18=""),0,IF(VLOOKUP(B18,'Matriz de Referencia'!$B$2:$CO$584,76,FALSE)=0,0,"Digite"))</f>
        <v>0</v>
      </c>
      <c r="IN18" s="454">
        <f>IF(OR(AR18=0,AR18=""),0,IF(VLOOKUP(B18,'Matriz de Referencia'!$B$2:$CO$584,77,FALSE)=0,0,"Digite"))</f>
        <v>0</v>
      </c>
      <c r="IO18" s="454">
        <f>IF(OR(AR18=0,AR18=""),0,IF(VLOOKUP(B18,'Matriz de Referencia'!$B$2:$CO$584,78,FALSE)=0,0,"Digite"))</f>
        <v>0</v>
      </c>
      <c r="IP18" s="382">
        <f t="shared" si="51"/>
        <v>0</v>
      </c>
      <c r="IQ18" s="382">
        <f t="shared" si="52"/>
        <v>0</v>
      </c>
      <c r="IR18" s="453">
        <f>IF(OR(AS18=0,AS18=""),0,IF(VLOOKUP(B18,'Matriz de Referencia'!$B$2:$CO$584,67,FALSE)=0,0,"Digite"))</f>
        <v>0</v>
      </c>
      <c r="IS18" s="454">
        <f>IF(OR(AS18=0,AS18=""),0,IF(VLOOKUP(B18,'Matriz de Referencia'!$B$2:$CO$584,68,FALSE)=0,0,"Digite"))</f>
        <v>0</v>
      </c>
      <c r="IT18" s="454">
        <f>IF(OR(AS18=0,AS18=""),0,IF(VLOOKUP(B18,'Matriz de Referencia'!$B$2:$CO$584,69,FALSE)=0,0,"Digite"))</f>
        <v>0</v>
      </c>
      <c r="IU18" s="454">
        <f>IF(OR(AS18=0,AS18=""),0,IF(VLOOKUP(B18,'Matriz de Referencia'!$B$2:$CO$584,70,FALSE)=0,0,"Digite"))</f>
        <v>0</v>
      </c>
      <c r="IV18" s="454">
        <f>IF(OR(AS18=0,AS18=""),0,IF(VLOOKUP(B18,'Matriz de Referencia'!$B$2:$CO$584,71,FALSE)=0,0,"Digite"))</f>
        <v>0</v>
      </c>
      <c r="IW18" s="454">
        <f>IF(OR(AS18=0,AS18=""),0,IF(VLOOKUP(B18,'Matriz de Referencia'!$B$2:$CO$584,72,FALSE)=0,0,"Digite"))</f>
        <v>0</v>
      </c>
      <c r="IX18" s="454">
        <f>IF(OR(AS18=0,AS18=""),0,IF(VLOOKUP(B18,'Matriz de Referencia'!$B$2:$CO$584,73,FALSE)=0,0,"Digite"))</f>
        <v>0</v>
      </c>
      <c r="IY18" s="454">
        <f>IF(OR(AS18=0,AS18=""),0,IF(VLOOKUP(B18,'Matriz de Referencia'!$B$2:$CO$584,74,FALSE)=0,0,"Digite"))</f>
        <v>0</v>
      </c>
      <c r="IZ18" s="382">
        <f t="shared" si="53"/>
        <v>0</v>
      </c>
      <c r="JA18" s="454">
        <f>IF(OR(AS18=0,AS18=""),0,IF(VLOOKUP(B18,'Matriz de Referencia'!$B$2:$CO$584,76,FALSE)=0,0,"Digite"))</f>
        <v>0</v>
      </c>
      <c r="JB18" s="454">
        <f>IF(OR(AS18=0,AS18=""),0,IF(VLOOKUP(B18,'Matriz de Referencia'!$B$2:$CO$584,77,FALSE)=0,0,"Digite"))</f>
        <v>0</v>
      </c>
      <c r="JC18" s="454">
        <f>IF(OR(AS18=0,AS18=""),0,IF(VLOOKUP(B18,'Matriz de Referencia'!$B$2:$CO$584,78,FALSE)=0,0,"Digite"))</f>
        <v>0</v>
      </c>
      <c r="JD18" s="382">
        <f t="shared" si="54"/>
        <v>0</v>
      </c>
      <c r="JE18" s="382">
        <f t="shared" si="55"/>
        <v>0</v>
      </c>
      <c r="JF18" s="453">
        <f>IF(OR(AT18=0,AT18=""),0,IF(VLOOKUP(B18,'Matriz de Referencia'!$B$2:$CO$584,67,FALSE)=0,0,"Digite"))</f>
        <v>0</v>
      </c>
      <c r="JG18" s="454">
        <f>IF(OR(AT18=0,AT18=""),0,IF(VLOOKUP(B18,'Matriz de Referencia'!$B$2:$CO$584,68,FALSE)=0,0,"Digite"))</f>
        <v>0</v>
      </c>
      <c r="JH18" s="454">
        <f>IF(OR(AT18=0,AT18=""),0,IF(VLOOKUP(B18,'Matriz de Referencia'!$B$2:$CO$584,69,FALSE)=0,0,"Digite"))</f>
        <v>0</v>
      </c>
      <c r="JI18" s="454">
        <f>IF(OR(AT18=0,AT18=""),0,IF(VLOOKUP(B18,'Matriz de Referencia'!$B$2:$CO$584,70,FALSE)=0,0,"Digite"))</f>
        <v>0</v>
      </c>
      <c r="JJ18" s="454">
        <f>IF(OR(AT18=0,AT18=""),0,IF(VLOOKUP(B18,'Matriz de Referencia'!$B$2:$CO$584,71,FALSE)=0,0,"Digite"))</f>
        <v>0</v>
      </c>
      <c r="JK18" s="454">
        <f>IF(OR(AT18=0,AT18=""),0,IF(VLOOKUP(B18,'Matriz de Referencia'!$B$2:$CO$584,72,FALSE)=0,0,"Digite"))</f>
        <v>0</v>
      </c>
      <c r="JL18" s="454">
        <f>IF(OR(AT18=0,AT18=""),0,IF(VLOOKUP(B18,'Matriz de Referencia'!$B$2:$CO$584,73,FALSE)=0,0,"Digite"))</f>
        <v>0</v>
      </c>
      <c r="JM18" s="454">
        <f>IF(OR(AT18=0,AT18=""),0,IF(VLOOKUP(B18,'Matriz de Referencia'!$B$2:$CO$584,74,FALSE)=0,0,"Digite"))</f>
        <v>0</v>
      </c>
      <c r="JN18" s="382">
        <f t="shared" si="56"/>
        <v>0</v>
      </c>
      <c r="JO18" s="454">
        <f>IF(OR(AT18=0,AT18=""),0,IF(VLOOKUP(B18,'Matriz de Referencia'!$B$2:$CO$584,76,FALSE)=0,0,"Digite"))</f>
        <v>0</v>
      </c>
      <c r="JP18" s="454">
        <f>IF(OR(AT18=0,AT18=""),0,IF(VLOOKUP(B18,'Matriz de Referencia'!$B$2:$CO$584,77,FALSE)=0,0,"Digite"))</f>
        <v>0</v>
      </c>
      <c r="JQ18" s="454">
        <f>IF(OR(AT18=0,AT18=""),0,IF(VLOOKUP(B18,'Matriz de Referencia'!$B$2:$CO$584,78,FALSE)=0,0,"Digite"))</f>
        <v>0</v>
      </c>
      <c r="JR18" s="382">
        <f t="shared" si="57"/>
        <v>0</v>
      </c>
      <c r="JS18" s="382">
        <f t="shared" si="58"/>
        <v>0</v>
      </c>
      <c r="JT18" s="382">
        <f t="shared" si="59"/>
        <v>0</v>
      </c>
      <c r="JU18" s="101" t="str">
        <f>IFERROR(IF(JT18=0,"",IF(VLOOKUP(B18,'Matriz de Referencia'!$B$2:$CO$584,80,FALSE)=JT18,"Techos ok, cotinue","Debe revisar el valor programado")),"")</f>
        <v/>
      </c>
      <c r="JV18" s="382">
        <f t="shared" si="60"/>
        <v>0</v>
      </c>
    </row>
    <row r="19" spans="19:282">
      <c r="S19" s="568"/>
      <c r="T19" s="414"/>
      <c r="U19" s="661" t="str">
        <f t="shared" si="1"/>
        <v>Dimensión_</v>
      </c>
      <c r="V19" s="414"/>
      <c r="W19" s="568"/>
      <c r="X19" s="449" t="str">
        <f>IFERROR(IF(VLOOKUP(B19,'Matriz de Referencia'!$B$2:$CO$584,'Matriz de Referencia'!AM$1,FALSE)&gt;0,"Diligenciar la vigencia, tiene presupuesto programado","No diligenciar, no programo presupuesto"),"")</f>
        <v/>
      </c>
      <c r="Y19" s="649"/>
      <c r="Z19" s="649"/>
      <c r="AA19" s="649"/>
      <c r="AB19" s="649"/>
      <c r="AC19" s="650" t="str">
        <f t="shared" si="61"/>
        <v/>
      </c>
      <c r="AD19" s="449" t="str">
        <f>IFERROR(IF(VLOOKUP($B19,'Matriz de Referencia'!$B$2:$CO$584,'Matriz de Referencia'!BA$1,FALSE)&gt;0,"Diligenciar la vigencia, tiene presupuesto programado","No diligenciar, no programo presupuesto"),"")</f>
        <v/>
      </c>
      <c r="AE19" s="649"/>
      <c r="AF19" s="649"/>
      <c r="AG19" s="649"/>
      <c r="AH19" s="649"/>
      <c r="AI19" s="650" t="str">
        <f t="shared" si="3"/>
        <v/>
      </c>
      <c r="AJ19" s="449" t="str">
        <f>IFERROR(IF(VLOOKUP($B19,'Matriz de Referencia'!$B$2:$CO$584,'Matriz de Referencia'!BO$1,FALSE)&gt;0,"Diligenciar la vigencia, tiene presupuesto programado","No diligenciar, no programo presupuesto"),"")</f>
        <v/>
      </c>
      <c r="AK19" s="649"/>
      <c r="AL19" s="649"/>
      <c r="AM19" s="649"/>
      <c r="AN19" s="649"/>
      <c r="AO19" s="650" t="str">
        <f t="shared" si="4"/>
        <v/>
      </c>
      <c r="AP19" s="449" t="str">
        <f>IFERROR(IF(VLOOKUP($B19,'Matriz de Referencia'!$B$2:$CO$584,'Matriz de Referencia'!CC$1,FALSE)&gt;0,"Diligenciar la vigencia, tiene presupuesto programado","No diligenciar, no programo presupuesto"),"")</f>
        <v/>
      </c>
      <c r="AQ19" s="649"/>
      <c r="AR19" s="649"/>
      <c r="AS19" s="649"/>
      <c r="AT19" s="649"/>
      <c r="AU19" s="650" t="str">
        <f t="shared" si="5"/>
        <v/>
      </c>
      <c r="AV19" s="448" t="str">
        <f t="shared" si="6"/>
        <v/>
      </c>
      <c r="AW19" s="416" t="str">
        <f t="shared" si="7"/>
        <v/>
      </c>
      <c r="AX19" s="455" t="str">
        <f>IF(OR(Y19=0,Y19=""),"",IF(VLOOKUP(B19,'Matriz de Referencia'!$B$2:$CO$584,'Matriz de Referencia'!BB$1,FALSE)=0,"","Digite"))</f>
        <v/>
      </c>
      <c r="AY19" s="456">
        <f>IF(OR(Y19=0,Y19=""),0,IF(VLOOKUP(B19,'Matriz de Referencia'!$B$2:$CO$584,26,FALSE)=0,0,"Digite"))</f>
        <v>0</v>
      </c>
      <c r="AZ19" s="456">
        <f>IF(OR(Y19=0,Y19=""),0,IF(VLOOKUP(B19,'Matriz de Referencia'!$B$2:$CO$584,27,FALSE)=0,0,"Digite"))</f>
        <v>0</v>
      </c>
      <c r="BA19" s="456">
        <f>IF(OR(Y19=0,Y19=""),0,IF(VLOOKUP(B19,'Matriz de Referencia'!$B$2:$CO$584,28,FALSE)=0,0,"Digite"))</f>
        <v>0</v>
      </c>
      <c r="BB19" s="456">
        <f>IF(OR(Y19=0,Y19=""),0,IF(VLOOKUP(B19,'Matriz de Referencia'!$B$2:$CO$584,29,FALSE)=0,0,"Digite"))</f>
        <v>0</v>
      </c>
      <c r="BC19" s="456">
        <f>IF(OR(Y19=0,Y19=""),0,IF(VLOOKUP(B19,'Matriz de Referencia'!$B$2:$CO$584,30,FALSE)=0,0,"Digite"))</f>
        <v>0</v>
      </c>
      <c r="BD19" s="456">
        <f>IF(OR(Y19=0,Y19=""),0,IF(VLOOKUP(B19,'Matriz de Referencia'!$B$2:$CO$584,31,FALSE)=0,0,"Digite"))</f>
        <v>0</v>
      </c>
      <c r="BE19" s="456">
        <f>IF(OR(Y19=0,Y19=""),0,IF(VLOOKUP(B19,'Matriz de Referencia'!$B$2:$CO$584,32,FALSE)=0,0,"Digite"))</f>
        <v>0</v>
      </c>
      <c r="BF19" s="460">
        <f t="shared" si="8"/>
        <v>0</v>
      </c>
      <c r="BG19" s="456">
        <f>IF(OR(Y19=0,Y19=""),0,IF(VLOOKUP(B19,'Matriz de Referencia'!$B$2:$CO$584,34,FALSE)=0,0,"Digite"))</f>
        <v>0</v>
      </c>
      <c r="BH19" s="456">
        <f>IF(OR(Y19=0,Y19=""),0,IF(VLOOKUP(B19,'Matriz de Referencia'!$B$2:$CO$584,35,FALSE)=0,0,"Digite"))</f>
        <v>0</v>
      </c>
      <c r="BI19" s="456">
        <f>IF(OR(Y19=0,Y19=""),0,IF(VLOOKUP(B19,'Matriz de Referencia'!$B$2:$CO$584,36,FALSE)=0,0,"Digite"))</f>
        <v>0</v>
      </c>
      <c r="BJ19" s="457">
        <f t="shared" si="9"/>
        <v>0</v>
      </c>
      <c r="BK19" s="457">
        <f t="shared" si="10"/>
        <v>0</v>
      </c>
      <c r="BL19" s="455">
        <f>IF(OR(Z19=0,Z19=""),0,IF(VLOOKUP(B19,'Matriz de Referencia'!$B$2:$CO$584,25,FALSE)=0,0,"Digite"))</f>
        <v>0</v>
      </c>
      <c r="BM19" s="456">
        <f>IF(OR(Z19=0,Z19=""),0,IF(VLOOKUP(B19,'Matriz de Referencia'!$B$2:$CO$584,26,FALSE)=0,0,"Digite"))</f>
        <v>0</v>
      </c>
      <c r="BN19" s="456">
        <f>IF(OR(Z19=0,Z19=""),0,IF(VLOOKUP(B19,'Matriz de Referencia'!$B$2:$CO$584,27,FALSE)=0,0,"Digite"))</f>
        <v>0</v>
      </c>
      <c r="BO19" s="456">
        <f>IF(OR(Z19=0,Z19=""),0,IF(VLOOKUP(B19,'Matriz de Referencia'!$B$2:$CO$584,28,FALSE)=0,0,"Digite"))</f>
        <v>0</v>
      </c>
      <c r="BP19" s="456">
        <f>IF(OR(Z19=0,Z19=""),0,IF(VLOOKUP(B19,'Matriz de Referencia'!$B$2:$CO$584,29,FALSE)=0,0,"Digite"))</f>
        <v>0</v>
      </c>
      <c r="BQ19" s="456">
        <f>IF(OR(Z19=0,Z19=""),0,IF(VLOOKUP(B19,'Matriz de Referencia'!$B$2:$CO$584,30,FALSE)=0,0,"Digite"))</f>
        <v>0</v>
      </c>
      <c r="BR19" s="456">
        <f>IF(OR(Z19=0,Z19=""),0,IF(VLOOKUP(B19,'Matriz de Referencia'!$B$2:$CO$584,31,FALSE)=0,0,"Digite"))</f>
        <v>0</v>
      </c>
      <c r="BS19" s="456">
        <f>IF(OR(Z19=0,Z19=""),0,IF(VLOOKUP(B19,'Matriz de Referencia'!$B$2:$CO$584,32,FALSE)=0,0,"Digite"))</f>
        <v>0</v>
      </c>
      <c r="BT19" s="457">
        <f t="shared" si="11"/>
        <v>0</v>
      </c>
      <c r="BU19" s="456">
        <f>IF(OR(Z19=0,Z19=""),0,IF(VLOOKUP(B19,'Matriz de Referencia'!$B$2:$CO$584,34,FALSE)=0,0,"Digite"))</f>
        <v>0</v>
      </c>
      <c r="BV19" s="456">
        <f>IF(OR(Z19=0,Z19=""),0,IF(VLOOKUP(B19,'Matriz de Referencia'!$B$2:$CO$584,35,FALSE)=0,0,"Digite"))</f>
        <v>0</v>
      </c>
      <c r="BW19" s="456">
        <f>IF(OR(Z19=0,Z19=""),0,IF(VLOOKUP(B19,'Matriz de Referencia'!$B$2:$CO$584,36,FALSE)=0,0,"Digite"))</f>
        <v>0</v>
      </c>
      <c r="BX19" s="457">
        <f t="shared" si="12"/>
        <v>0</v>
      </c>
      <c r="BY19" s="457">
        <f t="shared" si="13"/>
        <v>0</v>
      </c>
      <c r="BZ19" s="455">
        <f>IF(OR(AA19=0,AA19=""),0,IF(VLOOKUP(B19,'Matriz de Referencia'!$B$2:$CO$584,25,FALSE)=0,0,"Digite"))</f>
        <v>0</v>
      </c>
      <c r="CA19" s="456">
        <f>IF(OR(AA19=0,AA19=""),0,IF(VLOOKUP(B19,'Matriz de Referencia'!$B$2:$CO$584,26,FALSE)=0,0,"Digite"))</f>
        <v>0</v>
      </c>
      <c r="CB19" s="456">
        <f>IF(OR(AA19=0,AA19=""),0,IF(VLOOKUP(B19,'Matriz de Referencia'!$B$2:$CO$584,27,FALSE)=0,0,"Digite"))</f>
        <v>0</v>
      </c>
      <c r="CC19" s="456">
        <f>IF(OR(AA19=0,AA19=""),0,IF(VLOOKUP(B19,'Matriz de Referencia'!$B$2:$CO$584,28,FALSE)=0,0,"Digite"))</f>
        <v>0</v>
      </c>
      <c r="CD19" s="456">
        <f>IF(OR(AA19=0,AA19=""),0,IF(VLOOKUP(B19,'Matriz de Referencia'!$B$2:$CO$584,29,FALSE)=0,0,"Digite"))</f>
        <v>0</v>
      </c>
      <c r="CE19" s="456">
        <f>IF(OR(AA19=0,AA19=""),0,IF(VLOOKUP(B19,'Matriz de Referencia'!$B$2:$CO$584,30,FALSE)=0,0,"Digite"))</f>
        <v>0</v>
      </c>
      <c r="CF19" s="456">
        <f>IF(OR(AA19=0,AA19=""),0,IF(VLOOKUP(B19,'Matriz de Referencia'!$B$2:$CO$584,31,FALSE)=0,0,"Digite"))</f>
        <v>0</v>
      </c>
      <c r="CG19" s="456">
        <f>IF(OR(AA19=0,AA19=""),0,IF(VLOOKUP(B19,'Matriz de Referencia'!$B$2:$CO$584,32,FALSE)=0,0,"Digite"))</f>
        <v>0</v>
      </c>
      <c r="CH19" s="457">
        <f t="shared" si="14"/>
        <v>0</v>
      </c>
      <c r="CI19" s="456">
        <f>IF(OR(AA19=0,AA19=""),0,IF(VLOOKUP(B19,'Matriz de Referencia'!$B$2:$CO$584,34,FALSE)=0,0,"Digite"))</f>
        <v>0</v>
      </c>
      <c r="CJ19" s="456">
        <f>IF(OR(AA19=0,AA19=""),0,IF(VLOOKUP(B19,'Matriz de Referencia'!$B$2:$CO$584,35,FALSE)=0,0,"Digite"))</f>
        <v>0</v>
      </c>
      <c r="CK19" s="456">
        <f>IF(OR(AA19=0,AA19=""),0,IF(VLOOKUP(B19,'Matriz de Referencia'!$B$2:$CO$584,36,FALSE)=0,0,"Digite"))</f>
        <v>0</v>
      </c>
      <c r="CL19" s="457">
        <f t="shared" si="15"/>
        <v>0</v>
      </c>
      <c r="CM19" s="457">
        <f t="shared" si="16"/>
        <v>0</v>
      </c>
      <c r="CN19" s="455">
        <f>IF(OR(AB19=0,AB19=""),0,IF(VLOOKUP(B19,'Matriz de Referencia'!$B$2:$CO$584,25,FALSE)=0,0,"Digite"))</f>
        <v>0</v>
      </c>
      <c r="CO19" s="456">
        <f>IF(OR(AB19=0,AB19=""),0,IF(VLOOKUP(B19,'Matriz de Referencia'!$B$2:$CO$584,26,FALSE)=0,0,"Digite"))</f>
        <v>0</v>
      </c>
      <c r="CP19" s="456">
        <f>IF(OR(AB19=0,AB19=""),0,IF(VLOOKUP(B19,'Matriz de Referencia'!$B$2:$CO$584,27,FALSE)=0,0,"Digite"))</f>
        <v>0</v>
      </c>
      <c r="CQ19" s="456">
        <f>IF(OR(AB19=0,AB19=""),0,IF(VLOOKUP(B19,'Matriz de Referencia'!$B$2:$CO$584,28,FALSE)=0,0,"Digite"))</f>
        <v>0</v>
      </c>
      <c r="CR19" s="456">
        <f>IF(OR(AB19=0,AB19=""),0,IF(VLOOKUP(B19,'Matriz de Referencia'!$B$2:$CO$584,29,FALSE)=0,0,"Digite"))</f>
        <v>0</v>
      </c>
      <c r="CS19" s="456">
        <f>IF(OR(AB19=0,AB19=""),0,IF(VLOOKUP(B19,'Matriz de Referencia'!$B$2:$CO$584,30,FALSE)=0,0,"Digite"))</f>
        <v>0</v>
      </c>
      <c r="CT19" s="456">
        <f>IF(OR(AB19=0,AB19=""),0,IF(VLOOKUP(B19,'Matriz de Referencia'!$B$2:$CO$584,31,FALSE)=0,0,"Digite"))</f>
        <v>0</v>
      </c>
      <c r="CU19" s="456">
        <f>IF(OR(AB19=0,AB19=""),0,IF(VLOOKUP(B19,'Matriz de Referencia'!$B$2:$CO$584,32,FALSE)=0,0,"Digite"))</f>
        <v>0</v>
      </c>
      <c r="CV19" s="457">
        <f t="shared" si="17"/>
        <v>0</v>
      </c>
      <c r="CW19" s="456">
        <f>IF(OR(AB19=0,AB19=""),0,IF(VLOOKUP(B19,'Matriz de Referencia'!$B$2:$CO$584,34,FALSE)=0,0,"Digite"))</f>
        <v>0</v>
      </c>
      <c r="CX19" s="456">
        <f>IF(OR(AB19=0,AB19=""),0,IF(VLOOKUP(B19,'Matriz de Referencia'!$B$2:$CO$584,35,FALSE)=0,0,"Digite"))</f>
        <v>0</v>
      </c>
      <c r="CY19" s="456">
        <f>IF(OR(AB19=0,AB19=""),0,IF(VLOOKUP(B19,'Matriz de Referencia'!$B$2:$CO$584,36,FALSE)=0,0,"Digite"))</f>
        <v>0</v>
      </c>
      <c r="CZ19" s="457">
        <f t="shared" si="18"/>
        <v>0</v>
      </c>
      <c r="DA19" s="457">
        <f t="shared" si="19"/>
        <v>0</v>
      </c>
      <c r="DB19" s="457">
        <f t="shared" si="20"/>
        <v>0</v>
      </c>
      <c r="DC19" s="101" t="str">
        <f>IFERROR(IF(DB19=0,"",IF(VLOOKUP(B19,'Matriz de Referencia'!$B$2:$CO$584,'Matriz de Referencia'!BO$1,FALSE)=DB19,"Techos ok, cotinue","Debe revisar el valor programado")),"")</f>
        <v/>
      </c>
      <c r="DD19" s="453">
        <f>IF(OR(AE19=0,AE19=""),0,IF(VLOOKUP(B19,'Matriz de Referencia'!$B$2:$CO$584,39,FALSE)=0,0,"Digite"))</f>
        <v>0</v>
      </c>
      <c r="DE19" s="454">
        <f>IF(OR(AE19=0,AE19=""),0,IF(VLOOKUP(B19,'Matriz de Referencia'!$B$2:$CO$584,40,FALSE)=0,0,"Digite"))</f>
        <v>0</v>
      </c>
      <c r="DF19" s="454">
        <f>IF(OR(AE19=0,AE19=""),0,IF(VLOOKUP(B19,'Matriz de Referencia'!$B$2:$CO$584,41,FALSE)=0,0,"Digite"))</f>
        <v>0</v>
      </c>
      <c r="DG19" s="454">
        <f>IF(OR(AE19=0,AE19=""),0,IF(VLOOKUP(B19,'Matriz de Referencia'!$B$2:$CO$584,42,FALSE)=0,0,"Digite"))</f>
        <v>0</v>
      </c>
      <c r="DH19" s="454">
        <f>IF(OR(AE19=0,AE19=""),0,IF(VLOOKUP(B19,'Matriz de Referencia'!$B$2:$CO$584,43,FALSE)=0,0,"Digite"))</f>
        <v>0</v>
      </c>
      <c r="DI19" s="454">
        <f>IF(OR(AE19=0,AE19=""),0,IF(VLOOKUP(B19,'Matriz de Referencia'!$B$2:$CO$584,44,FALSE)=0,0,"Digite"))</f>
        <v>0</v>
      </c>
      <c r="DJ19" s="454">
        <f>IF(OR(AE19=0,AE19=""),0,IF(VLOOKUP(B19,'Matriz de Referencia'!$B$2:$CO$584,45,FALSE)=0,0,"Digite"))</f>
        <v>0</v>
      </c>
      <c r="DK19" s="454">
        <f>IF(OR(AE19=0,AE19=""),0,IF(VLOOKUP(B19,'Matriz de Referencia'!$B$2:$CO$584,46,FALSE)=0,0,"Digite"))</f>
        <v>0</v>
      </c>
      <c r="DL19" s="382">
        <f t="shared" si="21"/>
        <v>0</v>
      </c>
      <c r="DM19" s="454">
        <f>IF(OR(AE19=0,AE19=""),0,IF(VLOOKUP(B19,'Matriz de Referencia'!$B$2:$CO$584,48,FALSE)=0,0,"Digite"))</f>
        <v>0</v>
      </c>
      <c r="DN19" s="454">
        <f>IF(OR(AE19=0,AE19=""),0,IF(VLOOKUP(B19,'Matriz de Referencia'!$B$2:$CO$584,49,FALSE)=0,0,"Digite"))</f>
        <v>0</v>
      </c>
      <c r="DO19" s="454">
        <f>IF(OR(AE19=0,AE19=""),0,IF(VLOOKUP(B19,'Matriz de Referencia'!$B$2:$CO$584,50,FALSE)=0,0,"Digite"))</f>
        <v>0</v>
      </c>
      <c r="DP19" s="382">
        <f t="shared" si="22"/>
        <v>0</v>
      </c>
      <c r="DQ19" s="382">
        <f t="shared" si="23"/>
        <v>0</v>
      </c>
      <c r="DR19" s="453">
        <f>IF(OR(AF19=0,AF19=""),0,IF(VLOOKUP(B19,'Matriz de Referencia'!$B$2:$CO$584,39,FALSE)=0,0,"Digite"))</f>
        <v>0</v>
      </c>
      <c r="DS19" s="454">
        <f>IF(OR(AF19=0,AF19=""),0,IF(VLOOKUP(B19,'Matriz de Referencia'!$B$2:$CO$584,40,FALSE)=0,0,"Digite"))</f>
        <v>0</v>
      </c>
      <c r="DT19" s="454">
        <f>IF(OR(AF19=0,AF19=""),0,IF(VLOOKUP(B19,'Matriz de Referencia'!$B$2:$CO$584,41,FALSE)=0,0,"Digite"))</f>
        <v>0</v>
      </c>
      <c r="DU19" s="454">
        <f>IF(OR(AF19=0,AF19=""),0,IF(VLOOKUP(B19,'Matriz de Referencia'!$B$2:$CO$584,42,FALSE)=0,0,"Digite"))</f>
        <v>0</v>
      </c>
      <c r="DV19" s="454">
        <f>IF(OR(AF19=0,AF19=""),0,IF(VLOOKUP(B19,'Matriz de Referencia'!$B$2:$CO$584,43,FALSE)=0,0,"Digite"))</f>
        <v>0</v>
      </c>
      <c r="DW19" s="454">
        <f>IF(OR(AF19=0,AF19=""),0,IF(VLOOKUP(B19,'Matriz de Referencia'!$B$2:$CO$584,44,FALSE)=0,0,"Digite"))</f>
        <v>0</v>
      </c>
      <c r="DX19" s="454">
        <f>IF(OR(AF19=0,AF19=""),0,IF(VLOOKUP(B19,'Matriz de Referencia'!$B$2:$CO$584,45,FALSE)=0,0,"Digite"))</f>
        <v>0</v>
      </c>
      <c r="DY19" s="454">
        <f>IF(OR(AF19=0,AF19=""),0,IF(VLOOKUP(B19,'Matriz de Referencia'!$B$2:$CO$584,46,FALSE)=0,0,"Digite"))</f>
        <v>0</v>
      </c>
      <c r="DZ19" s="382">
        <f t="shared" si="24"/>
        <v>0</v>
      </c>
      <c r="EA19" s="454">
        <f>IF(OR(AF19=0,AF19=""),0,IF(VLOOKUP(B19,'Matriz de Referencia'!$B$2:$CO$584,48,FALSE)=0,0,"Digite"))</f>
        <v>0</v>
      </c>
      <c r="EB19" s="454">
        <f>IF(OR(AF19=0,AF19=""),0,IF(VLOOKUP(B19,'Matriz de Referencia'!$B$2:$CO$584,49,FALSE)=0,0,"Digite"))</f>
        <v>0</v>
      </c>
      <c r="EC19" s="454">
        <f>IF(OR(AF19=0,AF19=""),0,IF(VLOOKUP(B19,'Matriz de Referencia'!$B$2:$CO$584,50,FALSE)=0,0,"Digite"))</f>
        <v>0</v>
      </c>
      <c r="ED19" s="382">
        <f t="shared" si="25"/>
        <v>0</v>
      </c>
      <c r="EE19" s="382">
        <f t="shared" si="26"/>
        <v>0</v>
      </c>
      <c r="EF19" s="453">
        <f>IF(OR(AG19=0,AG19=""),0,IF(VLOOKUP(B19,'Matriz de Referencia'!$B$2:$CO$584,39,FALSE)=0,0,"Digite"))</f>
        <v>0</v>
      </c>
      <c r="EG19" s="454">
        <f>IF(OR(AG19=0,AG19=""),0,IF(VLOOKUP(B19,'Matriz de Referencia'!$B$2:$CO$584,40,FALSE)=0,0,"Digite"))</f>
        <v>0</v>
      </c>
      <c r="EH19" s="454">
        <f>IF(OR(AG19=0,AG19=""),0,IF(VLOOKUP(B19,'Matriz de Referencia'!$B$2:$CO$584,41,FALSE)=0,0,"Digite"))</f>
        <v>0</v>
      </c>
      <c r="EI19" s="454">
        <f>IF(OR(AG19=0,AG19=""),0,IF(VLOOKUP(B19,'Matriz de Referencia'!$B$2:$CO$584,42,FALSE)=0,0,"Digite"))</f>
        <v>0</v>
      </c>
      <c r="EJ19" s="454">
        <f>IF(OR(AG19=0,AG19=""),0,IF(VLOOKUP(B19,'Matriz de Referencia'!$B$2:$CO$584,43,FALSE)=0,0,"Digite"))</f>
        <v>0</v>
      </c>
      <c r="EK19" s="454">
        <f>IF(OR(AG19=0,AG19=""),0,IF(VLOOKUP(B19,'Matriz de Referencia'!$B$2:$CO$584,44,FALSE)=0,0,"Digite"))</f>
        <v>0</v>
      </c>
      <c r="EL19" s="454">
        <f>IF(OR(AG19=0,AG19=""),0,IF(VLOOKUP(B19,'Matriz de Referencia'!$B$2:$CO$584,45,FALSE)=0,0,"Digite"))</f>
        <v>0</v>
      </c>
      <c r="EM19" s="454">
        <f>IF(OR(AG19=0,AG19=""),0,IF(VLOOKUP(B19,'Matriz de Referencia'!$B$2:$CO$584,46,FALSE)=0,0,"Digite"))</f>
        <v>0</v>
      </c>
      <c r="EN19" s="382">
        <f t="shared" si="27"/>
        <v>0</v>
      </c>
      <c r="EO19" s="454">
        <f>IF(OR(AG19=0,AG19=""),0,IF(VLOOKUP(B19,'Matriz de Referencia'!$B$2:$CO$584,48,FALSE)=0,0,"Digite"))</f>
        <v>0</v>
      </c>
      <c r="EP19" s="454">
        <f>IF(OR(AG19=0,AG19=""),0,IF(VLOOKUP(B19,'Matriz de Referencia'!$B$2:$CO$584,49,FALSE)=0,0,"Digite"))</f>
        <v>0</v>
      </c>
      <c r="EQ19" s="454">
        <f>IF(OR(AG19=0,AG19=""),0,IF(VLOOKUP(B19,'Matriz de Referencia'!$B$2:$CO$584,50,FALSE)=0,0,"Digite"))</f>
        <v>0</v>
      </c>
      <c r="ER19" s="382">
        <f t="shared" si="28"/>
        <v>0</v>
      </c>
      <c r="ES19" s="382">
        <f t="shared" si="29"/>
        <v>0</v>
      </c>
      <c r="ET19" s="453">
        <f>IF(OR(AH19=0,AH19=""),0,IF(VLOOKUP(B19,'Matriz de Referencia'!$B$2:$CO$584,39,FALSE)=0,0,"Digite"))</f>
        <v>0</v>
      </c>
      <c r="EU19" s="454">
        <f>IF(OR(AH19=0,AH19=""),0,IF(VLOOKUP(B19,'Matriz de Referencia'!$B$2:$CO$584,40,FALSE)=0,0,"Digite"))</f>
        <v>0</v>
      </c>
      <c r="EV19" s="454">
        <f>IF(OR(AH19=0,AH19=""),0,IF(VLOOKUP(B19,'Matriz de Referencia'!$B$2:$CO$584,41,FALSE)=0,0,"Digite"))</f>
        <v>0</v>
      </c>
      <c r="EW19" s="454">
        <f>IF(OR(AH19=0,AH19=""),0,IF(VLOOKUP(B19,'Matriz de Referencia'!$B$2:$CO$584,42,FALSE)=0,0,"Digite"))</f>
        <v>0</v>
      </c>
      <c r="EX19" s="454">
        <f>IF(OR(AH19=0,AH19=""),0,IF(VLOOKUP(B19,'Matriz de Referencia'!$B$2:$CO$584,43,FALSE)=0,0,"Digite"))</f>
        <v>0</v>
      </c>
      <c r="EY19" s="454">
        <f>IF(OR(AH19=0,AH19=""),0,IF(VLOOKUP(B19,'Matriz de Referencia'!$B$2:$CO$584,44,FALSE)=0,0,"Digite"))</f>
        <v>0</v>
      </c>
      <c r="EZ19" s="454">
        <f>IF(OR(AH19=0,AH19=""),0,IF(VLOOKUP(B19,'Matriz de Referencia'!$B$2:$CO$584,45,FALSE)=0,0,"Digite"))</f>
        <v>0</v>
      </c>
      <c r="FA19" s="454">
        <f>IF(OR(AH19=0,AH19=""),0,IF(VLOOKUP(B19,'Matriz de Referencia'!$B$2:$CO$584,46,FALSE)=0,0,"Digite"))</f>
        <v>0</v>
      </c>
      <c r="FB19" s="382">
        <f t="shared" si="30"/>
        <v>0</v>
      </c>
      <c r="FC19" s="454">
        <f>IF(OR(AH19=0,AH19=""),0,IF(VLOOKUP(B19,'Matriz de Referencia'!$B$2:$CO$584,48,FALSE)=0,0,"Digite"))</f>
        <v>0</v>
      </c>
      <c r="FD19" s="454">
        <f>IF(OR(AH19=0,AH19=""),0,IF(VLOOKUP(B19,'Matriz de Referencia'!$B$2:$CO$584,49,FALSE)=0,0,"Digite"))</f>
        <v>0</v>
      </c>
      <c r="FE19" s="454">
        <f>IF(OR(AH19=0,AH19=""),0,IF(VLOOKUP(B19,'Matriz de Referencia'!$B$2:$CO$584,50,FALSE)=0,0,"Digite"))</f>
        <v>0</v>
      </c>
      <c r="FF19" s="382">
        <f t="shared" si="31"/>
        <v>0</v>
      </c>
      <c r="FG19" s="382">
        <f t="shared" si="32"/>
        <v>0</v>
      </c>
      <c r="FH19" s="382">
        <f t="shared" si="33"/>
        <v>0</v>
      </c>
      <c r="FI19" s="101" t="str">
        <f>IFERROR(IF(FH19=0,"",IF(VLOOKUP(B19,'Matriz de Referencia'!$B$2:$CO$584,52,FALSE)=FH19,"Techos ok, cotinue","Debe revisar el valor programado")),"")</f>
        <v/>
      </c>
      <c r="FJ19" s="453">
        <f>IF(OR(AK19=0,AK19=""),0,IF(VLOOKUP(B19,'Matriz de Referencia'!$B$2:$CO$584,53,FALSE)=0,0,"Digite"))</f>
        <v>0</v>
      </c>
      <c r="FK19" s="454">
        <f>IF(OR(AK19=0,AK19=""),0,IF(VLOOKUP(B19,'Matriz de Referencia'!$B$2:$CO$584,54,FALSE)=0,0,"Digite"))</f>
        <v>0</v>
      </c>
      <c r="FL19" s="454">
        <f>IF(OR(AK19=0,AK19=""),0,IF(VLOOKUP(B19,'Matriz de Referencia'!$B$2:$CO$584,55,FALSE)=0,0,"Digite"))</f>
        <v>0</v>
      </c>
      <c r="FM19" s="454">
        <f>IF(OR(AK19=0,AK19=""),0,IF(VLOOKUP(B19,'Matriz de Referencia'!$B$2:$CO$584,56,FALSE)=0,0,"Digite"))</f>
        <v>0</v>
      </c>
      <c r="FN19" s="454">
        <f>IF(OR(AK19=0,AK19=""),0,IF(VLOOKUP(B19,'Matriz de Referencia'!$B$2:$CO$584,57,FALSE)=0,0,"Digite"))</f>
        <v>0</v>
      </c>
      <c r="FO19" s="454">
        <f>IF(OR(AK19=0,AK19=""),0,IF(VLOOKUP(B19,'Matriz de Referencia'!$B$2:$CO$584,58,FALSE)=0,0,"Digite"))</f>
        <v>0</v>
      </c>
      <c r="FP19" s="454">
        <f>IF(OR(AK19=0,AK19=""),0,IF(VLOOKUP(B19,'Matriz de Referencia'!$B$2:$CO$584,59,FALSE)=0,0,"Digite"))</f>
        <v>0</v>
      </c>
      <c r="FQ19" s="454">
        <f>IF(OR(AK19=0,AK19=""),0,IF(VLOOKUP(B19,'Matriz de Referencia'!$B$2:$CO$584,60,FALSE)=0,0,"Digite"))</f>
        <v>0</v>
      </c>
      <c r="FR19" s="382">
        <f t="shared" si="34"/>
        <v>0</v>
      </c>
      <c r="FS19" s="454">
        <f>IF(OR(AK19=0,AK19=""),0,IF(VLOOKUP(B19,'Matriz de Referencia'!$B$2:$CO$584,62,FALSE)=0,0,"Digite"))</f>
        <v>0</v>
      </c>
      <c r="FT19" s="454">
        <f>IF(OR(AK19=0,AK19=""),0,IF(VLOOKUP(B19,'Matriz de Referencia'!$B$2:$CO$584,63,FALSE)=0,0,"Digite"))</f>
        <v>0</v>
      </c>
      <c r="FU19" s="454">
        <f>IF(OR(AK19=0,AK19=""),0,IF(VLOOKUP(B19,'Matriz de Referencia'!$B$2:$CO$584,64,FALSE)=0,"","Digite"))</f>
        <v>0</v>
      </c>
      <c r="FV19" s="382">
        <f t="shared" si="35"/>
        <v>0</v>
      </c>
      <c r="FW19" s="382">
        <f t="shared" si="36"/>
        <v>0</v>
      </c>
      <c r="FX19" s="453">
        <f>IF(OR(AL19=0,AL19=""),0,IF(VLOOKUP(B19,'Matriz de Referencia'!$B$2:$CO$584,53,FALSE)=0,0,"Digite"))</f>
        <v>0</v>
      </c>
      <c r="FY19" s="454">
        <f>IF(OR(AL19=0,AL19=""),0,IF(VLOOKUP(B19,'Matriz de Referencia'!$B$2:$CO$584,54,FALSE)=0,0,"Digite"))</f>
        <v>0</v>
      </c>
      <c r="FZ19" s="454">
        <f>IF(OR(AL19=0,AL19=""),0,IF(VLOOKUP(B19,'Matriz de Referencia'!$B$2:$CO$584,55,FALSE)=0,0,"Digite"))</f>
        <v>0</v>
      </c>
      <c r="GA19" s="454">
        <f>IF(OR(AL19=0,AL19=""),0,IF(VLOOKUP(B19,'Matriz de Referencia'!$B$2:$CO$584,56,FALSE)=0,0,"Digite"))</f>
        <v>0</v>
      </c>
      <c r="GB19" s="454">
        <f>IF(OR(AL19=0,AL19=""),0,IF(VLOOKUP(B19,'Matriz de Referencia'!$B$2:$CO$584,57,FALSE)=0,0,"Digite"))</f>
        <v>0</v>
      </c>
      <c r="GC19" s="454">
        <f>IF(OR(AL19=0,AL19=""),0,IF(VLOOKUP(B19,'Matriz de Referencia'!$B$2:$CO$584,58,FALSE)=0,0,"Digite"))</f>
        <v>0</v>
      </c>
      <c r="GD19" s="454">
        <f>IF(OR(AL19=0,AL19=""),0,IF(VLOOKUP(B19,'Matriz de Referencia'!$B$2:$CO$584,59,FALSE)=0,0,"Digite"))</f>
        <v>0</v>
      </c>
      <c r="GE19" s="454">
        <f>IF(OR(AL19=0,AL19=""),0,IF(VLOOKUP(B19,'Matriz de Referencia'!$B$2:$CO$584,60,FALSE)=0,0,"Digite"))</f>
        <v>0</v>
      </c>
      <c r="GF19" s="382">
        <f t="shared" si="37"/>
        <v>0</v>
      </c>
      <c r="GG19" s="454">
        <f>IF(OR(AL19=0,AL19=""),0,IF(VLOOKUP(B19,'Matriz de Referencia'!$B$2:$CO$584,62,FALSE)=0,0,"Digite"))</f>
        <v>0</v>
      </c>
      <c r="GH19" s="454">
        <f>IF(OR(AL19=0,AL19=""),0,IF(VLOOKUP(B19,'Matriz de Referencia'!$B$2:$CO$584,63,FALSE)=0,0,"Digite"))</f>
        <v>0</v>
      </c>
      <c r="GI19" s="454">
        <f>IF(OR(AL19=0,AL19=""),0,IF(VLOOKUP(B19,'Matriz de Referencia'!$B$2:$CO$584,64,FALSE)=0,0,"Digite"))</f>
        <v>0</v>
      </c>
      <c r="GJ19" s="382">
        <f t="shared" si="38"/>
        <v>0</v>
      </c>
      <c r="GK19" s="382">
        <f t="shared" si="39"/>
        <v>0</v>
      </c>
      <c r="GL19" s="453">
        <f>IF(OR(AM19=0,AM19=""),0,IF(VLOOKUP(B19,'Matriz de Referencia'!$B$2:$CO$584,53,FALSE)=0,0,"Digite"))</f>
        <v>0</v>
      </c>
      <c r="GM19" s="454">
        <f>IF(OR(AM19=0,AM19=""),0,IF(VLOOKUP(B19,'Matriz de Referencia'!$B$2:$CO$584,54,FALSE)=0,0,"Digite"))</f>
        <v>0</v>
      </c>
      <c r="GN19" s="454">
        <f>IF(OR(AM19=0,AM19=""),0,IF(VLOOKUP(B19,'Matriz de Referencia'!$B$2:$CO$584,55,FALSE)=0,0,"Digite"))</f>
        <v>0</v>
      </c>
      <c r="GO19" s="454">
        <f>IF(OR(AM19=0,AM19=""),0,IF(VLOOKUP(B19,'Matriz de Referencia'!$B$2:$CO$584,56,FALSE)=0,0,"Digite"))</f>
        <v>0</v>
      </c>
      <c r="GP19" s="454">
        <f>IF(OR(AM19=0,AM19=""),0,IF(VLOOKUP(B19,'Matriz de Referencia'!$B$2:$CO$584,57,FALSE)=0,0,"Digite"))</f>
        <v>0</v>
      </c>
      <c r="GQ19" s="454">
        <f>IF(OR(AM19=0,AM19=""),0,IF(VLOOKUP(B19,'Matriz de Referencia'!$B$2:$CO$584,58,FALSE)=0,0,"Digite"))</f>
        <v>0</v>
      </c>
      <c r="GR19" s="454">
        <f>IF(OR(AM19=0,AM19=""),0,IF(VLOOKUP(B19,'Matriz de Referencia'!$B$2:$CO$584,59,FALSE)=0,0,"Digite"))</f>
        <v>0</v>
      </c>
      <c r="GS19" s="454">
        <f>IF(OR(AM19=0,AM19=""),0,IF(VLOOKUP(B19,'Matriz de Referencia'!$B$2:$CO$584,60,FALSE)=0,0,"Digite"))</f>
        <v>0</v>
      </c>
      <c r="GT19" s="382">
        <f t="shared" si="40"/>
        <v>0</v>
      </c>
      <c r="GU19" s="454">
        <f>IF(OR(AM19=0,AM19=""),0,IF(VLOOKUP(B19,'Matriz de Referencia'!$B$2:$CO$584,62,FALSE)=0,0,"Digite"))</f>
        <v>0</v>
      </c>
      <c r="GV19" s="454">
        <f>IF(OR(AM19=0,AM19=""),0,IF(VLOOKUP(B19,'Matriz de Referencia'!$B$2:$CO$584,63,FALSE)=0,0,"Digite"))</f>
        <v>0</v>
      </c>
      <c r="GW19" s="454">
        <f>IF(OR(AM19=0,AM19=""),0,IF(VLOOKUP(B19,'Matriz de Referencia'!$B$2:$CO$584,64,FALSE)=0,0,"Digite"))</f>
        <v>0</v>
      </c>
      <c r="GX19" s="382">
        <f t="shared" si="41"/>
        <v>0</v>
      </c>
      <c r="GY19" s="382">
        <f t="shared" si="42"/>
        <v>0</v>
      </c>
      <c r="GZ19" s="453">
        <f>IF(OR(AN19=0,AN19=""),0,IF(VLOOKUP(B19,'Matriz de Referencia'!$B$2:$CO$584,53,FALSE)=0,0,"Digite"))</f>
        <v>0</v>
      </c>
      <c r="HA19" s="454">
        <f>IF(OR(AN19=0,AN19=""),0,IF(VLOOKUP(B19,'Matriz de Referencia'!$B$2:$CO$584,54,FALSE)=0,0,"Digite"))</f>
        <v>0</v>
      </c>
      <c r="HB19" s="454">
        <f>IF(OR(AN19=0,AN19=""),0,IF(VLOOKUP(B19,'Matriz de Referencia'!$B$2:$CO$584,55,FALSE)=0,0,"Digite"))</f>
        <v>0</v>
      </c>
      <c r="HC19" s="454">
        <f>IF(OR(AN19=0,AN19=""),0,IF(VLOOKUP(B19,'Matriz de Referencia'!$B$2:$CO$584,56,FALSE)=0,0,"Digite"))</f>
        <v>0</v>
      </c>
      <c r="HD19" s="454">
        <f>IF(OR(AN19=0,AN19=""),0,IF(VLOOKUP(B19,'Matriz de Referencia'!$B$2:$CO$584,57,FALSE)=0,0,"Digite"))</f>
        <v>0</v>
      </c>
      <c r="HE19" s="454">
        <f>IF(OR(AN19=0,AN19=""),0,IF(VLOOKUP(B19,'Matriz de Referencia'!$B$2:$CO$584,58,FALSE)=0,0,"Digite"))</f>
        <v>0</v>
      </c>
      <c r="HF19" s="454">
        <f>IF(OR(AN19=0,AN19=""),0,IF(VLOOKUP(B19,'Matriz de Referencia'!$B$2:$CO$584,59,FALSE)=0,0,"Digite"))</f>
        <v>0</v>
      </c>
      <c r="HG19" s="454">
        <f>IF(OR(AN19=0,AN19=""),0,IF(VLOOKUP(B19,'Matriz de Referencia'!$B$2:$CO$584,60,FALSE)=0,0,"Digite"))</f>
        <v>0</v>
      </c>
      <c r="HH19" s="382">
        <f t="shared" si="43"/>
        <v>0</v>
      </c>
      <c r="HI19" s="454">
        <f>IF(OR(AN19=0,AN19=""),0,IF(VLOOKUP(B19,'Matriz de Referencia'!$B$2:$CO$584,62,FALSE)=0,0,"Digite"))</f>
        <v>0</v>
      </c>
      <c r="HJ19" s="454">
        <f>IF(OR(AN19=0,AN19=""),0,IF(VLOOKUP(B19,'Matriz de Referencia'!$B$2:$CO$584,63,FALSE)=0,0,"Digite"))</f>
        <v>0</v>
      </c>
      <c r="HK19" s="454">
        <f>IF(OR(AN19=0,AN19=""),0,IF(VLOOKUP(B19,'Matriz de Referencia'!$B$2:$CO$584,64,FALSE)=0,0,"Digite"))</f>
        <v>0</v>
      </c>
      <c r="HL19" s="382">
        <f t="shared" si="44"/>
        <v>0</v>
      </c>
      <c r="HM19" s="382">
        <f t="shared" si="45"/>
        <v>0</v>
      </c>
      <c r="HN19" s="382">
        <f t="shared" si="46"/>
        <v>0</v>
      </c>
      <c r="HO19" s="101" t="str">
        <f>IFERROR(IF(HN19=0,"",IF(VLOOKUP(B19,'Matriz de Referencia'!$B$2:$CO$584,66,FALSE)=HN19,"Techos ok, cotinue","Debe revisar el valor programado")),"")</f>
        <v/>
      </c>
      <c r="HP19" s="453">
        <f>IF(OR(AQ19=0,AQ19=""),0,IF(VLOOKUP(B19,'Matriz de Referencia'!$B$2:$CO$584,67,FALSE)=0,0,"Digite"))</f>
        <v>0</v>
      </c>
      <c r="HQ19" s="454">
        <f>IF(OR(AQ19=0,AQ19=""),0,IF(VLOOKUP(B19,'Matriz de Referencia'!$B$2:$CO$584,68,FALSE)=0,0,"Digite"))</f>
        <v>0</v>
      </c>
      <c r="HR19" s="454">
        <f>IF(OR(AQ19=0,AQ19=""),0,IF(VLOOKUP(B19,'Matriz de Referencia'!$B$2:$CO$584,69,FALSE)=0,0,"Digite"))</f>
        <v>0</v>
      </c>
      <c r="HS19" s="454">
        <f>IF(OR(AQ19=0,AQ19=""),0,IF(VLOOKUP(B19,'Matriz de Referencia'!$B$2:$CO$584,70,FALSE)=0,0,"Digite"))</f>
        <v>0</v>
      </c>
      <c r="HT19" s="454">
        <f>IF(OR(AQ19=0,AQ19=""),0,IF(VLOOKUP(B19,'Matriz de Referencia'!$B$2:$CO$584,71,FALSE)=0,0,"Digite"))</f>
        <v>0</v>
      </c>
      <c r="HU19" s="454">
        <f>IF(OR(AQ19=0,AQ19=""),0,IF(VLOOKUP(B19,'Matriz de Referencia'!$B$2:$CO$584,72,FALSE)=0,0,"Digite"))</f>
        <v>0</v>
      </c>
      <c r="HV19" s="454">
        <f>IF(OR(AQ19=0,AQ19=""),0,IF(VLOOKUP(B19,'Matriz de Referencia'!$B$2:$CO$584,73,FALSE)=0,0,"Digite"))</f>
        <v>0</v>
      </c>
      <c r="HW19" s="454">
        <f>IF(OR(AQ19=0,AQ19=""),0,IF(VLOOKUP(B19,'Matriz de Referencia'!$B$2:$CO$584,74,FALSE)=0,0,"Digite"))</f>
        <v>0</v>
      </c>
      <c r="HX19" s="382">
        <f t="shared" si="47"/>
        <v>0</v>
      </c>
      <c r="HY19" s="454">
        <f>IF(OR(AQ19=0,AQ19=""),0,IF(VLOOKUP(B19,'Matriz de Referencia'!$B$2:$CO$584,76,FALSE)=0,0,"Digite"))</f>
        <v>0</v>
      </c>
      <c r="HZ19" s="454">
        <f>IF(OR(AQ19=0,AQ19=""),0,IF(VLOOKUP(B19,'Matriz de Referencia'!$B$2:$CO$584,77,FALSE)=0,0,"Digite"))</f>
        <v>0</v>
      </c>
      <c r="IA19" s="454">
        <f>IF(OR(AQ19=0,AQ19=""),0,IF(VLOOKUP(B19,'Matriz de Referencia'!$B$2:$CO$584,78,FALSE)=0,0,"Digite"))</f>
        <v>0</v>
      </c>
      <c r="IB19" s="382">
        <f t="shared" si="48"/>
        <v>0</v>
      </c>
      <c r="IC19" s="382">
        <f t="shared" si="49"/>
        <v>0</v>
      </c>
      <c r="ID19" s="453">
        <f>IF(OR(AR19=0,AR19=""),0,IF(VLOOKUP(B19,'Matriz de Referencia'!$B$2:$CO$584,67,FALSE)=0,0,"Digite"))</f>
        <v>0</v>
      </c>
      <c r="IE19" s="454">
        <f>IF(OR(AR19=0,AR19=""),0,IF(VLOOKUP(B19,'Matriz de Referencia'!$B$2:$CO$584,68,FALSE)=0,0,"Digite"))</f>
        <v>0</v>
      </c>
      <c r="IF19" s="454">
        <f>IF(OR(AR19=0,AR19=""),0,IF(VLOOKUP(B19,'Matriz de Referencia'!$B$2:$CO$584,69,FALSE)=0,0,"Digite"))</f>
        <v>0</v>
      </c>
      <c r="IG19" s="454">
        <f>IF(OR(AR19=0,AR19=""),0,IF(VLOOKUP(B19,'Matriz de Referencia'!$B$2:$CO$584,70,FALSE)=0,0,"Digite"))</f>
        <v>0</v>
      </c>
      <c r="IH19" s="454">
        <f>IF(OR(AR19=0,AR19=""),0,IF(VLOOKUP(B19,'Matriz de Referencia'!$B$2:$CO$584,71,FALSE)=0,0,"Digite"))</f>
        <v>0</v>
      </c>
      <c r="II19" s="454">
        <f>IF(OR(AR19=0,AR19=""),0,IF(VLOOKUP(B19,'Matriz de Referencia'!$B$2:$CO$584,72,FALSE)=0,0,"Digite"))</f>
        <v>0</v>
      </c>
      <c r="IJ19" s="454">
        <f>IF(OR(AR19=0,AR19=""),0,IF(VLOOKUP(B19,'Matriz de Referencia'!$B$2:$CO$584,73,FALSE)=0,0,"Digite"))</f>
        <v>0</v>
      </c>
      <c r="IK19" s="454">
        <f>IF(OR(AR19=0,AR19=""),0,IF(VLOOKUP(B19,'Matriz de Referencia'!$B$2:$CO$584,74,FALSE)=0,0,"Digite"))</f>
        <v>0</v>
      </c>
      <c r="IL19" s="382">
        <f t="shared" si="50"/>
        <v>0</v>
      </c>
      <c r="IM19" s="454">
        <f>IF(OR(AR19=0,AR19=""),0,IF(VLOOKUP(B19,'Matriz de Referencia'!$B$2:$CO$584,76,FALSE)=0,0,"Digite"))</f>
        <v>0</v>
      </c>
      <c r="IN19" s="454">
        <f>IF(OR(AR19=0,AR19=""),0,IF(VLOOKUP(B19,'Matriz de Referencia'!$B$2:$CO$584,77,FALSE)=0,0,"Digite"))</f>
        <v>0</v>
      </c>
      <c r="IO19" s="454">
        <f>IF(OR(AR19=0,AR19=""),0,IF(VLOOKUP(B19,'Matriz de Referencia'!$B$2:$CO$584,78,FALSE)=0,0,"Digite"))</f>
        <v>0</v>
      </c>
      <c r="IP19" s="382">
        <f t="shared" si="51"/>
        <v>0</v>
      </c>
      <c r="IQ19" s="382">
        <f t="shared" si="52"/>
        <v>0</v>
      </c>
      <c r="IR19" s="453">
        <f>IF(OR(AS19=0,AS19=""),0,IF(VLOOKUP(B19,'Matriz de Referencia'!$B$2:$CO$584,67,FALSE)=0,0,"Digite"))</f>
        <v>0</v>
      </c>
      <c r="IS19" s="454">
        <f>IF(OR(AS19=0,AS19=""),0,IF(VLOOKUP(B19,'Matriz de Referencia'!$B$2:$CO$584,68,FALSE)=0,0,"Digite"))</f>
        <v>0</v>
      </c>
      <c r="IT19" s="454">
        <f>IF(OR(AS19=0,AS19=""),0,IF(VLOOKUP(B19,'Matriz de Referencia'!$B$2:$CO$584,69,FALSE)=0,0,"Digite"))</f>
        <v>0</v>
      </c>
      <c r="IU19" s="454">
        <f>IF(OR(AS19=0,AS19=""),0,IF(VLOOKUP(B19,'Matriz de Referencia'!$B$2:$CO$584,70,FALSE)=0,0,"Digite"))</f>
        <v>0</v>
      </c>
      <c r="IV19" s="454">
        <f>IF(OR(AS19=0,AS19=""),0,IF(VLOOKUP(B19,'Matriz de Referencia'!$B$2:$CO$584,71,FALSE)=0,0,"Digite"))</f>
        <v>0</v>
      </c>
      <c r="IW19" s="454">
        <f>IF(OR(AS19=0,AS19=""),0,IF(VLOOKUP(B19,'Matriz de Referencia'!$B$2:$CO$584,72,FALSE)=0,0,"Digite"))</f>
        <v>0</v>
      </c>
      <c r="IX19" s="454">
        <f>IF(OR(AS19=0,AS19=""),0,IF(VLOOKUP(B19,'Matriz de Referencia'!$B$2:$CO$584,73,FALSE)=0,0,"Digite"))</f>
        <v>0</v>
      </c>
      <c r="IY19" s="454">
        <f>IF(OR(AS19=0,AS19=""),0,IF(VLOOKUP(B19,'Matriz de Referencia'!$B$2:$CO$584,74,FALSE)=0,0,"Digite"))</f>
        <v>0</v>
      </c>
      <c r="IZ19" s="382">
        <f t="shared" si="53"/>
        <v>0</v>
      </c>
      <c r="JA19" s="454">
        <f>IF(OR(AS19=0,AS19=""),0,IF(VLOOKUP(B19,'Matriz de Referencia'!$B$2:$CO$584,76,FALSE)=0,0,"Digite"))</f>
        <v>0</v>
      </c>
      <c r="JB19" s="454">
        <f>IF(OR(AS19=0,AS19=""),0,IF(VLOOKUP(B19,'Matriz de Referencia'!$B$2:$CO$584,77,FALSE)=0,0,"Digite"))</f>
        <v>0</v>
      </c>
      <c r="JC19" s="454">
        <f>IF(OR(AS19=0,AS19=""),0,IF(VLOOKUP(B19,'Matriz de Referencia'!$B$2:$CO$584,78,FALSE)=0,0,"Digite"))</f>
        <v>0</v>
      </c>
      <c r="JD19" s="382">
        <f t="shared" si="54"/>
        <v>0</v>
      </c>
      <c r="JE19" s="382">
        <f t="shared" si="55"/>
        <v>0</v>
      </c>
      <c r="JF19" s="453">
        <f>IF(OR(AT19=0,AT19=""),0,IF(VLOOKUP(B19,'Matriz de Referencia'!$B$2:$CO$584,67,FALSE)=0,0,"Digite"))</f>
        <v>0</v>
      </c>
      <c r="JG19" s="454">
        <f>IF(OR(AT19=0,AT19=""),0,IF(VLOOKUP(B19,'Matriz de Referencia'!$B$2:$CO$584,68,FALSE)=0,0,"Digite"))</f>
        <v>0</v>
      </c>
      <c r="JH19" s="454">
        <f>IF(OR(AT19=0,AT19=""),0,IF(VLOOKUP(B19,'Matriz de Referencia'!$B$2:$CO$584,69,FALSE)=0,0,"Digite"))</f>
        <v>0</v>
      </c>
      <c r="JI19" s="454">
        <f>IF(OR(AT19=0,AT19=""),0,IF(VLOOKUP(B19,'Matriz de Referencia'!$B$2:$CO$584,70,FALSE)=0,0,"Digite"))</f>
        <v>0</v>
      </c>
      <c r="JJ19" s="454">
        <f>IF(OR(AT19=0,AT19=""),0,IF(VLOOKUP(B19,'Matriz de Referencia'!$B$2:$CO$584,71,FALSE)=0,0,"Digite"))</f>
        <v>0</v>
      </c>
      <c r="JK19" s="454">
        <f>IF(OR(AT19=0,AT19=""),0,IF(VLOOKUP(B19,'Matriz de Referencia'!$B$2:$CO$584,72,FALSE)=0,0,"Digite"))</f>
        <v>0</v>
      </c>
      <c r="JL19" s="454">
        <f>IF(OR(AT19=0,AT19=""),0,IF(VLOOKUP(B19,'Matriz de Referencia'!$B$2:$CO$584,73,FALSE)=0,0,"Digite"))</f>
        <v>0</v>
      </c>
      <c r="JM19" s="454">
        <f>IF(OR(AT19=0,AT19=""),0,IF(VLOOKUP(B19,'Matriz de Referencia'!$B$2:$CO$584,74,FALSE)=0,0,"Digite"))</f>
        <v>0</v>
      </c>
      <c r="JN19" s="382">
        <f t="shared" si="56"/>
        <v>0</v>
      </c>
      <c r="JO19" s="454">
        <f>IF(OR(AT19=0,AT19=""),0,IF(VLOOKUP(B19,'Matriz de Referencia'!$B$2:$CO$584,76,FALSE)=0,0,"Digite"))</f>
        <v>0</v>
      </c>
      <c r="JP19" s="454">
        <f>IF(OR(AT19=0,AT19=""),0,IF(VLOOKUP(B19,'Matriz de Referencia'!$B$2:$CO$584,77,FALSE)=0,0,"Digite"))</f>
        <v>0</v>
      </c>
      <c r="JQ19" s="454">
        <f>IF(OR(AT19=0,AT19=""),0,IF(VLOOKUP(B19,'Matriz de Referencia'!$B$2:$CO$584,78,FALSE)=0,0,"Digite"))</f>
        <v>0</v>
      </c>
      <c r="JR19" s="382">
        <f t="shared" si="57"/>
        <v>0</v>
      </c>
      <c r="JS19" s="382">
        <f t="shared" si="58"/>
        <v>0</v>
      </c>
      <c r="JT19" s="382">
        <f t="shared" si="59"/>
        <v>0</v>
      </c>
      <c r="JU19" s="101" t="str">
        <f>IFERROR(IF(JT19=0,"",IF(VLOOKUP(B19,'Matriz de Referencia'!$B$2:$CO$584,80,FALSE)=JT19,"Techos ok, cotinue","Debe revisar el valor programado")),"")</f>
        <v/>
      </c>
      <c r="JV19" s="382">
        <f t="shared" si="60"/>
        <v>0</v>
      </c>
    </row>
    <row r="20" spans="19:282">
      <c r="S20" s="568"/>
      <c r="T20" s="414"/>
      <c r="U20" s="661" t="str">
        <f t="shared" si="1"/>
        <v>Dimensión_</v>
      </c>
      <c r="V20" s="414"/>
      <c r="W20" s="568"/>
      <c r="X20" s="449" t="str">
        <f>IFERROR(IF(VLOOKUP(B20,'Matriz de Referencia'!$B$2:$CO$584,'Matriz de Referencia'!AM$1,FALSE)&gt;0,"Diligenciar la vigencia, tiene presupuesto programado","No diligenciar, no programo presupuesto"),"")</f>
        <v/>
      </c>
      <c r="Y20" s="649"/>
      <c r="Z20" s="649"/>
      <c r="AA20" s="649"/>
      <c r="AB20" s="649"/>
      <c r="AC20" s="650" t="str">
        <f t="shared" si="61"/>
        <v/>
      </c>
      <c r="AD20" s="449" t="str">
        <f>IFERROR(IF(VLOOKUP($B20,'Matriz de Referencia'!$B$2:$CO$584,'Matriz de Referencia'!BA$1,FALSE)&gt;0,"Diligenciar la vigencia, tiene presupuesto programado","No diligenciar, no programo presupuesto"),"")</f>
        <v/>
      </c>
      <c r="AE20" s="649"/>
      <c r="AF20" s="649"/>
      <c r="AG20" s="649"/>
      <c r="AH20" s="649"/>
      <c r="AI20" s="650" t="str">
        <f t="shared" si="3"/>
        <v/>
      </c>
      <c r="AJ20" s="449" t="str">
        <f>IFERROR(IF(VLOOKUP($B20,'Matriz de Referencia'!$B$2:$CO$584,'Matriz de Referencia'!BO$1,FALSE)&gt;0,"Diligenciar la vigencia, tiene presupuesto programado","No diligenciar, no programo presupuesto"),"")</f>
        <v/>
      </c>
      <c r="AK20" s="649"/>
      <c r="AL20" s="649"/>
      <c r="AM20" s="649"/>
      <c r="AN20" s="649"/>
      <c r="AO20" s="650" t="str">
        <f t="shared" si="4"/>
        <v/>
      </c>
      <c r="AP20" s="449" t="str">
        <f>IFERROR(IF(VLOOKUP($B20,'Matriz de Referencia'!$B$2:$CO$584,'Matriz de Referencia'!CC$1,FALSE)&gt;0,"Diligenciar la vigencia, tiene presupuesto programado","No diligenciar, no programo presupuesto"),"")</f>
        <v/>
      </c>
      <c r="AQ20" s="649"/>
      <c r="AR20" s="649"/>
      <c r="AS20" s="649"/>
      <c r="AT20" s="649"/>
      <c r="AU20" s="650" t="str">
        <f t="shared" si="5"/>
        <v/>
      </c>
      <c r="AV20" s="448" t="str">
        <f t="shared" si="6"/>
        <v/>
      </c>
      <c r="AW20" s="416" t="str">
        <f t="shared" si="7"/>
        <v/>
      </c>
      <c r="AX20" s="455" t="str">
        <f>IF(OR(Y20=0,Y20=""),"",IF(VLOOKUP(B20,'Matriz de Referencia'!$B$2:$CO$584,'Matriz de Referencia'!BB$1,FALSE)=0,"","Digite"))</f>
        <v/>
      </c>
      <c r="AY20" s="456">
        <f>IF(OR(Y20=0,Y20=""),0,IF(VLOOKUP(B20,'Matriz de Referencia'!$B$2:$CO$584,26,FALSE)=0,0,"Digite"))</f>
        <v>0</v>
      </c>
      <c r="AZ20" s="456">
        <f>IF(OR(Y20=0,Y20=""),0,IF(VLOOKUP(B20,'Matriz de Referencia'!$B$2:$CO$584,27,FALSE)=0,0,"Digite"))</f>
        <v>0</v>
      </c>
      <c r="BA20" s="456">
        <f>IF(OR(Y20=0,Y20=""),0,IF(VLOOKUP(B20,'Matriz de Referencia'!$B$2:$CO$584,28,FALSE)=0,0,"Digite"))</f>
        <v>0</v>
      </c>
      <c r="BB20" s="456">
        <f>IF(OR(Y20=0,Y20=""),0,IF(VLOOKUP(B20,'Matriz de Referencia'!$B$2:$CO$584,29,FALSE)=0,0,"Digite"))</f>
        <v>0</v>
      </c>
      <c r="BC20" s="456">
        <f>IF(OR(Y20=0,Y20=""),0,IF(VLOOKUP(B20,'Matriz de Referencia'!$B$2:$CO$584,30,FALSE)=0,0,"Digite"))</f>
        <v>0</v>
      </c>
      <c r="BD20" s="456">
        <f>IF(OR(Y20=0,Y20=""),0,IF(VLOOKUP(B20,'Matriz de Referencia'!$B$2:$CO$584,31,FALSE)=0,0,"Digite"))</f>
        <v>0</v>
      </c>
      <c r="BE20" s="456">
        <f>IF(OR(Y20=0,Y20=""),0,IF(VLOOKUP(B20,'Matriz de Referencia'!$B$2:$CO$584,32,FALSE)=0,0,"Digite"))</f>
        <v>0</v>
      </c>
      <c r="BF20" s="460">
        <f t="shared" si="8"/>
        <v>0</v>
      </c>
      <c r="BG20" s="456">
        <f>IF(OR(Y20=0,Y20=""),0,IF(VLOOKUP(B20,'Matriz de Referencia'!$B$2:$CO$584,34,FALSE)=0,0,"Digite"))</f>
        <v>0</v>
      </c>
      <c r="BH20" s="456">
        <f>IF(OR(Y20=0,Y20=""),0,IF(VLOOKUP(B20,'Matriz de Referencia'!$B$2:$CO$584,35,FALSE)=0,0,"Digite"))</f>
        <v>0</v>
      </c>
      <c r="BI20" s="456">
        <f>IF(OR(Y20=0,Y20=""),0,IF(VLOOKUP(B20,'Matriz de Referencia'!$B$2:$CO$584,36,FALSE)=0,0,"Digite"))</f>
        <v>0</v>
      </c>
      <c r="BJ20" s="457">
        <f t="shared" si="9"/>
        <v>0</v>
      </c>
      <c r="BK20" s="457">
        <f t="shared" si="10"/>
        <v>0</v>
      </c>
      <c r="BL20" s="455">
        <f>IF(OR(Z20=0,Z20=""),0,IF(VLOOKUP(B20,'Matriz de Referencia'!$B$2:$CO$584,25,FALSE)=0,0,"Digite"))</f>
        <v>0</v>
      </c>
      <c r="BM20" s="456">
        <f>IF(OR(Z20=0,Z20=""),0,IF(VLOOKUP(B20,'Matriz de Referencia'!$B$2:$CO$584,26,FALSE)=0,0,"Digite"))</f>
        <v>0</v>
      </c>
      <c r="BN20" s="456">
        <f>IF(OR(Z20=0,Z20=""),0,IF(VLOOKUP(B20,'Matriz de Referencia'!$B$2:$CO$584,27,FALSE)=0,0,"Digite"))</f>
        <v>0</v>
      </c>
      <c r="BO20" s="456">
        <f>IF(OR(Z20=0,Z20=""),0,IF(VLOOKUP(B20,'Matriz de Referencia'!$B$2:$CO$584,28,FALSE)=0,0,"Digite"))</f>
        <v>0</v>
      </c>
      <c r="BP20" s="456">
        <f>IF(OR(Z20=0,Z20=""),0,IF(VLOOKUP(B20,'Matriz de Referencia'!$B$2:$CO$584,29,FALSE)=0,0,"Digite"))</f>
        <v>0</v>
      </c>
      <c r="BQ20" s="456">
        <f>IF(OR(Z20=0,Z20=""),0,IF(VLOOKUP(B20,'Matriz de Referencia'!$B$2:$CO$584,30,FALSE)=0,0,"Digite"))</f>
        <v>0</v>
      </c>
      <c r="BR20" s="456">
        <f>IF(OR(Z20=0,Z20=""),0,IF(VLOOKUP(B20,'Matriz de Referencia'!$B$2:$CO$584,31,FALSE)=0,0,"Digite"))</f>
        <v>0</v>
      </c>
      <c r="BS20" s="456">
        <f>IF(OR(Z20=0,Z20=""),0,IF(VLOOKUP(B20,'Matriz de Referencia'!$B$2:$CO$584,32,FALSE)=0,0,"Digite"))</f>
        <v>0</v>
      </c>
      <c r="BT20" s="457">
        <f t="shared" si="11"/>
        <v>0</v>
      </c>
      <c r="BU20" s="456">
        <f>IF(OR(Z20=0,Z20=""),0,IF(VLOOKUP(B20,'Matriz de Referencia'!$B$2:$CO$584,34,FALSE)=0,0,"Digite"))</f>
        <v>0</v>
      </c>
      <c r="BV20" s="456">
        <f>IF(OR(Z20=0,Z20=""),0,IF(VLOOKUP(B20,'Matriz de Referencia'!$B$2:$CO$584,35,FALSE)=0,0,"Digite"))</f>
        <v>0</v>
      </c>
      <c r="BW20" s="456">
        <f>IF(OR(Z20=0,Z20=""),0,IF(VLOOKUP(B20,'Matriz de Referencia'!$B$2:$CO$584,36,FALSE)=0,0,"Digite"))</f>
        <v>0</v>
      </c>
      <c r="BX20" s="457">
        <f t="shared" si="12"/>
        <v>0</v>
      </c>
      <c r="BY20" s="457">
        <f t="shared" si="13"/>
        <v>0</v>
      </c>
      <c r="BZ20" s="455">
        <f>IF(OR(AA20=0,AA20=""),0,IF(VLOOKUP(B20,'Matriz de Referencia'!$B$2:$CO$584,25,FALSE)=0,0,"Digite"))</f>
        <v>0</v>
      </c>
      <c r="CA20" s="456">
        <f>IF(OR(AA20=0,AA20=""),0,IF(VLOOKUP(B20,'Matriz de Referencia'!$B$2:$CO$584,26,FALSE)=0,0,"Digite"))</f>
        <v>0</v>
      </c>
      <c r="CB20" s="456">
        <f>IF(OR(AA20=0,AA20=""),0,IF(VLOOKUP(B20,'Matriz de Referencia'!$B$2:$CO$584,27,FALSE)=0,0,"Digite"))</f>
        <v>0</v>
      </c>
      <c r="CC20" s="456">
        <f>IF(OR(AA20=0,AA20=""),0,IF(VLOOKUP(B20,'Matriz de Referencia'!$B$2:$CO$584,28,FALSE)=0,0,"Digite"))</f>
        <v>0</v>
      </c>
      <c r="CD20" s="456">
        <f>IF(OR(AA20=0,AA20=""),0,IF(VLOOKUP(B20,'Matriz de Referencia'!$B$2:$CO$584,29,FALSE)=0,0,"Digite"))</f>
        <v>0</v>
      </c>
      <c r="CE20" s="456">
        <f>IF(OR(AA20=0,AA20=""),0,IF(VLOOKUP(B20,'Matriz de Referencia'!$B$2:$CO$584,30,FALSE)=0,0,"Digite"))</f>
        <v>0</v>
      </c>
      <c r="CF20" s="456">
        <f>IF(OR(AA20=0,AA20=""),0,IF(VLOOKUP(B20,'Matriz de Referencia'!$B$2:$CO$584,31,FALSE)=0,0,"Digite"))</f>
        <v>0</v>
      </c>
      <c r="CG20" s="456">
        <f>IF(OR(AA20=0,AA20=""),0,IF(VLOOKUP(B20,'Matriz de Referencia'!$B$2:$CO$584,32,FALSE)=0,0,"Digite"))</f>
        <v>0</v>
      </c>
      <c r="CH20" s="457">
        <f t="shared" si="14"/>
        <v>0</v>
      </c>
      <c r="CI20" s="456">
        <f>IF(OR(AA20=0,AA20=""),0,IF(VLOOKUP(B20,'Matriz de Referencia'!$B$2:$CO$584,34,FALSE)=0,0,"Digite"))</f>
        <v>0</v>
      </c>
      <c r="CJ20" s="456">
        <f>IF(OR(AA20=0,AA20=""),0,IF(VLOOKUP(B20,'Matriz de Referencia'!$B$2:$CO$584,35,FALSE)=0,0,"Digite"))</f>
        <v>0</v>
      </c>
      <c r="CK20" s="456">
        <f>IF(OR(AA20=0,AA20=""),0,IF(VLOOKUP(B20,'Matriz de Referencia'!$B$2:$CO$584,36,FALSE)=0,0,"Digite"))</f>
        <v>0</v>
      </c>
      <c r="CL20" s="457">
        <f t="shared" si="15"/>
        <v>0</v>
      </c>
      <c r="CM20" s="457">
        <f t="shared" si="16"/>
        <v>0</v>
      </c>
      <c r="CN20" s="455">
        <f>IF(OR(AB20=0,AB20=""),0,IF(VLOOKUP(B20,'Matriz de Referencia'!$B$2:$CO$584,25,FALSE)=0,0,"Digite"))</f>
        <v>0</v>
      </c>
      <c r="CO20" s="456">
        <f>IF(OR(AB20=0,AB20=""),0,IF(VLOOKUP(B20,'Matriz de Referencia'!$B$2:$CO$584,26,FALSE)=0,0,"Digite"))</f>
        <v>0</v>
      </c>
      <c r="CP20" s="456">
        <f>IF(OR(AB20=0,AB20=""),0,IF(VLOOKUP(B20,'Matriz de Referencia'!$B$2:$CO$584,27,FALSE)=0,0,"Digite"))</f>
        <v>0</v>
      </c>
      <c r="CQ20" s="456">
        <f>IF(OR(AB20=0,AB20=""),0,IF(VLOOKUP(B20,'Matriz de Referencia'!$B$2:$CO$584,28,FALSE)=0,0,"Digite"))</f>
        <v>0</v>
      </c>
      <c r="CR20" s="456">
        <f>IF(OR(AB20=0,AB20=""),0,IF(VLOOKUP(B20,'Matriz de Referencia'!$B$2:$CO$584,29,FALSE)=0,0,"Digite"))</f>
        <v>0</v>
      </c>
      <c r="CS20" s="456">
        <f>IF(OR(AB20=0,AB20=""),0,IF(VLOOKUP(B20,'Matriz de Referencia'!$B$2:$CO$584,30,FALSE)=0,0,"Digite"))</f>
        <v>0</v>
      </c>
      <c r="CT20" s="456">
        <f>IF(OR(AB20=0,AB20=""),0,IF(VLOOKUP(B20,'Matriz de Referencia'!$B$2:$CO$584,31,FALSE)=0,0,"Digite"))</f>
        <v>0</v>
      </c>
      <c r="CU20" s="456">
        <f>IF(OR(AB20=0,AB20=""),0,IF(VLOOKUP(B20,'Matriz de Referencia'!$B$2:$CO$584,32,FALSE)=0,0,"Digite"))</f>
        <v>0</v>
      </c>
      <c r="CV20" s="457">
        <f t="shared" si="17"/>
        <v>0</v>
      </c>
      <c r="CW20" s="456">
        <f>IF(OR(AB20=0,AB20=""),0,IF(VLOOKUP(B20,'Matriz de Referencia'!$B$2:$CO$584,34,FALSE)=0,0,"Digite"))</f>
        <v>0</v>
      </c>
      <c r="CX20" s="456">
        <f>IF(OR(AB20=0,AB20=""),0,IF(VLOOKUP(B20,'Matriz de Referencia'!$B$2:$CO$584,35,FALSE)=0,0,"Digite"))</f>
        <v>0</v>
      </c>
      <c r="CY20" s="456">
        <f>IF(OR(AB20=0,AB20=""),0,IF(VLOOKUP(B20,'Matriz de Referencia'!$B$2:$CO$584,36,FALSE)=0,0,"Digite"))</f>
        <v>0</v>
      </c>
      <c r="CZ20" s="457">
        <f t="shared" si="18"/>
        <v>0</v>
      </c>
      <c r="DA20" s="457">
        <f t="shared" si="19"/>
        <v>0</v>
      </c>
      <c r="DB20" s="457">
        <f t="shared" si="20"/>
        <v>0</v>
      </c>
      <c r="DC20" s="101" t="str">
        <f>IFERROR(IF(DB20=0,"",IF(VLOOKUP(B20,'Matriz de Referencia'!$B$2:$CO$584,'Matriz de Referencia'!BO$1,FALSE)=DB20,"Techos ok, cotinue","Debe revisar el valor programado")),"")</f>
        <v/>
      </c>
      <c r="DD20" s="453">
        <f>IF(OR(AE20=0,AE20=""),0,IF(VLOOKUP(B20,'Matriz de Referencia'!$B$2:$CO$584,39,FALSE)=0,0,"Digite"))</f>
        <v>0</v>
      </c>
      <c r="DE20" s="454">
        <f>IF(OR(AE20=0,AE20=""),0,IF(VLOOKUP(B20,'Matriz de Referencia'!$B$2:$CO$584,40,FALSE)=0,0,"Digite"))</f>
        <v>0</v>
      </c>
      <c r="DF20" s="454">
        <f>IF(OR(AE20=0,AE20=""),0,IF(VLOOKUP(B20,'Matriz de Referencia'!$B$2:$CO$584,41,FALSE)=0,0,"Digite"))</f>
        <v>0</v>
      </c>
      <c r="DG20" s="454">
        <f>IF(OR(AE20=0,AE20=""),0,IF(VLOOKUP(B20,'Matriz de Referencia'!$B$2:$CO$584,42,FALSE)=0,0,"Digite"))</f>
        <v>0</v>
      </c>
      <c r="DH20" s="454">
        <f>IF(OR(AE20=0,AE20=""),0,IF(VLOOKUP(B20,'Matriz de Referencia'!$B$2:$CO$584,43,FALSE)=0,0,"Digite"))</f>
        <v>0</v>
      </c>
      <c r="DI20" s="454">
        <f>IF(OR(AE20=0,AE20=""),0,IF(VLOOKUP(B20,'Matriz de Referencia'!$B$2:$CO$584,44,FALSE)=0,0,"Digite"))</f>
        <v>0</v>
      </c>
      <c r="DJ20" s="454">
        <f>IF(OR(AE20=0,AE20=""),0,IF(VLOOKUP(B20,'Matriz de Referencia'!$B$2:$CO$584,45,FALSE)=0,0,"Digite"))</f>
        <v>0</v>
      </c>
      <c r="DK20" s="454">
        <f>IF(OR(AE20=0,AE20=""),0,IF(VLOOKUP(B20,'Matriz de Referencia'!$B$2:$CO$584,46,FALSE)=0,0,"Digite"))</f>
        <v>0</v>
      </c>
      <c r="DL20" s="382">
        <f t="shared" si="21"/>
        <v>0</v>
      </c>
      <c r="DM20" s="454">
        <f>IF(OR(AE20=0,AE20=""),0,IF(VLOOKUP(B20,'Matriz de Referencia'!$B$2:$CO$584,48,FALSE)=0,0,"Digite"))</f>
        <v>0</v>
      </c>
      <c r="DN20" s="454">
        <f>IF(OR(AE20=0,AE20=""),0,IF(VLOOKUP(B20,'Matriz de Referencia'!$B$2:$CO$584,49,FALSE)=0,0,"Digite"))</f>
        <v>0</v>
      </c>
      <c r="DO20" s="454">
        <f>IF(OR(AE20=0,AE20=""),0,IF(VLOOKUP(B20,'Matriz de Referencia'!$B$2:$CO$584,50,FALSE)=0,0,"Digite"))</f>
        <v>0</v>
      </c>
      <c r="DP20" s="382">
        <f t="shared" si="22"/>
        <v>0</v>
      </c>
      <c r="DQ20" s="382">
        <f t="shared" si="23"/>
        <v>0</v>
      </c>
      <c r="DR20" s="453">
        <f>IF(OR(AF20=0,AF20=""),0,IF(VLOOKUP(B20,'Matriz de Referencia'!$B$2:$CO$584,39,FALSE)=0,0,"Digite"))</f>
        <v>0</v>
      </c>
      <c r="DS20" s="454">
        <f>IF(OR(AF20=0,AF20=""),0,IF(VLOOKUP(B20,'Matriz de Referencia'!$B$2:$CO$584,40,FALSE)=0,0,"Digite"))</f>
        <v>0</v>
      </c>
      <c r="DT20" s="454">
        <f>IF(OR(AF20=0,AF20=""),0,IF(VLOOKUP(B20,'Matriz de Referencia'!$B$2:$CO$584,41,FALSE)=0,0,"Digite"))</f>
        <v>0</v>
      </c>
      <c r="DU20" s="454">
        <f>IF(OR(AF20=0,AF20=""),0,IF(VLOOKUP(B20,'Matriz de Referencia'!$B$2:$CO$584,42,FALSE)=0,0,"Digite"))</f>
        <v>0</v>
      </c>
      <c r="DV20" s="454">
        <f>IF(OR(AF20=0,AF20=""),0,IF(VLOOKUP(B20,'Matriz de Referencia'!$B$2:$CO$584,43,FALSE)=0,0,"Digite"))</f>
        <v>0</v>
      </c>
      <c r="DW20" s="454">
        <f>IF(OR(AF20=0,AF20=""),0,IF(VLOOKUP(B20,'Matriz de Referencia'!$B$2:$CO$584,44,FALSE)=0,0,"Digite"))</f>
        <v>0</v>
      </c>
      <c r="DX20" s="454">
        <f>IF(OR(AF20=0,AF20=""),0,IF(VLOOKUP(B20,'Matriz de Referencia'!$B$2:$CO$584,45,FALSE)=0,0,"Digite"))</f>
        <v>0</v>
      </c>
      <c r="DY20" s="454">
        <f>IF(OR(AF20=0,AF20=""),0,IF(VLOOKUP(B20,'Matriz de Referencia'!$B$2:$CO$584,46,FALSE)=0,0,"Digite"))</f>
        <v>0</v>
      </c>
      <c r="DZ20" s="382">
        <f t="shared" si="24"/>
        <v>0</v>
      </c>
      <c r="EA20" s="454">
        <f>IF(OR(AF20=0,AF20=""),0,IF(VLOOKUP(B20,'Matriz de Referencia'!$B$2:$CO$584,48,FALSE)=0,0,"Digite"))</f>
        <v>0</v>
      </c>
      <c r="EB20" s="454">
        <f>IF(OR(AF20=0,AF20=""),0,IF(VLOOKUP(B20,'Matriz de Referencia'!$B$2:$CO$584,49,FALSE)=0,0,"Digite"))</f>
        <v>0</v>
      </c>
      <c r="EC20" s="454">
        <f>IF(OR(AF20=0,AF20=""),0,IF(VLOOKUP(B20,'Matriz de Referencia'!$B$2:$CO$584,50,FALSE)=0,0,"Digite"))</f>
        <v>0</v>
      </c>
      <c r="ED20" s="382">
        <f t="shared" si="25"/>
        <v>0</v>
      </c>
      <c r="EE20" s="382">
        <f t="shared" si="26"/>
        <v>0</v>
      </c>
      <c r="EF20" s="453">
        <f>IF(OR(AG20=0,AG20=""),0,IF(VLOOKUP(B20,'Matriz de Referencia'!$B$2:$CO$584,39,FALSE)=0,0,"Digite"))</f>
        <v>0</v>
      </c>
      <c r="EG20" s="454">
        <f>IF(OR(AG20=0,AG20=""),0,IF(VLOOKUP(B20,'Matriz de Referencia'!$B$2:$CO$584,40,FALSE)=0,0,"Digite"))</f>
        <v>0</v>
      </c>
      <c r="EH20" s="454">
        <f>IF(OR(AG20=0,AG20=""),0,IF(VLOOKUP(B20,'Matriz de Referencia'!$B$2:$CO$584,41,FALSE)=0,0,"Digite"))</f>
        <v>0</v>
      </c>
      <c r="EI20" s="454">
        <f>IF(OR(AG20=0,AG20=""),0,IF(VLOOKUP(B20,'Matriz de Referencia'!$B$2:$CO$584,42,FALSE)=0,0,"Digite"))</f>
        <v>0</v>
      </c>
      <c r="EJ20" s="454">
        <f>IF(OR(AG20=0,AG20=""),0,IF(VLOOKUP(B20,'Matriz de Referencia'!$B$2:$CO$584,43,FALSE)=0,0,"Digite"))</f>
        <v>0</v>
      </c>
      <c r="EK20" s="454">
        <f>IF(OR(AG20=0,AG20=""),0,IF(VLOOKUP(B20,'Matriz de Referencia'!$B$2:$CO$584,44,FALSE)=0,0,"Digite"))</f>
        <v>0</v>
      </c>
      <c r="EL20" s="454">
        <f>IF(OR(AG20=0,AG20=""),0,IF(VLOOKUP(B20,'Matriz de Referencia'!$B$2:$CO$584,45,FALSE)=0,0,"Digite"))</f>
        <v>0</v>
      </c>
      <c r="EM20" s="454">
        <f>IF(OR(AG20=0,AG20=""),0,IF(VLOOKUP(B20,'Matriz de Referencia'!$B$2:$CO$584,46,FALSE)=0,0,"Digite"))</f>
        <v>0</v>
      </c>
      <c r="EN20" s="382">
        <f t="shared" si="27"/>
        <v>0</v>
      </c>
      <c r="EO20" s="454">
        <f>IF(OR(AG20=0,AG20=""),0,IF(VLOOKUP(B20,'Matriz de Referencia'!$B$2:$CO$584,48,FALSE)=0,0,"Digite"))</f>
        <v>0</v>
      </c>
      <c r="EP20" s="454">
        <f>IF(OR(AG20=0,AG20=""),0,IF(VLOOKUP(B20,'Matriz de Referencia'!$B$2:$CO$584,49,FALSE)=0,0,"Digite"))</f>
        <v>0</v>
      </c>
      <c r="EQ20" s="454">
        <f>IF(OR(AG20=0,AG20=""),0,IF(VLOOKUP(B20,'Matriz de Referencia'!$B$2:$CO$584,50,FALSE)=0,0,"Digite"))</f>
        <v>0</v>
      </c>
      <c r="ER20" s="382">
        <f t="shared" si="28"/>
        <v>0</v>
      </c>
      <c r="ES20" s="382">
        <f t="shared" si="29"/>
        <v>0</v>
      </c>
      <c r="ET20" s="453">
        <f>IF(OR(AH20=0,AH20=""),0,IF(VLOOKUP(B20,'Matriz de Referencia'!$B$2:$CO$584,39,FALSE)=0,0,"Digite"))</f>
        <v>0</v>
      </c>
      <c r="EU20" s="454">
        <f>IF(OR(AH20=0,AH20=""),0,IF(VLOOKUP(B20,'Matriz de Referencia'!$B$2:$CO$584,40,FALSE)=0,0,"Digite"))</f>
        <v>0</v>
      </c>
      <c r="EV20" s="454">
        <f>IF(OR(AH20=0,AH20=""),0,IF(VLOOKUP(B20,'Matriz de Referencia'!$B$2:$CO$584,41,FALSE)=0,0,"Digite"))</f>
        <v>0</v>
      </c>
      <c r="EW20" s="454">
        <f>IF(OR(AH20=0,AH20=""),0,IF(VLOOKUP(B20,'Matriz de Referencia'!$B$2:$CO$584,42,FALSE)=0,0,"Digite"))</f>
        <v>0</v>
      </c>
      <c r="EX20" s="454">
        <f>IF(OR(AH20=0,AH20=""),0,IF(VLOOKUP(B20,'Matriz de Referencia'!$B$2:$CO$584,43,FALSE)=0,0,"Digite"))</f>
        <v>0</v>
      </c>
      <c r="EY20" s="454">
        <f>IF(OR(AH20=0,AH20=""),0,IF(VLOOKUP(B20,'Matriz de Referencia'!$B$2:$CO$584,44,FALSE)=0,0,"Digite"))</f>
        <v>0</v>
      </c>
      <c r="EZ20" s="454">
        <f>IF(OR(AH20=0,AH20=""),0,IF(VLOOKUP(B20,'Matriz de Referencia'!$B$2:$CO$584,45,FALSE)=0,0,"Digite"))</f>
        <v>0</v>
      </c>
      <c r="FA20" s="454">
        <f>IF(OR(AH20=0,AH20=""),0,IF(VLOOKUP(B20,'Matriz de Referencia'!$B$2:$CO$584,46,FALSE)=0,0,"Digite"))</f>
        <v>0</v>
      </c>
      <c r="FB20" s="382">
        <f t="shared" si="30"/>
        <v>0</v>
      </c>
      <c r="FC20" s="454">
        <f>IF(OR(AH20=0,AH20=""),0,IF(VLOOKUP(B20,'Matriz de Referencia'!$B$2:$CO$584,48,FALSE)=0,0,"Digite"))</f>
        <v>0</v>
      </c>
      <c r="FD20" s="454">
        <f>IF(OR(AH20=0,AH20=""),0,IF(VLOOKUP(B20,'Matriz de Referencia'!$B$2:$CO$584,49,FALSE)=0,0,"Digite"))</f>
        <v>0</v>
      </c>
      <c r="FE20" s="454">
        <f>IF(OR(AH20=0,AH20=""),0,IF(VLOOKUP(B20,'Matriz de Referencia'!$B$2:$CO$584,50,FALSE)=0,0,"Digite"))</f>
        <v>0</v>
      </c>
      <c r="FF20" s="382">
        <f t="shared" si="31"/>
        <v>0</v>
      </c>
      <c r="FG20" s="382">
        <f t="shared" si="32"/>
        <v>0</v>
      </c>
      <c r="FH20" s="382">
        <f t="shared" si="33"/>
        <v>0</v>
      </c>
      <c r="FI20" s="101" t="str">
        <f>IFERROR(IF(FH20=0,"",IF(VLOOKUP(B20,'Matriz de Referencia'!$B$2:$CO$584,52,FALSE)=FH20,"Techos ok, cotinue","Debe revisar el valor programado")),"")</f>
        <v/>
      </c>
      <c r="FJ20" s="453">
        <f>IF(OR(AK20=0,AK20=""),0,IF(VLOOKUP(B20,'Matriz de Referencia'!$B$2:$CO$584,53,FALSE)=0,0,"Digite"))</f>
        <v>0</v>
      </c>
      <c r="FK20" s="454">
        <f>IF(OR(AK20=0,AK20=""),0,IF(VLOOKUP(B20,'Matriz de Referencia'!$B$2:$CO$584,54,FALSE)=0,0,"Digite"))</f>
        <v>0</v>
      </c>
      <c r="FL20" s="454">
        <f>IF(OR(AK20=0,AK20=""),0,IF(VLOOKUP(B20,'Matriz de Referencia'!$B$2:$CO$584,55,FALSE)=0,0,"Digite"))</f>
        <v>0</v>
      </c>
      <c r="FM20" s="454">
        <f>IF(OR(AK20=0,AK20=""),0,IF(VLOOKUP(B20,'Matriz de Referencia'!$B$2:$CO$584,56,FALSE)=0,0,"Digite"))</f>
        <v>0</v>
      </c>
      <c r="FN20" s="454">
        <f>IF(OR(AK20=0,AK20=""),0,IF(VLOOKUP(B20,'Matriz de Referencia'!$B$2:$CO$584,57,FALSE)=0,0,"Digite"))</f>
        <v>0</v>
      </c>
      <c r="FO20" s="454">
        <f>IF(OR(AK20=0,AK20=""),0,IF(VLOOKUP(B20,'Matriz de Referencia'!$B$2:$CO$584,58,FALSE)=0,0,"Digite"))</f>
        <v>0</v>
      </c>
      <c r="FP20" s="454">
        <f>IF(OR(AK20=0,AK20=""),0,IF(VLOOKUP(B20,'Matriz de Referencia'!$B$2:$CO$584,59,FALSE)=0,0,"Digite"))</f>
        <v>0</v>
      </c>
      <c r="FQ20" s="454">
        <f>IF(OR(AK20=0,AK20=""),0,IF(VLOOKUP(B20,'Matriz de Referencia'!$B$2:$CO$584,60,FALSE)=0,0,"Digite"))</f>
        <v>0</v>
      </c>
      <c r="FR20" s="382">
        <f t="shared" si="34"/>
        <v>0</v>
      </c>
      <c r="FS20" s="454">
        <f>IF(OR(AK20=0,AK20=""),0,IF(VLOOKUP(B20,'Matriz de Referencia'!$B$2:$CO$584,62,FALSE)=0,0,"Digite"))</f>
        <v>0</v>
      </c>
      <c r="FT20" s="454">
        <f>IF(OR(AK20=0,AK20=""),0,IF(VLOOKUP(B20,'Matriz de Referencia'!$B$2:$CO$584,63,FALSE)=0,0,"Digite"))</f>
        <v>0</v>
      </c>
      <c r="FU20" s="454">
        <f>IF(OR(AK20=0,AK20=""),0,IF(VLOOKUP(B20,'Matriz de Referencia'!$B$2:$CO$584,64,FALSE)=0,"","Digite"))</f>
        <v>0</v>
      </c>
      <c r="FV20" s="382">
        <f t="shared" si="35"/>
        <v>0</v>
      </c>
      <c r="FW20" s="382">
        <f t="shared" si="36"/>
        <v>0</v>
      </c>
      <c r="FX20" s="453">
        <f>IF(OR(AL20=0,AL20=""),0,IF(VLOOKUP(B20,'Matriz de Referencia'!$B$2:$CO$584,53,FALSE)=0,0,"Digite"))</f>
        <v>0</v>
      </c>
      <c r="FY20" s="454">
        <f>IF(OR(AL20=0,AL20=""),0,IF(VLOOKUP(B20,'Matriz de Referencia'!$B$2:$CO$584,54,FALSE)=0,0,"Digite"))</f>
        <v>0</v>
      </c>
      <c r="FZ20" s="454">
        <f>IF(OR(AL20=0,AL20=""),0,IF(VLOOKUP(B20,'Matriz de Referencia'!$B$2:$CO$584,55,FALSE)=0,0,"Digite"))</f>
        <v>0</v>
      </c>
      <c r="GA20" s="454">
        <f>IF(OR(AL20=0,AL20=""),0,IF(VLOOKUP(B20,'Matriz de Referencia'!$B$2:$CO$584,56,FALSE)=0,0,"Digite"))</f>
        <v>0</v>
      </c>
      <c r="GB20" s="454">
        <f>IF(OR(AL20=0,AL20=""),0,IF(VLOOKUP(B20,'Matriz de Referencia'!$B$2:$CO$584,57,FALSE)=0,0,"Digite"))</f>
        <v>0</v>
      </c>
      <c r="GC20" s="454">
        <f>IF(OR(AL20=0,AL20=""),0,IF(VLOOKUP(B20,'Matriz de Referencia'!$B$2:$CO$584,58,FALSE)=0,0,"Digite"))</f>
        <v>0</v>
      </c>
      <c r="GD20" s="454">
        <f>IF(OR(AL20=0,AL20=""),0,IF(VLOOKUP(B20,'Matriz de Referencia'!$B$2:$CO$584,59,FALSE)=0,0,"Digite"))</f>
        <v>0</v>
      </c>
      <c r="GE20" s="454">
        <f>IF(OR(AL20=0,AL20=""),0,IF(VLOOKUP(B20,'Matriz de Referencia'!$B$2:$CO$584,60,FALSE)=0,0,"Digite"))</f>
        <v>0</v>
      </c>
      <c r="GF20" s="382">
        <f t="shared" si="37"/>
        <v>0</v>
      </c>
      <c r="GG20" s="454">
        <f>IF(OR(AL20=0,AL20=""),0,IF(VLOOKUP(B20,'Matriz de Referencia'!$B$2:$CO$584,62,FALSE)=0,0,"Digite"))</f>
        <v>0</v>
      </c>
      <c r="GH20" s="454">
        <f>IF(OR(AL20=0,AL20=""),0,IF(VLOOKUP(B20,'Matriz de Referencia'!$B$2:$CO$584,63,FALSE)=0,0,"Digite"))</f>
        <v>0</v>
      </c>
      <c r="GI20" s="454">
        <f>IF(OR(AL20=0,AL20=""),0,IF(VLOOKUP(B20,'Matriz de Referencia'!$B$2:$CO$584,64,FALSE)=0,0,"Digite"))</f>
        <v>0</v>
      </c>
      <c r="GJ20" s="382">
        <f t="shared" si="38"/>
        <v>0</v>
      </c>
      <c r="GK20" s="382">
        <f t="shared" si="39"/>
        <v>0</v>
      </c>
      <c r="GL20" s="453">
        <f>IF(OR(AM20=0,AM20=""),0,IF(VLOOKUP(B20,'Matriz de Referencia'!$B$2:$CO$584,53,FALSE)=0,0,"Digite"))</f>
        <v>0</v>
      </c>
      <c r="GM20" s="454">
        <f>IF(OR(AM20=0,AM20=""),0,IF(VLOOKUP(B20,'Matriz de Referencia'!$B$2:$CO$584,54,FALSE)=0,0,"Digite"))</f>
        <v>0</v>
      </c>
      <c r="GN20" s="454">
        <f>IF(OR(AM20=0,AM20=""),0,IF(VLOOKUP(B20,'Matriz de Referencia'!$B$2:$CO$584,55,FALSE)=0,0,"Digite"))</f>
        <v>0</v>
      </c>
      <c r="GO20" s="454">
        <f>IF(OR(AM20=0,AM20=""),0,IF(VLOOKUP(B20,'Matriz de Referencia'!$B$2:$CO$584,56,FALSE)=0,0,"Digite"))</f>
        <v>0</v>
      </c>
      <c r="GP20" s="454">
        <f>IF(OR(AM20=0,AM20=""),0,IF(VLOOKUP(B20,'Matriz de Referencia'!$B$2:$CO$584,57,FALSE)=0,0,"Digite"))</f>
        <v>0</v>
      </c>
      <c r="GQ20" s="454">
        <f>IF(OR(AM20=0,AM20=""),0,IF(VLOOKUP(B20,'Matriz de Referencia'!$B$2:$CO$584,58,FALSE)=0,0,"Digite"))</f>
        <v>0</v>
      </c>
      <c r="GR20" s="454">
        <f>IF(OR(AM20=0,AM20=""),0,IF(VLOOKUP(B20,'Matriz de Referencia'!$B$2:$CO$584,59,FALSE)=0,0,"Digite"))</f>
        <v>0</v>
      </c>
      <c r="GS20" s="454">
        <f>IF(OR(AM20=0,AM20=""),0,IF(VLOOKUP(B20,'Matriz de Referencia'!$B$2:$CO$584,60,FALSE)=0,0,"Digite"))</f>
        <v>0</v>
      </c>
      <c r="GT20" s="382">
        <f t="shared" si="40"/>
        <v>0</v>
      </c>
      <c r="GU20" s="454">
        <f>IF(OR(AM20=0,AM20=""),0,IF(VLOOKUP(B20,'Matriz de Referencia'!$B$2:$CO$584,62,FALSE)=0,0,"Digite"))</f>
        <v>0</v>
      </c>
      <c r="GV20" s="454">
        <f>IF(OR(AM20=0,AM20=""),0,IF(VLOOKUP(B20,'Matriz de Referencia'!$B$2:$CO$584,63,FALSE)=0,0,"Digite"))</f>
        <v>0</v>
      </c>
      <c r="GW20" s="454">
        <f>IF(OR(AM20=0,AM20=""),0,IF(VLOOKUP(B20,'Matriz de Referencia'!$B$2:$CO$584,64,FALSE)=0,0,"Digite"))</f>
        <v>0</v>
      </c>
      <c r="GX20" s="382">
        <f t="shared" si="41"/>
        <v>0</v>
      </c>
      <c r="GY20" s="382">
        <f t="shared" si="42"/>
        <v>0</v>
      </c>
      <c r="GZ20" s="453">
        <f>IF(OR(AN20=0,AN20=""),0,IF(VLOOKUP(B20,'Matriz de Referencia'!$B$2:$CO$584,53,FALSE)=0,0,"Digite"))</f>
        <v>0</v>
      </c>
      <c r="HA20" s="454">
        <f>IF(OR(AN20=0,AN20=""),0,IF(VLOOKUP(B20,'Matriz de Referencia'!$B$2:$CO$584,54,FALSE)=0,0,"Digite"))</f>
        <v>0</v>
      </c>
      <c r="HB20" s="454">
        <f>IF(OR(AN20=0,AN20=""),0,IF(VLOOKUP(B20,'Matriz de Referencia'!$B$2:$CO$584,55,FALSE)=0,0,"Digite"))</f>
        <v>0</v>
      </c>
      <c r="HC20" s="454">
        <f>IF(OR(AN20=0,AN20=""),0,IF(VLOOKUP(B20,'Matriz de Referencia'!$B$2:$CO$584,56,FALSE)=0,0,"Digite"))</f>
        <v>0</v>
      </c>
      <c r="HD20" s="454">
        <f>IF(OR(AN20=0,AN20=""),0,IF(VLOOKUP(B20,'Matriz de Referencia'!$B$2:$CO$584,57,FALSE)=0,0,"Digite"))</f>
        <v>0</v>
      </c>
      <c r="HE20" s="454">
        <f>IF(OR(AN20=0,AN20=""),0,IF(VLOOKUP(B20,'Matriz de Referencia'!$B$2:$CO$584,58,FALSE)=0,0,"Digite"))</f>
        <v>0</v>
      </c>
      <c r="HF20" s="454">
        <f>IF(OR(AN20=0,AN20=""),0,IF(VLOOKUP(B20,'Matriz de Referencia'!$B$2:$CO$584,59,FALSE)=0,0,"Digite"))</f>
        <v>0</v>
      </c>
      <c r="HG20" s="454">
        <f>IF(OR(AN20=0,AN20=""),0,IF(VLOOKUP(B20,'Matriz de Referencia'!$B$2:$CO$584,60,FALSE)=0,0,"Digite"))</f>
        <v>0</v>
      </c>
      <c r="HH20" s="382">
        <f t="shared" si="43"/>
        <v>0</v>
      </c>
      <c r="HI20" s="454">
        <f>IF(OR(AN20=0,AN20=""),0,IF(VLOOKUP(B20,'Matriz de Referencia'!$B$2:$CO$584,62,FALSE)=0,0,"Digite"))</f>
        <v>0</v>
      </c>
      <c r="HJ20" s="454">
        <f>IF(OR(AN20=0,AN20=""),0,IF(VLOOKUP(B20,'Matriz de Referencia'!$B$2:$CO$584,63,FALSE)=0,0,"Digite"))</f>
        <v>0</v>
      </c>
      <c r="HK20" s="454">
        <f>IF(OR(AN20=0,AN20=""),0,IF(VLOOKUP(B20,'Matriz de Referencia'!$B$2:$CO$584,64,FALSE)=0,0,"Digite"))</f>
        <v>0</v>
      </c>
      <c r="HL20" s="382">
        <f t="shared" si="44"/>
        <v>0</v>
      </c>
      <c r="HM20" s="382">
        <f t="shared" si="45"/>
        <v>0</v>
      </c>
      <c r="HN20" s="382">
        <f t="shared" si="46"/>
        <v>0</v>
      </c>
      <c r="HO20" s="101" t="str">
        <f>IFERROR(IF(HN20=0,"",IF(VLOOKUP(B20,'Matriz de Referencia'!$B$2:$CO$584,66,FALSE)=HN20,"Techos ok, cotinue","Debe revisar el valor programado")),"")</f>
        <v/>
      </c>
      <c r="HP20" s="453">
        <f>IF(OR(AQ20=0,AQ20=""),0,IF(VLOOKUP(B20,'Matriz de Referencia'!$B$2:$CO$584,67,FALSE)=0,0,"Digite"))</f>
        <v>0</v>
      </c>
      <c r="HQ20" s="454">
        <f>IF(OR(AQ20=0,AQ20=""),0,IF(VLOOKUP(B20,'Matriz de Referencia'!$B$2:$CO$584,68,FALSE)=0,0,"Digite"))</f>
        <v>0</v>
      </c>
      <c r="HR20" s="454">
        <f>IF(OR(AQ20=0,AQ20=""),0,IF(VLOOKUP(B20,'Matriz de Referencia'!$B$2:$CO$584,69,FALSE)=0,0,"Digite"))</f>
        <v>0</v>
      </c>
      <c r="HS20" s="454">
        <f>IF(OR(AQ20=0,AQ20=""),0,IF(VLOOKUP(B20,'Matriz de Referencia'!$B$2:$CO$584,70,FALSE)=0,0,"Digite"))</f>
        <v>0</v>
      </c>
      <c r="HT20" s="454">
        <f>IF(OR(AQ20=0,AQ20=""),0,IF(VLOOKUP(B20,'Matriz de Referencia'!$B$2:$CO$584,71,FALSE)=0,0,"Digite"))</f>
        <v>0</v>
      </c>
      <c r="HU20" s="454">
        <f>IF(OR(AQ20=0,AQ20=""),0,IF(VLOOKUP(B20,'Matriz de Referencia'!$B$2:$CO$584,72,FALSE)=0,0,"Digite"))</f>
        <v>0</v>
      </c>
      <c r="HV20" s="454">
        <f>IF(OR(AQ20=0,AQ20=""),0,IF(VLOOKUP(B20,'Matriz de Referencia'!$B$2:$CO$584,73,FALSE)=0,0,"Digite"))</f>
        <v>0</v>
      </c>
      <c r="HW20" s="454">
        <f>IF(OR(AQ20=0,AQ20=""),0,IF(VLOOKUP(B20,'Matriz de Referencia'!$B$2:$CO$584,74,FALSE)=0,0,"Digite"))</f>
        <v>0</v>
      </c>
      <c r="HX20" s="382">
        <f t="shared" si="47"/>
        <v>0</v>
      </c>
      <c r="HY20" s="454">
        <f>IF(OR(AQ20=0,AQ20=""),0,IF(VLOOKUP(B20,'Matriz de Referencia'!$B$2:$CO$584,76,FALSE)=0,0,"Digite"))</f>
        <v>0</v>
      </c>
      <c r="HZ20" s="454">
        <f>IF(OR(AQ20=0,AQ20=""),0,IF(VLOOKUP(B20,'Matriz de Referencia'!$B$2:$CO$584,77,FALSE)=0,0,"Digite"))</f>
        <v>0</v>
      </c>
      <c r="IA20" s="454">
        <f>IF(OR(AQ20=0,AQ20=""),0,IF(VLOOKUP(B20,'Matriz de Referencia'!$B$2:$CO$584,78,FALSE)=0,0,"Digite"))</f>
        <v>0</v>
      </c>
      <c r="IB20" s="382">
        <f t="shared" si="48"/>
        <v>0</v>
      </c>
      <c r="IC20" s="382">
        <f t="shared" si="49"/>
        <v>0</v>
      </c>
      <c r="ID20" s="453">
        <f>IF(OR(AR20=0,AR20=""),0,IF(VLOOKUP(B20,'Matriz de Referencia'!$B$2:$CO$584,67,FALSE)=0,0,"Digite"))</f>
        <v>0</v>
      </c>
      <c r="IE20" s="454">
        <f>IF(OR(AR20=0,AR20=""),0,IF(VLOOKUP(B20,'Matriz de Referencia'!$B$2:$CO$584,68,FALSE)=0,0,"Digite"))</f>
        <v>0</v>
      </c>
      <c r="IF20" s="454">
        <f>IF(OR(AR20=0,AR20=""),0,IF(VLOOKUP(B20,'Matriz de Referencia'!$B$2:$CO$584,69,FALSE)=0,0,"Digite"))</f>
        <v>0</v>
      </c>
      <c r="IG20" s="454">
        <f>IF(OR(AR20=0,AR20=""),0,IF(VLOOKUP(B20,'Matriz de Referencia'!$B$2:$CO$584,70,FALSE)=0,0,"Digite"))</f>
        <v>0</v>
      </c>
      <c r="IH20" s="454">
        <f>IF(OR(AR20=0,AR20=""),0,IF(VLOOKUP(B20,'Matriz de Referencia'!$B$2:$CO$584,71,FALSE)=0,0,"Digite"))</f>
        <v>0</v>
      </c>
      <c r="II20" s="454">
        <f>IF(OR(AR20=0,AR20=""),0,IF(VLOOKUP(B20,'Matriz de Referencia'!$B$2:$CO$584,72,FALSE)=0,0,"Digite"))</f>
        <v>0</v>
      </c>
      <c r="IJ20" s="454">
        <f>IF(OR(AR20=0,AR20=""),0,IF(VLOOKUP(B20,'Matriz de Referencia'!$B$2:$CO$584,73,FALSE)=0,0,"Digite"))</f>
        <v>0</v>
      </c>
      <c r="IK20" s="454">
        <f>IF(OR(AR20=0,AR20=""),0,IF(VLOOKUP(B20,'Matriz de Referencia'!$B$2:$CO$584,74,FALSE)=0,0,"Digite"))</f>
        <v>0</v>
      </c>
      <c r="IL20" s="382">
        <f t="shared" si="50"/>
        <v>0</v>
      </c>
      <c r="IM20" s="454">
        <f>IF(OR(AR20=0,AR20=""),0,IF(VLOOKUP(B20,'Matriz de Referencia'!$B$2:$CO$584,76,FALSE)=0,0,"Digite"))</f>
        <v>0</v>
      </c>
      <c r="IN20" s="454">
        <f>IF(OR(AR20=0,AR20=""),0,IF(VLOOKUP(B20,'Matriz de Referencia'!$B$2:$CO$584,77,FALSE)=0,0,"Digite"))</f>
        <v>0</v>
      </c>
      <c r="IO20" s="454">
        <f>IF(OR(AR20=0,AR20=""),0,IF(VLOOKUP(B20,'Matriz de Referencia'!$B$2:$CO$584,78,FALSE)=0,0,"Digite"))</f>
        <v>0</v>
      </c>
      <c r="IP20" s="382">
        <f t="shared" si="51"/>
        <v>0</v>
      </c>
      <c r="IQ20" s="382">
        <f t="shared" si="52"/>
        <v>0</v>
      </c>
      <c r="IR20" s="453">
        <f>IF(OR(AS20=0,AS20=""),0,IF(VLOOKUP(B20,'Matriz de Referencia'!$B$2:$CO$584,67,FALSE)=0,0,"Digite"))</f>
        <v>0</v>
      </c>
      <c r="IS20" s="454">
        <f>IF(OR(AS20=0,AS20=""),0,IF(VLOOKUP(B20,'Matriz de Referencia'!$B$2:$CO$584,68,FALSE)=0,0,"Digite"))</f>
        <v>0</v>
      </c>
      <c r="IT20" s="454">
        <f>IF(OR(AS20=0,AS20=""),0,IF(VLOOKUP(B20,'Matriz de Referencia'!$B$2:$CO$584,69,FALSE)=0,0,"Digite"))</f>
        <v>0</v>
      </c>
      <c r="IU20" s="454">
        <f>IF(OR(AS20=0,AS20=""),0,IF(VLOOKUP(B20,'Matriz de Referencia'!$B$2:$CO$584,70,FALSE)=0,0,"Digite"))</f>
        <v>0</v>
      </c>
      <c r="IV20" s="454">
        <f>IF(OR(AS20=0,AS20=""),0,IF(VLOOKUP(B20,'Matriz de Referencia'!$B$2:$CO$584,71,FALSE)=0,0,"Digite"))</f>
        <v>0</v>
      </c>
      <c r="IW20" s="454">
        <f>IF(OR(AS20=0,AS20=""),0,IF(VLOOKUP(B20,'Matriz de Referencia'!$B$2:$CO$584,72,FALSE)=0,0,"Digite"))</f>
        <v>0</v>
      </c>
      <c r="IX20" s="454">
        <f>IF(OR(AS20=0,AS20=""),0,IF(VLOOKUP(B20,'Matriz de Referencia'!$B$2:$CO$584,73,FALSE)=0,0,"Digite"))</f>
        <v>0</v>
      </c>
      <c r="IY20" s="454">
        <f>IF(OR(AS20=0,AS20=""),0,IF(VLOOKUP(B20,'Matriz de Referencia'!$B$2:$CO$584,74,FALSE)=0,0,"Digite"))</f>
        <v>0</v>
      </c>
      <c r="IZ20" s="382">
        <f t="shared" si="53"/>
        <v>0</v>
      </c>
      <c r="JA20" s="454">
        <f>IF(OR(AS20=0,AS20=""),0,IF(VLOOKUP(B20,'Matriz de Referencia'!$B$2:$CO$584,76,FALSE)=0,0,"Digite"))</f>
        <v>0</v>
      </c>
      <c r="JB20" s="454">
        <f>IF(OR(AS20=0,AS20=""),0,IF(VLOOKUP(B20,'Matriz de Referencia'!$B$2:$CO$584,77,FALSE)=0,0,"Digite"))</f>
        <v>0</v>
      </c>
      <c r="JC20" s="454">
        <f>IF(OR(AS20=0,AS20=""),0,IF(VLOOKUP(B20,'Matriz de Referencia'!$B$2:$CO$584,78,FALSE)=0,0,"Digite"))</f>
        <v>0</v>
      </c>
      <c r="JD20" s="382">
        <f t="shared" si="54"/>
        <v>0</v>
      </c>
      <c r="JE20" s="382">
        <f t="shared" si="55"/>
        <v>0</v>
      </c>
      <c r="JF20" s="453">
        <f>IF(OR(AT20=0,AT20=""),0,IF(VLOOKUP(B20,'Matriz de Referencia'!$B$2:$CO$584,67,FALSE)=0,0,"Digite"))</f>
        <v>0</v>
      </c>
      <c r="JG20" s="454">
        <f>IF(OR(AT20=0,AT20=""),0,IF(VLOOKUP(B20,'Matriz de Referencia'!$B$2:$CO$584,68,FALSE)=0,0,"Digite"))</f>
        <v>0</v>
      </c>
      <c r="JH20" s="454">
        <f>IF(OR(AT20=0,AT20=""),0,IF(VLOOKUP(B20,'Matriz de Referencia'!$B$2:$CO$584,69,FALSE)=0,0,"Digite"))</f>
        <v>0</v>
      </c>
      <c r="JI20" s="454">
        <f>IF(OR(AT20=0,AT20=""),0,IF(VLOOKUP(B20,'Matriz de Referencia'!$B$2:$CO$584,70,FALSE)=0,0,"Digite"))</f>
        <v>0</v>
      </c>
      <c r="JJ20" s="454">
        <f>IF(OR(AT20=0,AT20=""),0,IF(VLOOKUP(B20,'Matriz de Referencia'!$B$2:$CO$584,71,FALSE)=0,0,"Digite"))</f>
        <v>0</v>
      </c>
      <c r="JK20" s="454">
        <f>IF(OR(AT20=0,AT20=""),0,IF(VLOOKUP(B20,'Matriz de Referencia'!$B$2:$CO$584,72,FALSE)=0,0,"Digite"))</f>
        <v>0</v>
      </c>
      <c r="JL20" s="454">
        <f>IF(OR(AT20=0,AT20=""),0,IF(VLOOKUP(B20,'Matriz de Referencia'!$B$2:$CO$584,73,FALSE)=0,0,"Digite"))</f>
        <v>0</v>
      </c>
      <c r="JM20" s="454">
        <f>IF(OR(AT20=0,AT20=""),0,IF(VLOOKUP(B20,'Matriz de Referencia'!$B$2:$CO$584,74,FALSE)=0,0,"Digite"))</f>
        <v>0</v>
      </c>
      <c r="JN20" s="382">
        <f t="shared" si="56"/>
        <v>0</v>
      </c>
      <c r="JO20" s="454">
        <f>IF(OR(AT20=0,AT20=""),0,IF(VLOOKUP(B20,'Matriz de Referencia'!$B$2:$CO$584,76,FALSE)=0,0,"Digite"))</f>
        <v>0</v>
      </c>
      <c r="JP20" s="454">
        <f>IF(OR(AT20=0,AT20=""),0,IF(VLOOKUP(B20,'Matriz de Referencia'!$B$2:$CO$584,77,FALSE)=0,0,"Digite"))</f>
        <v>0</v>
      </c>
      <c r="JQ20" s="454">
        <f>IF(OR(AT20=0,AT20=""),0,IF(VLOOKUP(B20,'Matriz de Referencia'!$B$2:$CO$584,78,FALSE)=0,0,"Digite"))</f>
        <v>0</v>
      </c>
      <c r="JR20" s="382">
        <f t="shared" si="57"/>
        <v>0</v>
      </c>
      <c r="JS20" s="382">
        <f t="shared" si="58"/>
        <v>0</v>
      </c>
      <c r="JT20" s="382">
        <f t="shared" si="59"/>
        <v>0</v>
      </c>
      <c r="JU20" s="101" t="str">
        <f>IFERROR(IF(JT20=0,"",IF(VLOOKUP(B20,'Matriz de Referencia'!$B$2:$CO$584,80,FALSE)=JT20,"Techos ok, cotinue","Debe revisar el valor programado")),"")</f>
        <v/>
      </c>
      <c r="JV20" s="382">
        <f t="shared" si="60"/>
        <v>0</v>
      </c>
    </row>
    <row r="21" spans="19:282">
      <c r="S21" s="568"/>
      <c r="T21" s="414"/>
      <c r="U21" s="661" t="str">
        <f t="shared" si="1"/>
        <v>Dimensión_</v>
      </c>
      <c r="V21" s="414"/>
      <c r="W21" s="568"/>
      <c r="X21" s="449" t="str">
        <f>IFERROR(IF(VLOOKUP(B21,'Matriz de Referencia'!$B$2:$CO$584,'Matriz de Referencia'!AM$1,FALSE)&gt;0,"Diligenciar la vigencia, tiene presupuesto programado","No diligenciar, no programo presupuesto"),"")</f>
        <v/>
      </c>
      <c r="Y21" s="649"/>
      <c r="Z21" s="649"/>
      <c r="AA21" s="649"/>
      <c r="AB21" s="649"/>
      <c r="AC21" s="650" t="str">
        <f>IFERROR(IF(#REF!="Mantenimiento", AVERAGE(Y21:AB21), IF($AX21="Incremento", SUM(Y21:AB21), "")),"")</f>
        <v/>
      </c>
      <c r="AD21" s="449" t="str">
        <f>IFERROR(IF(VLOOKUP($B21,'Matriz de Referencia'!$B$2:$CO$584,'Matriz de Referencia'!BA$1,FALSE)&gt;0,"Diligenciar la vigencia, tiene presupuesto programado","No diligenciar, no programo presupuesto"),"")</f>
        <v/>
      </c>
      <c r="AE21" s="627"/>
      <c r="AH21" s="627"/>
      <c r="AI21" s="650" t="str">
        <f>IFERROR(IF(#REF!="Mantenimiento", AVERAGE(AE21:AH21), IF(#REF!="Incremento", SUM(AE21:AH21), "")),"")</f>
        <v/>
      </c>
      <c r="AJ21" s="449" t="str">
        <f>IFERROR(IF(VLOOKUP($B21,'Matriz de Referencia'!$B$2:$CO$584,'Matriz de Referencia'!BO$1,FALSE)&gt;0,"Diligenciar la vigencia, tiene presupuesto programado","No diligenciar, no programo presupuesto"),"")</f>
        <v/>
      </c>
      <c r="AK21" s="627"/>
      <c r="AN21" s="627"/>
      <c r="AO21" s="650" t="str">
        <f t="shared" ref="AO21:AO65" si="62">IFERROR(IF($AX21="Mantenimiento", AVERAGE(AK21:AN21), IF($AX21="Incremento", SUM(AK21:AN21), "")),"")</f>
        <v/>
      </c>
      <c r="AP21" s="449" t="str">
        <f>IFERROR(IF(VLOOKUP($B21,'Matriz de Referencia'!$B$2:$CO$584,'Matriz de Referencia'!CC$1,FALSE)&gt;0,"Diligenciar la vigencia, tiene presupuesto programado","No diligenciar, no programo presupuesto"),"")</f>
        <v/>
      </c>
      <c r="AQ21" s="627"/>
      <c r="AT21" s="627"/>
      <c r="AU21" s="650" t="str">
        <f t="shared" ref="AU21:AU65" si="63">IFERROR(IF($AX21="Mantenimiento", AVERAGE(AQ21:AT21), IF($AX21="Incremento", SUM(AQ21:AT21), "")),"")</f>
        <v/>
      </c>
      <c r="AV21" s="448" t="str">
        <f t="shared" si="6"/>
        <v/>
      </c>
      <c r="AW21" s="416" t="str">
        <f t="shared" si="7"/>
        <v/>
      </c>
    </row>
    <row r="22" spans="19:282">
      <c r="S22" s="568"/>
      <c r="T22" s="414"/>
      <c r="U22" s="661" t="str">
        <f t="shared" si="1"/>
        <v>Dimensión_</v>
      </c>
      <c r="V22" s="414"/>
      <c r="W22" s="568"/>
      <c r="X22" s="449" t="str">
        <f>IFERROR(IF(VLOOKUP(B22,'Matriz de Referencia'!$B$2:$CO$584,'Matriz de Referencia'!AM$1,FALSE)&gt;0,"Diligenciar la vigencia, tiene presupuesto programado","No diligenciar, no programo presupuesto"),"")</f>
        <v/>
      </c>
      <c r="Y22" s="649"/>
      <c r="Z22" s="649"/>
      <c r="AA22" s="649"/>
      <c r="AB22" s="649"/>
      <c r="AC22" s="650" t="str">
        <f>IFERROR(IF(#REF!="Mantenimiento", AVERAGE(Y22:AB22), IF($AX22="Incremento", SUM(Y22:AB22), "")),"")</f>
        <v/>
      </c>
      <c r="AD22" s="449" t="str">
        <f>IFERROR(IF(VLOOKUP($B22,'Matriz de Referencia'!$B$2:$CO$584,'Matriz de Referencia'!BA$1,FALSE)&gt;0,"Diligenciar la vigencia, tiene presupuesto programado","No diligenciar, no programo presupuesto"),"")</f>
        <v/>
      </c>
      <c r="AE22" s="627"/>
      <c r="AH22" s="627"/>
      <c r="AI22" s="650" t="str">
        <f>IFERROR(IF(#REF!="Mantenimiento", AVERAGE(AE22:AH22), IF(#REF!="Incremento", SUM(AE22:AH22), "")),"")</f>
        <v/>
      </c>
      <c r="AJ22" s="449" t="str">
        <f>IFERROR(IF(VLOOKUP($B22,'Matriz de Referencia'!$B$2:$CO$584,'Matriz de Referencia'!BO$1,FALSE)&gt;0,"Diligenciar la vigencia, tiene presupuesto programado","No diligenciar, no programo presupuesto"),"")</f>
        <v/>
      </c>
      <c r="AK22" s="627"/>
      <c r="AN22" s="627"/>
      <c r="AO22" s="650" t="str">
        <f t="shared" si="62"/>
        <v/>
      </c>
      <c r="AP22" s="449" t="str">
        <f>IFERROR(IF(VLOOKUP($B22,'Matriz de Referencia'!$B$2:$CO$584,'Matriz de Referencia'!CC$1,FALSE)&gt;0,"Diligenciar la vigencia, tiene presupuesto programado","No diligenciar, no programo presupuesto"),"")</f>
        <v/>
      </c>
      <c r="AQ22" s="627"/>
      <c r="AT22" s="627"/>
      <c r="AU22" s="650" t="str">
        <f t="shared" si="63"/>
        <v/>
      </c>
      <c r="AV22" s="448" t="str">
        <f t="shared" si="6"/>
        <v/>
      </c>
      <c r="AW22" s="416" t="str">
        <f t="shared" si="7"/>
        <v/>
      </c>
    </row>
    <row r="23" spans="19:282">
      <c r="S23" s="568"/>
      <c r="T23" s="414"/>
      <c r="U23" s="661" t="str">
        <f t="shared" si="1"/>
        <v>Dimensión_</v>
      </c>
      <c r="V23" s="414"/>
      <c r="W23" s="568"/>
      <c r="X23" s="449" t="str">
        <f>IFERROR(IF(VLOOKUP(B23,'Matriz de Referencia'!$B$2:$CO$584,'Matriz de Referencia'!AM$1,FALSE)&gt;0,"Diligenciar la vigencia, tiene presupuesto programado","No diligenciar, no programo presupuesto"),"")</f>
        <v/>
      </c>
      <c r="Y23" s="649"/>
      <c r="Z23" s="649"/>
      <c r="AA23" s="649"/>
      <c r="AB23" s="649"/>
      <c r="AC23" s="650" t="str">
        <f>IFERROR(IF(#REF!="Mantenimiento", AVERAGE(Y23:AB23), IF($AX23="Incremento", SUM(Y23:AB23), "")),"")</f>
        <v/>
      </c>
      <c r="AD23" s="449" t="str">
        <f>IFERROR(IF(VLOOKUP($B23,'Matriz de Referencia'!$B$2:$CO$584,'Matriz de Referencia'!BA$1,FALSE)&gt;0,"Diligenciar la vigencia, tiene presupuesto programado","No diligenciar, no programo presupuesto"),"")</f>
        <v/>
      </c>
      <c r="AE23" s="627"/>
      <c r="AH23" s="627"/>
      <c r="AI23" s="650" t="str">
        <f>IFERROR(IF(#REF!="Mantenimiento", AVERAGE(AE23:AH23), IF(#REF!="Incremento", SUM(AE23:AH23), "")),"")</f>
        <v/>
      </c>
      <c r="AJ23" s="449" t="str">
        <f>IFERROR(IF(VLOOKUP($B23,'Matriz de Referencia'!$B$2:$CO$584,'Matriz de Referencia'!BO$1,FALSE)&gt;0,"Diligenciar la vigencia, tiene presupuesto programado","No diligenciar, no programo presupuesto"),"")</f>
        <v/>
      </c>
      <c r="AK23" s="627"/>
      <c r="AN23" s="627"/>
      <c r="AO23" s="650" t="str">
        <f t="shared" si="62"/>
        <v/>
      </c>
      <c r="AP23" s="449" t="str">
        <f>IFERROR(IF(VLOOKUP($B23,'Matriz de Referencia'!$B$2:$CO$584,'Matriz de Referencia'!CC$1,FALSE)&gt;0,"Diligenciar la vigencia, tiene presupuesto programado","No diligenciar, no programo presupuesto"),"")</f>
        <v/>
      </c>
      <c r="AQ23" s="627"/>
      <c r="AT23" s="627"/>
      <c r="AU23" s="650" t="str">
        <f t="shared" si="63"/>
        <v/>
      </c>
      <c r="AV23" s="448" t="str">
        <f t="shared" si="6"/>
        <v/>
      </c>
      <c r="AW23" s="416" t="str">
        <f t="shared" si="7"/>
        <v/>
      </c>
    </row>
    <row r="24" spans="19:282">
      <c r="S24" s="568"/>
      <c r="T24" s="414"/>
      <c r="U24" s="661" t="str">
        <f t="shared" si="1"/>
        <v>Dimensión_</v>
      </c>
      <c r="V24" s="414"/>
      <c r="W24" s="568"/>
      <c r="X24" s="449" t="str">
        <f>IFERROR(IF(VLOOKUP(B24,'Matriz de Referencia'!$B$2:$CO$584,'Matriz de Referencia'!AM$1,FALSE)&gt;0,"Diligenciar la vigencia, tiene presupuesto programado","No diligenciar, no programo presupuesto"),"")</f>
        <v/>
      </c>
      <c r="Y24" s="649"/>
      <c r="Z24" s="649"/>
      <c r="AA24" s="649"/>
      <c r="AB24" s="649"/>
      <c r="AC24" s="650" t="str">
        <f>IFERROR(IF(#REF!="Mantenimiento", AVERAGE(Y24:AB24), IF($AX24="Incremento", SUM(Y24:AB24), "")),"")</f>
        <v/>
      </c>
      <c r="AD24" s="449" t="str">
        <f>IFERROR(IF(VLOOKUP($B24,'Matriz de Referencia'!$B$2:$CO$584,'Matriz de Referencia'!BA$1,FALSE)&gt;0,"Diligenciar la vigencia, tiene presupuesto programado","No diligenciar, no programo presupuesto"),"")</f>
        <v/>
      </c>
      <c r="AE24" s="627"/>
      <c r="AH24" s="627"/>
      <c r="AI24" s="650" t="str">
        <f>IFERROR(IF(#REF!="Mantenimiento", AVERAGE(AE24:AH24), IF(#REF!="Incremento", SUM(AE24:AH24), "")),"")</f>
        <v/>
      </c>
      <c r="AJ24" s="449" t="str">
        <f>IFERROR(IF(VLOOKUP($B24,'Matriz de Referencia'!$B$2:$CO$584,'Matriz de Referencia'!BO$1,FALSE)&gt;0,"Diligenciar la vigencia, tiene presupuesto programado","No diligenciar, no programo presupuesto"),"")</f>
        <v/>
      </c>
      <c r="AK24" s="627"/>
      <c r="AN24" s="627"/>
      <c r="AO24" s="650" t="str">
        <f t="shared" si="62"/>
        <v/>
      </c>
      <c r="AP24" s="449" t="str">
        <f>IFERROR(IF(VLOOKUP($B24,'Matriz de Referencia'!$B$2:$CO$584,'Matriz de Referencia'!CC$1,FALSE)&gt;0,"Diligenciar la vigencia, tiene presupuesto programado","No diligenciar, no programo presupuesto"),"")</f>
        <v/>
      </c>
      <c r="AQ24" s="627"/>
      <c r="AT24" s="627"/>
      <c r="AU24" s="650" t="str">
        <f t="shared" si="63"/>
        <v/>
      </c>
      <c r="AV24" s="448" t="str">
        <f t="shared" si="6"/>
        <v/>
      </c>
      <c r="AW24" s="416" t="str">
        <f t="shared" si="7"/>
        <v/>
      </c>
    </row>
    <row r="25" spans="19:282">
      <c r="S25" s="568"/>
      <c r="T25" s="414"/>
      <c r="U25" s="661" t="str">
        <f t="shared" si="1"/>
        <v>Dimensión_</v>
      </c>
      <c r="V25" s="414"/>
      <c r="W25" s="568"/>
      <c r="X25" s="449" t="str">
        <f>IFERROR(IF(VLOOKUP(B25,'Matriz de Referencia'!$B$2:$CO$584,'Matriz de Referencia'!AM$1,FALSE)&gt;0,"Diligenciar la vigencia, tiene presupuesto programado","No diligenciar, no programo presupuesto"),"")</f>
        <v/>
      </c>
      <c r="Y25" s="649"/>
      <c r="Z25" s="649"/>
      <c r="AA25" s="649"/>
      <c r="AB25" s="649"/>
      <c r="AC25" s="650" t="str">
        <f>IFERROR(IF(#REF!="Mantenimiento", AVERAGE(Y25:AB25), IF($AX25="Incremento", SUM(Y25:AB25), "")),"")</f>
        <v/>
      </c>
      <c r="AD25" s="449" t="str">
        <f>IFERROR(IF(VLOOKUP($B25,'Matriz de Referencia'!$B$2:$CO$584,'Matriz de Referencia'!BA$1,FALSE)&gt;0,"Diligenciar la vigencia, tiene presupuesto programado","No diligenciar, no programo presupuesto"),"")</f>
        <v/>
      </c>
      <c r="AE25" s="627"/>
      <c r="AH25" s="627"/>
      <c r="AI25" s="650" t="str">
        <f>IFERROR(IF(#REF!="Mantenimiento", AVERAGE(AE25:AH25), IF(#REF!="Incremento", SUM(AE25:AH25), "")),"")</f>
        <v/>
      </c>
      <c r="AJ25" s="449" t="str">
        <f>IFERROR(IF(VLOOKUP($B25,'Matriz de Referencia'!$B$2:$CO$584,'Matriz de Referencia'!BO$1,FALSE)&gt;0,"Diligenciar la vigencia, tiene presupuesto programado","No diligenciar, no programo presupuesto"),"")</f>
        <v/>
      </c>
      <c r="AK25" s="627"/>
      <c r="AN25" s="627"/>
      <c r="AO25" s="650" t="str">
        <f t="shared" si="62"/>
        <v/>
      </c>
      <c r="AP25" s="449" t="str">
        <f>IFERROR(IF(VLOOKUP($B25,'Matriz de Referencia'!$B$2:$CO$584,'Matriz de Referencia'!CC$1,FALSE)&gt;0,"Diligenciar la vigencia, tiene presupuesto programado","No diligenciar, no programo presupuesto"),"")</f>
        <v/>
      </c>
      <c r="AQ25" s="627"/>
      <c r="AT25" s="627"/>
      <c r="AU25" s="650" t="str">
        <f t="shared" si="63"/>
        <v/>
      </c>
      <c r="AV25" s="448" t="str">
        <f t="shared" si="6"/>
        <v/>
      </c>
      <c r="AW25" s="416" t="str">
        <f t="shared" si="7"/>
        <v/>
      </c>
    </row>
    <row r="26" spans="19:282">
      <c r="S26" s="568"/>
      <c r="T26" s="414"/>
      <c r="U26" s="661" t="str">
        <f t="shared" si="1"/>
        <v>Dimensión_</v>
      </c>
      <c r="V26" s="414"/>
      <c r="W26" s="568"/>
      <c r="X26" s="449" t="str">
        <f>IFERROR(IF(VLOOKUP(B26,'Matriz de Referencia'!$B$2:$CO$584,'Matriz de Referencia'!AM$1,FALSE)&gt;0,"Diligenciar la vigencia, tiene presupuesto programado","No diligenciar, no programo presupuesto"),"")</f>
        <v/>
      </c>
      <c r="Y26" s="649"/>
      <c r="Z26" s="649"/>
      <c r="AA26" s="649"/>
      <c r="AB26" s="649"/>
      <c r="AC26" s="650" t="str">
        <f>IFERROR(IF(#REF!="Mantenimiento", AVERAGE(Y26:AB26), IF($AX26="Incremento", SUM(Y26:AB26), "")),"")</f>
        <v/>
      </c>
      <c r="AD26" s="449" t="str">
        <f>IFERROR(IF(VLOOKUP($B26,'Matriz de Referencia'!$B$2:$CO$584,'Matriz de Referencia'!BA$1,FALSE)&gt;0,"Diligenciar la vigencia, tiene presupuesto programado","No diligenciar, no programo presupuesto"),"")</f>
        <v/>
      </c>
      <c r="AE26" s="627"/>
      <c r="AH26" s="627"/>
      <c r="AI26" s="650" t="str">
        <f>IFERROR(IF(#REF!="Mantenimiento", AVERAGE(AE26:AH26), IF(#REF!="Incremento", SUM(AE26:AH26), "")),"")</f>
        <v/>
      </c>
      <c r="AJ26" s="449" t="str">
        <f>IFERROR(IF(VLOOKUP($B26,'Matriz de Referencia'!$B$2:$CO$584,'Matriz de Referencia'!BO$1,FALSE)&gt;0,"Diligenciar la vigencia, tiene presupuesto programado","No diligenciar, no programo presupuesto"),"")</f>
        <v/>
      </c>
      <c r="AK26" s="627"/>
      <c r="AN26" s="627"/>
      <c r="AO26" s="650" t="str">
        <f t="shared" si="62"/>
        <v/>
      </c>
      <c r="AP26" s="449" t="str">
        <f>IFERROR(IF(VLOOKUP($B26,'Matriz de Referencia'!$B$2:$CO$584,'Matriz de Referencia'!CC$1,FALSE)&gt;0,"Diligenciar la vigencia, tiene presupuesto programado","No diligenciar, no programo presupuesto"),"")</f>
        <v/>
      </c>
      <c r="AQ26" s="627"/>
      <c r="AT26" s="627"/>
      <c r="AU26" s="650" t="str">
        <f t="shared" si="63"/>
        <v/>
      </c>
      <c r="AV26" s="448" t="str">
        <f t="shared" si="6"/>
        <v/>
      </c>
      <c r="AW26" s="416" t="str">
        <f t="shared" si="7"/>
        <v/>
      </c>
    </row>
    <row r="27" spans="19:282">
      <c r="S27" s="568"/>
      <c r="T27" s="414"/>
      <c r="U27" s="661" t="str">
        <f t="shared" si="1"/>
        <v>Dimensión_</v>
      </c>
      <c r="V27" s="414"/>
      <c r="W27" s="568"/>
      <c r="X27" s="449" t="str">
        <f>IFERROR(IF(VLOOKUP(B27,'Matriz de Referencia'!$B$2:$CO$584,'Matriz de Referencia'!AM$1,FALSE)&gt;0,"Diligenciar la vigencia, tiene presupuesto programado","No diligenciar, no programo presupuesto"),"")</f>
        <v/>
      </c>
      <c r="Y27" s="649"/>
      <c r="Z27" s="649"/>
      <c r="AA27" s="649"/>
      <c r="AB27" s="649"/>
      <c r="AC27" s="650" t="str">
        <f>IFERROR(IF(#REF!="Mantenimiento", AVERAGE(Y27:AB27), IF($AX27="Incremento", SUM(Y27:AB27), "")),"")</f>
        <v/>
      </c>
      <c r="AD27" s="449" t="str">
        <f>IFERROR(IF(VLOOKUP($B27,'Matriz de Referencia'!$B$2:$CO$584,'Matriz de Referencia'!BA$1,FALSE)&gt;0,"Diligenciar la vigencia, tiene presupuesto programado","No diligenciar, no programo presupuesto"),"")</f>
        <v/>
      </c>
      <c r="AE27" s="627"/>
      <c r="AH27" s="627"/>
      <c r="AI27" s="650" t="str">
        <f>IFERROR(IF(#REF!="Mantenimiento", AVERAGE(AE27:AH27), IF(#REF!="Incremento", SUM(AE27:AH27), "")),"")</f>
        <v/>
      </c>
      <c r="AJ27" s="449" t="str">
        <f>IFERROR(IF(VLOOKUP($B27,'Matriz de Referencia'!$B$2:$CO$584,'Matriz de Referencia'!BO$1,FALSE)&gt;0,"Diligenciar la vigencia, tiene presupuesto programado","No diligenciar, no programo presupuesto"),"")</f>
        <v/>
      </c>
      <c r="AK27" s="627"/>
      <c r="AN27" s="627"/>
      <c r="AO27" s="650" t="str">
        <f t="shared" si="62"/>
        <v/>
      </c>
      <c r="AP27" s="449" t="str">
        <f>IFERROR(IF(VLOOKUP($B27,'Matriz de Referencia'!$B$2:$CO$584,'Matriz de Referencia'!CC$1,FALSE)&gt;0,"Diligenciar la vigencia, tiene presupuesto programado","No diligenciar, no programo presupuesto"),"")</f>
        <v/>
      </c>
      <c r="AQ27" s="627"/>
      <c r="AT27" s="627"/>
      <c r="AU27" s="650" t="str">
        <f t="shared" si="63"/>
        <v/>
      </c>
      <c r="AV27" s="448" t="str">
        <f t="shared" si="6"/>
        <v/>
      </c>
      <c r="AW27" s="416" t="str">
        <f t="shared" si="7"/>
        <v/>
      </c>
    </row>
    <row r="28" spans="19:282">
      <c r="S28" s="568"/>
      <c r="T28" s="414"/>
      <c r="U28" s="661" t="str">
        <f t="shared" si="1"/>
        <v>Dimensión_</v>
      </c>
      <c r="V28" s="414"/>
      <c r="W28" s="568"/>
      <c r="X28" s="449" t="str">
        <f>IFERROR(IF(VLOOKUP(B28,'Matriz de Referencia'!$B$2:$CO$584,'Matriz de Referencia'!AM$1,FALSE)&gt;0,"Diligenciar la vigencia, tiene presupuesto programado","No diligenciar, no programo presupuesto"),"")</f>
        <v/>
      </c>
      <c r="Y28" s="649"/>
      <c r="Z28" s="649"/>
      <c r="AA28" s="649"/>
      <c r="AB28" s="649"/>
      <c r="AC28" s="650" t="str">
        <f>IFERROR(IF(#REF!="Mantenimiento", AVERAGE(Y28:AB28), IF($AX28="Incremento", SUM(Y28:AB28), "")),"")</f>
        <v/>
      </c>
      <c r="AD28" s="449" t="str">
        <f>IFERROR(IF(VLOOKUP($B28,'Matriz de Referencia'!$B$2:$CO$584,'Matriz de Referencia'!BA$1,FALSE)&gt;0,"Diligenciar la vigencia, tiene presupuesto programado","No diligenciar, no programo presupuesto"),"")</f>
        <v/>
      </c>
      <c r="AE28" s="627"/>
      <c r="AH28" s="627"/>
      <c r="AI28" s="650" t="str">
        <f>IFERROR(IF(#REF!="Mantenimiento", AVERAGE(AE28:AH28), IF(#REF!="Incremento", SUM(AE28:AH28), "")),"")</f>
        <v/>
      </c>
      <c r="AJ28" s="449" t="str">
        <f>IFERROR(IF(VLOOKUP($B28,'Matriz de Referencia'!$B$2:$CO$584,'Matriz de Referencia'!BO$1,FALSE)&gt;0,"Diligenciar la vigencia, tiene presupuesto programado","No diligenciar, no programo presupuesto"),"")</f>
        <v/>
      </c>
      <c r="AK28" s="627"/>
      <c r="AN28" s="627"/>
      <c r="AO28" s="650" t="str">
        <f t="shared" si="62"/>
        <v/>
      </c>
      <c r="AP28" s="449" t="str">
        <f>IFERROR(IF(VLOOKUP($B28,'Matriz de Referencia'!$B$2:$CO$584,'Matriz de Referencia'!CC$1,FALSE)&gt;0,"Diligenciar la vigencia, tiene presupuesto programado","No diligenciar, no programo presupuesto"),"")</f>
        <v/>
      </c>
      <c r="AQ28" s="627"/>
      <c r="AT28" s="627"/>
      <c r="AU28" s="650" t="str">
        <f t="shared" si="63"/>
        <v/>
      </c>
      <c r="AV28" s="448" t="str">
        <f t="shared" si="6"/>
        <v/>
      </c>
      <c r="AW28" s="416" t="str">
        <f t="shared" si="7"/>
        <v/>
      </c>
    </row>
    <row r="29" spans="19:282">
      <c r="S29" s="568"/>
      <c r="T29" s="414"/>
      <c r="U29" s="661" t="str">
        <f t="shared" si="1"/>
        <v>Dimensión_</v>
      </c>
      <c r="V29" s="414"/>
      <c r="W29" s="568"/>
      <c r="X29" s="449" t="str">
        <f>IFERROR(IF(VLOOKUP(B29,'Matriz de Referencia'!$B$2:$CO$584,'Matriz de Referencia'!AM$1,FALSE)&gt;0,"Diligenciar la vigencia, tiene presupuesto programado","No diligenciar, no programo presupuesto"),"")</f>
        <v/>
      </c>
      <c r="Y29" s="649"/>
      <c r="Z29" s="649"/>
      <c r="AA29" s="649"/>
      <c r="AB29" s="649"/>
      <c r="AC29" s="650" t="str">
        <f>IFERROR(IF(#REF!="Mantenimiento", AVERAGE(Y29:AB29), IF($AX29="Incremento", SUM(Y29:AB29), "")),"")</f>
        <v/>
      </c>
      <c r="AD29" s="449" t="str">
        <f>IFERROR(IF(VLOOKUP($B29,'Matriz de Referencia'!$B$2:$CO$584,'Matriz de Referencia'!BA$1,FALSE)&gt;0,"Diligenciar la vigencia, tiene presupuesto programado","No diligenciar, no programo presupuesto"),"")</f>
        <v/>
      </c>
      <c r="AE29" s="627"/>
      <c r="AH29" s="627"/>
      <c r="AI29" s="650" t="str">
        <f>IFERROR(IF(#REF!="Mantenimiento", AVERAGE(AE29:AH29), IF(#REF!="Incremento", SUM(AE29:AH29), "")),"")</f>
        <v/>
      </c>
      <c r="AJ29" s="449" t="str">
        <f>IFERROR(IF(VLOOKUP($B29,'Matriz de Referencia'!$B$2:$CO$584,'Matriz de Referencia'!BO$1,FALSE)&gt;0,"Diligenciar la vigencia, tiene presupuesto programado","No diligenciar, no programo presupuesto"),"")</f>
        <v/>
      </c>
      <c r="AK29" s="627"/>
      <c r="AN29" s="627"/>
      <c r="AO29" s="650" t="str">
        <f t="shared" si="62"/>
        <v/>
      </c>
      <c r="AP29" s="449" t="str">
        <f>IFERROR(IF(VLOOKUP($B29,'Matriz de Referencia'!$B$2:$CO$584,'Matriz de Referencia'!CC$1,FALSE)&gt;0,"Diligenciar la vigencia, tiene presupuesto programado","No diligenciar, no programo presupuesto"),"")</f>
        <v/>
      </c>
      <c r="AQ29" s="627"/>
      <c r="AT29" s="627"/>
      <c r="AU29" s="650" t="str">
        <f t="shared" si="63"/>
        <v/>
      </c>
      <c r="AV29" s="448" t="str">
        <f t="shared" si="6"/>
        <v/>
      </c>
      <c r="AW29" s="416" t="str">
        <f t="shared" si="7"/>
        <v/>
      </c>
    </row>
    <row r="30" spans="19:282">
      <c r="S30" s="568"/>
      <c r="T30" s="414"/>
      <c r="U30" s="661" t="str">
        <f t="shared" si="1"/>
        <v>Dimensión_</v>
      </c>
      <c r="V30" s="414"/>
      <c r="W30" s="568"/>
      <c r="X30" s="449" t="str">
        <f>IFERROR(IF(VLOOKUP(B30,'Matriz de Referencia'!$B$2:$CO$584,'Matriz de Referencia'!AM$1,FALSE)&gt;0,"Diligenciar la vigencia, tiene presupuesto programado","No diligenciar, no programo presupuesto"),"")</f>
        <v/>
      </c>
      <c r="Y30" s="649"/>
      <c r="Z30" s="649"/>
      <c r="AA30" s="649"/>
      <c r="AB30" s="649"/>
      <c r="AC30" s="650" t="str">
        <f>IFERROR(IF(#REF!="Mantenimiento", AVERAGE(Y30:AB30), IF($AX30="Incremento", SUM(Y30:AB30), "")),"")</f>
        <v/>
      </c>
      <c r="AD30" s="449" t="str">
        <f>IFERROR(IF(VLOOKUP($B30,'Matriz de Referencia'!$B$2:$CO$584,'Matriz de Referencia'!BA$1,FALSE)&gt;0,"Diligenciar la vigencia, tiene presupuesto programado","No diligenciar, no programo presupuesto"),"")</f>
        <v/>
      </c>
      <c r="AE30" s="627"/>
      <c r="AH30" s="627"/>
      <c r="AI30" s="650" t="str">
        <f>IFERROR(IF(#REF!="Mantenimiento", AVERAGE(AE30:AH30), IF(#REF!="Incremento", SUM(AE30:AH30), "")),"")</f>
        <v/>
      </c>
      <c r="AJ30" s="449" t="str">
        <f>IFERROR(IF(VLOOKUP($B30,'Matriz de Referencia'!$B$2:$CO$584,'Matriz de Referencia'!BO$1,FALSE)&gt;0,"Diligenciar la vigencia, tiene presupuesto programado","No diligenciar, no programo presupuesto"),"")</f>
        <v/>
      </c>
      <c r="AK30" s="627"/>
      <c r="AN30" s="627"/>
      <c r="AO30" s="650" t="str">
        <f t="shared" si="62"/>
        <v/>
      </c>
      <c r="AP30" s="449" t="str">
        <f>IFERROR(IF(VLOOKUP($B30,'Matriz de Referencia'!$B$2:$CO$584,'Matriz de Referencia'!CC$1,FALSE)&gt;0,"Diligenciar la vigencia, tiene presupuesto programado","No diligenciar, no programo presupuesto"),"")</f>
        <v/>
      </c>
      <c r="AQ30" s="627"/>
      <c r="AT30" s="627"/>
      <c r="AU30" s="650" t="str">
        <f t="shared" si="63"/>
        <v/>
      </c>
      <c r="AV30" s="448" t="str">
        <f t="shared" si="6"/>
        <v/>
      </c>
      <c r="AW30" s="416" t="str">
        <f t="shared" si="7"/>
        <v/>
      </c>
    </row>
    <row r="31" spans="19:282">
      <c r="S31" s="568"/>
      <c r="T31" s="414"/>
      <c r="U31" s="661" t="str">
        <f t="shared" si="1"/>
        <v>Dimensión_</v>
      </c>
      <c r="V31" s="414"/>
      <c r="W31" s="568"/>
      <c r="X31" s="449" t="str">
        <f>IFERROR(IF(VLOOKUP(B31,'Matriz de Referencia'!$B$2:$CO$584,'Matriz de Referencia'!AM$1,FALSE)&gt;0,"Diligenciar la vigencia, tiene presupuesto programado","No diligenciar, no programo presupuesto"),"")</f>
        <v/>
      </c>
      <c r="Y31" s="649"/>
      <c r="Z31" s="649"/>
      <c r="AA31" s="649"/>
      <c r="AB31" s="649"/>
      <c r="AC31" s="650" t="str">
        <f>IFERROR(IF(#REF!="Mantenimiento", AVERAGE(Y31:AB31), IF($AX31="Incremento", SUM(Y31:AB31), "")),"")</f>
        <v/>
      </c>
      <c r="AD31" s="449" t="str">
        <f>IFERROR(IF(VLOOKUP($B31,'Matriz de Referencia'!$B$2:$CO$584,'Matriz de Referencia'!BA$1,FALSE)&gt;0,"Diligenciar la vigencia, tiene presupuesto programado","No diligenciar, no programo presupuesto"),"")</f>
        <v/>
      </c>
      <c r="AE31" s="627"/>
      <c r="AH31" s="627"/>
      <c r="AI31" s="650" t="str">
        <f>IFERROR(IF(#REF!="Mantenimiento", AVERAGE(AE31:AH31), IF(#REF!="Incremento", SUM(AE31:AH31), "")),"")</f>
        <v/>
      </c>
      <c r="AJ31" s="449" t="str">
        <f>IFERROR(IF(VLOOKUP($B31,'Matriz de Referencia'!$B$2:$CO$584,'Matriz de Referencia'!BO$1,FALSE)&gt;0,"Diligenciar la vigencia, tiene presupuesto programado","No diligenciar, no programo presupuesto"),"")</f>
        <v/>
      </c>
      <c r="AK31" s="627"/>
      <c r="AN31" s="627"/>
      <c r="AO31" s="650" t="str">
        <f t="shared" si="62"/>
        <v/>
      </c>
      <c r="AP31" s="449" t="str">
        <f>IFERROR(IF(VLOOKUP($B31,'Matriz de Referencia'!$B$2:$CO$584,'Matriz de Referencia'!CC$1,FALSE)&gt;0,"Diligenciar la vigencia, tiene presupuesto programado","No diligenciar, no programo presupuesto"),"")</f>
        <v/>
      </c>
      <c r="AQ31" s="627"/>
      <c r="AT31" s="627"/>
      <c r="AU31" s="650" t="str">
        <f t="shared" si="63"/>
        <v/>
      </c>
      <c r="AV31" s="448" t="str">
        <f t="shared" si="6"/>
        <v/>
      </c>
      <c r="AW31" s="416" t="str">
        <f t="shared" si="7"/>
        <v/>
      </c>
    </row>
    <row r="32" spans="19:282">
      <c r="S32" s="568"/>
      <c r="T32" s="414"/>
      <c r="U32" s="661" t="str">
        <f t="shared" si="1"/>
        <v>Dimensión_</v>
      </c>
      <c r="V32" s="414"/>
      <c r="W32" s="568"/>
      <c r="X32" s="449" t="str">
        <f>IFERROR(IF(VLOOKUP(B32,'Matriz de Referencia'!$B$2:$CO$584,'Matriz de Referencia'!AM$1,FALSE)&gt;0,"Diligenciar la vigencia, tiene presupuesto programado","No diligenciar, no programo presupuesto"),"")</f>
        <v/>
      </c>
      <c r="Y32" s="649"/>
      <c r="Z32" s="649"/>
      <c r="AA32" s="649"/>
      <c r="AB32" s="649"/>
      <c r="AC32" s="650" t="str">
        <f>IFERROR(IF(#REF!="Mantenimiento", AVERAGE(Y32:AB32), IF($AX32="Incremento", SUM(Y32:AB32), "")),"")</f>
        <v/>
      </c>
      <c r="AD32" s="449" t="str">
        <f>IFERROR(IF(VLOOKUP($B32,'Matriz de Referencia'!$B$2:$CO$584,'Matriz de Referencia'!BA$1,FALSE)&gt;0,"Diligenciar la vigencia, tiene presupuesto programado","No diligenciar, no programo presupuesto"),"")</f>
        <v/>
      </c>
      <c r="AE32" s="627"/>
      <c r="AH32" s="627"/>
      <c r="AI32" s="650" t="str">
        <f>IFERROR(IF(#REF!="Mantenimiento", AVERAGE(AE32:AH32), IF(#REF!="Incremento", SUM(AE32:AH32), "")),"")</f>
        <v/>
      </c>
      <c r="AJ32" s="449" t="str">
        <f>IFERROR(IF(VLOOKUP($B32,'Matriz de Referencia'!$B$2:$CO$584,'Matriz de Referencia'!BO$1,FALSE)&gt;0,"Diligenciar la vigencia, tiene presupuesto programado","No diligenciar, no programo presupuesto"),"")</f>
        <v/>
      </c>
      <c r="AK32" s="627"/>
      <c r="AN32" s="627"/>
      <c r="AO32" s="650" t="str">
        <f t="shared" si="62"/>
        <v/>
      </c>
      <c r="AP32" s="449" t="str">
        <f>IFERROR(IF(VLOOKUP($B32,'Matriz de Referencia'!$B$2:$CO$584,'Matriz de Referencia'!CC$1,FALSE)&gt;0,"Diligenciar la vigencia, tiene presupuesto programado","No diligenciar, no programo presupuesto"),"")</f>
        <v/>
      </c>
      <c r="AQ32" s="627"/>
      <c r="AT32" s="627"/>
      <c r="AU32" s="650" t="str">
        <f t="shared" si="63"/>
        <v/>
      </c>
      <c r="AV32" s="448" t="str">
        <f t="shared" si="6"/>
        <v/>
      </c>
      <c r="AW32" s="416" t="str">
        <f t="shared" si="7"/>
        <v/>
      </c>
    </row>
    <row r="33" spans="19:49">
      <c r="S33" s="568"/>
      <c r="T33" s="414"/>
      <c r="U33" s="661" t="str">
        <f t="shared" si="1"/>
        <v>Dimensión_</v>
      </c>
      <c r="V33" s="414"/>
      <c r="W33" s="568"/>
      <c r="X33" s="449" t="str">
        <f>IFERROR(IF(VLOOKUP(B33,'Matriz de Referencia'!$B$2:$CO$584,'Matriz de Referencia'!AM$1,FALSE)&gt;0,"Diligenciar la vigencia, tiene presupuesto programado","No diligenciar, no programo presupuesto"),"")</f>
        <v/>
      </c>
      <c r="Y33" s="649"/>
      <c r="Z33" s="649"/>
      <c r="AA33" s="649"/>
      <c r="AB33" s="649"/>
      <c r="AC33" s="650" t="str">
        <f>IFERROR(IF(#REF!="Mantenimiento", AVERAGE(Y33:AB33), IF($AX33="Incremento", SUM(Y33:AB33), "")),"")</f>
        <v/>
      </c>
      <c r="AD33" s="449" t="str">
        <f>IFERROR(IF(VLOOKUP($B33,'Matriz de Referencia'!$B$2:$CO$584,'Matriz de Referencia'!BA$1,FALSE)&gt;0,"Diligenciar la vigencia, tiene presupuesto programado","No diligenciar, no programo presupuesto"),"")</f>
        <v/>
      </c>
      <c r="AE33" s="627"/>
      <c r="AH33" s="627"/>
      <c r="AI33" s="650" t="str">
        <f>IFERROR(IF(#REF!="Mantenimiento", AVERAGE(AE33:AH33), IF(#REF!="Incremento", SUM(AE33:AH33), "")),"")</f>
        <v/>
      </c>
      <c r="AJ33" s="449" t="str">
        <f>IFERROR(IF(VLOOKUP($B33,'Matriz de Referencia'!$B$2:$CO$584,'Matriz de Referencia'!BO$1,FALSE)&gt;0,"Diligenciar la vigencia, tiene presupuesto programado","No diligenciar, no programo presupuesto"),"")</f>
        <v/>
      </c>
      <c r="AK33" s="627"/>
      <c r="AN33" s="627"/>
      <c r="AO33" s="650" t="str">
        <f t="shared" si="62"/>
        <v/>
      </c>
      <c r="AP33" s="449" t="str">
        <f>IFERROR(IF(VLOOKUP($B33,'Matriz de Referencia'!$B$2:$CO$584,'Matriz de Referencia'!CC$1,FALSE)&gt;0,"Diligenciar la vigencia, tiene presupuesto programado","No diligenciar, no programo presupuesto"),"")</f>
        <v/>
      </c>
      <c r="AQ33" s="627"/>
      <c r="AT33" s="627"/>
      <c r="AU33" s="650" t="str">
        <f t="shared" si="63"/>
        <v/>
      </c>
      <c r="AV33" s="448" t="str">
        <f t="shared" si="6"/>
        <v/>
      </c>
      <c r="AW33" s="416" t="str">
        <f t="shared" si="7"/>
        <v/>
      </c>
    </row>
    <row r="34" spans="19:49">
      <c r="S34" s="568"/>
      <c r="T34" s="414"/>
      <c r="U34" s="661" t="str">
        <f t="shared" si="1"/>
        <v>Dimensión_</v>
      </c>
      <c r="V34" s="414"/>
      <c r="W34" s="568"/>
      <c r="X34" s="449" t="str">
        <f>IFERROR(IF(VLOOKUP(B34,'Matriz de Referencia'!$B$2:$CO$584,'Matriz de Referencia'!AM$1,FALSE)&gt;0,"Diligenciar la vigencia, tiene presupuesto programado","No diligenciar, no programo presupuesto"),"")</f>
        <v/>
      </c>
      <c r="Y34" s="649"/>
      <c r="Z34" s="649"/>
      <c r="AA34" s="649"/>
      <c r="AB34" s="649"/>
      <c r="AC34" s="650" t="str">
        <f>IFERROR(IF(#REF!="Mantenimiento", AVERAGE(Y34:AB34), IF($AX34="Incremento", SUM(Y34:AB34), "")),"")</f>
        <v/>
      </c>
      <c r="AD34" s="449" t="str">
        <f>IFERROR(IF(VLOOKUP($B34,'Matriz de Referencia'!$B$2:$CO$584,'Matriz de Referencia'!BA$1,FALSE)&gt;0,"Diligenciar la vigencia, tiene presupuesto programado","No diligenciar, no programo presupuesto"),"")</f>
        <v/>
      </c>
      <c r="AE34" s="627"/>
      <c r="AH34" s="627"/>
      <c r="AI34" s="650" t="str">
        <f>IFERROR(IF(#REF!="Mantenimiento", AVERAGE(AE34:AH34), IF(#REF!="Incremento", SUM(AE34:AH34), "")),"")</f>
        <v/>
      </c>
      <c r="AJ34" s="449" t="str">
        <f>IFERROR(IF(VLOOKUP($B34,'Matriz de Referencia'!$B$2:$CO$584,'Matriz de Referencia'!BO$1,FALSE)&gt;0,"Diligenciar la vigencia, tiene presupuesto programado","No diligenciar, no programo presupuesto"),"")</f>
        <v/>
      </c>
      <c r="AK34" s="627"/>
      <c r="AN34" s="627"/>
      <c r="AO34" s="650" t="str">
        <f t="shared" si="62"/>
        <v/>
      </c>
      <c r="AP34" s="449" t="str">
        <f>IFERROR(IF(VLOOKUP($B34,'Matriz de Referencia'!$B$2:$CO$584,'Matriz de Referencia'!CC$1,FALSE)&gt;0,"Diligenciar la vigencia, tiene presupuesto programado","No diligenciar, no programo presupuesto"),"")</f>
        <v/>
      </c>
      <c r="AQ34" s="627"/>
      <c r="AT34" s="627"/>
      <c r="AU34" s="650" t="str">
        <f t="shared" si="63"/>
        <v/>
      </c>
      <c r="AV34" s="448" t="str">
        <f t="shared" si="6"/>
        <v/>
      </c>
      <c r="AW34" s="416" t="str">
        <f t="shared" si="7"/>
        <v/>
      </c>
    </row>
    <row r="35" spans="19:49">
      <c r="S35" s="568"/>
      <c r="T35" s="414"/>
      <c r="U35" s="661" t="str">
        <f t="shared" si="1"/>
        <v>Dimensión_</v>
      </c>
      <c r="V35" s="414"/>
      <c r="W35" s="568"/>
      <c r="X35" s="449" t="str">
        <f>IFERROR(IF(VLOOKUP(B35,'Matriz de Referencia'!$B$2:$CO$584,'Matriz de Referencia'!AM$1,FALSE)&gt;0,"Diligenciar la vigencia, tiene presupuesto programado","No diligenciar, no programo presupuesto"),"")</f>
        <v/>
      </c>
      <c r="Y35" s="649"/>
      <c r="Z35" s="649"/>
      <c r="AA35" s="649"/>
      <c r="AB35" s="649"/>
      <c r="AC35" s="650" t="str">
        <f>IFERROR(IF(#REF!="Mantenimiento", AVERAGE(Y35:AB35), IF($AX35="Incremento", SUM(Y35:AB35), "")),"")</f>
        <v/>
      </c>
      <c r="AD35" s="449" t="str">
        <f>IFERROR(IF(VLOOKUP($B35,'Matriz de Referencia'!$B$2:$CO$584,'Matriz de Referencia'!BA$1,FALSE)&gt;0,"Diligenciar la vigencia, tiene presupuesto programado","No diligenciar, no programo presupuesto"),"")</f>
        <v/>
      </c>
      <c r="AE35" s="627"/>
      <c r="AH35" s="627"/>
      <c r="AI35" s="650" t="str">
        <f>IFERROR(IF(#REF!="Mantenimiento", AVERAGE(AE35:AH35), IF(#REF!="Incremento", SUM(AE35:AH35), "")),"")</f>
        <v/>
      </c>
      <c r="AJ35" s="449" t="str">
        <f>IFERROR(IF(VLOOKUP($B35,'Matriz de Referencia'!$B$2:$CO$584,'Matriz de Referencia'!BO$1,FALSE)&gt;0,"Diligenciar la vigencia, tiene presupuesto programado","No diligenciar, no programo presupuesto"),"")</f>
        <v/>
      </c>
      <c r="AK35" s="627"/>
      <c r="AN35" s="627"/>
      <c r="AO35" s="650" t="str">
        <f t="shared" si="62"/>
        <v/>
      </c>
      <c r="AP35" s="449" t="str">
        <f>IFERROR(IF(VLOOKUP($B35,'Matriz de Referencia'!$B$2:$CO$584,'Matriz de Referencia'!CC$1,FALSE)&gt;0,"Diligenciar la vigencia, tiene presupuesto programado","No diligenciar, no programo presupuesto"),"")</f>
        <v/>
      </c>
      <c r="AQ35" s="627"/>
      <c r="AT35" s="627"/>
      <c r="AU35" s="650" t="str">
        <f t="shared" si="63"/>
        <v/>
      </c>
      <c r="AV35" s="448" t="str">
        <f t="shared" si="6"/>
        <v/>
      </c>
      <c r="AW35" s="416" t="str">
        <f t="shared" si="7"/>
        <v/>
      </c>
    </row>
    <row r="36" spans="19:49">
      <c r="S36" s="568"/>
      <c r="T36" s="414"/>
      <c r="U36" s="661" t="str">
        <f t="shared" si="1"/>
        <v>Dimensión_</v>
      </c>
      <c r="V36" s="414"/>
      <c r="W36" s="568"/>
      <c r="X36" s="449" t="str">
        <f>IFERROR(IF(VLOOKUP(B36,'Matriz de Referencia'!$B$2:$CO$584,'Matriz de Referencia'!AM$1,FALSE)&gt;0,"Diligenciar la vigencia, tiene presupuesto programado","No diligenciar, no programo presupuesto"),"")</f>
        <v/>
      </c>
      <c r="Y36" s="649"/>
      <c r="Z36" s="649"/>
      <c r="AA36" s="649"/>
      <c r="AB36" s="649"/>
      <c r="AC36" s="650" t="str">
        <f>IFERROR(IF(#REF!="Mantenimiento", AVERAGE(Y36:AB36), IF($AX36="Incremento", SUM(Y36:AB36), "")),"")</f>
        <v/>
      </c>
      <c r="AD36" s="449" t="str">
        <f>IFERROR(IF(VLOOKUP($B36,'Matriz de Referencia'!$B$2:$CO$584,'Matriz de Referencia'!BA$1,FALSE)&gt;0,"Diligenciar la vigencia, tiene presupuesto programado","No diligenciar, no programo presupuesto"),"")</f>
        <v/>
      </c>
      <c r="AE36" s="627"/>
      <c r="AH36" s="627"/>
      <c r="AI36" s="650" t="str">
        <f>IFERROR(IF(#REF!="Mantenimiento", AVERAGE(AE36:AH36), IF(#REF!="Incremento", SUM(AE36:AH36), "")),"")</f>
        <v/>
      </c>
      <c r="AJ36" s="449" t="str">
        <f>IFERROR(IF(VLOOKUP($B36,'Matriz de Referencia'!$B$2:$CO$584,'Matriz de Referencia'!BO$1,FALSE)&gt;0,"Diligenciar la vigencia, tiene presupuesto programado","No diligenciar, no programo presupuesto"),"")</f>
        <v/>
      </c>
      <c r="AK36" s="627"/>
      <c r="AN36" s="627"/>
      <c r="AO36" s="650" t="str">
        <f t="shared" si="62"/>
        <v/>
      </c>
      <c r="AP36" s="449" t="str">
        <f>IFERROR(IF(VLOOKUP($B36,'Matriz de Referencia'!$B$2:$CO$584,'Matriz de Referencia'!CC$1,FALSE)&gt;0,"Diligenciar la vigencia, tiene presupuesto programado","No diligenciar, no programo presupuesto"),"")</f>
        <v/>
      </c>
      <c r="AQ36" s="627"/>
      <c r="AT36" s="627"/>
      <c r="AU36" s="650" t="str">
        <f t="shared" si="63"/>
        <v/>
      </c>
      <c r="AV36" s="448" t="str">
        <f t="shared" si="6"/>
        <v/>
      </c>
      <c r="AW36" s="416" t="str">
        <f t="shared" si="7"/>
        <v/>
      </c>
    </row>
    <row r="37" spans="19:49">
      <c r="S37" s="568"/>
      <c r="T37" s="414"/>
      <c r="U37" s="661" t="str">
        <f t="shared" si="1"/>
        <v>Dimensión_</v>
      </c>
      <c r="V37" s="414"/>
      <c r="W37" s="568"/>
      <c r="X37" s="449" t="str">
        <f>IFERROR(IF(VLOOKUP(B37,'Matriz de Referencia'!$B$2:$CO$584,'Matriz de Referencia'!AM$1,FALSE)&gt;0,"Diligenciar la vigencia, tiene presupuesto programado","No diligenciar, no programo presupuesto"),"")</f>
        <v/>
      </c>
      <c r="Y37" s="649"/>
      <c r="Z37" s="649"/>
      <c r="AA37" s="649"/>
      <c r="AB37" s="649"/>
      <c r="AC37" s="650" t="str">
        <f>IFERROR(IF(#REF!="Mantenimiento", AVERAGE(Y37:AB37), IF($AX37="Incremento", SUM(Y37:AB37), "")),"")</f>
        <v/>
      </c>
      <c r="AD37" s="449" t="str">
        <f>IFERROR(IF(VLOOKUP($B37,'Matriz de Referencia'!$B$2:$CO$584,'Matriz de Referencia'!BA$1,FALSE)&gt;0,"Diligenciar la vigencia, tiene presupuesto programado","No diligenciar, no programo presupuesto"),"")</f>
        <v/>
      </c>
      <c r="AE37" s="627"/>
      <c r="AH37" s="627"/>
      <c r="AI37" s="650" t="str">
        <f>IFERROR(IF(#REF!="Mantenimiento", AVERAGE(AE37:AH37), IF(#REF!="Incremento", SUM(AE37:AH37), "")),"")</f>
        <v/>
      </c>
      <c r="AJ37" s="449" t="str">
        <f>IFERROR(IF(VLOOKUP($B37,'Matriz de Referencia'!$B$2:$CO$584,'Matriz de Referencia'!BO$1,FALSE)&gt;0,"Diligenciar la vigencia, tiene presupuesto programado","No diligenciar, no programo presupuesto"),"")</f>
        <v/>
      </c>
      <c r="AK37" s="627"/>
      <c r="AN37" s="627"/>
      <c r="AO37" s="650" t="str">
        <f t="shared" si="62"/>
        <v/>
      </c>
      <c r="AP37" s="449" t="str">
        <f>IFERROR(IF(VLOOKUP($B37,'Matriz de Referencia'!$B$2:$CO$584,'Matriz de Referencia'!CC$1,FALSE)&gt;0,"Diligenciar la vigencia, tiene presupuesto programado","No diligenciar, no programo presupuesto"),"")</f>
        <v/>
      </c>
      <c r="AQ37" s="627"/>
      <c r="AT37" s="627"/>
      <c r="AU37" s="650" t="str">
        <f t="shared" si="63"/>
        <v/>
      </c>
      <c r="AV37" s="448" t="str">
        <f t="shared" si="6"/>
        <v/>
      </c>
      <c r="AW37" s="416" t="str">
        <f t="shared" si="7"/>
        <v/>
      </c>
    </row>
    <row r="38" spans="19:49">
      <c r="S38" s="568"/>
      <c r="T38" s="414"/>
      <c r="U38" s="661" t="str">
        <f t="shared" si="1"/>
        <v>Dimensión_</v>
      </c>
      <c r="V38" s="414"/>
      <c r="W38" s="568"/>
      <c r="X38" s="449" t="str">
        <f>IFERROR(IF(VLOOKUP(B38,'Matriz de Referencia'!$B$2:$CO$584,'Matriz de Referencia'!AM$1,FALSE)&gt;0,"Diligenciar la vigencia, tiene presupuesto programado","No diligenciar, no programo presupuesto"),"")</f>
        <v/>
      </c>
      <c r="Y38" s="649"/>
      <c r="Z38" s="649"/>
      <c r="AA38" s="649"/>
      <c r="AB38" s="649"/>
      <c r="AC38" s="650" t="str">
        <f>IFERROR(IF(#REF!="Mantenimiento", AVERAGE(Y38:AB38), IF($AX38="Incremento", SUM(Y38:AB38), "")),"")</f>
        <v/>
      </c>
      <c r="AD38" s="449" t="str">
        <f>IFERROR(IF(VLOOKUP($B38,'Matriz de Referencia'!$B$2:$CO$584,'Matriz de Referencia'!BA$1,FALSE)&gt;0,"Diligenciar la vigencia, tiene presupuesto programado","No diligenciar, no programo presupuesto"),"")</f>
        <v/>
      </c>
      <c r="AE38" s="627"/>
      <c r="AH38" s="627"/>
      <c r="AI38" s="650" t="str">
        <f>IFERROR(IF(#REF!="Mantenimiento", AVERAGE(AE38:AH38), IF(#REF!="Incremento", SUM(AE38:AH38), "")),"")</f>
        <v/>
      </c>
      <c r="AJ38" s="449" t="str">
        <f>IFERROR(IF(VLOOKUP($B38,'Matriz de Referencia'!$B$2:$CO$584,'Matriz de Referencia'!BO$1,FALSE)&gt;0,"Diligenciar la vigencia, tiene presupuesto programado","No diligenciar, no programo presupuesto"),"")</f>
        <v/>
      </c>
      <c r="AK38" s="627"/>
      <c r="AN38" s="627"/>
      <c r="AO38" s="650" t="str">
        <f t="shared" si="62"/>
        <v/>
      </c>
      <c r="AP38" s="449" t="str">
        <f>IFERROR(IF(VLOOKUP($B38,'Matriz de Referencia'!$B$2:$CO$584,'Matriz de Referencia'!CC$1,FALSE)&gt;0,"Diligenciar la vigencia, tiene presupuesto programado","No diligenciar, no programo presupuesto"),"")</f>
        <v/>
      </c>
      <c r="AQ38" s="627"/>
      <c r="AT38" s="627"/>
      <c r="AU38" s="650" t="str">
        <f t="shared" si="63"/>
        <v/>
      </c>
      <c r="AV38" s="448" t="str">
        <f t="shared" si="6"/>
        <v/>
      </c>
      <c r="AW38" s="416" t="str">
        <f t="shared" si="7"/>
        <v/>
      </c>
    </row>
    <row r="39" spans="19:49">
      <c r="S39" s="568"/>
      <c r="T39" s="414"/>
      <c r="U39" s="661" t="str">
        <f t="shared" si="1"/>
        <v>Dimensión_</v>
      </c>
      <c r="V39" s="414"/>
      <c r="W39" s="568"/>
      <c r="X39" s="449" t="str">
        <f>IFERROR(IF(VLOOKUP(B39,'Matriz de Referencia'!$B$2:$CO$584,'Matriz de Referencia'!AM$1,FALSE)&gt;0,"Diligenciar la vigencia, tiene presupuesto programado","No diligenciar, no programo presupuesto"),"")</f>
        <v/>
      </c>
      <c r="Y39" s="649"/>
      <c r="Z39" s="649"/>
      <c r="AA39" s="649"/>
      <c r="AB39" s="649"/>
      <c r="AC39" s="650" t="str">
        <f>IFERROR(IF(#REF!="Mantenimiento", AVERAGE(Y39:AB39), IF($AX39="Incremento", SUM(Y39:AB39), "")),"")</f>
        <v/>
      </c>
      <c r="AD39" s="449" t="str">
        <f>IFERROR(IF(VLOOKUP($B39,'Matriz de Referencia'!$B$2:$CO$584,'Matriz de Referencia'!BA$1,FALSE)&gt;0,"Diligenciar la vigencia, tiene presupuesto programado","No diligenciar, no programo presupuesto"),"")</f>
        <v/>
      </c>
      <c r="AE39" s="627"/>
      <c r="AH39" s="627"/>
      <c r="AI39" s="650" t="str">
        <f>IFERROR(IF(#REF!="Mantenimiento", AVERAGE(AE39:AH39), IF(#REF!="Incremento", SUM(AE39:AH39), "")),"")</f>
        <v/>
      </c>
      <c r="AJ39" s="449" t="str">
        <f>IFERROR(IF(VLOOKUP($B39,'Matriz de Referencia'!$B$2:$CO$584,'Matriz de Referencia'!BO$1,FALSE)&gt;0,"Diligenciar la vigencia, tiene presupuesto programado","No diligenciar, no programo presupuesto"),"")</f>
        <v/>
      </c>
      <c r="AK39" s="627"/>
      <c r="AN39" s="627"/>
      <c r="AO39" s="650" t="str">
        <f t="shared" si="62"/>
        <v/>
      </c>
      <c r="AP39" s="449" t="str">
        <f>IFERROR(IF(VLOOKUP($B39,'Matriz de Referencia'!$B$2:$CO$584,'Matriz de Referencia'!CC$1,FALSE)&gt;0,"Diligenciar la vigencia, tiene presupuesto programado","No diligenciar, no programo presupuesto"),"")</f>
        <v/>
      </c>
      <c r="AQ39" s="627"/>
      <c r="AT39" s="627"/>
      <c r="AU39" s="650" t="str">
        <f t="shared" si="63"/>
        <v/>
      </c>
      <c r="AV39" s="448" t="str">
        <f t="shared" si="6"/>
        <v/>
      </c>
      <c r="AW39" s="416" t="str">
        <f t="shared" si="7"/>
        <v/>
      </c>
    </row>
    <row r="40" spans="19:49">
      <c r="S40" s="568"/>
      <c r="T40" s="414"/>
      <c r="U40" s="661" t="str">
        <f t="shared" si="1"/>
        <v>Dimensión_</v>
      </c>
      <c r="V40" s="414"/>
      <c r="W40" s="568"/>
      <c r="X40" s="449" t="str">
        <f>IFERROR(IF(VLOOKUP(B40,'Matriz de Referencia'!$B$2:$CO$584,'Matriz de Referencia'!AM$1,FALSE)&gt;0,"Diligenciar la vigencia, tiene presupuesto programado","No diligenciar, no programo presupuesto"),"")</f>
        <v/>
      </c>
      <c r="Y40" s="649"/>
      <c r="Z40" s="649"/>
      <c r="AA40" s="649"/>
      <c r="AB40" s="649"/>
      <c r="AC40" s="650" t="str">
        <f>IFERROR(IF(#REF!="Mantenimiento", AVERAGE(Y40:AB40), IF($AX40="Incremento", SUM(Y40:AB40), "")),"")</f>
        <v/>
      </c>
      <c r="AD40" s="449" t="str">
        <f>IFERROR(IF(VLOOKUP($B40,'Matriz de Referencia'!$B$2:$CO$584,'Matriz de Referencia'!BA$1,FALSE)&gt;0,"Diligenciar la vigencia, tiene presupuesto programado","No diligenciar, no programo presupuesto"),"")</f>
        <v/>
      </c>
      <c r="AE40" s="627"/>
      <c r="AH40" s="627"/>
      <c r="AI40" s="650" t="str">
        <f>IFERROR(IF(#REF!="Mantenimiento", AVERAGE(AE40:AH40), IF(#REF!="Incremento", SUM(AE40:AH40), "")),"")</f>
        <v/>
      </c>
      <c r="AJ40" s="449" t="str">
        <f>IFERROR(IF(VLOOKUP($B40,'Matriz de Referencia'!$B$2:$CO$584,'Matriz de Referencia'!BO$1,FALSE)&gt;0,"Diligenciar la vigencia, tiene presupuesto programado","No diligenciar, no programo presupuesto"),"")</f>
        <v/>
      </c>
      <c r="AK40" s="627"/>
      <c r="AN40" s="627"/>
      <c r="AO40" s="650" t="str">
        <f t="shared" si="62"/>
        <v/>
      </c>
      <c r="AP40" s="449" t="str">
        <f>IFERROR(IF(VLOOKUP($B40,'Matriz de Referencia'!$B$2:$CO$584,'Matriz de Referencia'!CC$1,FALSE)&gt;0,"Diligenciar la vigencia, tiene presupuesto programado","No diligenciar, no programo presupuesto"),"")</f>
        <v/>
      </c>
      <c r="AQ40" s="627"/>
      <c r="AT40" s="627"/>
      <c r="AU40" s="650" t="str">
        <f t="shared" si="63"/>
        <v/>
      </c>
      <c r="AV40" s="448" t="str">
        <f t="shared" si="6"/>
        <v/>
      </c>
      <c r="AW40" s="416" t="str">
        <f t="shared" si="7"/>
        <v/>
      </c>
    </row>
    <row r="41" spans="19:49">
      <c r="S41" s="568"/>
      <c r="T41" s="414"/>
      <c r="U41" s="661" t="str">
        <f t="shared" si="1"/>
        <v>Dimensión_</v>
      </c>
      <c r="V41" s="414"/>
      <c r="W41" s="568"/>
      <c r="X41" s="449" t="str">
        <f>IFERROR(IF(VLOOKUP(B41,'Matriz de Referencia'!$B$2:$CO$584,'Matriz de Referencia'!AM$1,FALSE)&gt;0,"Diligenciar la vigencia, tiene presupuesto programado","No diligenciar, no programo presupuesto"),"")</f>
        <v/>
      </c>
      <c r="Y41" s="649"/>
      <c r="Z41" s="649"/>
      <c r="AA41" s="649"/>
      <c r="AB41" s="649"/>
      <c r="AC41" s="650" t="str">
        <f>IFERROR(IF(#REF!="Mantenimiento", AVERAGE(Y41:AB41), IF($AX41="Incremento", SUM(Y41:AB41), "")),"")</f>
        <v/>
      </c>
      <c r="AD41" s="449" t="str">
        <f>IFERROR(IF(VLOOKUP($B41,'Matriz de Referencia'!$B$2:$CO$584,'Matriz de Referencia'!BA$1,FALSE)&gt;0,"Diligenciar la vigencia, tiene presupuesto programado","No diligenciar, no programo presupuesto"),"")</f>
        <v/>
      </c>
      <c r="AE41" s="627"/>
      <c r="AH41" s="627"/>
      <c r="AI41" s="650" t="str">
        <f>IFERROR(IF(#REF!="Mantenimiento", AVERAGE(AE41:AH41), IF(#REF!="Incremento", SUM(AE41:AH41), "")),"")</f>
        <v/>
      </c>
      <c r="AJ41" s="449" t="str">
        <f>IFERROR(IF(VLOOKUP($B41,'Matriz de Referencia'!$B$2:$CO$584,'Matriz de Referencia'!BO$1,FALSE)&gt;0,"Diligenciar la vigencia, tiene presupuesto programado","No diligenciar, no programo presupuesto"),"")</f>
        <v/>
      </c>
      <c r="AK41" s="627"/>
      <c r="AN41" s="627"/>
      <c r="AO41" s="650" t="str">
        <f t="shared" si="62"/>
        <v/>
      </c>
      <c r="AP41" s="449" t="str">
        <f>IFERROR(IF(VLOOKUP($B41,'Matriz de Referencia'!$B$2:$CO$584,'Matriz de Referencia'!CC$1,FALSE)&gt;0,"Diligenciar la vigencia, tiene presupuesto programado","No diligenciar, no programo presupuesto"),"")</f>
        <v/>
      </c>
      <c r="AQ41" s="627"/>
      <c r="AT41" s="627"/>
      <c r="AU41" s="650" t="str">
        <f t="shared" si="63"/>
        <v/>
      </c>
      <c r="AV41" s="448" t="str">
        <f t="shared" si="6"/>
        <v/>
      </c>
      <c r="AW41" s="416" t="str">
        <f t="shared" si="7"/>
        <v/>
      </c>
    </row>
    <row r="42" spans="19:49">
      <c r="S42" s="568"/>
      <c r="T42" s="414"/>
      <c r="U42" s="661" t="str">
        <f t="shared" si="1"/>
        <v>Dimensión_</v>
      </c>
      <c r="V42" s="414"/>
      <c r="W42" s="568"/>
      <c r="X42" s="449" t="str">
        <f>IFERROR(IF(VLOOKUP(B42,'Matriz de Referencia'!$B$2:$CO$584,'Matriz de Referencia'!AM$1,FALSE)&gt;0,"Diligenciar la vigencia, tiene presupuesto programado","No diligenciar, no programo presupuesto"),"")</f>
        <v/>
      </c>
      <c r="Y42" s="649"/>
      <c r="Z42" s="649"/>
      <c r="AA42" s="649"/>
      <c r="AB42" s="649"/>
      <c r="AC42" s="650" t="str">
        <f>IFERROR(IF(#REF!="Mantenimiento", AVERAGE(Y42:AB42), IF($AX42="Incremento", SUM(Y42:AB42), "")),"")</f>
        <v/>
      </c>
      <c r="AD42" s="449" t="str">
        <f>IFERROR(IF(VLOOKUP($B42,'Matriz de Referencia'!$B$2:$CO$584,'Matriz de Referencia'!BA$1,FALSE)&gt;0,"Diligenciar la vigencia, tiene presupuesto programado","No diligenciar, no programo presupuesto"),"")</f>
        <v/>
      </c>
      <c r="AE42" s="627"/>
      <c r="AH42" s="627"/>
      <c r="AI42" s="650" t="str">
        <f>IFERROR(IF(#REF!="Mantenimiento", AVERAGE(AE42:AH42), IF(#REF!="Incremento", SUM(AE42:AH42), "")),"")</f>
        <v/>
      </c>
      <c r="AJ42" s="449" t="str">
        <f>IFERROR(IF(VLOOKUP($B42,'Matriz de Referencia'!$B$2:$CO$584,'Matriz de Referencia'!BO$1,FALSE)&gt;0,"Diligenciar la vigencia, tiene presupuesto programado","No diligenciar, no programo presupuesto"),"")</f>
        <v/>
      </c>
      <c r="AK42" s="627"/>
      <c r="AN42" s="627"/>
      <c r="AO42" s="650" t="str">
        <f t="shared" si="62"/>
        <v/>
      </c>
      <c r="AP42" s="449" t="str">
        <f>IFERROR(IF(VLOOKUP($B42,'Matriz de Referencia'!$B$2:$CO$584,'Matriz de Referencia'!CC$1,FALSE)&gt;0,"Diligenciar la vigencia, tiene presupuesto programado","No diligenciar, no programo presupuesto"),"")</f>
        <v/>
      </c>
      <c r="AQ42" s="627"/>
      <c r="AT42" s="627"/>
      <c r="AU42" s="650" t="str">
        <f t="shared" si="63"/>
        <v/>
      </c>
      <c r="AV42" s="448" t="str">
        <f t="shared" si="6"/>
        <v/>
      </c>
      <c r="AW42" s="416" t="str">
        <f t="shared" si="7"/>
        <v/>
      </c>
    </row>
    <row r="43" spans="19:49">
      <c r="S43" s="568"/>
      <c r="T43" s="414"/>
      <c r="U43" s="661" t="str">
        <f t="shared" si="1"/>
        <v>Dimensión_</v>
      </c>
      <c r="V43" s="414"/>
      <c r="W43" s="568"/>
      <c r="X43" s="449" t="str">
        <f>IFERROR(IF(VLOOKUP(B43,'Matriz de Referencia'!$B$2:$CO$584,'Matriz de Referencia'!AM$1,FALSE)&gt;0,"Diligenciar la vigencia, tiene presupuesto programado","No diligenciar, no programo presupuesto"),"")</f>
        <v/>
      </c>
      <c r="Y43" s="649"/>
      <c r="Z43" s="649"/>
      <c r="AA43" s="649"/>
      <c r="AB43" s="649"/>
      <c r="AC43" s="650" t="str">
        <f>IFERROR(IF(#REF!="Mantenimiento", AVERAGE(Y43:AB43), IF($AX43="Incremento", SUM(Y43:AB43), "")),"")</f>
        <v/>
      </c>
      <c r="AD43" s="449" t="str">
        <f>IFERROR(IF(VLOOKUP($B43,'Matriz de Referencia'!$B$2:$CO$584,'Matriz de Referencia'!BA$1,FALSE)&gt;0,"Diligenciar la vigencia, tiene presupuesto programado","No diligenciar, no programo presupuesto"),"")</f>
        <v/>
      </c>
      <c r="AE43" s="627"/>
      <c r="AH43" s="627"/>
      <c r="AI43" s="650" t="str">
        <f>IFERROR(IF(#REF!="Mantenimiento", AVERAGE(AE43:AH43), IF(#REF!="Incremento", SUM(AE43:AH43), "")),"")</f>
        <v/>
      </c>
      <c r="AJ43" s="449" t="str">
        <f>IFERROR(IF(VLOOKUP($B43,'Matriz de Referencia'!$B$2:$CO$584,'Matriz de Referencia'!BO$1,FALSE)&gt;0,"Diligenciar la vigencia, tiene presupuesto programado","No diligenciar, no programo presupuesto"),"")</f>
        <v/>
      </c>
      <c r="AK43" s="627"/>
      <c r="AN43" s="627"/>
      <c r="AO43" s="650" t="str">
        <f t="shared" si="62"/>
        <v/>
      </c>
      <c r="AP43" s="449" t="str">
        <f>IFERROR(IF(VLOOKUP($B43,'Matriz de Referencia'!$B$2:$CO$584,'Matriz de Referencia'!CC$1,FALSE)&gt;0,"Diligenciar la vigencia, tiene presupuesto programado","No diligenciar, no programo presupuesto"),"")</f>
        <v/>
      </c>
      <c r="AQ43" s="627"/>
      <c r="AT43" s="627"/>
      <c r="AU43" s="650" t="str">
        <f t="shared" si="63"/>
        <v/>
      </c>
      <c r="AV43" s="448" t="str">
        <f t="shared" si="6"/>
        <v/>
      </c>
      <c r="AW43" s="416" t="str">
        <f t="shared" si="7"/>
        <v/>
      </c>
    </row>
    <row r="44" spans="19:49">
      <c r="S44" s="568"/>
      <c r="T44" s="414"/>
      <c r="U44" s="661" t="str">
        <f t="shared" si="1"/>
        <v>Dimensión_</v>
      </c>
      <c r="V44" s="414"/>
      <c r="W44" s="568"/>
      <c r="X44" s="449" t="str">
        <f>IFERROR(IF(VLOOKUP(B44,'Matriz de Referencia'!$B$2:$CO$584,'Matriz de Referencia'!AM$1,FALSE)&gt;0,"Diligenciar la vigencia, tiene presupuesto programado","No diligenciar, no programo presupuesto"),"")</f>
        <v/>
      </c>
      <c r="Y44" s="649"/>
      <c r="Z44" s="649"/>
      <c r="AA44" s="649"/>
      <c r="AB44" s="649"/>
      <c r="AC44" s="650" t="str">
        <f>IFERROR(IF(#REF!="Mantenimiento", AVERAGE(Y44:AB44), IF($AX44="Incremento", SUM(Y44:AB44), "")),"")</f>
        <v/>
      </c>
      <c r="AD44" s="449" t="str">
        <f>IFERROR(IF(VLOOKUP($B44,'Matriz de Referencia'!$B$2:$CO$584,'Matriz de Referencia'!BA$1,FALSE)&gt;0,"Diligenciar la vigencia, tiene presupuesto programado","No diligenciar, no programo presupuesto"),"")</f>
        <v/>
      </c>
      <c r="AE44" s="627"/>
      <c r="AH44" s="627"/>
      <c r="AI44" s="650" t="str">
        <f>IFERROR(IF(#REF!="Mantenimiento", AVERAGE(AE44:AH44), IF(#REF!="Incremento", SUM(AE44:AH44), "")),"")</f>
        <v/>
      </c>
      <c r="AJ44" s="449" t="str">
        <f>IFERROR(IF(VLOOKUP($B44,'Matriz de Referencia'!$B$2:$CO$584,'Matriz de Referencia'!BO$1,FALSE)&gt;0,"Diligenciar la vigencia, tiene presupuesto programado","No diligenciar, no programo presupuesto"),"")</f>
        <v/>
      </c>
      <c r="AK44" s="627"/>
      <c r="AN44" s="627"/>
      <c r="AO44" s="650" t="str">
        <f t="shared" si="62"/>
        <v/>
      </c>
      <c r="AP44" s="449" t="str">
        <f>IFERROR(IF(VLOOKUP($B44,'Matriz de Referencia'!$B$2:$CO$584,'Matriz de Referencia'!CC$1,FALSE)&gt;0,"Diligenciar la vigencia, tiene presupuesto programado","No diligenciar, no programo presupuesto"),"")</f>
        <v/>
      </c>
      <c r="AQ44" s="627"/>
      <c r="AT44" s="627"/>
      <c r="AU44" s="650" t="str">
        <f t="shared" si="63"/>
        <v/>
      </c>
      <c r="AV44" s="448" t="str">
        <f t="shared" si="6"/>
        <v/>
      </c>
      <c r="AW44" s="416" t="str">
        <f t="shared" si="7"/>
        <v/>
      </c>
    </row>
    <row r="45" spans="19:49">
      <c r="S45" s="568"/>
      <c r="T45" s="414"/>
      <c r="U45" s="661" t="str">
        <f t="shared" si="1"/>
        <v>Dimensión_</v>
      </c>
      <c r="V45" s="414"/>
      <c r="W45" s="568"/>
      <c r="X45" s="449" t="str">
        <f>IFERROR(IF(VLOOKUP(B45,'Matriz de Referencia'!$B$2:$CO$584,'Matriz de Referencia'!AM$1,FALSE)&gt;0,"Diligenciar la vigencia, tiene presupuesto programado","No diligenciar, no programo presupuesto"),"")</f>
        <v/>
      </c>
      <c r="Y45" s="649"/>
      <c r="Z45" s="649"/>
      <c r="AA45" s="649"/>
      <c r="AB45" s="649"/>
      <c r="AC45" s="650" t="str">
        <f>IFERROR(IF(#REF!="Mantenimiento", AVERAGE(Y45:AB45), IF($AX45="Incremento", SUM(Y45:AB45), "")),"")</f>
        <v/>
      </c>
      <c r="AD45" s="449" t="str">
        <f>IFERROR(IF(VLOOKUP($B45,'Matriz de Referencia'!$B$2:$CO$584,'Matriz de Referencia'!BA$1,FALSE)&gt;0,"Diligenciar la vigencia, tiene presupuesto programado","No diligenciar, no programo presupuesto"),"")</f>
        <v/>
      </c>
      <c r="AE45" s="627"/>
      <c r="AH45" s="627"/>
      <c r="AI45" s="650" t="str">
        <f>IFERROR(IF(#REF!="Mantenimiento", AVERAGE(AE45:AH45), IF(#REF!="Incremento", SUM(AE45:AH45), "")),"")</f>
        <v/>
      </c>
      <c r="AJ45" s="449" t="str">
        <f>IFERROR(IF(VLOOKUP($B45,'Matriz de Referencia'!$B$2:$CO$584,'Matriz de Referencia'!BO$1,FALSE)&gt;0,"Diligenciar la vigencia, tiene presupuesto programado","No diligenciar, no programo presupuesto"),"")</f>
        <v/>
      </c>
      <c r="AK45" s="627"/>
      <c r="AN45" s="627"/>
      <c r="AO45" s="650" t="str">
        <f t="shared" si="62"/>
        <v/>
      </c>
      <c r="AP45" s="449" t="str">
        <f>IFERROR(IF(VLOOKUP($B45,'Matriz de Referencia'!$B$2:$CO$584,'Matriz de Referencia'!CC$1,FALSE)&gt;0,"Diligenciar la vigencia, tiene presupuesto programado","No diligenciar, no programo presupuesto"),"")</f>
        <v/>
      </c>
      <c r="AQ45" s="627"/>
      <c r="AT45" s="627"/>
      <c r="AU45" s="650" t="str">
        <f t="shared" si="63"/>
        <v/>
      </c>
      <c r="AV45" s="448" t="str">
        <f t="shared" si="6"/>
        <v/>
      </c>
      <c r="AW45" s="416" t="str">
        <f t="shared" si="7"/>
        <v/>
      </c>
    </row>
    <row r="46" spans="19:49">
      <c r="S46" s="568"/>
      <c r="T46" s="414"/>
      <c r="U46" s="661" t="str">
        <f t="shared" si="1"/>
        <v>Dimensión_</v>
      </c>
      <c r="V46" s="414"/>
      <c r="W46" s="568"/>
      <c r="X46" s="449" t="str">
        <f>IFERROR(IF(VLOOKUP(B46,'Matriz de Referencia'!$B$2:$CO$584,'Matriz de Referencia'!AM$1,FALSE)&gt;0,"Diligenciar la vigencia, tiene presupuesto programado","No diligenciar, no programo presupuesto"),"")</f>
        <v/>
      </c>
      <c r="Y46" s="649"/>
      <c r="Z46" s="649"/>
      <c r="AA46" s="649"/>
      <c r="AB46" s="649"/>
      <c r="AC46" s="650" t="str">
        <f>IFERROR(IF(#REF!="Mantenimiento", AVERAGE(Y46:AB46), IF($AX46="Incremento", SUM(Y46:AB46), "")),"")</f>
        <v/>
      </c>
      <c r="AD46" s="449" t="str">
        <f>IFERROR(IF(VLOOKUP($B46,'Matriz de Referencia'!$B$2:$CO$584,'Matriz de Referencia'!BA$1,FALSE)&gt;0,"Diligenciar la vigencia, tiene presupuesto programado","No diligenciar, no programo presupuesto"),"")</f>
        <v/>
      </c>
      <c r="AE46" s="627"/>
      <c r="AH46" s="627"/>
      <c r="AI46" s="650" t="str">
        <f>IFERROR(IF(#REF!="Mantenimiento", AVERAGE(AE46:AH46), IF(#REF!="Incremento", SUM(AE46:AH46), "")),"")</f>
        <v/>
      </c>
      <c r="AJ46" s="449" t="str">
        <f>IFERROR(IF(VLOOKUP($B46,'Matriz de Referencia'!$B$2:$CO$584,'Matriz de Referencia'!BO$1,FALSE)&gt;0,"Diligenciar la vigencia, tiene presupuesto programado","No diligenciar, no programo presupuesto"),"")</f>
        <v/>
      </c>
      <c r="AK46" s="627"/>
      <c r="AN46" s="627"/>
      <c r="AO46" s="650" t="str">
        <f t="shared" si="62"/>
        <v/>
      </c>
      <c r="AP46" s="449" t="str">
        <f>IFERROR(IF(VLOOKUP($B46,'Matriz de Referencia'!$B$2:$CO$584,'Matriz de Referencia'!CC$1,FALSE)&gt;0,"Diligenciar la vigencia, tiene presupuesto programado","No diligenciar, no programo presupuesto"),"")</f>
        <v/>
      </c>
      <c r="AQ46" s="627"/>
      <c r="AT46" s="627"/>
      <c r="AU46" s="650" t="str">
        <f t="shared" si="63"/>
        <v/>
      </c>
      <c r="AV46" s="448" t="str">
        <f t="shared" si="6"/>
        <v/>
      </c>
      <c r="AW46" s="416" t="str">
        <f t="shared" si="7"/>
        <v/>
      </c>
    </row>
    <row r="47" spans="19:49">
      <c r="S47" s="568"/>
      <c r="T47" s="414"/>
      <c r="U47" s="661" t="str">
        <f t="shared" si="1"/>
        <v>Dimensión_</v>
      </c>
      <c r="V47" s="414"/>
      <c r="W47" s="568"/>
      <c r="X47" s="449" t="str">
        <f>IFERROR(IF(VLOOKUP(B47,'Matriz de Referencia'!$B$2:$CO$584,'Matriz de Referencia'!AM$1,FALSE)&gt;0,"Diligenciar la vigencia, tiene presupuesto programado","No diligenciar, no programo presupuesto"),"")</f>
        <v/>
      </c>
      <c r="Y47" s="649"/>
      <c r="Z47" s="649"/>
      <c r="AA47" s="649"/>
      <c r="AB47" s="649"/>
      <c r="AC47" s="650" t="str">
        <f>IFERROR(IF(#REF!="Mantenimiento", AVERAGE(Y47:AB47), IF($AX47="Incremento", SUM(Y47:AB47), "")),"")</f>
        <v/>
      </c>
      <c r="AD47" s="449" t="str">
        <f>IFERROR(IF(VLOOKUP($B47,'Matriz de Referencia'!$B$2:$CO$584,'Matriz de Referencia'!BA$1,FALSE)&gt;0,"Diligenciar la vigencia, tiene presupuesto programado","No diligenciar, no programo presupuesto"),"")</f>
        <v/>
      </c>
      <c r="AE47" s="627"/>
      <c r="AH47" s="627"/>
      <c r="AI47" s="650" t="str">
        <f>IFERROR(IF(#REF!="Mantenimiento", AVERAGE(AE47:AH47), IF(#REF!="Incremento", SUM(AE47:AH47), "")),"")</f>
        <v/>
      </c>
      <c r="AJ47" s="449" t="str">
        <f>IFERROR(IF(VLOOKUP($B47,'Matriz de Referencia'!$B$2:$CO$584,'Matriz de Referencia'!BO$1,FALSE)&gt;0,"Diligenciar la vigencia, tiene presupuesto programado","No diligenciar, no programo presupuesto"),"")</f>
        <v/>
      </c>
      <c r="AK47" s="627"/>
      <c r="AN47" s="627"/>
      <c r="AO47" s="650" t="str">
        <f t="shared" si="62"/>
        <v/>
      </c>
      <c r="AP47" s="449" t="str">
        <f>IFERROR(IF(VLOOKUP($B47,'Matriz de Referencia'!$B$2:$CO$584,'Matriz de Referencia'!CC$1,FALSE)&gt;0,"Diligenciar la vigencia, tiene presupuesto programado","No diligenciar, no programo presupuesto"),"")</f>
        <v/>
      </c>
      <c r="AQ47" s="627"/>
      <c r="AT47" s="627"/>
      <c r="AU47" s="650" t="str">
        <f t="shared" si="63"/>
        <v/>
      </c>
      <c r="AV47" s="448" t="str">
        <f t="shared" si="6"/>
        <v/>
      </c>
      <c r="AW47" s="416" t="str">
        <f t="shared" si="7"/>
        <v/>
      </c>
    </row>
    <row r="48" spans="19:49">
      <c r="S48" s="568"/>
      <c r="T48" s="414"/>
      <c r="U48" s="661" t="str">
        <f t="shared" si="1"/>
        <v>Dimensión_</v>
      </c>
      <c r="V48" s="414"/>
      <c r="W48" s="568"/>
      <c r="X48" s="449" t="str">
        <f>IFERROR(IF(VLOOKUP(B48,'Matriz de Referencia'!$B$2:$CO$584,'Matriz de Referencia'!AM$1,FALSE)&gt;0,"Diligenciar la vigencia, tiene presupuesto programado","No diligenciar, no programo presupuesto"),"")</f>
        <v/>
      </c>
      <c r="Y48" s="649"/>
      <c r="Z48" s="649"/>
      <c r="AA48" s="649"/>
      <c r="AB48" s="649"/>
      <c r="AC48" s="650" t="str">
        <f>IFERROR(IF(#REF!="Mantenimiento", AVERAGE(Y48:AB48), IF($AX48="Incremento", SUM(Y48:AB48), "")),"")</f>
        <v/>
      </c>
      <c r="AD48" s="449" t="str">
        <f>IFERROR(IF(VLOOKUP($B48,'Matriz de Referencia'!$B$2:$CO$584,'Matriz de Referencia'!BA$1,FALSE)&gt;0,"Diligenciar la vigencia, tiene presupuesto programado","No diligenciar, no programo presupuesto"),"")</f>
        <v/>
      </c>
      <c r="AE48" s="627"/>
      <c r="AH48" s="627"/>
      <c r="AI48" s="650" t="str">
        <f>IFERROR(IF(#REF!="Mantenimiento", AVERAGE(AE48:AH48), IF(#REF!="Incremento", SUM(AE48:AH48), "")),"")</f>
        <v/>
      </c>
      <c r="AJ48" s="449" t="str">
        <f>IFERROR(IF(VLOOKUP($B48,'Matriz de Referencia'!$B$2:$CO$584,'Matriz de Referencia'!BO$1,FALSE)&gt;0,"Diligenciar la vigencia, tiene presupuesto programado","No diligenciar, no programo presupuesto"),"")</f>
        <v/>
      </c>
      <c r="AK48" s="627"/>
      <c r="AN48" s="627"/>
      <c r="AO48" s="650" t="str">
        <f t="shared" si="62"/>
        <v/>
      </c>
      <c r="AP48" s="449" t="str">
        <f>IFERROR(IF(VLOOKUP($B48,'Matriz de Referencia'!$B$2:$CO$584,'Matriz de Referencia'!CC$1,FALSE)&gt;0,"Diligenciar la vigencia, tiene presupuesto programado","No diligenciar, no programo presupuesto"),"")</f>
        <v/>
      </c>
      <c r="AQ48" s="627"/>
      <c r="AT48" s="627"/>
      <c r="AU48" s="650" t="str">
        <f t="shared" si="63"/>
        <v/>
      </c>
      <c r="AV48" s="448" t="str">
        <f t="shared" si="6"/>
        <v/>
      </c>
      <c r="AW48" s="416" t="str">
        <f t="shared" si="7"/>
        <v/>
      </c>
    </row>
    <row r="49" spans="19:49">
      <c r="S49" s="568"/>
      <c r="T49" s="414"/>
      <c r="U49" s="661" t="str">
        <f t="shared" si="1"/>
        <v>Dimensión_</v>
      </c>
      <c r="V49" s="414"/>
      <c r="W49" s="568"/>
      <c r="X49" s="449" t="str">
        <f>IFERROR(IF(VLOOKUP(B49,'Matriz de Referencia'!$B$2:$CO$584,'Matriz de Referencia'!AM$1,FALSE)&gt;0,"Diligenciar la vigencia, tiene presupuesto programado","No diligenciar, no programo presupuesto"),"")</f>
        <v/>
      </c>
      <c r="Y49" s="649"/>
      <c r="Z49" s="649"/>
      <c r="AA49" s="649"/>
      <c r="AB49" s="649"/>
      <c r="AC49" s="650" t="str">
        <f>IFERROR(IF(#REF!="Mantenimiento", AVERAGE(Y49:AB49), IF($AX49="Incremento", SUM(Y49:AB49), "")),"")</f>
        <v/>
      </c>
      <c r="AD49" s="449" t="str">
        <f>IFERROR(IF(VLOOKUP($B49,'Matriz de Referencia'!$B$2:$CO$584,'Matriz de Referencia'!BA$1,FALSE)&gt;0,"Diligenciar la vigencia, tiene presupuesto programado","No diligenciar, no programo presupuesto"),"")</f>
        <v/>
      </c>
      <c r="AE49" s="627"/>
      <c r="AH49" s="627"/>
      <c r="AI49" s="650" t="str">
        <f>IFERROR(IF(#REF!="Mantenimiento", AVERAGE(AE49:AH49), IF(#REF!="Incremento", SUM(AE49:AH49), "")),"")</f>
        <v/>
      </c>
      <c r="AJ49" s="449" t="str">
        <f>IFERROR(IF(VLOOKUP($B49,'Matriz de Referencia'!$B$2:$CO$584,'Matriz de Referencia'!BO$1,FALSE)&gt;0,"Diligenciar la vigencia, tiene presupuesto programado","No diligenciar, no programo presupuesto"),"")</f>
        <v/>
      </c>
      <c r="AK49" s="627"/>
      <c r="AN49" s="627"/>
      <c r="AO49" s="650" t="str">
        <f t="shared" si="62"/>
        <v/>
      </c>
      <c r="AP49" s="449" t="str">
        <f>IFERROR(IF(VLOOKUP($B49,'Matriz de Referencia'!$B$2:$CO$584,'Matriz de Referencia'!CC$1,FALSE)&gt;0,"Diligenciar la vigencia, tiene presupuesto programado","No diligenciar, no programo presupuesto"),"")</f>
        <v/>
      </c>
      <c r="AQ49" s="627"/>
      <c r="AT49" s="627"/>
      <c r="AU49" s="650" t="str">
        <f t="shared" si="63"/>
        <v/>
      </c>
      <c r="AV49" s="448" t="str">
        <f t="shared" si="6"/>
        <v/>
      </c>
      <c r="AW49" s="416" t="str">
        <f t="shared" si="7"/>
        <v/>
      </c>
    </row>
    <row r="50" spans="19:49">
      <c r="S50" s="568"/>
      <c r="T50" s="414"/>
      <c r="U50" s="661" t="str">
        <f t="shared" si="1"/>
        <v>Dimensión_</v>
      </c>
      <c r="V50" s="414"/>
      <c r="W50" s="568"/>
      <c r="X50" s="449" t="str">
        <f>IFERROR(IF(VLOOKUP(B50,'Matriz de Referencia'!$B$2:$CO$584,'Matriz de Referencia'!AM$1,FALSE)&gt;0,"Diligenciar la vigencia, tiene presupuesto programado","No diligenciar, no programo presupuesto"),"")</f>
        <v/>
      </c>
      <c r="Y50" s="649"/>
      <c r="Z50" s="649"/>
      <c r="AA50" s="649"/>
      <c r="AB50" s="649"/>
      <c r="AC50" s="650" t="str">
        <f>IFERROR(IF(#REF!="Mantenimiento", AVERAGE(Y50:AB50), IF($AX50="Incremento", SUM(Y50:AB50), "")),"")</f>
        <v/>
      </c>
      <c r="AD50" s="449" t="str">
        <f>IFERROR(IF(VLOOKUP($B50,'Matriz de Referencia'!$B$2:$CO$584,'Matriz de Referencia'!BA$1,FALSE)&gt;0,"Diligenciar la vigencia, tiene presupuesto programado","No diligenciar, no programo presupuesto"),"")</f>
        <v/>
      </c>
      <c r="AE50" s="627"/>
      <c r="AH50" s="627"/>
      <c r="AI50" s="650" t="str">
        <f>IFERROR(IF(#REF!="Mantenimiento", AVERAGE(AE50:AH50), IF(#REF!="Incremento", SUM(AE50:AH50), "")),"")</f>
        <v/>
      </c>
      <c r="AJ50" s="449" t="str">
        <f>IFERROR(IF(VLOOKUP($B50,'Matriz de Referencia'!$B$2:$CO$584,'Matriz de Referencia'!BO$1,FALSE)&gt;0,"Diligenciar la vigencia, tiene presupuesto programado","No diligenciar, no programo presupuesto"),"")</f>
        <v/>
      </c>
      <c r="AK50" s="627"/>
      <c r="AN50" s="627"/>
      <c r="AO50" s="650" t="str">
        <f t="shared" si="62"/>
        <v/>
      </c>
      <c r="AP50" s="449" t="str">
        <f>IFERROR(IF(VLOOKUP($B50,'Matriz de Referencia'!$B$2:$CO$584,'Matriz de Referencia'!CC$1,FALSE)&gt;0,"Diligenciar la vigencia, tiene presupuesto programado","No diligenciar, no programo presupuesto"),"")</f>
        <v/>
      </c>
      <c r="AQ50" s="627"/>
      <c r="AT50" s="627"/>
      <c r="AU50" s="650" t="str">
        <f t="shared" si="63"/>
        <v/>
      </c>
      <c r="AV50" s="448" t="str">
        <f t="shared" si="6"/>
        <v/>
      </c>
      <c r="AW50" s="416" t="str">
        <f t="shared" si="7"/>
        <v/>
      </c>
    </row>
    <row r="51" spans="19:49">
      <c r="S51" s="568"/>
      <c r="T51" s="414"/>
      <c r="U51" s="661" t="str">
        <f t="shared" si="1"/>
        <v>Dimensión_</v>
      </c>
      <c r="V51" s="414"/>
      <c r="W51" s="568"/>
      <c r="X51" s="449" t="str">
        <f>IFERROR(IF(VLOOKUP(B51,'Matriz de Referencia'!$B$2:$CO$584,'Matriz de Referencia'!AM$1,FALSE)&gt;0,"Diligenciar la vigencia, tiene presupuesto programado","No diligenciar, no programo presupuesto"),"")</f>
        <v/>
      </c>
      <c r="Y51" s="649"/>
      <c r="Z51" s="649"/>
      <c r="AA51" s="649"/>
      <c r="AB51" s="649"/>
      <c r="AC51" s="650" t="str">
        <f>IFERROR(IF(#REF!="Mantenimiento", AVERAGE(Y51:AB51), IF($AX51="Incremento", SUM(Y51:AB51), "")),"")</f>
        <v/>
      </c>
      <c r="AD51" s="449" t="str">
        <f>IFERROR(IF(VLOOKUP($B51,'Matriz de Referencia'!$B$2:$CO$584,'Matriz de Referencia'!BA$1,FALSE)&gt;0,"Diligenciar la vigencia, tiene presupuesto programado","No diligenciar, no programo presupuesto"),"")</f>
        <v/>
      </c>
      <c r="AE51" s="627"/>
      <c r="AH51" s="627"/>
      <c r="AI51" s="650" t="str">
        <f>IFERROR(IF(#REF!="Mantenimiento", AVERAGE(AE51:AH51), IF(#REF!="Incremento", SUM(AE51:AH51), "")),"")</f>
        <v/>
      </c>
      <c r="AJ51" s="449" t="str">
        <f>IFERROR(IF(VLOOKUP($B51,'Matriz de Referencia'!$B$2:$CO$584,'Matriz de Referencia'!BO$1,FALSE)&gt;0,"Diligenciar la vigencia, tiene presupuesto programado","No diligenciar, no programo presupuesto"),"")</f>
        <v/>
      </c>
      <c r="AK51" s="627"/>
      <c r="AN51" s="627"/>
      <c r="AO51" s="650" t="str">
        <f t="shared" si="62"/>
        <v/>
      </c>
      <c r="AP51" s="449" t="str">
        <f>IFERROR(IF(VLOOKUP($B51,'Matriz de Referencia'!$B$2:$CO$584,'Matriz de Referencia'!CC$1,FALSE)&gt;0,"Diligenciar la vigencia, tiene presupuesto programado","No diligenciar, no programo presupuesto"),"")</f>
        <v/>
      </c>
      <c r="AQ51" s="627"/>
      <c r="AT51" s="627"/>
      <c r="AU51" s="650" t="str">
        <f t="shared" si="63"/>
        <v/>
      </c>
      <c r="AV51" s="448" t="str">
        <f t="shared" si="6"/>
        <v/>
      </c>
      <c r="AW51" s="416" t="str">
        <f t="shared" si="7"/>
        <v/>
      </c>
    </row>
    <row r="52" spans="19:49">
      <c r="S52" s="568"/>
      <c r="T52" s="414"/>
      <c r="U52" s="661" t="str">
        <f t="shared" si="1"/>
        <v>Dimensión_</v>
      </c>
      <c r="V52" s="414"/>
      <c r="W52" s="568"/>
      <c r="X52" s="449" t="str">
        <f>IFERROR(IF(VLOOKUP(B52,'Matriz de Referencia'!$B$2:$CO$584,'Matriz de Referencia'!AM$1,FALSE)&gt;0,"Diligenciar la vigencia, tiene presupuesto programado","No diligenciar, no programo presupuesto"),"")</f>
        <v/>
      </c>
      <c r="Y52" s="649"/>
      <c r="Z52" s="649"/>
      <c r="AA52" s="649"/>
      <c r="AB52" s="649"/>
      <c r="AC52" s="650" t="str">
        <f>IFERROR(IF(#REF!="Mantenimiento", AVERAGE(Y52:AB52), IF($AX52="Incremento", SUM(Y52:AB52), "")),"")</f>
        <v/>
      </c>
      <c r="AD52" s="449" t="str">
        <f>IFERROR(IF(VLOOKUP($B52,'Matriz de Referencia'!$B$2:$CO$584,'Matriz de Referencia'!BA$1,FALSE)&gt;0,"Diligenciar la vigencia, tiene presupuesto programado","No diligenciar, no programo presupuesto"),"")</f>
        <v/>
      </c>
      <c r="AE52" s="627"/>
      <c r="AH52" s="627"/>
      <c r="AI52" s="650" t="str">
        <f>IFERROR(IF(#REF!="Mantenimiento", AVERAGE(AE52:AH52), IF(#REF!="Incremento", SUM(AE52:AH52), "")),"")</f>
        <v/>
      </c>
      <c r="AJ52" s="449" t="str">
        <f>IFERROR(IF(VLOOKUP($B52,'Matriz de Referencia'!$B$2:$CO$584,'Matriz de Referencia'!BO$1,FALSE)&gt;0,"Diligenciar la vigencia, tiene presupuesto programado","No diligenciar, no programo presupuesto"),"")</f>
        <v/>
      </c>
      <c r="AK52" s="627"/>
      <c r="AN52" s="627"/>
      <c r="AO52" s="650" t="str">
        <f t="shared" si="62"/>
        <v/>
      </c>
      <c r="AP52" s="449" t="str">
        <f>IFERROR(IF(VLOOKUP($B52,'Matriz de Referencia'!$B$2:$CO$584,'Matriz de Referencia'!CC$1,FALSE)&gt;0,"Diligenciar la vigencia, tiene presupuesto programado","No diligenciar, no programo presupuesto"),"")</f>
        <v/>
      </c>
      <c r="AQ52" s="627"/>
      <c r="AT52" s="627"/>
      <c r="AU52" s="650" t="str">
        <f t="shared" si="63"/>
        <v/>
      </c>
      <c r="AV52" s="448" t="str">
        <f t="shared" si="6"/>
        <v/>
      </c>
      <c r="AW52" s="416" t="str">
        <f t="shared" si="7"/>
        <v/>
      </c>
    </row>
    <row r="53" spans="19:49">
      <c r="S53" s="568"/>
      <c r="T53" s="414"/>
      <c r="U53" s="661" t="str">
        <f t="shared" si="1"/>
        <v>Dimensión_</v>
      </c>
      <c r="V53" s="414"/>
      <c r="W53" s="568"/>
      <c r="X53" s="449" t="str">
        <f>IFERROR(IF(VLOOKUP(B53,'Matriz de Referencia'!$B$2:$CO$584,'Matriz de Referencia'!AM$1,FALSE)&gt;0,"Diligenciar la vigencia, tiene presupuesto programado","No diligenciar, no programo presupuesto"),"")</f>
        <v/>
      </c>
      <c r="Y53" s="649"/>
      <c r="Z53" s="649"/>
      <c r="AA53" s="649"/>
      <c r="AB53" s="649"/>
      <c r="AC53" s="650" t="str">
        <f>IFERROR(IF(#REF!="Mantenimiento", AVERAGE(Y53:AB53), IF($AX53="Incremento", SUM(Y53:AB53), "")),"")</f>
        <v/>
      </c>
      <c r="AD53" s="449" t="str">
        <f>IFERROR(IF(VLOOKUP($B53,'Matriz de Referencia'!$B$2:$CO$584,'Matriz de Referencia'!BA$1,FALSE)&gt;0,"Diligenciar la vigencia, tiene presupuesto programado","No diligenciar, no programo presupuesto"),"")</f>
        <v/>
      </c>
      <c r="AE53" s="627"/>
      <c r="AH53" s="627"/>
      <c r="AI53" s="650" t="str">
        <f>IFERROR(IF(#REF!="Mantenimiento", AVERAGE(AE53:AH53), IF(#REF!="Incremento", SUM(AE53:AH53), "")),"")</f>
        <v/>
      </c>
      <c r="AJ53" s="449" t="str">
        <f>IFERROR(IF(VLOOKUP($B53,'Matriz de Referencia'!$B$2:$CO$584,'Matriz de Referencia'!BO$1,FALSE)&gt;0,"Diligenciar la vigencia, tiene presupuesto programado","No diligenciar, no programo presupuesto"),"")</f>
        <v/>
      </c>
      <c r="AK53" s="627"/>
      <c r="AN53" s="627"/>
      <c r="AO53" s="650" t="str">
        <f t="shared" si="62"/>
        <v/>
      </c>
      <c r="AP53" s="449" t="str">
        <f>IFERROR(IF(VLOOKUP($B53,'Matriz de Referencia'!$B$2:$CO$584,'Matriz de Referencia'!CC$1,FALSE)&gt;0,"Diligenciar la vigencia, tiene presupuesto programado","No diligenciar, no programo presupuesto"),"")</f>
        <v/>
      </c>
      <c r="AQ53" s="627"/>
      <c r="AT53" s="627"/>
      <c r="AU53" s="650" t="str">
        <f t="shared" si="63"/>
        <v/>
      </c>
      <c r="AV53" s="448" t="str">
        <f t="shared" si="6"/>
        <v/>
      </c>
      <c r="AW53" s="416" t="str">
        <f t="shared" si="7"/>
        <v/>
      </c>
    </row>
    <row r="54" spans="19:49">
      <c r="S54" s="568"/>
      <c r="T54" s="414"/>
      <c r="U54" s="661" t="str">
        <f t="shared" si="1"/>
        <v>Dimensión_</v>
      </c>
      <c r="V54" s="414"/>
      <c r="W54" s="568"/>
      <c r="X54" s="449" t="str">
        <f>IFERROR(IF(VLOOKUP(B54,'Matriz de Referencia'!$B$2:$CO$584,'Matriz de Referencia'!AM$1,FALSE)&gt;0,"Diligenciar la vigencia, tiene presupuesto programado","No diligenciar, no programo presupuesto"),"")</f>
        <v/>
      </c>
      <c r="Y54" s="649"/>
      <c r="Z54" s="649"/>
      <c r="AA54" s="649"/>
      <c r="AB54" s="649"/>
      <c r="AC54" s="650" t="str">
        <f>IFERROR(IF(#REF!="Mantenimiento", AVERAGE(Y54:AB54), IF($AX54="Incremento", SUM(Y54:AB54), "")),"")</f>
        <v/>
      </c>
      <c r="AD54" s="449" t="str">
        <f>IFERROR(IF(VLOOKUP($B54,'Matriz de Referencia'!$B$2:$CO$584,'Matriz de Referencia'!BA$1,FALSE)&gt;0,"Diligenciar la vigencia, tiene presupuesto programado","No diligenciar, no programo presupuesto"),"")</f>
        <v/>
      </c>
      <c r="AE54" s="627"/>
      <c r="AH54" s="627"/>
      <c r="AI54" s="650" t="str">
        <f>IFERROR(IF(#REF!="Mantenimiento", AVERAGE(AE54:AH54), IF(#REF!="Incremento", SUM(AE54:AH54), "")),"")</f>
        <v/>
      </c>
      <c r="AJ54" s="449" t="str">
        <f>IFERROR(IF(VLOOKUP($B54,'Matriz de Referencia'!$B$2:$CO$584,'Matriz de Referencia'!BO$1,FALSE)&gt;0,"Diligenciar la vigencia, tiene presupuesto programado","No diligenciar, no programo presupuesto"),"")</f>
        <v/>
      </c>
      <c r="AK54" s="627"/>
      <c r="AN54" s="627"/>
      <c r="AO54" s="650" t="str">
        <f t="shared" si="62"/>
        <v/>
      </c>
      <c r="AP54" s="449" t="str">
        <f>IFERROR(IF(VLOOKUP($B54,'Matriz de Referencia'!$B$2:$CO$584,'Matriz de Referencia'!CC$1,FALSE)&gt;0,"Diligenciar la vigencia, tiene presupuesto programado","No diligenciar, no programo presupuesto"),"")</f>
        <v/>
      </c>
      <c r="AQ54" s="627"/>
      <c r="AT54" s="627"/>
      <c r="AU54" s="650" t="str">
        <f t="shared" si="63"/>
        <v/>
      </c>
      <c r="AV54" s="448" t="str">
        <f t="shared" si="6"/>
        <v/>
      </c>
      <c r="AW54" s="416" t="str">
        <f t="shared" si="7"/>
        <v/>
      </c>
    </row>
    <row r="55" spans="19:49">
      <c r="S55" s="568"/>
      <c r="T55" s="414"/>
      <c r="U55" s="661" t="str">
        <f t="shared" si="1"/>
        <v>Dimensión_</v>
      </c>
      <c r="V55" s="414"/>
      <c r="W55" s="568"/>
      <c r="X55" s="449" t="str">
        <f>IFERROR(IF(VLOOKUP(B55,'Matriz de Referencia'!$B$2:$CO$584,'Matriz de Referencia'!AM$1,FALSE)&gt;0,"Diligenciar la vigencia, tiene presupuesto programado","No diligenciar, no programo presupuesto"),"")</f>
        <v/>
      </c>
      <c r="Y55" s="649"/>
      <c r="Z55" s="649"/>
      <c r="AA55" s="649"/>
      <c r="AB55" s="649"/>
      <c r="AC55" s="650" t="str">
        <f>IFERROR(IF(#REF!="Mantenimiento", AVERAGE(Y55:AB55), IF($AX55="Incremento", SUM(Y55:AB55), "")),"")</f>
        <v/>
      </c>
      <c r="AD55" s="449" t="str">
        <f>IFERROR(IF(VLOOKUP($B55,'Matriz de Referencia'!$B$2:$CO$584,'Matriz de Referencia'!BA$1,FALSE)&gt;0,"Diligenciar la vigencia, tiene presupuesto programado","No diligenciar, no programo presupuesto"),"")</f>
        <v/>
      </c>
      <c r="AE55" s="627"/>
      <c r="AH55" s="627"/>
      <c r="AI55" s="650" t="str">
        <f>IFERROR(IF(#REF!="Mantenimiento", AVERAGE(AE55:AH55), IF(#REF!="Incremento", SUM(AE55:AH55), "")),"")</f>
        <v/>
      </c>
      <c r="AJ55" s="449" t="str">
        <f>IFERROR(IF(VLOOKUP($B55,'Matriz de Referencia'!$B$2:$CO$584,'Matriz de Referencia'!BO$1,FALSE)&gt;0,"Diligenciar la vigencia, tiene presupuesto programado","No diligenciar, no programo presupuesto"),"")</f>
        <v/>
      </c>
      <c r="AK55" s="627"/>
      <c r="AN55" s="627"/>
      <c r="AO55" s="650" t="str">
        <f t="shared" si="62"/>
        <v/>
      </c>
      <c r="AP55" s="449" t="str">
        <f>IFERROR(IF(VLOOKUP($B55,'Matriz de Referencia'!$B$2:$CO$584,'Matriz de Referencia'!CC$1,FALSE)&gt;0,"Diligenciar la vigencia, tiene presupuesto programado","No diligenciar, no programo presupuesto"),"")</f>
        <v/>
      </c>
      <c r="AQ55" s="627"/>
      <c r="AT55" s="627"/>
      <c r="AU55" s="650" t="str">
        <f t="shared" si="63"/>
        <v/>
      </c>
      <c r="AV55" s="448" t="str">
        <f t="shared" si="6"/>
        <v/>
      </c>
      <c r="AW55" s="416" t="str">
        <f t="shared" si="7"/>
        <v/>
      </c>
    </row>
    <row r="56" spans="19:49">
      <c r="S56" s="568"/>
      <c r="T56" s="414"/>
      <c r="U56" s="661" t="str">
        <f t="shared" si="1"/>
        <v>Dimensión_</v>
      </c>
      <c r="V56" s="414"/>
      <c r="W56" s="568"/>
      <c r="X56" s="449" t="str">
        <f>IFERROR(IF(VLOOKUP(B56,'Matriz de Referencia'!$B$2:$CO$584,'Matriz de Referencia'!AM$1,FALSE)&gt;0,"Diligenciar la vigencia, tiene presupuesto programado","No diligenciar, no programo presupuesto"),"")</f>
        <v/>
      </c>
      <c r="Y56" s="649"/>
      <c r="Z56" s="649"/>
      <c r="AA56" s="649"/>
      <c r="AB56" s="649"/>
      <c r="AC56" s="650" t="str">
        <f>IFERROR(IF(#REF!="Mantenimiento", AVERAGE(Y56:AB56), IF($AX56="Incremento", SUM(Y56:AB56), "")),"")</f>
        <v/>
      </c>
      <c r="AD56" s="449" t="str">
        <f>IFERROR(IF(VLOOKUP($B56,'Matriz de Referencia'!$B$2:$CO$584,'Matriz de Referencia'!BA$1,FALSE)&gt;0,"Diligenciar la vigencia, tiene presupuesto programado","No diligenciar, no programo presupuesto"),"")</f>
        <v/>
      </c>
      <c r="AE56" s="627"/>
      <c r="AH56" s="627"/>
      <c r="AI56" s="650" t="str">
        <f>IFERROR(IF(#REF!="Mantenimiento", AVERAGE(AE56:AH56), IF(#REF!="Incremento", SUM(AE56:AH56), "")),"")</f>
        <v/>
      </c>
      <c r="AJ56" s="449" t="str">
        <f>IFERROR(IF(VLOOKUP($B56,'Matriz de Referencia'!$B$2:$CO$584,'Matriz de Referencia'!BO$1,FALSE)&gt;0,"Diligenciar la vigencia, tiene presupuesto programado","No diligenciar, no programo presupuesto"),"")</f>
        <v/>
      </c>
      <c r="AK56" s="627"/>
      <c r="AN56" s="627"/>
      <c r="AO56" s="650" t="str">
        <f t="shared" si="62"/>
        <v/>
      </c>
      <c r="AP56" s="449" t="str">
        <f>IFERROR(IF(VLOOKUP($B56,'Matriz de Referencia'!$B$2:$CO$584,'Matriz de Referencia'!CC$1,FALSE)&gt;0,"Diligenciar la vigencia, tiene presupuesto programado","No diligenciar, no programo presupuesto"),"")</f>
        <v/>
      </c>
      <c r="AQ56" s="627"/>
      <c r="AT56" s="627"/>
      <c r="AU56" s="650" t="str">
        <f t="shared" si="63"/>
        <v/>
      </c>
      <c r="AV56" s="448" t="str">
        <f t="shared" si="6"/>
        <v/>
      </c>
      <c r="AW56" s="416" t="str">
        <f t="shared" si="7"/>
        <v/>
      </c>
    </row>
    <row r="57" spans="19:49">
      <c r="S57" s="568"/>
      <c r="T57" s="414"/>
      <c r="U57" s="661" t="str">
        <f t="shared" si="1"/>
        <v>Dimensión_</v>
      </c>
      <c r="V57" s="414"/>
      <c r="W57" s="568"/>
      <c r="X57" s="449" t="str">
        <f>IFERROR(IF(VLOOKUP(B57,'Matriz de Referencia'!$B$2:$CO$584,'Matriz de Referencia'!AM$1,FALSE)&gt;0,"Diligenciar la vigencia, tiene presupuesto programado","No diligenciar, no programo presupuesto"),"")</f>
        <v/>
      </c>
      <c r="Y57" s="649"/>
      <c r="Z57" s="649"/>
      <c r="AA57" s="649"/>
      <c r="AB57" s="649"/>
      <c r="AC57" s="650" t="str">
        <f>IFERROR(IF(#REF!="Mantenimiento", AVERAGE(Y57:AB57), IF($AX57="Incremento", SUM(Y57:AB57), "")),"")</f>
        <v/>
      </c>
      <c r="AD57" s="449" t="str">
        <f>IFERROR(IF(VLOOKUP($B57,'Matriz de Referencia'!$B$2:$CO$584,'Matriz de Referencia'!BA$1,FALSE)&gt;0,"Diligenciar la vigencia, tiene presupuesto programado","No diligenciar, no programo presupuesto"),"")</f>
        <v/>
      </c>
      <c r="AE57" s="627"/>
      <c r="AH57" s="627"/>
      <c r="AI57" s="650" t="str">
        <f>IFERROR(IF(#REF!="Mantenimiento", AVERAGE(AE57:AH57), IF(#REF!="Incremento", SUM(AE57:AH57), "")),"")</f>
        <v/>
      </c>
      <c r="AJ57" s="449" t="str">
        <f>IFERROR(IF(VLOOKUP($B57,'Matriz de Referencia'!$B$2:$CO$584,'Matriz de Referencia'!BO$1,FALSE)&gt;0,"Diligenciar la vigencia, tiene presupuesto programado","No diligenciar, no programo presupuesto"),"")</f>
        <v/>
      </c>
      <c r="AK57" s="627"/>
      <c r="AN57" s="627"/>
      <c r="AO57" s="650" t="str">
        <f t="shared" si="62"/>
        <v/>
      </c>
      <c r="AP57" s="449" t="str">
        <f>IFERROR(IF(VLOOKUP($B57,'Matriz de Referencia'!$B$2:$CO$584,'Matriz de Referencia'!CC$1,FALSE)&gt;0,"Diligenciar la vigencia, tiene presupuesto programado","No diligenciar, no programo presupuesto"),"")</f>
        <v/>
      </c>
      <c r="AQ57" s="627"/>
      <c r="AT57" s="627"/>
      <c r="AU57" s="650" t="str">
        <f t="shared" si="63"/>
        <v/>
      </c>
      <c r="AV57" s="448" t="str">
        <f t="shared" si="6"/>
        <v/>
      </c>
      <c r="AW57" s="416" t="str">
        <f t="shared" si="7"/>
        <v/>
      </c>
    </row>
    <row r="58" spans="19:49">
      <c r="S58" s="568"/>
      <c r="T58" s="414"/>
      <c r="U58" s="661" t="str">
        <f t="shared" si="1"/>
        <v>Dimensión_</v>
      </c>
      <c r="V58" s="414"/>
      <c r="W58" s="568"/>
      <c r="X58" s="449" t="str">
        <f>IFERROR(IF(VLOOKUP(B58,'Matriz de Referencia'!$B$2:$CO$584,'Matriz de Referencia'!AM$1,FALSE)&gt;0,"Diligenciar la vigencia, tiene presupuesto programado","No diligenciar, no programo presupuesto"),"")</f>
        <v/>
      </c>
      <c r="Y58" s="649"/>
      <c r="Z58" s="649"/>
      <c r="AA58" s="649"/>
      <c r="AB58" s="649"/>
      <c r="AC58" s="650" t="str">
        <f>IFERROR(IF(#REF!="Mantenimiento", AVERAGE(Y58:AB58), IF($AX58="Incremento", SUM(Y58:AB58), "")),"")</f>
        <v/>
      </c>
      <c r="AD58" s="449" t="str">
        <f>IFERROR(IF(VLOOKUP($B58,'Matriz de Referencia'!$B$2:$CO$584,'Matriz de Referencia'!BA$1,FALSE)&gt;0,"Diligenciar la vigencia, tiene presupuesto programado","No diligenciar, no programo presupuesto"),"")</f>
        <v/>
      </c>
      <c r="AE58" s="627"/>
      <c r="AH58" s="627"/>
      <c r="AI58" s="650" t="str">
        <f>IFERROR(IF(#REF!="Mantenimiento", AVERAGE(AE58:AH58), IF(#REF!="Incremento", SUM(AE58:AH58), "")),"")</f>
        <v/>
      </c>
      <c r="AJ58" s="449" t="str">
        <f>IFERROR(IF(VLOOKUP($B58,'Matriz de Referencia'!$B$2:$CO$584,'Matriz de Referencia'!BO$1,FALSE)&gt;0,"Diligenciar la vigencia, tiene presupuesto programado","No diligenciar, no programo presupuesto"),"")</f>
        <v/>
      </c>
      <c r="AK58" s="627"/>
      <c r="AN58" s="627"/>
      <c r="AO58" s="650" t="str">
        <f t="shared" si="62"/>
        <v/>
      </c>
      <c r="AP58" s="449" t="str">
        <f>IFERROR(IF(VLOOKUP($B58,'Matriz de Referencia'!$B$2:$CO$584,'Matriz de Referencia'!CC$1,FALSE)&gt;0,"Diligenciar la vigencia, tiene presupuesto programado","No diligenciar, no programo presupuesto"),"")</f>
        <v/>
      </c>
      <c r="AQ58" s="627"/>
      <c r="AT58" s="627"/>
      <c r="AU58" s="650" t="str">
        <f t="shared" si="63"/>
        <v/>
      </c>
      <c r="AV58" s="448" t="str">
        <f t="shared" si="6"/>
        <v/>
      </c>
      <c r="AW58" s="416" t="str">
        <f t="shared" si="7"/>
        <v/>
      </c>
    </row>
    <row r="59" spans="19:49">
      <c r="S59" s="568"/>
      <c r="T59" s="414"/>
      <c r="U59" s="661" t="str">
        <f t="shared" si="1"/>
        <v>Dimensión_</v>
      </c>
      <c r="V59" s="414"/>
      <c r="W59" s="568"/>
      <c r="X59" s="449" t="str">
        <f>IFERROR(IF(VLOOKUP(B59,'Matriz de Referencia'!$B$2:$CO$584,'Matriz de Referencia'!AM$1,FALSE)&gt;0,"Diligenciar la vigencia, tiene presupuesto programado","No diligenciar, no programo presupuesto"),"")</f>
        <v/>
      </c>
      <c r="Y59" s="649"/>
      <c r="Z59" s="649"/>
      <c r="AA59" s="649"/>
      <c r="AB59" s="649"/>
      <c r="AC59" s="650" t="str">
        <f>IFERROR(IF(#REF!="Mantenimiento", AVERAGE(Y59:AB59), IF($AX59="Incremento", SUM(Y59:AB59), "")),"")</f>
        <v/>
      </c>
      <c r="AD59" s="449" t="str">
        <f>IFERROR(IF(VLOOKUP($B59,'Matriz de Referencia'!$B$2:$CO$584,'Matriz de Referencia'!BA$1,FALSE)&gt;0,"Diligenciar la vigencia, tiene presupuesto programado","No diligenciar, no programo presupuesto"),"")</f>
        <v/>
      </c>
      <c r="AE59" s="627"/>
      <c r="AH59" s="627"/>
      <c r="AI59" s="650" t="str">
        <f>IFERROR(IF(#REF!="Mantenimiento", AVERAGE(AE59:AH59), IF(#REF!="Incremento", SUM(AE59:AH59), "")),"")</f>
        <v/>
      </c>
      <c r="AJ59" s="449" t="str">
        <f>IFERROR(IF(VLOOKUP($B59,'Matriz de Referencia'!$B$2:$CO$584,'Matriz de Referencia'!BO$1,FALSE)&gt;0,"Diligenciar la vigencia, tiene presupuesto programado","No diligenciar, no programo presupuesto"),"")</f>
        <v/>
      </c>
      <c r="AK59" s="627"/>
      <c r="AN59" s="627"/>
      <c r="AO59" s="650" t="str">
        <f t="shared" si="62"/>
        <v/>
      </c>
      <c r="AP59" s="449" t="str">
        <f>IFERROR(IF(VLOOKUP($B59,'Matriz de Referencia'!$B$2:$CO$584,'Matriz de Referencia'!CC$1,FALSE)&gt;0,"Diligenciar la vigencia, tiene presupuesto programado","No diligenciar, no programo presupuesto"),"")</f>
        <v/>
      </c>
      <c r="AQ59" s="627"/>
      <c r="AT59" s="627"/>
      <c r="AU59" s="650" t="str">
        <f t="shared" si="63"/>
        <v/>
      </c>
      <c r="AV59" s="448" t="str">
        <f t="shared" si="6"/>
        <v/>
      </c>
      <c r="AW59" s="416" t="str">
        <f t="shared" si="7"/>
        <v/>
      </c>
    </row>
    <row r="60" spans="19:49">
      <c r="S60" s="568"/>
      <c r="T60" s="414"/>
      <c r="U60" s="661" t="str">
        <f t="shared" si="1"/>
        <v>Dimensión_</v>
      </c>
      <c r="V60" s="414"/>
      <c r="W60" s="568"/>
      <c r="X60" s="449" t="str">
        <f>IFERROR(IF(VLOOKUP(B60,'Matriz de Referencia'!$B$2:$CO$584,'Matriz de Referencia'!AM$1,FALSE)&gt;0,"Diligenciar la vigencia, tiene presupuesto programado","No diligenciar, no programo presupuesto"),"")</f>
        <v/>
      </c>
      <c r="Y60" s="649"/>
      <c r="Z60" s="649"/>
      <c r="AA60" s="649"/>
      <c r="AB60" s="649"/>
      <c r="AC60" s="650" t="str">
        <f>IFERROR(IF(#REF!="Mantenimiento", AVERAGE(Y60:AB60), IF($AX60="Incremento", SUM(Y60:AB60), "")),"")</f>
        <v/>
      </c>
      <c r="AD60" s="449" t="str">
        <f>IFERROR(IF(VLOOKUP($B60,'Matriz de Referencia'!$B$2:$CO$584,'Matriz de Referencia'!BA$1,FALSE)&gt;0,"Diligenciar la vigencia, tiene presupuesto programado","No diligenciar, no programo presupuesto"),"")</f>
        <v/>
      </c>
      <c r="AE60" s="627"/>
      <c r="AH60" s="627"/>
      <c r="AI60" s="650" t="str">
        <f>IFERROR(IF(#REF!="Mantenimiento", AVERAGE(AE60:AH60), IF(#REF!="Incremento", SUM(AE60:AH60), "")),"")</f>
        <v/>
      </c>
      <c r="AJ60" s="449" t="str">
        <f>IFERROR(IF(VLOOKUP($B60,'Matriz de Referencia'!$B$2:$CO$584,'Matriz de Referencia'!BO$1,FALSE)&gt;0,"Diligenciar la vigencia, tiene presupuesto programado","No diligenciar, no programo presupuesto"),"")</f>
        <v/>
      </c>
      <c r="AK60" s="627"/>
      <c r="AN60" s="627"/>
      <c r="AO60" s="650" t="str">
        <f t="shared" si="62"/>
        <v/>
      </c>
      <c r="AP60" s="449" t="str">
        <f>IFERROR(IF(VLOOKUP($B60,'Matriz de Referencia'!$B$2:$CO$584,'Matriz de Referencia'!CC$1,FALSE)&gt;0,"Diligenciar la vigencia, tiene presupuesto programado","No diligenciar, no programo presupuesto"),"")</f>
        <v/>
      </c>
      <c r="AQ60" s="627"/>
      <c r="AT60" s="627"/>
      <c r="AU60" s="650" t="str">
        <f t="shared" si="63"/>
        <v/>
      </c>
      <c r="AV60" s="448" t="str">
        <f t="shared" si="6"/>
        <v/>
      </c>
      <c r="AW60" s="416" t="str">
        <f t="shared" si="7"/>
        <v/>
      </c>
    </row>
    <row r="61" spans="19:49">
      <c r="S61" s="568"/>
      <c r="T61" s="414"/>
      <c r="U61" s="661" t="str">
        <f t="shared" si="1"/>
        <v>Dimensión_</v>
      </c>
      <c r="V61" s="414"/>
      <c r="W61" s="568"/>
      <c r="X61" s="449" t="str">
        <f>IFERROR(IF(VLOOKUP(B61,'Matriz de Referencia'!$B$2:$CO$584,'Matriz de Referencia'!AM$1,FALSE)&gt;0,"Diligenciar la vigencia, tiene presupuesto programado","No diligenciar, no programo presupuesto"),"")</f>
        <v/>
      </c>
      <c r="Y61" s="649"/>
      <c r="Z61" s="649"/>
      <c r="AA61" s="649"/>
      <c r="AB61" s="649"/>
      <c r="AC61" s="650" t="str">
        <f>IFERROR(IF(#REF!="Mantenimiento", AVERAGE(Y61:AB61), IF($AX61="Incremento", SUM(Y61:AB61), "")),"")</f>
        <v/>
      </c>
      <c r="AD61" s="449" t="str">
        <f>IFERROR(IF(VLOOKUP($B61,'Matriz de Referencia'!$B$2:$CO$584,'Matriz de Referencia'!BA$1,FALSE)&gt;0,"Diligenciar la vigencia, tiene presupuesto programado","No diligenciar, no programo presupuesto"),"")</f>
        <v/>
      </c>
      <c r="AE61" s="627"/>
      <c r="AH61" s="627"/>
      <c r="AI61" s="650" t="str">
        <f>IFERROR(IF(#REF!="Mantenimiento", AVERAGE(AE61:AH61), IF(#REF!="Incremento", SUM(AE61:AH61), "")),"")</f>
        <v/>
      </c>
      <c r="AJ61" s="449" t="str">
        <f>IFERROR(IF(VLOOKUP($B61,'Matriz de Referencia'!$B$2:$CO$584,'Matriz de Referencia'!BO$1,FALSE)&gt;0,"Diligenciar la vigencia, tiene presupuesto programado","No diligenciar, no programo presupuesto"),"")</f>
        <v/>
      </c>
      <c r="AK61" s="627"/>
      <c r="AN61" s="627"/>
      <c r="AO61" s="650" t="str">
        <f t="shared" si="62"/>
        <v/>
      </c>
      <c r="AP61" s="449" t="str">
        <f>IFERROR(IF(VLOOKUP($B61,'Matriz de Referencia'!$B$2:$CO$584,'Matriz de Referencia'!CC$1,FALSE)&gt;0,"Diligenciar la vigencia, tiene presupuesto programado","No diligenciar, no programo presupuesto"),"")</f>
        <v/>
      </c>
      <c r="AQ61" s="627"/>
      <c r="AT61" s="627"/>
      <c r="AU61" s="650" t="str">
        <f t="shared" si="63"/>
        <v/>
      </c>
      <c r="AV61" s="448" t="str">
        <f t="shared" si="6"/>
        <v/>
      </c>
      <c r="AW61" s="416" t="str">
        <f t="shared" si="7"/>
        <v/>
      </c>
    </row>
    <row r="62" spans="19:49">
      <c r="S62" s="568"/>
      <c r="T62" s="414"/>
      <c r="U62" s="661" t="str">
        <f t="shared" si="1"/>
        <v>Dimensión_</v>
      </c>
      <c r="V62" s="414"/>
      <c r="W62" s="568"/>
      <c r="X62" s="449" t="str">
        <f>IFERROR(IF(VLOOKUP(B62,'Matriz de Referencia'!$B$2:$CO$584,'Matriz de Referencia'!AM$1,FALSE)&gt;0,"Diligenciar la vigencia, tiene presupuesto programado","No diligenciar, no programo presupuesto"),"")</f>
        <v/>
      </c>
      <c r="Y62" s="649"/>
      <c r="Z62" s="649"/>
      <c r="AA62" s="649"/>
      <c r="AB62" s="649"/>
      <c r="AC62" s="650" t="str">
        <f>IFERROR(IF(#REF!="Mantenimiento", AVERAGE(Y62:AB62), IF($AX62="Incremento", SUM(Y62:AB62), "")),"")</f>
        <v/>
      </c>
      <c r="AD62" s="449" t="str">
        <f>IFERROR(IF(VLOOKUP($B62,'Matriz de Referencia'!$B$2:$CO$584,'Matriz de Referencia'!BA$1,FALSE)&gt;0,"Diligenciar la vigencia, tiene presupuesto programado","No diligenciar, no programo presupuesto"),"")</f>
        <v/>
      </c>
      <c r="AE62" s="627"/>
      <c r="AH62" s="627"/>
      <c r="AI62" s="650" t="str">
        <f>IFERROR(IF(#REF!="Mantenimiento", AVERAGE(AE62:AH62), IF(#REF!="Incremento", SUM(AE62:AH62), "")),"")</f>
        <v/>
      </c>
      <c r="AJ62" s="449" t="str">
        <f>IFERROR(IF(VLOOKUP($B62,'Matriz de Referencia'!$B$2:$CO$584,'Matriz de Referencia'!BO$1,FALSE)&gt;0,"Diligenciar la vigencia, tiene presupuesto programado","No diligenciar, no programo presupuesto"),"")</f>
        <v/>
      </c>
      <c r="AK62" s="627"/>
      <c r="AN62" s="627"/>
      <c r="AO62" s="650" t="str">
        <f t="shared" si="62"/>
        <v/>
      </c>
      <c r="AP62" s="449" t="str">
        <f>IFERROR(IF(VLOOKUP($B62,'Matriz de Referencia'!$B$2:$CO$584,'Matriz de Referencia'!CC$1,FALSE)&gt;0,"Diligenciar la vigencia, tiene presupuesto programado","No diligenciar, no programo presupuesto"),"")</f>
        <v/>
      </c>
      <c r="AQ62" s="627"/>
      <c r="AT62" s="627"/>
      <c r="AU62" s="650" t="str">
        <f t="shared" si="63"/>
        <v/>
      </c>
      <c r="AV62" s="448" t="str">
        <f t="shared" si="6"/>
        <v/>
      </c>
      <c r="AW62" s="416" t="str">
        <f t="shared" si="7"/>
        <v/>
      </c>
    </row>
    <row r="63" spans="19:49">
      <c r="S63" s="568"/>
      <c r="T63" s="414"/>
      <c r="U63" s="661" t="str">
        <f t="shared" si="1"/>
        <v>Dimensión_</v>
      </c>
      <c r="V63" s="414"/>
      <c r="W63" s="568"/>
      <c r="X63" s="449" t="str">
        <f>IFERROR(IF(VLOOKUP(B63,'Matriz de Referencia'!$B$2:$CO$584,'Matriz de Referencia'!AM$1,FALSE)&gt;0,"Diligenciar la vigencia, tiene presupuesto programado","No diligenciar, no programo presupuesto"),"")</f>
        <v/>
      </c>
      <c r="Y63" s="649"/>
      <c r="Z63" s="649"/>
      <c r="AA63" s="649"/>
      <c r="AB63" s="649"/>
      <c r="AC63" s="650" t="str">
        <f>IFERROR(IF(#REF!="Mantenimiento", AVERAGE(Y63:AB63), IF($AX63="Incremento", SUM(Y63:AB63), "")),"")</f>
        <v/>
      </c>
      <c r="AD63" s="449" t="str">
        <f>IFERROR(IF(VLOOKUP($B63,'Matriz de Referencia'!$B$2:$CO$584,'Matriz de Referencia'!BA$1,FALSE)&gt;0,"Diligenciar la vigencia, tiene presupuesto programado","No diligenciar, no programo presupuesto"),"")</f>
        <v/>
      </c>
      <c r="AE63" s="627"/>
      <c r="AH63" s="627"/>
      <c r="AI63" s="650" t="str">
        <f>IFERROR(IF(#REF!="Mantenimiento", AVERAGE(AE63:AH63), IF(#REF!="Incremento", SUM(AE63:AH63), "")),"")</f>
        <v/>
      </c>
      <c r="AJ63" s="449" t="str">
        <f>IFERROR(IF(VLOOKUP($B63,'Matriz de Referencia'!$B$2:$CO$584,'Matriz de Referencia'!BO$1,FALSE)&gt;0,"Diligenciar la vigencia, tiene presupuesto programado","No diligenciar, no programo presupuesto"),"")</f>
        <v/>
      </c>
      <c r="AK63" s="627"/>
      <c r="AN63" s="627"/>
      <c r="AO63" s="650" t="str">
        <f t="shared" si="62"/>
        <v/>
      </c>
      <c r="AP63" s="449" t="str">
        <f>IFERROR(IF(VLOOKUP($B63,'Matriz de Referencia'!$B$2:$CO$584,'Matriz de Referencia'!CC$1,FALSE)&gt;0,"Diligenciar la vigencia, tiene presupuesto programado","No diligenciar, no programo presupuesto"),"")</f>
        <v/>
      </c>
      <c r="AQ63" s="627"/>
      <c r="AT63" s="627"/>
      <c r="AU63" s="650" t="str">
        <f t="shared" si="63"/>
        <v/>
      </c>
      <c r="AV63" s="448" t="str">
        <f t="shared" si="6"/>
        <v/>
      </c>
      <c r="AW63" s="416" t="str">
        <f t="shared" si="7"/>
        <v/>
      </c>
    </row>
    <row r="64" spans="19:49">
      <c r="S64" s="568"/>
      <c r="T64" s="414"/>
      <c r="U64" s="661" t="str">
        <f t="shared" si="1"/>
        <v>Dimensión_</v>
      </c>
      <c r="V64" s="414"/>
      <c r="W64" s="568"/>
      <c r="X64" s="449" t="str">
        <f>IFERROR(IF(VLOOKUP(B64,'Matriz de Referencia'!$B$2:$CO$584,'Matriz de Referencia'!AM$1,FALSE)&gt;0,"Diligenciar la vigencia, tiene presupuesto programado","No diligenciar, no programo presupuesto"),"")</f>
        <v/>
      </c>
      <c r="Y64" s="649"/>
      <c r="Z64" s="649"/>
      <c r="AA64" s="649"/>
      <c r="AB64" s="649"/>
      <c r="AC64" s="650" t="str">
        <f>IFERROR(IF(#REF!="Mantenimiento", AVERAGE(Y64:AB64), IF($AX64="Incremento", SUM(Y64:AB64), "")),"")</f>
        <v/>
      </c>
      <c r="AD64" s="449" t="str">
        <f>IFERROR(IF(VLOOKUP($B64,'Matriz de Referencia'!$B$2:$CO$584,'Matriz de Referencia'!BA$1,FALSE)&gt;0,"Diligenciar la vigencia, tiene presupuesto programado","No diligenciar, no programo presupuesto"),"")</f>
        <v/>
      </c>
      <c r="AE64" s="627"/>
      <c r="AH64" s="627"/>
      <c r="AI64" s="650" t="str">
        <f>IFERROR(IF(#REF!="Mantenimiento", AVERAGE(AE64:AH64), IF(#REF!="Incremento", SUM(AE64:AH64), "")),"")</f>
        <v/>
      </c>
      <c r="AJ64" s="449" t="str">
        <f>IFERROR(IF(VLOOKUP($B64,'Matriz de Referencia'!$B$2:$CO$584,'Matriz de Referencia'!BO$1,FALSE)&gt;0,"Diligenciar la vigencia, tiene presupuesto programado","No diligenciar, no programo presupuesto"),"")</f>
        <v/>
      </c>
      <c r="AK64" s="627"/>
      <c r="AN64" s="627"/>
      <c r="AO64" s="650" t="str">
        <f t="shared" si="62"/>
        <v/>
      </c>
      <c r="AP64" s="449" t="str">
        <f>IFERROR(IF(VLOOKUP($B64,'Matriz de Referencia'!$B$2:$CO$584,'Matriz de Referencia'!CC$1,FALSE)&gt;0,"Diligenciar la vigencia, tiene presupuesto programado","No diligenciar, no programo presupuesto"),"")</f>
        <v/>
      </c>
      <c r="AQ64" s="627"/>
      <c r="AT64" s="627"/>
      <c r="AU64" s="650" t="str">
        <f t="shared" si="63"/>
        <v/>
      </c>
      <c r="AV64" s="448" t="str">
        <f t="shared" si="6"/>
        <v/>
      </c>
      <c r="AW64" s="416" t="str">
        <f t="shared" si="7"/>
        <v/>
      </c>
    </row>
    <row r="65" spans="19:49">
      <c r="S65" s="568"/>
      <c r="T65" s="414"/>
      <c r="U65" s="661" t="str">
        <f t="shared" si="1"/>
        <v>Dimensión_</v>
      </c>
      <c r="V65" s="414"/>
      <c r="W65" s="568"/>
      <c r="X65" s="449" t="str">
        <f>IFERROR(IF(VLOOKUP(B65,'Matriz de Referencia'!$B$2:$CO$584,'Matriz de Referencia'!AM$1,FALSE)&gt;0,"Diligenciar la vigencia, tiene presupuesto programado","No diligenciar, no programo presupuesto"),"")</f>
        <v/>
      </c>
      <c r="Y65" s="649"/>
      <c r="Z65" s="649"/>
      <c r="AA65" s="649"/>
      <c r="AB65" s="649"/>
      <c r="AC65" s="650" t="str">
        <f>IFERROR(IF(#REF!="Mantenimiento", AVERAGE(Y65:AB65), IF($AX65="Incremento", SUM(Y65:AB65), "")),"")</f>
        <v/>
      </c>
      <c r="AD65" s="449" t="str">
        <f>IFERROR(IF(VLOOKUP($B65,'Matriz de Referencia'!$B$2:$CO$584,'Matriz de Referencia'!BA$1,FALSE)&gt;0,"Diligenciar la vigencia, tiene presupuesto programado","No diligenciar, no programo presupuesto"),"")</f>
        <v/>
      </c>
      <c r="AE65" s="627"/>
      <c r="AH65" s="627"/>
      <c r="AI65" s="650" t="str">
        <f>IFERROR(IF(#REF!="Mantenimiento", AVERAGE(AE65:AH65), IF(#REF!="Incremento", SUM(AE65:AH65), "")),"")</f>
        <v/>
      </c>
      <c r="AJ65" s="449" t="str">
        <f>IFERROR(IF(VLOOKUP($B65,'Matriz de Referencia'!$B$2:$CO$584,'Matriz de Referencia'!BO$1,FALSE)&gt;0,"Diligenciar la vigencia, tiene presupuesto programado","No diligenciar, no programo presupuesto"),"")</f>
        <v/>
      </c>
      <c r="AK65" s="627"/>
      <c r="AN65" s="627"/>
      <c r="AO65" s="650" t="str">
        <f t="shared" si="62"/>
        <v/>
      </c>
      <c r="AP65" s="449" t="str">
        <f>IFERROR(IF(VLOOKUP($B65,'Matriz de Referencia'!$B$2:$CO$584,'Matriz de Referencia'!CC$1,FALSE)&gt;0,"Diligenciar la vigencia, tiene presupuesto programado","No diligenciar, no programo presupuesto"),"")</f>
        <v/>
      </c>
      <c r="AQ65" s="627"/>
      <c r="AT65" s="627"/>
      <c r="AU65" s="650" t="str">
        <f t="shared" si="63"/>
        <v/>
      </c>
      <c r="AV65" s="448" t="str">
        <f t="shared" si="6"/>
        <v/>
      </c>
      <c r="AW65" s="416" t="str">
        <f t="shared" si="7"/>
        <v/>
      </c>
    </row>
    <row r="66" spans="19:49">
      <c r="S66" s="568"/>
      <c r="T66" s="414"/>
      <c r="U66" s="661" t="str">
        <f t="shared" si="1"/>
        <v>Dimensión_</v>
      </c>
      <c r="V66" s="414"/>
      <c r="W66" s="568"/>
      <c r="X66" s="449" t="str">
        <f>IFERROR(IF(VLOOKUP(B66,'Matriz de Referencia'!$B$2:$CO$584,'Matriz de Referencia'!AM$1,FALSE)&gt;0,"Diligenciar la vigencia, tiene presupuesto programado","No diligenciar, no programo presupuesto"),"")</f>
        <v/>
      </c>
      <c r="Y66" s="649"/>
      <c r="Z66" s="649"/>
      <c r="AA66" s="649"/>
      <c r="AB66" s="649"/>
      <c r="AC66" s="650" t="str">
        <f>IFERROR(IF(#REF!="Mantenimiento", AVERAGE(Y66:AB66), IF($AX66="Incremento", SUM(Y66:AB66), "")),"")</f>
        <v/>
      </c>
      <c r="AD66" s="449" t="str">
        <f>IFERROR(IF(VLOOKUP($B66,'Matriz de Referencia'!$B$2:$CO$584,'Matriz de Referencia'!BA$1,FALSE)&gt;0,"Diligenciar la vigencia, tiene presupuesto programado","No diligenciar, no programo presupuesto"),"")</f>
        <v/>
      </c>
      <c r="AE66" s="627"/>
      <c r="AH66" s="627"/>
      <c r="AI66" s="650" t="str">
        <f>IFERROR(IF(#REF!="Mantenimiento", AVERAGE(AE66:AH66), IF(#REF!="Incremento", SUM(AE66:AH66), "")),"")</f>
        <v/>
      </c>
      <c r="AJ66" s="449" t="str">
        <f>IFERROR(IF(VLOOKUP($B66,'Matriz de Referencia'!$B$2:$CO$584,'Matriz de Referencia'!BO$1,FALSE)&gt;0,"Diligenciar la vigencia, tiene presupuesto programado","No diligenciar, no programo presupuesto"),"")</f>
        <v/>
      </c>
      <c r="AK66" s="627"/>
      <c r="AN66" s="627"/>
      <c r="AO66" s="650" t="str">
        <f t="shared" ref="AO66:AO98" si="64">IFERROR(IF($AX66="Mantenimiento", AVERAGE(AK66:AN66), IF($AX66="Incremento", SUM(AK66:AN66), "")),"")</f>
        <v/>
      </c>
      <c r="AP66" s="449" t="str">
        <f>IFERROR(IF(VLOOKUP($B66,'Matriz de Referencia'!$B$2:$CO$584,'Matriz de Referencia'!CC$1,FALSE)&gt;0,"Diligenciar la vigencia, tiene presupuesto programado","No diligenciar, no programo presupuesto"),"")</f>
        <v/>
      </c>
      <c r="AQ66" s="627"/>
      <c r="AT66" s="627"/>
      <c r="AU66" s="650" t="str">
        <f t="shared" ref="AU66:AU98" si="65">IFERROR(IF($AX66="Mantenimiento", AVERAGE(AQ66:AT66), IF($AX66="Incremento", SUM(AQ66:AT66), "")),"")</f>
        <v/>
      </c>
      <c r="AV66" s="448" t="str">
        <f t="shared" si="6"/>
        <v/>
      </c>
      <c r="AW66" s="416" t="str">
        <f t="shared" si="7"/>
        <v/>
      </c>
    </row>
    <row r="67" spans="19:49">
      <c r="S67" s="568"/>
      <c r="T67" s="414"/>
      <c r="U67" s="661" t="str">
        <f t="shared" ref="U67:U98" si="66">"Dimensión_"&amp;MID(T67,11,1)</f>
        <v>Dimensión_</v>
      </c>
      <c r="V67" s="414"/>
      <c r="W67" s="568"/>
      <c r="X67" s="449" t="str">
        <f>IFERROR(IF(VLOOKUP(B67,'Matriz de Referencia'!$B$2:$CO$584,'Matriz de Referencia'!AM$1,FALSE)&gt;0,"Diligenciar la vigencia, tiene presupuesto programado","No diligenciar, no programo presupuesto"),"")</f>
        <v/>
      </c>
      <c r="Y67" s="649"/>
      <c r="Z67" s="649"/>
      <c r="AA67" s="649"/>
      <c r="AB67" s="649"/>
      <c r="AC67" s="650" t="str">
        <f>IFERROR(IF(#REF!="Mantenimiento", AVERAGE(Y67:AB67), IF($AX67="Incremento", SUM(Y67:AB67), "")),"")</f>
        <v/>
      </c>
      <c r="AD67" s="449" t="str">
        <f>IFERROR(IF(VLOOKUP($B67,'Matriz de Referencia'!$B$2:$CO$584,'Matriz de Referencia'!BA$1,FALSE)&gt;0,"Diligenciar la vigencia, tiene presupuesto programado","No diligenciar, no programo presupuesto"),"")</f>
        <v/>
      </c>
      <c r="AE67" s="627"/>
      <c r="AH67" s="627"/>
      <c r="AI67" s="650" t="str">
        <f>IFERROR(IF(#REF!="Mantenimiento", AVERAGE(AE67:AH67), IF(#REF!="Incremento", SUM(AE67:AH67), "")),"")</f>
        <v/>
      </c>
      <c r="AJ67" s="449" t="str">
        <f>IFERROR(IF(VLOOKUP($B67,'Matriz de Referencia'!$B$2:$CO$584,'Matriz de Referencia'!BO$1,FALSE)&gt;0,"Diligenciar la vigencia, tiene presupuesto programado","No diligenciar, no programo presupuesto"),"")</f>
        <v/>
      </c>
      <c r="AK67" s="627"/>
      <c r="AN67" s="627"/>
      <c r="AO67" s="650" t="str">
        <f t="shared" si="64"/>
        <v/>
      </c>
      <c r="AP67" s="449" t="str">
        <f>IFERROR(IF(VLOOKUP($B67,'Matriz de Referencia'!$B$2:$CO$584,'Matriz de Referencia'!CC$1,FALSE)&gt;0,"Diligenciar la vigencia, tiene presupuesto programado","No diligenciar, no programo presupuesto"),"")</f>
        <v/>
      </c>
      <c r="AQ67" s="627"/>
      <c r="AT67" s="627"/>
      <c r="AU67" s="650" t="str">
        <f t="shared" si="65"/>
        <v/>
      </c>
      <c r="AV67" s="448" t="str">
        <f t="shared" ref="AV67:AV98" si="67">IFERROR(IF(Z67="Incremento",AU67+AO67+AI67+AC67,AVERAGE(AU67,AO67,AI67,AC67)),"")</f>
        <v/>
      </c>
      <c r="AW67" s="416" t="str">
        <f t="shared" ref="AW67:AW98" si="68">IF(AV67="","",IF(D67="Incremento",IF(AV67=(O67-Q67),"Continue",IF(D67="Mantenimiento",IF(AV67=Q67,"Continue","Su Programación es diferente a la meta, revise para continuar"),"Su Programación es diferente a la meta, revise para continuar"))))</f>
        <v/>
      </c>
    </row>
    <row r="68" spans="19:49">
      <c r="S68" s="568"/>
      <c r="T68" s="414"/>
      <c r="U68" s="661" t="str">
        <f t="shared" si="66"/>
        <v>Dimensión_</v>
      </c>
      <c r="V68" s="414"/>
      <c r="W68" s="568"/>
      <c r="X68" s="449" t="str">
        <f>IFERROR(IF(VLOOKUP(B68,'Matriz de Referencia'!$B$2:$CO$584,'Matriz de Referencia'!AM$1,FALSE)&gt;0,"Diligenciar la vigencia, tiene presupuesto programado","No diligenciar, no programo presupuesto"),"")</f>
        <v/>
      </c>
      <c r="Y68" s="649"/>
      <c r="Z68" s="649"/>
      <c r="AA68" s="649"/>
      <c r="AB68" s="649"/>
      <c r="AC68" s="650" t="str">
        <f>IFERROR(IF(#REF!="Mantenimiento", AVERAGE(Y68:AB68), IF($AX68="Incremento", SUM(Y68:AB68), "")),"")</f>
        <v/>
      </c>
      <c r="AD68" s="449" t="str">
        <f>IFERROR(IF(VLOOKUP($B68,'Matriz de Referencia'!$B$2:$CO$584,'Matriz de Referencia'!BA$1,FALSE)&gt;0,"Diligenciar la vigencia, tiene presupuesto programado","No diligenciar, no programo presupuesto"),"")</f>
        <v/>
      </c>
      <c r="AE68" s="627"/>
      <c r="AH68" s="627"/>
      <c r="AI68" s="650" t="str">
        <f>IFERROR(IF(#REF!="Mantenimiento", AVERAGE(AE68:AH68), IF(#REF!="Incremento", SUM(AE68:AH68), "")),"")</f>
        <v/>
      </c>
      <c r="AJ68" s="449" t="str">
        <f>IFERROR(IF(VLOOKUP($B68,'Matriz de Referencia'!$B$2:$CO$584,'Matriz de Referencia'!BO$1,FALSE)&gt;0,"Diligenciar la vigencia, tiene presupuesto programado","No diligenciar, no programo presupuesto"),"")</f>
        <v/>
      </c>
      <c r="AK68" s="627"/>
      <c r="AN68" s="627"/>
      <c r="AO68" s="650" t="str">
        <f t="shared" si="64"/>
        <v/>
      </c>
      <c r="AP68" s="449" t="str">
        <f>IFERROR(IF(VLOOKUP($B68,'Matriz de Referencia'!$B$2:$CO$584,'Matriz de Referencia'!CC$1,FALSE)&gt;0,"Diligenciar la vigencia, tiene presupuesto programado","No diligenciar, no programo presupuesto"),"")</f>
        <v/>
      </c>
      <c r="AQ68" s="627"/>
      <c r="AT68" s="627"/>
      <c r="AU68" s="650" t="str">
        <f t="shared" si="65"/>
        <v/>
      </c>
      <c r="AV68" s="448" t="str">
        <f t="shared" si="67"/>
        <v/>
      </c>
      <c r="AW68" s="416" t="str">
        <f t="shared" si="68"/>
        <v/>
      </c>
    </row>
    <row r="69" spans="19:49">
      <c r="S69" s="568"/>
      <c r="T69" s="414"/>
      <c r="U69" s="661" t="str">
        <f t="shared" si="66"/>
        <v>Dimensión_</v>
      </c>
      <c r="V69" s="414"/>
      <c r="W69" s="568"/>
      <c r="X69" s="449" t="str">
        <f>IFERROR(IF(VLOOKUP(B69,'Matriz de Referencia'!$B$2:$CO$584,'Matriz de Referencia'!AM$1,FALSE)&gt;0,"Diligenciar la vigencia, tiene presupuesto programado","No diligenciar, no programo presupuesto"),"")</f>
        <v/>
      </c>
      <c r="Y69" s="627"/>
      <c r="AC69" s="644" t="str">
        <f t="shared" ref="AC69:AC98" si="69">IFERROR(IF($AX69="Mantenimiento", AVERAGE(Y69:AB69), IF($AX69="Incremento", SUM(Y69:AB69), "")),"")</f>
        <v/>
      </c>
      <c r="AD69" s="449" t="str">
        <f>IFERROR(IF(VLOOKUP($B69,'Matriz de Referencia'!$B$2:$CO$584,'Matriz de Referencia'!BA$1,FALSE)&gt;0,"Diligenciar la vigencia, tiene presupuesto programado","No diligenciar, no programo presupuesto"),"")</f>
        <v/>
      </c>
      <c r="AE69" s="627"/>
      <c r="AH69" s="627"/>
      <c r="AI69" s="650" t="str">
        <f>IFERROR(IF(#REF!="Mantenimiento", AVERAGE(AE69:AH69), IF(#REF!="Incremento", SUM(AE69:AH69), "")),"")</f>
        <v/>
      </c>
      <c r="AJ69" s="449" t="str">
        <f>IFERROR(IF(VLOOKUP($B69,'Matriz de Referencia'!$B$2:$CO$584,'Matriz de Referencia'!BO$1,FALSE)&gt;0,"Diligenciar la vigencia, tiene presupuesto programado","No diligenciar, no programo presupuesto"),"")</f>
        <v/>
      </c>
      <c r="AK69" s="627"/>
      <c r="AN69" s="627"/>
      <c r="AO69" s="650" t="str">
        <f t="shared" si="64"/>
        <v/>
      </c>
      <c r="AP69" s="449" t="str">
        <f>IFERROR(IF(VLOOKUP($B69,'Matriz de Referencia'!$B$2:$CO$584,'Matriz de Referencia'!CC$1,FALSE)&gt;0,"Diligenciar la vigencia, tiene presupuesto programado","No diligenciar, no programo presupuesto"),"")</f>
        <v/>
      </c>
      <c r="AQ69" s="627"/>
      <c r="AT69" s="627"/>
      <c r="AU69" s="650" t="str">
        <f t="shared" si="65"/>
        <v/>
      </c>
      <c r="AV69" s="448" t="str">
        <f t="shared" si="67"/>
        <v/>
      </c>
      <c r="AW69" s="416" t="str">
        <f t="shared" si="68"/>
        <v/>
      </c>
    </row>
    <row r="70" spans="19:49">
      <c r="S70" s="568"/>
      <c r="T70" s="414"/>
      <c r="U70" s="661" t="str">
        <f t="shared" si="66"/>
        <v>Dimensión_</v>
      </c>
      <c r="V70" s="414"/>
      <c r="W70" s="568"/>
      <c r="X70" s="449" t="str">
        <f>IFERROR(IF(VLOOKUP(B70,'Matriz de Referencia'!$B$2:$CO$584,'Matriz de Referencia'!AM$1,FALSE)&gt;0,"Diligenciar la vigencia, tiene presupuesto programado","No diligenciar, no programo presupuesto"),"")</f>
        <v/>
      </c>
      <c r="Y70" s="627"/>
      <c r="AC70" s="644" t="str">
        <f t="shared" si="69"/>
        <v/>
      </c>
      <c r="AD70" s="449" t="str">
        <f>IFERROR(IF(VLOOKUP($B70,'Matriz de Referencia'!$B$2:$CO$584,'Matriz de Referencia'!BA$1,FALSE)&gt;0,"Diligenciar la vigencia, tiene presupuesto programado","No diligenciar, no programo presupuesto"),"")</f>
        <v/>
      </c>
      <c r="AE70" s="627"/>
      <c r="AH70" s="627"/>
      <c r="AI70" s="650" t="str">
        <f>IFERROR(IF(#REF!="Mantenimiento", AVERAGE(AE70:AH70), IF(#REF!="Incremento", SUM(AE70:AH70), "")),"")</f>
        <v/>
      </c>
      <c r="AJ70" s="449" t="str">
        <f>IFERROR(IF(VLOOKUP($B70,'Matriz de Referencia'!$B$2:$CO$584,'Matriz de Referencia'!BO$1,FALSE)&gt;0,"Diligenciar la vigencia, tiene presupuesto programado","No diligenciar, no programo presupuesto"),"")</f>
        <v/>
      </c>
      <c r="AK70" s="627"/>
      <c r="AN70" s="627"/>
      <c r="AO70" s="650" t="str">
        <f t="shared" si="64"/>
        <v/>
      </c>
      <c r="AP70" s="449" t="str">
        <f>IFERROR(IF(VLOOKUP($B70,'Matriz de Referencia'!$B$2:$CO$584,'Matriz de Referencia'!CC$1,FALSE)&gt;0,"Diligenciar la vigencia, tiene presupuesto programado","No diligenciar, no programo presupuesto"),"")</f>
        <v/>
      </c>
      <c r="AQ70" s="627"/>
      <c r="AT70" s="627"/>
      <c r="AU70" s="650" t="str">
        <f t="shared" si="65"/>
        <v/>
      </c>
      <c r="AV70" s="448" t="str">
        <f t="shared" si="67"/>
        <v/>
      </c>
      <c r="AW70" s="416" t="str">
        <f t="shared" si="68"/>
        <v/>
      </c>
    </row>
    <row r="71" spans="19:49">
      <c r="S71" s="568"/>
      <c r="T71" s="414"/>
      <c r="U71" s="661" t="str">
        <f t="shared" si="66"/>
        <v>Dimensión_</v>
      </c>
      <c r="V71" s="414"/>
      <c r="W71" s="568"/>
      <c r="X71" s="449" t="str">
        <f>IFERROR(IF(VLOOKUP(B71,'Matriz de Referencia'!$B$2:$CO$584,'Matriz de Referencia'!AM$1,FALSE)&gt;0,"Diligenciar la vigencia, tiene presupuesto programado","No diligenciar, no programo presupuesto"),"")</f>
        <v/>
      </c>
      <c r="Y71" s="627"/>
      <c r="AC71" s="644" t="str">
        <f t="shared" si="69"/>
        <v/>
      </c>
      <c r="AD71" s="449" t="str">
        <f>IFERROR(IF(VLOOKUP($B71,'Matriz de Referencia'!$B$2:$CO$584,'Matriz de Referencia'!BA$1,FALSE)&gt;0,"Diligenciar la vigencia, tiene presupuesto programado","No diligenciar, no programo presupuesto"),"")</f>
        <v/>
      </c>
      <c r="AE71" s="627"/>
      <c r="AH71" s="627"/>
      <c r="AI71" s="650" t="str">
        <f>IFERROR(IF(#REF!="Mantenimiento", AVERAGE(AE71:AH71), IF(#REF!="Incremento", SUM(AE71:AH71), "")),"")</f>
        <v/>
      </c>
      <c r="AJ71" s="449" t="str">
        <f>IFERROR(IF(VLOOKUP($B71,'Matriz de Referencia'!$B$2:$CO$584,'Matriz de Referencia'!BO$1,FALSE)&gt;0,"Diligenciar la vigencia, tiene presupuesto programado","No diligenciar, no programo presupuesto"),"")</f>
        <v/>
      </c>
      <c r="AK71" s="627"/>
      <c r="AN71" s="627"/>
      <c r="AO71" s="650" t="str">
        <f t="shared" si="64"/>
        <v/>
      </c>
      <c r="AP71" s="449" t="str">
        <f>IFERROR(IF(VLOOKUP($B71,'Matriz de Referencia'!$B$2:$CO$584,'Matriz de Referencia'!CC$1,FALSE)&gt;0,"Diligenciar la vigencia, tiene presupuesto programado","No diligenciar, no programo presupuesto"),"")</f>
        <v/>
      </c>
      <c r="AQ71" s="627"/>
      <c r="AT71" s="627"/>
      <c r="AU71" s="650" t="str">
        <f t="shared" si="65"/>
        <v/>
      </c>
      <c r="AV71" s="448" t="str">
        <f t="shared" si="67"/>
        <v/>
      </c>
      <c r="AW71" s="416" t="str">
        <f t="shared" si="68"/>
        <v/>
      </c>
    </row>
    <row r="72" spans="19:49">
      <c r="S72" s="568"/>
      <c r="T72" s="414"/>
      <c r="U72" s="661" t="str">
        <f t="shared" si="66"/>
        <v>Dimensión_</v>
      </c>
      <c r="V72" s="414"/>
      <c r="W72" s="568"/>
      <c r="X72" s="449" t="str">
        <f>IFERROR(IF(VLOOKUP(B72,'Matriz de Referencia'!$B$2:$CO$584,'Matriz de Referencia'!AM$1,FALSE)&gt;0,"Diligenciar la vigencia, tiene presupuesto programado","No diligenciar, no programo presupuesto"),"")</f>
        <v/>
      </c>
      <c r="Y72" s="627"/>
      <c r="AC72" s="644" t="str">
        <f t="shared" si="69"/>
        <v/>
      </c>
      <c r="AD72" s="449" t="str">
        <f>IFERROR(IF(VLOOKUP($B72,'Matriz de Referencia'!$B$2:$CO$584,'Matriz de Referencia'!BA$1,FALSE)&gt;0,"Diligenciar la vigencia, tiene presupuesto programado","No diligenciar, no programo presupuesto"),"")</f>
        <v/>
      </c>
      <c r="AE72" s="627"/>
      <c r="AH72" s="627"/>
      <c r="AI72" s="650" t="str">
        <f>IFERROR(IF(#REF!="Mantenimiento", AVERAGE(AE72:AH72), IF(#REF!="Incremento", SUM(AE72:AH72), "")),"")</f>
        <v/>
      </c>
      <c r="AJ72" s="449" t="str">
        <f>IFERROR(IF(VLOOKUP($B72,'Matriz de Referencia'!$B$2:$CO$584,'Matriz de Referencia'!BO$1,FALSE)&gt;0,"Diligenciar la vigencia, tiene presupuesto programado","No diligenciar, no programo presupuesto"),"")</f>
        <v/>
      </c>
      <c r="AK72" s="627"/>
      <c r="AN72" s="627"/>
      <c r="AO72" s="650" t="str">
        <f t="shared" si="64"/>
        <v/>
      </c>
      <c r="AP72" s="449" t="str">
        <f>IFERROR(IF(VLOOKUP($B72,'Matriz de Referencia'!$B$2:$CO$584,'Matriz de Referencia'!CC$1,FALSE)&gt;0,"Diligenciar la vigencia, tiene presupuesto programado","No diligenciar, no programo presupuesto"),"")</f>
        <v/>
      </c>
      <c r="AQ72" s="627"/>
      <c r="AT72" s="627"/>
      <c r="AU72" s="650" t="str">
        <f t="shared" si="65"/>
        <v/>
      </c>
      <c r="AV72" s="448" t="str">
        <f t="shared" si="67"/>
        <v/>
      </c>
      <c r="AW72" s="416" t="str">
        <f t="shared" si="68"/>
        <v/>
      </c>
    </row>
    <row r="73" spans="19:49">
      <c r="S73" s="568"/>
      <c r="T73" s="414"/>
      <c r="U73" s="661" t="str">
        <f t="shared" si="66"/>
        <v>Dimensión_</v>
      </c>
      <c r="V73" s="414"/>
      <c r="W73" s="568"/>
      <c r="X73" s="449" t="str">
        <f>IFERROR(IF(VLOOKUP(B73,'Matriz de Referencia'!$B$2:$CO$584,'Matriz de Referencia'!AM$1,FALSE)&gt;0,"Diligenciar la vigencia, tiene presupuesto programado","No diligenciar, no programo presupuesto"),"")</f>
        <v/>
      </c>
      <c r="Y73" s="627"/>
      <c r="AC73" s="644" t="str">
        <f t="shared" si="69"/>
        <v/>
      </c>
      <c r="AD73" s="449" t="str">
        <f>IFERROR(IF(VLOOKUP($B73,'Matriz de Referencia'!$B$2:$CO$584,'Matriz de Referencia'!BA$1,FALSE)&gt;0,"Diligenciar la vigencia, tiene presupuesto programado","No diligenciar, no programo presupuesto"),"")</f>
        <v/>
      </c>
      <c r="AE73" s="627"/>
      <c r="AH73" s="627"/>
      <c r="AI73" s="650" t="str">
        <f>IFERROR(IF(#REF!="Mantenimiento", AVERAGE(AE73:AH73), IF(#REF!="Incremento", SUM(AE73:AH73), "")),"")</f>
        <v/>
      </c>
      <c r="AJ73" s="449" t="str">
        <f>IFERROR(IF(VLOOKUP($B73,'Matriz de Referencia'!$B$2:$CO$584,'Matriz de Referencia'!BO$1,FALSE)&gt;0,"Diligenciar la vigencia, tiene presupuesto programado","No diligenciar, no programo presupuesto"),"")</f>
        <v/>
      </c>
      <c r="AK73" s="627"/>
      <c r="AN73" s="627"/>
      <c r="AO73" s="650" t="str">
        <f t="shared" si="64"/>
        <v/>
      </c>
      <c r="AP73" s="449" t="str">
        <f>IFERROR(IF(VLOOKUP($B73,'Matriz de Referencia'!$B$2:$CO$584,'Matriz de Referencia'!CC$1,FALSE)&gt;0,"Diligenciar la vigencia, tiene presupuesto programado","No diligenciar, no programo presupuesto"),"")</f>
        <v/>
      </c>
      <c r="AQ73" s="627"/>
      <c r="AT73" s="627"/>
      <c r="AU73" s="650" t="str">
        <f t="shared" si="65"/>
        <v/>
      </c>
      <c r="AV73" s="448" t="str">
        <f t="shared" si="67"/>
        <v/>
      </c>
      <c r="AW73" s="416" t="str">
        <f t="shared" si="68"/>
        <v/>
      </c>
    </row>
    <row r="74" spans="19:49">
      <c r="S74" s="568"/>
      <c r="T74" s="414"/>
      <c r="U74" s="661" t="str">
        <f t="shared" si="66"/>
        <v>Dimensión_</v>
      </c>
      <c r="V74" s="414"/>
      <c r="W74" s="568"/>
      <c r="X74" s="449" t="str">
        <f>IFERROR(IF(VLOOKUP(B74,'Matriz de Referencia'!$B$2:$CO$584,'Matriz de Referencia'!AM$1,FALSE)&gt;0,"Diligenciar la vigencia, tiene presupuesto programado","No diligenciar, no programo presupuesto"),"")</f>
        <v/>
      </c>
      <c r="Y74" s="627"/>
      <c r="AC74" s="644" t="str">
        <f t="shared" si="69"/>
        <v/>
      </c>
      <c r="AD74" s="449" t="str">
        <f>IFERROR(IF(VLOOKUP($B74,'Matriz de Referencia'!$B$2:$CO$584,'Matriz de Referencia'!BA$1,FALSE)&gt;0,"Diligenciar la vigencia, tiene presupuesto programado","No diligenciar, no programo presupuesto"),"")</f>
        <v/>
      </c>
      <c r="AE74" s="627"/>
      <c r="AH74" s="627"/>
      <c r="AI74" s="650" t="str">
        <f>IFERROR(IF(#REF!="Mantenimiento", AVERAGE(AE74:AH74), IF(#REF!="Incremento", SUM(AE74:AH74), "")),"")</f>
        <v/>
      </c>
      <c r="AJ74" s="449" t="str">
        <f>IFERROR(IF(VLOOKUP($B74,'Matriz de Referencia'!$B$2:$CO$584,'Matriz de Referencia'!BO$1,FALSE)&gt;0,"Diligenciar la vigencia, tiene presupuesto programado","No diligenciar, no programo presupuesto"),"")</f>
        <v/>
      </c>
      <c r="AK74" s="627"/>
      <c r="AN74" s="627"/>
      <c r="AO74" s="650" t="str">
        <f t="shared" si="64"/>
        <v/>
      </c>
      <c r="AP74" s="449" t="str">
        <f>IFERROR(IF(VLOOKUP($B74,'Matriz de Referencia'!$B$2:$CO$584,'Matriz de Referencia'!CC$1,FALSE)&gt;0,"Diligenciar la vigencia, tiene presupuesto programado","No diligenciar, no programo presupuesto"),"")</f>
        <v/>
      </c>
      <c r="AQ74" s="627"/>
      <c r="AT74" s="627"/>
      <c r="AU74" s="650" t="str">
        <f t="shared" si="65"/>
        <v/>
      </c>
      <c r="AV74" s="448" t="str">
        <f t="shared" si="67"/>
        <v/>
      </c>
      <c r="AW74" s="416" t="str">
        <f t="shared" si="68"/>
        <v/>
      </c>
    </row>
    <row r="75" spans="19:49">
      <c r="S75" s="568"/>
      <c r="T75" s="414"/>
      <c r="U75" s="661" t="str">
        <f t="shared" si="66"/>
        <v>Dimensión_</v>
      </c>
      <c r="V75" s="414"/>
      <c r="W75" s="568"/>
      <c r="X75" s="449" t="str">
        <f>IFERROR(IF(VLOOKUP(B75,'Matriz de Referencia'!$B$2:$CO$584,'Matriz de Referencia'!AM$1,FALSE)&gt;0,"Diligenciar la vigencia, tiene presupuesto programado","No diligenciar, no programo presupuesto"),"")</f>
        <v/>
      </c>
      <c r="Y75" s="627"/>
      <c r="AC75" s="644" t="str">
        <f t="shared" si="69"/>
        <v/>
      </c>
      <c r="AD75" s="449" t="str">
        <f>IFERROR(IF(VLOOKUP($B75,'Matriz de Referencia'!$B$2:$CO$584,'Matriz de Referencia'!BA$1,FALSE)&gt;0,"Diligenciar la vigencia, tiene presupuesto programado","No diligenciar, no programo presupuesto"),"")</f>
        <v/>
      </c>
      <c r="AE75" s="627"/>
      <c r="AH75" s="627"/>
      <c r="AI75" s="650" t="str">
        <f>IFERROR(IF(#REF!="Mantenimiento", AVERAGE(AE75:AH75), IF(#REF!="Incremento", SUM(AE75:AH75), "")),"")</f>
        <v/>
      </c>
      <c r="AJ75" s="449" t="str">
        <f>IFERROR(IF(VLOOKUP($B75,'Matriz de Referencia'!$B$2:$CO$584,'Matriz de Referencia'!BO$1,FALSE)&gt;0,"Diligenciar la vigencia, tiene presupuesto programado","No diligenciar, no programo presupuesto"),"")</f>
        <v/>
      </c>
      <c r="AK75" s="627"/>
      <c r="AN75" s="627"/>
      <c r="AO75" s="650" t="str">
        <f t="shared" si="64"/>
        <v/>
      </c>
      <c r="AP75" s="449" t="str">
        <f>IFERROR(IF(VLOOKUP($B75,'Matriz de Referencia'!$B$2:$CO$584,'Matriz de Referencia'!CC$1,FALSE)&gt;0,"Diligenciar la vigencia, tiene presupuesto programado","No diligenciar, no programo presupuesto"),"")</f>
        <v/>
      </c>
      <c r="AQ75" s="627"/>
      <c r="AT75" s="627"/>
      <c r="AU75" s="650" t="str">
        <f t="shared" si="65"/>
        <v/>
      </c>
      <c r="AV75" s="448" t="str">
        <f t="shared" si="67"/>
        <v/>
      </c>
      <c r="AW75" s="416" t="str">
        <f t="shared" si="68"/>
        <v/>
      </c>
    </row>
    <row r="76" spans="19:49">
      <c r="S76" s="568"/>
      <c r="T76" s="414"/>
      <c r="U76" s="661" t="str">
        <f t="shared" si="66"/>
        <v>Dimensión_</v>
      </c>
      <c r="V76" s="414"/>
      <c r="W76" s="568"/>
      <c r="X76" s="449" t="str">
        <f>IFERROR(IF(VLOOKUP(B76,'Matriz de Referencia'!$B$2:$CO$584,'Matriz de Referencia'!AM$1,FALSE)&gt;0,"Diligenciar la vigencia, tiene presupuesto programado","No diligenciar, no programo presupuesto"),"")</f>
        <v/>
      </c>
      <c r="Y76" s="627"/>
      <c r="AC76" s="644" t="str">
        <f t="shared" si="69"/>
        <v/>
      </c>
      <c r="AD76" s="449" t="str">
        <f>IFERROR(IF(VLOOKUP($B76,'Matriz de Referencia'!$B$2:$CO$584,'Matriz de Referencia'!BA$1,FALSE)&gt;0,"Diligenciar la vigencia, tiene presupuesto programado","No diligenciar, no programo presupuesto"),"")</f>
        <v/>
      </c>
      <c r="AE76" s="627"/>
      <c r="AH76" s="627"/>
      <c r="AI76" s="650" t="str">
        <f>IFERROR(IF(#REF!="Mantenimiento", AVERAGE(AE76:AH76), IF(#REF!="Incremento", SUM(AE76:AH76), "")),"")</f>
        <v/>
      </c>
      <c r="AJ76" s="449" t="str">
        <f>IFERROR(IF(VLOOKUP($B76,'Matriz de Referencia'!$B$2:$CO$584,'Matriz de Referencia'!BO$1,FALSE)&gt;0,"Diligenciar la vigencia, tiene presupuesto programado","No diligenciar, no programo presupuesto"),"")</f>
        <v/>
      </c>
      <c r="AK76" s="627"/>
      <c r="AN76" s="627"/>
      <c r="AO76" s="650" t="str">
        <f t="shared" si="64"/>
        <v/>
      </c>
      <c r="AP76" s="449" t="str">
        <f>IFERROR(IF(VLOOKUP($B76,'Matriz de Referencia'!$B$2:$CO$584,'Matriz de Referencia'!CC$1,FALSE)&gt;0,"Diligenciar la vigencia, tiene presupuesto programado","No diligenciar, no programo presupuesto"),"")</f>
        <v/>
      </c>
      <c r="AQ76" s="627"/>
      <c r="AT76" s="627"/>
      <c r="AU76" s="650" t="str">
        <f t="shared" si="65"/>
        <v/>
      </c>
      <c r="AV76" s="448" t="str">
        <f t="shared" si="67"/>
        <v/>
      </c>
      <c r="AW76" s="416" t="str">
        <f t="shared" si="68"/>
        <v/>
      </c>
    </row>
    <row r="77" spans="19:49">
      <c r="S77" s="568"/>
      <c r="T77" s="414"/>
      <c r="U77" s="661" t="str">
        <f t="shared" si="66"/>
        <v>Dimensión_</v>
      </c>
      <c r="V77" s="414"/>
      <c r="W77" s="568"/>
      <c r="X77" s="449" t="str">
        <f>IFERROR(IF(VLOOKUP(B77,'Matriz de Referencia'!$B$2:$CO$584,'Matriz de Referencia'!AM$1,FALSE)&gt;0,"Diligenciar la vigencia, tiene presupuesto programado","No diligenciar, no programo presupuesto"),"")</f>
        <v/>
      </c>
      <c r="Y77" s="627"/>
      <c r="AC77" s="644" t="str">
        <f t="shared" si="69"/>
        <v/>
      </c>
      <c r="AD77" s="449" t="str">
        <f>IFERROR(IF(VLOOKUP($B77,'Matriz de Referencia'!$B$2:$CO$584,'Matriz de Referencia'!BA$1,FALSE)&gt;0,"Diligenciar la vigencia, tiene presupuesto programado","No diligenciar, no programo presupuesto"),"")</f>
        <v/>
      </c>
      <c r="AE77" s="627"/>
      <c r="AH77" s="627"/>
      <c r="AI77" s="650" t="str">
        <f>IFERROR(IF(#REF!="Mantenimiento", AVERAGE(AE77:AH77), IF(#REF!="Incremento", SUM(AE77:AH77), "")),"")</f>
        <v/>
      </c>
      <c r="AJ77" s="449" t="str">
        <f>IFERROR(IF(VLOOKUP($B77,'Matriz de Referencia'!$B$2:$CO$584,'Matriz de Referencia'!BO$1,FALSE)&gt;0,"Diligenciar la vigencia, tiene presupuesto programado","No diligenciar, no programo presupuesto"),"")</f>
        <v/>
      </c>
      <c r="AK77" s="627"/>
      <c r="AN77" s="627"/>
      <c r="AO77" s="650" t="str">
        <f t="shared" si="64"/>
        <v/>
      </c>
      <c r="AP77" s="449" t="str">
        <f>IFERROR(IF(VLOOKUP($B77,'Matriz de Referencia'!$B$2:$CO$584,'Matriz de Referencia'!CC$1,FALSE)&gt;0,"Diligenciar la vigencia, tiene presupuesto programado","No diligenciar, no programo presupuesto"),"")</f>
        <v/>
      </c>
      <c r="AQ77" s="627"/>
      <c r="AT77" s="627"/>
      <c r="AU77" s="650" t="str">
        <f t="shared" si="65"/>
        <v/>
      </c>
      <c r="AV77" s="448" t="str">
        <f t="shared" si="67"/>
        <v/>
      </c>
      <c r="AW77" s="416" t="str">
        <f t="shared" si="68"/>
        <v/>
      </c>
    </row>
    <row r="78" spans="19:49">
      <c r="S78" s="568"/>
      <c r="T78" s="414"/>
      <c r="U78" s="661" t="str">
        <f t="shared" si="66"/>
        <v>Dimensión_</v>
      </c>
      <c r="V78" s="414"/>
      <c r="W78" s="568"/>
      <c r="X78" s="449" t="str">
        <f>IFERROR(IF(VLOOKUP(B78,'Matriz de Referencia'!$B$2:$CO$584,'Matriz de Referencia'!AM$1,FALSE)&gt;0,"Diligenciar la vigencia, tiene presupuesto programado","No diligenciar, no programo presupuesto"),"")</f>
        <v/>
      </c>
      <c r="Y78" s="627"/>
      <c r="AC78" s="644" t="str">
        <f t="shared" si="69"/>
        <v/>
      </c>
      <c r="AD78" s="449" t="str">
        <f>IFERROR(IF(VLOOKUP($B78,'Matriz de Referencia'!$B$2:$CO$584,'Matriz de Referencia'!BA$1,FALSE)&gt;0,"Diligenciar la vigencia, tiene presupuesto programado","No diligenciar, no programo presupuesto"),"")</f>
        <v/>
      </c>
      <c r="AE78" s="627"/>
      <c r="AH78" s="627"/>
      <c r="AI78" s="650" t="str">
        <f>IFERROR(IF(#REF!="Mantenimiento", AVERAGE(AE78:AH78), IF(#REF!="Incremento", SUM(AE78:AH78), "")),"")</f>
        <v/>
      </c>
      <c r="AJ78" s="449" t="str">
        <f>IFERROR(IF(VLOOKUP($B78,'Matriz de Referencia'!$B$2:$CO$584,'Matriz de Referencia'!BO$1,FALSE)&gt;0,"Diligenciar la vigencia, tiene presupuesto programado","No diligenciar, no programo presupuesto"),"")</f>
        <v/>
      </c>
      <c r="AK78" s="627"/>
      <c r="AN78" s="627"/>
      <c r="AO78" s="650" t="str">
        <f t="shared" si="64"/>
        <v/>
      </c>
      <c r="AP78" s="449" t="str">
        <f>IFERROR(IF(VLOOKUP($B78,'Matriz de Referencia'!$B$2:$CO$584,'Matriz de Referencia'!CC$1,FALSE)&gt;0,"Diligenciar la vigencia, tiene presupuesto programado","No diligenciar, no programo presupuesto"),"")</f>
        <v/>
      </c>
      <c r="AQ78" s="627"/>
      <c r="AT78" s="627"/>
      <c r="AU78" s="650" t="str">
        <f t="shared" si="65"/>
        <v/>
      </c>
      <c r="AV78" s="448" t="str">
        <f t="shared" si="67"/>
        <v/>
      </c>
      <c r="AW78" s="416" t="str">
        <f t="shared" si="68"/>
        <v/>
      </c>
    </row>
    <row r="79" spans="19:49">
      <c r="S79" s="568"/>
      <c r="T79" s="414"/>
      <c r="U79" s="661" t="str">
        <f t="shared" si="66"/>
        <v>Dimensión_</v>
      </c>
      <c r="V79" s="414"/>
      <c r="W79" s="568"/>
      <c r="X79" s="449" t="str">
        <f>IFERROR(IF(VLOOKUP(B79,'Matriz de Referencia'!$B$2:$CO$584,'Matriz de Referencia'!AM$1,FALSE)&gt;0,"Diligenciar la vigencia, tiene presupuesto programado","No diligenciar, no programo presupuesto"),"")</f>
        <v/>
      </c>
      <c r="Y79" s="633"/>
      <c r="Z79" s="633"/>
      <c r="AA79" s="633"/>
      <c r="AB79" s="634"/>
      <c r="AC79" s="646" t="str">
        <f t="shared" si="69"/>
        <v/>
      </c>
      <c r="AD79" s="449" t="str">
        <f>IFERROR(IF(VLOOKUP($B79,'Matriz de Referencia'!$B$2:$CO$584,'Matriz de Referencia'!BA$1,FALSE)&gt;0,"Diligenciar la vigencia, tiene presupuesto programado","No diligenciar, no programo presupuesto"),"")</f>
        <v/>
      </c>
      <c r="AE79" s="633"/>
      <c r="AF79" s="633"/>
      <c r="AG79" s="633"/>
      <c r="AH79" s="633"/>
      <c r="AI79" s="650" t="str">
        <f>IFERROR(IF(#REF!="Mantenimiento", AVERAGE(AE79:AH79), IF(#REF!="Incremento", SUM(AE79:AH79), "")),"")</f>
        <v/>
      </c>
      <c r="AJ79" s="449" t="str">
        <f>IFERROR(IF(VLOOKUP($B79,'Matriz de Referencia'!$B$2:$CO$584,'Matriz de Referencia'!BO$1,FALSE)&gt;0,"Diligenciar la vigencia, tiene presupuesto programado","No diligenciar, no programo presupuesto"),"")</f>
        <v/>
      </c>
      <c r="AK79" s="633"/>
      <c r="AL79" s="633"/>
      <c r="AM79" s="633"/>
      <c r="AN79" s="633"/>
      <c r="AO79" s="650" t="str">
        <f t="shared" si="64"/>
        <v/>
      </c>
      <c r="AP79" s="449" t="str">
        <f>IFERROR(IF(VLOOKUP($B79,'Matriz de Referencia'!$B$2:$CO$584,'Matriz de Referencia'!CC$1,FALSE)&gt;0,"Diligenciar la vigencia, tiene presupuesto programado","No diligenciar, no programo presupuesto"),"")</f>
        <v/>
      </c>
      <c r="AQ79" s="633"/>
      <c r="AR79" s="633"/>
      <c r="AS79" s="633"/>
      <c r="AT79" s="633"/>
      <c r="AU79" s="650" t="str">
        <f t="shared" si="65"/>
        <v/>
      </c>
      <c r="AV79" s="448" t="str">
        <f t="shared" si="67"/>
        <v/>
      </c>
      <c r="AW79" s="416" t="str">
        <f t="shared" si="68"/>
        <v/>
      </c>
    </row>
    <row r="80" spans="19:49">
      <c r="S80" s="568"/>
      <c r="T80" s="414"/>
      <c r="U80" s="661" t="str">
        <f t="shared" si="66"/>
        <v>Dimensión_</v>
      </c>
      <c r="V80" s="414"/>
      <c r="W80" s="568"/>
      <c r="X80" s="449" t="str">
        <f>IFERROR(IF(VLOOKUP(B80,'Matriz de Referencia'!$B$2:$CO$584,'Matriz de Referencia'!AM$1,FALSE)&gt;0,"Diligenciar la vigencia, tiene presupuesto programado","No diligenciar, no programo presupuesto"),"")</f>
        <v/>
      </c>
      <c r="Y80" s="627"/>
      <c r="AC80" s="644" t="str">
        <f t="shared" si="69"/>
        <v/>
      </c>
      <c r="AD80" s="449" t="str">
        <f>IFERROR(IF(VLOOKUP($B80,'Matriz de Referencia'!$B$2:$CO$584,'Matriz de Referencia'!BA$1,FALSE)&gt;0,"Diligenciar la vigencia, tiene presupuesto programado","No diligenciar, no programo presupuesto"),"")</f>
        <v/>
      </c>
      <c r="AE80" s="627"/>
      <c r="AH80" s="627"/>
      <c r="AI80" s="650" t="str">
        <f>IFERROR(IF(#REF!="Mantenimiento", AVERAGE(AE80:AH80), IF(#REF!="Incremento", SUM(AE80:AH80), "")),"")</f>
        <v/>
      </c>
      <c r="AJ80" s="449" t="str">
        <f>IFERROR(IF(VLOOKUP($B80,'Matriz de Referencia'!$B$2:$CO$584,'Matriz de Referencia'!BO$1,FALSE)&gt;0,"Diligenciar la vigencia, tiene presupuesto programado","No diligenciar, no programo presupuesto"),"")</f>
        <v/>
      </c>
      <c r="AK80" s="627"/>
      <c r="AN80" s="627"/>
      <c r="AO80" s="650" t="str">
        <f t="shared" si="64"/>
        <v/>
      </c>
      <c r="AP80" s="449" t="str">
        <f>IFERROR(IF(VLOOKUP($B80,'Matriz de Referencia'!$B$2:$CO$584,'Matriz de Referencia'!CC$1,FALSE)&gt;0,"Diligenciar la vigencia, tiene presupuesto programado","No diligenciar, no programo presupuesto"),"")</f>
        <v/>
      </c>
      <c r="AQ80" s="627"/>
      <c r="AT80" s="627"/>
      <c r="AU80" s="650" t="str">
        <f t="shared" si="65"/>
        <v/>
      </c>
      <c r="AV80" s="448" t="str">
        <f t="shared" si="67"/>
        <v/>
      </c>
      <c r="AW80" s="416" t="str">
        <f t="shared" si="68"/>
        <v/>
      </c>
    </row>
    <row r="81" spans="19:49">
      <c r="S81" s="568"/>
      <c r="T81" s="414"/>
      <c r="U81" s="661" t="str">
        <f t="shared" si="66"/>
        <v>Dimensión_</v>
      </c>
      <c r="V81" s="414"/>
      <c r="W81" s="568"/>
      <c r="X81" s="449" t="str">
        <f>IFERROR(IF(VLOOKUP(B81,'Matriz de Referencia'!$B$2:$CO$584,'Matriz de Referencia'!AM$1,FALSE)&gt;0,"Diligenciar la vigencia, tiene presupuesto programado","No diligenciar, no programo presupuesto"),"")</f>
        <v/>
      </c>
      <c r="Y81" s="627"/>
      <c r="AC81" s="644" t="str">
        <f t="shared" si="69"/>
        <v/>
      </c>
      <c r="AD81" s="449" t="str">
        <f>IFERROR(IF(VLOOKUP($B81,'Matriz de Referencia'!$B$2:$CO$584,'Matriz de Referencia'!BA$1,FALSE)&gt;0,"Diligenciar la vigencia, tiene presupuesto programado","No diligenciar, no programo presupuesto"),"")</f>
        <v/>
      </c>
      <c r="AE81" s="627"/>
      <c r="AH81" s="627"/>
      <c r="AI81" s="650" t="str">
        <f>IFERROR(IF(#REF!="Mantenimiento", AVERAGE(AE81:AH81), IF(#REF!="Incremento", SUM(AE81:AH81), "")),"")</f>
        <v/>
      </c>
      <c r="AJ81" s="449" t="str">
        <f>IFERROR(IF(VLOOKUP($B81,'Matriz de Referencia'!$B$2:$CO$584,'Matriz de Referencia'!BO$1,FALSE)&gt;0,"Diligenciar la vigencia, tiene presupuesto programado","No diligenciar, no programo presupuesto"),"")</f>
        <v/>
      </c>
      <c r="AK81" s="627"/>
      <c r="AN81" s="627"/>
      <c r="AO81" s="650" t="str">
        <f t="shared" si="64"/>
        <v/>
      </c>
      <c r="AP81" s="449" t="str">
        <f>IFERROR(IF(VLOOKUP($B81,'Matriz de Referencia'!$B$2:$CO$584,'Matriz de Referencia'!CC$1,FALSE)&gt;0,"Diligenciar la vigencia, tiene presupuesto programado","No diligenciar, no programo presupuesto"),"")</f>
        <v/>
      </c>
      <c r="AQ81" s="627"/>
      <c r="AT81" s="627"/>
      <c r="AU81" s="650" t="str">
        <f t="shared" si="65"/>
        <v/>
      </c>
      <c r="AV81" s="448" t="str">
        <f t="shared" si="67"/>
        <v/>
      </c>
      <c r="AW81" s="416" t="str">
        <f t="shared" si="68"/>
        <v/>
      </c>
    </row>
    <row r="82" spans="19:49">
      <c r="S82" s="568"/>
      <c r="T82" s="414"/>
      <c r="U82" s="661" t="str">
        <f t="shared" si="66"/>
        <v>Dimensión_</v>
      </c>
      <c r="V82" s="414"/>
      <c r="W82" s="568"/>
      <c r="X82" s="449" t="str">
        <f>IFERROR(IF(VLOOKUP(B82,'Matriz de Referencia'!$B$2:$CO$584,'Matriz de Referencia'!AM$1,FALSE)&gt;0,"Diligenciar la vigencia, tiene presupuesto programado","No diligenciar, no programo presupuesto"),"")</f>
        <v/>
      </c>
      <c r="Y82" s="627"/>
      <c r="AC82" s="644" t="str">
        <f t="shared" si="69"/>
        <v/>
      </c>
      <c r="AD82" s="449" t="str">
        <f>IFERROR(IF(VLOOKUP($B82,'Matriz de Referencia'!$B$2:$CO$584,'Matriz de Referencia'!BA$1,FALSE)&gt;0,"Diligenciar la vigencia, tiene presupuesto programado","No diligenciar, no programo presupuesto"),"")</f>
        <v/>
      </c>
      <c r="AE82" s="627"/>
      <c r="AH82" s="627"/>
      <c r="AI82" s="650" t="str">
        <f>IFERROR(IF(#REF!="Mantenimiento", AVERAGE(AE82:AH82), IF(#REF!="Incremento", SUM(AE82:AH82), "")),"")</f>
        <v/>
      </c>
      <c r="AJ82" s="449" t="str">
        <f>IFERROR(IF(VLOOKUP($B82,'Matriz de Referencia'!$B$2:$CO$584,'Matriz de Referencia'!BO$1,FALSE)&gt;0,"Diligenciar la vigencia, tiene presupuesto programado","No diligenciar, no programo presupuesto"),"")</f>
        <v/>
      </c>
      <c r="AK82" s="627"/>
      <c r="AN82" s="627"/>
      <c r="AO82" s="650" t="str">
        <f t="shared" si="64"/>
        <v/>
      </c>
      <c r="AP82" s="449" t="str">
        <f>IFERROR(IF(VLOOKUP($B82,'Matriz de Referencia'!$B$2:$CO$584,'Matriz de Referencia'!CC$1,FALSE)&gt;0,"Diligenciar la vigencia, tiene presupuesto programado","No diligenciar, no programo presupuesto"),"")</f>
        <v/>
      </c>
      <c r="AQ82" s="627"/>
      <c r="AT82" s="627"/>
      <c r="AU82" s="650" t="str">
        <f t="shared" si="65"/>
        <v/>
      </c>
      <c r="AV82" s="448" t="str">
        <f t="shared" si="67"/>
        <v/>
      </c>
      <c r="AW82" s="416" t="str">
        <f t="shared" si="68"/>
        <v/>
      </c>
    </row>
    <row r="83" spans="19:49">
      <c r="S83" s="568"/>
      <c r="T83" s="414"/>
      <c r="U83" s="661" t="str">
        <f t="shared" si="66"/>
        <v>Dimensión_</v>
      </c>
      <c r="V83" s="414"/>
      <c r="W83" s="568"/>
      <c r="X83" s="449" t="str">
        <f>IFERROR(IF(VLOOKUP(B83,'Matriz de Referencia'!$B$2:$CO$584,'Matriz de Referencia'!AM$1,FALSE)&gt;0,"Diligenciar la vigencia, tiene presupuesto programado","No diligenciar, no programo presupuesto"),"")</f>
        <v/>
      </c>
      <c r="Y83" s="627"/>
      <c r="AC83" s="644" t="str">
        <f t="shared" si="69"/>
        <v/>
      </c>
      <c r="AD83" s="449" t="str">
        <f>IFERROR(IF(VLOOKUP($B83,'Matriz de Referencia'!$B$2:$CO$584,'Matriz de Referencia'!BA$1,FALSE)&gt;0,"Diligenciar la vigencia, tiene presupuesto programado","No diligenciar, no programo presupuesto"),"")</f>
        <v/>
      </c>
      <c r="AE83" s="627"/>
      <c r="AH83" s="627"/>
      <c r="AI83" s="650" t="str">
        <f>IFERROR(IF(#REF!="Mantenimiento", AVERAGE(AE83:AH83), IF(#REF!="Incremento", SUM(AE83:AH83), "")),"")</f>
        <v/>
      </c>
      <c r="AJ83" s="449" t="str">
        <f>IFERROR(IF(VLOOKUP($B83,'Matriz de Referencia'!$B$2:$CO$584,'Matriz de Referencia'!BO$1,FALSE)&gt;0,"Diligenciar la vigencia, tiene presupuesto programado","No diligenciar, no programo presupuesto"),"")</f>
        <v/>
      </c>
      <c r="AK83" s="627"/>
      <c r="AN83" s="627"/>
      <c r="AO83" s="650" t="str">
        <f t="shared" si="64"/>
        <v/>
      </c>
      <c r="AP83" s="449" t="str">
        <f>IFERROR(IF(VLOOKUP($B83,'Matriz de Referencia'!$B$2:$CO$584,'Matriz de Referencia'!CC$1,FALSE)&gt;0,"Diligenciar la vigencia, tiene presupuesto programado","No diligenciar, no programo presupuesto"),"")</f>
        <v/>
      </c>
      <c r="AQ83" s="627"/>
      <c r="AT83" s="627"/>
      <c r="AU83" s="650" t="str">
        <f t="shared" si="65"/>
        <v/>
      </c>
      <c r="AV83" s="448" t="str">
        <f t="shared" si="67"/>
        <v/>
      </c>
      <c r="AW83" s="416" t="str">
        <f t="shared" si="68"/>
        <v/>
      </c>
    </row>
    <row r="84" spans="19:49">
      <c r="S84" s="568"/>
      <c r="T84" s="414"/>
      <c r="U84" s="661" t="str">
        <f t="shared" si="66"/>
        <v>Dimensión_</v>
      </c>
      <c r="V84" s="414"/>
      <c r="W84" s="568"/>
      <c r="X84" s="449" t="str">
        <f>IFERROR(IF(VLOOKUP(B84,'Matriz de Referencia'!$B$2:$CO$584,'Matriz de Referencia'!AM$1,FALSE)&gt;0,"Diligenciar la vigencia, tiene presupuesto programado","No diligenciar, no programo presupuesto"),"")</f>
        <v/>
      </c>
      <c r="Y84" s="627"/>
      <c r="AC84" s="644" t="str">
        <f t="shared" si="69"/>
        <v/>
      </c>
      <c r="AD84" s="449" t="str">
        <f>IFERROR(IF(VLOOKUP($B84,'Matriz de Referencia'!$B$2:$CO$584,'Matriz de Referencia'!BA$1,FALSE)&gt;0,"Diligenciar la vigencia, tiene presupuesto programado","No diligenciar, no programo presupuesto"),"")</f>
        <v/>
      </c>
      <c r="AE84" s="627"/>
      <c r="AH84" s="627"/>
      <c r="AI84" s="650" t="str">
        <f>IFERROR(IF(#REF!="Mantenimiento", AVERAGE(AE84:AH84), IF(#REF!="Incremento", SUM(AE84:AH84), "")),"")</f>
        <v/>
      </c>
      <c r="AJ84" s="449" t="str">
        <f>IFERROR(IF(VLOOKUP($B84,'Matriz de Referencia'!$B$2:$CO$584,'Matriz de Referencia'!BO$1,FALSE)&gt;0,"Diligenciar la vigencia, tiene presupuesto programado","No diligenciar, no programo presupuesto"),"")</f>
        <v/>
      </c>
      <c r="AK84" s="627"/>
      <c r="AN84" s="627"/>
      <c r="AO84" s="650" t="str">
        <f t="shared" si="64"/>
        <v/>
      </c>
      <c r="AP84" s="449" t="str">
        <f>IFERROR(IF(VLOOKUP($B84,'Matriz de Referencia'!$B$2:$CO$584,'Matriz de Referencia'!CC$1,FALSE)&gt;0,"Diligenciar la vigencia, tiene presupuesto programado","No diligenciar, no programo presupuesto"),"")</f>
        <v/>
      </c>
      <c r="AQ84" s="627"/>
      <c r="AT84" s="627"/>
      <c r="AU84" s="650" t="str">
        <f t="shared" si="65"/>
        <v/>
      </c>
      <c r="AV84" s="448" t="str">
        <f t="shared" si="67"/>
        <v/>
      </c>
      <c r="AW84" s="416" t="str">
        <f t="shared" si="68"/>
        <v/>
      </c>
    </row>
    <row r="85" spans="19:49">
      <c r="S85" s="568"/>
      <c r="T85" s="414"/>
      <c r="U85" s="661" t="str">
        <f t="shared" si="66"/>
        <v>Dimensión_</v>
      </c>
      <c r="V85" s="414"/>
      <c r="W85" s="568"/>
      <c r="X85" s="449" t="str">
        <f>IFERROR(IF(VLOOKUP(B85,'Matriz de Referencia'!$B$2:$CO$584,'Matriz de Referencia'!AM$1,FALSE)&gt;0,"Diligenciar la vigencia, tiene presupuesto programado","No diligenciar, no programo presupuesto"),"")</f>
        <v/>
      </c>
      <c r="Y85" s="627"/>
      <c r="AC85" s="644" t="str">
        <f t="shared" si="69"/>
        <v/>
      </c>
      <c r="AD85" s="449" t="str">
        <f>IFERROR(IF(VLOOKUP($B85,'Matriz de Referencia'!$B$2:$CO$584,'Matriz de Referencia'!BA$1,FALSE)&gt;0,"Diligenciar la vigencia, tiene presupuesto programado","No diligenciar, no programo presupuesto"),"")</f>
        <v/>
      </c>
      <c r="AE85" s="627"/>
      <c r="AH85" s="627"/>
      <c r="AI85" s="650" t="str">
        <f>IFERROR(IF(#REF!="Mantenimiento", AVERAGE(AE85:AH85), IF(#REF!="Incremento", SUM(AE85:AH85), "")),"")</f>
        <v/>
      </c>
      <c r="AJ85" s="449" t="str">
        <f>IFERROR(IF(VLOOKUP($B85,'Matriz de Referencia'!$B$2:$CO$584,'Matriz de Referencia'!BO$1,FALSE)&gt;0,"Diligenciar la vigencia, tiene presupuesto programado","No diligenciar, no programo presupuesto"),"")</f>
        <v/>
      </c>
      <c r="AK85" s="627"/>
      <c r="AN85" s="627"/>
      <c r="AO85" s="650" t="str">
        <f t="shared" si="64"/>
        <v/>
      </c>
      <c r="AP85" s="449" t="str">
        <f>IFERROR(IF(VLOOKUP($B85,'Matriz de Referencia'!$B$2:$CO$584,'Matriz de Referencia'!CC$1,FALSE)&gt;0,"Diligenciar la vigencia, tiene presupuesto programado","No diligenciar, no programo presupuesto"),"")</f>
        <v/>
      </c>
      <c r="AQ85" s="627"/>
      <c r="AT85" s="627"/>
      <c r="AU85" s="650" t="str">
        <f t="shared" si="65"/>
        <v/>
      </c>
      <c r="AV85" s="448" t="str">
        <f t="shared" si="67"/>
        <v/>
      </c>
      <c r="AW85" s="416" t="str">
        <f t="shared" si="68"/>
        <v/>
      </c>
    </row>
    <row r="86" spans="19:49">
      <c r="S86" s="568"/>
      <c r="T86" s="414"/>
      <c r="U86" s="661" t="str">
        <f t="shared" si="66"/>
        <v>Dimensión_</v>
      </c>
      <c r="V86" s="414"/>
      <c r="W86" s="568"/>
      <c r="X86" s="449" t="str">
        <f>IFERROR(IF(VLOOKUP(B86,'Matriz de Referencia'!$B$2:$CO$584,'Matriz de Referencia'!AM$1,FALSE)&gt;0,"Diligenciar la vigencia, tiene presupuesto programado","No diligenciar, no programo presupuesto"),"")</f>
        <v/>
      </c>
      <c r="Y86" s="627"/>
      <c r="AC86" s="644" t="str">
        <f t="shared" si="69"/>
        <v/>
      </c>
      <c r="AD86" s="449" t="str">
        <f>IFERROR(IF(VLOOKUP($B86,'Matriz de Referencia'!$B$2:$CO$584,'Matriz de Referencia'!BA$1,FALSE)&gt;0,"Diligenciar la vigencia, tiene presupuesto programado","No diligenciar, no programo presupuesto"),"")</f>
        <v/>
      </c>
      <c r="AE86" s="627"/>
      <c r="AH86" s="627"/>
      <c r="AI86" s="650" t="str">
        <f>IFERROR(IF(#REF!="Mantenimiento", AVERAGE(AE86:AH86), IF(#REF!="Incremento", SUM(AE86:AH86), "")),"")</f>
        <v/>
      </c>
      <c r="AJ86" s="449" t="str">
        <f>IFERROR(IF(VLOOKUP($B86,'Matriz de Referencia'!$B$2:$CO$584,'Matriz de Referencia'!BO$1,FALSE)&gt;0,"Diligenciar la vigencia, tiene presupuesto programado","No diligenciar, no programo presupuesto"),"")</f>
        <v/>
      </c>
      <c r="AK86" s="627"/>
      <c r="AN86" s="627"/>
      <c r="AO86" s="650" t="str">
        <f t="shared" si="64"/>
        <v/>
      </c>
      <c r="AP86" s="449" t="str">
        <f>IFERROR(IF(VLOOKUP($B86,'Matriz de Referencia'!$B$2:$CO$584,'Matriz de Referencia'!CC$1,FALSE)&gt;0,"Diligenciar la vigencia, tiene presupuesto programado","No diligenciar, no programo presupuesto"),"")</f>
        <v/>
      </c>
      <c r="AQ86" s="627"/>
      <c r="AT86" s="627"/>
      <c r="AU86" s="650" t="str">
        <f t="shared" si="65"/>
        <v/>
      </c>
      <c r="AV86" s="448" t="str">
        <f t="shared" si="67"/>
        <v/>
      </c>
      <c r="AW86" s="416" t="str">
        <f t="shared" si="68"/>
        <v/>
      </c>
    </row>
    <row r="87" spans="19:49">
      <c r="S87" s="568"/>
      <c r="T87" s="414"/>
      <c r="U87" s="661" t="str">
        <f t="shared" si="66"/>
        <v>Dimensión_</v>
      </c>
      <c r="V87" s="414"/>
      <c r="W87" s="568"/>
      <c r="X87" s="449" t="str">
        <f>IFERROR(IF(VLOOKUP(B87,'Matriz de Referencia'!$B$2:$CO$584,'Matriz de Referencia'!AM$1,FALSE)&gt;0,"Diligenciar la vigencia, tiene presupuesto programado","No diligenciar, no programo presupuesto"),"")</f>
        <v/>
      </c>
      <c r="Y87" s="627"/>
      <c r="AC87" s="644" t="str">
        <f t="shared" si="69"/>
        <v/>
      </c>
      <c r="AD87" s="449" t="str">
        <f>IFERROR(IF(VLOOKUP($B87,'Matriz de Referencia'!$B$2:$CO$584,'Matriz de Referencia'!BA$1,FALSE)&gt;0,"Diligenciar la vigencia, tiene presupuesto programado","No diligenciar, no programo presupuesto"),"")</f>
        <v/>
      </c>
      <c r="AE87" s="627"/>
      <c r="AH87" s="627"/>
      <c r="AI87" s="650" t="str">
        <f>IFERROR(IF(#REF!="Mantenimiento", AVERAGE(AE87:AH87), IF(#REF!="Incremento", SUM(AE87:AH87), "")),"")</f>
        <v/>
      </c>
      <c r="AJ87" s="449" t="str">
        <f>IFERROR(IF(VLOOKUP($B87,'Matriz de Referencia'!$B$2:$CO$584,'Matriz de Referencia'!BO$1,FALSE)&gt;0,"Diligenciar la vigencia, tiene presupuesto programado","No diligenciar, no programo presupuesto"),"")</f>
        <v/>
      </c>
      <c r="AK87" s="627"/>
      <c r="AN87" s="627"/>
      <c r="AO87" s="650" t="str">
        <f t="shared" si="64"/>
        <v/>
      </c>
      <c r="AP87" s="449" t="str">
        <f>IFERROR(IF(VLOOKUP($B87,'Matriz de Referencia'!$B$2:$CO$584,'Matriz de Referencia'!CC$1,FALSE)&gt;0,"Diligenciar la vigencia, tiene presupuesto programado","No diligenciar, no programo presupuesto"),"")</f>
        <v/>
      </c>
      <c r="AQ87" s="627"/>
      <c r="AT87" s="627"/>
      <c r="AU87" s="650" t="str">
        <f t="shared" si="65"/>
        <v/>
      </c>
      <c r="AV87" s="448" t="str">
        <f t="shared" si="67"/>
        <v/>
      </c>
      <c r="AW87" s="416" t="str">
        <f t="shared" si="68"/>
        <v/>
      </c>
    </row>
    <row r="88" spans="19:49">
      <c r="S88" s="568"/>
      <c r="T88" s="414"/>
      <c r="U88" s="661" t="str">
        <f t="shared" si="66"/>
        <v>Dimensión_</v>
      </c>
      <c r="V88" s="414"/>
      <c r="W88" s="568"/>
      <c r="X88" s="449" t="str">
        <f>IFERROR(IF(VLOOKUP(B88,'Matriz de Referencia'!$B$2:$CO$584,'Matriz de Referencia'!AM$1,FALSE)&gt;0,"Diligenciar la vigencia, tiene presupuesto programado","No diligenciar, no programo presupuesto"),"")</f>
        <v/>
      </c>
      <c r="Y88" s="627"/>
      <c r="AC88" s="644" t="str">
        <f t="shared" si="69"/>
        <v/>
      </c>
      <c r="AD88" s="449" t="str">
        <f>IFERROR(IF(VLOOKUP($B88,'Matriz de Referencia'!$B$2:$CO$584,'Matriz de Referencia'!BA$1,FALSE)&gt;0,"Diligenciar la vigencia, tiene presupuesto programado","No diligenciar, no programo presupuesto"),"")</f>
        <v/>
      </c>
      <c r="AE88" s="627"/>
      <c r="AH88" s="627"/>
      <c r="AI88" s="650" t="str">
        <f>IFERROR(IF(#REF!="Mantenimiento", AVERAGE(AE88:AH88), IF(#REF!="Incremento", SUM(AE88:AH88), "")),"")</f>
        <v/>
      </c>
      <c r="AJ88" s="449" t="str">
        <f>IFERROR(IF(VLOOKUP($B88,'Matriz de Referencia'!$B$2:$CO$584,'Matriz de Referencia'!BO$1,FALSE)&gt;0,"Diligenciar la vigencia, tiene presupuesto programado","No diligenciar, no programo presupuesto"),"")</f>
        <v/>
      </c>
      <c r="AK88" s="627"/>
      <c r="AN88" s="627"/>
      <c r="AO88" s="650" t="str">
        <f t="shared" si="64"/>
        <v/>
      </c>
      <c r="AP88" s="449" t="str">
        <f>IFERROR(IF(VLOOKUP($B88,'Matriz de Referencia'!$B$2:$CO$584,'Matriz de Referencia'!CC$1,FALSE)&gt;0,"Diligenciar la vigencia, tiene presupuesto programado","No diligenciar, no programo presupuesto"),"")</f>
        <v/>
      </c>
      <c r="AQ88" s="627"/>
      <c r="AT88" s="627"/>
      <c r="AU88" s="650" t="str">
        <f t="shared" si="65"/>
        <v/>
      </c>
      <c r="AV88" s="448" t="str">
        <f t="shared" si="67"/>
        <v/>
      </c>
      <c r="AW88" s="416" t="str">
        <f t="shared" si="68"/>
        <v/>
      </c>
    </row>
    <row r="89" spans="19:49">
      <c r="S89" s="568"/>
      <c r="T89" s="414"/>
      <c r="U89" s="661" t="str">
        <f t="shared" si="66"/>
        <v>Dimensión_</v>
      </c>
      <c r="V89" s="414"/>
      <c r="W89" s="568"/>
      <c r="X89" s="449" t="str">
        <f>IFERROR(IF(VLOOKUP(B89,'Matriz de Referencia'!$B$2:$CO$584,'Matriz de Referencia'!AM$1,FALSE)&gt;0,"Diligenciar la vigencia, tiene presupuesto programado","No diligenciar, no programo presupuesto"),"")</f>
        <v/>
      </c>
      <c r="Y89" s="627"/>
      <c r="AC89" s="644" t="str">
        <f t="shared" si="69"/>
        <v/>
      </c>
      <c r="AD89" s="449" t="str">
        <f>IFERROR(IF(VLOOKUP($B89,'Matriz de Referencia'!$B$2:$CO$584,'Matriz de Referencia'!BA$1,FALSE)&gt;0,"Diligenciar la vigencia, tiene presupuesto programado","No diligenciar, no programo presupuesto"),"")</f>
        <v/>
      </c>
      <c r="AE89" s="627"/>
      <c r="AH89" s="627"/>
      <c r="AI89" s="650" t="str">
        <f>IFERROR(IF(#REF!="Mantenimiento", AVERAGE(AE89:AH89), IF(#REF!="Incremento", SUM(AE89:AH89), "")),"")</f>
        <v/>
      </c>
      <c r="AJ89" s="449" t="str">
        <f>IFERROR(IF(VLOOKUP($B89,'Matriz de Referencia'!$B$2:$CO$584,'Matriz de Referencia'!BO$1,FALSE)&gt;0,"Diligenciar la vigencia, tiene presupuesto programado","No diligenciar, no programo presupuesto"),"")</f>
        <v/>
      </c>
      <c r="AK89" s="627"/>
      <c r="AN89" s="627"/>
      <c r="AO89" s="650" t="str">
        <f t="shared" si="64"/>
        <v/>
      </c>
      <c r="AP89" s="449" t="str">
        <f>IFERROR(IF(VLOOKUP($B89,'Matriz de Referencia'!$B$2:$CO$584,'Matriz de Referencia'!CC$1,FALSE)&gt;0,"Diligenciar la vigencia, tiene presupuesto programado","No diligenciar, no programo presupuesto"),"")</f>
        <v/>
      </c>
      <c r="AQ89" s="627"/>
      <c r="AT89" s="627"/>
      <c r="AU89" s="650" t="str">
        <f t="shared" si="65"/>
        <v/>
      </c>
      <c r="AV89" s="448" t="str">
        <f t="shared" si="67"/>
        <v/>
      </c>
      <c r="AW89" s="416" t="str">
        <f t="shared" si="68"/>
        <v/>
      </c>
    </row>
    <row r="90" spans="19:49">
      <c r="S90" s="568"/>
      <c r="T90" s="414"/>
      <c r="U90" s="661" t="str">
        <f t="shared" si="66"/>
        <v>Dimensión_</v>
      </c>
      <c r="V90" s="414"/>
      <c r="W90" s="568"/>
      <c r="X90" s="449" t="str">
        <f>IFERROR(IF(VLOOKUP(B90,'Matriz de Referencia'!$B$2:$CO$584,'Matriz de Referencia'!AM$1,FALSE)&gt;0,"Diligenciar la vigencia, tiene presupuesto programado","No diligenciar, no programo presupuesto"),"")</f>
        <v/>
      </c>
      <c r="Y90" s="627"/>
      <c r="AC90" s="644" t="str">
        <f t="shared" si="69"/>
        <v/>
      </c>
      <c r="AD90" s="449" t="str">
        <f>IFERROR(IF(VLOOKUP($B90,'Matriz de Referencia'!$B$2:$CO$584,'Matriz de Referencia'!BA$1,FALSE)&gt;0,"Diligenciar la vigencia, tiene presupuesto programado","No diligenciar, no programo presupuesto"),"")</f>
        <v/>
      </c>
      <c r="AE90" s="627"/>
      <c r="AH90" s="627"/>
      <c r="AI90" s="650" t="str">
        <f>IFERROR(IF(#REF!="Mantenimiento", AVERAGE(AE90:AH90), IF(#REF!="Incremento", SUM(AE90:AH90), "")),"")</f>
        <v/>
      </c>
      <c r="AJ90" s="449" t="str">
        <f>IFERROR(IF(VLOOKUP($B90,'Matriz de Referencia'!$B$2:$CO$584,'Matriz de Referencia'!BO$1,FALSE)&gt;0,"Diligenciar la vigencia, tiene presupuesto programado","No diligenciar, no programo presupuesto"),"")</f>
        <v/>
      </c>
      <c r="AK90" s="627"/>
      <c r="AN90" s="627"/>
      <c r="AO90" s="650" t="str">
        <f t="shared" si="64"/>
        <v/>
      </c>
      <c r="AP90" s="449" t="str">
        <f>IFERROR(IF(VLOOKUP($B90,'Matriz de Referencia'!$B$2:$CO$584,'Matriz de Referencia'!CC$1,FALSE)&gt;0,"Diligenciar la vigencia, tiene presupuesto programado","No diligenciar, no programo presupuesto"),"")</f>
        <v/>
      </c>
      <c r="AQ90" s="627"/>
      <c r="AT90" s="627"/>
      <c r="AU90" s="650" t="str">
        <f t="shared" si="65"/>
        <v/>
      </c>
      <c r="AV90" s="448" t="str">
        <f t="shared" si="67"/>
        <v/>
      </c>
      <c r="AW90" s="416" t="str">
        <f t="shared" si="68"/>
        <v/>
      </c>
    </row>
    <row r="91" spans="19:49">
      <c r="S91" s="568"/>
      <c r="T91" s="414"/>
      <c r="U91" s="661" t="str">
        <f t="shared" si="66"/>
        <v>Dimensión_</v>
      </c>
      <c r="V91" s="414"/>
      <c r="W91" s="568"/>
      <c r="X91" s="449" t="str">
        <f>IFERROR(IF(VLOOKUP(B91,'Matriz de Referencia'!$B$2:$CO$584,'Matriz de Referencia'!AM$1,FALSE)&gt;0,"Diligenciar la vigencia, tiene presupuesto programado","No diligenciar, no programo presupuesto"),"")</f>
        <v/>
      </c>
      <c r="Y91" s="627"/>
      <c r="AC91" s="644" t="str">
        <f t="shared" si="69"/>
        <v/>
      </c>
      <c r="AD91" s="449" t="str">
        <f>IFERROR(IF(VLOOKUP($B91,'Matriz de Referencia'!$B$2:$CO$584,'Matriz de Referencia'!BA$1,FALSE)&gt;0,"Diligenciar la vigencia, tiene presupuesto programado","No diligenciar, no programo presupuesto"),"")</f>
        <v/>
      </c>
      <c r="AE91" s="627"/>
      <c r="AH91" s="627"/>
      <c r="AI91" s="650" t="str">
        <f>IFERROR(IF(#REF!="Mantenimiento", AVERAGE(AE91:AH91), IF(#REF!="Incremento", SUM(AE91:AH91), "")),"")</f>
        <v/>
      </c>
      <c r="AJ91" s="449" t="str">
        <f>IFERROR(IF(VLOOKUP($B91,'Matriz de Referencia'!$B$2:$CO$584,'Matriz de Referencia'!BO$1,FALSE)&gt;0,"Diligenciar la vigencia, tiene presupuesto programado","No diligenciar, no programo presupuesto"),"")</f>
        <v/>
      </c>
      <c r="AK91" s="627"/>
      <c r="AN91" s="627"/>
      <c r="AO91" s="650" t="str">
        <f t="shared" si="64"/>
        <v/>
      </c>
      <c r="AP91" s="449" t="str">
        <f>IFERROR(IF(VLOOKUP($B91,'Matriz de Referencia'!$B$2:$CO$584,'Matriz de Referencia'!CC$1,FALSE)&gt;0,"Diligenciar la vigencia, tiene presupuesto programado","No diligenciar, no programo presupuesto"),"")</f>
        <v/>
      </c>
      <c r="AQ91" s="627"/>
      <c r="AT91" s="627"/>
      <c r="AU91" s="650" t="str">
        <f t="shared" si="65"/>
        <v/>
      </c>
      <c r="AV91" s="448" t="str">
        <f t="shared" si="67"/>
        <v/>
      </c>
      <c r="AW91" s="416" t="str">
        <f t="shared" si="68"/>
        <v/>
      </c>
    </row>
    <row r="92" spans="19:49">
      <c r="S92" s="568"/>
      <c r="T92" s="414"/>
      <c r="U92" s="661" t="str">
        <f t="shared" si="66"/>
        <v>Dimensión_</v>
      </c>
      <c r="V92" s="414"/>
      <c r="W92" s="568"/>
      <c r="X92" s="449" t="str">
        <f>IFERROR(IF(VLOOKUP(B92,'Matriz de Referencia'!$B$2:$CO$584,'Matriz de Referencia'!AM$1,FALSE)&gt;0,"Diligenciar la vigencia, tiene presupuesto programado","No diligenciar, no programo presupuesto"),"")</f>
        <v/>
      </c>
      <c r="Y92" s="627"/>
      <c r="AC92" s="644" t="str">
        <f t="shared" si="69"/>
        <v/>
      </c>
      <c r="AD92" s="449" t="str">
        <f>IFERROR(IF(VLOOKUP($B92,'Matriz de Referencia'!$B$2:$CO$584,'Matriz de Referencia'!BA$1,FALSE)&gt;0,"Diligenciar la vigencia, tiene presupuesto programado","No diligenciar, no programo presupuesto"),"")</f>
        <v/>
      </c>
      <c r="AE92" s="627"/>
      <c r="AH92" s="627"/>
      <c r="AI92" s="650" t="str">
        <f>IFERROR(IF(#REF!="Mantenimiento", AVERAGE(AE92:AH92), IF(#REF!="Incremento", SUM(AE92:AH92), "")),"")</f>
        <v/>
      </c>
      <c r="AJ92" s="449" t="str">
        <f>IFERROR(IF(VLOOKUP($B92,'Matriz de Referencia'!$B$2:$CO$584,'Matriz de Referencia'!BO$1,FALSE)&gt;0,"Diligenciar la vigencia, tiene presupuesto programado","No diligenciar, no programo presupuesto"),"")</f>
        <v/>
      </c>
      <c r="AK92" s="627"/>
      <c r="AN92" s="627"/>
      <c r="AO92" s="650" t="str">
        <f t="shared" si="64"/>
        <v/>
      </c>
      <c r="AP92" s="449" t="str">
        <f>IFERROR(IF(VLOOKUP($B92,'Matriz de Referencia'!$B$2:$CO$584,'Matriz de Referencia'!CC$1,FALSE)&gt;0,"Diligenciar la vigencia, tiene presupuesto programado","No diligenciar, no programo presupuesto"),"")</f>
        <v/>
      </c>
      <c r="AQ92" s="627"/>
      <c r="AT92" s="627"/>
      <c r="AU92" s="650" t="str">
        <f t="shared" si="65"/>
        <v/>
      </c>
      <c r="AV92" s="448" t="str">
        <f t="shared" si="67"/>
        <v/>
      </c>
      <c r="AW92" s="416" t="str">
        <f t="shared" si="68"/>
        <v/>
      </c>
    </row>
    <row r="93" spans="19:49">
      <c r="S93" s="568"/>
      <c r="T93" s="414"/>
      <c r="U93" s="661" t="str">
        <f t="shared" si="66"/>
        <v>Dimensión_</v>
      </c>
      <c r="V93" s="414"/>
      <c r="W93" s="568"/>
      <c r="X93" s="449" t="str">
        <f>IFERROR(IF(VLOOKUP(B93,'Matriz de Referencia'!$B$2:$CO$584,'Matriz de Referencia'!AM$1,FALSE)&gt;0,"Diligenciar la vigencia, tiene presupuesto programado","No diligenciar, no programo presupuesto"),"")</f>
        <v/>
      </c>
      <c r="Y93" s="627"/>
      <c r="AC93" s="644" t="str">
        <f t="shared" si="69"/>
        <v/>
      </c>
      <c r="AD93" s="449" t="str">
        <f>IFERROR(IF(VLOOKUP($B93,'Matriz de Referencia'!$B$2:$CO$584,'Matriz de Referencia'!BA$1,FALSE)&gt;0,"Diligenciar la vigencia, tiene presupuesto programado","No diligenciar, no programo presupuesto"),"")</f>
        <v/>
      </c>
      <c r="AE93" s="627"/>
      <c r="AH93" s="627"/>
      <c r="AI93" s="650" t="str">
        <f>IFERROR(IF(#REF!="Mantenimiento", AVERAGE(AE93:AH93), IF(#REF!="Incremento", SUM(AE93:AH93), "")),"")</f>
        <v/>
      </c>
      <c r="AJ93" s="449" t="str">
        <f>IFERROR(IF(VLOOKUP($B93,'Matriz de Referencia'!$B$2:$CO$584,'Matriz de Referencia'!BO$1,FALSE)&gt;0,"Diligenciar la vigencia, tiene presupuesto programado","No diligenciar, no programo presupuesto"),"")</f>
        <v/>
      </c>
      <c r="AK93" s="627"/>
      <c r="AN93" s="627"/>
      <c r="AO93" s="650" t="str">
        <f t="shared" si="64"/>
        <v/>
      </c>
      <c r="AP93" s="449" t="str">
        <f>IFERROR(IF(VLOOKUP($B93,'Matriz de Referencia'!$B$2:$CO$584,'Matriz de Referencia'!CC$1,FALSE)&gt;0,"Diligenciar la vigencia, tiene presupuesto programado","No diligenciar, no programo presupuesto"),"")</f>
        <v/>
      </c>
      <c r="AQ93" s="627"/>
      <c r="AT93" s="627"/>
      <c r="AU93" s="650" t="str">
        <f t="shared" si="65"/>
        <v/>
      </c>
      <c r="AV93" s="448" t="str">
        <f t="shared" si="67"/>
        <v/>
      </c>
      <c r="AW93" s="416" t="str">
        <f t="shared" si="68"/>
        <v/>
      </c>
    </row>
    <row r="94" spans="19:49">
      <c r="S94" s="568"/>
      <c r="T94" s="414"/>
      <c r="U94" s="661" t="str">
        <f t="shared" si="66"/>
        <v>Dimensión_</v>
      </c>
      <c r="V94" s="414"/>
      <c r="W94" s="568"/>
      <c r="X94" s="449" t="str">
        <f>IFERROR(IF(VLOOKUP(B94,'Matriz de Referencia'!$B$2:$CO$584,'Matriz de Referencia'!AM$1,FALSE)&gt;0,"Diligenciar la vigencia, tiene presupuesto programado","No diligenciar, no programo presupuesto"),"")</f>
        <v/>
      </c>
      <c r="Y94" s="627"/>
      <c r="AC94" s="644" t="str">
        <f t="shared" si="69"/>
        <v/>
      </c>
      <c r="AD94" s="449" t="str">
        <f>IFERROR(IF(VLOOKUP($B94,'Matriz de Referencia'!$B$2:$CO$584,'Matriz de Referencia'!BA$1,FALSE)&gt;0,"Diligenciar la vigencia, tiene presupuesto programado","No diligenciar, no programo presupuesto"),"")</f>
        <v/>
      </c>
      <c r="AE94" s="627"/>
      <c r="AH94" s="627"/>
      <c r="AI94" s="650" t="str">
        <f>IFERROR(IF(#REF!="Mantenimiento", AVERAGE(AE94:AH94), IF(#REF!="Incremento", SUM(AE94:AH94), "")),"")</f>
        <v/>
      </c>
      <c r="AJ94" s="449" t="str">
        <f>IFERROR(IF(VLOOKUP($B94,'Matriz de Referencia'!$B$2:$CO$584,'Matriz de Referencia'!BO$1,FALSE)&gt;0,"Diligenciar la vigencia, tiene presupuesto programado","No diligenciar, no programo presupuesto"),"")</f>
        <v/>
      </c>
      <c r="AK94" s="627"/>
      <c r="AN94" s="627"/>
      <c r="AO94" s="650" t="str">
        <f t="shared" si="64"/>
        <v/>
      </c>
      <c r="AP94" s="449" t="str">
        <f>IFERROR(IF(VLOOKUP($B94,'Matriz de Referencia'!$B$2:$CO$584,'Matriz de Referencia'!CC$1,FALSE)&gt;0,"Diligenciar la vigencia, tiene presupuesto programado","No diligenciar, no programo presupuesto"),"")</f>
        <v/>
      </c>
      <c r="AQ94" s="627"/>
      <c r="AT94" s="627"/>
      <c r="AU94" s="650" t="str">
        <f t="shared" si="65"/>
        <v/>
      </c>
      <c r="AV94" s="448" t="str">
        <f t="shared" si="67"/>
        <v/>
      </c>
      <c r="AW94" s="416" t="str">
        <f t="shared" si="68"/>
        <v/>
      </c>
    </row>
    <row r="95" spans="19:49">
      <c r="S95" s="568"/>
      <c r="T95" s="414"/>
      <c r="U95" s="661" t="str">
        <f t="shared" si="66"/>
        <v>Dimensión_</v>
      </c>
      <c r="V95" s="414"/>
      <c r="W95" s="568"/>
      <c r="X95" s="449" t="str">
        <f>IFERROR(IF(VLOOKUP(B95,'Matriz de Referencia'!$B$2:$CO$584,'Matriz de Referencia'!AM$1,FALSE)&gt;0,"Diligenciar la vigencia, tiene presupuesto programado","No diligenciar, no programo presupuesto"),"")</f>
        <v/>
      </c>
      <c r="Y95" s="627"/>
      <c r="AC95" s="644" t="str">
        <f t="shared" si="69"/>
        <v/>
      </c>
      <c r="AD95" s="449" t="str">
        <f>IFERROR(IF(VLOOKUP($B95,'Matriz de Referencia'!$B$2:$CO$584,'Matriz de Referencia'!BA$1,FALSE)&gt;0,"Diligenciar la vigencia, tiene presupuesto programado","No diligenciar, no programo presupuesto"),"")</f>
        <v/>
      </c>
      <c r="AE95" s="627"/>
      <c r="AH95" s="627"/>
      <c r="AI95" s="650" t="str">
        <f>IFERROR(IF(#REF!="Mantenimiento", AVERAGE(AE95:AH95), IF(#REF!="Incremento", SUM(AE95:AH95), "")),"")</f>
        <v/>
      </c>
      <c r="AJ95" s="449" t="str">
        <f>IFERROR(IF(VLOOKUP($B95,'Matriz de Referencia'!$B$2:$CO$584,'Matriz de Referencia'!BO$1,FALSE)&gt;0,"Diligenciar la vigencia, tiene presupuesto programado","No diligenciar, no programo presupuesto"),"")</f>
        <v/>
      </c>
      <c r="AK95" s="627"/>
      <c r="AN95" s="627"/>
      <c r="AO95" s="650" t="str">
        <f t="shared" si="64"/>
        <v/>
      </c>
      <c r="AP95" s="449" t="str">
        <f>IFERROR(IF(VLOOKUP($B95,'Matriz de Referencia'!$B$2:$CO$584,'Matriz de Referencia'!CC$1,FALSE)&gt;0,"Diligenciar la vigencia, tiene presupuesto programado","No diligenciar, no programo presupuesto"),"")</f>
        <v/>
      </c>
      <c r="AQ95" s="627"/>
      <c r="AT95" s="627"/>
      <c r="AU95" s="650" t="str">
        <f t="shared" si="65"/>
        <v/>
      </c>
      <c r="AV95" s="448" t="str">
        <f t="shared" si="67"/>
        <v/>
      </c>
      <c r="AW95" s="416" t="str">
        <f t="shared" si="68"/>
        <v/>
      </c>
    </row>
    <row r="96" spans="19:49">
      <c r="S96" s="568"/>
      <c r="T96" s="414"/>
      <c r="U96" s="661" t="str">
        <f t="shared" si="66"/>
        <v>Dimensión_</v>
      </c>
      <c r="V96" s="414"/>
      <c r="W96" s="568"/>
      <c r="X96" s="449" t="str">
        <f>IFERROR(IF(VLOOKUP(B96,'Matriz de Referencia'!$B$2:$CO$584,'Matriz de Referencia'!AM$1,FALSE)&gt;0,"Diligenciar la vigencia, tiene presupuesto programado","No diligenciar, no programo presupuesto"),"")</f>
        <v/>
      </c>
      <c r="Y96" s="627"/>
      <c r="AC96" s="644" t="str">
        <f t="shared" si="69"/>
        <v/>
      </c>
      <c r="AD96" s="449" t="str">
        <f>IFERROR(IF(VLOOKUP($B96,'Matriz de Referencia'!$B$2:$CO$584,'Matriz de Referencia'!BA$1,FALSE)&gt;0,"Diligenciar la vigencia, tiene presupuesto programado","No diligenciar, no programo presupuesto"),"")</f>
        <v/>
      </c>
      <c r="AE96" s="627"/>
      <c r="AH96" s="627"/>
      <c r="AI96" s="650" t="str">
        <f>IFERROR(IF(#REF!="Mantenimiento", AVERAGE(AE96:AH96), IF(#REF!="Incremento", SUM(AE96:AH96), "")),"")</f>
        <v/>
      </c>
      <c r="AJ96" s="449" t="str">
        <f>IFERROR(IF(VLOOKUP($B96,'Matriz de Referencia'!$B$2:$CO$584,'Matriz de Referencia'!BO$1,FALSE)&gt;0,"Diligenciar la vigencia, tiene presupuesto programado","No diligenciar, no programo presupuesto"),"")</f>
        <v/>
      </c>
      <c r="AK96" s="627"/>
      <c r="AN96" s="627"/>
      <c r="AO96" s="650" t="str">
        <f t="shared" si="64"/>
        <v/>
      </c>
      <c r="AP96" s="449" t="str">
        <f>IFERROR(IF(VLOOKUP($B96,'Matriz de Referencia'!$B$2:$CO$584,'Matriz de Referencia'!CC$1,FALSE)&gt;0,"Diligenciar la vigencia, tiene presupuesto programado","No diligenciar, no programo presupuesto"),"")</f>
        <v/>
      </c>
      <c r="AQ96" s="627"/>
      <c r="AT96" s="627"/>
      <c r="AU96" s="650" t="str">
        <f t="shared" si="65"/>
        <v/>
      </c>
      <c r="AV96" s="448" t="str">
        <f t="shared" si="67"/>
        <v/>
      </c>
      <c r="AW96" s="416" t="str">
        <f t="shared" si="68"/>
        <v/>
      </c>
    </row>
    <row r="97" spans="19:49">
      <c r="S97" s="568"/>
      <c r="T97" s="414"/>
      <c r="U97" s="661" t="str">
        <f t="shared" si="66"/>
        <v>Dimensión_</v>
      </c>
      <c r="V97" s="414"/>
      <c r="W97" s="568"/>
      <c r="X97" s="449" t="str">
        <f>IFERROR(IF(VLOOKUP(B97,'Matriz de Referencia'!$B$2:$CO$584,'Matriz de Referencia'!AM$1,FALSE)&gt;0,"Diligenciar la vigencia, tiene presupuesto programado","No diligenciar, no programo presupuesto"),"")</f>
        <v/>
      </c>
      <c r="Y97" s="627"/>
      <c r="AC97" s="644" t="str">
        <f t="shared" si="69"/>
        <v/>
      </c>
      <c r="AD97" s="449" t="str">
        <f>IFERROR(IF(VLOOKUP($B97,'Matriz de Referencia'!$B$2:$CO$584,'Matriz de Referencia'!BA$1,FALSE)&gt;0,"Diligenciar la vigencia, tiene presupuesto programado","No diligenciar, no programo presupuesto"),"")</f>
        <v/>
      </c>
      <c r="AE97" s="627"/>
      <c r="AH97" s="627"/>
      <c r="AI97" s="650" t="str">
        <f>IFERROR(IF(#REF!="Mantenimiento", AVERAGE(AE97:AH97), IF(#REF!="Incremento", SUM(AE97:AH97), "")),"")</f>
        <v/>
      </c>
      <c r="AJ97" s="449" t="str">
        <f>IFERROR(IF(VLOOKUP($B97,'Matriz de Referencia'!$B$2:$CO$584,'Matriz de Referencia'!BO$1,FALSE)&gt;0,"Diligenciar la vigencia, tiene presupuesto programado","No diligenciar, no programo presupuesto"),"")</f>
        <v/>
      </c>
      <c r="AK97" s="627"/>
      <c r="AN97" s="627"/>
      <c r="AO97" s="650" t="str">
        <f t="shared" si="64"/>
        <v/>
      </c>
      <c r="AP97" s="449" t="str">
        <f>IFERROR(IF(VLOOKUP($B97,'Matriz de Referencia'!$B$2:$CO$584,'Matriz de Referencia'!CC$1,FALSE)&gt;0,"Diligenciar la vigencia, tiene presupuesto programado","No diligenciar, no programo presupuesto"),"")</f>
        <v/>
      </c>
      <c r="AQ97" s="627"/>
      <c r="AT97" s="627"/>
      <c r="AU97" s="650" t="str">
        <f t="shared" si="65"/>
        <v/>
      </c>
      <c r="AV97" s="448" t="str">
        <f t="shared" si="67"/>
        <v/>
      </c>
      <c r="AW97" s="416" t="str">
        <f t="shared" si="68"/>
        <v/>
      </c>
    </row>
    <row r="98" spans="19:49">
      <c r="S98" s="568"/>
      <c r="T98" s="414"/>
      <c r="U98" s="661" t="str">
        <f t="shared" si="66"/>
        <v>Dimensión_</v>
      </c>
      <c r="V98" s="414"/>
      <c r="W98" s="568"/>
      <c r="X98" s="449" t="str">
        <f>IFERROR(IF(VLOOKUP(B98,'Matriz de Referencia'!$B$2:$CO$584,'Matriz de Referencia'!AM$1,FALSE)&gt;0,"Diligenciar la vigencia, tiene presupuesto programado","No diligenciar, no programo presupuesto"),"")</f>
        <v/>
      </c>
      <c r="Y98" s="633"/>
      <c r="Z98" s="633"/>
      <c r="AA98" s="633"/>
      <c r="AB98" s="634"/>
      <c r="AC98" s="646" t="str">
        <f t="shared" si="69"/>
        <v/>
      </c>
      <c r="AD98" s="449" t="str">
        <f>IFERROR(IF(VLOOKUP($B98,'Matriz de Referencia'!$B$2:$CO$584,'Matriz de Referencia'!BA$1,FALSE)&gt;0,"Diligenciar la vigencia, tiene presupuesto programado","No diligenciar, no programo presupuesto"),"")</f>
        <v/>
      </c>
      <c r="AE98" s="633"/>
      <c r="AF98" s="633"/>
      <c r="AG98" s="633"/>
      <c r="AH98" s="633"/>
      <c r="AI98" s="650" t="str">
        <f>IFERROR(IF(#REF!="Mantenimiento", AVERAGE(AE98:AH98), IF(#REF!="Incremento", SUM(AE98:AH98), "")),"")</f>
        <v/>
      </c>
      <c r="AJ98" s="449" t="str">
        <f>IFERROR(IF(VLOOKUP($B98,'Matriz de Referencia'!$B$2:$CO$584,'Matriz de Referencia'!BO$1,FALSE)&gt;0,"Diligenciar la vigencia, tiene presupuesto programado","No diligenciar, no programo presupuesto"),"")</f>
        <v/>
      </c>
      <c r="AK98" s="633"/>
      <c r="AL98" s="633"/>
      <c r="AM98" s="633"/>
      <c r="AN98" s="633"/>
      <c r="AO98" s="650" t="str">
        <f t="shared" si="64"/>
        <v/>
      </c>
      <c r="AP98" s="449" t="str">
        <f>IFERROR(IF(VLOOKUP($B98,'Matriz de Referencia'!$B$2:$CO$584,'Matriz de Referencia'!CC$1,FALSE)&gt;0,"Diligenciar la vigencia, tiene presupuesto programado","No diligenciar, no programo presupuesto"),"")</f>
        <v/>
      </c>
      <c r="AQ98" s="633"/>
      <c r="AR98" s="633"/>
      <c r="AS98" s="633"/>
      <c r="AT98" s="633"/>
      <c r="AU98" s="650" t="str">
        <f t="shared" si="65"/>
        <v/>
      </c>
      <c r="AV98" s="448" t="str">
        <f t="shared" si="67"/>
        <v/>
      </c>
      <c r="AW98" s="416" t="str">
        <f t="shared" si="68"/>
        <v/>
      </c>
    </row>
    <row r="100" spans="19:49">
      <c r="AO100" s="640"/>
      <c r="AP100" s="447"/>
      <c r="AQ100" s="627"/>
      <c r="AT100" s="627"/>
      <c r="AU100" s="640"/>
      <c r="AV100" s="447"/>
      <c r="AW100" s="447"/>
    </row>
    <row r="101" spans="19:49">
      <c r="AO101" s="640"/>
      <c r="AP101" s="447"/>
      <c r="AQ101" s="627"/>
      <c r="AT101" s="627"/>
      <c r="AU101" s="640"/>
      <c r="AV101" s="447"/>
      <c r="AW101" s="447"/>
    </row>
    <row r="102" spans="19:49">
      <c r="AO102" s="640"/>
      <c r="AP102" s="447"/>
      <c r="AQ102" s="627"/>
      <c r="AT102" s="627"/>
      <c r="AU102" s="640"/>
      <c r="AV102" s="447"/>
      <c r="AW102" s="447"/>
    </row>
    <row r="103" spans="19:49">
      <c r="AO103" s="640"/>
      <c r="AP103" s="447"/>
      <c r="AQ103" s="627"/>
      <c r="AT103" s="627"/>
      <c r="AU103" s="640"/>
      <c r="AV103" s="447"/>
      <c r="AW103" s="447"/>
    </row>
    <row r="104" spans="19:49">
      <c r="AO104" s="640"/>
      <c r="AP104" s="447"/>
      <c r="AQ104" s="627"/>
      <c r="AT104" s="627"/>
      <c r="AU104" s="640"/>
      <c r="AV104" s="447"/>
      <c r="AW104" s="447"/>
    </row>
    <row r="105" spans="19:49">
      <c r="AO105" s="640"/>
      <c r="AP105" s="447"/>
      <c r="AQ105" s="627"/>
      <c r="AT105" s="627"/>
      <c r="AU105" s="640"/>
      <c r="AV105" s="447"/>
      <c r="AW105" s="447"/>
    </row>
    <row r="106" spans="19:49">
      <c r="AO106" s="640"/>
      <c r="AP106" s="447"/>
      <c r="AQ106" s="627"/>
      <c r="AT106" s="627"/>
      <c r="AU106" s="640"/>
      <c r="AV106" s="447"/>
      <c r="AW106" s="447"/>
    </row>
    <row r="107" spans="19:49">
      <c r="AO107" s="640"/>
      <c r="AP107" s="447"/>
      <c r="AQ107" s="627"/>
      <c r="AT107" s="627"/>
      <c r="AU107" s="640"/>
      <c r="AV107" s="447"/>
      <c r="AW107" s="447"/>
    </row>
    <row r="108" spans="19:49">
      <c r="AO108" s="640"/>
      <c r="AP108" s="447"/>
      <c r="AQ108" s="627"/>
      <c r="AT108" s="627"/>
      <c r="AU108" s="640"/>
      <c r="AV108" s="447"/>
      <c r="AW108" s="447"/>
    </row>
    <row r="109" spans="19:49">
      <c r="AO109" s="640"/>
      <c r="AP109" s="447"/>
      <c r="AQ109" s="627"/>
      <c r="AT109" s="627"/>
      <c r="AU109" s="640"/>
      <c r="AV109" s="447"/>
      <c r="AW109" s="447"/>
    </row>
    <row r="110" spans="19:49">
      <c r="AO110" s="640"/>
      <c r="AP110" s="447"/>
      <c r="AQ110" s="627"/>
      <c r="AT110" s="627"/>
      <c r="AU110" s="640"/>
      <c r="AV110" s="447"/>
      <c r="AW110" s="447"/>
    </row>
    <row r="111" spans="19:49">
      <c r="AO111" s="640"/>
      <c r="AP111" s="447"/>
      <c r="AQ111" s="627"/>
      <c r="AT111" s="627"/>
      <c r="AU111" s="640"/>
      <c r="AV111" s="447"/>
      <c r="AW111" s="447"/>
    </row>
    <row r="112" spans="19:49">
      <c r="AO112" s="640"/>
      <c r="AP112" s="447"/>
      <c r="AQ112" s="627"/>
      <c r="AT112" s="627"/>
      <c r="AU112" s="640"/>
      <c r="AV112" s="447"/>
      <c r="AW112" s="447"/>
    </row>
    <row r="113" spans="41:49">
      <c r="AO113" s="640"/>
      <c r="AP113" s="447"/>
      <c r="AQ113" s="627"/>
      <c r="AT113" s="627"/>
      <c r="AU113" s="640"/>
      <c r="AV113" s="447"/>
      <c r="AW113" s="447"/>
    </row>
    <row r="114" spans="41:49">
      <c r="AO114" s="640"/>
      <c r="AP114" s="447"/>
      <c r="AQ114" s="627"/>
      <c r="AT114" s="627"/>
      <c r="AU114" s="640"/>
      <c r="AV114" s="447"/>
      <c r="AW114" s="447"/>
    </row>
    <row r="115" spans="41:49">
      <c r="AO115" s="640"/>
      <c r="AP115" s="447"/>
      <c r="AQ115" s="627"/>
      <c r="AT115" s="627"/>
      <c r="AU115" s="640"/>
      <c r="AV115" s="447"/>
      <c r="AW115" s="447"/>
    </row>
    <row r="116" spans="41:49">
      <c r="AO116" s="640"/>
      <c r="AP116" s="447"/>
      <c r="AQ116" s="627"/>
      <c r="AT116" s="627"/>
      <c r="AU116" s="640"/>
      <c r="AV116" s="447"/>
      <c r="AW116" s="447"/>
    </row>
    <row r="117" spans="41:49">
      <c r="AO117" s="640"/>
      <c r="AP117" s="447"/>
      <c r="AQ117" s="627"/>
      <c r="AT117" s="627"/>
      <c r="AU117" s="640"/>
      <c r="AV117" s="447"/>
      <c r="AW117" s="447"/>
    </row>
    <row r="118" spans="41:49">
      <c r="AO118" s="640"/>
      <c r="AP118" s="447"/>
      <c r="AQ118" s="627"/>
      <c r="AT118" s="627"/>
      <c r="AU118" s="640"/>
      <c r="AV118" s="447"/>
      <c r="AW118" s="447"/>
    </row>
    <row r="119" spans="41:49">
      <c r="AO119" s="640"/>
      <c r="AP119" s="447"/>
      <c r="AQ119" s="627"/>
      <c r="AT119" s="627"/>
      <c r="AU119" s="640"/>
      <c r="AV119" s="447"/>
      <c r="AW119" s="447"/>
    </row>
    <row r="120" spans="41:49">
      <c r="AO120" s="640"/>
      <c r="AP120" s="447"/>
      <c r="AQ120" s="627"/>
      <c r="AT120" s="627"/>
      <c r="AU120" s="640"/>
      <c r="AV120" s="447"/>
      <c r="AW120" s="447"/>
    </row>
    <row r="121" spans="41:49">
      <c r="AO121" s="640"/>
      <c r="AP121" s="447"/>
      <c r="AQ121" s="627"/>
      <c r="AT121" s="627"/>
      <c r="AU121" s="640"/>
      <c r="AV121" s="447"/>
      <c r="AW121" s="447"/>
    </row>
    <row r="122" spans="41:49">
      <c r="AO122" s="640"/>
      <c r="AP122" s="447"/>
      <c r="AQ122" s="627"/>
      <c r="AT122" s="627"/>
      <c r="AU122" s="640"/>
      <c r="AV122" s="447"/>
      <c r="AW122" s="447"/>
    </row>
    <row r="123" spans="41:49">
      <c r="AO123" s="640"/>
      <c r="AP123" s="447"/>
      <c r="AQ123" s="627"/>
      <c r="AT123" s="627"/>
      <c r="AU123" s="640"/>
      <c r="AV123" s="447"/>
      <c r="AW123" s="447"/>
    </row>
    <row r="124" spans="41:49">
      <c r="AO124" s="640"/>
      <c r="AP124" s="447"/>
      <c r="AQ124" s="627"/>
      <c r="AT124" s="627"/>
      <c r="AU124" s="640"/>
      <c r="AV124" s="447"/>
      <c r="AW124" s="447"/>
    </row>
    <row r="125" spans="41:49">
      <c r="AO125" s="640"/>
      <c r="AP125" s="447"/>
      <c r="AQ125" s="627"/>
      <c r="AT125" s="627"/>
      <c r="AU125" s="640"/>
      <c r="AV125" s="447"/>
      <c r="AW125" s="447"/>
    </row>
    <row r="126" spans="41:49">
      <c r="AO126" s="640"/>
      <c r="AP126" s="447"/>
      <c r="AQ126" s="627"/>
      <c r="AT126" s="627"/>
      <c r="AU126" s="640"/>
      <c r="AV126" s="447"/>
      <c r="AW126" s="447"/>
    </row>
    <row r="127" spans="41:49">
      <c r="AO127" s="640"/>
      <c r="AP127" s="447"/>
      <c r="AQ127" s="627"/>
      <c r="AT127" s="627"/>
      <c r="AU127" s="640"/>
      <c r="AV127" s="447"/>
      <c r="AW127" s="447"/>
    </row>
    <row r="128" spans="41:49">
      <c r="AO128" s="640"/>
      <c r="AP128" s="447"/>
      <c r="AQ128" s="627"/>
      <c r="AT128" s="627"/>
      <c r="AU128" s="640"/>
      <c r="AV128" s="447"/>
      <c r="AW128" s="447"/>
    </row>
    <row r="129" spans="41:49">
      <c r="AO129" s="640"/>
      <c r="AP129" s="447"/>
      <c r="AQ129" s="627"/>
      <c r="AT129" s="627"/>
      <c r="AU129" s="640"/>
      <c r="AV129" s="447"/>
      <c r="AW129" s="447"/>
    </row>
    <row r="130" spans="41:49">
      <c r="AO130" s="640"/>
      <c r="AP130" s="447"/>
      <c r="AQ130" s="627"/>
      <c r="AT130" s="627"/>
      <c r="AU130" s="640"/>
      <c r="AV130" s="447"/>
      <c r="AW130" s="447"/>
    </row>
    <row r="131" spans="41:49">
      <c r="AO131" s="640"/>
      <c r="AP131" s="447"/>
      <c r="AQ131" s="627"/>
      <c r="AT131" s="627"/>
      <c r="AU131" s="640"/>
      <c r="AV131" s="447"/>
      <c r="AW131" s="447"/>
    </row>
    <row r="132" spans="41:49">
      <c r="AO132" s="640"/>
      <c r="AP132" s="447"/>
      <c r="AQ132" s="627"/>
      <c r="AT132" s="627"/>
      <c r="AU132" s="640"/>
      <c r="AV132" s="447"/>
      <c r="AW132" s="447"/>
    </row>
    <row r="133" spans="41:49">
      <c r="AO133" s="640"/>
      <c r="AP133" s="447"/>
      <c r="AQ133" s="627"/>
      <c r="AT133" s="627"/>
      <c r="AU133" s="640"/>
      <c r="AV133" s="447"/>
      <c r="AW133" s="447"/>
    </row>
    <row r="134" spans="41:49">
      <c r="AO134" s="640"/>
      <c r="AP134" s="447"/>
      <c r="AQ134" s="627"/>
      <c r="AT134" s="627"/>
      <c r="AU134" s="640"/>
      <c r="AV134" s="447"/>
      <c r="AW134" s="447"/>
    </row>
    <row r="135" spans="41:49">
      <c r="AO135" s="640"/>
      <c r="AP135" s="447"/>
      <c r="AQ135" s="627"/>
      <c r="AT135" s="627"/>
      <c r="AU135" s="640"/>
      <c r="AV135" s="447"/>
      <c r="AW135" s="447"/>
    </row>
    <row r="136" spans="41:49">
      <c r="AO136" s="640"/>
      <c r="AP136" s="447"/>
      <c r="AQ136" s="627"/>
      <c r="AT136" s="627"/>
      <c r="AU136" s="640"/>
      <c r="AV136" s="447"/>
      <c r="AW136" s="447"/>
    </row>
    <row r="137" spans="41:49">
      <c r="AO137" s="640"/>
      <c r="AP137" s="447"/>
      <c r="AQ137" s="627"/>
      <c r="AT137" s="627"/>
      <c r="AU137" s="640"/>
      <c r="AV137" s="447"/>
      <c r="AW137" s="447"/>
    </row>
    <row r="138" spans="41:49">
      <c r="AO138" s="640"/>
      <c r="AP138" s="447"/>
      <c r="AQ138" s="627"/>
      <c r="AT138" s="627"/>
      <c r="AU138" s="640"/>
      <c r="AV138" s="447"/>
      <c r="AW138" s="447"/>
    </row>
    <row r="139" spans="41:49">
      <c r="AO139" s="640"/>
      <c r="AP139" s="447"/>
      <c r="AQ139" s="627"/>
      <c r="AT139" s="627"/>
      <c r="AU139" s="640"/>
      <c r="AV139" s="447"/>
      <c r="AW139" s="447"/>
    </row>
    <row r="140" spans="41:49">
      <c r="AO140" s="640"/>
      <c r="AP140" s="447"/>
      <c r="AQ140" s="627"/>
      <c r="AT140" s="627"/>
      <c r="AU140" s="640"/>
      <c r="AV140" s="447"/>
      <c r="AW140" s="447"/>
    </row>
    <row r="141" spans="41:49">
      <c r="AO141" s="640"/>
      <c r="AP141" s="447"/>
      <c r="AQ141" s="627"/>
      <c r="AT141" s="627"/>
      <c r="AU141" s="640"/>
      <c r="AV141" s="447"/>
      <c r="AW141" s="447"/>
    </row>
    <row r="142" spans="41:49">
      <c r="AO142" s="640"/>
      <c r="AP142" s="447"/>
      <c r="AQ142" s="627"/>
      <c r="AT142" s="627"/>
      <c r="AU142" s="640"/>
      <c r="AV142" s="447"/>
      <c r="AW142" s="447"/>
    </row>
    <row r="143" spans="41:49">
      <c r="AO143" s="640"/>
      <c r="AP143" s="447"/>
      <c r="AQ143" s="627"/>
      <c r="AT143" s="627"/>
      <c r="AU143" s="640"/>
      <c r="AV143" s="447"/>
      <c r="AW143" s="447"/>
    </row>
    <row r="144" spans="41:49">
      <c r="AO144" s="640"/>
      <c r="AP144" s="447"/>
      <c r="AQ144" s="627"/>
      <c r="AT144" s="627"/>
      <c r="AU144" s="640"/>
      <c r="AV144" s="447"/>
      <c r="AW144" s="447"/>
    </row>
    <row r="145" spans="41:49">
      <c r="AO145" s="640"/>
      <c r="AP145" s="447"/>
      <c r="AQ145" s="627"/>
      <c r="AT145" s="627"/>
      <c r="AU145" s="640"/>
      <c r="AV145" s="447"/>
      <c r="AW145" s="447"/>
    </row>
    <row r="146" spans="41:49">
      <c r="AO146" s="640"/>
      <c r="AP146" s="447"/>
      <c r="AQ146" s="627"/>
      <c r="AT146" s="627"/>
      <c r="AU146" s="640"/>
      <c r="AV146" s="447"/>
      <c r="AW146" s="447"/>
    </row>
    <row r="147" spans="41:49">
      <c r="AO147" s="640"/>
      <c r="AP147" s="447"/>
      <c r="AQ147" s="627"/>
      <c r="AT147" s="627"/>
      <c r="AU147" s="640"/>
      <c r="AV147" s="447"/>
      <c r="AW147" s="447"/>
    </row>
    <row r="148" spans="41:49">
      <c r="AO148" s="640"/>
      <c r="AP148" s="447"/>
      <c r="AQ148" s="627"/>
      <c r="AT148" s="627"/>
      <c r="AU148" s="640"/>
      <c r="AV148" s="447"/>
      <c r="AW148" s="447"/>
    </row>
    <row r="149" spans="41:49">
      <c r="AO149" s="640"/>
      <c r="AP149" s="447"/>
      <c r="AQ149" s="627"/>
      <c r="AT149" s="627"/>
      <c r="AU149" s="640"/>
      <c r="AV149" s="447"/>
      <c r="AW149" s="447"/>
    </row>
    <row r="150" spans="41:49">
      <c r="AO150" s="640"/>
      <c r="AP150" s="447"/>
      <c r="AQ150" s="627"/>
      <c r="AT150" s="627"/>
      <c r="AU150" s="640"/>
      <c r="AV150" s="447"/>
      <c r="AW150" s="447"/>
    </row>
    <row r="151" spans="41:49">
      <c r="AO151" s="640"/>
      <c r="AP151" s="447"/>
      <c r="AQ151" s="627"/>
      <c r="AT151" s="627"/>
      <c r="AU151" s="640"/>
      <c r="AV151" s="447"/>
      <c r="AW151" s="447"/>
    </row>
    <row r="152" spans="41:49">
      <c r="AO152" s="640"/>
      <c r="AP152" s="447"/>
      <c r="AQ152" s="627"/>
      <c r="AT152" s="627"/>
      <c r="AU152" s="640"/>
      <c r="AV152" s="447"/>
      <c r="AW152" s="447"/>
    </row>
    <row r="153" spans="41:49">
      <c r="AO153" s="640"/>
      <c r="AP153" s="447"/>
      <c r="AQ153" s="627"/>
      <c r="AT153" s="627"/>
      <c r="AU153" s="640"/>
      <c r="AV153" s="447"/>
      <c r="AW153" s="447"/>
    </row>
    <row r="154" spans="41:49">
      <c r="AO154" s="640"/>
      <c r="AP154" s="447"/>
      <c r="AQ154" s="627"/>
      <c r="AT154" s="627"/>
      <c r="AU154" s="640"/>
      <c r="AV154" s="447"/>
      <c r="AW154" s="447"/>
    </row>
    <row r="155" spans="41:49">
      <c r="AO155" s="640"/>
      <c r="AP155" s="447"/>
      <c r="AQ155" s="627"/>
      <c r="AT155" s="627"/>
      <c r="AU155" s="640"/>
      <c r="AV155" s="447"/>
      <c r="AW155" s="447"/>
    </row>
    <row r="156" spans="41:49">
      <c r="AO156" s="640"/>
      <c r="AP156" s="447"/>
      <c r="AQ156" s="627"/>
      <c r="AT156" s="627"/>
      <c r="AU156" s="640"/>
      <c r="AV156" s="447"/>
      <c r="AW156" s="447"/>
    </row>
    <row r="157" spans="41:49">
      <c r="AO157" s="640"/>
      <c r="AP157" s="447"/>
      <c r="AQ157" s="627"/>
      <c r="AT157" s="627"/>
      <c r="AU157" s="640"/>
      <c r="AV157" s="447"/>
      <c r="AW157" s="447"/>
    </row>
    <row r="158" spans="41:49">
      <c r="AO158" s="640"/>
      <c r="AP158" s="447"/>
      <c r="AQ158" s="627"/>
      <c r="AT158" s="627"/>
      <c r="AU158" s="640"/>
      <c r="AV158" s="447"/>
      <c r="AW158" s="447"/>
    </row>
    <row r="159" spans="41:49">
      <c r="AO159" s="640"/>
      <c r="AP159" s="447"/>
      <c r="AQ159" s="627"/>
      <c r="AT159" s="627"/>
      <c r="AU159" s="640"/>
      <c r="AV159" s="447"/>
      <c r="AW159" s="447"/>
    </row>
    <row r="160" spans="41:49">
      <c r="AO160" s="640"/>
      <c r="AP160" s="447"/>
      <c r="AQ160" s="627"/>
      <c r="AT160" s="627"/>
      <c r="AU160" s="640"/>
      <c r="AV160" s="447"/>
      <c r="AW160" s="447"/>
    </row>
    <row r="161" spans="41:49">
      <c r="AO161" s="640"/>
      <c r="AP161" s="447"/>
      <c r="AQ161" s="627"/>
      <c r="AT161" s="627"/>
      <c r="AU161" s="640"/>
      <c r="AV161" s="447"/>
      <c r="AW161" s="447"/>
    </row>
    <row r="162" spans="41:49">
      <c r="AO162" s="640"/>
      <c r="AP162" s="447"/>
      <c r="AQ162" s="627"/>
      <c r="AT162" s="627"/>
      <c r="AU162" s="640"/>
      <c r="AV162" s="447"/>
      <c r="AW162" s="447"/>
    </row>
    <row r="163" spans="41:49">
      <c r="AO163" s="640"/>
      <c r="AP163" s="447"/>
      <c r="AQ163" s="627"/>
      <c r="AT163" s="627"/>
      <c r="AU163" s="640"/>
      <c r="AV163" s="447"/>
      <c r="AW163" s="447"/>
    </row>
    <row r="164" spans="41:49">
      <c r="AO164" s="640"/>
      <c r="AP164" s="447"/>
      <c r="AQ164" s="627"/>
      <c r="AT164" s="627"/>
      <c r="AU164" s="640"/>
      <c r="AV164" s="447"/>
      <c r="AW164" s="447"/>
    </row>
    <row r="165" spans="41:49">
      <c r="AO165" s="640"/>
      <c r="AP165" s="447"/>
      <c r="AQ165" s="627"/>
      <c r="AT165" s="627"/>
      <c r="AU165" s="640"/>
      <c r="AV165" s="447"/>
      <c r="AW165" s="447"/>
    </row>
    <row r="166" spans="41:49">
      <c r="AO166" s="640"/>
      <c r="AP166" s="447"/>
      <c r="AQ166" s="627"/>
      <c r="AT166" s="627"/>
      <c r="AU166" s="640"/>
      <c r="AV166" s="447"/>
      <c r="AW166" s="447"/>
    </row>
    <row r="167" spans="41:49">
      <c r="AO167" s="640"/>
      <c r="AP167" s="447"/>
      <c r="AQ167" s="627"/>
      <c r="AT167" s="627"/>
      <c r="AU167" s="640"/>
      <c r="AV167" s="447"/>
      <c r="AW167" s="447"/>
    </row>
    <row r="168" spans="41:49">
      <c r="AO168" s="640"/>
      <c r="AP168" s="447"/>
      <c r="AQ168" s="627"/>
      <c r="AT168" s="627"/>
      <c r="AU168" s="640"/>
      <c r="AV168" s="447"/>
      <c r="AW168" s="447"/>
    </row>
    <row r="169" spans="41:49">
      <c r="AO169" s="640"/>
      <c r="AP169" s="447"/>
      <c r="AQ169" s="627"/>
      <c r="AT169" s="627"/>
      <c r="AU169" s="640"/>
      <c r="AV169" s="447"/>
      <c r="AW169" s="447"/>
    </row>
    <row r="170" spans="41:49">
      <c r="AO170" s="640"/>
      <c r="AP170" s="447"/>
      <c r="AQ170" s="627"/>
      <c r="AT170" s="627"/>
      <c r="AU170" s="640"/>
      <c r="AV170" s="447"/>
      <c r="AW170" s="447"/>
    </row>
    <row r="171" spans="41:49">
      <c r="AO171" s="640"/>
      <c r="AP171" s="447"/>
      <c r="AQ171" s="627"/>
      <c r="AT171" s="627"/>
      <c r="AU171" s="640"/>
      <c r="AV171" s="447"/>
      <c r="AW171" s="447"/>
    </row>
    <row r="172" spans="41:49">
      <c r="AO172" s="640"/>
      <c r="AP172" s="447"/>
      <c r="AQ172" s="627"/>
      <c r="AT172" s="627"/>
      <c r="AU172" s="640"/>
      <c r="AV172" s="447"/>
      <c r="AW172" s="447"/>
    </row>
    <row r="173" spans="41:49">
      <c r="AO173" s="640"/>
      <c r="AP173" s="447"/>
      <c r="AQ173" s="627"/>
      <c r="AT173" s="627"/>
      <c r="AU173" s="640"/>
      <c r="AV173" s="447"/>
      <c r="AW173" s="447"/>
    </row>
    <row r="174" spans="41:49">
      <c r="AO174" s="640"/>
      <c r="AP174" s="447"/>
      <c r="AQ174" s="627"/>
      <c r="AT174" s="627"/>
      <c r="AU174" s="640"/>
      <c r="AV174" s="447"/>
      <c r="AW174" s="447"/>
    </row>
    <row r="175" spans="41:49">
      <c r="AO175" s="640"/>
      <c r="AP175" s="447"/>
      <c r="AQ175" s="627"/>
      <c r="AT175" s="627"/>
      <c r="AU175" s="640"/>
      <c r="AV175" s="447"/>
      <c r="AW175" s="447"/>
    </row>
    <row r="176" spans="41:49">
      <c r="AO176" s="640"/>
      <c r="AP176" s="447"/>
      <c r="AQ176" s="627"/>
      <c r="AT176" s="627"/>
      <c r="AU176" s="640"/>
      <c r="AV176" s="447"/>
      <c r="AW176" s="447"/>
    </row>
    <row r="177" spans="41:49">
      <c r="AO177" s="640"/>
      <c r="AP177" s="447"/>
      <c r="AQ177" s="627"/>
      <c r="AT177" s="627"/>
      <c r="AU177" s="640"/>
      <c r="AV177" s="447"/>
      <c r="AW177" s="447"/>
    </row>
    <row r="178" spans="41:49">
      <c r="AO178" s="640"/>
      <c r="AP178" s="447"/>
      <c r="AQ178" s="627"/>
      <c r="AT178" s="627"/>
      <c r="AU178" s="640"/>
      <c r="AV178" s="447"/>
      <c r="AW178" s="447"/>
    </row>
    <row r="179" spans="41:49">
      <c r="AO179" s="640"/>
      <c r="AP179" s="447"/>
      <c r="AQ179" s="627"/>
      <c r="AT179" s="627"/>
      <c r="AU179" s="640"/>
      <c r="AV179" s="447"/>
      <c r="AW179" s="447"/>
    </row>
    <row r="180" spans="41:49">
      <c r="AO180" s="640"/>
      <c r="AP180" s="447"/>
      <c r="AQ180" s="627"/>
      <c r="AT180" s="627"/>
      <c r="AU180" s="640"/>
      <c r="AV180" s="447"/>
      <c r="AW180" s="447"/>
    </row>
    <row r="181" spans="41:49">
      <c r="AO181" s="640"/>
      <c r="AP181" s="447"/>
      <c r="AQ181" s="627"/>
      <c r="AT181" s="627"/>
      <c r="AU181" s="640"/>
      <c r="AV181" s="447"/>
      <c r="AW181" s="447"/>
    </row>
    <row r="182" spans="41:49">
      <c r="AO182" s="640"/>
      <c r="AP182" s="447"/>
      <c r="AQ182" s="627"/>
      <c r="AT182" s="627"/>
      <c r="AU182" s="640"/>
      <c r="AV182" s="447"/>
      <c r="AW182" s="447"/>
    </row>
    <row r="183" spans="41:49">
      <c r="AO183" s="640"/>
      <c r="AP183" s="447"/>
      <c r="AQ183" s="627"/>
      <c r="AT183" s="627"/>
      <c r="AU183" s="640"/>
      <c r="AV183" s="447"/>
      <c r="AW183" s="447"/>
    </row>
    <row r="184" spans="41:49">
      <c r="AO184" s="640"/>
      <c r="AP184" s="447"/>
      <c r="AQ184" s="627"/>
      <c r="AT184" s="627"/>
      <c r="AU184" s="640"/>
      <c r="AV184" s="447"/>
      <c r="AW184" s="447"/>
    </row>
    <row r="185" spans="41:49">
      <c r="AO185" s="640"/>
      <c r="AP185" s="447"/>
      <c r="AQ185" s="627"/>
      <c r="AT185" s="627"/>
      <c r="AU185" s="640"/>
      <c r="AV185" s="447"/>
      <c r="AW185" s="447"/>
    </row>
    <row r="186" spans="41:49">
      <c r="AO186" s="640"/>
      <c r="AP186" s="447"/>
      <c r="AQ186" s="627"/>
      <c r="AT186" s="627"/>
      <c r="AU186" s="640"/>
      <c r="AV186" s="447"/>
      <c r="AW186" s="447"/>
    </row>
    <row r="187" spans="41:49">
      <c r="AO187" s="640"/>
      <c r="AP187" s="447"/>
      <c r="AQ187" s="627"/>
      <c r="AT187" s="627"/>
      <c r="AU187" s="640"/>
      <c r="AV187" s="447"/>
      <c r="AW187" s="447"/>
    </row>
    <row r="188" spans="41:49">
      <c r="AO188" s="640"/>
      <c r="AP188" s="447"/>
      <c r="AQ188" s="627"/>
      <c r="AT188" s="627"/>
      <c r="AU188" s="640"/>
      <c r="AV188" s="447"/>
      <c r="AW188" s="447"/>
    </row>
    <row r="189" spans="41:49">
      <c r="AO189" s="640"/>
      <c r="AP189" s="447"/>
      <c r="AQ189" s="627"/>
      <c r="AT189" s="627"/>
      <c r="AU189" s="640"/>
      <c r="AV189" s="447"/>
      <c r="AW189" s="447"/>
    </row>
    <row r="190" spans="41:49">
      <c r="AO190" s="640"/>
      <c r="AP190" s="447"/>
      <c r="AQ190" s="627"/>
      <c r="AT190" s="627"/>
      <c r="AU190" s="640"/>
      <c r="AV190" s="447"/>
      <c r="AW190" s="447"/>
    </row>
    <row r="191" spans="41:49">
      <c r="AO191" s="640"/>
      <c r="AP191" s="447"/>
      <c r="AQ191" s="627"/>
      <c r="AT191" s="627"/>
      <c r="AU191" s="640"/>
      <c r="AV191" s="447"/>
      <c r="AW191" s="447"/>
    </row>
    <row r="192" spans="41:49">
      <c r="AO192" s="640"/>
      <c r="AP192" s="447"/>
      <c r="AQ192" s="627"/>
      <c r="AT192" s="627"/>
      <c r="AU192" s="640"/>
      <c r="AV192" s="447"/>
      <c r="AW192" s="447"/>
    </row>
    <row r="193" spans="41:49">
      <c r="AO193" s="640"/>
      <c r="AP193" s="447"/>
      <c r="AQ193" s="627"/>
      <c r="AT193" s="627"/>
      <c r="AU193" s="640"/>
      <c r="AV193" s="447"/>
      <c r="AW193" s="447"/>
    </row>
    <row r="194" spans="41:49">
      <c r="AO194" s="640"/>
      <c r="AP194" s="447"/>
      <c r="AQ194" s="627"/>
      <c r="AT194" s="627"/>
      <c r="AU194" s="640"/>
      <c r="AV194" s="447"/>
      <c r="AW194" s="447"/>
    </row>
    <row r="195" spans="41:49">
      <c r="AO195" s="640"/>
      <c r="AP195" s="447"/>
      <c r="AQ195" s="627"/>
      <c r="AT195" s="627"/>
      <c r="AU195" s="640"/>
      <c r="AV195" s="447"/>
      <c r="AW195" s="447"/>
    </row>
    <row r="196" spans="41:49">
      <c r="AO196" s="640"/>
      <c r="AP196" s="447"/>
      <c r="AQ196" s="627"/>
      <c r="AT196" s="627"/>
      <c r="AU196" s="640"/>
      <c r="AV196" s="447"/>
      <c r="AW196" s="447"/>
    </row>
    <row r="197" spans="41:49">
      <c r="AO197" s="640"/>
      <c r="AP197" s="447"/>
      <c r="AQ197" s="627"/>
      <c r="AT197" s="627"/>
      <c r="AU197" s="640"/>
      <c r="AV197" s="447"/>
      <c r="AW197" s="447"/>
    </row>
    <row r="198" spans="41:49">
      <c r="AO198" s="640"/>
      <c r="AP198" s="447"/>
      <c r="AQ198" s="627"/>
      <c r="AT198" s="627"/>
      <c r="AU198" s="640"/>
      <c r="AV198" s="447"/>
      <c r="AW198" s="447"/>
    </row>
    <row r="199" spans="41:49">
      <c r="AO199" s="640"/>
      <c r="AP199" s="447"/>
      <c r="AQ199" s="627"/>
      <c r="AT199" s="627"/>
      <c r="AU199" s="640"/>
      <c r="AV199" s="447"/>
      <c r="AW199" s="447"/>
    </row>
    <row r="200" spans="41:49">
      <c r="AO200" s="640"/>
      <c r="AP200" s="447"/>
      <c r="AQ200" s="627"/>
      <c r="AT200" s="627"/>
      <c r="AU200" s="640"/>
      <c r="AV200" s="447"/>
      <c r="AW200" s="447"/>
    </row>
    <row r="201" spans="41:49">
      <c r="AO201" s="640"/>
      <c r="AP201" s="447"/>
      <c r="AQ201" s="627"/>
      <c r="AT201" s="627"/>
      <c r="AU201" s="640"/>
      <c r="AV201" s="447"/>
      <c r="AW201" s="447"/>
    </row>
    <row r="202" spans="41:49">
      <c r="AO202" s="640"/>
      <c r="AP202" s="447"/>
      <c r="AQ202" s="627"/>
      <c r="AT202" s="627"/>
      <c r="AU202" s="640"/>
      <c r="AV202" s="447"/>
      <c r="AW202" s="447"/>
    </row>
    <row r="203" spans="41:49">
      <c r="AO203" s="640"/>
      <c r="AP203" s="447"/>
      <c r="AQ203" s="627"/>
      <c r="AT203" s="627"/>
      <c r="AU203" s="640"/>
      <c r="AV203" s="447"/>
      <c r="AW203" s="447"/>
    </row>
    <row r="204" spans="41:49">
      <c r="AO204" s="640"/>
      <c r="AP204" s="447"/>
      <c r="AQ204" s="627"/>
      <c r="AT204" s="627"/>
      <c r="AU204" s="640"/>
      <c r="AV204" s="447"/>
      <c r="AW204" s="447"/>
    </row>
    <row r="205" spans="41:49">
      <c r="AO205" s="640"/>
      <c r="AP205" s="447"/>
      <c r="AQ205" s="627"/>
      <c r="AT205" s="627"/>
      <c r="AU205" s="640"/>
      <c r="AV205" s="447"/>
      <c r="AW205" s="447"/>
    </row>
    <row r="206" spans="41:49">
      <c r="AO206" s="640"/>
      <c r="AP206" s="447"/>
      <c r="AQ206" s="627"/>
      <c r="AT206" s="627"/>
      <c r="AU206" s="640"/>
      <c r="AV206" s="447"/>
      <c r="AW206" s="447"/>
    </row>
    <row r="207" spans="41:49">
      <c r="AO207" s="640"/>
      <c r="AP207" s="447"/>
      <c r="AQ207" s="627"/>
      <c r="AT207" s="627"/>
      <c r="AU207" s="640"/>
      <c r="AV207" s="447"/>
      <c r="AW207" s="447"/>
    </row>
    <row r="208" spans="41:49">
      <c r="AO208" s="640"/>
      <c r="AP208" s="447"/>
      <c r="AQ208" s="627"/>
      <c r="AT208" s="627"/>
      <c r="AU208" s="640"/>
      <c r="AV208" s="447"/>
      <c r="AW208" s="447"/>
    </row>
    <row r="209" spans="41:49">
      <c r="AO209" s="640"/>
      <c r="AP209" s="447"/>
      <c r="AQ209" s="627"/>
      <c r="AT209" s="627"/>
      <c r="AU209" s="640"/>
      <c r="AV209" s="447"/>
      <c r="AW209" s="447"/>
    </row>
    <row r="210" spans="41:49">
      <c r="AO210" s="640"/>
      <c r="AP210" s="447"/>
      <c r="AQ210" s="627"/>
      <c r="AT210" s="627"/>
      <c r="AU210" s="640"/>
      <c r="AV210" s="447"/>
      <c r="AW210" s="447"/>
    </row>
    <row r="211" spans="41:49">
      <c r="AO211" s="640"/>
      <c r="AP211" s="447"/>
      <c r="AQ211" s="627"/>
      <c r="AT211" s="627"/>
      <c r="AU211" s="640"/>
      <c r="AV211" s="447"/>
      <c r="AW211" s="447"/>
    </row>
    <row r="212" spans="41:49">
      <c r="AO212" s="640"/>
      <c r="AP212" s="447"/>
      <c r="AQ212" s="627"/>
      <c r="AT212" s="627"/>
      <c r="AU212" s="640"/>
      <c r="AV212" s="447"/>
      <c r="AW212" s="447"/>
    </row>
    <row r="213" spans="41:49">
      <c r="AO213" s="640"/>
      <c r="AP213" s="447"/>
      <c r="AQ213" s="627"/>
      <c r="AT213" s="627"/>
      <c r="AU213" s="640"/>
      <c r="AV213" s="447"/>
      <c r="AW213" s="447"/>
    </row>
    <row r="214" spans="41:49">
      <c r="AO214" s="640"/>
      <c r="AP214" s="447"/>
      <c r="AQ214" s="627"/>
      <c r="AT214" s="627"/>
      <c r="AU214" s="640"/>
      <c r="AV214" s="447"/>
      <c r="AW214" s="447"/>
    </row>
    <row r="215" spans="41:49">
      <c r="AO215" s="640"/>
      <c r="AP215" s="447"/>
      <c r="AQ215" s="627"/>
      <c r="AT215" s="627"/>
      <c r="AU215" s="640"/>
      <c r="AV215" s="447"/>
      <c r="AW215" s="447"/>
    </row>
    <row r="216" spans="41:49">
      <c r="AO216" s="640"/>
      <c r="AP216" s="447"/>
      <c r="AQ216" s="627"/>
      <c r="AT216" s="627"/>
      <c r="AU216" s="640"/>
      <c r="AV216" s="447"/>
      <c r="AW216" s="447"/>
    </row>
    <row r="217" spans="41:49">
      <c r="AO217" s="640"/>
      <c r="AP217" s="447"/>
      <c r="AQ217" s="627"/>
      <c r="AT217" s="627"/>
      <c r="AU217" s="640"/>
      <c r="AV217" s="447"/>
      <c r="AW217" s="447"/>
    </row>
    <row r="218" spans="41:49">
      <c r="AO218" s="640"/>
      <c r="AP218" s="447"/>
      <c r="AQ218" s="627"/>
      <c r="AT218" s="627"/>
      <c r="AU218" s="640"/>
      <c r="AV218" s="447"/>
      <c r="AW218" s="447"/>
    </row>
    <row r="219" spans="41:49">
      <c r="AO219" s="640"/>
      <c r="AP219" s="447"/>
      <c r="AQ219" s="627"/>
      <c r="AT219" s="627"/>
      <c r="AU219" s="640"/>
      <c r="AV219" s="447"/>
      <c r="AW219" s="447"/>
    </row>
    <row r="220" spans="41:49">
      <c r="AO220" s="640"/>
      <c r="AP220" s="447"/>
      <c r="AQ220" s="627"/>
      <c r="AT220" s="627"/>
      <c r="AU220" s="640"/>
      <c r="AV220" s="447"/>
      <c r="AW220" s="447"/>
    </row>
    <row r="221" spans="41:49">
      <c r="AO221" s="640"/>
      <c r="AP221" s="447"/>
      <c r="AQ221" s="627"/>
      <c r="AT221" s="627"/>
      <c r="AU221" s="640"/>
      <c r="AV221" s="447"/>
      <c r="AW221" s="447"/>
    </row>
    <row r="222" spans="41:49">
      <c r="AO222" s="640"/>
      <c r="AP222" s="447"/>
      <c r="AQ222" s="627"/>
      <c r="AT222" s="627"/>
      <c r="AU222" s="640"/>
      <c r="AV222" s="447"/>
      <c r="AW222" s="447"/>
    </row>
    <row r="223" spans="41:49">
      <c r="AO223" s="640"/>
      <c r="AP223" s="447"/>
      <c r="AQ223" s="627"/>
      <c r="AT223" s="627"/>
      <c r="AU223" s="640"/>
      <c r="AV223" s="447"/>
      <c r="AW223" s="447"/>
    </row>
    <row r="224" spans="41:49">
      <c r="AO224" s="640"/>
      <c r="AP224" s="447"/>
      <c r="AQ224" s="627"/>
      <c r="AT224" s="627"/>
      <c r="AU224" s="640"/>
      <c r="AV224" s="447"/>
      <c r="AW224" s="447"/>
    </row>
    <row r="225" spans="41:49">
      <c r="AO225" s="640"/>
      <c r="AP225" s="447"/>
      <c r="AQ225" s="627"/>
      <c r="AT225" s="627"/>
      <c r="AU225" s="640"/>
      <c r="AV225" s="447"/>
      <c r="AW225" s="447"/>
    </row>
    <row r="226" spans="41:49">
      <c r="AO226" s="640"/>
      <c r="AP226" s="447"/>
      <c r="AQ226" s="627"/>
      <c r="AT226" s="627"/>
      <c r="AU226" s="640"/>
      <c r="AV226" s="447"/>
      <c r="AW226" s="447"/>
    </row>
    <row r="227" spans="41:49">
      <c r="AO227" s="640"/>
      <c r="AP227" s="447"/>
      <c r="AQ227" s="627"/>
      <c r="AT227" s="627"/>
      <c r="AU227" s="640"/>
      <c r="AV227" s="447"/>
      <c r="AW227" s="447"/>
    </row>
    <row r="228" spans="41:49">
      <c r="AO228" s="640"/>
      <c r="AP228" s="447"/>
      <c r="AQ228" s="627"/>
      <c r="AT228" s="627"/>
      <c r="AU228" s="640"/>
      <c r="AV228" s="447"/>
      <c r="AW228" s="447"/>
    </row>
    <row r="229" spans="41:49">
      <c r="AO229" s="640"/>
      <c r="AP229" s="447"/>
      <c r="AQ229" s="627"/>
      <c r="AT229" s="627"/>
      <c r="AU229" s="640"/>
      <c r="AV229" s="447"/>
      <c r="AW229" s="447"/>
    </row>
    <row r="230" spans="41:49">
      <c r="AO230" s="640"/>
      <c r="AP230" s="447"/>
      <c r="AQ230" s="627"/>
      <c r="AT230" s="627"/>
      <c r="AU230" s="640"/>
      <c r="AV230" s="447"/>
      <c r="AW230" s="447"/>
    </row>
    <row r="231" spans="41:49">
      <c r="AO231" s="640"/>
      <c r="AP231" s="447"/>
      <c r="AQ231" s="627"/>
      <c r="AT231" s="627"/>
      <c r="AU231" s="640"/>
      <c r="AV231" s="447"/>
      <c r="AW231" s="447"/>
    </row>
    <row r="232" spans="41:49">
      <c r="AO232" s="640"/>
      <c r="AP232" s="447"/>
      <c r="AQ232" s="627"/>
      <c r="AT232" s="627"/>
      <c r="AU232" s="640"/>
      <c r="AV232" s="447"/>
      <c r="AW232" s="447"/>
    </row>
    <row r="233" spans="41:49">
      <c r="AO233" s="640"/>
      <c r="AP233" s="447"/>
      <c r="AQ233" s="627"/>
      <c r="AT233" s="627"/>
      <c r="AU233" s="640"/>
      <c r="AV233" s="447"/>
      <c r="AW233" s="447"/>
    </row>
    <row r="234" spans="41:49">
      <c r="AO234" s="640"/>
      <c r="AP234" s="447"/>
      <c r="AQ234" s="627"/>
      <c r="AT234" s="627"/>
      <c r="AU234" s="640"/>
      <c r="AV234" s="447"/>
      <c r="AW234" s="447"/>
    </row>
    <row r="235" spans="41:49">
      <c r="AO235" s="640"/>
      <c r="AP235" s="447"/>
      <c r="AQ235" s="627"/>
      <c r="AT235" s="627"/>
      <c r="AU235" s="640"/>
      <c r="AV235" s="447"/>
      <c r="AW235" s="447"/>
    </row>
    <row r="236" spans="41:49">
      <c r="AO236" s="640"/>
      <c r="AP236" s="447"/>
      <c r="AQ236" s="627"/>
      <c r="AT236" s="627"/>
      <c r="AU236" s="640"/>
      <c r="AV236" s="447"/>
      <c r="AW236" s="447"/>
    </row>
    <row r="237" spans="41:49">
      <c r="AO237" s="640"/>
      <c r="AP237" s="447"/>
      <c r="AQ237" s="627"/>
      <c r="AT237" s="627"/>
      <c r="AU237" s="640"/>
      <c r="AV237" s="447"/>
      <c r="AW237" s="447"/>
    </row>
    <row r="238" spans="41:49">
      <c r="AO238" s="640"/>
      <c r="AP238" s="447"/>
      <c r="AQ238" s="627"/>
      <c r="AT238" s="627"/>
      <c r="AU238" s="640"/>
      <c r="AV238" s="447"/>
      <c r="AW238" s="447"/>
    </row>
    <row r="239" spans="41:49">
      <c r="AO239" s="640"/>
      <c r="AP239" s="447"/>
      <c r="AQ239" s="627"/>
      <c r="AT239" s="627"/>
      <c r="AU239" s="640"/>
      <c r="AV239" s="447"/>
      <c r="AW239" s="447"/>
    </row>
    <row r="240" spans="41:49">
      <c r="AO240" s="640"/>
      <c r="AP240" s="447"/>
      <c r="AQ240" s="627"/>
      <c r="AT240" s="627"/>
      <c r="AU240" s="640"/>
      <c r="AV240" s="447"/>
      <c r="AW240" s="447"/>
    </row>
    <row r="241" spans="41:49">
      <c r="AO241" s="640"/>
      <c r="AP241" s="447"/>
      <c r="AQ241" s="627"/>
      <c r="AT241" s="627"/>
      <c r="AU241" s="640"/>
      <c r="AV241" s="447"/>
      <c r="AW241" s="447"/>
    </row>
    <row r="242" spans="41:49">
      <c r="AO242" s="640"/>
      <c r="AP242" s="447"/>
      <c r="AQ242" s="627"/>
      <c r="AT242" s="627"/>
      <c r="AU242" s="640"/>
      <c r="AV242" s="447"/>
      <c r="AW242" s="447"/>
    </row>
    <row r="243" spans="41:49">
      <c r="AO243" s="640"/>
      <c r="AP243" s="447"/>
      <c r="AQ243" s="627"/>
      <c r="AT243" s="627"/>
      <c r="AU243" s="640"/>
      <c r="AV243" s="447"/>
      <c r="AW243" s="447"/>
    </row>
    <row r="244" spans="41:49">
      <c r="AO244" s="640"/>
      <c r="AP244" s="447"/>
      <c r="AQ244" s="627"/>
      <c r="AT244" s="627"/>
      <c r="AU244" s="640"/>
      <c r="AV244" s="447"/>
      <c r="AW244" s="447"/>
    </row>
    <row r="245" spans="41:49">
      <c r="AO245" s="640"/>
      <c r="AP245" s="447"/>
      <c r="AQ245" s="627"/>
      <c r="AT245" s="627"/>
      <c r="AU245" s="640"/>
      <c r="AV245" s="447"/>
      <c r="AW245" s="447"/>
    </row>
    <row r="246" spans="41:49">
      <c r="AO246" s="640"/>
      <c r="AP246" s="447"/>
      <c r="AQ246" s="627"/>
      <c r="AT246" s="627"/>
      <c r="AU246" s="640"/>
      <c r="AV246" s="447"/>
      <c r="AW246" s="447"/>
    </row>
    <row r="247" spans="41:49">
      <c r="AO247" s="640"/>
      <c r="AP247" s="447"/>
      <c r="AQ247" s="627"/>
      <c r="AT247" s="627"/>
      <c r="AU247" s="640"/>
      <c r="AV247" s="447"/>
      <c r="AW247" s="447"/>
    </row>
    <row r="248" spans="41:49">
      <c r="AO248" s="640"/>
      <c r="AP248" s="447"/>
      <c r="AQ248" s="627"/>
      <c r="AT248" s="627"/>
      <c r="AU248" s="640"/>
      <c r="AV248" s="447"/>
      <c r="AW248" s="447"/>
    </row>
    <row r="249" spans="41:49">
      <c r="AO249" s="640"/>
      <c r="AP249" s="447"/>
      <c r="AQ249" s="627"/>
      <c r="AT249" s="627"/>
      <c r="AU249" s="640"/>
      <c r="AV249" s="447"/>
      <c r="AW249" s="447"/>
    </row>
    <row r="250" spans="41:49">
      <c r="AO250" s="640"/>
      <c r="AP250" s="447"/>
      <c r="AQ250" s="627"/>
      <c r="AT250" s="627"/>
      <c r="AU250" s="640"/>
      <c r="AV250" s="447"/>
      <c r="AW250" s="447"/>
    </row>
    <row r="251" spans="41:49">
      <c r="AO251" s="640"/>
      <c r="AP251" s="447"/>
      <c r="AQ251" s="627"/>
      <c r="AT251" s="627"/>
      <c r="AU251" s="640"/>
      <c r="AV251" s="447"/>
      <c r="AW251" s="447"/>
    </row>
    <row r="252" spans="41:49">
      <c r="AO252" s="640"/>
      <c r="AP252" s="447"/>
      <c r="AQ252" s="627"/>
      <c r="AT252" s="627"/>
      <c r="AU252" s="640"/>
      <c r="AV252" s="447"/>
      <c r="AW252" s="447"/>
    </row>
  </sheetData>
  <sheetProtection algorithmName="SHA-512" hashValue="IGLXvUjIrB7bBHPBldH0m33Y5t/eHeUhqrfBvBeaB1v/2rd3Z4wNKlGaWE6gbe4hijCGN3mDg5VxiDjhKOqM1A==" saltValue="TCliPBhShyJCGsdiQHZLFw==" spinCount="100000" sheet="1" formatCells="0" formatColumns="0" formatRows="0" insertColumns="0" insertRows="0" sort="0" autoFilter="0"/>
  <conditionalFormatting sqref="S2:S98">
    <cfRule type="cellIs" dxfId="77" priority="5" operator="equal">
      <formula>"Ok, Continue"</formula>
    </cfRule>
    <cfRule type="cellIs" dxfId="76" priority="6" operator="equal">
      <formula>"Error, el promedio no coincide con la meta del cuatrienio"</formula>
    </cfRule>
  </conditionalFormatting>
  <conditionalFormatting sqref="AP1:AP99 X1:X1048576 AD1:AD1048576 AJ1:AJ1048576">
    <cfRule type="cellIs" dxfId="75" priority="24" operator="equal">
      <formula>"No diligenciar, no programo presupuesto"</formula>
    </cfRule>
    <cfRule type="cellIs" dxfId="74" priority="25" operator="equal">
      <formula>"Diligenciar la vigencia, tiene presupuesto programado"</formula>
    </cfRule>
  </conditionalFormatting>
  <conditionalFormatting sqref="AP253:AP1048576">
    <cfRule type="cellIs" dxfId="73" priority="18" operator="equal">
      <formula>"No diligenciar, no programo presupuesto"</formula>
    </cfRule>
    <cfRule type="cellIs" dxfId="72" priority="19" operator="equal">
      <formula>"Diligenciar la vigencia, tiene presupuesto programado"</formula>
    </cfRule>
  </conditionalFormatting>
  <conditionalFormatting sqref="AV1">
    <cfRule type="cellIs" dxfId="71" priority="16" operator="equal">
      <formula>"No diligenciar, no programo presupuesto"</formula>
    </cfRule>
    <cfRule type="cellIs" dxfId="70" priority="17" operator="equal">
      <formula>"Diligenciar la vigencia, tiene presupuesto programado"</formula>
    </cfRule>
  </conditionalFormatting>
  <conditionalFormatting sqref="AW1:AW99">
    <cfRule type="cellIs" dxfId="69" priority="1" operator="equal">
      <formula>"Ok, Continue"</formula>
    </cfRule>
    <cfRule type="cellIs" dxfId="68" priority="2" operator="equal">
      <formula>"Error, el promedio no coincide con la meta del cuatrienio"</formula>
    </cfRule>
  </conditionalFormatting>
  <conditionalFormatting sqref="AW253:AW1048576">
    <cfRule type="cellIs" dxfId="67" priority="26" operator="equal">
      <formula>"Ok, Continue"</formula>
    </cfRule>
    <cfRule type="cellIs" dxfId="66" priority="27" operator="equal">
      <formula>"Error, el promedio no coincide con la meta del cuatrienio"</formula>
    </cfRule>
  </conditionalFormatting>
  <conditionalFormatting sqref="AX2:JV20">
    <cfRule type="cellIs" dxfId="65" priority="7" operator="equal">
      <formula>"Digite"</formula>
    </cfRule>
  </conditionalFormatting>
  <conditionalFormatting sqref="DC1:DC20">
    <cfRule type="cellIs" dxfId="64" priority="14" operator="equal">
      <formula>"Techos ok, cotinue"</formula>
    </cfRule>
    <cfRule type="cellIs" dxfId="63" priority="15" operator="equal">
      <formula>"Debe revisar el valor programado"</formula>
    </cfRule>
  </conditionalFormatting>
  <conditionalFormatting sqref="FI1:FI20">
    <cfRule type="cellIs" dxfId="62" priority="12" operator="equal">
      <formula>"Techos ok, cotinue"</formula>
    </cfRule>
    <cfRule type="cellIs" dxfId="61" priority="13" operator="equal">
      <formula>"Debe revisar el valor programado"</formula>
    </cfRule>
  </conditionalFormatting>
  <conditionalFormatting sqref="HO1:HO20">
    <cfRule type="cellIs" dxfId="60" priority="10" operator="equal">
      <formula>"Techos ok, cotinue"</formula>
    </cfRule>
    <cfRule type="cellIs" dxfId="59" priority="11" operator="equal">
      <formula>"Debe revisar el valor programado"</formula>
    </cfRule>
  </conditionalFormatting>
  <conditionalFormatting sqref="JU1:JU20">
    <cfRule type="cellIs" dxfId="58" priority="8" operator="equal">
      <formula>"Techos ok, cotinue"</formula>
    </cfRule>
    <cfRule type="cellIs" dxfId="57" priority="9" operator="equal">
      <formula>"Debe revisar el valor programado"</formula>
    </cfRule>
  </conditionalFormatting>
  <dataValidations count="2">
    <dataValidation type="whole" allowBlank="1" showInputMessage="1" showErrorMessage="1" errorTitle="Error en el tipo de dato" error="No ha insertado un dato númerico valido, por favor rectifique el dato ingresado" sqref="AX1:BJ1 DD1:DP1 FJ1:FV1 HP1:IB1" xr:uid="{E816BE59-FBB6-4CB5-8D0D-FFF965C07704}">
      <formula1>0</formula1>
      <formula2>999999999999</formula2>
    </dataValidation>
    <dataValidation type="list" allowBlank="1" showInputMessage="1" showErrorMessage="1" sqref="V2:V98" xr:uid="{355D1073-565A-4AC0-A0FA-B93F30A37BBB}">
      <formula1>INDIRECT(U2)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showInputMessage="1" showErrorMessage="1" xr:uid="{E2FB0191-3F2F-4627-89CC-FD9AF571F14F}">
          <x14:formula1>
            <xm:f>'Listas Desplegables'!$Q$2:$Q$4</xm:f>
          </x14:formula1>
          <xm:sqref>S1</xm:sqref>
        </x14:dataValidation>
        <x14:dataValidation type="list" allowBlank="1" showInputMessage="1" showErrorMessage="1" xr:uid="{6A660E45-64C8-4C5C-BD74-AD7CC36CE415}">
          <x14:formula1>
            <xm:f>'Listas Desplegables'!$S$2:$S$25</xm:f>
          </x14:formula1>
          <xm:sqref>W2:W98</xm:sqref>
        </x14:dataValidation>
        <x14:dataValidation type="list" allowBlank="1" showInputMessage="1" showErrorMessage="1" xr:uid="{877C4012-02C4-430D-A769-EE99D75C0304}">
          <x14:formula1>
            <xm:f>'Listas Desplegables'!$Q$2:$Q$4</xm:f>
          </x14:formula1>
          <xm:sqref>S2:S98</xm:sqref>
        </x14:dataValidation>
        <x14:dataValidation type="list" allowBlank="1" showInputMessage="1" showErrorMessage="1" xr:uid="{E9A7DC8C-4C34-47C2-9B50-C02FF8E5263B}">
          <x14:formula1>
            <xm:f>'Listas Desplegables'!$E$2:$E$6</xm:f>
          </x14:formula1>
          <xm:sqref>T2:T98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AD88-8C16-4CE4-B1A4-00AE6743A1E8}">
  <sheetPr>
    <tabColor rgb="FF808080"/>
  </sheetPr>
  <dimension ref="B1:AG253"/>
  <sheetViews>
    <sheetView topLeftCell="C1" workbookViewId="0">
      <selection activeCell="C1" sqref="C1"/>
    </sheetView>
  </sheetViews>
  <sheetFormatPr baseColWidth="10" defaultRowHeight="13.8"/>
  <cols>
    <col min="1" max="1" width="0" hidden="1" customWidth="1"/>
    <col min="2" max="2" width="7.69921875" hidden="1" customWidth="1"/>
    <col min="3" max="3" width="24.09765625" style="349" customWidth="1"/>
    <col min="4" max="4" width="35.8984375" bestFit="1" customWidth="1"/>
    <col min="5" max="5" width="44.59765625" customWidth="1"/>
    <col min="6" max="6" width="13.59765625" customWidth="1"/>
    <col min="7" max="7" width="45.69921875" style="446" bestFit="1" customWidth="1"/>
    <col min="8" max="8" width="7.19921875" style="626" customWidth="1"/>
    <col min="9" max="10" width="7.19921875" style="627" customWidth="1"/>
    <col min="11" max="11" width="7.19921875" style="628" customWidth="1"/>
    <col min="12" max="12" width="9.69921875" style="637" customWidth="1"/>
    <col min="13" max="13" width="45.69921875" style="446" bestFit="1" customWidth="1"/>
    <col min="14" max="14" width="7.19921875" style="626" customWidth="1"/>
    <col min="15" max="16" width="7.19921875" style="627" customWidth="1"/>
    <col min="17" max="17" width="7.19921875" style="628" customWidth="1"/>
    <col min="18" max="18" width="10.59765625" style="637" customWidth="1"/>
    <col min="19" max="19" width="45.69921875" style="446" bestFit="1" customWidth="1"/>
    <col min="20" max="20" width="7.19921875" style="626" customWidth="1"/>
    <col min="21" max="22" width="7.19921875" style="627" customWidth="1"/>
    <col min="23" max="23" width="7.19921875" style="628" customWidth="1"/>
    <col min="24" max="24" width="10.69921875" style="637" customWidth="1"/>
    <col min="25" max="25" width="34.296875" style="446" customWidth="1"/>
    <col min="26" max="26" width="7.19921875" style="626" customWidth="1"/>
    <col min="27" max="28" width="7.19921875" style="627" customWidth="1"/>
    <col min="29" max="29" width="7.19921875" style="628" customWidth="1"/>
    <col min="30" max="30" width="12.19921875" style="637" customWidth="1"/>
    <col min="31" max="31" width="11.69921875" style="427" customWidth="1"/>
    <col min="32" max="32" width="36.69921875" style="428" hidden="1" customWidth="1"/>
  </cols>
  <sheetData>
    <row r="1" spans="3:33" ht="39" customHeight="1" thickBot="1">
      <c r="C1" s="406" t="s">
        <v>6336</v>
      </c>
      <c r="D1" s="406" t="s">
        <v>6338</v>
      </c>
      <c r="E1" s="406" t="s">
        <v>6339</v>
      </c>
      <c r="F1" s="406" t="s">
        <v>5040</v>
      </c>
      <c r="G1" s="408" t="s">
        <v>5648</v>
      </c>
      <c r="H1" s="651" t="s">
        <v>5034</v>
      </c>
      <c r="I1" s="651" t="s">
        <v>5035</v>
      </c>
      <c r="J1" s="651" t="s">
        <v>5036</v>
      </c>
      <c r="K1" s="651" t="s">
        <v>5037</v>
      </c>
      <c r="L1" s="652" t="s">
        <v>3974</v>
      </c>
      <c r="M1" s="408" t="s">
        <v>5649</v>
      </c>
      <c r="N1" s="651" t="s">
        <v>5075</v>
      </c>
      <c r="O1" s="651" t="s">
        <v>5076</v>
      </c>
      <c r="P1" s="651" t="s">
        <v>5077</v>
      </c>
      <c r="Q1" s="651" t="s">
        <v>5078</v>
      </c>
      <c r="R1" s="652" t="s">
        <v>3975</v>
      </c>
      <c r="S1" s="408" t="s">
        <v>5650</v>
      </c>
      <c r="T1" s="651" t="s">
        <v>5079</v>
      </c>
      <c r="U1" s="651" t="s">
        <v>5080</v>
      </c>
      <c r="V1" s="651" t="s">
        <v>5081</v>
      </c>
      <c r="W1" s="651" t="s">
        <v>5082</v>
      </c>
      <c r="X1" s="652" t="s">
        <v>3976</v>
      </c>
      <c r="Y1" s="408" t="s">
        <v>6179</v>
      </c>
      <c r="Z1" s="651" t="s">
        <v>5083</v>
      </c>
      <c r="AA1" s="651" t="s">
        <v>5084</v>
      </c>
      <c r="AB1" s="651" t="s">
        <v>5085</v>
      </c>
      <c r="AC1" s="651" t="s">
        <v>5086</v>
      </c>
      <c r="AD1" s="652" t="s">
        <v>3977</v>
      </c>
      <c r="AE1" s="450" t="s">
        <v>6337</v>
      </c>
      <c r="AF1" s="451" t="s">
        <v>5041</v>
      </c>
      <c r="AG1" s="1"/>
    </row>
    <row r="2" spans="3:33">
      <c r="C2" s="349" t="str" cm="1">
        <f t="array" ref="C2">IFERROR(_xlfn._xlws.FILTER('Parte Estrategica'!B:B, 'Parte Estrategica'!BC:BC='Listas Desplegables'!$Q$2), "")</f>
        <v/>
      </c>
      <c r="D2" t="str" cm="1">
        <f t="array" ref="D2">IFERROR(_xlfn._xlws.FILTER('Parte Estrategica'!L:L, 'Parte Estrategica'!BC:BC='Listas Desplegables'!$Q$2), "")</f>
        <v/>
      </c>
      <c r="E2" t="str" cm="1">
        <f t="array" ref="E2">IFERROR(_xlfn._xlws.FILTER('Parte Estrategica'!M:M, 'Parte Estrategica'!BC:BC='Listas Desplegables'!$Q$2), "")</f>
        <v/>
      </c>
      <c r="F2" t="str" cm="1">
        <f t="array" ref="F2">IFERROR(_xlfn._xlws.FILTER('Parte Estrategica'!Z:Z, 'Parte Estrategica'!BC:BC='Listas Desplegables'!$Q$2), "")</f>
        <v/>
      </c>
      <c r="G2" s="449" t="str">
        <f>IFERROR(IF(VLOOKUP(C2,'Matriz de Referencia'!$B$2:$CO$584,'Matriz de Referencia'!AM$1,FALSE)&gt;0,"Diligenciar la vigencia, tiene presupuesto programado","No diligenciar, no programo presupuesto"),"")</f>
        <v/>
      </c>
      <c r="H2" s="649"/>
      <c r="I2" s="649"/>
      <c r="J2" s="649"/>
      <c r="K2" s="649"/>
      <c r="L2" s="650" t="str">
        <f>IFERROR(IF($F2="Mantenimiento", AVERAGE(H2:K2), IF($F2="Incremento", SUM(H2:K2), "")),"")</f>
        <v/>
      </c>
      <c r="M2" s="449" t="str">
        <f>IFERROR(IF(VLOOKUP($C2,'Matriz de Referencia'!$B$2:$CO$584,'Matriz de Referencia'!BA$1,FALSE)&gt;0,"Diligenciar la vigencia, tiene presupuesto programado","No diligenciar, no programo presupuesto"),"")</f>
        <v/>
      </c>
      <c r="N2" s="624"/>
      <c r="O2" s="624"/>
      <c r="P2" s="624"/>
      <c r="Q2" s="624"/>
      <c r="R2" s="650" t="str">
        <f>IFERROR(IF($F2="Mantenimiento", AVERAGE(N2:Q2), IF($F2="Incremento", SUM(N2:Q2), "")),"")</f>
        <v/>
      </c>
      <c r="S2" s="449" t="str">
        <f>IFERROR(IF(VLOOKUP($C2,'Matriz de Referencia'!$B$2:$CO$584,'Matriz de Referencia'!BO$1,FALSE)&gt;0,"Diligenciar la vigencia, tiene presupuesto programado","No diligenciar, no programo presupuesto"),"")</f>
        <v/>
      </c>
      <c r="T2" s="624"/>
      <c r="U2" s="624"/>
      <c r="V2" s="624"/>
      <c r="W2" s="624"/>
      <c r="X2" s="650" t="str">
        <f>IFERROR(IF($F2="Mantenimiento", AVERAGE(T2:W2), IF($F2="Incremento", SUM(T2:W2), "")),"")</f>
        <v/>
      </c>
      <c r="Y2" s="449" t="str">
        <f>IFERROR(IF(VLOOKUP($C2,'Matriz de Referencia'!$B$2:$CO$584,'Matriz de Referencia'!CC$1,FALSE)&gt;0,"Diligenciar la vigencia, tiene presupuesto programado","No diligenciar, no programo presupuesto"),"")</f>
        <v/>
      </c>
      <c r="Z2" s="624"/>
      <c r="AA2" s="624"/>
      <c r="AB2" s="624"/>
      <c r="AC2" s="624"/>
      <c r="AD2" s="650" t="str">
        <f>IFERROR(IF($F2="Mantenimiento", AVERAGE(Z2:AC2), IF($F2="Incremento", SUM(Z2:AC2), "")),"")</f>
        <v/>
      </c>
      <c r="AE2" s="448" t="str">
        <f>IFERROR(IF(F2="Incremento",AD2+X2+R2+L2,AVERAGE(AD2,X2,R2,L2)),"")</f>
        <v/>
      </c>
      <c r="AF2" s="416" t="str">
        <f>IF(AE2="","",IF(F2="Incremento",IF(AE2=(VLOOKUP(C2,Tabla7[[#Headers],[Codigo Interno]:[META]],13,FALSE)-VLOOKUP(C2,Tabla7[[#Headers],[Codigo Interno]:[META]],15,FALSE)),"Continue",IF(F2="Mantenimiento",IF(AE2=VLOOKUP(C2,Tabla7[[#Headers],[Codigo Interno]:[META]],15,FALSE),"Continue","Su Programación es diferente a la meta, revise para continuar"),"Su Programación es diferente a la meta, revise para continuar"))))</f>
        <v/>
      </c>
    </row>
    <row r="3" spans="3:33">
      <c r="G3" s="449" t="str">
        <f>IFERROR(IF(VLOOKUP(C3,'Matriz de Referencia'!$B$2:$CO$584,'Matriz de Referencia'!AM$1,FALSE)&gt;0,"Diligenciar la vigencia, tiene presupuesto programado","No diligenciar, no programo presupuesto"),"")</f>
        <v/>
      </c>
      <c r="H3" s="649"/>
      <c r="I3" s="649"/>
      <c r="J3" s="649"/>
      <c r="K3" s="649"/>
      <c r="L3" s="650" t="str">
        <f t="shared" ref="L3:L66" si="0">IFERROR(IF($F3="Mantenimiento", AVERAGE(H3:K3), IF($F3="Incremento", SUM(H3:K3), "")),"")</f>
        <v/>
      </c>
      <c r="M3" s="449" t="str">
        <f>IFERROR(IF(VLOOKUP($C3,'Matriz de Referencia'!$B$2:$CO$584,'Matriz de Referencia'!BA$1,FALSE)&gt;0,"Diligenciar la vigencia, tiene presupuesto programado","No diligenciar, no programo presupuesto"),"")</f>
        <v/>
      </c>
      <c r="N3" s="627"/>
      <c r="Q3" s="627"/>
      <c r="R3" s="650" t="str">
        <f t="shared" ref="R3:R66" si="1">IFERROR(IF($F3="Mantenimiento", AVERAGE(N3:Q3), IF($F3="Incremento", SUM(N3:Q3), "")),"")</f>
        <v/>
      </c>
      <c r="S3" s="449" t="str">
        <f>IFERROR(IF(VLOOKUP($C3,'Matriz de Referencia'!$B$2:$CO$584,'Matriz de Referencia'!BO$1,FALSE)&gt;0,"Diligenciar la vigencia, tiene presupuesto programado","No diligenciar, no programo presupuesto"),"")</f>
        <v/>
      </c>
      <c r="T3" s="627"/>
      <c r="W3" s="627"/>
      <c r="X3" s="650" t="str">
        <f t="shared" ref="X3:X66" si="2">IFERROR(IF($F3="Mantenimiento", AVERAGE(T3:W3), IF($F3="Incremento", SUM(T3:W3), "")),"")</f>
        <v/>
      </c>
      <c r="Y3" s="449" t="str">
        <f>IFERROR(IF(VLOOKUP($C3,'Matriz de Referencia'!$B$2:$CO$584,'Matriz de Referencia'!CC$1,FALSE)&gt;0,"Diligenciar la vigencia, tiene presupuesto programado","No diligenciar, no programo presupuesto"),"")</f>
        <v/>
      </c>
      <c r="Z3" s="627"/>
      <c r="AC3" s="627"/>
      <c r="AD3" s="650" t="str">
        <f t="shared" ref="AD3:AD66" si="3">IFERROR(IF($F3="Mantenimiento", AVERAGE(Z3:AC3), IF($F3="Incremento", SUM(Z3:AC3), "")),"")</f>
        <v/>
      </c>
      <c r="AE3" s="448" t="str">
        <f t="shared" ref="AE3:AE66" si="4">IFERROR(IF(F3="Incremento",AD3+X3+R3+L3,AVERAGE(AD3,X3,R3,L3)),"")</f>
        <v/>
      </c>
      <c r="AF3" s="416" t="str">
        <f>IF(AE3="","",IF(F3="Incremento",IF(AE3=(VLOOKUP(C3,Tabla7[[#Headers],[Codigo Interno]:[META]],13,FALSE)-VLOOKUP(C3,Tabla7[[#Headers],[Codigo Interno]:[META]],15,FALSE)),"Continue",IF(F3="Mantenimiento",IF(AE3=VLOOKUP(C3,Tabla7[[#Headers],[Codigo Interno]:[META]],15,FALSE),"Continue","Su Programación es diferente a la meta, revise para continuar"),"Su Programación es diferente a la meta, revise para continuar"))))</f>
        <v/>
      </c>
    </row>
    <row r="4" spans="3:33">
      <c r="G4" s="449" t="str">
        <f>IFERROR(IF(VLOOKUP(C4,'Matriz de Referencia'!$B$2:$CO$584,'Matriz de Referencia'!AM$1,FALSE)&gt;0,"Diligenciar la vigencia, tiene presupuesto programado","No diligenciar, no programo presupuesto"),"")</f>
        <v/>
      </c>
      <c r="H4" s="649"/>
      <c r="I4" s="649"/>
      <c r="J4" s="649"/>
      <c r="K4" s="649"/>
      <c r="L4" s="650" t="str">
        <f t="shared" si="0"/>
        <v/>
      </c>
      <c r="M4" s="449" t="str">
        <f>IFERROR(IF(VLOOKUP($C4,'Matriz de Referencia'!$B$2:$CO$584,'Matriz de Referencia'!BA$1,FALSE)&gt;0,"Diligenciar la vigencia, tiene presupuesto programado","No diligenciar, no programo presupuesto"),"")</f>
        <v/>
      </c>
      <c r="N4" s="627"/>
      <c r="Q4" s="627"/>
      <c r="R4" s="650" t="str">
        <f t="shared" si="1"/>
        <v/>
      </c>
      <c r="S4" s="449" t="str">
        <f>IFERROR(IF(VLOOKUP($C4,'Matriz de Referencia'!$B$2:$CO$584,'Matriz de Referencia'!BO$1,FALSE)&gt;0,"Diligenciar la vigencia, tiene presupuesto programado","No diligenciar, no programo presupuesto"),"")</f>
        <v/>
      </c>
      <c r="T4" s="627"/>
      <c r="W4" s="627"/>
      <c r="X4" s="650" t="str">
        <f t="shared" si="2"/>
        <v/>
      </c>
      <c r="Y4" s="449" t="str">
        <f>IFERROR(IF(VLOOKUP($C4,'Matriz de Referencia'!$B$2:$CO$584,'Matriz de Referencia'!CC$1,FALSE)&gt;0,"Diligenciar la vigencia, tiene presupuesto programado","No diligenciar, no programo presupuesto"),"")</f>
        <v/>
      </c>
      <c r="Z4" s="627"/>
      <c r="AC4" s="627"/>
      <c r="AD4" s="650" t="str">
        <f t="shared" si="3"/>
        <v/>
      </c>
      <c r="AE4" s="448" t="str">
        <f t="shared" si="4"/>
        <v/>
      </c>
      <c r="AF4" s="416" t="str">
        <f>IF(AE4="","",IF(F4="Incremento",IF(AE4=(VLOOKUP(C4,Tabla7[[#Headers],[Codigo Interno]:[META]],13,FALSE)-VLOOKUP(C4,Tabla7[[#Headers],[Codigo Interno]:[META]],15,FALSE)),"Continue",IF(F4="Mantenimiento",IF(AE4=VLOOKUP(C4,Tabla7[[#Headers],[Codigo Interno]:[META]],15,FALSE),"Continue","Su Programación es diferente a la meta, revise para continuar"),"Su Programación es diferente a la meta, revise para continuar"))))</f>
        <v/>
      </c>
    </row>
    <row r="5" spans="3:33">
      <c r="G5" s="449" t="str">
        <f>IFERROR(IF(VLOOKUP(C5,'Matriz de Referencia'!$B$2:$CO$584,'Matriz de Referencia'!AM$1,FALSE)&gt;0,"Diligenciar la vigencia, tiene presupuesto programado","No diligenciar, no programo presupuesto"),"")</f>
        <v/>
      </c>
      <c r="H5" s="649"/>
      <c r="I5" s="649"/>
      <c r="J5" s="649"/>
      <c r="K5" s="649"/>
      <c r="L5" s="650" t="str">
        <f t="shared" si="0"/>
        <v/>
      </c>
      <c r="M5" s="449" t="str">
        <f>IFERROR(IF(VLOOKUP($C5,'Matriz de Referencia'!$B$2:$CO$584,'Matriz de Referencia'!BA$1,FALSE)&gt;0,"Diligenciar la vigencia, tiene presupuesto programado","No diligenciar, no programo presupuesto"),"")</f>
        <v/>
      </c>
      <c r="N5" s="627"/>
      <c r="Q5" s="627"/>
      <c r="R5" s="650" t="str">
        <f t="shared" si="1"/>
        <v/>
      </c>
      <c r="S5" s="449" t="str">
        <f>IFERROR(IF(VLOOKUP($C5,'Matriz de Referencia'!$B$2:$CO$584,'Matriz de Referencia'!BO$1,FALSE)&gt;0,"Diligenciar la vigencia, tiene presupuesto programado","No diligenciar, no programo presupuesto"),"")</f>
        <v/>
      </c>
      <c r="T5" s="627"/>
      <c r="W5" s="627"/>
      <c r="X5" s="650" t="str">
        <f t="shared" si="2"/>
        <v/>
      </c>
      <c r="Y5" s="449" t="str">
        <f>IFERROR(IF(VLOOKUP($C5,'Matriz de Referencia'!$B$2:$CO$584,'Matriz de Referencia'!CC$1,FALSE)&gt;0,"Diligenciar la vigencia, tiene presupuesto programado","No diligenciar, no programo presupuesto"),"")</f>
        <v/>
      </c>
      <c r="Z5" s="627"/>
      <c r="AC5" s="627"/>
      <c r="AD5" s="650" t="str">
        <f t="shared" si="3"/>
        <v/>
      </c>
      <c r="AE5" s="448" t="str">
        <f t="shared" si="4"/>
        <v/>
      </c>
      <c r="AF5" s="416" t="str">
        <f>IF(AE5="","",IF(F5="Incremento",IF(AE5=(VLOOKUP(C5,Tabla7[[#Headers],[Codigo Interno]:[META]],13,FALSE)-VLOOKUP(C5,Tabla7[[#Headers],[Codigo Interno]:[META]],15,FALSE)),"Continue",IF(F5="Mantenimiento",IF(AE5=VLOOKUP(C5,Tabla7[[#Headers],[Codigo Interno]:[META]],15,FALSE),"Continue","Su Programación es diferente a la meta, revise para continuar"),"Su Programación es diferente a la meta, revise para continuar"))))</f>
        <v/>
      </c>
    </row>
    <row r="6" spans="3:33">
      <c r="G6" s="449" t="str">
        <f>IFERROR(IF(VLOOKUP(C6,'Matriz de Referencia'!$B$2:$CO$584,'Matriz de Referencia'!AM$1,FALSE)&gt;0,"Diligenciar la vigencia, tiene presupuesto programado","No diligenciar, no programo presupuesto"),"")</f>
        <v/>
      </c>
      <c r="H6" s="649"/>
      <c r="I6" s="649"/>
      <c r="J6" s="649"/>
      <c r="K6" s="649"/>
      <c r="L6" s="650" t="str">
        <f t="shared" si="0"/>
        <v/>
      </c>
      <c r="M6" s="449" t="str">
        <f>IFERROR(IF(VLOOKUP($C6,'Matriz de Referencia'!$B$2:$CO$584,'Matriz de Referencia'!BA$1,FALSE)&gt;0,"Diligenciar la vigencia, tiene presupuesto programado","No diligenciar, no programo presupuesto"),"")</f>
        <v/>
      </c>
      <c r="N6" s="627"/>
      <c r="Q6" s="627"/>
      <c r="R6" s="650" t="str">
        <f t="shared" si="1"/>
        <v/>
      </c>
      <c r="S6" s="449" t="str">
        <f>IFERROR(IF(VLOOKUP($C6,'Matriz de Referencia'!$B$2:$CO$584,'Matriz de Referencia'!BO$1,FALSE)&gt;0,"Diligenciar la vigencia, tiene presupuesto programado","No diligenciar, no programo presupuesto"),"")</f>
        <v/>
      </c>
      <c r="T6" s="627"/>
      <c r="W6" s="627"/>
      <c r="X6" s="650" t="str">
        <f t="shared" si="2"/>
        <v/>
      </c>
      <c r="Y6" s="449" t="str">
        <f>IFERROR(IF(VLOOKUP($C6,'Matriz de Referencia'!$B$2:$CO$584,'Matriz de Referencia'!CC$1,FALSE)&gt;0,"Diligenciar la vigencia, tiene presupuesto programado","No diligenciar, no programo presupuesto"),"")</f>
        <v/>
      </c>
      <c r="Z6" s="627"/>
      <c r="AC6" s="627"/>
      <c r="AD6" s="650" t="str">
        <f t="shared" si="3"/>
        <v/>
      </c>
      <c r="AE6" s="448" t="str">
        <f t="shared" si="4"/>
        <v/>
      </c>
      <c r="AF6" s="416" t="str">
        <f>IF(AE6="","",IF(F6="Incremento",IF(AE6=(VLOOKUP(C6,Tabla7[[#Headers],[Codigo Interno]:[META]],13,FALSE)-VLOOKUP(C6,Tabla7[[#Headers],[Codigo Interno]:[META]],15,FALSE)),"Continue",IF(F6="Mantenimiento",IF(AE6=VLOOKUP(C6,Tabla7[[#Headers],[Codigo Interno]:[META]],15,FALSE),"Continue","Su Programación es diferente a la meta, revise para continuar"),"Su Programación es diferente a la meta, revise para continuar"))))</f>
        <v/>
      </c>
    </row>
    <row r="7" spans="3:33">
      <c r="G7" s="449" t="str">
        <f>IFERROR(IF(VLOOKUP(C7,'Matriz de Referencia'!$B$2:$CO$584,'Matriz de Referencia'!AM$1,FALSE)&gt;0,"Diligenciar la vigencia, tiene presupuesto programado","No diligenciar, no programo presupuesto"),"")</f>
        <v/>
      </c>
      <c r="H7" s="649"/>
      <c r="I7" s="649"/>
      <c r="J7" s="649"/>
      <c r="K7" s="649"/>
      <c r="L7" s="650" t="str">
        <f t="shared" si="0"/>
        <v/>
      </c>
      <c r="M7" s="449" t="str">
        <f>IFERROR(IF(VLOOKUP($C7,'Matriz de Referencia'!$B$2:$CO$584,'Matriz de Referencia'!BA$1,FALSE)&gt;0,"Diligenciar la vigencia, tiene presupuesto programado","No diligenciar, no programo presupuesto"),"")</f>
        <v/>
      </c>
      <c r="N7" s="627"/>
      <c r="Q7" s="627"/>
      <c r="R7" s="650" t="str">
        <f t="shared" si="1"/>
        <v/>
      </c>
      <c r="S7" s="449" t="str">
        <f>IFERROR(IF(VLOOKUP($C7,'Matriz de Referencia'!$B$2:$CO$584,'Matriz de Referencia'!BO$1,FALSE)&gt;0,"Diligenciar la vigencia, tiene presupuesto programado","No diligenciar, no programo presupuesto"),"")</f>
        <v/>
      </c>
      <c r="T7" s="627"/>
      <c r="W7" s="627"/>
      <c r="X7" s="650" t="str">
        <f t="shared" si="2"/>
        <v/>
      </c>
      <c r="Y7" s="449" t="str">
        <f>IFERROR(IF(VLOOKUP($C7,'Matriz de Referencia'!$B$2:$CO$584,'Matriz de Referencia'!CC$1,FALSE)&gt;0,"Diligenciar la vigencia, tiene presupuesto programado","No diligenciar, no programo presupuesto"),"")</f>
        <v/>
      </c>
      <c r="Z7" s="627"/>
      <c r="AC7" s="627"/>
      <c r="AD7" s="650" t="str">
        <f t="shared" si="3"/>
        <v/>
      </c>
      <c r="AE7" s="448" t="str">
        <f t="shared" si="4"/>
        <v/>
      </c>
      <c r="AF7" s="416" t="str">
        <f>IF(AE7="","",IF(F7="Incremento",IF(AE7=(VLOOKUP(C7,Tabla7[[#Headers],[Codigo Interno]:[META]],13,FALSE)-VLOOKUP(C7,Tabla7[[#Headers],[Codigo Interno]:[META]],15,FALSE)),"Continue",IF(F7="Mantenimiento",IF(AE7=VLOOKUP(C7,Tabla7[[#Headers],[Codigo Interno]:[META]],15,FALSE),"Continue","Su Programación es diferente a la meta, revise para continuar"),"Su Programación es diferente a la meta, revise para continuar"))))</f>
        <v/>
      </c>
    </row>
    <row r="8" spans="3:33">
      <c r="G8" s="449" t="str">
        <f>IFERROR(IF(VLOOKUP(C8,'Matriz de Referencia'!$B$2:$CO$584,'Matriz de Referencia'!AM$1,FALSE)&gt;0,"Diligenciar la vigencia, tiene presupuesto programado","No diligenciar, no programo presupuesto"),"")</f>
        <v/>
      </c>
      <c r="H8" s="649"/>
      <c r="I8" s="649"/>
      <c r="J8" s="649"/>
      <c r="K8" s="649"/>
      <c r="L8" s="650" t="str">
        <f t="shared" si="0"/>
        <v/>
      </c>
      <c r="M8" s="449" t="str">
        <f>IFERROR(IF(VLOOKUP($C8,'Matriz de Referencia'!$B$2:$CO$584,'Matriz de Referencia'!BA$1,FALSE)&gt;0,"Diligenciar la vigencia, tiene presupuesto programado","No diligenciar, no programo presupuesto"),"")</f>
        <v/>
      </c>
      <c r="N8" s="627"/>
      <c r="Q8" s="627"/>
      <c r="R8" s="650" t="str">
        <f t="shared" si="1"/>
        <v/>
      </c>
      <c r="S8" s="449" t="str">
        <f>IFERROR(IF(VLOOKUP($C8,'Matriz de Referencia'!$B$2:$CO$584,'Matriz de Referencia'!BO$1,FALSE)&gt;0,"Diligenciar la vigencia, tiene presupuesto programado","No diligenciar, no programo presupuesto"),"")</f>
        <v/>
      </c>
      <c r="T8" s="627"/>
      <c r="W8" s="627"/>
      <c r="X8" s="650" t="str">
        <f t="shared" si="2"/>
        <v/>
      </c>
      <c r="Y8" s="449" t="str">
        <f>IFERROR(IF(VLOOKUP($C8,'Matriz de Referencia'!$B$2:$CO$584,'Matriz de Referencia'!CC$1,FALSE)&gt;0,"Diligenciar la vigencia, tiene presupuesto programado","No diligenciar, no programo presupuesto"),"")</f>
        <v/>
      </c>
      <c r="Z8" s="627"/>
      <c r="AC8" s="627"/>
      <c r="AD8" s="650" t="str">
        <f t="shared" si="3"/>
        <v/>
      </c>
      <c r="AE8" s="448" t="str">
        <f t="shared" si="4"/>
        <v/>
      </c>
      <c r="AF8" s="416" t="str">
        <f>IF(AE8="","",IF(F8="Incremento",IF(AE8=(VLOOKUP(C8,Tabla7[[#Headers],[Codigo Interno]:[META]],13,FALSE)-VLOOKUP(C8,Tabla7[[#Headers],[Codigo Interno]:[META]],15,FALSE)),"Continue",IF(F8="Mantenimiento",IF(AE8=VLOOKUP(C8,Tabla7[[#Headers],[Codigo Interno]:[META]],15,FALSE),"Continue","Su Programación es diferente a la meta, revise para continuar"),"Su Programación es diferente a la meta, revise para continuar"))))</f>
        <v/>
      </c>
    </row>
    <row r="9" spans="3:33">
      <c r="G9" s="449" t="str">
        <f>IFERROR(IF(VLOOKUP(C9,'Matriz de Referencia'!$B$2:$CO$584,'Matriz de Referencia'!AM$1,FALSE)&gt;0,"Diligenciar la vigencia, tiene presupuesto programado","No diligenciar, no programo presupuesto"),"")</f>
        <v/>
      </c>
      <c r="H9" s="649"/>
      <c r="I9" s="649"/>
      <c r="J9" s="649"/>
      <c r="K9" s="649"/>
      <c r="L9" s="650" t="str">
        <f t="shared" si="0"/>
        <v/>
      </c>
      <c r="M9" s="449" t="str">
        <f>IFERROR(IF(VLOOKUP($C9,'Matriz de Referencia'!$B$2:$CO$584,'Matriz de Referencia'!BA$1,FALSE)&gt;0,"Diligenciar la vigencia, tiene presupuesto programado","No diligenciar, no programo presupuesto"),"")</f>
        <v/>
      </c>
      <c r="N9" s="627"/>
      <c r="Q9" s="627"/>
      <c r="R9" s="650" t="str">
        <f t="shared" si="1"/>
        <v/>
      </c>
      <c r="S9" s="449" t="str">
        <f>IFERROR(IF(VLOOKUP($C9,'Matriz de Referencia'!$B$2:$CO$584,'Matriz de Referencia'!BO$1,FALSE)&gt;0,"Diligenciar la vigencia, tiene presupuesto programado","No diligenciar, no programo presupuesto"),"")</f>
        <v/>
      </c>
      <c r="T9" s="627"/>
      <c r="W9" s="627"/>
      <c r="X9" s="650" t="str">
        <f t="shared" si="2"/>
        <v/>
      </c>
      <c r="Y9" s="449" t="str">
        <f>IFERROR(IF(VLOOKUP($C9,'Matriz de Referencia'!$B$2:$CO$584,'Matriz de Referencia'!CC$1,FALSE)&gt;0,"Diligenciar la vigencia, tiene presupuesto programado","No diligenciar, no programo presupuesto"),"")</f>
        <v/>
      </c>
      <c r="Z9" s="627"/>
      <c r="AC9" s="627"/>
      <c r="AD9" s="650" t="str">
        <f t="shared" si="3"/>
        <v/>
      </c>
      <c r="AE9" s="448" t="str">
        <f t="shared" si="4"/>
        <v/>
      </c>
      <c r="AF9" s="416" t="str">
        <f>IF(AE9="","",IF(F9="Incremento",IF(AE9=(VLOOKUP(C9,Tabla7[[#Headers],[Codigo Interno]:[META]],13,FALSE)-VLOOKUP(C9,Tabla7[[#Headers],[Codigo Interno]:[META]],15,FALSE)),"Continue",IF(F9="Mantenimiento",IF(AE9=VLOOKUP(C9,Tabla7[[#Headers],[Codigo Interno]:[META]],15,FALSE),"Continue","Su Programación es diferente a la meta, revise para continuar"),"Su Programación es diferente a la meta, revise para continuar"))))</f>
        <v/>
      </c>
    </row>
    <row r="10" spans="3:33">
      <c r="G10" s="449" t="str">
        <f>IFERROR(IF(VLOOKUP(C10,'Matriz de Referencia'!$B$2:$CO$584,'Matriz de Referencia'!AM$1,FALSE)&gt;0,"Diligenciar la vigencia, tiene presupuesto programado","No diligenciar, no programo presupuesto"),"")</f>
        <v/>
      </c>
      <c r="H10" s="649"/>
      <c r="I10" s="649"/>
      <c r="J10" s="649"/>
      <c r="K10" s="649"/>
      <c r="L10" s="650" t="str">
        <f t="shared" si="0"/>
        <v/>
      </c>
      <c r="M10" s="449" t="str">
        <f>IFERROR(IF(VLOOKUP($C10,'Matriz de Referencia'!$B$2:$CO$584,'Matriz de Referencia'!BA$1,FALSE)&gt;0,"Diligenciar la vigencia, tiene presupuesto programado","No diligenciar, no programo presupuesto"),"")</f>
        <v/>
      </c>
      <c r="N10" s="627"/>
      <c r="Q10" s="627"/>
      <c r="R10" s="650" t="str">
        <f t="shared" si="1"/>
        <v/>
      </c>
      <c r="S10" s="449" t="str">
        <f>IFERROR(IF(VLOOKUP($C10,'Matriz de Referencia'!$B$2:$CO$584,'Matriz de Referencia'!BO$1,FALSE)&gt;0,"Diligenciar la vigencia, tiene presupuesto programado","No diligenciar, no programo presupuesto"),"")</f>
        <v/>
      </c>
      <c r="T10" s="627"/>
      <c r="W10" s="627"/>
      <c r="X10" s="650" t="str">
        <f t="shared" si="2"/>
        <v/>
      </c>
      <c r="Y10" s="449" t="str">
        <f>IFERROR(IF(VLOOKUP($C10,'Matriz de Referencia'!$B$2:$CO$584,'Matriz de Referencia'!CC$1,FALSE)&gt;0,"Diligenciar la vigencia, tiene presupuesto programado","No diligenciar, no programo presupuesto"),"")</f>
        <v/>
      </c>
      <c r="Z10" s="627"/>
      <c r="AC10" s="627"/>
      <c r="AD10" s="650" t="str">
        <f t="shared" si="3"/>
        <v/>
      </c>
      <c r="AE10" s="448" t="str">
        <f t="shared" si="4"/>
        <v/>
      </c>
      <c r="AF10" s="416" t="str">
        <f>IF(AE10="","",IF(F10="Incremento",IF(AE10=(VLOOKUP(C10,Tabla7[[#Headers],[Codigo Interno]:[META]],13,FALSE)-VLOOKUP(C10,Tabla7[[#Headers],[Codigo Interno]:[META]],15,FALSE)),"Continue",IF(F10="Mantenimiento",IF(AE10=VLOOKUP(C10,Tabla7[[#Headers],[Codigo Interno]:[META]],15,FALSE),"Continue","Su Programación es diferente a la meta, revise para continuar"),"Su Programación es diferente a la meta, revise para continuar"))))</f>
        <v/>
      </c>
    </row>
    <row r="11" spans="3:33">
      <c r="G11" s="449" t="str">
        <f>IFERROR(IF(VLOOKUP(C11,'Matriz de Referencia'!$B$2:$CO$584,'Matriz de Referencia'!AM$1,FALSE)&gt;0,"Diligenciar la vigencia, tiene presupuesto programado","No diligenciar, no programo presupuesto"),"")</f>
        <v/>
      </c>
      <c r="H11" s="649"/>
      <c r="I11" s="649"/>
      <c r="J11" s="649"/>
      <c r="K11" s="649"/>
      <c r="L11" s="650" t="str">
        <f t="shared" si="0"/>
        <v/>
      </c>
      <c r="M11" s="449" t="str">
        <f>IFERROR(IF(VLOOKUP($C11,'Matriz de Referencia'!$B$2:$CO$584,'Matriz de Referencia'!BA$1,FALSE)&gt;0,"Diligenciar la vigencia, tiene presupuesto programado","No diligenciar, no programo presupuesto"),"")</f>
        <v/>
      </c>
      <c r="N11" s="627"/>
      <c r="Q11" s="627"/>
      <c r="R11" s="650" t="str">
        <f t="shared" si="1"/>
        <v/>
      </c>
      <c r="S11" s="449" t="str">
        <f>IFERROR(IF(VLOOKUP($C11,'Matriz de Referencia'!$B$2:$CO$584,'Matriz de Referencia'!BO$1,FALSE)&gt;0,"Diligenciar la vigencia, tiene presupuesto programado","No diligenciar, no programo presupuesto"),"")</f>
        <v/>
      </c>
      <c r="T11" s="627"/>
      <c r="W11" s="627"/>
      <c r="X11" s="650" t="str">
        <f t="shared" si="2"/>
        <v/>
      </c>
      <c r="Y11" s="449" t="str">
        <f>IFERROR(IF(VLOOKUP($C11,'Matriz de Referencia'!$B$2:$CO$584,'Matriz de Referencia'!CC$1,FALSE)&gt;0,"Diligenciar la vigencia, tiene presupuesto programado","No diligenciar, no programo presupuesto"),"")</f>
        <v/>
      </c>
      <c r="Z11" s="627"/>
      <c r="AC11" s="627"/>
      <c r="AD11" s="650" t="str">
        <f t="shared" si="3"/>
        <v/>
      </c>
      <c r="AE11" s="448" t="str">
        <f t="shared" si="4"/>
        <v/>
      </c>
      <c r="AF11" s="416" t="str">
        <f>IF(AE11="","",IF(F11="Incremento",IF(AE11=(VLOOKUP(C11,Tabla7[[#Headers],[Codigo Interno]:[META]],13,FALSE)-VLOOKUP(C11,Tabla7[[#Headers],[Codigo Interno]:[META]],15,FALSE)),"Continue",IF(F11="Mantenimiento",IF(AE11=VLOOKUP(C11,Tabla7[[#Headers],[Codigo Interno]:[META]],15,FALSE),"Continue","Su Programación es diferente a la meta, revise para continuar"),"Su Programación es diferente a la meta, revise para continuar"))))</f>
        <v/>
      </c>
    </row>
    <row r="12" spans="3:33">
      <c r="G12" s="449" t="str">
        <f>IFERROR(IF(VLOOKUP(C12,'Matriz de Referencia'!$B$2:$CO$584,'Matriz de Referencia'!AM$1,FALSE)&gt;0,"Diligenciar la vigencia, tiene presupuesto programado","No diligenciar, no programo presupuesto"),"")</f>
        <v/>
      </c>
      <c r="H12" s="649"/>
      <c r="I12" s="649"/>
      <c r="J12" s="649"/>
      <c r="K12" s="649"/>
      <c r="L12" s="650" t="str">
        <f t="shared" si="0"/>
        <v/>
      </c>
      <c r="M12" s="449" t="str">
        <f>IFERROR(IF(VLOOKUP($C12,'Matriz de Referencia'!$B$2:$CO$584,'Matriz de Referencia'!BA$1,FALSE)&gt;0,"Diligenciar la vigencia, tiene presupuesto programado","No diligenciar, no programo presupuesto"),"")</f>
        <v/>
      </c>
      <c r="N12" s="627"/>
      <c r="Q12" s="627"/>
      <c r="R12" s="650" t="str">
        <f t="shared" si="1"/>
        <v/>
      </c>
      <c r="S12" s="449" t="str">
        <f>IFERROR(IF(VLOOKUP($C12,'Matriz de Referencia'!$B$2:$CO$584,'Matriz de Referencia'!BO$1,FALSE)&gt;0,"Diligenciar la vigencia, tiene presupuesto programado","No diligenciar, no programo presupuesto"),"")</f>
        <v/>
      </c>
      <c r="T12" s="627"/>
      <c r="W12" s="627"/>
      <c r="X12" s="650" t="str">
        <f t="shared" si="2"/>
        <v/>
      </c>
      <c r="Y12" s="449" t="str">
        <f>IFERROR(IF(VLOOKUP($C12,'Matriz de Referencia'!$B$2:$CO$584,'Matriz de Referencia'!CC$1,FALSE)&gt;0,"Diligenciar la vigencia, tiene presupuesto programado","No diligenciar, no programo presupuesto"),"")</f>
        <v/>
      </c>
      <c r="Z12" s="627"/>
      <c r="AC12" s="627"/>
      <c r="AD12" s="650" t="str">
        <f t="shared" si="3"/>
        <v/>
      </c>
      <c r="AE12" s="448" t="str">
        <f t="shared" si="4"/>
        <v/>
      </c>
      <c r="AF12" s="416" t="str">
        <f>IF(AE12="","",IF(F12="Incremento",IF(AE12=(VLOOKUP(C12,Tabla7[[#Headers],[Codigo Interno]:[META]],13,FALSE)-VLOOKUP(C12,Tabla7[[#Headers],[Codigo Interno]:[META]],15,FALSE)),"Continue",IF(F12="Mantenimiento",IF(AE12=VLOOKUP(C12,Tabla7[[#Headers],[Codigo Interno]:[META]],15,FALSE),"Continue","Su Programación es diferente a la meta, revise para continuar"),"Su Programación es diferente a la meta, revise para continuar"))))</f>
        <v/>
      </c>
    </row>
    <row r="13" spans="3:33">
      <c r="G13" s="449" t="str">
        <f>IFERROR(IF(VLOOKUP(C13,'Matriz de Referencia'!$B$2:$CO$584,'Matriz de Referencia'!AM$1,FALSE)&gt;0,"Diligenciar la vigencia, tiene presupuesto programado","No diligenciar, no programo presupuesto"),"")</f>
        <v/>
      </c>
      <c r="H13" s="649"/>
      <c r="I13" s="649"/>
      <c r="J13" s="649"/>
      <c r="K13" s="649"/>
      <c r="L13" s="650" t="str">
        <f t="shared" si="0"/>
        <v/>
      </c>
      <c r="M13" s="449" t="str">
        <f>IFERROR(IF(VLOOKUP($C13,'Matriz de Referencia'!$B$2:$CO$584,'Matriz de Referencia'!BA$1,FALSE)&gt;0,"Diligenciar la vigencia, tiene presupuesto programado","No diligenciar, no programo presupuesto"),"")</f>
        <v/>
      </c>
      <c r="N13" s="627"/>
      <c r="Q13" s="627"/>
      <c r="R13" s="650" t="str">
        <f t="shared" si="1"/>
        <v/>
      </c>
      <c r="S13" s="449" t="str">
        <f>IFERROR(IF(VLOOKUP($C13,'Matriz de Referencia'!$B$2:$CO$584,'Matriz de Referencia'!BO$1,FALSE)&gt;0,"Diligenciar la vigencia, tiene presupuesto programado","No diligenciar, no programo presupuesto"),"")</f>
        <v/>
      </c>
      <c r="T13" s="627"/>
      <c r="W13" s="627"/>
      <c r="X13" s="650" t="str">
        <f t="shared" si="2"/>
        <v/>
      </c>
      <c r="Y13" s="449" t="str">
        <f>IFERROR(IF(VLOOKUP($C13,'Matriz de Referencia'!$B$2:$CO$584,'Matriz de Referencia'!CC$1,FALSE)&gt;0,"Diligenciar la vigencia, tiene presupuesto programado","No diligenciar, no programo presupuesto"),"")</f>
        <v/>
      </c>
      <c r="Z13" s="627"/>
      <c r="AC13" s="627"/>
      <c r="AD13" s="650" t="str">
        <f t="shared" si="3"/>
        <v/>
      </c>
      <c r="AE13" s="448" t="str">
        <f t="shared" si="4"/>
        <v/>
      </c>
      <c r="AF13" s="416" t="str">
        <f>IF(AE13="","",IF(F13="Incremento",IF(AE13=(VLOOKUP(C13,Tabla7[[#Headers],[Codigo Interno]:[META]],13,FALSE)-VLOOKUP(C13,Tabla7[[#Headers],[Codigo Interno]:[META]],15,FALSE)),"Continue",IF(F13="Mantenimiento",IF(AE13=VLOOKUP(C13,Tabla7[[#Headers],[Codigo Interno]:[META]],15,FALSE),"Continue","Su Programación es diferente a la meta, revise para continuar"),"Su Programación es diferente a la meta, revise para continuar"))))</f>
        <v/>
      </c>
    </row>
    <row r="14" spans="3:33">
      <c r="G14" s="449" t="str">
        <f>IFERROR(IF(VLOOKUP(C14,'Matriz de Referencia'!$B$2:$CO$584,'Matriz de Referencia'!AM$1,FALSE)&gt;0,"Diligenciar la vigencia, tiene presupuesto programado","No diligenciar, no programo presupuesto"),"")</f>
        <v/>
      </c>
      <c r="H14" s="649"/>
      <c r="I14" s="649"/>
      <c r="J14" s="649"/>
      <c r="K14" s="649"/>
      <c r="L14" s="650" t="str">
        <f t="shared" si="0"/>
        <v/>
      </c>
      <c r="M14" s="449" t="str">
        <f>IFERROR(IF(VLOOKUP($C14,'Matriz de Referencia'!$B$2:$CO$584,'Matriz de Referencia'!BA$1,FALSE)&gt;0,"Diligenciar la vigencia, tiene presupuesto programado","No diligenciar, no programo presupuesto"),"")</f>
        <v/>
      </c>
      <c r="N14" s="627"/>
      <c r="Q14" s="627"/>
      <c r="R14" s="650" t="str">
        <f t="shared" si="1"/>
        <v/>
      </c>
      <c r="S14" s="449" t="str">
        <f>IFERROR(IF(VLOOKUP($C14,'Matriz de Referencia'!$B$2:$CO$584,'Matriz de Referencia'!BO$1,FALSE)&gt;0,"Diligenciar la vigencia, tiene presupuesto programado","No diligenciar, no programo presupuesto"),"")</f>
        <v/>
      </c>
      <c r="T14" s="627"/>
      <c r="W14" s="627"/>
      <c r="X14" s="650" t="str">
        <f t="shared" si="2"/>
        <v/>
      </c>
      <c r="Y14" s="449" t="str">
        <f>IFERROR(IF(VLOOKUP($C14,'Matriz de Referencia'!$B$2:$CO$584,'Matriz de Referencia'!CC$1,FALSE)&gt;0,"Diligenciar la vigencia, tiene presupuesto programado","No diligenciar, no programo presupuesto"),"")</f>
        <v/>
      </c>
      <c r="Z14" s="627"/>
      <c r="AC14" s="627"/>
      <c r="AD14" s="650" t="str">
        <f t="shared" si="3"/>
        <v/>
      </c>
      <c r="AE14" s="448" t="str">
        <f t="shared" si="4"/>
        <v/>
      </c>
      <c r="AF14" s="416" t="str">
        <f>IF(AE14="","",IF(F14="Incremento",IF(AE14=(VLOOKUP(C14,Tabla7[[#Headers],[Codigo Interno]:[META]],13,FALSE)-VLOOKUP(C14,Tabla7[[#Headers],[Codigo Interno]:[META]],15,FALSE)),"Continue",IF(F14="Mantenimiento",IF(AE14=VLOOKUP(C14,Tabla7[[#Headers],[Codigo Interno]:[META]],15,FALSE),"Continue","Su Programación es diferente a la meta, revise para continuar"),"Su Programación es diferente a la meta, revise para continuar"))))</f>
        <v/>
      </c>
    </row>
    <row r="15" spans="3:33">
      <c r="G15" s="449" t="str">
        <f>IFERROR(IF(VLOOKUP(C15,'Matriz de Referencia'!$B$2:$CO$584,'Matriz de Referencia'!AM$1,FALSE)&gt;0,"Diligenciar la vigencia, tiene presupuesto programado","No diligenciar, no programo presupuesto"),"")</f>
        <v/>
      </c>
      <c r="H15" s="649"/>
      <c r="I15" s="649"/>
      <c r="J15" s="649"/>
      <c r="K15" s="649"/>
      <c r="L15" s="650" t="str">
        <f t="shared" si="0"/>
        <v/>
      </c>
      <c r="M15" s="449" t="str">
        <f>IFERROR(IF(VLOOKUP($C15,'Matriz de Referencia'!$B$2:$CO$584,'Matriz de Referencia'!BA$1,FALSE)&gt;0,"Diligenciar la vigencia, tiene presupuesto programado","No diligenciar, no programo presupuesto"),"")</f>
        <v/>
      </c>
      <c r="N15" s="627"/>
      <c r="Q15" s="627"/>
      <c r="R15" s="650" t="str">
        <f t="shared" si="1"/>
        <v/>
      </c>
      <c r="S15" s="449" t="str">
        <f>IFERROR(IF(VLOOKUP($C15,'Matriz de Referencia'!$B$2:$CO$584,'Matriz de Referencia'!BO$1,FALSE)&gt;0,"Diligenciar la vigencia, tiene presupuesto programado","No diligenciar, no programo presupuesto"),"")</f>
        <v/>
      </c>
      <c r="T15" s="627"/>
      <c r="W15" s="627"/>
      <c r="X15" s="650" t="str">
        <f t="shared" si="2"/>
        <v/>
      </c>
      <c r="Y15" s="449" t="str">
        <f>IFERROR(IF(VLOOKUP($C15,'Matriz de Referencia'!$B$2:$CO$584,'Matriz de Referencia'!CC$1,FALSE)&gt;0,"Diligenciar la vigencia, tiene presupuesto programado","No diligenciar, no programo presupuesto"),"")</f>
        <v/>
      </c>
      <c r="Z15" s="627"/>
      <c r="AC15" s="627"/>
      <c r="AD15" s="650" t="str">
        <f t="shared" si="3"/>
        <v/>
      </c>
      <c r="AE15" s="448" t="str">
        <f t="shared" si="4"/>
        <v/>
      </c>
      <c r="AF15" s="416" t="str">
        <f>IF(AE15="","",IF(F15="Incremento",IF(AE15=(VLOOKUP(C15,Tabla7[[#Headers],[Codigo Interno]:[META]],13,FALSE)-VLOOKUP(C15,Tabla7[[#Headers],[Codigo Interno]:[META]],15,FALSE)),"Continue",IF(F15="Mantenimiento",IF(AE15=VLOOKUP(C15,Tabla7[[#Headers],[Codigo Interno]:[META]],15,FALSE),"Continue","Su Programación es diferente a la meta, revise para continuar"),"Su Programación es diferente a la meta, revise para continuar"))))</f>
        <v/>
      </c>
    </row>
    <row r="16" spans="3:33">
      <c r="G16" s="449" t="str">
        <f>IFERROR(IF(VLOOKUP(C16,'Matriz de Referencia'!$B$2:$CO$584,'Matriz de Referencia'!AM$1,FALSE)&gt;0,"Diligenciar la vigencia, tiene presupuesto programado","No diligenciar, no programo presupuesto"),"")</f>
        <v/>
      </c>
      <c r="H16" s="649"/>
      <c r="I16" s="649"/>
      <c r="J16" s="649"/>
      <c r="K16" s="649"/>
      <c r="L16" s="650" t="str">
        <f t="shared" si="0"/>
        <v/>
      </c>
      <c r="M16" s="449" t="str">
        <f>IFERROR(IF(VLOOKUP($C16,'Matriz de Referencia'!$B$2:$CO$584,'Matriz de Referencia'!BA$1,FALSE)&gt;0,"Diligenciar la vigencia, tiene presupuesto programado","No diligenciar, no programo presupuesto"),"")</f>
        <v/>
      </c>
      <c r="N16" s="627"/>
      <c r="Q16" s="627"/>
      <c r="R16" s="650" t="str">
        <f t="shared" si="1"/>
        <v/>
      </c>
      <c r="S16" s="449" t="str">
        <f>IFERROR(IF(VLOOKUP($C16,'Matriz de Referencia'!$B$2:$CO$584,'Matriz de Referencia'!BO$1,FALSE)&gt;0,"Diligenciar la vigencia, tiene presupuesto programado","No diligenciar, no programo presupuesto"),"")</f>
        <v/>
      </c>
      <c r="T16" s="627"/>
      <c r="W16" s="627"/>
      <c r="X16" s="650" t="str">
        <f t="shared" si="2"/>
        <v/>
      </c>
      <c r="Y16" s="449" t="str">
        <f>IFERROR(IF(VLOOKUP($C16,'Matriz de Referencia'!$B$2:$CO$584,'Matriz de Referencia'!CC$1,FALSE)&gt;0,"Diligenciar la vigencia, tiene presupuesto programado","No diligenciar, no programo presupuesto"),"")</f>
        <v/>
      </c>
      <c r="Z16" s="627"/>
      <c r="AC16" s="627"/>
      <c r="AD16" s="650" t="str">
        <f t="shared" si="3"/>
        <v/>
      </c>
      <c r="AE16" s="448" t="str">
        <f t="shared" si="4"/>
        <v/>
      </c>
      <c r="AF16" s="416" t="str">
        <f>IF(AE16="","",IF(F16="Incremento",IF(AE16=(VLOOKUP(C16,Tabla7[[#Headers],[Codigo Interno]:[META]],13,FALSE)-VLOOKUP(C16,Tabla7[[#Headers],[Codigo Interno]:[META]],15,FALSE)),"Continue",IF(F16="Mantenimiento",IF(AE16=VLOOKUP(C16,Tabla7[[#Headers],[Codigo Interno]:[META]],15,FALSE),"Continue","Su Programación es diferente a la meta, revise para continuar"),"Su Programación es diferente a la meta, revise para continuar"))))</f>
        <v/>
      </c>
    </row>
    <row r="17" spans="7:32">
      <c r="G17" s="449" t="str">
        <f>IFERROR(IF(VLOOKUP(C17,'Matriz de Referencia'!$B$2:$CO$584,'Matriz de Referencia'!AM$1,FALSE)&gt;0,"Diligenciar la vigencia, tiene presupuesto programado","No diligenciar, no programo presupuesto"),"")</f>
        <v/>
      </c>
      <c r="H17" s="649"/>
      <c r="I17" s="649"/>
      <c r="J17" s="649"/>
      <c r="K17" s="649"/>
      <c r="L17" s="650" t="str">
        <f t="shared" si="0"/>
        <v/>
      </c>
      <c r="M17" s="449" t="str">
        <f>IFERROR(IF(VLOOKUP($C17,'Matriz de Referencia'!$B$2:$CO$584,'Matriz de Referencia'!BA$1,FALSE)&gt;0,"Diligenciar la vigencia, tiene presupuesto programado","No diligenciar, no programo presupuesto"),"")</f>
        <v/>
      </c>
      <c r="N17" s="627"/>
      <c r="Q17" s="627"/>
      <c r="R17" s="650" t="str">
        <f t="shared" si="1"/>
        <v/>
      </c>
      <c r="S17" s="449" t="str">
        <f>IFERROR(IF(VLOOKUP($C17,'Matriz de Referencia'!$B$2:$CO$584,'Matriz de Referencia'!BO$1,FALSE)&gt;0,"Diligenciar la vigencia, tiene presupuesto programado","No diligenciar, no programo presupuesto"),"")</f>
        <v/>
      </c>
      <c r="T17" s="627"/>
      <c r="W17" s="627"/>
      <c r="X17" s="650" t="str">
        <f t="shared" si="2"/>
        <v/>
      </c>
      <c r="Y17" s="449" t="str">
        <f>IFERROR(IF(VLOOKUP($C17,'Matriz de Referencia'!$B$2:$CO$584,'Matriz de Referencia'!CC$1,FALSE)&gt;0,"Diligenciar la vigencia, tiene presupuesto programado","No diligenciar, no programo presupuesto"),"")</f>
        <v/>
      </c>
      <c r="Z17" s="627"/>
      <c r="AC17" s="627"/>
      <c r="AD17" s="650" t="str">
        <f t="shared" si="3"/>
        <v/>
      </c>
      <c r="AE17" s="448" t="str">
        <f t="shared" si="4"/>
        <v/>
      </c>
      <c r="AF17" s="416" t="str">
        <f>IF(AE17="","",IF(F17="Incremento",IF(AE17=(VLOOKUP(C17,Tabla7[[#Headers],[Codigo Interno]:[META]],13,FALSE)-VLOOKUP(C17,Tabla7[[#Headers],[Codigo Interno]:[META]],15,FALSE)),"Continue",IF(F17="Mantenimiento",IF(AE17=VLOOKUP(C17,Tabla7[[#Headers],[Codigo Interno]:[META]],15,FALSE),"Continue","Su Programación es diferente a la meta, revise para continuar"),"Su Programación es diferente a la meta, revise para continuar"))))</f>
        <v/>
      </c>
    </row>
    <row r="18" spans="7:32">
      <c r="G18" s="449" t="str">
        <f>IFERROR(IF(VLOOKUP(C18,'Matriz de Referencia'!$B$2:$CO$584,'Matriz de Referencia'!AM$1,FALSE)&gt;0,"Diligenciar la vigencia, tiene presupuesto programado","No diligenciar, no programo presupuesto"),"")</f>
        <v/>
      </c>
      <c r="H18" s="649"/>
      <c r="I18" s="649"/>
      <c r="J18" s="649"/>
      <c r="K18" s="649"/>
      <c r="L18" s="650" t="str">
        <f t="shared" si="0"/>
        <v/>
      </c>
      <c r="M18" s="449" t="str">
        <f>IFERROR(IF(VLOOKUP($C18,'Matriz de Referencia'!$B$2:$CO$584,'Matriz de Referencia'!BA$1,FALSE)&gt;0,"Diligenciar la vigencia, tiene presupuesto programado","No diligenciar, no programo presupuesto"),"")</f>
        <v/>
      </c>
      <c r="N18" s="627"/>
      <c r="Q18" s="627"/>
      <c r="R18" s="650" t="str">
        <f t="shared" si="1"/>
        <v/>
      </c>
      <c r="S18" s="449" t="str">
        <f>IFERROR(IF(VLOOKUP($C18,'Matriz de Referencia'!$B$2:$CO$584,'Matriz de Referencia'!BO$1,FALSE)&gt;0,"Diligenciar la vigencia, tiene presupuesto programado","No diligenciar, no programo presupuesto"),"")</f>
        <v/>
      </c>
      <c r="T18" s="627"/>
      <c r="W18" s="627"/>
      <c r="X18" s="650" t="str">
        <f t="shared" si="2"/>
        <v/>
      </c>
      <c r="Y18" s="449" t="str">
        <f>IFERROR(IF(VLOOKUP($C18,'Matriz de Referencia'!$B$2:$CO$584,'Matriz de Referencia'!CC$1,FALSE)&gt;0,"Diligenciar la vigencia, tiene presupuesto programado","No diligenciar, no programo presupuesto"),"")</f>
        <v/>
      </c>
      <c r="Z18" s="627"/>
      <c r="AC18" s="627"/>
      <c r="AD18" s="650" t="str">
        <f t="shared" si="3"/>
        <v/>
      </c>
      <c r="AE18" s="448" t="str">
        <f t="shared" si="4"/>
        <v/>
      </c>
      <c r="AF18" s="416" t="str">
        <f>IF(AE18="","",IF(F18="Incremento",IF(AE18=(VLOOKUP(C18,Tabla7[[#Headers],[Codigo Interno]:[META]],13,FALSE)-VLOOKUP(C18,Tabla7[[#Headers],[Codigo Interno]:[META]],15,FALSE)),"Continue",IF(F18="Mantenimiento",IF(AE18=VLOOKUP(C18,Tabla7[[#Headers],[Codigo Interno]:[META]],15,FALSE),"Continue","Su Programación es diferente a la meta, revise para continuar"),"Su Programación es diferente a la meta, revise para continuar"))))</f>
        <v/>
      </c>
    </row>
    <row r="19" spans="7:32">
      <c r="G19" s="449" t="str">
        <f>IFERROR(IF(VLOOKUP(C19,'Matriz de Referencia'!$B$2:$CO$584,'Matriz de Referencia'!AM$1,FALSE)&gt;0,"Diligenciar la vigencia, tiene presupuesto programado","No diligenciar, no programo presupuesto"),"")</f>
        <v/>
      </c>
      <c r="H19" s="649"/>
      <c r="I19" s="649"/>
      <c r="J19" s="649"/>
      <c r="K19" s="649"/>
      <c r="L19" s="650" t="str">
        <f t="shared" si="0"/>
        <v/>
      </c>
      <c r="M19" s="449" t="str">
        <f>IFERROR(IF(VLOOKUP($C19,'Matriz de Referencia'!$B$2:$CO$584,'Matriz de Referencia'!BA$1,FALSE)&gt;0,"Diligenciar la vigencia, tiene presupuesto programado","No diligenciar, no programo presupuesto"),"")</f>
        <v/>
      </c>
      <c r="N19" s="627"/>
      <c r="Q19" s="627"/>
      <c r="R19" s="650" t="str">
        <f t="shared" si="1"/>
        <v/>
      </c>
      <c r="S19" s="449" t="str">
        <f>IFERROR(IF(VLOOKUP($C19,'Matriz de Referencia'!$B$2:$CO$584,'Matriz de Referencia'!BO$1,FALSE)&gt;0,"Diligenciar la vigencia, tiene presupuesto programado","No diligenciar, no programo presupuesto"),"")</f>
        <v/>
      </c>
      <c r="T19" s="627"/>
      <c r="W19" s="627"/>
      <c r="X19" s="650" t="str">
        <f t="shared" si="2"/>
        <v/>
      </c>
      <c r="Y19" s="449" t="str">
        <f>IFERROR(IF(VLOOKUP($C19,'Matriz de Referencia'!$B$2:$CO$584,'Matriz de Referencia'!CC$1,FALSE)&gt;0,"Diligenciar la vigencia, tiene presupuesto programado","No diligenciar, no programo presupuesto"),"")</f>
        <v/>
      </c>
      <c r="Z19" s="627"/>
      <c r="AC19" s="627"/>
      <c r="AD19" s="650" t="str">
        <f t="shared" si="3"/>
        <v/>
      </c>
      <c r="AE19" s="448" t="str">
        <f t="shared" si="4"/>
        <v/>
      </c>
      <c r="AF19" s="416" t="str">
        <f>IF(AE19="","",IF(F19="Incremento",IF(AE19=(VLOOKUP(C19,Tabla7[[#Headers],[Codigo Interno]:[META]],13,FALSE)-VLOOKUP(C19,Tabla7[[#Headers],[Codigo Interno]:[META]],15,FALSE)),"Continue",IF(F19="Mantenimiento",IF(AE19=VLOOKUP(C19,Tabla7[[#Headers],[Codigo Interno]:[META]],15,FALSE),"Continue","Su Programación es diferente a la meta, revise para continuar"),"Su Programación es diferente a la meta, revise para continuar"))))</f>
        <v/>
      </c>
    </row>
    <row r="20" spans="7:32">
      <c r="G20" s="449" t="str">
        <f>IFERROR(IF(VLOOKUP(C20,'Matriz de Referencia'!$B$2:$CO$584,'Matriz de Referencia'!AM$1,FALSE)&gt;0,"Diligenciar la vigencia, tiene presupuesto programado","No diligenciar, no programo presupuesto"),"")</f>
        <v/>
      </c>
      <c r="H20" s="649"/>
      <c r="I20" s="649"/>
      <c r="J20" s="649"/>
      <c r="K20" s="649"/>
      <c r="L20" s="650" t="str">
        <f t="shared" si="0"/>
        <v/>
      </c>
      <c r="M20" s="449" t="str">
        <f>IFERROR(IF(VLOOKUP($C20,'Matriz de Referencia'!$B$2:$CO$584,'Matriz de Referencia'!BA$1,FALSE)&gt;0,"Diligenciar la vigencia, tiene presupuesto programado","No diligenciar, no programo presupuesto"),"")</f>
        <v/>
      </c>
      <c r="N20" s="627"/>
      <c r="Q20" s="627"/>
      <c r="R20" s="650" t="str">
        <f t="shared" si="1"/>
        <v/>
      </c>
      <c r="S20" s="449" t="str">
        <f>IFERROR(IF(VLOOKUP($C20,'Matriz de Referencia'!$B$2:$CO$584,'Matriz de Referencia'!BO$1,FALSE)&gt;0,"Diligenciar la vigencia, tiene presupuesto programado","No diligenciar, no programo presupuesto"),"")</f>
        <v/>
      </c>
      <c r="T20" s="627"/>
      <c r="W20" s="627"/>
      <c r="X20" s="650" t="str">
        <f t="shared" si="2"/>
        <v/>
      </c>
      <c r="Y20" s="449" t="str">
        <f>IFERROR(IF(VLOOKUP($C20,'Matriz de Referencia'!$B$2:$CO$584,'Matriz de Referencia'!CC$1,FALSE)&gt;0,"Diligenciar la vigencia, tiene presupuesto programado","No diligenciar, no programo presupuesto"),"")</f>
        <v/>
      </c>
      <c r="Z20" s="627"/>
      <c r="AC20" s="627"/>
      <c r="AD20" s="650" t="str">
        <f t="shared" si="3"/>
        <v/>
      </c>
      <c r="AE20" s="448" t="str">
        <f t="shared" si="4"/>
        <v/>
      </c>
      <c r="AF20" s="416" t="str">
        <f>IF(AE20="","",IF(F20="Incremento",IF(AE20=(VLOOKUP(C20,Tabla7[[#Headers],[Codigo Interno]:[META]],13,FALSE)-VLOOKUP(C20,Tabla7[[#Headers],[Codigo Interno]:[META]],15,FALSE)),"Continue",IF(F20="Mantenimiento",IF(AE20=VLOOKUP(C20,Tabla7[[#Headers],[Codigo Interno]:[META]],15,FALSE),"Continue","Su Programación es diferente a la meta, revise para continuar"),"Su Programación es diferente a la meta, revise para continuar"))))</f>
        <v/>
      </c>
    </row>
    <row r="21" spans="7:32">
      <c r="G21" s="449" t="str">
        <f>IFERROR(IF(VLOOKUP(C21,'Matriz de Referencia'!$B$2:$CO$584,'Matriz de Referencia'!AM$1,FALSE)&gt;0,"Diligenciar la vigencia, tiene presupuesto programado","No diligenciar, no programo presupuesto"),"")</f>
        <v/>
      </c>
      <c r="H21" s="649"/>
      <c r="I21" s="649"/>
      <c r="J21" s="649"/>
      <c r="K21" s="649"/>
      <c r="L21" s="650" t="str">
        <f t="shared" si="0"/>
        <v/>
      </c>
      <c r="M21" s="449" t="str">
        <f>IFERROR(IF(VLOOKUP($C21,'Matriz de Referencia'!$B$2:$CO$584,'Matriz de Referencia'!BA$1,FALSE)&gt;0,"Diligenciar la vigencia, tiene presupuesto programado","No diligenciar, no programo presupuesto"),"")</f>
        <v/>
      </c>
      <c r="N21" s="627"/>
      <c r="Q21" s="627"/>
      <c r="R21" s="650" t="str">
        <f t="shared" si="1"/>
        <v/>
      </c>
      <c r="S21" s="449" t="str">
        <f>IFERROR(IF(VLOOKUP($C21,'Matriz de Referencia'!$B$2:$CO$584,'Matriz de Referencia'!BO$1,FALSE)&gt;0,"Diligenciar la vigencia, tiene presupuesto programado","No diligenciar, no programo presupuesto"),"")</f>
        <v/>
      </c>
      <c r="T21" s="627"/>
      <c r="W21" s="627"/>
      <c r="X21" s="650" t="str">
        <f t="shared" si="2"/>
        <v/>
      </c>
      <c r="Y21" s="449" t="str">
        <f>IFERROR(IF(VLOOKUP($C21,'Matriz de Referencia'!$B$2:$CO$584,'Matriz de Referencia'!CC$1,FALSE)&gt;0,"Diligenciar la vigencia, tiene presupuesto programado","No diligenciar, no programo presupuesto"),"")</f>
        <v/>
      </c>
      <c r="Z21" s="627"/>
      <c r="AC21" s="627"/>
      <c r="AD21" s="650" t="str">
        <f t="shared" si="3"/>
        <v/>
      </c>
      <c r="AE21" s="448" t="str">
        <f t="shared" si="4"/>
        <v/>
      </c>
      <c r="AF21" s="416" t="str">
        <f>IF(AE21="","",IF(F21="Incremento",IF(AE21=(VLOOKUP(C21,Tabla7[[#Headers],[Codigo Interno]:[META]],13,FALSE)-VLOOKUP(C21,Tabla7[[#Headers],[Codigo Interno]:[META]],15,FALSE)),"Continue",IF(F21="Mantenimiento",IF(AE21=VLOOKUP(C21,Tabla7[[#Headers],[Codigo Interno]:[META]],15,FALSE),"Continue","Su Programación es diferente a la meta, revise para continuar"),"Su Programación es diferente a la meta, revise para continuar"))))</f>
        <v/>
      </c>
    </row>
    <row r="22" spans="7:32">
      <c r="G22" s="449" t="str">
        <f>IFERROR(IF(VLOOKUP(C22,'Matriz de Referencia'!$B$2:$CO$584,'Matriz de Referencia'!AM$1,FALSE)&gt;0,"Diligenciar la vigencia, tiene presupuesto programado","No diligenciar, no programo presupuesto"),"")</f>
        <v/>
      </c>
      <c r="H22" s="649"/>
      <c r="I22" s="649"/>
      <c r="J22" s="649"/>
      <c r="K22" s="649"/>
      <c r="L22" s="650" t="str">
        <f t="shared" si="0"/>
        <v/>
      </c>
      <c r="M22" s="449" t="str">
        <f>IFERROR(IF(VLOOKUP($C22,'Matriz de Referencia'!$B$2:$CO$584,'Matriz de Referencia'!BA$1,FALSE)&gt;0,"Diligenciar la vigencia, tiene presupuesto programado","No diligenciar, no programo presupuesto"),"")</f>
        <v/>
      </c>
      <c r="N22" s="627"/>
      <c r="Q22" s="627"/>
      <c r="R22" s="650" t="str">
        <f t="shared" si="1"/>
        <v/>
      </c>
      <c r="S22" s="449" t="str">
        <f>IFERROR(IF(VLOOKUP($C22,'Matriz de Referencia'!$B$2:$CO$584,'Matriz de Referencia'!BO$1,FALSE)&gt;0,"Diligenciar la vigencia, tiene presupuesto programado","No diligenciar, no programo presupuesto"),"")</f>
        <v/>
      </c>
      <c r="T22" s="627"/>
      <c r="W22" s="627"/>
      <c r="X22" s="650" t="str">
        <f t="shared" si="2"/>
        <v/>
      </c>
      <c r="Y22" s="449" t="str">
        <f>IFERROR(IF(VLOOKUP($C22,'Matriz de Referencia'!$B$2:$CO$584,'Matriz de Referencia'!CC$1,FALSE)&gt;0,"Diligenciar la vigencia, tiene presupuesto programado","No diligenciar, no programo presupuesto"),"")</f>
        <v/>
      </c>
      <c r="Z22" s="627"/>
      <c r="AC22" s="627"/>
      <c r="AD22" s="650" t="str">
        <f t="shared" si="3"/>
        <v/>
      </c>
      <c r="AE22" s="448" t="str">
        <f t="shared" si="4"/>
        <v/>
      </c>
      <c r="AF22" s="416" t="str">
        <f>IF(AE22="","",IF(F22="Incremento",IF(AE22=(VLOOKUP(C22,Tabla7[[#Headers],[Codigo Interno]:[META]],13,FALSE)-VLOOKUP(C22,Tabla7[[#Headers],[Codigo Interno]:[META]],15,FALSE)),"Continue",IF(F22="Mantenimiento",IF(AE22=VLOOKUP(C22,Tabla7[[#Headers],[Codigo Interno]:[META]],15,FALSE),"Continue","Su Programación es diferente a la meta, revise para continuar"),"Su Programación es diferente a la meta, revise para continuar"))))</f>
        <v/>
      </c>
    </row>
    <row r="23" spans="7:32">
      <c r="G23" s="449" t="str">
        <f>IFERROR(IF(VLOOKUP(C23,'Matriz de Referencia'!$B$2:$CO$584,'Matriz de Referencia'!AM$1,FALSE)&gt;0,"Diligenciar la vigencia, tiene presupuesto programado","No diligenciar, no programo presupuesto"),"")</f>
        <v/>
      </c>
      <c r="H23" s="649"/>
      <c r="I23" s="649"/>
      <c r="J23" s="649"/>
      <c r="K23" s="649"/>
      <c r="L23" s="650" t="str">
        <f t="shared" si="0"/>
        <v/>
      </c>
      <c r="M23" s="449" t="str">
        <f>IFERROR(IF(VLOOKUP($C23,'Matriz de Referencia'!$B$2:$CO$584,'Matriz de Referencia'!BA$1,FALSE)&gt;0,"Diligenciar la vigencia, tiene presupuesto programado","No diligenciar, no programo presupuesto"),"")</f>
        <v/>
      </c>
      <c r="N23" s="627"/>
      <c r="Q23" s="627"/>
      <c r="R23" s="650" t="str">
        <f t="shared" si="1"/>
        <v/>
      </c>
      <c r="S23" s="449" t="str">
        <f>IFERROR(IF(VLOOKUP($C23,'Matriz de Referencia'!$B$2:$CO$584,'Matriz de Referencia'!BO$1,FALSE)&gt;0,"Diligenciar la vigencia, tiene presupuesto programado","No diligenciar, no programo presupuesto"),"")</f>
        <v/>
      </c>
      <c r="T23" s="627"/>
      <c r="W23" s="627"/>
      <c r="X23" s="650" t="str">
        <f t="shared" si="2"/>
        <v/>
      </c>
      <c r="Y23" s="449" t="str">
        <f>IFERROR(IF(VLOOKUP($C23,'Matriz de Referencia'!$B$2:$CO$584,'Matriz de Referencia'!CC$1,FALSE)&gt;0,"Diligenciar la vigencia, tiene presupuesto programado","No diligenciar, no programo presupuesto"),"")</f>
        <v/>
      </c>
      <c r="Z23" s="627"/>
      <c r="AC23" s="627"/>
      <c r="AD23" s="650" t="str">
        <f t="shared" si="3"/>
        <v/>
      </c>
      <c r="AE23" s="448" t="str">
        <f t="shared" si="4"/>
        <v/>
      </c>
      <c r="AF23" s="416" t="str">
        <f>IF(AE23="","",IF(F23="Incremento",IF(AE23=(VLOOKUP(C23,Tabla7[[#Headers],[Codigo Interno]:[META]],13,FALSE)-VLOOKUP(C23,Tabla7[[#Headers],[Codigo Interno]:[META]],15,FALSE)),"Continue",IF(F23="Mantenimiento",IF(AE23=VLOOKUP(C23,Tabla7[[#Headers],[Codigo Interno]:[META]],15,FALSE),"Continue","Su Programación es diferente a la meta, revise para continuar"),"Su Programación es diferente a la meta, revise para continuar"))))</f>
        <v/>
      </c>
    </row>
    <row r="24" spans="7:32">
      <c r="G24" s="449" t="str">
        <f>IFERROR(IF(VLOOKUP(C24,'Matriz de Referencia'!$B$2:$CO$584,'Matriz de Referencia'!AM$1,FALSE)&gt;0,"Diligenciar la vigencia, tiene presupuesto programado","No diligenciar, no programo presupuesto"),"")</f>
        <v/>
      </c>
      <c r="H24" s="649"/>
      <c r="I24" s="649"/>
      <c r="J24" s="649"/>
      <c r="K24" s="649"/>
      <c r="L24" s="650" t="str">
        <f t="shared" si="0"/>
        <v/>
      </c>
      <c r="M24" s="449" t="str">
        <f>IFERROR(IF(VLOOKUP($C24,'Matriz de Referencia'!$B$2:$CO$584,'Matriz de Referencia'!BA$1,FALSE)&gt;0,"Diligenciar la vigencia, tiene presupuesto programado","No diligenciar, no programo presupuesto"),"")</f>
        <v/>
      </c>
      <c r="N24" s="627"/>
      <c r="Q24" s="627"/>
      <c r="R24" s="650" t="str">
        <f t="shared" si="1"/>
        <v/>
      </c>
      <c r="S24" s="449" t="str">
        <f>IFERROR(IF(VLOOKUP($C24,'Matriz de Referencia'!$B$2:$CO$584,'Matriz de Referencia'!BO$1,FALSE)&gt;0,"Diligenciar la vigencia, tiene presupuesto programado","No diligenciar, no programo presupuesto"),"")</f>
        <v/>
      </c>
      <c r="T24" s="627"/>
      <c r="W24" s="627"/>
      <c r="X24" s="650" t="str">
        <f t="shared" si="2"/>
        <v/>
      </c>
      <c r="Y24" s="449" t="str">
        <f>IFERROR(IF(VLOOKUP($C24,'Matriz de Referencia'!$B$2:$CO$584,'Matriz de Referencia'!CC$1,FALSE)&gt;0,"Diligenciar la vigencia, tiene presupuesto programado","No diligenciar, no programo presupuesto"),"")</f>
        <v/>
      </c>
      <c r="Z24" s="627"/>
      <c r="AC24" s="627"/>
      <c r="AD24" s="650" t="str">
        <f t="shared" si="3"/>
        <v/>
      </c>
      <c r="AE24" s="448" t="str">
        <f t="shared" si="4"/>
        <v/>
      </c>
      <c r="AF24" s="416" t="str">
        <f>IF(AE24="","",IF(F24="Incremento",IF(AE24=(VLOOKUP(C24,Tabla7[[#Headers],[Codigo Interno]:[META]],13,FALSE)-VLOOKUP(C24,Tabla7[[#Headers],[Codigo Interno]:[META]],15,FALSE)),"Continue",IF(F24="Mantenimiento",IF(AE24=VLOOKUP(C24,Tabla7[[#Headers],[Codigo Interno]:[META]],15,FALSE),"Continue","Su Programación es diferente a la meta, revise para continuar"),"Su Programación es diferente a la meta, revise para continuar"))))</f>
        <v/>
      </c>
    </row>
    <row r="25" spans="7:32">
      <c r="G25" s="449" t="str">
        <f>IFERROR(IF(VLOOKUP(C25,'Matriz de Referencia'!$B$2:$CO$584,'Matriz de Referencia'!AM$1,FALSE)&gt;0,"Diligenciar la vigencia, tiene presupuesto programado","No diligenciar, no programo presupuesto"),"")</f>
        <v/>
      </c>
      <c r="H25" s="649"/>
      <c r="I25" s="649"/>
      <c r="J25" s="649"/>
      <c r="K25" s="649"/>
      <c r="L25" s="650" t="str">
        <f t="shared" si="0"/>
        <v/>
      </c>
      <c r="M25" s="449" t="str">
        <f>IFERROR(IF(VLOOKUP($C25,'Matriz de Referencia'!$B$2:$CO$584,'Matriz de Referencia'!BA$1,FALSE)&gt;0,"Diligenciar la vigencia, tiene presupuesto programado","No diligenciar, no programo presupuesto"),"")</f>
        <v/>
      </c>
      <c r="N25" s="627"/>
      <c r="Q25" s="627"/>
      <c r="R25" s="650" t="str">
        <f t="shared" si="1"/>
        <v/>
      </c>
      <c r="S25" s="449" t="str">
        <f>IFERROR(IF(VLOOKUP($C25,'Matriz de Referencia'!$B$2:$CO$584,'Matriz de Referencia'!BO$1,FALSE)&gt;0,"Diligenciar la vigencia, tiene presupuesto programado","No diligenciar, no programo presupuesto"),"")</f>
        <v/>
      </c>
      <c r="T25" s="627"/>
      <c r="W25" s="627"/>
      <c r="X25" s="650" t="str">
        <f t="shared" si="2"/>
        <v/>
      </c>
      <c r="Y25" s="449" t="str">
        <f>IFERROR(IF(VLOOKUP($C25,'Matriz de Referencia'!$B$2:$CO$584,'Matriz de Referencia'!CC$1,FALSE)&gt;0,"Diligenciar la vigencia, tiene presupuesto programado","No diligenciar, no programo presupuesto"),"")</f>
        <v/>
      </c>
      <c r="Z25" s="627"/>
      <c r="AC25" s="627"/>
      <c r="AD25" s="650" t="str">
        <f t="shared" si="3"/>
        <v/>
      </c>
      <c r="AE25" s="448" t="str">
        <f t="shared" si="4"/>
        <v/>
      </c>
      <c r="AF25" s="416" t="str">
        <f>IF(AE25="","",IF(F25="Incremento",IF(AE25=(VLOOKUP(C25,Tabla7[[#Headers],[Codigo Interno]:[META]],13,FALSE)-VLOOKUP(C25,Tabla7[[#Headers],[Codigo Interno]:[META]],15,FALSE)),"Continue",IF(F25="Mantenimiento",IF(AE25=VLOOKUP(C25,Tabla7[[#Headers],[Codigo Interno]:[META]],15,FALSE),"Continue","Su Programación es diferente a la meta, revise para continuar"),"Su Programación es diferente a la meta, revise para continuar"))))</f>
        <v/>
      </c>
    </row>
    <row r="26" spans="7:32">
      <c r="G26" s="449" t="str">
        <f>IFERROR(IF(VLOOKUP(C26,'Matriz de Referencia'!$B$2:$CO$584,'Matriz de Referencia'!AM$1,FALSE)&gt;0,"Diligenciar la vigencia, tiene presupuesto programado","No diligenciar, no programo presupuesto"),"")</f>
        <v/>
      </c>
      <c r="H26" s="649"/>
      <c r="I26" s="649"/>
      <c r="J26" s="649"/>
      <c r="K26" s="649"/>
      <c r="L26" s="650" t="str">
        <f t="shared" si="0"/>
        <v/>
      </c>
      <c r="M26" s="449" t="str">
        <f>IFERROR(IF(VLOOKUP($C26,'Matriz de Referencia'!$B$2:$CO$584,'Matriz de Referencia'!BA$1,FALSE)&gt;0,"Diligenciar la vigencia, tiene presupuesto programado","No diligenciar, no programo presupuesto"),"")</f>
        <v/>
      </c>
      <c r="N26" s="627"/>
      <c r="Q26" s="627"/>
      <c r="R26" s="650" t="str">
        <f t="shared" si="1"/>
        <v/>
      </c>
      <c r="S26" s="449" t="str">
        <f>IFERROR(IF(VLOOKUP($C26,'Matriz de Referencia'!$B$2:$CO$584,'Matriz de Referencia'!BO$1,FALSE)&gt;0,"Diligenciar la vigencia, tiene presupuesto programado","No diligenciar, no programo presupuesto"),"")</f>
        <v/>
      </c>
      <c r="T26" s="627"/>
      <c r="W26" s="627"/>
      <c r="X26" s="650" t="str">
        <f t="shared" si="2"/>
        <v/>
      </c>
      <c r="Y26" s="449" t="str">
        <f>IFERROR(IF(VLOOKUP($C26,'Matriz de Referencia'!$B$2:$CO$584,'Matriz de Referencia'!CC$1,FALSE)&gt;0,"Diligenciar la vigencia, tiene presupuesto programado","No diligenciar, no programo presupuesto"),"")</f>
        <v/>
      </c>
      <c r="Z26" s="627"/>
      <c r="AC26" s="627"/>
      <c r="AD26" s="650" t="str">
        <f t="shared" si="3"/>
        <v/>
      </c>
      <c r="AE26" s="448" t="str">
        <f t="shared" si="4"/>
        <v/>
      </c>
      <c r="AF26" s="416" t="str">
        <f>IF(AE26="","",IF(F26="Incremento",IF(AE26=(VLOOKUP(C26,Tabla7[[#Headers],[Codigo Interno]:[META]],13,FALSE)-VLOOKUP(C26,Tabla7[[#Headers],[Codigo Interno]:[META]],15,FALSE)),"Continue",IF(F26="Mantenimiento",IF(AE26=VLOOKUP(C26,Tabla7[[#Headers],[Codigo Interno]:[META]],15,FALSE),"Continue","Su Programación es diferente a la meta, revise para continuar"),"Su Programación es diferente a la meta, revise para continuar"))))</f>
        <v/>
      </c>
    </row>
    <row r="27" spans="7:32">
      <c r="G27" s="449" t="str">
        <f>IFERROR(IF(VLOOKUP(C27,'Matriz de Referencia'!$B$2:$CO$584,'Matriz de Referencia'!AM$1,FALSE)&gt;0,"Diligenciar la vigencia, tiene presupuesto programado","No diligenciar, no programo presupuesto"),"")</f>
        <v/>
      </c>
      <c r="H27" s="649"/>
      <c r="I27" s="649"/>
      <c r="J27" s="649"/>
      <c r="K27" s="649"/>
      <c r="L27" s="650" t="str">
        <f t="shared" si="0"/>
        <v/>
      </c>
      <c r="M27" s="449" t="str">
        <f>IFERROR(IF(VLOOKUP($C27,'Matriz de Referencia'!$B$2:$CO$584,'Matriz de Referencia'!BA$1,FALSE)&gt;0,"Diligenciar la vigencia, tiene presupuesto programado","No diligenciar, no programo presupuesto"),"")</f>
        <v/>
      </c>
      <c r="N27" s="627"/>
      <c r="Q27" s="627"/>
      <c r="R27" s="650" t="str">
        <f t="shared" si="1"/>
        <v/>
      </c>
      <c r="S27" s="449" t="str">
        <f>IFERROR(IF(VLOOKUP($C27,'Matriz de Referencia'!$B$2:$CO$584,'Matriz de Referencia'!BO$1,FALSE)&gt;0,"Diligenciar la vigencia, tiene presupuesto programado","No diligenciar, no programo presupuesto"),"")</f>
        <v/>
      </c>
      <c r="T27" s="627"/>
      <c r="W27" s="627"/>
      <c r="X27" s="650" t="str">
        <f t="shared" si="2"/>
        <v/>
      </c>
      <c r="Y27" s="449" t="str">
        <f>IFERROR(IF(VLOOKUP($C27,'Matriz de Referencia'!$B$2:$CO$584,'Matriz de Referencia'!CC$1,FALSE)&gt;0,"Diligenciar la vigencia, tiene presupuesto programado","No diligenciar, no programo presupuesto"),"")</f>
        <v/>
      </c>
      <c r="Z27" s="627"/>
      <c r="AC27" s="627"/>
      <c r="AD27" s="650" t="str">
        <f t="shared" si="3"/>
        <v/>
      </c>
      <c r="AE27" s="448" t="str">
        <f t="shared" si="4"/>
        <v/>
      </c>
      <c r="AF27" s="416" t="str">
        <f>IF(AE27="","",IF(F27="Incremento",IF(AE27=(VLOOKUP(C27,Tabla7[[#Headers],[Codigo Interno]:[META]],13,FALSE)-VLOOKUP(C27,Tabla7[[#Headers],[Codigo Interno]:[META]],15,FALSE)),"Continue",IF(F27="Mantenimiento",IF(AE27=VLOOKUP(C27,Tabla7[[#Headers],[Codigo Interno]:[META]],15,FALSE),"Continue","Su Programación es diferente a la meta, revise para continuar"),"Su Programación es diferente a la meta, revise para continuar"))))</f>
        <v/>
      </c>
    </row>
    <row r="28" spans="7:32">
      <c r="G28" s="449" t="str">
        <f>IFERROR(IF(VLOOKUP(C28,'Matriz de Referencia'!$B$2:$CO$584,'Matriz de Referencia'!AM$1,FALSE)&gt;0,"Diligenciar la vigencia, tiene presupuesto programado","No diligenciar, no programo presupuesto"),"")</f>
        <v/>
      </c>
      <c r="H28" s="649"/>
      <c r="I28" s="649"/>
      <c r="J28" s="649"/>
      <c r="K28" s="649"/>
      <c r="L28" s="650" t="str">
        <f t="shared" si="0"/>
        <v/>
      </c>
      <c r="M28" s="449" t="str">
        <f>IFERROR(IF(VLOOKUP($C28,'Matriz de Referencia'!$B$2:$CO$584,'Matriz de Referencia'!BA$1,FALSE)&gt;0,"Diligenciar la vigencia, tiene presupuesto programado","No diligenciar, no programo presupuesto"),"")</f>
        <v/>
      </c>
      <c r="N28" s="627"/>
      <c r="Q28" s="627"/>
      <c r="R28" s="650" t="str">
        <f t="shared" si="1"/>
        <v/>
      </c>
      <c r="S28" s="449" t="str">
        <f>IFERROR(IF(VLOOKUP($C28,'Matriz de Referencia'!$B$2:$CO$584,'Matriz de Referencia'!BO$1,FALSE)&gt;0,"Diligenciar la vigencia, tiene presupuesto programado","No diligenciar, no programo presupuesto"),"")</f>
        <v/>
      </c>
      <c r="T28" s="627"/>
      <c r="W28" s="627"/>
      <c r="X28" s="650" t="str">
        <f t="shared" si="2"/>
        <v/>
      </c>
      <c r="Y28" s="449" t="str">
        <f>IFERROR(IF(VLOOKUP($C28,'Matriz de Referencia'!$B$2:$CO$584,'Matriz de Referencia'!CC$1,FALSE)&gt;0,"Diligenciar la vigencia, tiene presupuesto programado","No diligenciar, no programo presupuesto"),"")</f>
        <v/>
      </c>
      <c r="Z28" s="627"/>
      <c r="AC28" s="627"/>
      <c r="AD28" s="650" t="str">
        <f t="shared" si="3"/>
        <v/>
      </c>
      <c r="AE28" s="448" t="str">
        <f t="shared" si="4"/>
        <v/>
      </c>
      <c r="AF28" s="416" t="str">
        <f>IF(AE28="","",IF(F28="Incremento",IF(AE28=(VLOOKUP(C28,Tabla7[[#Headers],[Codigo Interno]:[META]],13,FALSE)-VLOOKUP(C28,Tabla7[[#Headers],[Codigo Interno]:[META]],15,FALSE)),"Continue",IF(F28="Mantenimiento",IF(AE28=VLOOKUP(C28,Tabla7[[#Headers],[Codigo Interno]:[META]],15,FALSE),"Continue","Su Programación es diferente a la meta, revise para continuar"),"Su Programación es diferente a la meta, revise para continuar"))))</f>
        <v/>
      </c>
    </row>
    <row r="29" spans="7:32">
      <c r="G29" s="449" t="str">
        <f>IFERROR(IF(VLOOKUP(C29,'Matriz de Referencia'!$B$2:$CO$584,'Matriz de Referencia'!AM$1,FALSE)&gt;0,"Diligenciar la vigencia, tiene presupuesto programado","No diligenciar, no programo presupuesto"),"")</f>
        <v/>
      </c>
      <c r="H29" s="649"/>
      <c r="I29" s="649"/>
      <c r="J29" s="649"/>
      <c r="K29" s="649"/>
      <c r="L29" s="650" t="str">
        <f t="shared" si="0"/>
        <v/>
      </c>
      <c r="M29" s="449" t="str">
        <f>IFERROR(IF(VLOOKUP($C29,'Matriz de Referencia'!$B$2:$CO$584,'Matriz de Referencia'!BA$1,FALSE)&gt;0,"Diligenciar la vigencia, tiene presupuesto programado","No diligenciar, no programo presupuesto"),"")</f>
        <v/>
      </c>
      <c r="N29" s="627"/>
      <c r="Q29" s="627"/>
      <c r="R29" s="650" t="str">
        <f t="shared" si="1"/>
        <v/>
      </c>
      <c r="S29" s="449" t="str">
        <f>IFERROR(IF(VLOOKUP($C29,'Matriz de Referencia'!$B$2:$CO$584,'Matriz de Referencia'!BO$1,FALSE)&gt;0,"Diligenciar la vigencia, tiene presupuesto programado","No diligenciar, no programo presupuesto"),"")</f>
        <v/>
      </c>
      <c r="T29" s="627"/>
      <c r="W29" s="627"/>
      <c r="X29" s="650" t="str">
        <f t="shared" si="2"/>
        <v/>
      </c>
      <c r="Y29" s="449" t="str">
        <f>IFERROR(IF(VLOOKUP($C29,'Matriz de Referencia'!$B$2:$CO$584,'Matriz de Referencia'!CC$1,FALSE)&gt;0,"Diligenciar la vigencia, tiene presupuesto programado","No diligenciar, no programo presupuesto"),"")</f>
        <v/>
      </c>
      <c r="Z29" s="627"/>
      <c r="AC29" s="627"/>
      <c r="AD29" s="650" t="str">
        <f t="shared" si="3"/>
        <v/>
      </c>
      <c r="AE29" s="448" t="str">
        <f t="shared" si="4"/>
        <v/>
      </c>
      <c r="AF29" s="416" t="str">
        <f>IF(AE29="","",IF(F29="Incremento",IF(AE29=(VLOOKUP(C29,Tabla7[[#Headers],[Codigo Interno]:[META]],13,FALSE)-VLOOKUP(C29,Tabla7[[#Headers],[Codigo Interno]:[META]],15,FALSE)),"Continue",IF(F29="Mantenimiento",IF(AE29=VLOOKUP(C29,Tabla7[[#Headers],[Codigo Interno]:[META]],15,FALSE),"Continue","Su Programación es diferente a la meta, revise para continuar"),"Su Programación es diferente a la meta, revise para continuar"))))</f>
        <v/>
      </c>
    </row>
    <row r="30" spans="7:32">
      <c r="G30" s="449" t="str">
        <f>IFERROR(IF(VLOOKUP(C30,'Matriz de Referencia'!$B$2:$CO$584,'Matriz de Referencia'!AM$1,FALSE)&gt;0,"Diligenciar la vigencia, tiene presupuesto programado","No diligenciar, no programo presupuesto"),"")</f>
        <v/>
      </c>
      <c r="H30" s="649"/>
      <c r="I30" s="649"/>
      <c r="J30" s="649"/>
      <c r="K30" s="649"/>
      <c r="L30" s="650" t="str">
        <f t="shared" si="0"/>
        <v/>
      </c>
      <c r="M30" s="449" t="str">
        <f>IFERROR(IF(VLOOKUP($C30,'Matriz de Referencia'!$B$2:$CO$584,'Matriz de Referencia'!BA$1,FALSE)&gt;0,"Diligenciar la vigencia, tiene presupuesto programado","No diligenciar, no programo presupuesto"),"")</f>
        <v/>
      </c>
      <c r="N30" s="627"/>
      <c r="Q30" s="627"/>
      <c r="R30" s="650" t="str">
        <f t="shared" si="1"/>
        <v/>
      </c>
      <c r="S30" s="449" t="str">
        <f>IFERROR(IF(VLOOKUP($C30,'Matriz de Referencia'!$B$2:$CO$584,'Matriz de Referencia'!BO$1,FALSE)&gt;0,"Diligenciar la vigencia, tiene presupuesto programado","No diligenciar, no programo presupuesto"),"")</f>
        <v/>
      </c>
      <c r="T30" s="627"/>
      <c r="W30" s="627"/>
      <c r="X30" s="650" t="str">
        <f t="shared" si="2"/>
        <v/>
      </c>
      <c r="Y30" s="449" t="str">
        <f>IFERROR(IF(VLOOKUP($C30,'Matriz de Referencia'!$B$2:$CO$584,'Matriz de Referencia'!CC$1,FALSE)&gt;0,"Diligenciar la vigencia, tiene presupuesto programado","No diligenciar, no programo presupuesto"),"")</f>
        <v/>
      </c>
      <c r="Z30" s="627"/>
      <c r="AC30" s="627"/>
      <c r="AD30" s="650" t="str">
        <f t="shared" si="3"/>
        <v/>
      </c>
      <c r="AE30" s="448" t="str">
        <f t="shared" si="4"/>
        <v/>
      </c>
      <c r="AF30" s="416" t="str">
        <f>IF(AE30="","",IF(F30="Incremento",IF(AE30=(VLOOKUP(C30,Tabla7[[#Headers],[Codigo Interno]:[META]],13,FALSE)-VLOOKUP(C30,Tabla7[[#Headers],[Codigo Interno]:[META]],15,FALSE)),"Continue",IF(F30="Mantenimiento",IF(AE30=VLOOKUP(C30,Tabla7[[#Headers],[Codigo Interno]:[META]],15,FALSE),"Continue","Su Programación es diferente a la meta, revise para continuar"),"Su Programación es diferente a la meta, revise para continuar"))))</f>
        <v/>
      </c>
    </row>
    <row r="31" spans="7:32">
      <c r="G31" s="449" t="str">
        <f>IFERROR(IF(VLOOKUP(C31,'Matriz de Referencia'!$B$2:$CO$584,'Matriz de Referencia'!AM$1,FALSE)&gt;0,"Diligenciar la vigencia, tiene presupuesto programado","No diligenciar, no programo presupuesto"),"")</f>
        <v/>
      </c>
      <c r="H31" s="649"/>
      <c r="I31" s="649"/>
      <c r="J31" s="649"/>
      <c r="K31" s="649"/>
      <c r="L31" s="650" t="str">
        <f t="shared" si="0"/>
        <v/>
      </c>
      <c r="M31" s="449" t="str">
        <f>IFERROR(IF(VLOOKUP($C31,'Matriz de Referencia'!$B$2:$CO$584,'Matriz de Referencia'!BA$1,FALSE)&gt;0,"Diligenciar la vigencia, tiene presupuesto programado","No diligenciar, no programo presupuesto"),"")</f>
        <v/>
      </c>
      <c r="N31" s="627"/>
      <c r="Q31" s="627"/>
      <c r="R31" s="650" t="str">
        <f t="shared" si="1"/>
        <v/>
      </c>
      <c r="S31" s="449" t="str">
        <f>IFERROR(IF(VLOOKUP($C31,'Matriz de Referencia'!$B$2:$CO$584,'Matriz de Referencia'!BO$1,FALSE)&gt;0,"Diligenciar la vigencia, tiene presupuesto programado","No diligenciar, no programo presupuesto"),"")</f>
        <v/>
      </c>
      <c r="T31" s="627"/>
      <c r="W31" s="627"/>
      <c r="X31" s="650" t="str">
        <f t="shared" si="2"/>
        <v/>
      </c>
      <c r="Y31" s="449" t="str">
        <f>IFERROR(IF(VLOOKUP($C31,'Matriz de Referencia'!$B$2:$CO$584,'Matriz de Referencia'!CC$1,FALSE)&gt;0,"Diligenciar la vigencia, tiene presupuesto programado","No diligenciar, no programo presupuesto"),"")</f>
        <v/>
      </c>
      <c r="Z31" s="627"/>
      <c r="AC31" s="627"/>
      <c r="AD31" s="650" t="str">
        <f t="shared" si="3"/>
        <v/>
      </c>
      <c r="AE31" s="448" t="str">
        <f t="shared" si="4"/>
        <v/>
      </c>
      <c r="AF31" s="416" t="str">
        <f>IF(AE31="","",IF(F31="Incremento",IF(AE31=(VLOOKUP(C31,Tabla7[[#Headers],[Codigo Interno]:[META]],13,FALSE)-VLOOKUP(C31,Tabla7[[#Headers],[Codigo Interno]:[META]],15,FALSE)),"Continue",IF(F31="Mantenimiento",IF(AE31=VLOOKUP(C31,Tabla7[[#Headers],[Codigo Interno]:[META]],15,FALSE),"Continue","Su Programación es diferente a la meta, revise para continuar"),"Su Programación es diferente a la meta, revise para continuar"))))</f>
        <v/>
      </c>
    </row>
    <row r="32" spans="7:32">
      <c r="G32" s="449" t="str">
        <f>IFERROR(IF(VLOOKUP(C32,'Matriz de Referencia'!$B$2:$CO$584,'Matriz de Referencia'!AM$1,FALSE)&gt;0,"Diligenciar la vigencia, tiene presupuesto programado","No diligenciar, no programo presupuesto"),"")</f>
        <v/>
      </c>
      <c r="H32" s="649"/>
      <c r="I32" s="649"/>
      <c r="J32" s="649"/>
      <c r="K32" s="649"/>
      <c r="L32" s="650" t="str">
        <f t="shared" si="0"/>
        <v/>
      </c>
      <c r="M32" s="449" t="str">
        <f>IFERROR(IF(VLOOKUP($C32,'Matriz de Referencia'!$B$2:$CO$584,'Matriz de Referencia'!BA$1,FALSE)&gt;0,"Diligenciar la vigencia, tiene presupuesto programado","No diligenciar, no programo presupuesto"),"")</f>
        <v/>
      </c>
      <c r="N32" s="627"/>
      <c r="Q32" s="627"/>
      <c r="R32" s="650" t="str">
        <f t="shared" si="1"/>
        <v/>
      </c>
      <c r="S32" s="449" t="str">
        <f>IFERROR(IF(VLOOKUP($C32,'Matriz de Referencia'!$B$2:$CO$584,'Matriz de Referencia'!BO$1,FALSE)&gt;0,"Diligenciar la vigencia, tiene presupuesto programado","No diligenciar, no programo presupuesto"),"")</f>
        <v/>
      </c>
      <c r="T32" s="627"/>
      <c r="W32" s="627"/>
      <c r="X32" s="650" t="str">
        <f t="shared" si="2"/>
        <v/>
      </c>
      <c r="Y32" s="449" t="str">
        <f>IFERROR(IF(VLOOKUP($C32,'Matriz de Referencia'!$B$2:$CO$584,'Matriz de Referencia'!CC$1,FALSE)&gt;0,"Diligenciar la vigencia, tiene presupuesto programado","No diligenciar, no programo presupuesto"),"")</f>
        <v/>
      </c>
      <c r="Z32" s="627"/>
      <c r="AC32" s="627"/>
      <c r="AD32" s="650" t="str">
        <f t="shared" si="3"/>
        <v/>
      </c>
      <c r="AE32" s="448" t="str">
        <f t="shared" si="4"/>
        <v/>
      </c>
      <c r="AF32" s="416" t="str">
        <f>IF(AE32="","",IF(F32="Incremento",IF(AE32=(VLOOKUP(C32,Tabla7[[#Headers],[Codigo Interno]:[META]],13,FALSE)-VLOOKUP(C32,Tabla7[[#Headers],[Codigo Interno]:[META]],15,FALSE)),"Continue",IF(F32="Mantenimiento",IF(AE32=VLOOKUP(C32,Tabla7[[#Headers],[Codigo Interno]:[META]],15,FALSE),"Continue","Su Programación es diferente a la meta, revise para continuar"),"Su Programación es diferente a la meta, revise para continuar"))))</f>
        <v/>
      </c>
    </row>
    <row r="33" spans="7:32">
      <c r="G33" s="449" t="str">
        <f>IFERROR(IF(VLOOKUP(C33,'Matriz de Referencia'!$B$2:$CO$584,'Matriz de Referencia'!AM$1,FALSE)&gt;0,"Diligenciar la vigencia, tiene presupuesto programado","No diligenciar, no programo presupuesto"),"")</f>
        <v/>
      </c>
      <c r="H33" s="649"/>
      <c r="I33" s="649"/>
      <c r="J33" s="649"/>
      <c r="K33" s="649"/>
      <c r="L33" s="650" t="str">
        <f t="shared" si="0"/>
        <v/>
      </c>
      <c r="M33" s="449" t="str">
        <f>IFERROR(IF(VLOOKUP($C33,'Matriz de Referencia'!$B$2:$CO$584,'Matriz de Referencia'!BA$1,FALSE)&gt;0,"Diligenciar la vigencia, tiene presupuesto programado","No diligenciar, no programo presupuesto"),"")</f>
        <v/>
      </c>
      <c r="N33" s="627"/>
      <c r="Q33" s="627"/>
      <c r="R33" s="650" t="str">
        <f t="shared" si="1"/>
        <v/>
      </c>
      <c r="S33" s="449" t="str">
        <f>IFERROR(IF(VLOOKUP($C33,'Matriz de Referencia'!$B$2:$CO$584,'Matriz de Referencia'!BO$1,FALSE)&gt;0,"Diligenciar la vigencia, tiene presupuesto programado","No diligenciar, no programo presupuesto"),"")</f>
        <v/>
      </c>
      <c r="T33" s="627"/>
      <c r="W33" s="627"/>
      <c r="X33" s="650" t="str">
        <f t="shared" si="2"/>
        <v/>
      </c>
      <c r="Y33" s="449" t="str">
        <f>IFERROR(IF(VLOOKUP($C33,'Matriz de Referencia'!$B$2:$CO$584,'Matriz de Referencia'!CC$1,FALSE)&gt;0,"Diligenciar la vigencia, tiene presupuesto programado","No diligenciar, no programo presupuesto"),"")</f>
        <v/>
      </c>
      <c r="Z33" s="627"/>
      <c r="AC33" s="627"/>
      <c r="AD33" s="650" t="str">
        <f t="shared" si="3"/>
        <v/>
      </c>
      <c r="AE33" s="448" t="str">
        <f t="shared" si="4"/>
        <v/>
      </c>
      <c r="AF33" s="416" t="str">
        <f>IF(AE33="","",IF(F33="Incremento",IF(AE33=(VLOOKUP(C33,Tabla7[[#Headers],[Codigo Interno]:[META]],13,FALSE)-VLOOKUP(C33,Tabla7[[#Headers],[Codigo Interno]:[META]],15,FALSE)),"Continue",IF(F33="Mantenimiento",IF(AE33=VLOOKUP(C33,Tabla7[[#Headers],[Codigo Interno]:[META]],15,FALSE),"Continue","Su Programación es diferente a la meta, revise para continuar"),"Su Programación es diferente a la meta, revise para continuar"))))</f>
        <v/>
      </c>
    </row>
    <row r="34" spans="7:32">
      <c r="G34" s="449" t="str">
        <f>IFERROR(IF(VLOOKUP(C34,'Matriz de Referencia'!$B$2:$CO$584,'Matriz de Referencia'!AM$1,FALSE)&gt;0,"Diligenciar la vigencia, tiene presupuesto programado","No diligenciar, no programo presupuesto"),"")</f>
        <v/>
      </c>
      <c r="H34" s="649"/>
      <c r="I34" s="649"/>
      <c r="J34" s="649"/>
      <c r="K34" s="649"/>
      <c r="L34" s="650" t="str">
        <f t="shared" si="0"/>
        <v/>
      </c>
      <c r="M34" s="449" t="str">
        <f>IFERROR(IF(VLOOKUP($C34,'Matriz de Referencia'!$B$2:$CO$584,'Matriz de Referencia'!BA$1,FALSE)&gt;0,"Diligenciar la vigencia, tiene presupuesto programado","No diligenciar, no programo presupuesto"),"")</f>
        <v/>
      </c>
      <c r="N34" s="627"/>
      <c r="Q34" s="627"/>
      <c r="R34" s="650" t="str">
        <f t="shared" si="1"/>
        <v/>
      </c>
      <c r="S34" s="449" t="str">
        <f>IFERROR(IF(VLOOKUP($C34,'Matriz de Referencia'!$B$2:$CO$584,'Matriz de Referencia'!BO$1,FALSE)&gt;0,"Diligenciar la vigencia, tiene presupuesto programado","No diligenciar, no programo presupuesto"),"")</f>
        <v/>
      </c>
      <c r="T34" s="627"/>
      <c r="W34" s="627"/>
      <c r="X34" s="650" t="str">
        <f t="shared" si="2"/>
        <v/>
      </c>
      <c r="Y34" s="449" t="str">
        <f>IFERROR(IF(VLOOKUP($C34,'Matriz de Referencia'!$B$2:$CO$584,'Matriz de Referencia'!CC$1,FALSE)&gt;0,"Diligenciar la vigencia, tiene presupuesto programado","No diligenciar, no programo presupuesto"),"")</f>
        <v/>
      </c>
      <c r="Z34" s="627"/>
      <c r="AC34" s="627"/>
      <c r="AD34" s="650" t="str">
        <f t="shared" si="3"/>
        <v/>
      </c>
      <c r="AE34" s="448" t="str">
        <f t="shared" si="4"/>
        <v/>
      </c>
      <c r="AF34" s="416" t="str">
        <f>IF(AE34="","",IF(F34="Incremento",IF(AE34=(VLOOKUP(C34,Tabla7[[#Headers],[Codigo Interno]:[META]],13,FALSE)-VLOOKUP(C34,Tabla7[[#Headers],[Codigo Interno]:[META]],15,FALSE)),"Continue",IF(F34="Mantenimiento",IF(AE34=VLOOKUP(C34,Tabla7[[#Headers],[Codigo Interno]:[META]],15,FALSE),"Continue","Su Programación es diferente a la meta, revise para continuar"),"Su Programación es diferente a la meta, revise para continuar"))))</f>
        <v/>
      </c>
    </row>
    <row r="35" spans="7:32">
      <c r="G35" s="449" t="str">
        <f>IFERROR(IF(VLOOKUP(C35,'Matriz de Referencia'!$B$2:$CO$584,'Matriz de Referencia'!AM$1,FALSE)&gt;0,"Diligenciar la vigencia, tiene presupuesto programado","No diligenciar, no programo presupuesto"),"")</f>
        <v/>
      </c>
      <c r="H35" s="649"/>
      <c r="I35" s="649"/>
      <c r="J35" s="649"/>
      <c r="K35" s="649"/>
      <c r="L35" s="650" t="str">
        <f t="shared" si="0"/>
        <v/>
      </c>
      <c r="M35" s="449" t="str">
        <f>IFERROR(IF(VLOOKUP($C35,'Matriz de Referencia'!$B$2:$CO$584,'Matriz de Referencia'!BA$1,FALSE)&gt;0,"Diligenciar la vigencia, tiene presupuesto programado","No diligenciar, no programo presupuesto"),"")</f>
        <v/>
      </c>
      <c r="N35" s="627"/>
      <c r="Q35" s="627"/>
      <c r="R35" s="650" t="str">
        <f t="shared" si="1"/>
        <v/>
      </c>
      <c r="S35" s="449" t="str">
        <f>IFERROR(IF(VLOOKUP($C35,'Matriz de Referencia'!$B$2:$CO$584,'Matriz de Referencia'!BO$1,FALSE)&gt;0,"Diligenciar la vigencia, tiene presupuesto programado","No diligenciar, no programo presupuesto"),"")</f>
        <v/>
      </c>
      <c r="T35" s="627"/>
      <c r="W35" s="627"/>
      <c r="X35" s="650" t="str">
        <f t="shared" si="2"/>
        <v/>
      </c>
      <c r="Y35" s="449" t="str">
        <f>IFERROR(IF(VLOOKUP($C35,'Matriz de Referencia'!$B$2:$CO$584,'Matriz de Referencia'!CC$1,FALSE)&gt;0,"Diligenciar la vigencia, tiene presupuesto programado","No diligenciar, no programo presupuesto"),"")</f>
        <v/>
      </c>
      <c r="Z35" s="627"/>
      <c r="AC35" s="627"/>
      <c r="AD35" s="650" t="str">
        <f t="shared" si="3"/>
        <v/>
      </c>
      <c r="AE35" s="448" t="str">
        <f t="shared" si="4"/>
        <v/>
      </c>
      <c r="AF35" s="416" t="str">
        <f>IF(AE35="","",IF(F35="Incremento",IF(AE35=(VLOOKUP(C35,Tabla7[[#Headers],[Codigo Interno]:[META]],13,FALSE)-VLOOKUP(C35,Tabla7[[#Headers],[Codigo Interno]:[META]],15,FALSE)),"Continue",IF(F35="Mantenimiento",IF(AE35=VLOOKUP(C35,Tabla7[[#Headers],[Codigo Interno]:[META]],15,FALSE),"Continue","Su Programación es diferente a la meta, revise para continuar"),"Su Programación es diferente a la meta, revise para continuar"))))</f>
        <v/>
      </c>
    </row>
    <row r="36" spans="7:32">
      <c r="G36" s="449" t="str">
        <f>IFERROR(IF(VLOOKUP(C36,'Matriz de Referencia'!$B$2:$CO$584,'Matriz de Referencia'!AM$1,FALSE)&gt;0,"Diligenciar la vigencia, tiene presupuesto programado","No diligenciar, no programo presupuesto"),"")</f>
        <v/>
      </c>
      <c r="H36" s="649"/>
      <c r="I36" s="649"/>
      <c r="J36" s="649"/>
      <c r="K36" s="649"/>
      <c r="L36" s="650" t="str">
        <f t="shared" si="0"/>
        <v/>
      </c>
      <c r="M36" s="449" t="str">
        <f>IFERROR(IF(VLOOKUP($C36,'Matriz de Referencia'!$B$2:$CO$584,'Matriz de Referencia'!BA$1,FALSE)&gt;0,"Diligenciar la vigencia, tiene presupuesto programado","No diligenciar, no programo presupuesto"),"")</f>
        <v/>
      </c>
      <c r="N36" s="627"/>
      <c r="Q36" s="627"/>
      <c r="R36" s="650" t="str">
        <f t="shared" si="1"/>
        <v/>
      </c>
      <c r="S36" s="449" t="str">
        <f>IFERROR(IF(VLOOKUP($C36,'Matriz de Referencia'!$B$2:$CO$584,'Matriz de Referencia'!BO$1,FALSE)&gt;0,"Diligenciar la vigencia, tiene presupuesto programado","No diligenciar, no programo presupuesto"),"")</f>
        <v/>
      </c>
      <c r="T36" s="627"/>
      <c r="W36" s="627"/>
      <c r="X36" s="650" t="str">
        <f t="shared" si="2"/>
        <v/>
      </c>
      <c r="Y36" s="449" t="str">
        <f>IFERROR(IF(VLOOKUP($C36,'Matriz de Referencia'!$B$2:$CO$584,'Matriz de Referencia'!CC$1,FALSE)&gt;0,"Diligenciar la vigencia, tiene presupuesto programado","No diligenciar, no programo presupuesto"),"")</f>
        <v/>
      </c>
      <c r="Z36" s="627"/>
      <c r="AC36" s="627"/>
      <c r="AD36" s="650" t="str">
        <f t="shared" si="3"/>
        <v/>
      </c>
      <c r="AE36" s="448" t="str">
        <f t="shared" si="4"/>
        <v/>
      </c>
      <c r="AF36" s="416" t="str">
        <f>IF(AE36="","",IF(F36="Incremento",IF(AE36=(VLOOKUP(C36,Tabla7[[#Headers],[Codigo Interno]:[META]],13,FALSE)-VLOOKUP(C36,Tabla7[[#Headers],[Codigo Interno]:[META]],15,FALSE)),"Continue",IF(F36="Mantenimiento",IF(AE36=VLOOKUP(C36,Tabla7[[#Headers],[Codigo Interno]:[META]],15,FALSE),"Continue","Su Programación es diferente a la meta, revise para continuar"),"Su Programación es diferente a la meta, revise para continuar"))))</f>
        <v/>
      </c>
    </row>
    <row r="37" spans="7:32">
      <c r="G37" s="449" t="str">
        <f>IFERROR(IF(VLOOKUP(C37,'Matriz de Referencia'!$B$2:$CO$584,'Matriz de Referencia'!AM$1,FALSE)&gt;0,"Diligenciar la vigencia, tiene presupuesto programado","No diligenciar, no programo presupuesto"),"")</f>
        <v/>
      </c>
      <c r="H37" s="649"/>
      <c r="I37" s="649"/>
      <c r="J37" s="649"/>
      <c r="K37" s="649"/>
      <c r="L37" s="650" t="str">
        <f t="shared" si="0"/>
        <v/>
      </c>
      <c r="M37" s="449" t="str">
        <f>IFERROR(IF(VLOOKUP($C37,'Matriz de Referencia'!$B$2:$CO$584,'Matriz de Referencia'!BA$1,FALSE)&gt;0,"Diligenciar la vigencia, tiene presupuesto programado","No diligenciar, no programo presupuesto"),"")</f>
        <v/>
      </c>
      <c r="N37" s="627"/>
      <c r="Q37" s="627"/>
      <c r="R37" s="650" t="str">
        <f t="shared" si="1"/>
        <v/>
      </c>
      <c r="S37" s="449" t="str">
        <f>IFERROR(IF(VLOOKUP($C37,'Matriz de Referencia'!$B$2:$CO$584,'Matriz de Referencia'!BO$1,FALSE)&gt;0,"Diligenciar la vigencia, tiene presupuesto programado","No diligenciar, no programo presupuesto"),"")</f>
        <v/>
      </c>
      <c r="T37" s="627"/>
      <c r="W37" s="627"/>
      <c r="X37" s="650" t="str">
        <f t="shared" si="2"/>
        <v/>
      </c>
      <c r="Y37" s="449" t="str">
        <f>IFERROR(IF(VLOOKUP($C37,'Matriz de Referencia'!$B$2:$CO$584,'Matriz de Referencia'!CC$1,FALSE)&gt;0,"Diligenciar la vigencia, tiene presupuesto programado","No diligenciar, no programo presupuesto"),"")</f>
        <v/>
      </c>
      <c r="Z37" s="627"/>
      <c r="AC37" s="627"/>
      <c r="AD37" s="650" t="str">
        <f t="shared" si="3"/>
        <v/>
      </c>
      <c r="AE37" s="448" t="str">
        <f t="shared" si="4"/>
        <v/>
      </c>
      <c r="AF37" s="416" t="str">
        <f>IF(AE37="","",IF(F37="Incremento",IF(AE37=(VLOOKUP(C37,Tabla7[[#Headers],[Codigo Interno]:[META]],13,FALSE)-VLOOKUP(C37,Tabla7[[#Headers],[Codigo Interno]:[META]],15,FALSE)),"Continue",IF(F37="Mantenimiento",IF(AE37=VLOOKUP(C37,Tabla7[[#Headers],[Codigo Interno]:[META]],15,FALSE),"Continue","Su Programación es diferente a la meta, revise para continuar"),"Su Programación es diferente a la meta, revise para continuar"))))</f>
        <v/>
      </c>
    </row>
    <row r="38" spans="7:32">
      <c r="G38" s="449" t="str">
        <f>IFERROR(IF(VLOOKUP(C38,'Matriz de Referencia'!$B$2:$CO$584,'Matriz de Referencia'!AM$1,FALSE)&gt;0,"Diligenciar la vigencia, tiene presupuesto programado","No diligenciar, no programo presupuesto"),"")</f>
        <v/>
      </c>
      <c r="H38" s="649"/>
      <c r="I38" s="649"/>
      <c r="J38" s="649"/>
      <c r="K38" s="649"/>
      <c r="L38" s="650" t="str">
        <f t="shared" si="0"/>
        <v/>
      </c>
      <c r="M38" s="449" t="str">
        <f>IFERROR(IF(VLOOKUP($C38,'Matriz de Referencia'!$B$2:$CO$584,'Matriz de Referencia'!BA$1,FALSE)&gt;0,"Diligenciar la vigencia, tiene presupuesto programado","No diligenciar, no programo presupuesto"),"")</f>
        <v/>
      </c>
      <c r="N38" s="627"/>
      <c r="Q38" s="627"/>
      <c r="R38" s="650" t="str">
        <f t="shared" si="1"/>
        <v/>
      </c>
      <c r="S38" s="449" t="str">
        <f>IFERROR(IF(VLOOKUP($C38,'Matriz de Referencia'!$B$2:$CO$584,'Matriz de Referencia'!BO$1,FALSE)&gt;0,"Diligenciar la vigencia, tiene presupuesto programado","No diligenciar, no programo presupuesto"),"")</f>
        <v/>
      </c>
      <c r="T38" s="627"/>
      <c r="W38" s="627"/>
      <c r="X38" s="650" t="str">
        <f t="shared" si="2"/>
        <v/>
      </c>
      <c r="Y38" s="449" t="str">
        <f>IFERROR(IF(VLOOKUP($C38,'Matriz de Referencia'!$B$2:$CO$584,'Matriz de Referencia'!CC$1,FALSE)&gt;0,"Diligenciar la vigencia, tiene presupuesto programado","No diligenciar, no programo presupuesto"),"")</f>
        <v/>
      </c>
      <c r="Z38" s="627"/>
      <c r="AC38" s="627"/>
      <c r="AD38" s="650" t="str">
        <f t="shared" si="3"/>
        <v/>
      </c>
      <c r="AE38" s="448" t="str">
        <f t="shared" si="4"/>
        <v/>
      </c>
      <c r="AF38" s="416" t="str">
        <f>IF(AE38="","",IF(F38="Incremento",IF(AE38=(VLOOKUP(C38,Tabla7[[#Headers],[Codigo Interno]:[META]],13,FALSE)-VLOOKUP(C38,Tabla7[[#Headers],[Codigo Interno]:[META]],15,FALSE)),"Continue",IF(F38="Mantenimiento",IF(AE38=VLOOKUP(C38,Tabla7[[#Headers],[Codigo Interno]:[META]],15,FALSE),"Continue","Su Programación es diferente a la meta, revise para continuar"),"Su Programación es diferente a la meta, revise para continuar"))))</f>
        <v/>
      </c>
    </row>
    <row r="39" spans="7:32">
      <c r="G39" s="449" t="str">
        <f>IFERROR(IF(VLOOKUP(C39,'Matriz de Referencia'!$B$2:$CO$584,'Matriz de Referencia'!AM$1,FALSE)&gt;0,"Diligenciar la vigencia, tiene presupuesto programado","No diligenciar, no programo presupuesto"),"")</f>
        <v/>
      </c>
      <c r="H39" s="649"/>
      <c r="I39" s="649"/>
      <c r="J39" s="649"/>
      <c r="K39" s="649"/>
      <c r="L39" s="650" t="str">
        <f t="shared" si="0"/>
        <v/>
      </c>
      <c r="M39" s="449" t="str">
        <f>IFERROR(IF(VLOOKUP($C39,'Matriz de Referencia'!$B$2:$CO$584,'Matriz de Referencia'!BA$1,FALSE)&gt;0,"Diligenciar la vigencia, tiene presupuesto programado","No diligenciar, no programo presupuesto"),"")</f>
        <v/>
      </c>
      <c r="N39" s="627"/>
      <c r="Q39" s="627"/>
      <c r="R39" s="650" t="str">
        <f t="shared" si="1"/>
        <v/>
      </c>
      <c r="S39" s="449" t="str">
        <f>IFERROR(IF(VLOOKUP($C39,'Matriz de Referencia'!$B$2:$CO$584,'Matriz de Referencia'!BO$1,FALSE)&gt;0,"Diligenciar la vigencia, tiene presupuesto programado","No diligenciar, no programo presupuesto"),"")</f>
        <v/>
      </c>
      <c r="T39" s="627"/>
      <c r="W39" s="627"/>
      <c r="X39" s="650" t="str">
        <f t="shared" si="2"/>
        <v/>
      </c>
      <c r="Y39" s="449" t="str">
        <f>IFERROR(IF(VLOOKUP($C39,'Matriz de Referencia'!$B$2:$CO$584,'Matriz de Referencia'!CC$1,FALSE)&gt;0,"Diligenciar la vigencia, tiene presupuesto programado","No diligenciar, no programo presupuesto"),"")</f>
        <v/>
      </c>
      <c r="Z39" s="627"/>
      <c r="AC39" s="627"/>
      <c r="AD39" s="650" t="str">
        <f t="shared" si="3"/>
        <v/>
      </c>
      <c r="AE39" s="448" t="str">
        <f t="shared" si="4"/>
        <v/>
      </c>
      <c r="AF39" s="416" t="str">
        <f>IF(AE39="","",IF(F39="Incremento",IF(AE39=(VLOOKUP(C39,Tabla7[[#Headers],[Codigo Interno]:[META]],13,FALSE)-VLOOKUP(C39,Tabla7[[#Headers],[Codigo Interno]:[META]],15,FALSE)),"Continue",IF(F39="Mantenimiento",IF(AE39=VLOOKUP(C39,Tabla7[[#Headers],[Codigo Interno]:[META]],15,FALSE),"Continue","Su Programación es diferente a la meta, revise para continuar"),"Su Programación es diferente a la meta, revise para continuar"))))</f>
        <v/>
      </c>
    </row>
    <row r="40" spans="7:32">
      <c r="G40" s="449" t="str">
        <f>IFERROR(IF(VLOOKUP(C40,'Matriz de Referencia'!$B$2:$CO$584,'Matriz de Referencia'!AM$1,FALSE)&gt;0,"Diligenciar la vigencia, tiene presupuesto programado","No diligenciar, no programo presupuesto"),"")</f>
        <v/>
      </c>
      <c r="H40" s="649"/>
      <c r="I40" s="649"/>
      <c r="J40" s="649"/>
      <c r="K40" s="649"/>
      <c r="L40" s="650" t="str">
        <f t="shared" si="0"/>
        <v/>
      </c>
      <c r="M40" s="449" t="str">
        <f>IFERROR(IF(VLOOKUP($C40,'Matriz de Referencia'!$B$2:$CO$584,'Matriz de Referencia'!BA$1,FALSE)&gt;0,"Diligenciar la vigencia, tiene presupuesto programado","No diligenciar, no programo presupuesto"),"")</f>
        <v/>
      </c>
      <c r="N40" s="627"/>
      <c r="Q40" s="627"/>
      <c r="R40" s="650" t="str">
        <f t="shared" si="1"/>
        <v/>
      </c>
      <c r="S40" s="449" t="str">
        <f>IFERROR(IF(VLOOKUP($C40,'Matriz de Referencia'!$B$2:$CO$584,'Matriz de Referencia'!BO$1,FALSE)&gt;0,"Diligenciar la vigencia, tiene presupuesto programado","No diligenciar, no programo presupuesto"),"")</f>
        <v/>
      </c>
      <c r="T40" s="627"/>
      <c r="W40" s="627"/>
      <c r="X40" s="650" t="str">
        <f t="shared" si="2"/>
        <v/>
      </c>
      <c r="Y40" s="449" t="str">
        <f>IFERROR(IF(VLOOKUP($C40,'Matriz de Referencia'!$B$2:$CO$584,'Matriz de Referencia'!CC$1,FALSE)&gt;0,"Diligenciar la vigencia, tiene presupuesto programado","No diligenciar, no programo presupuesto"),"")</f>
        <v/>
      </c>
      <c r="Z40" s="627"/>
      <c r="AC40" s="627"/>
      <c r="AD40" s="650" t="str">
        <f t="shared" si="3"/>
        <v/>
      </c>
      <c r="AE40" s="448" t="str">
        <f t="shared" si="4"/>
        <v/>
      </c>
      <c r="AF40" s="416" t="str">
        <f>IF(AE40="","",IF(F40="Incremento",IF(AE40=(VLOOKUP(C40,Tabla7[[#Headers],[Codigo Interno]:[META]],13,FALSE)-VLOOKUP(C40,Tabla7[[#Headers],[Codigo Interno]:[META]],15,FALSE)),"Continue",IF(F40="Mantenimiento",IF(AE40=VLOOKUP(C40,Tabla7[[#Headers],[Codigo Interno]:[META]],15,FALSE),"Continue","Su Programación es diferente a la meta, revise para continuar"),"Su Programación es diferente a la meta, revise para continuar"))))</f>
        <v/>
      </c>
    </row>
    <row r="41" spans="7:32">
      <c r="G41" s="449" t="str">
        <f>IFERROR(IF(VLOOKUP(C41,'Matriz de Referencia'!$B$2:$CO$584,'Matriz de Referencia'!AM$1,FALSE)&gt;0,"Diligenciar la vigencia, tiene presupuesto programado","No diligenciar, no programo presupuesto"),"")</f>
        <v/>
      </c>
      <c r="H41" s="649"/>
      <c r="I41" s="649"/>
      <c r="J41" s="649"/>
      <c r="K41" s="649"/>
      <c r="L41" s="650" t="str">
        <f t="shared" si="0"/>
        <v/>
      </c>
      <c r="M41" s="449" t="str">
        <f>IFERROR(IF(VLOOKUP($C41,'Matriz de Referencia'!$B$2:$CO$584,'Matriz de Referencia'!BA$1,FALSE)&gt;0,"Diligenciar la vigencia, tiene presupuesto programado","No diligenciar, no programo presupuesto"),"")</f>
        <v/>
      </c>
      <c r="N41" s="627"/>
      <c r="Q41" s="627"/>
      <c r="R41" s="650" t="str">
        <f t="shared" si="1"/>
        <v/>
      </c>
      <c r="S41" s="449" t="str">
        <f>IFERROR(IF(VLOOKUP($C41,'Matriz de Referencia'!$B$2:$CO$584,'Matriz de Referencia'!BO$1,FALSE)&gt;0,"Diligenciar la vigencia, tiene presupuesto programado","No diligenciar, no programo presupuesto"),"")</f>
        <v/>
      </c>
      <c r="T41" s="627"/>
      <c r="W41" s="627"/>
      <c r="X41" s="650" t="str">
        <f t="shared" si="2"/>
        <v/>
      </c>
      <c r="Y41" s="449" t="str">
        <f>IFERROR(IF(VLOOKUP($C41,'Matriz de Referencia'!$B$2:$CO$584,'Matriz de Referencia'!CC$1,FALSE)&gt;0,"Diligenciar la vigencia, tiene presupuesto programado","No diligenciar, no programo presupuesto"),"")</f>
        <v/>
      </c>
      <c r="Z41" s="627"/>
      <c r="AC41" s="627"/>
      <c r="AD41" s="650" t="str">
        <f t="shared" si="3"/>
        <v/>
      </c>
      <c r="AE41" s="448" t="str">
        <f t="shared" si="4"/>
        <v/>
      </c>
      <c r="AF41" s="416" t="str">
        <f>IF(AE41="","",IF(F41="Incremento",IF(AE41=(VLOOKUP(C41,Tabla7[[#Headers],[Codigo Interno]:[META]],13,FALSE)-VLOOKUP(C41,Tabla7[[#Headers],[Codigo Interno]:[META]],15,FALSE)),"Continue",IF(F41="Mantenimiento",IF(AE41=VLOOKUP(C41,Tabla7[[#Headers],[Codigo Interno]:[META]],15,FALSE),"Continue","Su Programación es diferente a la meta, revise para continuar"),"Su Programación es diferente a la meta, revise para continuar"))))</f>
        <v/>
      </c>
    </row>
    <row r="42" spans="7:32">
      <c r="G42" s="449" t="str">
        <f>IFERROR(IF(VLOOKUP(C42,'Matriz de Referencia'!$B$2:$CO$584,'Matriz de Referencia'!AM$1,FALSE)&gt;0,"Diligenciar la vigencia, tiene presupuesto programado","No diligenciar, no programo presupuesto"),"")</f>
        <v/>
      </c>
      <c r="H42" s="649"/>
      <c r="I42" s="649"/>
      <c r="J42" s="649"/>
      <c r="K42" s="649"/>
      <c r="L42" s="650" t="str">
        <f t="shared" si="0"/>
        <v/>
      </c>
      <c r="M42" s="449" t="str">
        <f>IFERROR(IF(VLOOKUP($C42,'Matriz de Referencia'!$B$2:$CO$584,'Matriz de Referencia'!BA$1,FALSE)&gt;0,"Diligenciar la vigencia, tiene presupuesto programado","No diligenciar, no programo presupuesto"),"")</f>
        <v/>
      </c>
      <c r="N42" s="627"/>
      <c r="Q42" s="627"/>
      <c r="R42" s="650" t="str">
        <f t="shared" si="1"/>
        <v/>
      </c>
      <c r="S42" s="449" t="str">
        <f>IFERROR(IF(VLOOKUP($C42,'Matriz de Referencia'!$B$2:$CO$584,'Matriz de Referencia'!BO$1,FALSE)&gt;0,"Diligenciar la vigencia, tiene presupuesto programado","No diligenciar, no programo presupuesto"),"")</f>
        <v/>
      </c>
      <c r="T42" s="627"/>
      <c r="W42" s="627"/>
      <c r="X42" s="650" t="str">
        <f t="shared" si="2"/>
        <v/>
      </c>
      <c r="Y42" s="449" t="str">
        <f>IFERROR(IF(VLOOKUP($C42,'Matriz de Referencia'!$B$2:$CO$584,'Matriz de Referencia'!CC$1,FALSE)&gt;0,"Diligenciar la vigencia, tiene presupuesto programado","No diligenciar, no programo presupuesto"),"")</f>
        <v/>
      </c>
      <c r="Z42" s="627"/>
      <c r="AC42" s="627"/>
      <c r="AD42" s="650" t="str">
        <f t="shared" si="3"/>
        <v/>
      </c>
      <c r="AE42" s="448" t="str">
        <f t="shared" si="4"/>
        <v/>
      </c>
      <c r="AF42" s="416" t="str">
        <f>IF(AE42="","",IF(F42="Incremento",IF(AE42=(VLOOKUP(C42,Tabla7[[#Headers],[Codigo Interno]:[META]],13,FALSE)-VLOOKUP(C42,Tabla7[[#Headers],[Codigo Interno]:[META]],15,FALSE)),"Continue",IF(F42="Mantenimiento",IF(AE42=VLOOKUP(C42,Tabla7[[#Headers],[Codigo Interno]:[META]],15,FALSE),"Continue","Su Programación es diferente a la meta, revise para continuar"),"Su Programación es diferente a la meta, revise para continuar"))))</f>
        <v/>
      </c>
    </row>
    <row r="43" spans="7:32">
      <c r="G43" s="449" t="str">
        <f>IFERROR(IF(VLOOKUP(C43,'Matriz de Referencia'!$B$2:$CO$584,'Matriz de Referencia'!AM$1,FALSE)&gt;0,"Diligenciar la vigencia, tiene presupuesto programado","No diligenciar, no programo presupuesto"),"")</f>
        <v/>
      </c>
      <c r="H43" s="649"/>
      <c r="I43" s="649"/>
      <c r="J43" s="649"/>
      <c r="K43" s="649"/>
      <c r="L43" s="650" t="str">
        <f t="shared" si="0"/>
        <v/>
      </c>
      <c r="M43" s="449" t="str">
        <f>IFERROR(IF(VLOOKUP($C43,'Matriz de Referencia'!$B$2:$CO$584,'Matriz de Referencia'!BA$1,FALSE)&gt;0,"Diligenciar la vigencia, tiene presupuesto programado","No diligenciar, no programo presupuesto"),"")</f>
        <v/>
      </c>
      <c r="N43" s="627"/>
      <c r="Q43" s="627"/>
      <c r="R43" s="650" t="str">
        <f t="shared" si="1"/>
        <v/>
      </c>
      <c r="S43" s="449" t="str">
        <f>IFERROR(IF(VLOOKUP($C43,'Matriz de Referencia'!$B$2:$CO$584,'Matriz de Referencia'!BO$1,FALSE)&gt;0,"Diligenciar la vigencia, tiene presupuesto programado","No diligenciar, no programo presupuesto"),"")</f>
        <v/>
      </c>
      <c r="T43" s="627"/>
      <c r="W43" s="627"/>
      <c r="X43" s="650" t="str">
        <f t="shared" si="2"/>
        <v/>
      </c>
      <c r="Y43" s="449" t="str">
        <f>IFERROR(IF(VLOOKUP($C43,'Matriz de Referencia'!$B$2:$CO$584,'Matriz de Referencia'!CC$1,FALSE)&gt;0,"Diligenciar la vigencia, tiene presupuesto programado","No diligenciar, no programo presupuesto"),"")</f>
        <v/>
      </c>
      <c r="Z43" s="627"/>
      <c r="AC43" s="627"/>
      <c r="AD43" s="650" t="str">
        <f t="shared" si="3"/>
        <v/>
      </c>
      <c r="AE43" s="448" t="str">
        <f t="shared" si="4"/>
        <v/>
      </c>
      <c r="AF43" s="416" t="str">
        <f>IF(AE43="","",IF(F43="Incremento",IF(AE43=(VLOOKUP(C43,Tabla7[[#Headers],[Codigo Interno]:[META]],13,FALSE)-VLOOKUP(C43,Tabla7[[#Headers],[Codigo Interno]:[META]],15,FALSE)),"Continue",IF(F43="Mantenimiento",IF(AE43=VLOOKUP(C43,Tabla7[[#Headers],[Codigo Interno]:[META]],15,FALSE),"Continue","Su Programación es diferente a la meta, revise para continuar"),"Su Programación es diferente a la meta, revise para continuar"))))</f>
        <v/>
      </c>
    </row>
    <row r="44" spans="7:32">
      <c r="G44" s="449" t="str">
        <f>IFERROR(IF(VLOOKUP(C44,'Matriz de Referencia'!$B$2:$CO$584,'Matriz de Referencia'!AM$1,FALSE)&gt;0,"Diligenciar la vigencia, tiene presupuesto programado","No diligenciar, no programo presupuesto"),"")</f>
        <v/>
      </c>
      <c r="H44" s="649"/>
      <c r="I44" s="649"/>
      <c r="J44" s="649"/>
      <c r="K44" s="649"/>
      <c r="L44" s="650" t="str">
        <f t="shared" si="0"/>
        <v/>
      </c>
      <c r="M44" s="449" t="str">
        <f>IFERROR(IF(VLOOKUP($C44,'Matriz de Referencia'!$B$2:$CO$584,'Matriz de Referencia'!BA$1,FALSE)&gt;0,"Diligenciar la vigencia, tiene presupuesto programado","No diligenciar, no programo presupuesto"),"")</f>
        <v/>
      </c>
      <c r="N44" s="627"/>
      <c r="Q44" s="627"/>
      <c r="R44" s="650" t="str">
        <f t="shared" si="1"/>
        <v/>
      </c>
      <c r="S44" s="449" t="str">
        <f>IFERROR(IF(VLOOKUP($C44,'Matriz de Referencia'!$B$2:$CO$584,'Matriz de Referencia'!BO$1,FALSE)&gt;0,"Diligenciar la vigencia, tiene presupuesto programado","No diligenciar, no programo presupuesto"),"")</f>
        <v/>
      </c>
      <c r="T44" s="627"/>
      <c r="W44" s="627"/>
      <c r="X44" s="650" t="str">
        <f t="shared" si="2"/>
        <v/>
      </c>
      <c r="Y44" s="449" t="str">
        <f>IFERROR(IF(VLOOKUP($C44,'Matriz de Referencia'!$B$2:$CO$584,'Matriz de Referencia'!CC$1,FALSE)&gt;0,"Diligenciar la vigencia, tiene presupuesto programado","No diligenciar, no programo presupuesto"),"")</f>
        <v/>
      </c>
      <c r="Z44" s="627"/>
      <c r="AC44" s="627"/>
      <c r="AD44" s="650" t="str">
        <f t="shared" si="3"/>
        <v/>
      </c>
      <c r="AE44" s="448" t="str">
        <f t="shared" si="4"/>
        <v/>
      </c>
      <c r="AF44" s="416" t="str">
        <f>IF(AE44="","",IF(F44="Incremento",IF(AE44=(VLOOKUP(C44,Tabla7[[#Headers],[Codigo Interno]:[META]],13,FALSE)-VLOOKUP(C44,Tabla7[[#Headers],[Codigo Interno]:[META]],15,FALSE)),"Continue",IF(F44="Mantenimiento",IF(AE44=VLOOKUP(C44,Tabla7[[#Headers],[Codigo Interno]:[META]],15,FALSE),"Continue","Su Programación es diferente a la meta, revise para continuar"),"Su Programación es diferente a la meta, revise para continuar"))))</f>
        <v/>
      </c>
    </row>
    <row r="45" spans="7:32">
      <c r="G45" s="449" t="str">
        <f>IFERROR(IF(VLOOKUP(C45,'Matriz de Referencia'!$B$2:$CO$584,'Matriz de Referencia'!AM$1,FALSE)&gt;0,"Diligenciar la vigencia, tiene presupuesto programado","No diligenciar, no programo presupuesto"),"")</f>
        <v/>
      </c>
      <c r="H45" s="649"/>
      <c r="I45" s="649"/>
      <c r="J45" s="649"/>
      <c r="K45" s="649"/>
      <c r="L45" s="650" t="str">
        <f t="shared" si="0"/>
        <v/>
      </c>
      <c r="M45" s="449" t="str">
        <f>IFERROR(IF(VLOOKUP($C45,'Matriz de Referencia'!$B$2:$CO$584,'Matriz de Referencia'!BA$1,FALSE)&gt;0,"Diligenciar la vigencia, tiene presupuesto programado","No diligenciar, no programo presupuesto"),"")</f>
        <v/>
      </c>
      <c r="N45" s="627"/>
      <c r="Q45" s="627"/>
      <c r="R45" s="650" t="str">
        <f t="shared" si="1"/>
        <v/>
      </c>
      <c r="S45" s="449" t="str">
        <f>IFERROR(IF(VLOOKUP($C45,'Matriz de Referencia'!$B$2:$CO$584,'Matriz de Referencia'!BO$1,FALSE)&gt;0,"Diligenciar la vigencia, tiene presupuesto programado","No diligenciar, no programo presupuesto"),"")</f>
        <v/>
      </c>
      <c r="T45" s="627"/>
      <c r="W45" s="627"/>
      <c r="X45" s="650" t="str">
        <f t="shared" si="2"/>
        <v/>
      </c>
      <c r="Y45" s="449" t="str">
        <f>IFERROR(IF(VLOOKUP($C45,'Matriz de Referencia'!$B$2:$CO$584,'Matriz de Referencia'!CC$1,FALSE)&gt;0,"Diligenciar la vigencia, tiene presupuesto programado","No diligenciar, no programo presupuesto"),"")</f>
        <v/>
      </c>
      <c r="Z45" s="627"/>
      <c r="AC45" s="627"/>
      <c r="AD45" s="650" t="str">
        <f t="shared" si="3"/>
        <v/>
      </c>
      <c r="AE45" s="448" t="str">
        <f t="shared" si="4"/>
        <v/>
      </c>
      <c r="AF45" s="416" t="str">
        <f>IF(AE45="","",IF(F45="Incremento",IF(AE45=(VLOOKUP(C45,Tabla7[[#Headers],[Codigo Interno]:[META]],13,FALSE)-VLOOKUP(C45,Tabla7[[#Headers],[Codigo Interno]:[META]],15,FALSE)),"Continue",IF(F45="Mantenimiento",IF(AE45=VLOOKUP(C45,Tabla7[[#Headers],[Codigo Interno]:[META]],15,FALSE),"Continue","Su Programación es diferente a la meta, revise para continuar"),"Su Programación es diferente a la meta, revise para continuar"))))</f>
        <v/>
      </c>
    </row>
    <row r="46" spans="7:32">
      <c r="G46" s="449" t="str">
        <f>IFERROR(IF(VLOOKUP(C46,'Matriz de Referencia'!$B$2:$CO$584,'Matriz de Referencia'!AM$1,FALSE)&gt;0,"Diligenciar la vigencia, tiene presupuesto programado","No diligenciar, no programo presupuesto"),"")</f>
        <v/>
      </c>
      <c r="H46" s="649"/>
      <c r="I46" s="649"/>
      <c r="J46" s="649"/>
      <c r="K46" s="649"/>
      <c r="L46" s="650" t="str">
        <f t="shared" si="0"/>
        <v/>
      </c>
      <c r="M46" s="449" t="str">
        <f>IFERROR(IF(VLOOKUP($C46,'Matriz de Referencia'!$B$2:$CO$584,'Matriz de Referencia'!BA$1,FALSE)&gt;0,"Diligenciar la vigencia, tiene presupuesto programado","No diligenciar, no programo presupuesto"),"")</f>
        <v/>
      </c>
      <c r="N46" s="627"/>
      <c r="Q46" s="627"/>
      <c r="R46" s="650" t="str">
        <f t="shared" si="1"/>
        <v/>
      </c>
      <c r="S46" s="449" t="str">
        <f>IFERROR(IF(VLOOKUP($C46,'Matriz de Referencia'!$B$2:$CO$584,'Matriz de Referencia'!BO$1,FALSE)&gt;0,"Diligenciar la vigencia, tiene presupuesto programado","No diligenciar, no programo presupuesto"),"")</f>
        <v/>
      </c>
      <c r="T46" s="627"/>
      <c r="W46" s="627"/>
      <c r="X46" s="650" t="str">
        <f t="shared" si="2"/>
        <v/>
      </c>
      <c r="Y46" s="449" t="str">
        <f>IFERROR(IF(VLOOKUP($C46,'Matriz de Referencia'!$B$2:$CO$584,'Matriz de Referencia'!CC$1,FALSE)&gt;0,"Diligenciar la vigencia, tiene presupuesto programado","No diligenciar, no programo presupuesto"),"")</f>
        <v/>
      </c>
      <c r="Z46" s="627"/>
      <c r="AC46" s="627"/>
      <c r="AD46" s="650" t="str">
        <f t="shared" si="3"/>
        <v/>
      </c>
      <c r="AE46" s="448" t="str">
        <f t="shared" si="4"/>
        <v/>
      </c>
      <c r="AF46" s="416" t="str">
        <f>IF(AE46="","",IF(F46="Incremento",IF(AE46=(VLOOKUP(C46,Tabla7[[#Headers],[Codigo Interno]:[META]],13,FALSE)-VLOOKUP(C46,Tabla7[[#Headers],[Codigo Interno]:[META]],15,FALSE)),"Continue",IF(F46="Mantenimiento",IF(AE46=VLOOKUP(C46,Tabla7[[#Headers],[Codigo Interno]:[META]],15,FALSE),"Continue","Su Programación es diferente a la meta, revise para continuar"),"Su Programación es diferente a la meta, revise para continuar"))))</f>
        <v/>
      </c>
    </row>
    <row r="47" spans="7:32">
      <c r="G47" s="449" t="str">
        <f>IFERROR(IF(VLOOKUP(C47,'Matriz de Referencia'!$B$2:$CO$584,'Matriz de Referencia'!AM$1,FALSE)&gt;0,"Diligenciar la vigencia, tiene presupuesto programado","No diligenciar, no programo presupuesto"),"")</f>
        <v/>
      </c>
      <c r="H47" s="649"/>
      <c r="I47" s="649"/>
      <c r="J47" s="649"/>
      <c r="K47" s="649"/>
      <c r="L47" s="650" t="str">
        <f t="shared" si="0"/>
        <v/>
      </c>
      <c r="M47" s="449" t="str">
        <f>IFERROR(IF(VLOOKUP($C47,'Matriz de Referencia'!$B$2:$CO$584,'Matriz de Referencia'!BA$1,FALSE)&gt;0,"Diligenciar la vigencia, tiene presupuesto programado","No diligenciar, no programo presupuesto"),"")</f>
        <v/>
      </c>
      <c r="N47" s="627"/>
      <c r="Q47" s="627"/>
      <c r="R47" s="650" t="str">
        <f t="shared" si="1"/>
        <v/>
      </c>
      <c r="S47" s="449" t="str">
        <f>IFERROR(IF(VLOOKUP($C47,'Matriz de Referencia'!$B$2:$CO$584,'Matriz de Referencia'!BO$1,FALSE)&gt;0,"Diligenciar la vigencia, tiene presupuesto programado","No diligenciar, no programo presupuesto"),"")</f>
        <v/>
      </c>
      <c r="T47" s="627"/>
      <c r="W47" s="627"/>
      <c r="X47" s="650" t="str">
        <f t="shared" si="2"/>
        <v/>
      </c>
      <c r="Y47" s="449" t="str">
        <f>IFERROR(IF(VLOOKUP($C47,'Matriz de Referencia'!$B$2:$CO$584,'Matriz de Referencia'!CC$1,FALSE)&gt;0,"Diligenciar la vigencia, tiene presupuesto programado","No diligenciar, no programo presupuesto"),"")</f>
        <v/>
      </c>
      <c r="Z47" s="627"/>
      <c r="AC47" s="627"/>
      <c r="AD47" s="650" t="str">
        <f t="shared" si="3"/>
        <v/>
      </c>
      <c r="AE47" s="448" t="str">
        <f t="shared" si="4"/>
        <v/>
      </c>
      <c r="AF47" s="416" t="str">
        <f>IF(AE47="","",IF(F47="Incremento",IF(AE47=(VLOOKUP(C47,Tabla7[[#Headers],[Codigo Interno]:[META]],13,FALSE)-VLOOKUP(C47,Tabla7[[#Headers],[Codigo Interno]:[META]],15,FALSE)),"Continue",IF(F47="Mantenimiento",IF(AE47=VLOOKUP(C47,Tabla7[[#Headers],[Codigo Interno]:[META]],15,FALSE),"Continue","Su Programación es diferente a la meta, revise para continuar"),"Su Programación es diferente a la meta, revise para continuar"))))</f>
        <v/>
      </c>
    </row>
    <row r="48" spans="7:32">
      <c r="G48" s="449" t="str">
        <f>IFERROR(IF(VLOOKUP(C48,'Matriz de Referencia'!$B$2:$CO$584,'Matriz de Referencia'!AM$1,FALSE)&gt;0,"Diligenciar la vigencia, tiene presupuesto programado","No diligenciar, no programo presupuesto"),"")</f>
        <v/>
      </c>
      <c r="H48" s="649"/>
      <c r="I48" s="649"/>
      <c r="J48" s="649"/>
      <c r="K48" s="649"/>
      <c r="L48" s="650" t="str">
        <f t="shared" si="0"/>
        <v/>
      </c>
      <c r="M48" s="449" t="str">
        <f>IFERROR(IF(VLOOKUP($C48,'Matriz de Referencia'!$B$2:$CO$584,'Matriz de Referencia'!BA$1,FALSE)&gt;0,"Diligenciar la vigencia, tiene presupuesto programado","No diligenciar, no programo presupuesto"),"")</f>
        <v/>
      </c>
      <c r="N48" s="627"/>
      <c r="Q48" s="627"/>
      <c r="R48" s="650" t="str">
        <f t="shared" si="1"/>
        <v/>
      </c>
      <c r="S48" s="449" t="str">
        <f>IFERROR(IF(VLOOKUP($C48,'Matriz de Referencia'!$B$2:$CO$584,'Matriz de Referencia'!BO$1,FALSE)&gt;0,"Diligenciar la vigencia, tiene presupuesto programado","No diligenciar, no programo presupuesto"),"")</f>
        <v/>
      </c>
      <c r="T48" s="627"/>
      <c r="W48" s="627"/>
      <c r="X48" s="650" t="str">
        <f t="shared" si="2"/>
        <v/>
      </c>
      <c r="Y48" s="449" t="str">
        <f>IFERROR(IF(VLOOKUP($C48,'Matriz de Referencia'!$B$2:$CO$584,'Matriz de Referencia'!CC$1,FALSE)&gt;0,"Diligenciar la vigencia, tiene presupuesto programado","No diligenciar, no programo presupuesto"),"")</f>
        <v/>
      </c>
      <c r="Z48" s="627"/>
      <c r="AC48" s="627"/>
      <c r="AD48" s="650" t="str">
        <f t="shared" si="3"/>
        <v/>
      </c>
      <c r="AE48" s="448" t="str">
        <f t="shared" si="4"/>
        <v/>
      </c>
      <c r="AF48" s="416" t="str">
        <f>IF(AE48="","",IF(F48="Incremento",IF(AE48=(VLOOKUP(C48,Tabla7[[#Headers],[Codigo Interno]:[META]],13,FALSE)-VLOOKUP(C48,Tabla7[[#Headers],[Codigo Interno]:[META]],15,FALSE)),"Continue",IF(F48="Mantenimiento",IF(AE48=VLOOKUP(C48,Tabla7[[#Headers],[Codigo Interno]:[META]],15,FALSE),"Continue","Su Programación es diferente a la meta, revise para continuar"),"Su Programación es diferente a la meta, revise para continuar"))))</f>
        <v/>
      </c>
    </row>
    <row r="49" spans="7:32">
      <c r="G49" s="449" t="str">
        <f>IFERROR(IF(VLOOKUP(C49,'Matriz de Referencia'!$B$2:$CO$584,'Matriz de Referencia'!AM$1,FALSE)&gt;0,"Diligenciar la vigencia, tiene presupuesto programado","No diligenciar, no programo presupuesto"),"")</f>
        <v/>
      </c>
      <c r="H49" s="649"/>
      <c r="I49" s="649"/>
      <c r="J49" s="649"/>
      <c r="K49" s="649"/>
      <c r="L49" s="650" t="str">
        <f t="shared" si="0"/>
        <v/>
      </c>
      <c r="M49" s="449" t="str">
        <f>IFERROR(IF(VLOOKUP($C49,'Matriz de Referencia'!$B$2:$CO$584,'Matriz de Referencia'!BA$1,FALSE)&gt;0,"Diligenciar la vigencia, tiene presupuesto programado","No diligenciar, no programo presupuesto"),"")</f>
        <v/>
      </c>
      <c r="N49" s="627"/>
      <c r="Q49" s="627"/>
      <c r="R49" s="650" t="str">
        <f t="shared" si="1"/>
        <v/>
      </c>
      <c r="S49" s="449" t="str">
        <f>IFERROR(IF(VLOOKUP($C49,'Matriz de Referencia'!$B$2:$CO$584,'Matriz de Referencia'!BO$1,FALSE)&gt;0,"Diligenciar la vigencia, tiene presupuesto programado","No diligenciar, no programo presupuesto"),"")</f>
        <v/>
      </c>
      <c r="T49" s="627"/>
      <c r="W49" s="627"/>
      <c r="X49" s="650" t="str">
        <f t="shared" si="2"/>
        <v/>
      </c>
      <c r="Y49" s="449" t="str">
        <f>IFERROR(IF(VLOOKUP($C49,'Matriz de Referencia'!$B$2:$CO$584,'Matriz de Referencia'!CC$1,FALSE)&gt;0,"Diligenciar la vigencia, tiene presupuesto programado","No diligenciar, no programo presupuesto"),"")</f>
        <v/>
      </c>
      <c r="Z49" s="627"/>
      <c r="AC49" s="627"/>
      <c r="AD49" s="650" t="str">
        <f t="shared" si="3"/>
        <v/>
      </c>
      <c r="AE49" s="448" t="str">
        <f t="shared" si="4"/>
        <v/>
      </c>
      <c r="AF49" s="416" t="str">
        <f>IF(AE49="","",IF(F49="Incremento",IF(AE49=(VLOOKUP(C49,Tabla7[[#Headers],[Codigo Interno]:[META]],13,FALSE)-VLOOKUP(C49,Tabla7[[#Headers],[Codigo Interno]:[META]],15,FALSE)),"Continue",IF(F49="Mantenimiento",IF(AE49=VLOOKUP(C49,Tabla7[[#Headers],[Codigo Interno]:[META]],15,FALSE),"Continue","Su Programación es diferente a la meta, revise para continuar"),"Su Programación es diferente a la meta, revise para continuar"))))</f>
        <v/>
      </c>
    </row>
    <row r="50" spans="7:32">
      <c r="G50" s="449" t="str">
        <f>IFERROR(IF(VLOOKUP(C50,'Matriz de Referencia'!$B$2:$CO$584,'Matriz de Referencia'!AM$1,FALSE)&gt;0,"Diligenciar la vigencia, tiene presupuesto programado","No diligenciar, no programo presupuesto"),"")</f>
        <v/>
      </c>
      <c r="H50" s="649"/>
      <c r="I50" s="649"/>
      <c r="J50" s="649"/>
      <c r="K50" s="649"/>
      <c r="L50" s="650" t="str">
        <f t="shared" si="0"/>
        <v/>
      </c>
      <c r="M50" s="449" t="str">
        <f>IFERROR(IF(VLOOKUP($C50,'Matriz de Referencia'!$B$2:$CO$584,'Matriz de Referencia'!BA$1,FALSE)&gt;0,"Diligenciar la vigencia, tiene presupuesto programado","No diligenciar, no programo presupuesto"),"")</f>
        <v/>
      </c>
      <c r="N50" s="627"/>
      <c r="Q50" s="627"/>
      <c r="R50" s="650" t="str">
        <f t="shared" si="1"/>
        <v/>
      </c>
      <c r="S50" s="449" t="str">
        <f>IFERROR(IF(VLOOKUP($C50,'Matriz de Referencia'!$B$2:$CO$584,'Matriz de Referencia'!BO$1,FALSE)&gt;0,"Diligenciar la vigencia, tiene presupuesto programado","No diligenciar, no programo presupuesto"),"")</f>
        <v/>
      </c>
      <c r="T50" s="627"/>
      <c r="W50" s="627"/>
      <c r="X50" s="650" t="str">
        <f t="shared" si="2"/>
        <v/>
      </c>
      <c r="Y50" s="449" t="str">
        <f>IFERROR(IF(VLOOKUP($C50,'Matriz de Referencia'!$B$2:$CO$584,'Matriz de Referencia'!CC$1,FALSE)&gt;0,"Diligenciar la vigencia, tiene presupuesto programado","No diligenciar, no programo presupuesto"),"")</f>
        <v/>
      </c>
      <c r="Z50" s="627"/>
      <c r="AC50" s="627"/>
      <c r="AD50" s="650" t="str">
        <f t="shared" si="3"/>
        <v/>
      </c>
      <c r="AE50" s="448" t="str">
        <f t="shared" si="4"/>
        <v/>
      </c>
      <c r="AF50" s="416" t="str">
        <f>IF(AE50="","",IF(F50="Incremento",IF(AE50=(VLOOKUP(C50,Tabla7[[#Headers],[Codigo Interno]:[META]],13,FALSE)-VLOOKUP(C50,Tabla7[[#Headers],[Codigo Interno]:[META]],15,FALSE)),"Continue",IF(F50="Mantenimiento",IF(AE50=VLOOKUP(C50,Tabla7[[#Headers],[Codigo Interno]:[META]],15,FALSE),"Continue","Su Programación es diferente a la meta, revise para continuar"),"Su Programación es diferente a la meta, revise para continuar"))))</f>
        <v/>
      </c>
    </row>
    <row r="51" spans="7:32">
      <c r="G51" s="449" t="str">
        <f>IFERROR(IF(VLOOKUP(C51,'Matriz de Referencia'!$B$2:$CO$584,'Matriz de Referencia'!AM$1,FALSE)&gt;0,"Diligenciar la vigencia, tiene presupuesto programado","No diligenciar, no programo presupuesto"),"")</f>
        <v/>
      </c>
      <c r="H51" s="649"/>
      <c r="I51" s="649"/>
      <c r="J51" s="649"/>
      <c r="K51" s="649"/>
      <c r="L51" s="650" t="str">
        <f t="shared" si="0"/>
        <v/>
      </c>
      <c r="M51" s="449" t="str">
        <f>IFERROR(IF(VLOOKUP($C51,'Matriz de Referencia'!$B$2:$CO$584,'Matriz de Referencia'!BA$1,FALSE)&gt;0,"Diligenciar la vigencia, tiene presupuesto programado","No diligenciar, no programo presupuesto"),"")</f>
        <v/>
      </c>
      <c r="N51" s="627"/>
      <c r="Q51" s="627"/>
      <c r="R51" s="650" t="str">
        <f t="shared" si="1"/>
        <v/>
      </c>
      <c r="S51" s="449" t="str">
        <f>IFERROR(IF(VLOOKUP($C51,'Matriz de Referencia'!$B$2:$CO$584,'Matriz de Referencia'!BO$1,FALSE)&gt;0,"Diligenciar la vigencia, tiene presupuesto programado","No diligenciar, no programo presupuesto"),"")</f>
        <v/>
      </c>
      <c r="T51" s="627"/>
      <c r="W51" s="627"/>
      <c r="X51" s="650" t="str">
        <f t="shared" si="2"/>
        <v/>
      </c>
      <c r="Y51" s="449" t="str">
        <f>IFERROR(IF(VLOOKUP($C51,'Matriz de Referencia'!$B$2:$CO$584,'Matriz de Referencia'!CC$1,FALSE)&gt;0,"Diligenciar la vigencia, tiene presupuesto programado","No diligenciar, no programo presupuesto"),"")</f>
        <v/>
      </c>
      <c r="Z51" s="627"/>
      <c r="AC51" s="627"/>
      <c r="AD51" s="650" t="str">
        <f t="shared" si="3"/>
        <v/>
      </c>
      <c r="AE51" s="448" t="str">
        <f t="shared" si="4"/>
        <v/>
      </c>
      <c r="AF51" s="416" t="str">
        <f>IF(AE51="","",IF(F51="Incremento",IF(AE51=(VLOOKUP(C51,Tabla7[[#Headers],[Codigo Interno]:[META]],13,FALSE)-VLOOKUP(C51,Tabla7[[#Headers],[Codigo Interno]:[META]],15,FALSE)),"Continue",IF(F51="Mantenimiento",IF(AE51=VLOOKUP(C51,Tabla7[[#Headers],[Codigo Interno]:[META]],15,FALSE),"Continue","Su Programación es diferente a la meta, revise para continuar"),"Su Programación es diferente a la meta, revise para continuar"))))</f>
        <v/>
      </c>
    </row>
    <row r="52" spans="7:32">
      <c r="G52" s="449" t="str">
        <f>IFERROR(IF(VLOOKUP(C52,'Matriz de Referencia'!$B$2:$CO$584,'Matriz de Referencia'!AM$1,FALSE)&gt;0,"Diligenciar la vigencia, tiene presupuesto programado","No diligenciar, no programo presupuesto"),"")</f>
        <v/>
      </c>
      <c r="H52" s="649"/>
      <c r="I52" s="649"/>
      <c r="J52" s="649"/>
      <c r="K52" s="649"/>
      <c r="L52" s="650" t="str">
        <f t="shared" si="0"/>
        <v/>
      </c>
      <c r="M52" s="449" t="str">
        <f>IFERROR(IF(VLOOKUP($C52,'Matriz de Referencia'!$B$2:$CO$584,'Matriz de Referencia'!BA$1,FALSE)&gt;0,"Diligenciar la vigencia, tiene presupuesto programado","No diligenciar, no programo presupuesto"),"")</f>
        <v/>
      </c>
      <c r="N52" s="627"/>
      <c r="Q52" s="627"/>
      <c r="R52" s="650" t="str">
        <f t="shared" si="1"/>
        <v/>
      </c>
      <c r="S52" s="449" t="str">
        <f>IFERROR(IF(VLOOKUP($C52,'Matriz de Referencia'!$B$2:$CO$584,'Matriz de Referencia'!BO$1,FALSE)&gt;0,"Diligenciar la vigencia, tiene presupuesto programado","No diligenciar, no programo presupuesto"),"")</f>
        <v/>
      </c>
      <c r="T52" s="627"/>
      <c r="W52" s="627"/>
      <c r="X52" s="650" t="str">
        <f t="shared" si="2"/>
        <v/>
      </c>
      <c r="Y52" s="449" t="str">
        <f>IFERROR(IF(VLOOKUP($C52,'Matriz de Referencia'!$B$2:$CO$584,'Matriz de Referencia'!CC$1,FALSE)&gt;0,"Diligenciar la vigencia, tiene presupuesto programado","No diligenciar, no programo presupuesto"),"")</f>
        <v/>
      </c>
      <c r="Z52" s="627"/>
      <c r="AC52" s="627"/>
      <c r="AD52" s="650" t="str">
        <f t="shared" si="3"/>
        <v/>
      </c>
      <c r="AE52" s="448" t="str">
        <f t="shared" si="4"/>
        <v/>
      </c>
      <c r="AF52" s="416" t="str">
        <f>IF(AE52="","",IF(F52="Incremento",IF(AE52=(VLOOKUP(C52,Tabla7[[#Headers],[Codigo Interno]:[META]],13,FALSE)-VLOOKUP(C52,Tabla7[[#Headers],[Codigo Interno]:[META]],15,FALSE)),"Continue",IF(F52="Mantenimiento",IF(AE52=VLOOKUP(C52,Tabla7[[#Headers],[Codigo Interno]:[META]],15,FALSE),"Continue","Su Programación es diferente a la meta, revise para continuar"),"Su Programación es diferente a la meta, revise para continuar"))))</f>
        <v/>
      </c>
    </row>
    <row r="53" spans="7:32">
      <c r="G53" s="449" t="str">
        <f>IFERROR(IF(VLOOKUP(C53,'Matriz de Referencia'!$B$2:$CO$584,'Matriz de Referencia'!AM$1,FALSE)&gt;0,"Diligenciar la vigencia, tiene presupuesto programado","No diligenciar, no programo presupuesto"),"")</f>
        <v/>
      </c>
      <c r="H53" s="649"/>
      <c r="I53" s="649"/>
      <c r="J53" s="649"/>
      <c r="K53" s="649"/>
      <c r="L53" s="650" t="str">
        <f t="shared" si="0"/>
        <v/>
      </c>
      <c r="M53" s="449" t="str">
        <f>IFERROR(IF(VLOOKUP($C53,'Matriz de Referencia'!$B$2:$CO$584,'Matriz de Referencia'!BA$1,FALSE)&gt;0,"Diligenciar la vigencia, tiene presupuesto programado","No diligenciar, no programo presupuesto"),"")</f>
        <v/>
      </c>
      <c r="N53" s="627"/>
      <c r="Q53" s="627"/>
      <c r="R53" s="650" t="str">
        <f t="shared" si="1"/>
        <v/>
      </c>
      <c r="S53" s="449" t="str">
        <f>IFERROR(IF(VLOOKUP($C53,'Matriz de Referencia'!$B$2:$CO$584,'Matriz de Referencia'!BO$1,FALSE)&gt;0,"Diligenciar la vigencia, tiene presupuesto programado","No diligenciar, no programo presupuesto"),"")</f>
        <v/>
      </c>
      <c r="T53" s="627"/>
      <c r="W53" s="627"/>
      <c r="X53" s="650" t="str">
        <f t="shared" si="2"/>
        <v/>
      </c>
      <c r="Y53" s="449" t="str">
        <f>IFERROR(IF(VLOOKUP($C53,'Matriz de Referencia'!$B$2:$CO$584,'Matriz de Referencia'!CC$1,FALSE)&gt;0,"Diligenciar la vigencia, tiene presupuesto programado","No diligenciar, no programo presupuesto"),"")</f>
        <v/>
      </c>
      <c r="Z53" s="627"/>
      <c r="AC53" s="627"/>
      <c r="AD53" s="650" t="str">
        <f t="shared" si="3"/>
        <v/>
      </c>
      <c r="AE53" s="448" t="str">
        <f t="shared" si="4"/>
        <v/>
      </c>
      <c r="AF53" s="416" t="str">
        <f>IF(AE53="","",IF(F53="Incremento",IF(AE53=(VLOOKUP(C53,Tabla7[[#Headers],[Codigo Interno]:[META]],13,FALSE)-VLOOKUP(C53,Tabla7[[#Headers],[Codigo Interno]:[META]],15,FALSE)),"Continue",IF(F53="Mantenimiento",IF(AE53=VLOOKUP(C53,Tabla7[[#Headers],[Codigo Interno]:[META]],15,FALSE),"Continue","Su Programación es diferente a la meta, revise para continuar"),"Su Programación es diferente a la meta, revise para continuar"))))</f>
        <v/>
      </c>
    </row>
    <row r="54" spans="7:32">
      <c r="G54" s="449" t="str">
        <f>IFERROR(IF(VLOOKUP(C54,'Matriz de Referencia'!$B$2:$CO$584,'Matriz de Referencia'!AM$1,FALSE)&gt;0,"Diligenciar la vigencia, tiene presupuesto programado","No diligenciar, no programo presupuesto"),"")</f>
        <v/>
      </c>
      <c r="H54" s="649"/>
      <c r="I54" s="649"/>
      <c r="J54" s="649"/>
      <c r="K54" s="649"/>
      <c r="L54" s="650" t="str">
        <f t="shared" si="0"/>
        <v/>
      </c>
      <c r="M54" s="449" t="str">
        <f>IFERROR(IF(VLOOKUP($C54,'Matriz de Referencia'!$B$2:$CO$584,'Matriz de Referencia'!BA$1,FALSE)&gt;0,"Diligenciar la vigencia, tiene presupuesto programado","No diligenciar, no programo presupuesto"),"")</f>
        <v/>
      </c>
      <c r="N54" s="627"/>
      <c r="Q54" s="627"/>
      <c r="R54" s="650" t="str">
        <f t="shared" si="1"/>
        <v/>
      </c>
      <c r="S54" s="449" t="str">
        <f>IFERROR(IF(VLOOKUP($C54,'Matriz de Referencia'!$B$2:$CO$584,'Matriz de Referencia'!BO$1,FALSE)&gt;0,"Diligenciar la vigencia, tiene presupuesto programado","No diligenciar, no programo presupuesto"),"")</f>
        <v/>
      </c>
      <c r="T54" s="627"/>
      <c r="W54" s="627"/>
      <c r="X54" s="650" t="str">
        <f t="shared" si="2"/>
        <v/>
      </c>
      <c r="Y54" s="449" t="str">
        <f>IFERROR(IF(VLOOKUP($C54,'Matriz de Referencia'!$B$2:$CO$584,'Matriz de Referencia'!CC$1,FALSE)&gt;0,"Diligenciar la vigencia, tiene presupuesto programado","No diligenciar, no programo presupuesto"),"")</f>
        <v/>
      </c>
      <c r="Z54" s="627"/>
      <c r="AC54" s="627"/>
      <c r="AD54" s="650" t="str">
        <f t="shared" si="3"/>
        <v/>
      </c>
      <c r="AE54" s="448" t="str">
        <f t="shared" si="4"/>
        <v/>
      </c>
      <c r="AF54" s="416" t="str">
        <f>IF(AE54="","",IF(F54="Incremento",IF(AE54=(VLOOKUP(C54,Tabla7[[#Headers],[Codigo Interno]:[META]],13,FALSE)-VLOOKUP(C54,Tabla7[[#Headers],[Codigo Interno]:[META]],15,FALSE)),"Continue",IF(F54="Mantenimiento",IF(AE54=VLOOKUP(C54,Tabla7[[#Headers],[Codigo Interno]:[META]],15,FALSE),"Continue","Su Programación es diferente a la meta, revise para continuar"),"Su Programación es diferente a la meta, revise para continuar"))))</f>
        <v/>
      </c>
    </row>
    <row r="55" spans="7:32">
      <c r="G55" s="449" t="str">
        <f>IFERROR(IF(VLOOKUP(C55,'Matriz de Referencia'!$B$2:$CO$584,'Matriz de Referencia'!AM$1,FALSE)&gt;0,"Diligenciar la vigencia, tiene presupuesto programado","No diligenciar, no programo presupuesto"),"")</f>
        <v/>
      </c>
      <c r="H55" s="649"/>
      <c r="I55" s="649"/>
      <c r="J55" s="649"/>
      <c r="K55" s="649"/>
      <c r="L55" s="650" t="str">
        <f t="shared" si="0"/>
        <v/>
      </c>
      <c r="M55" s="449" t="str">
        <f>IFERROR(IF(VLOOKUP($C55,'Matriz de Referencia'!$B$2:$CO$584,'Matriz de Referencia'!BA$1,FALSE)&gt;0,"Diligenciar la vigencia, tiene presupuesto programado","No diligenciar, no programo presupuesto"),"")</f>
        <v/>
      </c>
      <c r="N55" s="627"/>
      <c r="Q55" s="627"/>
      <c r="R55" s="650" t="str">
        <f t="shared" si="1"/>
        <v/>
      </c>
      <c r="S55" s="449" t="str">
        <f>IFERROR(IF(VLOOKUP($C55,'Matriz de Referencia'!$B$2:$CO$584,'Matriz de Referencia'!BO$1,FALSE)&gt;0,"Diligenciar la vigencia, tiene presupuesto programado","No diligenciar, no programo presupuesto"),"")</f>
        <v/>
      </c>
      <c r="T55" s="627"/>
      <c r="W55" s="627"/>
      <c r="X55" s="650" t="str">
        <f t="shared" si="2"/>
        <v/>
      </c>
      <c r="Y55" s="449" t="str">
        <f>IFERROR(IF(VLOOKUP($C55,'Matriz de Referencia'!$B$2:$CO$584,'Matriz de Referencia'!CC$1,FALSE)&gt;0,"Diligenciar la vigencia, tiene presupuesto programado","No diligenciar, no programo presupuesto"),"")</f>
        <v/>
      </c>
      <c r="Z55" s="627"/>
      <c r="AC55" s="627"/>
      <c r="AD55" s="650" t="str">
        <f t="shared" si="3"/>
        <v/>
      </c>
      <c r="AE55" s="448" t="str">
        <f t="shared" si="4"/>
        <v/>
      </c>
      <c r="AF55" s="416" t="str">
        <f>IF(AE55="","",IF(F55="Incremento",IF(AE55=(VLOOKUP(C55,Tabla7[[#Headers],[Codigo Interno]:[META]],13,FALSE)-VLOOKUP(C55,Tabla7[[#Headers],[Codigo Interno]:[META]],15,FALSE)),"Continue",IF(F55="Mantenimiento",IF(AE55=VLOOKUP(C55,Tabla7[[#Headers],[Codigo Interno]:[META]],15,FALSE),"Continue","Su Programación es diferente a la meta, revise para continuar"),"Su Programación es diferente a la meta, revise para continuar"))))</f>
        <v/>
      </c>
    </row>
    <row r="56" spans="7:32">
      <c r="G56" s="449" t="str">
        <f>IFERROR(IF(VLOOKUP(C56,'Matriz de Referencia'!$B$2:$CO$584,'Matriz de Referencia'!AM$1,FALSE)&gt;0,"Diligenciar la vigencia, tiene presupuesto programado","No diligenciar, no programo presupuesto"),"")</f>
        <v/>
      </c>
      <c r="H56" s="649"/>
      <c r="I56" s="649"/>
      <c r="J56" s="649"/>
      <c r="K56" s="649"/>
      <c r="L56" s="650" t="str">
        <f t="shared" si="0"/>
        <v/>
      </c>
      <c r="M56" s="449" t="str">
        <f>IFERROR(IF(VLOOKUP($C56,'Matriz de Referencia'!$B$2:$CO$584,'Matriz de Referencia'!BA$1,FALSE)&gt;0,"Diligenciar la vigencia, tiene presupuesto programado","No diligenciar, no programo presupuesto"),"")</f>
        <v/>
      </c>
      <c r="N56" s="627"/>
      <c r="Q56" s="627"/>
      <c r="R56" s="650" t="str">
        <f t="shared" si="1"/>
        <v/>
      </c>
      <c r="S56" s="449" t="str">
        <f>IFERROR(IF(VLOOKUP($C56,'Matriz de Referencia'!$B$2:$CO$584,'Matriz de Referencia'!BO$1,FALSE)&gt;0,"Diligenciar la vigencia, tiene presupuesto programado","No diligenciar, no programo presupuesto"),"")</f>
        <v/>
      </c>
      <c r="T56" s="627"/>
      <c r="W56" s="627"/>
      <c r="X56" s="650" t="str">
        <f t="shared" si="2"/>
        <v/>
      </c>
      <c r="Y56" s="449" t="str">
        <f>IFERROR(IF(VLOOKUP($C56,'Matriz de Referencia'!$B$2:$CO$584,'Matriz de Referencia'!CC$1,FALSE)&gt;0,"Diligenciar la vigencia, tiene presupuesto programado","No diligenciar, no programo presupuesto"),"")</f>
        <v/>
      </c>
      <c r="Z56" s="627"/>
      <c r="AC56" s="627"/>
      <c r="AD56" s="650" t="str">
        <f t="shared" si="3"/>
        <v/>
      </c>
      <c r="AE56" s="448" t="str">
        <f t="shared" si="4"/>
        <v/>
      </c>
      <c r="AF56" s="416" t="str">
        <f>IF(AE56="","",IF(F56="Incremento",IF(AE56=(VLOOKUP(C56,Tabla7[[#Headers],[Codigo Interno]:[META]],13,FALSE)-VLOOKUP(C56,Tabla7[[#Headers],[Codigo Interno]:[META]],15,FALSE)),"Continue",IF(F56="Mantenimiento",IF(AE56=VLOOKUP(C56,Tabla7[[#Headers],[Codigo Interno]:[META]],15,FALSE),"Continue","Su Programación es diferente a la meta, revise para continuar"),"Su Programación es diferente a la meta, revise para continuar"))))</f>
        <v/>
      </c>
    </row>
    <row r="57" spans="7:32">
      <c r="G57" s="449" t="str">
        <f>IFERROR(IF(VLOOKUP(C57,'Matriz de Referencia'!$B$2:$CO$584,'Matriz de Referencia'!AM$1,FALSE)&gt;0,"Diligenciar la vigencia, tiene presupuesto programado","No diligenciar, no programo presupuesto"),"")</f>
        <v/>
      </c>
      <c r="H57" s="649"/>
      <c r="I57" s="649"/>
      <c r="J57" s="649"/>
      <c r="K57" s="649"/>
      <c r="L57" s="650" t="str">
        <f t="shared" si="0"/>
        <v/>
      </c>
      <c r="M57" s="449" t="str">
        <f>IFERROR(IF(VLOOKUP($C57,'Matriz de Referencia'!$B$2:$CO$584,'Matriz de Referencia'!BA$1,FALSE)&gt;0,"Diligenciar la vigencia, tiene presupuesto programado","No diligenciar, no programo presupuesto"),"")</f>
        <v/>
      </c>
      <c r="N57" s="627"/>
      <c r="Q57" s="627"/>
      <c r="R57" s="650" t="str">
        <f t="shared" si="1"/>
        <v/>
      </c>
      <c r="S57" s="449" t="str">
        <f>IFERROR(IF(VLOOKUP($C57,'Matriz de Referencia'!$B$2:$CO$584,'Matriz de Referencia'!BO$1,FALSE)&gt;0,"Diligenciar la vigencia, tiene presupuesto programado","No diligenciar, no programo presupuesto"),"")</f>
        <v/>
      </c>
      <c r="T57" s="627"/>
      <c r="W57" s="627"/>
      <c r="X57" s="650" t="str">
        <f t="shared" si="2"/>
        <v/>
      </c>
      <c r="Y57" s="449" t="str">
        <f>IFERROR(IF(VLOOKUP($C57,'Matriz de Referencia'!$B$2:$CO$584,'Matriz de Referencia'!CC$1,FALSE)&gt;0,"Diligenciar la vigencia, tiene presupuesto programado","No diligenciar, no programo presupuesto"),"")</f>
        <v/>
      </c>
      <c r="Z57" s="627"/>
      <c r="AC57" s="627"/>
      <c r="AD57" s="650" t="str">
        <f t="shared" si="3"/>
        <v/>
      </c>
      <c r="AE57" s="448" t="str">
        <f t="shared" si="4"/>
        <v/>
      </c>
      <c r="AF57" s="416" t="str">
        <f>IF(AE57="","",IF(F57="Incremento",IF(AE57=(VLOOKUP(C57,Tabla7[[#Headers],[Codigo Interno]:[META]],13,FALSE)-VLOOKUP(C57,Tabla7[[#Headers],[Codigo Interno]:[META]],15,FALSE)),"Continue",IF(F57="Mantenimiento",IF(AE57=VLOOKUP(C57,Tabla7[[#Headers],[Codigo Interno]:[META]],15,FALSE),"Continue","Su Programación es diferente a la meta, revise para continuar"),"Su Programación es diferente a la meta, revise para continuar"))))</f>
        <v/>
      </c>
    </row>
    <row r="58" spans="7:32">
      <c r="G58" s="449" t="str">
        <f>IFERROR(IF(VLOOKUP(C58,'Matriz de Referencia'!$B$2:$CO$584,'Matriz de Referencia'!AM$1,FALSE)&gt;0,"Diligenciar la vigencia, tiene presupuesto programado","No diligenciar, no programo presupuesto"),"")</f>
        <v/>
      </c>
      <c r="H58" s="649"/>
      <c r="I58" s="649"/>
      <c r="J58" s="649"/>
      <c r="K58" s="649"/>
      <c r="L58" s="650" t="str">
        <f t="shared" si="0"/>
        <v/>
      </c>
      <c r="M58" s="449" t="str">
        <f>IFERROR(IF(VLOOKUP($C58,'Matriz de Referencia'!$B$2:$CO$584,'Matriz de Referencia'!BA$1,FALSE)&gt;0,"Diligenciar la vigencia, tiene presupuesto programado","No diligenciar, no programo presupuesto"),"")</f>
        <v/>
      </c>
      <c r="N58" s="627"/>
      <c r="Q58" s="627"/>
      <c r="R58" s="650" t="str">
        <f t="shared" si="1"/>
        <v/>
      </c>
      <c r="S58" s="449" t="str">
        <f>IFERROR(IF(VLOOKUP($C58,'Matriz de Referencia'!$B$2:$CO$584,'Matriz de Referencia'!BO$1,FALSE)&gt;0,"Diligenciar la vigencia, tiene presupuesto programado","No diligenciar, no programo presupuesto"),"")</f>
        <v/>
      </c>
      <c r="T58" s="627"/>
      <c r="W58" s="627"/>
      <c r="X58" s="650" t="str">
        <f t="shared" si="2"/>
        <v/>
      </c>
      <c r="Y58" s="449" t="str">
        <f>IFERROR(IF(VLOOKUP($C58,'Matriz de Referencia'!$B$2:$CO$584,'Matriz de Referencia'!CC$1,FALSE)&gt;0,"Diligenciar la vigencia, tiene presupuesto programado","No diligenciar, no programo presupuesto"),"")</f>
        <v/>
      </c>
      <c r="Z58" s="627"/>
      <c r="AC58" s="627"/>
      <c r="AD58" s="650" t="str">
        <f t="shared" si="3"/>
        <v/>
      </c>
      <c r="AE58" s="448" t="str">
        <f t="shared" si="4"/>
        <v/>
      </c>
      <c r="AF58" s="416" t="str">
        <f>IF(AE58="","",IF(F58="Incremento",IF(AE58=(VLOOKUP(C58,Tabla7[[#Headers],[Codigo Interno]:[META]],13,FALSE)-VLOOKUP(C58,Tabla7[[#Headers],[Codigo Interno]:[META]],15,FALSE)),"Continue",IF(F58="Mantenimiento",IF(AE58=VLOOKUP(C58,Tabla7[[#Headers],[Codigo Interno]:[META]],15,FALSE),"Continue","Su Programación es diferente a la meta, revise para continuar"),"Su Programación es diferente a la meta, revise para continuar"))))</f>
        <v/>
      </c>
    </row>
    <row r="59" spans="7:32">
      <c r="G59" s="449" t="str">
        <f>IFERROR(IF(VLOOKUP(C59,'Matriz de Referencia'!$B$2:$CO$584,'Matriz de Referencia'!AM$1,FALSE)&gt;0,"Diligenciar la vigencia, tiene presupuesto programado","No diligenciar, no programo presupuesto"),"")</f>
        <v/>
      </c>
      <c r="H59" s="649"/>
      <c r="I59" s="649"/>
      <c r="J59" s="649"/>
      <c r="K59" s="649"/>
      <c r="L59" s="650" t="str">
        <f t="shared" si="0"/>
        <v/>
      </c>
      <c r="M59" s="449" t="str">
        <f>IFERROR(IF(VLOOKUP($C59,'Matriz de Referencia'!$B$2:$CO$584,'Matriz de Referencia'!BA$1,FALSE)&gt;0,"Diligenciar la vigencia, tiene presupuesto programado","No diligenciar, no programo presupuesto"),"")</f>
        <v/>
      </c>
      <c r="N59" s="627"/>
      <c r="Q59" s="627"/>
      <c r="R59" s="650" t="str">
        <f t="shared" si="1"/>
        <v/>
      </c>
      <c r="S59" s="449" t="str">
        <f>IFERROR(IF(VLOOKUP($C59,'Matriz de Referencia'!$B$2:$CO$584,'Matriz de Referencia'!BO$1,FALSE)&gt;0,"Diligenciar la vigencia, tiene presupuesto programado","No diligenciar, no programo presupuesto"),"")</f>
        <v/>
      </c>
      <c r="T59" s="627"/>
      <c r="W59" s="627"/>
      <c r="X59" s="650" t="str">
        <f t="shared" si="2"/>
        <v/>
      </c>
      <c r="Y59" s="449" t="str">
        <f>IFERROR(IF(VLOOKUP($C59,'Matriz de Referencia'!$B$2:$CO$584,'Matriz de Referencia'!CC$1,FALSE)&gt;0,"Diligenciar la vigencia, tiene presupuesto programado","No diligenciar, no programo presupuesto"),"")</f>
        <v/>
      </c>
      <c r="Z59" s="627"/>
      <c r="AC59" s="627"/>
      <c r="AD59" s="650" t="str">
        <f t="shared" si="3"/>
        <v/>
      </c>
      <c r="AE59" s="448" t="str">
        <f t="shared" si="4"/>
        <v/>
      </c>
      <c r="AF59" s="416" t="str">
        <f>IF(AE59="","",IF(F59="Incremento",IF(AE59=(VLOOKUP(C59,Tabla7[[#Headers],[Codigo Interno]:[META]],13,FALSE)-VLOOKUP(C59,Tabla7[[#Headers],[Codigo Interno]:[META]],15,FALSE)),"Continue",IF(F59="Mantenimiento",IF(AE59=VLOOKUP(C59,Tabla7[[#Headers],[Codigo Interno]:[META]],15,FALSE),"Continue","Su Programación es diferente a la meta, revise para continuar"),"Su Programación es diferente a la meta, revise para continuar"))))</f>
        <v/>
      </c>
    </row>
    <row r="60" spans="7:32">
      <c r="G60" s="449" t="str">
        <f>IFERROR(IF(VLOOKUP(C60,'Matriz de Referencia'!$B$2:$CO$584,'Matriz de Referencia'!AM$1,FALSE)&gt;0,"Diligenciar la vigencia, tiene presupuesto programado","No diligenciar, no programo presupuesto"),"")</f>
        <v/>
      </c>
      <c r="H60" s="649"/>
      <c r="I60" s="649"/>
      <c r="J60" s="649"/>
      <c r="K60" s="649"/>
      <c r="L60" s="650" t="str">
        <f t="shared" si="0"/>
        <v/>
      </c>
      <c r="M60" s="449" t="str">
        <f>IFERROR(IF(VLOOKUP($C60,'Matriz de Referencia'!$B$2:$CO$584,'Matriz de Referencia'!BA$1,FALSE)&gt;0,"Diligenciar la vigencia, tiene presupuesto programado","No diligenciar, no programo presupuesto"),"")</f>
        <v/>
      </c>
      <c r="N60" s="627"/>
      <c r="Q60" s="627"/>
      <c r="R60" s="650" t="str">
        <f t="shared" si="1"/>
        <v/>
      </c>
      <c r="S60" s="449" t="str">
        <f>IFERROR(IF(VLOOKUP($C60,'Matriz de Referencia'!$B$2:$CO$584,'Matriz de Referencia'!BO$1,FALSE)&gt;0,"Diligenciar la vigencia, tiene presupuesto programado","No diligenciar, no programo presupuesto"),"")</f>
        <v/>
      </c>
      <c r="T60" s="627"/>
      <c r="W60" s="627"/>
      <c r="X60" s="650" t="str">
        <f t="shared" si="2"/>
        <v/>
      </c>
      <c r="Y60" s="449" t="str">
        <f>IFERROR(IF(VLOOKUP($C60,'Matriz de Referencia'!$B$2:$CO$584,'Matriz de Referencia'!CC$1,FALSE)&gt;0,"Diligenciar la vigencia, tiene presupuesto programado","No diligenciar, no programo presupuesto"),"")</f>
        <v/>
      </c>
      <c r="Z60" s="627"/>
      <c r="AC60" s="627"/>
      <c r="AD60" s="650" t="str">
        <f t="shared" si="3"/>
        <v/>
      </c>
      <c r="AE60" s="448" t="str">
        <f t="shared" si="4"/>
        <v/>
      </c>
      <c r="AF60" s="416" t="str">
        <f>IF(AE60="","",IF(F60="Incremento",IF(AE60=(VLOOKUP(C60,Tabla7[[#Headers],[Codigo Interno]:[META]],13,FALSE)-VLOOKUP(C60,Tabla7[[#Headers],[Codigo Interno]:[META]],15,FALSE)),"Continue",IF(F60="Mantenimiento",IF(AE60=VLOOKUP(C60,Tabla7[[#Headers],[Codigo Interno]:[META]],15,FALSE),"Continue","Su Programación es diferente a la meta, revise para continuar"),"Su Programación es diferente a la meta, revise para continuar"))))</f>
        <v/>
      </c>
    </row>
    <row r="61" spans="7:32">
      <c r="G61" s="449" t="str">
        <f>IFERROR(IF(VLOOKUP(C61,'Matriz de Referencia'!$B$2:$CO$584,'Matriz de Referencia'!AM$1,FALSE)&gt;0,"Diligenciar la vigencia, tiene presupuesto programado","No diligenciar, no programo presupuesto"),"")</f>
        <v/>
      </c>
      <c r="H61" s="649"/>
      <c r="I61" s="649"/>
      <c r="J61" s="649"/>
      <c r="K61" s="649"/>
      <c r="L61" s="650" t="str">
        <f t="shared" si="0"/>
        <v/>
      </c>
      <c r="M61" s="449" t="str">
        <f>IFERROR(IF(VLOOKUP($C61,'Matriz de Referencia'!$B$2:$CO$584,'Matriz de Referencia'!BA$1,FALSE)&gt;0,"Diligenciar la vigencia, tiene presupuesto programado","No diligenciar, no programo presupuesto"),"")</f>
        <v/>
      </c>
      <c r="N61" s="627"/>
      <c r="Q61" s="627"/>
      <c r="R61" s="650" t="str">
        <f t="shared" si="1"/>
        <v/>
      </c>
      <c r="S61" s="449" t="str">
        <f>IFERROR(IF(VLOOKUP($C61,'Matriz de Referencia'!$B$2:$CO$584,'Matriz de Referencia'!BO$1,FALSE)&gt;0,"Diligenciar la vigencia, tiene presupuesto programado","No diligenciar, no programo presupuesto"),"")</f>
        <v/>
      </c>
      <c r="T61" s="627"/>
      <c r="W61" s="627"/>
      <c r="X61" s="650" t="str">
        <f t="shared" si="2"/>
        <v/>
      </c>
      <c r="Y61" s="449" t="str">
        <f>IFERROR(IF(VLOOKUP($C61,'Matriz de Referencia'!$B$2:$CO$584,'Matriz de Referencia'!CC$1,FALSE)&gt;0,"Diligenciar la vigencia, tiene presupuesto programado","No diligenciar, no programo presupuesto"),"")</f>
        <v/>
      </c>
      <c r="Z61" s="627"/>
      <c r="AC61" s="627"/>
      <c r="AD61" s="650" t="str">
        <f t="shared" si="3"/>
        <v/>
      </c>
      <c r="AE61" s="448" t="str">
        <f t="shared" si="4"/>
        <v/>
      </c>
      <c r="AF61" s="416" t="str">
        <f>IF(AE61="","",IF(F61="Incremento",IF(AE61=(VLOOKUP(C61,Tabla7[[#Headers],[Codigo Interno]:[META]],13,FALSE)-VLOOKUP(C61,Tabla7[[#Headers],[Codigo Interno]:[META]],15,FALSE)),"Continue",IF(F61="Mantenimiento",IF(AE61=VLOOKUP(C61,Tabla7[[#Headers],[Codigo Interno]:[META]],15,FALSE),"Continue","Su Programación es diferente a la meta, revise para continuar"),"Su Programación es diferente a la meta, revise para continuar"))))</f>
        <v/>
      </c>
    </row>
    <row r="62" spans="7:32">
      <c r="G62" s="449" t="str">
        <f>IFERROR(IF(VLOOKUP(C62,'Matriz de Referencia'!$B$2:$CO$584,'Matriz de Referencia'!AM$1,FALSE)&gt;0,"Diligenciar la vigencia, tiene presupuesto programado","No diligenciar, no programo presupuesto"),"")</f>
        <v/>
      </c>
      <c r="H62" s="649"/>
      <c r="I62" s="649"/>
      <c r="J62" s="649"/>
      <c r="K62" s="649"/>
      <c r="L62" s="650" t="str">
        <f t="shared" si="0"/>
        <v/>
      </c>
      <c r="M62" s="449" t="str">
        <f>IFERROR(IF(VLOOKUP($C62,'Matriz de Referencia'!$B$2:$CO$584,'Matriz de Referencia'!BA$1,FALSE)&gt;0,"Diligenciar la vigencia, tiene presupuesto programado","No diligenciar, no programo presupuesto"),"")</f>
        <v/>
      </c>
      <c r="N62" s="627"/>
      <c r="Q62" s="627"/>
      <c r="R62" s="650" t="str">
        <f t="shared" si="1"/>
        <v/>
      </c>
      <c r="S62" s="449" t="str">
        <f>IFERROR(IF(VLOOKUP($C62,'Matriz de Referencia'!$B$2:$CO$584,'Matriz de Referencia'!BO$1,FALSE)&gt;0,"Diligenciar la vigencia, tiene presupuesto programado","No diligenciar, no programo presupuesto"),"")</f>
        <v/>
      </c>
      <c r="T62" s="627"/>
      <c r="W62" s="627"/>
      <c r="X62" s="650" t="str">
        <f t="shared" si="2"/>
        <v/>
      </c>
      <c r="Y62" s="449" t="str">
        <f>IFERROR(IF(VLOOKUP($C62,'Matriz de Referencia'!$B$2:$CO$584,'Matriz de Referencia'!CC$1,FALSE)&gt;0,"Diligenciar la vigencia, tiene presupuesto programado","No diligenciar, no programo presupuesto"),"")</f>
        <v/>
      </c>
      <c r="Z62" s="627"/>
      <c r="AC62" s="627"/>
      <c r="AD62" s="650" t="str">
        <f t="shared" si="3"/>
        <v/>
      </c>
      <c r="AE62" s="448" t="str">
        <f t="shared" si="4"/>
        <v/>
      </c>
      <c r="AF62" s="416" t="str">
        <f>IF(AE62="","",IF(F62="Incremento",IF(AE62=(VLOOKUP(C62,Tabla7[[#Headers],[Codigo Interno]:[META]],13,FALSE)-VLOOKUP(C62,Tabla7[[#Headers],[Codigo Interno]:[META]],15,FALSE)),"Continue",IF(F62="Mantenimiento",IF(AE62=VLOOKUP(C62,Tabla7[[#Headers],[Codigo Interno]:[META]],15,FALSE),"Continue","Su Programación es diferente a la meta, revise para continuar"),"Su Programación es diferente a la meta, revise para continuar"))))</f>
        <v/>
      </c>
    </row>
    <row r="63" spans="7:32">
      <c r="G63" s="449" t="str">
        <f>IFERROR(IF(VLOOKUP(C63,'Matriz de Referencia'!$B$2:$CO$584,'Matriz de Referencia'!AM$1,FALSE)&gt;0,"Diligenciar la vigencia, tiene presupuesto programado","No diligenciar, no programo presupuesto"),"")</f>
        <v/>
      </c>
      <c r="H63" s="649"/>
      <c r="I63" s="649"/>
      <c r="J63" s="649"/>
      <c r="K63" s="649"/>
      <c r="L63" s="650" t="str">
        <f t="shared" si="0"/>
        <v/>
      </c>
      <c r="M63" s="449" t="str">
        <f>IFERROR(IF(VLOOKUP($C63,'Matriz de Referencia'!$B$2:$CO$584,'Matriz de Referencia'!BA$1,FALSE)&gt;0,"Diligenciar la vigencia, tiene presupuesto programado","No diligenciar, no programo presupuesto"),"")</f>
        <v/>
      </c>
      <c r="N63" s="627"/>
      <c r="Q63" s="627"/>
      <c r="R63" s="650" t="str">
        <f t="shared" si="1"/>
        <v/>
      </c>
      <c r="S63" s="449" t="str">
        <f>IFERROR(IF(VLOOKUP($C63,'Matriz de Referencia'!$B$2:$CO$584,'Matriz de Referencia'!BO$1,FALSE)&gt;0,"Diligenciar la vigencia, tiene presupuesto programado","No diligenciar, no programo presupuesto"),"")</f>
        <v/>
      </c>
      <c r="T63" s="627"/>
      <c r="W63" s="627"/>
      <c r="X63" s="650" t="str">
        <f t="shared" si="2"/>
        <v/>
      </c>
      <c r="Y63" s="449" t="str">
        <f>IFERROR(IF(VLOOKUP($C63,'Matriz de Referencia'!$B$2:$CO$584,'Matriz de Referencia'!CC$1,FALSE)&gt;0,"Diligenciar la vigencia, tiene presupuesto programado","No diligenciar, no programo presupuesto"),"")</f>
        <v/>
      </c>
      <c r="Z63" s="627"/>
      <c r="AC63" s="627"/>
      <c r="AD63" s="650" t="str">
        <f t="shared" si="3"/>
        <v/>
      </c>
      <c r="AE63" s="448" t="str">
        <f t="shared" si="4"/>
        <v/>
      </c>
      <c r="AF63" s="416" t="str">
        <f>IF(AE63="","",IF(F63="Incremento",IF(AE63=(VLOOKUP(C63,Tabla7[[#Headers],[Codigo Interno]:[META]],13,FALSE)-VLOOKUP(C63,Tabla7[[#Headers],[Codigo Interno]:[META]],15,FALSE)),"Continue",IF(F63="Mantenimiento",IF(AE63=VLOOKUP(C63,Tabla7[[#Headers],[Codigo Interno]:[META]],15,FALSE),"Continue","Su Programación es diferente a la meta, revise para continuar"),"Su Programación es diferente a la meta, revise para continuar"))))</f>
        <v/>
      </c>
    </row>
    <row r="64" spans="7:32">
      <c r="G64" s="449" t="str">
        <f>IFERROR(IF(VLOOKUP(C64,'Matriz de Referencia'!$B$2:$CO$584,'Matriz de Referencia'!AM$1,FALSE)&gt;0,"Diligenciar la vigencia, tiene presupuesto programado","No diligenciar, no programo presupuesto"),"")</f>
        <v/>
      </c>
      <c r="H64" s="649"/>
      <c r="I64" s="649"/>
      <c r="J64" s="649"/>
      <c r="K64" s="649"/>
      <c r="L64" s="650" t="str">
        <f t="shared" si="0"/>
        <v/>
      </c>
      <c r="M64" s="449" t="str">
        <f>IFERROR(IF(VLOOKUP($C64,'Matriz de Referencia'!$B$2:$CO$584,'Matriz de Referencia'!BA$1,FALSE)&gt;0,"Diligenciar la vigencia, tiene presupuesto programado","No diligenciar, no programo presupuesto"),"")</f>
        <v/>
      </c>
      <c r="N64" s="627"/>
      <c r="Q64" s="627"/>
      <c r="R64" s="650" t="str">
        <f t="shared" si="1"/>
        <v/>
      </c>
      <c r="S64" s="449" t="str">
        <f>IFERROR(IF(VLOOKUP($C64,'Matriz de Referencia'!$B$2:$CO$584,'Matriz de Referencia'!BO$1,FALSE)&gt;0,"Diligenciar la vigencia, tiene presupuesto programado","No diligenciar, no programo presupuesto"),"")</f>
        <v/>
      </c>
      <c r="T64" s="627"/>
      <c r="W64" s="627"/>
      <c r="X64" s="650" t="str">
        <f t="shared" si="2"/>
        <v/>
      </c>
      <c r="Y64" s="449" t="str">
        <f>IFERROR(IF(VLOOKUP($C64,'Matriz de Referencia'!$B$2:$CO$584,'Matriz de Referencia'!CC$1,FALSE)&gt;0,"Diligenciar la vigencia, tiene presupuesto programado","No diligenciar, no programo presupuesto"),"")</f>
        <v/>
      </c>
      <c r="Z64" s="627"/>
      <c r="AC64" s="627"/>
      <c r="AD64" s="650" t="str">
        <f t="shared" si="3"/>
        <v/>
      </c>
      <c r="AE64" s="448" t="str">
        <f t="shared" si="4"/>
        <v/>
      </c>
      <c r="AF64" s="416" t="str">
        <f>IF(AE64="","",IF(F64="Incremento",IF(AE64=(VLOOKUP(C64,Tabla7[[#Headers],[Codigo Interno]:[META]],13,FALSE)-VLOOKUP(C64,Tabla7[[#Headers],[Codigo Interno]:[META]],15,FALSE)),"Continue",IF(F64="Mantenimiento",IF(AE64=VLOOKUP(C64,Tabla7[[#Headers],[Codigo Interno]:[META]],15,FALSE),"Continue","Su Programación es diferente a la meta, revise para continuar"),"Su Programación es diferente a la meta, revise para continuar"))))</f>
        <v/>
      </c>
    </row>
    <row r="65" spans="7:32">
      <c r="G65" s="449" t="str">
        <f>IFERROR(IF(VLOOKUP(C65,'Matriz de Referencia'!$B$2:$CO$584,'Matriz de Referencia'!AM$1,FALSE)&gt;0,"Diligenciar la vigencia, tiene presupuesto programado","No diligenciar, no programo presupuesto"),"")</f>
        <v/>
      </c>
      <c r="H65" s="649"/>
      <c r="I65" s="649"/>
      <c r="J65" s="649"/>
      <c r="K65" s="649"/>
      <c r="L65" s="650" t="str">
        <f t="shared" si="0"/>
        <v/>
      </c>
      <c r="M65" s="449" t="str">
        <f>IFERROR(IF(VLOOKUP($C65,'Matriz de Referencia'!$B$2:$CO$584,'Matriz de Referencia'!BA$1,FALSE)&gt;0,"Diligenciar la vigencia, tiene presupuesto programado","No diligenciar, no programo presupuesto"),"")</f>
        <v/>
      </c>
      <c r="N65" s="627"/>
      <c r="Q65" s="627"/>
      <c r="R65" s="650" t="str">
        <f t="shared" si="1"/>
        <v/>
      </c>
      <c r="S65" s="449" t="str">
        <f>IFERROR(IF(VLOOKUP($C65,'Matriz de Referencia'!$B$2:$CO$584,'Matriz de Referencia'!BO$1,FALSE)&gt;0,"Diligenciar la vigencia, tiene presupuesto programado","No diligenciar, no programo presupuesto"),"")</f>
        <v/>
      </c>
      <c r="T65" s="627"/>
      <c r="W65" s="627"/>
      <c r="X65" s="650" t="str">
        <f t="shared" si="2"/>
        <v/>
      </c>
      <c r="Y65" s="449" t="str">
        <f>IFERROR(IF(VLOOKUP($C65,'Matriz de Referencia'!$B$2:$CO$584,'Matriz de Referencia'!CC$1,FALSE)&gt;0,"Diligenciar la vigencia, tiene presupuesto programado","No diligenciar, no programo presupuesto"),"")</f>
        <v/>
      </c>
      <c r="Z65" s="627"/>
      <c r="AC65" s="627"/>
      <c r="AD65" s="650" t="str">
        <f t="shared" si="3"/>
        <v/>
      </c>
      <c r="AE65" s="448" t="str">
        <f t="shared" si="4"/>
        <v/>
      </c>
      <c r="AF65" s="416" t="str">
        <f>IF(AE65="","",IF(F65="Incremento",IF(AE65=(VLOOKUP(C65,Tabla7[[#Headers],[Codigo Interno]:[META]],13,FALSE)-VLOOKUP(C65,Tabla7[[#Headers],[Codigo Interno]:[META]],15,FALSE)),"Continue",IF(F65="Mantenimiento",IF(AE65=VLOOKUP(C65,Tabla7[[#Headers],[Codigo Interno]:[META]],15,FALSE),"Continue","Su Programación es diferente a la meta, revise para continuar"),"Su Programación es diferente a la meta, revise para continuar"))))</f>
        <v/>
      </c>
    </row>
    <row r="66" spans="7:32">
      <c r="G66" s="449" t="str">
        <f>IFERROR(IF(VLOOKUP(C66,'Matriz de Referencia'!$B$2:$CO$584,'Matriz de Referencia'!AM$1,FALSE)&gt;0,"Diligenciar la vigencia, tiene presupuesto programado","No diligenciar, no programo presupuesto"),"")</f>
        <v/>
      </c>
      <c r="H66" s="649"/>
      <c r="I66" s="649"/>
      <c r="J66" s="649"/>
      <c r="K66" s="649"/>
      <c r="L66" s="650" t="str">
        <f t="shared" si="0"/>
        <v/>
      </c>
      <c r="M66" s="449" t="str">
        <f>IFERROR(IF(VLOOKUP($C66,'Matriz de Referencia'!$B$2:$CO$584,'Matriz de Referencia'!BA$1,FALSE)&gt;0,"Diligenciar la vigencia, tiene presupuesto programado","No diligenciar, no programo presupuesto"),"")</f>
        <v/>
      </c>
      <c r="N66" s="627"/>
      <c r="Q66" s="627"/>
      <c r="R66" s="650" t="str">
        <f t="shared" si="1"/>
        <v/>
      </c>
      <c r="S66" s="449" t="str">
        <f>IFERROR(IF(VLOOKUP($C66,'Matriz de Referencia'!$B$2:$CO$584,'Matriz de Referencia'!BO$1,FALSE)&gt;0,"Diligenciar la vigencia, tiene presupuesto programado","No diligenciar, no programo presupuesto"),"")</f>
        <v/>
      </c>
      <c r="T66" s="627"/>
      <c r="W66" s="627"/>
      <c r="X66" s="650" t="str">
        <f t="shared" si="2"/>
        <v/>
      </c>
      <c r="Y66" s="449" t="str">
        <f>IFERROR(IF(VLOOKUP($C66,'Matriz de Referencia'!$B$2:$CO$584,'Matriz de Referencia'!CC$1,FALSE)&gt;0,"Diligenciar la vigencia, tiene presupuesto programado","No diligenciar, no programo presupuesto"),"")</f>
        <v/>
      </c>
      <c r="Z66" s="627"/>
      <c r="AC66" s="627"/>
      <c r="AD66" s="650" t="str">
        <f t="shared" si="3"/>
        <v/>
      </c>
      <c r="AE66" s="448" t="str">
        <f t="shared" si="4"/>
        <v/>
      </c>
      <c r="AF66" s="416" t="str">
        <f>IF(AE66="","",IF(F66="Incremento",IF(AE66=(VLOOKUP(C66,Tabla7[[#Headers],[Codigo Interno]:[META]],13,FALSE)-VLOOKUP(C66,Tabla7[[#Headers],[Codigo Interno]:[META]],15,FALSE)),"Continue",IF(F66="Mantenimiento",IF(AE66=VLOOKUP(C66,Tabla7[[#Headers],[Codigo Interno]:[META]],15,FALSE),"Continue","Su Programación es diferente a la meta, revise para continuar"),"Su Programación es diferente a la meta, revise para continuar"))))</f>
        <v/>
      </c>
    </row>
    <row r="67" spans="7:32">
      <c r="G67" s="449" t="str">
        <f>IFERROR(IF(VLOOKUP(C67,'Matriz de Referencia'!$B$2:$CO$584,'Matriz de Referencia'!AM$1,FALSE)&gt;0,"Diligenciar la vigencia, tiene presupuesto programado","No diligenciar, no programo presupuesto"),"")</f>
        <v/>
      </c>
      <c r="H67" s="649"/>
      <c r="I67" s="649"/>
      <c r="J67" s="649"/>
      <c r="K67" s="649"/>
      <c r="L67" s="650" t="str">
        <f t="shared" ref="L67:L99" si="5">IFERROR(IF($F67="Mantenimiento", AVERAGE(H67:K67), IF($F67="Incremento", SUM(H67:K67), "")),"")</f>
        <v/>
      </c>
      <c r="M67" s="449" t="str">
        <f>IFERROR(IF(VLOOKUP($C67,'Matriz de Referencia'!$B$2:$CO$584,'Matriz de Referencia'!BA$1,FALSE)&gt;0,"Diligenciar la vigencia, tiene presupuesto programado","No diligenciar, no programo presupuesto"),"")</f>
        <v/>
      </c>
      <c r="N67" s="627"/>
      <c r="Q67" s="627"/>
      <c r="R67" s="650" t="str">
        <f t="shared" ref="R67:R99" si="6">IFERROR(IF($F67="Mantenimiento", AVERAGE(N67:Q67), IF($F67="Incremento", SUM(N67:Q67), "")),"")</f>
        <v/>
      </c>
      <c r="S67" s="449" t="str">
        <f>IFERROR(IF(VLOOKUP($C67,'Matriz de Referencia'!$B$2:$CO$584,'Matriz de Referencia'!BO$1,FALSE)&gt;0,"Diligenciar la vigencia, tiene presupuesto programado","No diligenciar, no programo presupuesto"),"")</f>
        <v/>
      </c>
      <c r="T67" s="627"/>
      <c r="W67" s="627"/>
      <c r="X67" s="650" t="str">
        <f t="shared" ref="X67:X99" si="7">IFERROR(IF($F67="Mantenimiento", AVERAGE(T67:W67), IF($F67="Incremento", SUM(T67:W67), "")),"")</f>
        <v/>
      </c>
      <c r="Y67" s="449" t="str">
        <f>IFERROR(IF(VLOOKUP($C67,'Matriz de Referencia'!$B$2:$CO$584,'Matriz de Referencia'!CC$1,FALSE)&gt;0,"Diligenciar la vigencia, tiene presupuesto programado","No diligenciar, no programo presupuesto"),"")</f>
        <v/>
      </c>
      <c r="Z67" s="627"/>
      <c r="AC67" s="627"/>
      <c r="AD67" s="650" t="str">
        <f t="shared" ref="AD67:AD99" si="8">IFERROR(IF($F67="Mantenimiento", AVERAGE(Z67:AC67), IF($F67="Incremento", SUM(Z67:AC67), "")),"")</f>
        <v/>
      </c>
      <c r="AE67" s="448" t="str">
        <f t="shared" ref="AE67:AE99" si="9">IFERROR(IF(F67="Incremento",AD67+X67+R67+L67,AVERAGE(AD67,X67,R67,L67)),"")</f>
        <v/>
      </c>
      <c r="AF67" s="416" t="str">
        <f>IF(AE67="","",IF(F67="Incremento",IF(AE67=(VLOOKUP(C67,Tabla7[[#Headers],[Codigo Interno]:[META]],13,FALSE)-VLOOKUP(C67,Tabla7[[#Headers],[Codigo Interno]:[META]],15,FALSE)),"Continue",IF(F67="Mantenimiento",IF(AE67=VLOOKUP(C67,Tabla7[[#Headers],[Codigo Interno]:[META]],15,FALSE),"Continue","Su Programación es diferente a la meta, revise para continuar"),"Su Programación es diferente a la meta, revise para continuar"))))</f>
        <v/>
      </c>
    </row>
    <row r="68" spans="7:32">
      <c r="G68" s="449" t="str">
        <f>IFERROR(IF(VLOOKUP(C68,'Matriz de Referencia'!$B$2:$CO$584,'Matriz de Referencia'!AM$1,FALSE)&gt;0,"Diligenciar la vigencia, tiene presupuesto programado","No diligenciar, no programo presupuesto"),"")</f>
        <v/>
      </c>
      <c r="H68" s="649"/>
      <c r="I68" s="649"/>
      <c r="J68" s="649"/>
      <c r="K68" s="649"/>
      <c r="L68" s="650" t="str">
        <f t="shared" si="5"/>
        <v/>
      </c>
      <c r="M68" s="449" t="str">
        <f>IFERROR(IF(VLOOKUP($C68,'Matriz de Referencia'!$B$2:$CO$584,'Matriz de Referencia'!BA$1,FALSE)&gt;0,"Diligenciar la vigencia, tiene presupuesto programado","No diligenciar, no programo presupuesto"),"")</f>
        <v/>
      </c>
      <c r="N68" s="627"/>
      <c r="Q68" s="627"/>
      <c r="R68" s="650" t="str">
        <f t="shared" si="6"/>
        <v/>
      </c>
      <c r="S68" s="449" t="str">
        <f>IFERROR(IF(VLOOKUP($C68,'Matriz de Referencia'!$B$2:$CO$584,'Matriz de Referencia'!BO$1,FALSE)&gt;0,"Diligenciar la vigencia, tiene presupuesto programado","No diligenciar, no programo presupuesto"),"")</f>
        <v/>
      </c>
      <c r="T68" s="627"/>
      <c r="W68" s="627"/>
      <c r="X68" s="650" t="str">
        <f t="shared" si="7"/>
        <v/>
      </c>
      <c r="Y68" s="449" t="str">
        <f>IFERROR(IF(VLOOKUP($C68,'Matriz de Referencia'!$B$2:$CO$584,'Matriz de Referencia'!CC$1,FALSE)&gt;0,"Diligenciar la vigencia, tiene presupuesto programado","No diligenciar, no programo presupuesto"),"")</f>
        <v/>
      </c>
      <c r="Z68" s="627"/>
      <c r="AC68" s="627"/>
      <c r="AD68" s="650" t="str">
        <f t="shared" si="8"/>
        <v/>
      </c>
      <c r="AE68" s="448" t="str">
        <f t="shared" si="9"/>
        <v/>
      </c>
      <c r="AF68" s="416" t="str">
        <f>IF(AE68="","",IF(F68="Incremento",IF(AE68=(VLOOKUP(C68,Tabla7[[#Headers],[Codigo Interno]:[META]],13,FALSE)-VLOOKUP(C68,Tabla7[[#Headers],[Codigo Interno]:[META]],15,FALSE)),"Continue",IF(F68="Mantenimiento",IF(AE68=VLOOKUP(C68,Tabla7[[#Headers],[Codigo Interno]:[META]],15,FALSE),"Continue","Su Programación es diferente a la meta, revise para continuar"),"Su Programación es diferente a la meta, revise para continuar"))))</f>
        <v/>
      </c>
    </row>
    <row r="69" spans="7:32">
      <c r="G69" s="449" t="str">
        <f>IFERROR(IF(VLOOKUP(C69,'Matriz de Referencia'!$B$2:$CO$584,'Matriz de Referencia'!AM$1,FALSE)&gt;0,"Diligenciar la vigencia, tiene presupuesto programado","No diligenciar, no programo presupuesto"),"")</f>
        <v/>
      </c>
      <c r="H69" s="649"/>
      <c r="I69" s="649"/>
      <c r="J69" s="649"/>
      <c r="K69" s="649"/>
      <c r="L69" s="650" t="str">
        <f t="shared" si="5"/>
        <v/>
      </c>
      <c r="M69" s="449" t="str">
        <f>IFERROR(IF(VLOOKUP($C69,'Matriz de Referencia'!$B$2:$CO$584,'Matriz de Referencia'!BA$1,FALSE)&gt;0,"Diligenciar la vigencia, tiene presupuesto programado","No diligenciar, no programo presupuesto"),"")</f>
        <v/>
      </c>
      <c r="N69" s="627"/>
      <c r="Q69" s="627"/>
      <c r="R69" s="650" t="str">
        <f t="shared" si="6"/>
        <v/>
      </c>
      <c r="S69" s="449" t="str">
        <f>IFERROR(IF(VLOOKUP($C69,'Matriz de Referencia'!$B$2:$CO$584,'Matriz de Referencia'!BO$1,FALSE)&gt;0,"Diligenciar la vigencia, tiene presupuesto programado","No diligenciar, no programo presupuesto"),"")</f>
        <v/>
      </c>
      <c r="T69" s="627"/>
      <c r="W69" s="627"/>
      <c r="X69" s="650" t="str">
        <f t="shared" si="7"/>
        <v/>
      </c>
      <c r="Y69" s="449" t="str">
        <f>IFERROR(IF(VLOOKUP($C69,'Matriz de Referencia'!$B$2:$CO$584,'Matriz de Referencia'!CC$1,FALSE)&gt;0,"Diligenciar la vigencia, tiene presupuesto programado","No diligenciar, no programo presupuesto"),"")</f>
        <v/>
      </c>
      <c r="Z69" s="627"/>
      <c r="AC69" s="627"/>
      <c r="AD69" s="650" t="str">
        <f t="shared" si="8"/>
        <v/>
      </c>
      <c r="AE69" s="448" t="str">
        <f t="shared" si="9"/>
        <v/>
      </c>
      <c r="AF69" s="416" t="str">
        <f>IF(AE69="","",IF(F69="Incremento",IF(AE69=(VLOOKUP(C69,Tabla7[[#Headers],[Codigo Interno]:[META]],13,FALSE)-VLOOKUP(C69,Tabla7[[#Headers],[Codigo Interno]:[META]],15,FALSE)),"Continue",IF(F69="Mantenimiento",IF(AE69=VLOOKUP(C69,Tabla7[[#Headers],[Codigo Interno]:[META]],15,FALSE),"Continue","Su Programación es diferente a la meta, revise para continuar"),"Su Programación es diferente a la meta, revise para continuar"))))</f>
        <v/>
      </c>
    </row>
    <row r="70" spans="7:32">
      <c r="G70" s="449" t="str">
        <f>IFERROR(IF(VLOOKUP(C70,'Matriz de Referencia'!$B$2:$CO$584,'Matriz de Referencia'!AM$1,FALSE)&gt;0,"Diligenciar la vigencia, tiene presupuesto programado","No diligenciar, no programo presupuesto"),"")</f>
        <v/>
      </c>
      <c r="H70" s="627"/>
      <c r="L70" s="650" t="str">
        <f t="shared" si="5"/>
        <v/>
      </c>
      <c r="M70" s="449" t="str">
        <f>IFERROR(IF(VLOOKUP($C70,'Matriz de Referencia'!$B$2:$CO$584,'Matriz de Referencia'!BA$1,FALSE)&gt;0,"Diligenciar la vigencia, tiene presupuesto programado","No diligenciar, no programo presupuesto"),"")</f>
        <v/>
      </c>
      <c r="N70" s="627"/>
      <c r="Q70" s="627"/>
      <c r="R70" s="650" t="str">
        <f t="shared" si="6"/>
        <v/>
      </c>
      <c r="S70" s="449" t="str">
        <f>IFERROR(IF(VLOOKUP($C70,'Matriz de Referencia'!$B$2:$CO$584,'Matriz de Referencia'!BO$1,FALSE)&gt;0,"Diligenciar la vigencia, tiene presupuesto programado","No diligenciar, no programo presupuesto"),"")</f>
        <v/>
      </c>
      <c r="T70" s="627"/>
      <c r="W70" s="627"/>
      <c r="X70" s="650" t="str">
        <f t="shared" si="7"/>
        <v/>
      </c>
      <c r="Y70" s="449" t="str">
        <f>IFERROR(IF(VLOOKUP($C70,'Matriz de Referencia'!$B$2:$CO$584,'Matriz de Referencia'!CC$1,FALSE)&gt;0,"Diligenciar la vigencia, tiene presupuesto programado","No diligenciar, no programo presupuesto"),"")</f>
        <v/>
      </c>
      <c r="Z70" s="627"/>
      <c r="AC70" s="627"/>
      <c r="AD70" s="650" t="str">
        <f t="shared" si="8"/>
        <v/>
      </c>
      <c r="AE70" s="448" t="str">
        <f t="shared" si="9"/>
        <v/>
      </c>
      <c r="AF70" s="416" t="str">
        <f>IF(AE70="","",IF(F70="Incremento",IF(AE70=(VLOOKUP(C70,Tabla7[[#Headers],[Codigo Interno]:[META]],13,FALSE)-VLOOKUP(C70,Tabla7[[#Headers],[Codigo Interno]:[META]],15,FALSE)),"Continue",IF(F70="Mantenimiento",IF(AE70=VLOOKUP(C70,Tabla7[[#Headers],[Codigo Interno]:[META]],15,FALSE),"Continue","Su Programación es diferente a la meta, revise para continuar"),"Su Programación es diferente a la meta, revise para continuar"))))</f>
        <v/>
      </c>
    </row>
    <row r="71" spans="7:32">
      <c r="G71" s="449" t="str">
        <f>IFERROR(IF(VLOOKUP(C71,'Matriz de Referencia'!$B$2:$CO$584,'Matriz de Referencia'!AM$1,FALSE)&gt;0,"Diligenciar la vigencia, tiene presupuesto programado","No diligenciar, no programo presupuesto"),"")</f>
        <v/>
      </c>
      <c r="H71" s="627"/>
      <c r="L71" s="650" t="str">
        <f t="shared" si="5"/>
        <v/>
      </c>
      <c r="M71" s="449" t="str">
        <f>IFERROR(IF(VLOOKUP($C71,'Matriz de Referencia'!$B$2:$CO$584,'Matriz de Referencia'!BA$1,FALSE)&gt;0,"Diligenciar la vigencia, tiene presupuesto programado","No diligenciar, no programo presupuesto"),"")</f>
        <v/>
      </c>
      <c r="N71" s="627"/>
      <c r="Q71" s="627"/>
      <c r="R71" s="650" t="str">
        <f t="shared" si="6"/>
        <v/>
      </c>
      <c r="S71" s="449" t="str">
        <f>IFERROR(IF(VLOOKUP($C71,'Matriz de Referencia'!$B$2:$CO$584,'Matriz de Referencia'!BO$1,FALSE)&gt;0,"Diligenciar la vigencia, tiene presupuesto programado","No diligenciar, no programo presupuesto"),"")</f>
        <v/>
      </c>
      <c r="T71" s="627"/>
      <c r="W71" s="627"/>
      <c r="X71" s="650" t="str">
        <f t="shared" si="7"/>
        <v/>
      </c>
      <c r="Y71" s="449" t="str">
        <f>IFERROR(IF(VLOOKUP($C71,'Matriz de Referencia'!$B$2:$CO$584,'Matriz de Referencia'!CC$1,FALSE)&gt;0,"Diligenciar la vigencia, tiene presupuesto programado","No diligenciar, no programo presupuesto"),"")</f>
        <v/>
      </c>
      <c r="Z71" s="627"/>
      <c r="AC71" s="627"/>
      <c r="AD71" s="650" t="str">
        <f t="shared" si="8"/>
        <v/>
      </c>
      <c r="AE71" s="448" t="str">
        <f t="shared" si="9"/>
        <v/>
      </c>
      <c r="AF71" s="416" t="str">
        <f>IF(AE71="","",IF(F71="Incremento",IF(AE71=(VLOOKUP(C71,Tabla7[[#Headers],[Codigo Interno]:[META]],13,FALSE)-VLOOKUP(C71,Tabla7[[#Headers],[Codigo Interno]:[META]],15,FALSE)),"Continue",IF(F71="Mantenimiento",IF(AE71=VLOOKUP(C71,Tabla7[[#Headers],[Codigo Interno]:[META]],15,FALSE),"Continue","Su Programación es diferente a la meta, revise para continuar"),"Su Programación es diferente a la meta, revise para continuar"))))</f>
        <v/>
      </c>
    </row>
    <row r="72" spans="7:32">
      <c r="G72" s="449" t="str">
        <f>IFERROR(IF(VLOOKUP(C72,'Matriz de Referencia'!$B$2:$CO$584,'Matriz de Referencia'!AM$1,FALSE)&gt;0,"Diligenciar la vigencia, tiene presupuesto programado","No diligenciar, no programo presupuesto"),"")</f>
        <v/>
      </c>
      <c r="H72" s="627"/>
      <c r="L72" s="650" t="str">
        <f t="shared" si="5"/>
        <v/>
      </c>
      <c r="M72" s="449" t="str">
        <f>IFERROR(IF(VLOOKUP($C72,'Matriz de Referencia'!$B$2:$CO$584,'Matriz de Referencia'!BA$1,FALSE)&gt;0,"Diligenciar la vigencia, tiene presupuesto programado","No diligenciar, no programo presupuesto"),"")</f>
        <v/>
      </c>
      <c r="N72" s="627"/>
      <c r="Q72" s="627"/>
      <c r="R72" s="650" t="str">
        <f t="shared" si="6"/>
        <v/>
      </c>
      <c r="S72" s="449" t="str">
        <f>IFERROR(IF(VLOOKUP($C72,'Matriz de Referencia'!$B$2:$CO$584,'Matriz de Referencia'!BO$1,FALSE)&gt;0,"Diligenciar la vigencia, tiene presupuesto programado","No diligenciar, no programo presupuesto"),"")</f>
        <v/>
      </c>
      <c r="T72" s="627"/>
      <c r="W72" s="627"/>
      <c r="X72" s="650" t="str">
        <f t="shared" si="7"/>
        <v/>
      </c>
      <c r="Y72" s="449" t="str">
        <f>IFERROR(IF(VLOOKUP($C72,'Matriz de Referencia'!$B$2:$CO$584,'Matriz de Referencia'!CC$1,FALSE)&gt;0,"Diligenciar la vigencia, tiene presupuesto programado","No diligenciar, no programo presupuesto"),"")</f>
        <v/>
      </c>
      <c r="Z72" s="627"/>
      <c r="AC72" s="627"/>
      <c r="AD72" s="650" t="str">
        <f t="shared" si="8"/>
        <v/>
      </c>
      <c r="AE72" s="448" t="str">
        <f t="shared" si="9"/>
        <v/>
      </c>
      <c r="AF72" s="416" t="str">
        <f>IF(AE72="","",IF(F72="Incremento",IF(AE72=(VLOOKUP(C72,Tabla7[[#Headers],[Codigo Interno]:[META]],13,FALSE)-VLOOKUP(C72,Tabla7[[#Headers],[Codigo Interno]:[META]],15,FALSE)),"Continue",IF(F72="Mantenimiento",IF(AE72=VLOOKUP(C72,Tabla7[[#Headers],[Codigo Interno]:[META]],15,FALSE),"Continue","Su Programación es diferente a la meta, revise para continuar"),"Su Programación es diferente a la meta, revise para continuar"))))</f>
        <v/>
      </c>
    </row>
    <row r="73" spans="7:32">
      <c r="G73" s="449" t="str">
        <f>IFERROR(IF(VLOOKUP(C73,'Matriz de Referencia'!$B$2:$CO$584,'Matriz de Referencia'!AM$1,FALSE)&gt;0,"Diligenciar la vigencia, tiene presupuesto programado","No diligenciar, no programo presupuesto"),"")</f>
        <v/>
      </c>
      <c r="H73" s="627"/>
      <c r="L73" s="650" t="str">
        <f t="shared" si="5"/>
        <v/>
      </c>
      <c r="M73" s="449" t="str">
        <f>IFERROR(IF(VLOOKUP($C73,'Matriz de Referencia'!$B$2:$CO$584,'Matriz de Referencia'!BA$1,FALSE)&gt;0,"Diligenciar la vigencia, tiene presupuesto programado","No diligenciar, no programo presupuesto"),"")</f>
        <v/>
      </c>
      <c r="N73" s="627"/>
      <c r="Q73" s="627"/>
      <c r="R73" s="650" t="str">
        <f t="shared" si="6"/>
        <v/>
      </c>
      <c r="S73" s="449" t="str">
        <f>IFERROR(IF(VLOOKUP($C73,'Matriz de Referencia'!$B$2:$CO$584,'Matriz de Referencia'!BO$1,FALSE)&gt;0,"Diligenciar la vigencia, tiene presupuesto programado","No diligenciar, no programo presupuesto"),"")</f>
        <v/>
      </c>
      <c r="T73" s="627"/>
      <c r="W73" s="627"/>
      <c r="X73" s="650" t="str">
        <f t="shared" si="7"/>
        <v/>
      </c>
      <c r="Y73" s="449" t="str">
        <f>IFERROR(IF(VLOOKUP($C73,'Matriz de Referencia'!$B$2:$CO$584,'Matriz de Referencia'!CC$1,FALSE)&gt;0,"Diligenciar la vigencia, tiene presupuesto programado","No diligenciar, no programo presupuesto"),"")</f>
        <v/>
      </c>
      <c r="Z73" s="627"/>
      <c r="AC73" s="627"/>
      <c r="AD73" s="650" t="str">
        <f t="shared" si="8"/>
        <v/>
      </c>
      <c r="AE73" s="448" t="str">
        <f t="shared" si="9"/>
        <v/>
      </c>
      <c r="AF73" s="416" t="str">
        <f>IF(AE73="","",IF(F73="Incremento",IF(AE73=(VLOOKUP(C73,Tabla7[[#Headers],[Codigo Interno]:[META]],13,FALSE)-VLOOKUP(C73,Tabla7[[#Headers],[Codigo Interno]:[META]],15,FALSE)),"Continue",IF(F73="Mantenimiento",IF(AE73=VLOOKUP(C73,Tabla7[[#Headers],[Codigo Interno]:[META]],15,FALSE),"Continue","Su Programación es diferente a la meta, revise para continuar"),"Su Programación es diferente a la meta, revise para continuar"))))</f>
        <v/>
      </c>
    </row>
    <row r="74" spans="7:32">
      <c r="G74" s="449" t="str">
        <f>IFERROR(IF(VLOOKUP(C74,'Matriz de Referencia'!$B$2:$CO$584,'Matriz de Referencia'!AM$1,FALSE)&gt;0,"Diligenciar la vigencia, tiene presupuesto programado","No diligenciar, no programo presupuesto"),"")</f>
        <v/>
      </c>
      <c r="H74" s="627"/>
      <c r="L74" s="650" t="str">
        <f t="shared" si="5"/>
        <v/>
      </c>
      <c r="M74" s="449" t="str">
        <f>IFERROR(IF(VLOOKUP($C74,'Matriz de Referencia'!$B$2:$CO$584,'Matriz de Referencia'!BA$1,FALSE)&gt;0,"Diligenciar la vigencia, tiene presupuesto programado","No diligenciar, no programo presupuesto"),"")</f>
        <v/>
      </c>
      <c r="N74" s="627"/>
      <c r="Q74" s="627"/>
      <c r="R74" s="650" t="str">
        <f t="shared" si="6"/>
        <v/>
      </c>
      <c r="S74" s="449" t="str">
        <f>IFERROR(IF(VLOOKUP($C74,'Matriz de Referencia'!$B$2:$CO$584,'Matriz de Referencia'!BO$1,FALSE)&gt;0,"Diligenciar la vigencia, tiene presupuesto programado","No diligenciar, no programo presupuesto"),"")</f>
        <v/>
      </c>
      <c r="T74" s="627"/>
      <c r="W74" s="627"/>
      <c r="X74" s="650" t="str">
        <f t="shared" si="7"/>
        <v/>
      </c>
      <c r="Y74" s="449" t="str">
        <f>IFERROR(IF(VLOOKUP($C74,'Matriz de Referencia'!$B$2:$CO$584,'Matriz de Referencia'!CC$1,FALSE)&gt;0,"Diligenciar la vigencia, tiene presupuesto programado","No diligenciar, no programo presupuesto"),"")</f>
        <v/>
      </c>
      <c r="Z74" s="627"/>
      <c r="AC74" s="627"/>
      <c r="AD74" s="650" t="str">
        <f t="shared" si="8"/>
        <v/>
      </c>
      <c r="AE74" s="448" t="str">
        <f t="shared" si="9"/>
        <v/>
      </c>
      <c r="AF74" s="416" t="str">
        <f>IF(AE74="","",IF(F74="Incremento",IF(AE74=(VLOOKUP(C74,Tabla7[[#Headers],[Codigo Interno]:[META]],13,FALSE)-VLOOKUP(C74,Tabla7[[#Headers],[Codigo Interno]:[META]],15,FALSE)),"Continue",IF(F74="Mantenimiento",IF(AE74=VLOOKUP(C74,Tabla7[[#Headers],[Codigo Interno]:[META]],15,FALSE),"Continue","Su Programación es diferente a la meta, revise para continuar"),"Su Programación es diferente a la meta, revise para continuar"))))</f>
        <v/>
      </c>
    </row>
    <row r="75" spans="7:32">
      <c r="G75" s="449" t="str">
        <f>IFERROR(IF(VLOOKUP(C75,'Matriz de Referencia'!$B$2:$CO$584,'Matriz de Referencia'!AM$1,FALSE)&gt;0,"Diligenciar la vigencia, tiene presupuesto programado","No diligenciar, no programo presupuesto"),"")</f>
        <v/>
      </c>
      <c r="H75" s="627"/>
      <c r="L75" s="650" t="str">
        <f t="shared" si="5"/>
        <v/>
      </c>
      <c r="M75" s="449" t="str">
        <f>IFERROR(IF(VLOOKUP($C75,'Matriz de Referencia'!$B$2:$CO$584,'Matriz de Referencia'!BA$1,FALSE)&gt;0,"Diligenciar la vigencia, tiene presupuesto programado","No diligenciar, no programo presupuesto"),"")</f>
        <v/>
      </c>
      <c r="N75" s="627"/>
      <c r="Q75" s="627"/>
      <c r="R75" s="650" t="str">
        <f t="shared" si="6"/>
        <v/>
      </c>
      <c r="S75" s="449" t="str">
        <f>IFERROR(IF(VLOOKUP($C75,'Matriz de Referencia'!$B$2:$CO$584,'Matriz de Referencia'!BO$1,FALSE)&gt;0,"Diligenciar la vigencia, tiene presupuesto programado","No diligenciar, no programo presupuesto"),"")</f>
        <v/>
      </c>
      <c r="T75" s="627"/>
      <c r="W75" s="627"/>
      <c r="X75" s="650" t="str">
        <f t="shared" si="7"/>
        <v/>
      </c>
      <c r="Y75" s="449" t="str">
        <f>IFERROR(IF(VLOOKUP($C75,'Matriz de Referencia'!$B$2:$CO$584,'Matriz de Referencia'!CC$1,FALSE)&gt;0,"Diligenciar la vigencia, tiene presupuesto programado","No diligenciar, no programo presupuesto"),"")</f>
        <v/>
      </c>
      <c r="Z75" s="627"/>
      <c r="AC75" s="627"/>
      <c r="AD75" s="650" t="str">
        <f t="shared" si="8"/>
        <v/>
      </c>
      <c r="AE75" s="448" t="str">
        <f t="shared" si="9"/>
        <v/>
      </c>
      <c r="AF75" s="416" t="str">
        <f>IF(AE75="","",IF(F75="Incremento",IF(AE75=(VLOOKUP(C75,Tabla7[[#Headers],[Codigo Interno]:[META]],13,FALSE)-VLOOKUP(C75,Tabla7[[#Headers],[Codigo Interno]:[META]],15,FALSE)),"Continue",IF(F75="Mantenimiento",IF(AE75=VLOOKUP(C75,Tabla7[[#Headers],[Codigo Interno]:[META]],15,FALSE),"Continue","Su Programación es diferente a la meta, revise para continuar"),"Su Programación es diferente a la meta, revise para continuar"))))</f>
        <v/>
      </c>
    </row>
    <row r="76" spans="7:32">
      <c r="G76" s="449" t="str">
        <f>IFERROR(IF(VLOOKUP(C76,'Matriz de Referencia'!$B$2:$CO$584,'Matriz de Referencia'!AM$1,FALSE)&gt;0,"Diligenciar la vigencia, tiene presupuesto programado","No diligenciar, no programo presupuesto"),"")</f>
        <v/>
      </c>
      <c r="H76" s="627"/>
      <c r="L76" s="650" t="str">
        <f t="shared" si="5"/>
        <v/>
      </c>
      <c r="M76" s="449" t="str">
        <f>IFERROR(IF(VLOOKUP($C76,'Matriz de Referencia'!$B$2:$CO$584,'Matriz de Referencia'!BA$1,FALSE)&gt;0,"Diligenciar la vigencia, tiene presupuesto programado","No diligenciar, no programo presupuesto"),"")</f>
        <v/>
      </c>
      <c r="N76" s="627"/>
      <c r="Q76" s="627"/>
      <c r="R76" s="650" t="str">
        <f t="shared" si="6"/>
        <v/>
      </c>
      <c r="S76" s="449" t="str">
        <f>IFERROR(IF(VLOOKUP($C76,'Matriz de Referencia'!$B$2:$CO$584,'Matriz de Referencia'!BO$1,FALSE)&gt;0,"Diligenciar la vigencia, tiene presupuesto programado","No diligenciar, no programo presupuesto"),"")</f>
        <v/>
      </c>
      <c r="T76" s="627"/>
      <c r="W76" s="627"/>
      <c r="X76" s="650" t="str">
        <f t="shared" si="7"/>
        <v/>
      </c>
      <c r="Y76" s="449" t="str">
        <f>IFERROR(IF(VLOOKUP($C76,'Matriz de Referencia'!$B$2:$CO$584,'Matriz de Referencia'!CC$1,FALSE)&gt;0,"Diligenciar la vigencia, tiene presupuesto programado","No diligenciar, no programo presupuesto"),"")</f>
        <v/>
      </c>
      <c r="Z76" s="627"/>
      <c r="AC76" s="627"/>
      <c r="AD76" s="650" t="str">
        <f t="shared" si="8"/>
        <v/>
      </c>
      <c r="AE76" s="448" t="str">
        <f t="shared" si="9"/>
        <v/>
      </c>
      <c r="AF76" s="416" t="str">
        <f>IF(AE76="","",IF(F76="Incremento",IF(AE76=(VLOOKUP(C76,Tabla7[[#Headers],[Codigo Interno]:[META]],13,FALSE)-VLOOKUP(C76,Tabla7[[#Headers],[Codigo Interno]:[META]],15,FALSE)),"Continue",IF(F76="Mantenimiento",IF(AE76=VLOOKUP(C76,Tabla7[[#Headers],[Codigo Interno]:[META]],15,FALSE),"Continue","Su Programación es diferente a la meta, revise para continuar"),"Su Programación es diferente a la meta, revise para continuar"))))</f>
        <v/>
      </c>
    </row>
    <row r="77" spans="7:32">
      <c r="G77" s="449" t="str">
        <f>IFERROR(IF(VLOOKUP(C77,'Matriz de Referencia'!$B$2:$CO$584,'Matriz de Referencia'!AM$1,FALSE)&gt;0,"Diligenciar la vigencia, tiene presupuesto programado","No diligenciar, no programo presupuesto"),"")</f>
        <v/>
      </c>
      <c r="H77" s="627"/>
      <c r="L77" s="650" t="str">
        <f t="shared" si="5"/>
        <v/>
      </c>
      <c r="M77" s="449" t="str">
        <f>IFERROR(IF(VLOOKUP($C77,'Matriz de Referencia'!$B$2:$CO$584,'Matriz de Referencia'!BA$1,FALSE)&gt;0,"Diligenciar la vigencia, tiene presupuesto programado","No diligenciar, no programo presupuesto"),"")</f>
        <v/>
      </c>
      <c r="N77" s="627"/>
      <c r="Q77" s="627"/>
      <c r="R77" s="650" t="str">
        <f t="shared" si="6"/>
        <v/>
      </c>
      <c r="S77" s="449" t="str">
        <f>IFERROR(IF(VLOOKUP($C77,'Matriz de Referencia'!$B$2:$CO$584,'Matriz de Referencia'!BO$1,FALSE)&gt;0,"Diligenciar la vigencia, tiene presupuesto programado","No diligenciar, no programo presupuesto"),"")</f>
        <v/>
      </c>
      <c r="T77" s="627"/>
      <c r="W77" s="627"/>
      <c r="X77" s="650" t="str">
        <f t="shared" si="7"/>
        <v/>
      </c>
      <c r="Y77" s="449" t="str">
        <f>IFERROR(IF(VLOOKUP($C77,'Matriz de Referencia'!$B$2:$CO$584,'Matriz de Referencia'!CC$1,FALSE)&gt;0,"Diligenciar la vigencia, tiene presupuesto programado","No diligenciar, no programo presupuesto"),"")</f>
        <v/>
      </c>
      <c r="Z77" s="627"/>
      <c r="AC77" s="627"/>
      <c r="AD77" s="650" t="str">
        <f t="shared" si="8"/>
        <v/>
      </c>
      <c r="AE77" s="448" t="str">
        <f t="shared" si="9"/>
        <v/>
      </c>
      <c r="AF77" s="416" t="str">
        <f>IF(AE77="","",IF(F77="Incremento",IF(AE77=(VLOOKUP(C77,Tabla7[[#Headers],[Codigo Interno]:[META]],13,FALSE)-VLOOKUP(C77,Tabla7[[#Headers],[Codigo Interno]:[META]],15,FALSE)),"Continue",IF(F77="Mantenimiento",IF(AE77=VLOOKUP(C77,Tabla7[[#Headers],[Codigo Interno]:[META]],15,FALSE),"Continue","Su Programación es diferente a la meta, revise para continuar"),"Su Programación es diferente a la meta, revise para continuar"))))</f>
        <v/>
      </c>
    </row>
    <row r="78" spans="7:32">
      <c r="G78" s="449" t="str">
        <f>IFERROR(IF(VLOOKUP(C78,'Matriz de Referencia'!$B$2:$CO$584,'Matriz de Referencia'!AM$1,FALSE)&gt;0,"Diligenciar la vigencia, tiene presupuesto programado","No diligenciar, no programo presupuesto"),"")</f>
        <v/>
      </c>
      <c r="H78" s="627"/>
      <c r="L78" s="650" t="str">
        <f t="shared" si="5"/>
        <v/>
      </c>
      <c r="M78" s="449" t="str">
        <f>IFERROR(IF(VLOOKUP($C78,'Matriz de Referencia'!$B$2:$CO$584,'Matriz de Referencia'!BA$1,FALSE)&gt;0,"Diligenciar la vigencia, tiene presupuesto programado","No diligenciar, no programo presupuesto"),"")</f>
        <v/>
      </c>
      <c r="N78" s="627"/>
      <c r="Q78" s="627"/>
      <c r="R78" s="650" t="str">
        <f t="shared" si="6"/>
        <v/>
      </c>
      <c r="S78" s="449" t="str">
        <f>IFERROR(IF(VLOOKUP($C78,'Matriz de Referencia'!$B$2:$CO$584,'Matriz de Referencia'!BO$1,FALSE)&gt;0,"Diligenciar la vigencia, tiene presupuesto programado","No diligenciar, no programo presupuesto"),"")</f>
        <v/>
      </c>
      <c r="T78" s="627"/>
      <c r="W78" s="627"/>
      <c r="X78" s="650" t="str">
        <f t="shared" si="7"/>
        <v/>
      </c>
      <c r="Y78" s="449" t="str">
        <f>IFERROR(IF(VLOOKUP($C78,'Matriz de Referencia'!$B$2:$CO$584,'Matriz de Referencia'!CC$1,FALSE)&gt;0,"Diligenciar la vigencia, tiene presupuesto programado","No diligenciar, no programo presupuesto"),"")</f>
        <v/>
      </c>
      <c r="Z78" s="627"/>
      <c r="AC78" s="627"/>
      <c r="AD78" s="650" t="str">
        <f t="shared" si="8"/>
        <v/>
      </c>
      <c r="AE78" s="448" t="str">
        <f t="shared" si="9"/>
        <v/>
      </c>
      <c r="AF78" s="416" t="str">
        <f>IF(AE78="","",IF(F78="Incremento",IF(AE78=(VLOOKUP(C78,Tabla7[[#Headers],[Codigo Interno]:[META]],13,FALSE)-VLOOKUP(C78,Tabla7[[#Headers],[Codigo Interno]:[META]],15,FALSE)),"Continue",IF(F78="Mantenimiento",IF(AE78=VLOOKUP(C78,Tabla7[[#Headers],[Codigo Interno]:[META]],15,FALSE),"Continue","Su Programación es diferente a la meta, revise para continuar"),"Su Programación es diferente a la meta, revise para continuar"))))</f>
        <v/>
      </c>
    </row>
    <row r="79" spans="7:32">
      <c r="G79" s="449" t="str">
        <f>IFERROR(IF(VLOOKUP(C79,'Matriz de Referencia'!$B$2:$CO$584,'Matriz de Referencia'!AM$1,FALSE)&gt;0,"Diligenciar la vigencia, tiene presupuesto programado","No diligenciar, no programo presupuesto"),"")</f>
        <v/>
      </c>
      <c r="H79" s="627"/>
      <c r="L79" s="650" t="str">
        <f t="shared" si="5"/>
        <v/>
      </c>
      <c r="M79" s="449" t="str">
        <f>IFERROR(IF(VLOOKUP($C79,'Matriz de Referencia'!$B$2:$CO$584,'Matriz de Referencia'!BA$1,FALSE)&gt;0,"Diligenciar la vigencia, tiene presupuesto programado","No diligenciar, no programo presupuesto"),"")</f>
        <v/>
      </c>
      <c r="N79" s="627"/>
      <c r="Q79" s="627"/>
      <c r="R79" s="650" t="str">
        <f t="shared" si="6"/>
        <v/>
      </c>
      <c r="S79" s="449" t="str">
        <f>IFERROR(IF(VLOOKUP($C79,'Matriz de Referencia'!$B$2:$CO$584,'Matriz de Referencia'!BO$1,FALSE)&gt;0,"Diligenciar la vigencia, tiene presupuesto programado","No diligenciar, no programo presupuesto"),"")</f>
        <v/>
      </c>
      <c r="T79" s="627"/>
      <c r="W79" s="627"/>
      <c r="X79" s="650" t="str">
        <f t="shared" si="7"/>
        <v/>
      </c>
      <c r="Y79" s="449" t="str">
        <f>IFERROR(IF(VLOOKUP($C79,'Matriz de Referencia'!$B$2:$CO$584,'Matriz de Referencia'!CC$1,FALSE)&gt;0,"Diligenciar la vigencia, tiene presupuesto programado","No diligenciar, no programo presupuesto"),"")</f>
        <v/>
      </c>
      <c r="Z79" s="627"/>
      <c r="AC79" s="627"/>
      <c r="AD79" s="650" t="str">
        <f t="shared" si="8"/>
        <v/>
      </c>
      <c r="AE79" s="448" t="str">
        <f t="shared" si="9"/>
        <v/>
      </c>
      <c r="AF79" s="416" t="str">
        <f>IF(AE79="","",IF(F79="Incremento",IF(AE79=(VLOOKUP(C79,Tabla7[[#Headers],[Codigo Interno]:[META]],13,FALSE)-VLOOKUP(C79,Tabla7[[#Headers],[Codigo Interno]:[META]],15,FALSE)),"Continue",IF(F79="Mantenimiento",IF(AE79=VLOOKUP(C79,Tabla7[[#Headers],[Codigo Interno]:[META]],15,FALSE),"Continue","Su Programación es diferente a la meta, revise para continuar"),"Su Programación es diferente a la meta, revise para continuar"))))</f>
        <v/>
      </c>
    </row>
    <row r="80" spans="7:32">
      <c r="G80" s="449" t="str">
        <f>IFERROR(IF(VLOOKUP(C80,'Matriz de Referencia'!$B$2:$CO$584,'Matriz de Referencia'!AM$1,FALSE)&gt;0,"Diligenciar la vigencia, tiene presupuesto programado","No diligenciar, no programo presupuesto"),"")</f>
        <v/>
      </c>
      <c r="H80" s="633"/>
      <c r="I80" s="633"/>
      <c r="J80" s="633"/>
      <c r="K80" s="634"/>
      <c r="L80" s="650" t="str">
        <f t="shared" si="5"/>
        <v/>
      </c>
      <c r="M80" s="449" t="str">
        <f>IFERROR(IF(VLOOKUP($C80,'Matriz de Referencia'!$B$2:$CO$584,'Matriz de Referencia'!BA$1,FALSE)&gt;0,"Diligenciar la vigencia, tiene presupuesto programado","No diligenciar, no programo presupuesto"),"")</f>
        <v/>
      </c>
      <c r="N80" s="633"/>
      <c r="O80" s="633"/>
      <c r="P80" s="633"/>
      <c r="Q80" s="633"/>
      <c r="R80" s="650" t="str">
        <f t="shared" si="6"/>
        <v/>
      </c>
      <c r="S80" s="449" t="str">
        <f>IFERROR(IF(VLOOKUP($C80,'Matriz de Referencia'!$B$2:$CO$584,'Matriz de Referencia'!BO$1,FALSE)&gt;0,"Diligenciar la vigencia, tiene presupuesto programado","No diligenciar, no programo presupuesto"),"")</f>
        <v/>
      </c>
      <c r="T80" s="633"/>
      <c r="U80" s="633"/>
      <c r="V80" s="633"/>
      <c r="W80" s="633"/>
      <c r="X80" s="650" t="str">
        <f t="shared" si="7"/>
        <v/>
      </c>
      <c r="Y80" s="449" t="str">
        <f>IFERROR(IF(VLOOKUP($C80,'Matriz de Referencia'!$B$2:$CO$584,'Matriz de Referencia'!CC$1,FALSE)&gt;0,"Diligenciar la vigencia, tiene presupuesto programado","No diligenciar, no programo presupuesto"),"")</f>
        <v/>
      </c>
      <c r="Z80" s="633"/>
      <c r="AA80" s="633"/>
      <c r="AB80" s="633"/>
      <c r="AC80" s="633"/>
      <c r="AD80" s="650" t="str">
        <f t="shared" si="8"/>
        <v/>
      </c>
      <c r="AE80" s="448" t="str">
        <f t="shared" si="9"/>
        <v/>
      </c>
      <c r="AF80" s="416" t="str">
        <f>IF(AE80="","",IF(F80="Incremento",IF(AE80=(VLOOKUP(C80,Tabla7[[#Headers],[Codigo Interno]:[META]],13,FALSE)-VLOOKUP(C80,Tabla7[[#Headers],[Codigo Interno]:[META]],15,FALSE)),"Continue",IF(F80="Mantenimiento",IF(AE80=VLOOKUP(C80,Tabla7[[#Headers],[Codigo Interno]:[META]],15,FALSE),"Continue","Su Programación es diferente a la meta, revise para continuar"),"Su Programación es diferente a la meta, revise para continuar"))))</f>
        <v/>
      </c>
    </row>
    <row r="81" spans="7:32">
      <c r="G81" s="449" t="str">
        <f>IFERROR(IF(VLOOKUP(C81,'Matriz de Referencia'!$B$2:$CO$584,'Matriz de Referencia'!AM$1,FALSE)&gt;0,"Diligenciar la vigencia, tiene presupuesto programado","No diligenciar, no programo presupuesto"),"")</f>
        <v/>
      </c>
      <c r="H81" s="627"/>
      <c r="L81" s="650" t="str">
        <f t="shared" si="5"/>
        <v/>
      </c>
      <c r="M81" s="449" t="str">
        <f>IFERROR(IF(VLOOKUP($C81,'Matriz de Referencia'!$B$2:$CO$584,'Matriz de Referencia'!BA$1,FALSE)&gt;0,"Diligenciar la vigencia, tiene presupuesto programado","No diligenciar, no programo presupuesto"),"")</f>
        <v/>
      </c>
      <c r="N81" s="627"/>
      <c r="Q81" s="627"/>
      <c r="R81" s="650" t="str">
        <f t="shared" si="6"/>
        <v/>
      </c>
      <c r="S81" s="449" t="str">
        <f>IFERROR(IF(VLOOKUP($C81,'Matriz de Referencia'!$B$2:$CO$584,'Matriz de Referencia'!BO$1,FALSE)&gt;0,"Diligenciar la vigencia, tiene presupuesto programado","No diligenciar, no programo presupuesto"),"")</f>
        <v/>
      </c>
      <c r="T81" s="627"/>
      <c r="W81" s="627"/>
      <c r="X81" s="650" t="str">
        <f t="shared" si="7"/>
        <v/>
      </c>
      <c r="Y81" s="449" t="str">
        <f>IFERROR(IF(VLOOKUP($C81,'Matriz de Referencia'!$B$2:$CO$584,'Matriz de Referencia'!CC$1,FALSE)&gt;0,"Diligenciar la vigencia, tiene presupuesto programado","No diligenciar, no programo presupuesto"),"")</f>
        <v/>
      </c>
      <c r="Z81" s="627"/>
      <c r="AC81" s="627"/>
      <c r="AD81" s="650" t="str">
        <f t="shared" si="8"/>
        <v/>
      </c>
      <c r="AE81" s="448" t="str">
        <f t="shared" si="9"/>
        <v/>
      </c>
      <c r="AF81" s="416" t="str">
        <f>IF(AE81="","",IF(F81="Incremento",IF(AE81=(VLOOKUP(C81,Tabla7[[#Headers],[Codigo Interno]:[META]],13,FALSE)-VLOOKUP(C81,Tabla7[[#Headers],[Codigo Interno]:[META]],15,FALSE)),"Continue",IF(F81="Mantenimiento",IF(AE81=VLOOKUP(C81,Tabla7[[#Headers],[Codigo Interno]:[META]],15,FALSE),"Continue","Su Programación es diferente a la meta, revise para continuar"),"Su Programación es diferente a la meta, revise para continuar"))))</f>
        <v/>
      </c>
    </row>
    <row r="82" spans="7:32">
      <c r="G82" s="449" t="str">
        <f>IFERROR(IF(VLOOKUP(C82,'Matriz de Referencia'!$B$2:$CO$584,'Matriz de Referencia'!AM$1,FALSE)&gt;0,"Diligenciar la vigencia, tiene presupuesto programado","No diligenciar, no programo presupuesto"),"")</f>
        <v/>
      </c>
      <c r="H82" s="627"/>
      <c r="L82" s="650" t="str">
        <f t="shared" si="5"/>
        <v/>
      </c>
      <c r="M82" s="449" t="str">
        <f>IFERROR(IF(VLOOKUP($C82,'Matriz de Referencia'!$B$2:$CO$584,'Matriz de Referencia'!BA$1,FALSE)&gt;0,"Diligenciar la vigencia, tiene presupuesto programado","No diligenciar, no programo presupuesto"),"")</f>
        <v/>
      </c>
      <c r="N82" s="627"/>
      <c r="Q82" s="627"/>
      <c r="R82" s="650" t="str">
        <f t="shared" si="6"/>
        <v/>
      </c>
      <c r="S82" s="449" t="str">
        <f>IFERROR(IF(VLOOKUP($C82,'Matriz de Referencia'!$B$2:$CO$584,'Matriz de Referencia'!BO$1,FALSE)&gt;0,"Diligenciar la vigencia, tiene presupuesto programado","No diligenciar, no programo presupuesto"),"")</f>
        <v/>
      </c>
      <c r="T82" s="627"/>
      <c r="W82" s="627"/>
      <c r="X82" s="650" t="str">
        <f t="shared" si="7"/>
        <v/>
      </c>
      <c r="Y82" s="449" t="str">
        <f>IFERROR(IF(VLOOKUP($C82,'Matriz de Referencia'!$B$2:$CO$584,'Matriz de Referencia'!CC$1,FALSE)&gt;0,"Diligenciar la vigencia, tiene presupuesto programado","No diligenciar, no programo presupuesto"),"")</f>
        <v/>
      </c>
      <c r="Z82" s="627"/>
      <c r="AC82" s="627"/>
      <c r="AD82" s="650" t="str">
        <f t="shared" si="8"/>
        <v/>
      </c>
      <c r="AE82" s="448" t="str">
        <f t="shared" si="9"/>
        <v/>
      </c>
      <c r="AF82" s="416" t="str">
        <f>IF(AE82="","",IF(F82="Incremento",IF(AE82=(VLOOKUP(C82,Tabla7[[#Headers],[Codigo Interno]:[META]],13,FALSE)-VLOOKUP(C82,Tabla7[[#Headers],[Codigo Interno]:[META]],15,FALSE)),"Continue",IF(F82="Mantenimiento",IF(AE82=VLOOKUP(C82,Tabla7[[#Headers],[Codigo Interno]:[META]],15,FALSE),"Continue","Su Programación es diferente a la meta, revise para continuar"),"Su Programación es diferente a la meta, revise para continuar"))))</f>
        <v/>
      </c>
    </row>
    <row r="83" spans="7:32">
      <c r="G83" s="449" t="str">
        <f>IFERROR(IF(VLOOKUP(C83,'Matriz de Referencia'!$B$2:$CO$584,'Matriz de Referencia'!AM$1,FALSE)&gt;0,"Diligenciar la vigencia, tiene presupuesto programado","No diligenciar, no programo presupuesto"),"")</f>
        <v/>
      </c>
      <c r="H83" s="627"/>
      <c r="L83" s="650" t="str">
        <f t="shared" si="5"/>
        <v/>
      </c>
      <c r="M83" s="449" t="str">
        <f>IFERROR(IF(VLOOKUP($C83,'Matriz de Referencia'!$B$2:$CO$584,'Matriz de Referencia'!BA$1,FALSE)&gt;0,"Diligenciar la vigencia, tiene presupuesto programado","No diligenciar, no programo presupuesto"),"")</f>
        <v/>
      </c>
      <c r="N83" s="627"/>
      <c r="Q83" s="627"/>
      <c r="R83" s="650" t="str">
        <f t="shared" si="6"/>
        <v/>
      </c>
      <c r="S83" s="449" t="str">
        <f>IFERROR(IF(VLOOKUP($C83,'Matriz de Referencia'!$B$2:$CO$584,'Matriz de Referencia'!BO$1,FALSE)&gt;0,"Diligenciar la vigencia, tiene presupuesto programado","No diligenciar, no programo presupuesto"),"")</f>
        <v/>
      </c>
      <c r="T83" s="627"/>
      <c r="W83" s="627"/>
      <c r="X83" s="650" t="str">
        <f t="shared" si="7"/>
        <v/>
      </c>
      <c r="Y83" s="449" t="str">
        <f>IFERROR(IF(VLOOKUP($C83,'Matriz de Referencia'!$B$2:$CO$584,'Matriz de Referencia'!CC$1,FALSE)&gt;0,"Diligenciar la vigencia, tiene presupuesto programado","No diligenciar, no programo presupuesto"),"")</f>
        <v/>
      </c>
      <c r="Z83" s="627"/>
      <c r="AC83" s="627"/>
      <c r="AD83" s="650" t="str">
        <f t="shared" si="8"/>
        <v/>
      </c>
      <c r="AE83" s="448" t="str">
        <f t="shared" si="9"/>
        <v/>
      </c>
      <c r="AF83" s="416" t="str">
        <f>IF(AE83="","",IF(F83="Incremento",IF(AE83=(VLOOKUP(C83,Tabla7[[#Headers],[Codigo Interno]:[META]],13,FALSE)-VLOOKUP(C83,Tabla7[[#Headers],[Codigo Interno]:[META]],15,FALSE)),"Continue",IF(F83="Mantenimiento",IF(AE83=VLOOKUP(C83,Tabla7[[#Headers],[Codigo Interno]:[META]],15,FALSE),"Continue","Su Programación es diferente a la meta, revise para continuar"),"Su Programación es diferente a la meta, revise para continuar"))))</f>
        <v/>
      </c>
    </row>
    <row r="84" spans="7:32">
      <c r="G84" s="449" t="str">
        <f>IFERROR(IF(VLOOKUP(C84,'Matriz de Referencia'!$B$2:$CO$584,'Matriz de Referencia'!AM$1,FALSE)&gt;0,"Diligenciar la vigencia, tiene presupuesto programado","No diligenciar, no programo presupuesto"),"")</f>
        <v/>
      </c>
      <c r="H84" s="627"/>
      <c r="L84" s="650" t="str">
        <f t="shared" si="5"/>
        <v/>
      </c>
      <c r="M84" s="449" t="str">
        <f>IFERROR(IF(VLOOKUP($C84,'Matriz de Referencia'!$B$2:$CO$584,'Matriz de Referencia'!BA$1,FALSE)&gt;0,"Diligenciar la vigencia, tiene presupuesto programado","No diligenciar, no programo presupuesto"),"")</f>
        <v/>
      </c>
      <c r="N84" s="627"/>
      <c r="Q84" s="627"/>
      <c r="R84" s="650" t="str">
        <f t="shared" si="6"/>
        <v/>
      </c>
      <c r="S84" s="449" t="str">
        <f>IFERROR(IF(VLOOKUP($C84,'Matriz de Referencia'!$B$2:$CO$584,'Matriz de Referencia'!BO$1,FALSE)&gt;0,"Diligenciar la vigencia, tiene presupuesto programado","No diligenciar, no programo presupuesto"),"")</f>
        <v/>
      </c>
      <c r="T84" s="627"/>
      <c r="W84" s="627"/>
      <c r="X84" s="650" t="str">
        <f t="shared" si="7"/>
        <v/>
      </c>
      <c r="Y84" s="449" t="str">
        <f>IFERROR(IF(VLOOKUP($C84,'Matriz de Referencia'!$B$2:$CO$584,'Matriz de Referencia'!CC$1,FALSE)&gt;0,"Diligenciar la vigencia, tiene presupuesto programado","No diligenciar, no programo presupuesto"),"")</f>
        <v/>
      </c>
      <c r="Z84" s="627"/>
      <c r="AC84" s="627"/>
      <c r="AD84" s="650" t="str">
        <f t="shared" si="8"/>
        <v/>
      </c>
      <c r="AE84" s="448" t="str">
        <f t="shared" si="9"/>
        <v/>
      </c>
      <c r="AF84" s="416" t="str">
        <f>IF(AE84="","",IF(F84="Incremento",IF(AE84=(VLOOKUP(C84,Tabla7[[#Headers],[Codigo Interno]:[META]],13,FALSE)-VLOOKUP(C84,Tabla7[[#Headers],[Codigo Interno]:[META]],15,FALSE)),"Continue",IF(F84="Mantenimiento",IF(AE84=VLOOKUP(C84,Tabla7[[#Headers],[Codigo Interno]:[META]],15,FALSE),"Continue","Su Programación es diferente a la meta, revise para continuar"),"Su Programación es diferente a la meta, revise para continuar"))))</f>
        <v/>
      </c>
    </row>
    <row r="85" spans="7:32">
      <c r="G85" s="449" t="str">
        <f>IFERROR(IF(VLOOKUP(C85,'Matriz de Referencia'!$B$2:$CO$584,'Matriz de Referencia'!AM$1,FALSE)&gt;0,"Diligenciar la vigencia, tiene presupuesto programado","No diligenciar, no programo presupuesto"),"")</f>
        <v/>
      </c>
      <c r="H85" s="627"/>
      <c r="L85" s="650" t="str">
        <f t="shared" si="5"/>
        <v/>
      </c>
      <c r="M85" s="449" t="str">
        <f>IFERROR(IF(VLOOKUP($C85,'Matriz de Referencia'!$B$2:$CO$584,'Matriz de Referencia'!BA$1,FALSE)&gt;0,"Diligenciar la vigencia, tiene presupuesto programado","No diligenciar, no programo presupuesto"),"")</f>
        <v/>
      </c>
      <c r="N85" s="627"/>
      <c r="Q85" s="627"/>
      <c r="R85" s="650" t="str">
        <f t="shared" si="6"/>
        <v/>
      </c>
      <c r="S85" s="449" t="str">
        <f>IFERROR(IF(VLOOKUP($C85,'Matriz de Referencia'!$B$2:$CO$584,'Matriz de Referencia'!BO$1,FALSE)&gt;0,"Diligenciar la vigencia, tiene presupuesto programado","No diligenciar, no programo presupuesto"),"")</f>
        <v/>
      </c>
      <c r="T85" s="627"/>
      <c r="W85" s="627"/>
      <c r="X85" s="650" t="str">
        <f t="shared" si="7"/>
        <v/>
      </c>
      <c r="Y85" s="449" t="str">
        <f>IFERROR(IF(VLOOKUP($C85,'Matriz de Referencia'!$B$2:$CO$584,'Matriz de Referencia'!CC$1,FALSE)&gt;0,"Diligenciar la vigencia, tiene presupuesto programado","No diligenciar, no programo presupuesto"),"")</f>
        <v/>
      </c>
      <c r="Z85" s="627"/>
      <c r="AC85" s="627"/>
      <c r="AD85" s="650" t="str">
        <f t="shared" si="8"/>
        <v/>
      </c>
      <c r="AE85" s="448" t="str">
        <f t="shared" si="9"/>
        <v/>
      </c>
      <c r="AF85" s="416" t="str">
        <f>IF(AE85="","",IF(F85="Incremento",IF(AE85=(VLOOKUP(C85,Tabla7[[#Headers],[Codigo Interno]:[META]],13,FALSE)-VLOOKUP(C85,Tabla7[[#Headers],[Codigo Interno]:[META]],15,FALSE)),"Continue",IF(F85="Mantenimiento",IF(AE85=VLOOKUP(C85,Tabla7[[#Headers],[Codigo Interno]:[META]],15,FALSE),"Continue","Su Programación es diferente a la meta, revise para continuar"),"Su Programación es diferente a la meta, revise para continuar"))))</f>
        <v/>
      </c>
    </row>
    <row r="86" spans="7:32">
      <c r="G86" s="449" t="str">
        <f>IFERROR(IF(VLOOKUP(C86,'Matriz de Referencia'!$B$2:$CO$584,'Matriz de Referencia'!AM$1,FALSE)&gt;0,"Diligenciar la vigencia, tiene presupuesto programado","No diligenciar, no programo presupuesto"),"")</f>
        <v/>
      </c>
      <c r="H86" s="627"/>
      <c r="L86" s="650" t="str">
        <f t="shared" si="5"/>
        <v/>
      </c>
      <c r="M86" s="449" t="str">
        <f>IFERROR(IF(VLOOKUP($C86,'Matriz de Referencia'!$B$2:$CO$584,'Matriz de Referencia'!BA$1,FALSE)&gt;0,"Diligenciar la vigencia, tiene presupuesto programado","No diligenciar, no programo presupuesto"),"")</f>
        <v/>
      </c>
      <c r="N86" s="627"/>
      <c r="Q86" s="627"/>
      <c r="R86" s="650" t="str">
        <f t="shared" si="6"/>
        <v/>
      </c>
      <c r="S86" s="449" t="str">
        <f>IFERROR(IF(VLOOKUP($C86,'Matriz de Referencia'!$B$2:$CO$584,'Matriz de Referencia'!BO$1,FALSE)&gt;0,"Diligenciar la vigencia, tiene presupuesto programado","No diligenciar, no programo presupuesto"),"")</f>
        <v/>
      </c>
      <c r="T86" s="627"/>
      <c r="W86" s="627"/>
      <c r="X86" s="650" t="str">
        <f t="shared" si="7"/>
        <v/>
      </c>
      <c r="Y86" s="449" t="str">
        <f>IFERROR(IF(VLOOKUP($C86,'Matriz de Referencia'!$B$2:$CO$584,'Matriz de Referencia'!CC$1,FALSE)&gt;0,"Diligenciar la vigencia, tiene presupuesto programado","No diligenciar, no programo presupuesto"),"")</f>
        <v/>
      </c>
      <c r="Z86" s="627"/>
      <c r="AC86" s="627"/>
      <c r="AD86" s="650" t="str">
        <f t="shared" si="8"/>
        <v/>
      </c>
      <c r="AE86" s="448" t="str">
        <f t="shared" si="9"/>
        <v/>
      </c>
      <c r="AF86" s="416" t="str">
        <f>IF(AE86="","",IF(F86="Incremento",IF(AE86=(VLOOKUP(C86,Tabla7[[#Headers],[Codigo Interno]:[META]],13,FALSE)-VLOOKUP(C86,Tabla7[[#Headers],[Codigo Interno]:[META]],15,FALSE)),"Continue",IF(F86="Mantenimiento",IF(AE86=VLOOKUP(C86,Tabla7[[#Headers],[Codigo Interno]:[META]],15,FALSE),"Continue","Su Programación es diferente a la meta, revise para continuar"),"Su Programación es diferente a la meta, revise para continuar"))))</f>
        <v/>
      </c>
    </row>
    <row r="87" spans="7:32">
      <c r="G87" s="449" t="str">
        <f>IFERROR(IF(VLOOKUP(C87,'Matriz de Referencia'!$B$2:$CO$584,'Matriz de Referencia'!AM$1,FALSE)&gt;0,"Diligenciar la vigencia, tiene presupuesto programado","No diligenciar, no programo presupuesto"),"")</f>
        <v/>
      </c>
      <c r="H87" s="627"/>
      <c r="L87" s="650" t="str">
        <f t="shared" si="5"/>
        <v/>
      </c>
      <c r="M87" s="449" t="str">
        <f>IFERROR(IF(VLOOKUP($C87,'Matriz de Referencia'!$B$2:$CO$584,'Matriz de Referencia'!BA$1,FALSE)&gt;0,"Diligenciar la vigencia, tiene presupuesto programado","No diligenciar, no programo presupuesto"),"")</f>
        <v/>
      </c>
      <c r="N87" s="627"/>
      <c r="Q87" s="627"/>
      <c r="R87" s="650" t="str">
        <f t="shared" si="6"/>
        <v/>
      </c>
      <c r="S87" s="449" t="str">
        <f>IFERROR(IF(VLOOKUP($C87,'Matriz de Referencia'!$B$2:$CO$584,'Matriz de Referencia'!BO$1,FALSE)&gt;0,"Diligenciar la vigencia, tiene presupuesto programado","No diligenciar, no programo presupuesto"),"")</f>
        <v/>
      </c>
      <c r="T87" s="627"/>
      <c r="W87" s="627"/>
      <c r="X87" s="650" t="str">
        <f t="shared" si="7"/>
        <v/>
      </c>
      <c r="Y87" s="449" t="str">
        <f>IFERROR(IF(VLOOKUP($C87,'Matriz de Referencia'!$B$2:$CO$584,'Matriz de Referencia'!CC$1,FALSE)&gt;0,"Diligenciar la vigencia, tiene presupuesto programado","No diligenciar, no programo presupuesto"),"")</f>
        <v/>
      </c>
      <c r="Z87" s="627"/>
      <c r="AC87" s="627"/>
      <c r="AD87" s="650" t="str">
        <f t="shared" si="8"/>
        <v/>
      </c>
      <c r="AE87" s="448" t="str">
        <f t="shared" si="9"/>
        <v/>
      </c>
      <c r="AF87" s="416" t="str">
        <f>IF(AE87="","",IF(F87="Incremento",IF(AE87=(VLOOKUP(C87,Tabla7[[#Headers],[Codigo Interno]:[META]],13,FALSE)-VLOOKUP(C87,Tabla7[[#Headers],[Codigo Interno]:[META]],15,FALSE)),"Continue",IF(F87="Mantenimiento",IF(AE87=VLOOKUP(C87,Tabla7[[#Headers],[Codigo Interno]:[META]],15,FALSE),"Continue","Su Programación es diferente a la meta, revise para continuar"),"Su Programación es diferente a la meta, revise para continuar"))))</f>
        <v/>
      </c>
    </row>
    <row r="88" spans="7:32">
      <c r="G88" s="449" t="str">
        <f>IFERROR(IF(VLOOKUP(C88,'Matriz de Referencia'!$B$2:$CO$584,'Matriz de Referencia'!AM$1,FALSE)&gt;0,"Diligenciar la vigencia, tiene presupuesto programado","No diligenciar, no programo presupuesto"),"")</f>
        <v/>
      </c>
      <c r="H88" s="627"/>
      <c r="L88" s="650" t="str">
        <f t="shared" si="5"/>
        <v/>
      </c>
      <c r="M88" s="449" t="str">
        <f>IFERROR(IF(VLOOKUP($C88,'Matriz de Referencia'!$B$2:$CO$584,'Matriz de Referencia'!BA$1,FALSE)&gt;0,"Diligenciar la vigencia, tiene presupuesto programado","No diligenciar, no programo presupuesto"),"")</f>
        <v/>
      </c>
      <c r="N88" s="627"/>
      <c r="Q88" s="627"/>
      <c r="R88" s="650" t="str">
        <f t="shared" si="6"/>
        <v/>
      </c>
      <c r="S88" s="449" t="str">
        <f>IFERROR(IF(VLOOKUP($C88,'Matriz de Referencia'!$B$2:$CO$584,'Matriz de Referencia'!BO$1,FALSE)&gt;0,"Diligenciar la vigencia, tiene presupuesto programado","No diligenciar, no programo presupuesto"),"")</f>
        <v/>
      </c>
      <c r="T88" s="627"/>
      <c r="W88" s="627"/>
      <c r="X88" s="650" t="str">
        <f t="shared" si="7"/>
        <v/>
      </c>
      <c r="Y88" s="449" t="str">
        <f>IFERROR(IF(VLOOKUP($C88,'Matriz de Referencia'!$B$2:$CO$584,'Matriz de Referencia'!CC$1,FALSE)&gt;0,"Diligenciar la vigencia, tiene presupuesto programado","No diligenciar, no programo presupuesto"),"")</f>
        <v/>
      </c>
      <c r="Z88" s="627"/>
      <c r="AC88" s="627"/>
      <c r="AD88" s="650" t="str">
        <f t="shared" si="8"/>
        <v/>
      </c>
      <c r="AE88" s="448" t="str">
        <f t="shared" si="9"/>
        <v/>
      </c>
      <c r="AF88" s="416" t="str">
        <f>IF(AE88="","",IF(F88="Incremento",IF(AE88=(VLOOKUP(C88,Tabla7[[#Headers],[Codigo Interno]:[META]],13,FALSE)-VLOOKUP(C88,Tabla7[[#Headers],[Codigo Interno]:[META]],15,FALSE)),"Continue",IF(F88="Mantenimiento",IF(AE88=VLOOKUP(C88,Tabla7[[#Headers],[Codigo Interno]:[META]],15,FALSE),"Continue","Su Programación es diferente a la meta, revise para continuar"),"Su Programación es diferente a la meta, revise para continuar"))))</f>
        <v/>
      </c>
    </row>
    <row r="89" spans="7:32">
      <c r="G89" s="449" t="str">
        <f>IFERROR(IF(VLOOKUP(C89,'Matriz de Referencia'!$B$2:$CO$584,'Matriz de Referencia'!AM$1,FALSE)&gt;0,"Diligenciar la vigencia, tiene presupuesto programado","No diligenciar, no programo presupuesto"),"")</f>
        <v/>
      </c>
      <c r="H89" s="627"/>
      <c r="L89" s="650" t="str">
        <f t="shared" si="5"/>
        <v/>
      </c>
      <c r="M89" s="449" t="str">
        <f>IFERROR(IF(VLOOKUP($C89,'Matriz de Referencia'!$B$2:$CO$584,'Matriz de Referencia'!BA$1,FALSE)&gt;0,"Diligenciar la vigencia, tiene presupuesto programado","No diligenciar, no programo presupuesto"),"")</f>
        <v/>
      </c>
      <c r="N89" s="627"/>
      <c r="Q89" s="627"/>
      <c r="R89" s="650" t="str">
        <f t="shared" si="6"/>
        <v/>
      </c>
      <c r="S89" s="449" t="str">
        <f>IFERROR(IF(VLOOKUP($C89,'Matriz de Referencia'!$B$2:$CO$584,'Matriz de Referencia'!BO$1,FALSE)&gt;0,"Diligenciar la vigencia, tiene presupuesto programado","No diligenciar, no programo presupuesto"),"")</f>
        <v/>
      </c>
      <c r="T89" s="627"/>
      <c r="W89" s="627"/>
      <c r="X89" s="650" t="str">
        <f t="shared" si="7"/>
        <v/>
      </c>
      <c r="Y89" s="449" t="str">
        <f>IFERROR(IF(VLOOKUP($C89,'Matriz de Referencia'!$B$2:$CO$584,'Matriz de Referencia'!CC$1,FALSE)&gt;0,"Diligenciar la vigencia, tiene presupuesto programado","No diligenciar, no programo presupuesto"),"")</f>
        <v/>
      </c>
      <c r="Z89" s="627"/>
      <c r="AC89" s="627"/>
      <c r="AD89" s="650" t="str">
        <f t="shared" si="8"/>
        <v/>
      </c>
      <c r="AE89" s="448" t="str">
        <f t="shared" si="9"/>
        <v/>
      </c>
      <c r="AF89" s="416" t="str">
        <f>IF(AE89="","",IF(F89="Incremento",IF(AE89=(VLOOKUP(C89,Tabla7[[#Headers],[Codigo Interno]:[META]],13,FALSE)-VLOOKUP(C89,Tabla7[[#Headers],[Codigo Interno]:[META]],15,FALSE)),"Continue",IF(F89="Mantenimiento",IF(AE89=VLOOKUP(C89,Tabla7[[#Headers],[Codigo Interno]:[META]],15,FALSE),"Continue","Su Programación es diferente a la meta, revise para continuar"),"Su Programación es diferente a la meta, revise para continuar"))))</f>
        <v/>
      </c>
    </row>
    <row r="90" spans="7:32">
      <c r="G90" s="449" t="str">
        <f>IFERROR(IF(VLOOKUP(C90,'Matriz de Referencia'!$B$2:$CO$584,'Matriz de Referencia'!AM$1,FALSE)&gt;0,"Diligenciar la vigencia, tiene presupuesto programado","No diligenciar, no programo presupuesto"),"")</f>
        <v/>
      </c>
      <c r="H90" s="627"/>
      <c r="L90" s="650" t="str">
        <f t="shared" si="5"/>
        <v/>
      </c>
      <c r="M90" s="449" t="str">
        <f>IFERROR(IF(VLOOKUP($C90,'Matriz de Referencia'!$B$2:$CO$584,'Matriz de Referencia'!BA$1,FALSE)&gt;0,"Diligenciar la vigencia, tiene presupuesto programado","No diligenciar, no programo presupuesto"),"")</f>
        <v/>
      </c>
      <c r="N90" s="627"/>
      <c r="Q90" s="627"/>
      <c r="R90" s="650" t="str">
        <f t="shared" si="6"/>
        <v/>
      </c>
      <c r="S90" s="449" t="str">
        <f>IFERROR(IF(VLOOKUP($C90,'Matriz de Referencia'!$B$2:$CO$584,'Matriz de Referencia'!BO$1,FALSE)&gt;0,"Diligenciar la vigencia, tiene presupuesto programado","No diligenciar, no programo presupuesto"),"")</f>
        <v/>
      </c>
      <c r="T90" s="627"/>
      <c r="W90" s="627"/>
      <c r="X90" s="650" t="str">
        <f t="shared" si="7"/>
        <v/>
      </c>
      <c r="Y90" s="449" t="str">
        <f>IFERROR(IF(VLOOKUP($C90,'Matriz de Referencia'!$B$2:$CO$584,'Matriz de Referencia'!CC$1,FALSE)&gt;0,"Diligenciar la vigencia, tiene presupuesto programado","No diligenciar, no programo presupuesto"),"")</f>
        <v/>
      </c>
      <c r="Z90" s="627"/>
      <c r="AC90" s="627"/>
      <c r="AD90" s="650" t="str">
        <f t="shared" si="8"/>
        <v/>
      </c>
      <c r="AE90" s="448" t="str">
        <f t="shared" si="9"/>
        <v/>
      </c>
      <c r="AF90" s="416" t="str">
        <f>IF(AE90="","",IF(F90="Incremento",IF(AE90=(VLOOKUP(C90,Tabla7[[#Headers],[Codigo Interno]:[META]],13,FALSE)-VLOOKUP(C90,Tabla7[[#Headers],[Codigo Interno]:[META]],15,FALSE)),"Continue",IF(F90="Mantenimiento",IF(AE90=VLOOKUP(C90,Tabla7[[#Headers],[Codigo Interno]:[META]],15,FALSE),"Continue","Su Programación es diferente a la meta, revise para continuar"),"Su Programación es diferente a la meta, revise para continuar"))))</f>
        <v/>
      </c>
    </row>
    <row r="91" spans="7:32">
      <c r="G91" s="449" t="str">
        <f>IFERROR(IF(VLOOKUP(C91,'Matriz de Referencia'!$B$2:$CO$584,'Matriz de Referencia'!AM$1,FALSE)&gt;0,"Diligenciar la vigencia, tiene presupuesto programado","No diligenciar, no programo presupuesto"),"")</f>
        <v/>
      </c>
      <c r="H91" s="627"/>
      <c r="L91" s="650" t="str">
        <f t="shared" si="5"/>
        <v/>
      </c>
      <c r="M91" s="449" t="str">
        <f>IFERROR(IF(VLOOKUP($C91,'Matriz de Referencia'!$B$2:$CO$584,'Matriz de Referencia'!BA$1,FALSE)&gt;0,"Diligenciar la vigencia, tiene presupuesto programado","No diligenciar, no programo presupuesto"),"")</f>
        <v/>
      </c>
      <c r="N91" s="627"/>
      <c r="Q91" s="627"/>
      <c r="R91" s="650" t="str">
        <f t="shared" si="6"/>
        <v/>
      </c>
      <c r="S91" s="449" t="str">
        <f>IFERROR(IF(VLOOKUP($C91,'Matriz de Referencia'!$B$2:$CO$584,'Matriz de Referencia'!BO$1,FALSE)&gt;0,"Diligenciar la vigencia, tiene presupuesto programado","No diligenciar, no programo presupuesto"),"")</f>
        <v/>
      </c>
      <c r="T91" s="627"/>
      <c r="W91" s="627"/>
      <c r="X91" s="650" t="str">
        <f t="shared" si="7"/>
        <v/>
      </c>
      <c r="Y91" s="449" t="str">
        <f>IFERROR(IF(VLOOKUP($C91,'Matriz de Referencia'!$B$2:$CO$584,'Matriz de Referencia'!CC$1,FALSE)&gt;0,"Diligenciar la vigencia, tiene presupuesto programado","No diligenciar, no programo presupuesto"),"")</f>
        <v/>
      </c>
      <c r="Z91" s="627"/>
      <c r="AC91" s="627"/>
      <c r="AD91" s="650" t="str">
        <f t="shared" si="8"/>
        <v/>
      </c>
      <c r="AE91" s="448" t="str">
        <f t="shared" si="9"/>
        <v/>
      </c>
      <c r="AF91" s="416" t="str">
        <f>IF(AE91="","",IF(F91="Incremento",IF(AE91=(VLOOKUP(C91,Tabla7[[#Headers],[Codigo Interno]:[META]],13,FALSE)-VLOOKUP(C91,Tabla7[[#Headers],[Codigo Interno]:[META]],15,FALSE)),"Continue",IF(F91="Mantenimiento",IF(AE91=VLOOKUP(C91,Tabla7[[#Headers],[Codigo Interno]:[META]],15,FALSE),"Continue","Su Programación es diferente a la meta, revise para continuar"),"Su Programación es diferente a la meta, revise para continuar"))))</f>
        <v/>
      </c>
    </row>
    <row r="92" spans="7:32">
      <c r="G92" s="449" t="str">
        <f>IFERROR(IF(VLOOKUP(C92,'Matriz de Referencia'!$B$2:$CO$584,'Matriz de Referencia'!AM$1,FALSE)&gt;0,"Diligenciar la vigencia, tiene presupuesto programado","No diligenciar, no programo presupuesto"),"")</f>
        <v/>
      </c>
      <c r="H92" s="627"/>
      <c r="L92" s="650" t="str">
        <f t="shared" si="5"/>
        <v/>
      </c>
      <c r="M92" s="449" t="str">
        <f>IFERROR(IF(VLOOKUP($C92,'Matriz de Referencia'!$B$2:$CO$584,'Matriz de Referencia'!BA$1,FALSE)&gt;0,"Diligenciar la vigencia, tiene presupuesto programado","No diligenciar, no programo presupuesto"),"")</f>
        <v/>
      </c>
      <c r="N92" s="627"/>
      <c r="Q92" s="627"/>
      <c r="R92" s="650" t="str">
        <f t="shared" si="6"/>
        <v/>
      </c>
      <c r="S92" s="449" t="str">
        <f>IFERROR(IF(VLOOKUP($C92,'Matriz de Referencia'!$B$2:$CO$584,'Matriz de Referencia'!BO$1,FALSE)&gt;0,"Diligenciar la vigencia, tiene presupuesto programado","No diligenciar, no programo presupuesto"),"")</f>
        <v/>
      </c>
      <c r="T92" s="627"/>
      <c r="W92" s="627"/>
      <c r="X92" s="650" t="str">
        <f t="shared" si="7"/>
        <v/>
      </c>
      <c r="Y92" s="449" t="str">
        <f>IFERROR(IF(VLOOKUP($C92,'Matriz de Referencia'!$B$2:$CO$584,'Matriz de Referencia'!CC$1,FALSE)&gt;0,"Diligenciar la vigencia, tiene presupuesto programado","No diligenciar, no programo presupuesto"),"")</f>
        <v/>
      </c>
      <c r="Z92" s="627"/>
      <c r="AC92" s="627"/>
      <c r="AD92" s="650" t="str">
        <f t="shared" si="8"/>
        <v/>
      </c>
      <c r="AE92" s="448" t="str">
        <f t="shared" si="9"/>
        <v/>
      </c>
      <c r="AF92" s="416" t="str">
        <f>IF(AE92="","",IF(F92="Incremento",IF(AE92=(VLOOKUP(C92,Tabla7[[#Headers],[Codigo Interno]:[META]],13,FALSE)-VLOOKUP(C92,Tabla7[[#Headers],[Codigo Interno]:[META]],15,FALSE)),"Continue",IF(F92="Mantenimiento",IF(AE92=VLOOKUP(C92,Tabla7[[#Headers],[Codigo Interno]:[META]],15,FALSE),"Continue","Su Programación es diferente a la meta, revise para continuar"),"Su Programación es diferente a la meta, revise para continuar"))))</f>
        <v/>
      </c>
    </row>
    <row r="93" spans="7:32">
      <c r="G93" s="449" t="str">
        <f>IFERROR(IF(VLOOKUP(C93,'Matriz de Referencia'!$B$2:$CO$584,'Matriz de Referencia'!AM$1,FALSE)&gt;0,"Diligenciar la vigencia, tiene presupuesto programado","No diligenciar, no programo presupuesto"),"")</f>
        <v/>
      </c>
      <c r="H93" s="627"/>
      <c r="L93" s="650" t="str">
        <f t="shared" si="5"/>
        <v/>
      </c>
      <c r="M93" s="449" t="str">
        <f>IFERROR(IF(VLOOKUP($C93,'Matriz de Referencia'!$B$2:$CO$584,'Matriz de Referencia'!BA$1,FALSE)&gt;0,"Diligenciar la vigencia, tiene presupuesto programado","No diligenciar, no programo presupuesto"),"")</f>
        <v/>
      </c>
      <c r="N93" s="627"/>
      <c r="Q93" s="627"/>
      <c r="R93" s="650" t="str">
        <f t="shared" si="6"/>
        <v/>
      </c>
      <c r="S93" s="449" t="str">
        <f>IFERROR(IF(VLOOKUP($C93,'Matriz de Referencia'!$B$2:$CO$584,'Matriz de Referencia'!BO$1,FALSE)&gt;0,"Diligenciar la vigencia, tiene presupuesto programado","No diligenciar, no programo presupuesto"),"")</f>
        <v/>
      </c>
      <c r="T93" s="627"/>
      <c r="W93" s="627"/>
      <c r="X93" s="650" t="str">
        <f t="shared" si="7"/>
        <v/>
      </c>
      <c r="Y93" s="449" t="str">
        <f>IFERROR(IF(VLOOKUP($C93,'Matriz de Referencia'!$B$2:$CO$584,'Matriz de Referencia'!CC$1,FALSE)&gt;0,"Diligenciar la vigencia, tiene presupuesto programado","No diligenciar, no programo presupuesto"),"")</f>
        <v/>
      </c>
      <c r="Z93" s="627"/>
      <c r="AC93" s="627"/>
      <c r="AD93" s="650" t="str">
        <f t="shared" si="8"/>
        <v/>
      </c>
      <c r="AE93" s="448" t="str">
        <f t="shared" si="9"/>
        <v/>
      </c>
      <c r="AF93" s="416" t="str">
        <f>IF(AE93="","",IF(F93="Incremento",IF(AE93=(VLOOKUP(C93,Tabla7[[#Headers],[Codigo Interno]:[META]],13,FALSE)-VLOOKUP(C93,Tabla7[[#Headers],[Codigo Interno]:[META]],15,FALSE)),"Continue",IF(F93="Mantenimiento",IF(AE93=VLOOKUP(C93,Tabla7[[#Headers],[Codigo Interno]:[META]],15,FALSE),"Continue","Su Programación es diferente a la meta, revise para continuar"),"Su Programación es diferente a la meta, revise para continuar"))))</f>
        <v/>
      </c>
    </row>
    <row r="94" spans="7:32">
      <c r="G94" s="449" t="str">
        <f>IFERROR(IF(VLOOKUP(C94,'Matriz de Referencia'!$B$2:$CO$584,'Matriz de Referencia'!AM$1,FALSE)&gt;0,"Diligenciar la vigencia, tiene presupuesto programado","No diligenciar, no programo presupuesto"),"")</f>
        <v/>
      </c>
      <c r="H94" s="627"/>
      <c r="L94" s="650" t="str">
        <f t="shared" si="5"/>
        <v/>
      </c>
      <c r="M94" s="449" t="str">
        <f>IFERROR(IF(VLOOKUP($C94,'Matriz de Referencia'!$B$2:$CO$584,'Matriz de Referencia'!BA$1,FALSE)&gt;0,"Diligenciar la vigencia, tiene presupuesto programado","No diligenciar, no programo presupuesto"),"")</f>
        <v/>
      </c>
      <c r="N94" s="627"/>
      <c r="Q94" s="627"/>
      <c r="R94" s="650" t="str">
        <f t="shared" si="6"/>
        <v/>
      </c>
      <c r="S94" s="449" t="str">
        <f>IFERROR(IF(VLOOKUP($C94,'Matriz de Referencia'!$B$2:$CO$584,'Matriz de Referencia'!BO$1,FALSE)&gt;0,"Diligenciar la vigencia, tiene presupuesto programado","No diligenciar, no programo presupuesto"),"")</f>
        <v/>
      </c>
      <c r="T94" s="627"/>
      <c r="W94" s="627"/>
      <c r="X94" s="650" t="str">
        <f t="shared" si="7"/>
        <v/>
      </c>
      <c r="Y94" s="449" t="str">
        <f>IFERROR(IF(VLOOKUP($C94,'Matriz de Referencia'!$B$2:$CO$584,'Matriz de Referencia'!CC$1,FALSE)&gt;0,"Diligenciar la vigencia, tiene presupuesto programado","No diligenciar, no programo presupuesto"),"")</f>
        <v/>
      </c>
      <c r="Z94" s="627"/>
      <c r="AC94" s="627"/>
      <c r="AD94" s="650" t="str">
        <f t="shared" si="8"/>
        <v/>
      </c>
      <c r="AE94" s="448" t="str">
        <f t="shared" si="9"/>
        <v/>
      </c>
      <c r="AF94" s="416" t="str">
        <f>IF(AE94="","",IF(F94="Incremento",IF(AE94=(VLOOKUP(C94,Tabla7[[#Headers],[Codigo Interno]:[META]],13,FALSE)-VLOOKUP(C94,Tabla7[[#Headers],[Codigo Interno]:[META]],15,FALSE)),"Continue",IF(F94="Mantenimiento",IF(AE94=VLOOKUP(C94,Tabla7[[#Headers],[Codigo Interno]:[META]],15,FALSE),"Continue","Su Programación es diferente a la meta, revise para continuar"),"Su Programación es diferente a la meta, revise para continuar"))))</f>
        <v/>
      </c>
    </row>
    <row r="95" spans="7:32">
      <c r="G95" s="449" t="str">
        <f>IFERROR(IF(VLOOKUP(C95,'Matriz de Referencia'!$B$2:$CO$584,'Matriz de Referencia'!AM$1,FALSE)&gt;0,"Diligenciar la vigencia, tiene presupuesto programado","No diligenciar, no programo presupuesto"),"")</f>
        <v/>
      </c>
      <c r="H95" s="627"/>
      <c r="L95" s="650" t="str">
        <f t="shared" si="5"/>
        <v/>
      </c>
      <c r="M95" s="449" t="str">
        <f>IFERROR(IF(VLOOKUP($C95,'Matriz de Referencia'!$B$2:$CO$584,'Matriz de Referencia'!BA$1,FALSE)&gt;0,"Diligenciar la vigencia, tiene presupuesto programado","No diligenciar, no programo presupuesto"),"")</f>
        <v/>
      </c>
      <c r="N95" s="627"/>
      <c r="Q95" s="627"/>
      <c r="R95" s="650" t="str">
        <f t="shared" si="6"/>
        <v/>
      </c>
      <c r="S95" s="449" t="str">
        <f>IFERROR(IF(VLOOKUP($C95,'Matriz de Referencia'!$B$2:$CO$584,'Matriz de Referencia'!BO$1,FALSE)&gt;0,"Diligenciar la vigencia, tiene presupuesto programado","No diligenciar, no programo presupuesto"),"")</f>
        <v/>
      </c>
      <c r="T95" s="627"/>
      <c r="W95" s="627"/>
      <c r="X95" s="650" t="str">
        <f t="shared" si="7"/>
        <v/>
      </c>
      <c r="Y95" s="449" t="str">
        <f>IFERROR(IF(VLOOKUP($C95,'Matriz de Referencia'!$B$2:$CO$584,'Matriz de Referencia'!CC$1,FALSE)&gt;0,"Diligenciar la vigencia, tiene presupuesto programado","No diligenciar, no programo presupuesto"),"")</f>
        <v/>
      </c>
      <c r="Z95" s="627"/>
      <c r="AC95" s="627"/>
      <c r="AD95" s="650" t="str">
        <f t="shared" si="8"/>
        <v/>
      </c>
      <c r="AE95" s="448" t="str">
        <f t="shared" si="9"/>
        <v/>
      </c>
      <c r="AF95" s="416" t="str">
        <f>IF(AE95="","",IF(F95="Incremento",IF(AE95=(VLOOKUP(C95,Tabla7[[#Headers],[Codigo Interno]:[META]],13,FALSE)-VLOOKUP(C95,Tabla7[[#Headers],[Codigo Interno]:[META]],15,FALSE)),"Continue",IF(F95="Mantenimiento",IF(AE95=VLOOKUP(C95,Tabla7[[#Headers],[Codigo Interno]:[META]],15,FALSE),"Continue","Su Programación es diferente a la meta, revise para continuar"),"Su Programación es diferente a la meta, revise para continuar"))))</f>
        <v/>
      </c>
    </row>
    <row r="96" spans="7:32">
      <c r="G96" s="449" t="str">
        <f>IFERROR(IF(VLOOKUP(C96,'Matriz de Referencia'!$B$2:$CO$584,'Matriz de Referencia'!AM$1,FALSE)&gt;0,"Diligenciar la vigencia, tiene presupuesto programado","No diligenciar, no programo presupuesto"),"")</f>
        <v/>
      </c>
      <c r="H96" s="627"/>
      <c r="L96" s="650" t="str">
        <f t="shared" si="5"/>
        <v/>
      </c>
      <c r="M96" s="449" t="str">
        <f>IFERROR(IF(VLOOKUP($C96,'Matriz de Referencia'!$B$2:$CO$584,'Matriz de Referencia'!BA$1,FALSE)&gt;0,"Diligenciar la vigencia, tiene presupuesto programado","No diligenciar, no programo presupuesto"),"")</f>
        <v/>
      </c>
      <c r="N96" s="627"/>
      <c r="Q96" s="627"/>
      <c r="R96" s="650" t="str">
        <f t="shared" si="6"/>
        <v/>
      </c>
      <c r="S96" s="449" t="str">
        <f>IFERROR(IF(VLOOKUP($C96,'Matriz de Referencia'!$B$2:$CO$584,'Matriz de Referencia'!BO$1,FALSE)&gt;0,"Diligenciar la vigencia, tiene presupuesto programado","No diligenciar, no programo presupuesto"),"")</f>
        <v/>
      </c>
      <c r="T96" s="627"/>
      <c r="W96" s="627"/>
      <c r="X96" s="650" t="str">
        <f t="shared" si="7"/>
        <v/>
      </c>
      <c r="Y96" s="449" t="str">
        <f>IFERROR(IF(VLOOKUP($C96,'Matriz de Referencia'!$B$2:$CO$584,'Matriz de Referencia'!CC$1,FALSE)&gt;0,"Diligenciar la vigencia, tiene presupuesto programado","No diligenciar, no programo presupuesto"),"")</f>
        <v/>
      </c>
      <c r="Z96" s="627"/>
      <c r="AC96" s="627"/>
      <c r="AD96" s="650" t="str">
        <f t="shared" si="8"/>
        <v/>
      </c>
      <c r="AE96" s="448" t="str">
        <f t="shared" si="9"/>
        <v/>
      </c>
      <c r="AF96" s="416" t="str">
        <f>IF(AE96="","",IF(F96="Incremento",IF(AE96=(VLOOKUP(C96,Tabla7[[#Headers],[Codigo Interno]:[META]],13,FALSE)-VLOOKUP(C96,Tabla7[[#Headers],[Codigo Interno]:[META]],15,FALSE)),"Continue",IF(F96="Mantenimiento",IF(AE96=VLOOKUP(C96,Tabla7[[#Headers],[Codigo Interno]:[META]],15,FALSE),"Continue","Su Programación es diferente a la meta, revise para continuar"),"Su Programación es diferente a la meta, revise para continuar"))))</f>
        <v/>
      </c>
    </row>
    <row r="97" spans="7:32">
      <c r="G97" s="449" t="str">
        <f>IFERROR(IF(VLOOKUP(C97,'Matriz de Referencia'!$B$2:$CO$584,'Matriz de Referencia'!AM$1,FALSE)&gt;0,"Diligenciar la vigencia, tiene presupuesto programado","No diligenciar, no programo presupuesto"),"")</f>
        <v/>
      </c>
      <c r="H97" s="627"/>
      <c r="L97" s="650" t="str">
        <f t="shared" si="5"/>
        <v/>
      </c>
      <c r="M97" s="449" t="str">
        <f>IFERROR(IF(VLOOKUP($C97,'Matriz de Referencia'!$B$2:$CO$584,'Matriz de Referencia'!BA$1,FALSE)&gt;0,"Diligenciar la vigencia, tiene presupuesto programado","No diligenciar, no programo presupuesto"),"")</f>
        <v/>
      </c>
      <c r="N97" s="627"/>
      <c r="Q97" s="627"/>
      <c r="R97" s="650" t="str">
        <f t="shared" si="6"/>
        <v/>
      </c>
      <c r="S97" s="449" t="str">
        <f>IFERROR(IF(VLOOKUP($C97,'Matriz de Referencia'!$B$2:$CO$584,'Matriz de Referencia'!BO$1,FALSE)&gt;0,"Diligenciar la vigencia, tiene presupuesto programado","No diligenciar, no programo presupuesto"),"")</f>
        <v/>
      </c>
      <c r="T97" s="627"/>
      <c r="W97" s="627"/>
      <c r="X97" s="650" t="str">
        <f t="shared" si="7"/>
        <v/>
      </c>
      <c r="Y97" s="449" t="str">
        <f>IFERROR(IF(VLOOKUP($C97,'Matriz de Referencia'!$B$2:$CO$584,'Matriz de Referencia'!CC$1,FALSE)&gt;0,"Diligenciar la vigencia, tiene presupuesto programado","No diligenciar, no programo presupuesto"),"")</f>
        <v/>
      </c>
      <c r="Z97" s="627"/>
      <c r="AC97" s="627"/>
      <c r="AD97" s="650" t="str">
        <f t="shared" si="8"/>
        <v/>
      </c>
      <c r="AE97" s="448" t="str">
        <f t="shared" si="9"/>
        <v/>
      </c>
      <c r="AF97" s="416" t="str">
        <f>IF(AE97="","",IF(F97="Incremento",IF(AE97=(VLOOKUP(C97,Tabla7[[#Headers],[Codigo Interno]:[META]],13,FALSE)-VLOOKUP(C97,Tabla7[[#Headers],[Codigo Interno]:[META]],15,FALSE)),"Continue",IF(F97="Mantenimiento",IF(AE97=VLOOKUP(C97,Tabla7[[#Headers],[Codigo Interno]:[META]],15,FALSE),"Continue","Su Programación es diferente a la meta, revise para continuar"),"Su Programación es diferente a la meta, revise para continuar"))))</f>
        <v/>
      </c>
    </row>
    <row r="98" spans="7:32">
      <c r="G98" s="449" t="str">
        <f>IFERROR(IF(VLOOKUP(C98,'Matriz de Referencia'!$B$2:$CO$584,'Matriz de Referencia'!AM$1,FALSE)&gt;0,"Diligenciar la vigencia, tiene presupuesto programado","No diligenciar, no programo presupuesto"),"")</f>
        <v/>
      </c>
      <c r="H98" s="627"/>
      <c r="L98" s="650" t="str">
        <f t="shared" si="5"/>
        <v/>
      </c>
      <c r="M98" s="449" t="str">
        <f>IFERROR(IF(VLOOKUP($C98,'Matriz de Referencia'!$B$2:$CO$584,'Matriz de Referencia'!BA$1,FALSE)&gt;0,"Diligenciar la vigencia, tiene presupuesto programado","No diligenciar, no programo presupuesto"),"")</f>
        <v/>
      </c>
      <c r="N98" s="627"/>
      <c r="Q98" s="627"/>
      <c r="R98" s="650" t="str">
        <f t="shared" si="6"/>
        <v/>
      </c>
      <c r="S98" s="449" t="str">
        <f>IFERROR(IF(VLOOKUP($C98,'Matriz de Referencia'!$B$2:$CO$584,'Matriz de Referencia'!BO$1,FALSE)&gt;0,"Diligenciar la vigencia, tiene presupuesto programado","No diligenciar, no programo presupuesto"),"")</f>
        <v/>
      </c>
      <c r="T98" s="627"/>
      <c r="W98" s="627"/>
      <c r="X98" s="650" t="str">
        <f t="shared" si="7"/>
        <v/>
      </c>
      <c r="Y98" s="449" t="str">
        <f>IFERROR(IF(VLOOKUP($C98,'Matriz de Referencia'!$B$2:$CO$584,'Matriz de Referencia'!CC$1,FALSE)&gt;0,"Diligenciar la vigencia, tiene presupuesto programado","No diligenciar, no programo presupuesto"),"")</f>
        <v/>
      </c>
      <c r="Z98" s="627"/>
      <c r="AC98" s="627"/>
      <c r="AD98" s="650" t="str">
        <f t="shared" si="8"/>
        <v/>
      </c>
      <c r="AE98" s="448" t="str">
        <f t="shared" si="9"/>
        <v/>
      </c>
      <c r="AF98" s="416" t="str">
        <f>IF(AE98="","",IF(F98="Incremento",IF(AE98=(VLOOKUP(C98,Tabla7[[#Headers],[Codigo Interno]:[META]],13,FALSE)-VLOOKUP(C98,Tabla7[[#Headers],[Codigo Interno]:[META]],15,FALSE)),"Continue",IF(F98="Mantenimiento",IF(AE98=VLOOKUP(C98,Tabla7[[#Headers],[Codigo Interno]:[META]],15,FALSE),"Continue","Su Programación es diferente a la meta, revise para continuar"),"Su Programación es diferente a la meta, revise para continuar"))))</f>
        <v/>
      </c>
    </row>
    <row r="99" spans="7:32">
      <c r="G99" s="449" t="str">
        <f>IFERROR(IF(VLOOKUP(C99,'Matriz de Referencia'!$B$2:$CO$584,'Matriz de Referencia'!AM$1,FALSE)&gt;0,"Diligenciar la vigencia, tiene presupuesto programado","No diligenciar, no programo presupuesto"),"")</f>
        <v/>
      </c>
      <c r="H99" s="633"/>
      <c r="I99" s="633"/>
      <c r="J99" s="633"/>
      <c r="K99" s="634"/>
      <c r="L99" s="650" t="str">
        <f t="shared" si="5"/>
        <v/>
      </c>
      <c r="M99" s="449" t="str">
        <f>IFERROR(IF(VLOOKUP($C99,'Matriz de Referencia'!$B$2:$CO$584,'Matriz de Referencia'!BA$1,FALSE)&gt;0,"Diligenciar la vigencia, tiene presupuesto programado","No diligenciar, no programo presupuesto"),"")</f>
        <v/>
      </c>
      <c r="N99" s="633"/>
      <c r="O99" s="633"/>
      <c r="P99" s="633"/>
      <c r="Q99" s="633"/>
      <c r="R99" s="650" t="str">
        <f t="shared" si="6"/>
        <v/>
      </c>
      <c r="S99" s="449" t="str">
        <f>IFERROR(IF(VLOOKUP($C99,'Matriz de Referencia'!$B$2:$CO$584,'Matriz de Referencia'!BO$1,FALSE)&gt;0,"Diligenciar la vigencia, tiene presupuesto programado","No diligenciar, no programo presupuesto"),"")</f>
        <v/>
      </c>
      <c r="T99" s="633"/>
      <c r="U99" s="633"/>
      <c r="V99" s="633"/>
      <c r="W99" s="633"/>
      <c r="X99" s="650" t="str">
        <f t="shared" si="7"/>
        <v/>
      </c>
      <c r="Y99" s="449" t="str">
        <f>IFERROR(IF(VLOOKUP($C99,'Matriz de Referencia'!$B$2:$CO$584,'Matriz de Referencia'!CC$1,FALSE)&gt;0,"Diligenciar la vigencia, tiene presupuesto programado","No diligenciar, no programo presupuesto"),"")</f>
        <v/>
      </c>
      <c r="Z99" s="633"/>
      <c r="AA99" s="633"/>
      <c r="AB99" s="633"/>
      <c r="AC99" s="633"/>
      <c r="AD99" s="650" t="str">
        <f t="shared" si="8"/>
        <v/>
      </c>
      <c r="AE99" s="448" t="str">
        <f t="shared" si="9"/>
        <v/>
      </c>
      <c r="AF99" s="416" t="str">
        <f>IF(AE99="","",IF(F99="Incremento",IF(AE99=(VLOOKUP(C99,Tabla7[[#Headers],[Codigo Interno]:[META]],13,FALSE)-VLOOKUP(C99,Tabla7[[#Headers],[Codigo Interno]:[META]],15,FALSE)),"Continue",IF(F99="Mantenimiento",IF(AE99=VLOOKUP(C99,Tabla7[[#Headers],[Codigo Interno]:[META]],15,FALSE),"Continue","Su Programación es diferente a la meta, revise para continuar"),"Su Programación es diferente a la meta, revise para continuar"))))</f>
        <v/>
      </c>
    </row>
    <row r="101" spans="7:32">
      <c r="X101" s="640"/>
      <c r="Y101" s="447"/>
      <c r="Z101" s="627"/>
      <c r="AC101" s="627"/>
      <c r="AD101" s="640"/>
      <c r="AE101" s="447"/>
      <c r="AF101" s="447"/>
    </row>
    <row r="102" spans="7:32">
      <c r="X102" s="640"/>
      <c r="Y102" s="447"/>
      <c r="Z102" s="627"/>
      <c r="AC102" s="627"/>
      <c r="AD102" s="640"/>
      <c r="AE102" s="447"/>
      <c r="AF102" s="447"/>
    </row>
    <row r="103" spans="7:32">
      <c r="X103" s="640"/>
      <c r="Y103" s="447"/>
      <c r="Z103" s="627"/>
      <c r="AC103" s="627"/>
      <c r="AD103" s="640"/>
      <c r="AE103" s="447"/>
      <c r="AF103" s="447"/>
    </row>
    <row r="104" spans="7:32">
      <c r="X104" s="640"/>
      <c r="Y104" s="447"/>
      <c r="Z104" s="627"/>
      <c r="AC104" s="627"/>
      <c r="AD104" s="640"/>
      <c r="AE104" s="447"/>
      <c r="AF104" s="447"/>
    </row>
    <row r="105" spans="7:32">
      <c r="X105" s="640"/>
      <c r="Y105" s="447"/>
      <c r="Z105" s="627"/>
      <c r="AC105" s="627"/>
      <c r="AD105" s="640"/>
      <c r="AE105" s="447"/>
      <c r="AF105" s="447"/>
    </row>
    <row r="106" spans="7:32">
      <c r="X106" s="640"/>
      <c r="Y106" s="447"/>
      <c r="Z106" s="627"/>
      <c r="AC106" s="627"/>
      <c r="AD106" s="640"/>
      <c r="AE106" s="447"/>
      <c r="AF106" s="447"/>
    </row>
    <row r="107" spans="7:32">
      <c r="X107" s="640"/>
      <c r="Y107" s="447"/>
      <c r="Z107" s="627"/>
      <c r="AC107" s="627"/>
      <c r="AD107" s="640"/>
      <c r="AE107" s="447"/>
      <c r="AF107" s="447"/>
    </row>
    <row r="108" spans="7:32">
      <c r="X108" s="640"/>
      <c r="Y108" s="447"/>
      <c r="Z108" s="627"/>
      <c r="AC108" s="627"/>
      <c r="AD108" s="640"/>
      <c r="AE108" s="447"/>
      <c r="AF108" s="447"/>
    </row>
    <row r="109" spans="7:32">
      <c r="X109" s="640"/>
      <c r="Y109" s="447"/>
      <c r="Z109" s="627"/>
      <c r="AC109" s="627"/>
      <c r="AD109" s="640"/>
      <c r="AE109" s="447"/>
      <c r="AF109" s="447"/>
    </row>
    <row r="110" spans="7:32">
      <c r="X110" s="640"/>
      <c r="Y110" s="447"/>
      <c r="Z110" s="627"/>
      <c r="AC110" s="627"/>
      <c r="AD110" s="640"/>
      <c r="AE110" s="447"/>
      <c r="AF110" s="447"/>
    </row>
    <row r="111" spans="7:32">
      <c r="X111" s="640"/>
      <c r="Y111" s="447"/>
      <c r="Z111" s="627"/>
      <c r="AC111" s="627"/>
      <c r="AD111" s="640"/>
      <c r="AE111" s="447"/>
      <c r="AF111" s="447"/>
    </row>
    <row r="112" spans="7:32">
      <c r="X112" s="640"/>
      <c r="Y112" s="447"/>
      <c r="Z112" s="627"/>
      <c r="AC112" s="627"/>
      <c r="AD112" s="640"/>
      <c r="AE112" s="447"/>
      <c r="AF112" s="447"/>
    </row>
    <row r="113" spans="24:32">
      <c r="X113" s="640"/>
      <c r="Y113" s="447"/>
      <c r="Z113" s="627"/>
      <c r="AC113" s="627"/>
      <c r="AD113" s="640"/>
      <c r="AE113" s="447"/>
      <c r="AF113" s="447"/>
    </row>
    <row r="114" spans="24:32">
      <c r="X114" s="640"/>
      <c r="Y114" s="447"/>
      <c r="Z114" s="627"/>
      <c r="AC114" s="627"/>
      <c r="AD114" s="640"/>
      <c r="AE114" s="447"/>
      <c r="AF114" s="447"/>
    </row>
    <row r="115" spans="24:32">
      <c r="X115" s="640"/>
      <c r="Y115" s="447"/>
      <c r="Z115" s="627"/>
      <c r="AC115" s="627"/>
      <c r="AD115" s="640"/>
      <c r="AE115" s="447"/>
      <c r="AF115" s="447"/>
    </row>
    <row r="116" spans="24:32">
      <c r="X116" s="640"/>
      <c r="Y116" s="447"/>
      <c r="Z116" s="627"/>
      <c r="AC116" s="627"/>
      <c r="AD116" s="640"/>
      <c r="AE116" s="447"/>
      <c r="AF116" s="447"/>
    </row>
    <row r="117" spans="24:32">
      <c r="X117" s="640"/>
      <c r="Y117" s="447"/>
      <c r="Z117" s="627"/>
      <c r="AC117" s="627"/>
      <c r="AD117" s="640"/>
      <c r="AE117" s="447"/>
      <c r="AF117" s="447"/>
    </row>
    <row r="118" spans="24:32">
      <c r="X118" s="640"/>
      <c r="Y118" s="447"/>
      <c r="Z118" s="627"/>
      <c r="AC118" s="627"/>
      <c r="AD118" s="640"/>
      <c r="AE118" s="447"/>
      <c r="AF118" s="447"/>
    </row>
    <row r="119" spans="24:32">
      <c r="X119" s="640"/>
      <c r="Y119" s="447"/>
      <c r="Z119" s="627"/>
      <c r="AC119" s="627"/>
      <c r="AD119" s="640"/>
      <c r="AE119" s="447"/>
      <c r="AF119" s="447"/>
    </row>
    <row r="120" spans="24:32">
      <c r="X120" s="640"/>
      <c r="Y120" s="447"/>
      <c r="Z120" s="627"/>
      <c r="AC120" s="627"/>
      <c r="AD120" s="640"/>
      <c r="AE120" s="447"/>
      <c r="AF120" s="447"/>
    </row>
    <row r="121" spans="24:32">
      <c r="X121" s="640"/>
      <c r="Y121" s="447"/>
      <c r="Z121" s="627"/>
      <c r="AC121" s="627"/>
      <c r="AD121" s="640"/>
      <c r="AE121" s="447"/>
      <c r="AF121" s="447"/>
    </row>
    <row r="122" spans="24:32">
      <c r="X122" s="640"/>
      <c r="Y122" s="447"/>
      <c r="Z122" s="627"/>
      <c r="AC122" s="627"/>
      <c r="AD122" s="640"/>
      <c r="AE122" s="447"/>
      <c r="AF122" s="447"/>
    </row>
    <row r="123" spans="24:32">
      <c r="X123" s="640"/>
      <c r="Y123" s="447"/>
      <c r="Z123" s="627"/>
      <c r="AC123" s="627"/>
      <c r="AD123" s="640"/>
      <c r="AE123" s="447"/>
      <c r="AF123" s="447"/>
    </row>
    <row r="124" spans="24:32">
      <c r="X124" s="640"/>
      <c r="Y124" s="447"/>
      <c r="Z124" s="627"/>
      <c r="AC124" s="627"/>
      <c r="AD124" s="640"/>
      <c r="AE124" s="447"/>
      <c r="AF124" s="447"/>
    </row>
    <row r="125" spans="24:32">
      <c r="X125" s="640"/>
      <c r="Y125" s="447"/>
      <c r="Z125" s="627"/>
      <c r="AC125" s="627"/>
      <c r="AD125" s="640"/>
      <c r="AE125" s="447"/>
      <c r="AF125" s="447"/>
    </row>
    <row r="126" spans="24:32">
      <c r="X126" s="640"/>
      <c r="Y126" s="447"/>
      <c r="Z126" s="627"/>
      <c r="AC126" s="627"/>
      <c r="AD126" s="640"/>
      <c r="AE126" s="447"/>
      <c r="AF126" s="447"/>
    </row>
    <row r="127" spans="24:32">
      <c r="X127" s="640"/>
      <c r="Y127" s="447"/>
      <c r="Z127" s="627"/>
      <c r="AC127" s="627"/>
      <c r="AD127" s="640"/>
      <c r="AE127" s="447"/>
      <c r="AF127" s="447"/>
    </row>
    <row r="128" spans="24:32">
      <c r="X128" s="640"/>
      <c r="Y128" s="447"/>
      <c r="Z128" s="627"/>
      <c r="AC128" s="627"/>
      <c r="AD128" s="640"/>
      <c r="AE128" s="447"/>
      <c r="AF128" s="447"/>
    </row>
    <row r="129" spans="24:32">
      <c r="X129" s="640"/>
      <c r="Y129" s="447"/>
      <c r="Z129" s="627"/>
      <c r="AC129" s="627"/>
      <c r="AD129" s="640"/>
      <c r="AE129" s="447"/>
      <c r="AF129" s="447"/>
    </row>
    <row r="130" spans="24:32">
      <c r="X130" s="640"/>
      <c r="Y130" s="447"/>
      <c r="Z130" s="627"/>
      <c r="AC130" s="627"/>
      <c r="AD130" s="640"/>
      <c r="AE130" s="447"/>
      <c r="AF130" s="447"/>
    </row>
    <row r="131" spans="24:32">
      <c r="X131" s="640"/>
      <c r="Y131" s="447"/>
      <c r="Z131" s="627"/>
      <c r="AC131" s="627"/>
      <c r="AD131" s="640"/>
      <c r="AE131" s="447"/>
      <c r="AF131" s="447"/>
    </row>
    <row r="132" spans="24:32">
      <c r="X132" s="640"/>
      <c r="Y132" s="447"/>
      <c r="Z132" s="627"/>
      <c r="AC132" s="627"/>
      <c r="AD132" s="640"/>
      <c r="AE132" s="447"/>
      <c r="AF132" s="447"/>
    </row>
    <row r="133" spans="24:32">
      <c r="X133" s="640"/>
      <c r="Y133" s="447"/>
      <c r="Z133" s="627"/>
      <c r="AC133" s="627"/>
      <c r="AD133" s="640"/>
      <c r="AE133" s="447"/>
      <c r="AF133" s="447"/>
    </row>
    <row r="134" spans="24:32">
      <c r="X134" s="640"/>
      <c r="Y134" s="447"/>
      <c r="Z134" s="627"/>
      <c r="AC134" s="627"/>
      <c r="AD134" s="640"/>
      <c r="AE134" s="447"/>
      <c r="AF134" s="447"/>
    </row>
    <row r="135" spans="24:32">
      <c r="X135" s="640"/>
      <c r="Y135" s="447"/>
      <c r="Z135" s="627"/>
      <c r="AC135" s="627"/>
      <c r="AD135" s="640"/>
      <c r="AE135" s="447"/>
      <c r="AF135" s="447"/>
    </row>
    <row r="136" spans="24:32">
      <c r="X136" s="640"/>
      <c r="Y136" s="447"/>
      <c r="Z136" s="627"/>
      <c r="AC136" s="627"/>
      <c r="AD136" s="640"/>
      <c r="AE136" s="447"/>
      <c r="AF136" s="447"/>
    </row>
    <row r="137" spans="24:32">
      <c r="X137" s="640"/>
      <c r="Y137" s="447"/>
      <c r="Z137" s="627"/>
      <c r="AC137" s="627"/>
      <c r="AD137" s="640"/>
      <c r="AE137" s="447"/>
      <c r="AF137" s="447"/>
    </row>
    <row r="138" spans="24:32">
      <c r="X138" s="640"/>
      <c r="Y138" s="447"/>
      <c r="Z138" s="627"/>
      <c r="AC138" s="627"/>
      <c r="AD138" s="640"/>
      <c r="AE138" s="447"/>
      <c r="AF138" s="447"/>
    </row>
    <row r="139" spans="24:32">
      <c r="X139" s="640"/>
      <c r="Y139" s="447"/>
      <c r="Z139" s="627"/>
      <c r="AC139" s="627"/>
      <c r="AD139" s="640"/>
      <c r="AE139" s="447"/>
      <c r="AF139" s="447"/>
    </row>
    <row r="140" spans="24:32">
      <c r="X140" s="640"/>
      <c r="Y140" s="447"/>
      <c r="Z140" s="627"/>
      <c r="AC140" s="627"/>
      <c r="AD140" s="640"/>
      <c r="AE140" s="447"/>
      <c r="AF140" s="447"/>
    </row>
    <row r="141" spans="24:32">
      <c r="X141" s="640"/>
      <c r="Y141" s="447"/>
      <c r="Z141" s="627"/>
      <c r="AC141" s="627"/>
      <c r="AD141" s="640"/>
      <c r="AE141" s="447"/>
      <c r="AF141" s="447"/>
    </row>
    <row r="142" spans="24:32">
      <c r="X142" s="640"/>
      <c r="Y142" s="447"/>
      <c r="Z142" s="627"/>
      <c r="AC142" s="627"/>
      <c r="AD142" s="640"/>
      <c r="AE142" s="447"/>
      <c r="AF142" s="447"/>
    </row>
    <row r="143" spans="24:32">
      <c r="X143" s="640"/>
      <c r="Y143" s="447"/>
      <c r="Z143" s="627"/>
      <c r="AC143" s="627"/>
      <c r="AD143" s="640"/>
      <c r="AE143" s="447"/>
      <c r="AF143" s="447"/>
    </row>
    <row r="144" spans="24:32">
      <c r="X144" s="640"/>
      <c r="Y144" s="447"/>
      <c r="Z144" s="627"/>
      <c r="AC144" s="627"/>
      <c r="AD144" s="640"/>
      <c r="AE144" s="447"/>
      <c r="AF144" s="447"/>
    </row>
    <row r="145" spans="24:32">
      <c r="X145" s="640"/>
      <c r="Y145" s="447"/>
      <c r="Z145" s="627"/>
      <c r="AC145" s="627"/>
      <c r="AD145" s="640"/>
      <c r="AE145" s="447"/>
      <c r="AF145" s="447"/>
    </row>
    <row r="146" spans="24:32">
      <c r="X146" s="640"/>
      <c r="Y146" s="447"/>
      <c r="Z146" s="627"/>
      <c r="AC146" s="627"/>
      <c r="AD146" s="640"/>
      <c r="AE146" s="447"/>
      <c r="AF146" s="447"/>
    </row>
    <row r="147" spans="24:32">
      <c r="X147" s="640"/>
      <c r="Y147" s="447"/>
      <c r="Z147" s="627"/>
      <c r="AC147" s="627"/>
      <c r="AD147" s="640"/>
      <c r="AE147" s="447"/>
      <c r="AF147" s="447"/>
    </row>
    <row r="148" spans="24:32">
      <c r="X148" s="640"/>
      <c r="Y148" s="447"/>
      <c r="Z148" s="627"/>
      <c r="AC148" s="627"/>
      <c r="AD148" s="640"/>
      <c r="AE148" s="447"/>
      <c r="AF148" s="447"/>
    </row>
    <row r="149" spans="24:32">
      <c r="X149" s="640"/>
      <c r="Y149" s="447"/>
      <c r="Z149" s="627"/>
      <c r="AC149" s="627"/>
      <c r="AD149" s="640"/>
      <c r="AE149" s="447"/>
      <c r="AF149" s="447"/>
    </row>
    <row r="150" spans="24:32">
      <c r="X150" s="640"/>
      <c r="Y150" s="447"/>
      <c r="Z150" s="627"/>
      <c r="AC150" s="627"/>
      <c r="AD150" s="640"/>
      <c r="AE150" s="447"/>
      <c r="AF150" s="447"/>
    </row>
    <row r="151" spans="24:32">
      <c r="X151" s="640"/>
      <c r="Y151" s="447"/>
      <c r="Z151" s="627"/>
      <c r="AC151" s="627"/>
      <c r="AD151" s="640"/>
      <c r="AE151" s="447"/>
      <c r="AF151" s="447"/>
    </row>
    <row r="152" spans="24:32">
      <c r="X152" s="640"/>
      <c r="Y152" s="447"/>
      <c r="Z152" s="627"/>
      <c r="AC152" s="627"/>
      <c r="AD152" s="640"/>
      <c r="AE152" s="447"/>
      <c r="AF152" s="447"/>
    </row>
    <row r="153" spans="24:32">
      <c r="X153" s="640"/>
      <c r="Y153" s="447"/>
      <c r="Z153" s="627"/>
      <c r="AC153" s="627"/>
      <c r="AD153" s="640"/>
      <c r="AE153" s="447"/>
      <c r="AF153" s="447"/>
    </row>
    <row r="154" spans="24:32">
      <c r="X154" s="640"/>
      <c r="Y154" s="447"/>
      <c r="Z154" s="627"/>
      <c r="AC154" s="627"/>
      <c r="AD154" s="640"/>
      <c r="AE154" s="447"/>
      <c r="AF154" s="447"/>
    </row>
    <row r="155" spans="24:32">
      <c r="X155" s="640"/>
      <c r="Y155" s="447"/>
      <c r="Z155" s="627"/>
      <c r="AC155" s="627"/>
      <c r="AD155" s="640"/>
      <c r="AE155" s="447"/>
      <c r="AF155" s="447"/>
    </row>
    <row r="156" spans="24:32">
      <c r="X156" s="640"/>
      <c r="Y156" s="447"/>
      <c r="Z156" s="627"/>
      <c r="AC156" s="627"/>
      <c r="AD156" s="640"/>
      <c r="AE156" s="447"/>
      <c r="AF156" s="447"/>
    </row>
    <row r="157" spans="24:32">
      <c r="X157" s="640"/>
      <c r="Y157" s="447"/>
      <c r="Z157" s="627"/>
      <c r="AC157" s="627"/>
      <c r="AD157" s="640"/>
      <c r="AE157" s="447"/>
      <c r="AF157" s="447"/>
    </row>
    <row r="158" spans="24:32">
      <c r="X158" s="640"/>
      <c r="Y158" s="447"/>
      <c r="Z158" s="627"/>
      <c r="AC158" s="627"/>
      <c r="AD158" s="640"/>
      <c r="AE158" s="447"/>
      <c r="AF158" s="447"/>
    </row>
    <row r="159" spans="24:32">
      <c r="X159" s="640"/>
      <c r="Y159" s="447"/>
      <c r="Z159" s="627"/>
      <c r="AC159" s="627"/>
      <c r="AD159" s="640"/>
      <c r="AE159" s="447"/>
      <c r="AF159" s="447"/>
    </row>
    <row r="160" spans="24:32">
      <c r="X160" s="640"/>
      <c r="Y160" s="447"/>
      <c r="Z160" s="627"/>
      <c r="AC160" s="627"/>
      <c r="AD160" s="640"/>
      <c r="AE160" s="447"/>
      <c r="AF160" s="447"/>
    </row>
    <row r="161" spans="24:32">
      <c r="X161" s="640"/>
      <c r="Y161" s="447"/>
      <c r="Z161" s="627"/>
      <c r="AC161" s="627"/>
      <c r="AD161" s="640"/>
      <c r="AE161" s="447"/>
      <c r="AF161" s="447"/>
    </row>
    <row r="162" spans="24:32">
      <c r="X162" s="640"/>
      <c r="Y162" s="447"/>
      <c r="Z162" s="627"/>
      <c r="AC162" s="627"/>
      <c r="AD162" s="640"/>
      <c r="AE162" s="447"/>
      <c r="AF162" s="447"/>
    </row>
    <row r="163" spans="24:32">
      <c r="X163" s="640"/>
      <c r="Y163" s="447"/>
      <c r="Z163" s="627"/>
      <c r="AC163" s="627"/>
      <c r="AD163" s="640"/>
      <c r="AE163" s="447"/>
      <c r="AF163" s="447"/>
    </row>
    <row r="164" spans="24:32">
      <c r="X164" s="640"/>
      <c r="Y164" s="447"/>
      <c r="Z164" s="627"/>
      <c r="AC164" s="627"/>
      <c r="AD164" s="640"/>
      <c r="AE164" s="447"/>
      <c r="AF164" s="447"/>
    </row>
    <row r="165" spans="24:32">
      <c r="X165" s="640"/>
      <c r="Y165" s="447"/>
      <c r="Z165" s="627"/>
      <c r="AC165" s="627"/>
      <c r="AD165" s="640"/>
      <c r="AE165" s="447"/>
      <c r="AF165" s="447"/>
    </row>
    <row r="166" spans="24:32">
      <c r="X166" s="640"/>
      <c r="Y166" s="447"/>
      <c r="Z166" s="627"/>
      <c r="AC166" s="627"/>
      <c r="AD166" s="640"/>
      <c r="AE166" s="447"/>
      <c r="AF166" s="447"/>
    </row>
    <row r="167" spans="24:32">
      <c r="X167" s="640"/>
      <c r="Y167" s="447"/>
      <c r="Z167" s="627"/>
      <c r="AC167" s="627"/>
      <c r="AD167" s="640"/>
      <c r="AE167" s="447"/>
      <c r="AF167" s="447"/>
    </row>
    <row r="168" spans="24:32">
      <c r="X168" s="640"/>
      <c r="Y168" s="447"/>
      <c r="Z168" s="627"/>
      <c r="AC168" s="627"/>
      <c r="AD168" s="640"/>
      <c r="AE168" s="447"/>
      <c r="AF168" s="447"/>
    </row>
    <row r="169" spans="24:32">
      <c r="X169" s="640"/>
      <c r="Y169" s="447"/>
      <c r="Z169" s="627"/>
      <c r="AC169" s="627"/>
      <c r="AD169" s="640"/>
      <c r="AE169" s="447"/>
      <c r="AF169" s="447"/>
    </row>
    <row r="170" spans="24:32">
      <c r="X170" s="640"/>
      <c r="Y170" s="447"/>
      <c r="Z170" s="627"/>
      <c r="AC170" s="627"/>
      <c r="AD170" s="640"/>
      <c r="AE170" s="447"/>
      <c r="AF170" s="447"/>
    </row>
    <row r="171" spans="24:32">
      <c r="X171" s="640"/>
      <c r="Y171" s="447"/>
      <c r="Z171" s="627"/>
      <c r="AC171" s="627"/>
      <c r="AD171" s="640"/>
      <c r="AE171" s="447"/>
      <c r="AF171" s="447"/>
    </row>
    <row r="172" spans="24:32">
      <c r="X172" s="640"/>
      <c r="Y172" s="447"/>
      <c r="Z172" s="627"/>
      <c r="AC172" s="627"/>
      <c r="AD172" s="640"/>
      <c r="AE172" s="447"/>
      <c r="AF172" s="447"/>
    </row>
    <row r="173" spans="24:32">
      <c r="X173" s="640"/>
      <c r="Y173" s="447"/>
      <c r="Z173" s="627"/>
      <c r="AC173" s="627"/>
      <c r="AD173" s="640"/>
      <c r="AE173" s="447"/>
      <c r="AF173" s="447"/>
    </row>
    <row r="174" spans="24:32">
      <c r="X174" s="640"/>
      <c r="Y174" s="447"/>
      <c r="Z174" s="627"/>
      <c r="AC174" s="627"/>
      <c r="AD174" s="640"/>
      <c r="AE174" s="447"/>
      <c r="AF174" s="447"/>
    </row>
    <row r="175" spans="24:32">
      <c r="X175" s="640"/>
      <c r="Y175" s="447"/>
      <c r="Z175" s="627"/>
      <c r="AC175" s="627"/>
      <c r="AD175" s="640"/>
      <c r="AE175" s="447"/>
      <c r="AF175" s="447"/>
    </row>
    <row r="176" spans="24:32">
      <c r="X176" s="640"/>
      <c r="Y176" s="447"/>
      <c r="Z176" s="627"/>
      <c r="AC176" s="627"/>
      <c r="AD176" s="640"/>
      <c r="AE176" s="447"/>
      <c r="AF176" s="447"/>
    </row>
    <row r="177" spans="24:32">
      <c r="X177" s="640"/>
      <c r="Y177" s="447"/>
      <c r="Z177" s="627"/>
      <c r="AC177" s="627"/>
      <c r="AD177" s="640"/>
      <c r="AE177" s="447"/>
      <c r="AF177" s="447"/>
    </row>
    <row r="178" spans="24:32">
      <c r="X178" s="640"/>
      <c r="Y178" s="447"/>
      <c r="Z178" s="627"/>
      <c r="AC178" s="627"/>
      <c r="AD178" s="640"/>
      <c r="AE178" s="447"/>
      <c r="AF178" s="447"/>
    </row>
    <row r="179" spans="24:32">
      <c r="X179" s="640"/>
      <c r="Y179" s="447"/>
      <c r="Z179" s="627"/>
      <c r="AC179" s="627"/>
      <c r="AD179" s="640"/>
      <c r="AE179" s="447"/>
      <c r="AF179" s="447"/>
    </row>
    <row r="180" spans="24:32">
      <c r="X180" s="640"/>
      <c r="Y180" s="447"/>
      <c r="Z180" s="627"/>
      <c r="AC180" s="627"/>
      <c r="AD180" s="640"/>
      <c r="AE180" s="447"/>
      <c r="AF180" s="447"/>
    </row>
    <row r="181" spans="24:32">
      <c r="X181" s="640"/>
      <c r="Y181" s="447"/>
      <c r="Z181" s="627"/>
      <c r="AC181" s="627"/>
      <c r="AD181" s="640"/>
      <c r="AE181" s="447"/>
      <c r="AF181" s="447"/>
    </row>
    <row r="182" spans="24:32">
      <c r="X182" s="640"/>
      <c r="Y182" s="447"/>
      <c r="Z182" s="627"/>
      <c r="AC182" s="627"/>
      <c r="AD182" s="640"/>
      <c r="AE182" s="447"/>
      <c r="AF182" s="447"/>
    </row>
    <row r="183" spans="24:32">
      <c r="X183" s="640"/>
      <c r="Y183" s="447"/>
      <c r="Z183" s="627"/>
      <c r="AC183" s="627"/>
      <c r="AD183" s="640"/>
      <c r="AE183" s="447"/>
      <c r="AF183" s="447"/>
    </row>
    <row r="184" spans="24:32">
      <c r="X184" s="640"/>
      <c r="Y184" s="447"/>
      <c r="Z184" s="627"/>
      <c r="AC184" s="627"/>
      <c r="AD184" s="640"/>
      <c r="AE184" s="447"/>
      <c r="AF184" s="447"/>
    </row>
    <row r="185" spans="24:32">
      <c r="X185" s="640"/>
      <c r="Y185" s="447"/>
      <c r="Z185" s="627"/>
      <c r="AC185" s="627"/>
      <c r="AD185" s="640"/>
      <c r="AE185" s="447"/>
      <c r="AF185" s="447"/>
    </row>
    <row r="186" spans="24:32">
      <c r="X186" s="640"/>
      <c r="Y186" s="447"/>
      <c r="Z186" s="627"/>
      <c r="AC186" s="627"/>
      <c r="AD186" s="640"/>
      <c r="AE186" s="447"/>
      <c r="AF186" s="447"/>
    </row>
    <row r="187" spans="24:32">
      <c r="X187" s="640"/>
      <c r="Y187" s="447"/>
      <c r="Z187" s="627"/>
      <c r="AC187" s="627"/>
      <c r="AD187" s="640"/>
      <c r="AE187" s="447"/>
      <c r="AF187" s="447"/>
    </row>
    <row r="188" spans="24:32">
      <c r="X188" s="640"/>
      <c r="Y188" s="447"/>
      <c r="Z188" s="627"/>
      <c r="AC188" s="627"/>
      <c r="AD188" s="640"/>
      <c r="AE188" s="447"/>
      <c r="AF188" s="447"/>
    </row>
    <row r="189" spans="24:32">
      <c r="X189" s="640"/>
      <c r="Y189" s="447"/>
      <c r="Z189" s="627"/>
      <c r="AC189" s="627"/>
      <c r="AD189" s="640"/>
      <c r="AE189" s="447"/>
      <c r="AF189" s="447"/>
    </row>
    <row r="190" spans="24:32">
      <c r="X190" s="640"/>
      <c r="Y190" s="447"/>
      <c r="Z190" s="627"/>
      <c r="AC190" s="627"/>
      <c r="AD190" s="640"/>
      <c r="AE190" s="447"/>
      <c r="AF190" s="447"/>
    </row>
    <row r="191" spans="24:32">
      <c r="X191" s="640"/>
      <c r="Y191" s="447"/>
      <c r="Z191" s="627"/>
      <c r="AC191" s="627"/>
      <c r="AD191" s="640"/>
      <c r="AE191" s="447"/>
      <c r="AF191" s="447"/>
    </row>
    <row r="192" spans="24:32">
      <c r="X192" s="640"/>
      <c r="Y192" s="447"/>
      <c r="Z192" s="627"/>
      <c r="AC192" s="627"/>
      <c r="AD192" s="640"/>
      <c r="AE192" s="447"/>
      <c r="AF192" s="447"/>
    </row>
    <row r="193" spans="24:32">
      <c r="X193" s="640"/>
      <c r="Y193" s="447"/>
      <c r="Z193" s="627"/>
      <c r="AC193" s="627"/>
      <c r="AD193" s="640"/>
      <c r="AE193" s="447"/>
      <c r="AF193" s="447"/>
    </row>
    <row r="194" spans="24:32">
      <c r="X194" s="640"/>
      <c r="Y194" s="447"/>
      <c r="Z194" s="627"/>
      <c r="AC194" s="627"/>
      <c r="AD194" s="640"/>
      <c r="AE194" s="447"/>
      <c r="AF194" s="447"/>
    </row>
    <row r="195" spans="24:32">
      <c r="X195" s="640"/>
      <c r="Y195" s="447"/>
      <c r="Z195" s="627"/>
      <c r="AC195" s="627"/>
      <c r="AD195" s="640"/>
      <c r="AE195" s="447"/>
      <c r="AF195" s="447"/>
    </row>
    <row r="196" spans="24:32">
      <c r="X196" s="640"/>
      <c r="Y196" s="447"/>
      <c r="Z196" s="627"/>
      <c r="AC196" s="627"/>
      <c r="AD196" s="640"/>
      <c r="AE196" s="447"/>
      <c r="AF196" s="447"/>
    </row>
    <row r="197" spans="24:32">
      <c r="X197" s="640"/>
      <c r="Y197" s="447"/>
      <c r="Z197" s="627"/>
      <c r="AC197" s="627"/>
      <c r="AD197" s="640"/>
      <c r="AE197" s="447"/>
      <c r="AF197" s="447"/>
    </row>
    <row r="198" spans="24:32">
      <c r="X198" s="640"/>
      <c r="Y198" s="447"/>
      <c r="Z198" s="627"/>
      <c r="AC198" s="627"/>
      <c r="AD198" s="640"/>
      <c r="AE198" s="447"/>
      <c r="AF198" s="447"/>
    </row>
    <row r="199" spans="24:32">
      <c r="X199" s="640"/>
      <c r="Y199" s="447"/>
      <c r="Z199" s="627"/>
      <c r="AC199" s="627"/>
      <c r="AD199" s="640"/>
      <c r="AE199" s="447"/>
      <c r="AF199" s="447"/>
    </row>
    <row r="200" spans="24:32">
      <c r="X200" s="640"/>
      <c r="Y200" s="447"/>
      <c r="Z200" s="627"/>
      <c r="AC200" s="627"/>
      <c r="AD200" s="640"/>
      <c r="AE200" s="447"/>
      <c r="AF200" s="447"/>
    </row>
    <row r="201" spans="24:32">
      <c r="X201" s="640"/>
      <c r="Y201" s="447"/>
      <c r="Z201" s="627"/>
      <c r="AC201" s="627"/>
      <c r="AD201" s="640"/>
      <c r="AE201" s="447"/>
      <c r="AF201" s="447"/>
    </row>
    <row r="202" spans="24:32">
      <c r="X202" s="640"/>
      <c r="Y202" s="447"/>
      <c r="Z202" s="627"/>
      <c r="AC202" s="627"/>
      <c r="AD202" s="640"/>
      <c r="AE202" s="447"/>
      <c r="AF202" s="447"/>
    </row>
    <row r="203" spans="24:32">
      <c r="X203" s="640"/>
      <c r="Y203" s="447"/>
      <c r="Z203" s="627"/>
      <c r="AC203" s="627"/>
      <c r="AD203" s="640"/>
      <c r="AE203" s="447"/>
      <c r="AF203" s="447"/>
    </row>
    <row r="204" spans="24:32">
      <c r="X204" s="640"/>
      <c r="Y204" s="447"/>
      <c r="Z204" s="627"/>
      <c r="AC204" s="627"/>
      <c r="AD204" s="640"/>
      <c r="AE204" s="447"/>
      <c r="AF204" s="447"/>
    </row>
    <row r="205" spans="24:32">
      <c r="X205" s="640"/>
      <c r="Y205" s="447"/>
      <c r="Z205" s="627"/>
      <c r="AC205" s="627"/>
      <c r="AD205" s="640"/>
      <c r="AE205" s="447"/>
      <c r="AF205" s="447"/>
    </row>
    <row r="206" spans="24:32">
      <c r="X206" s="640"/>
      <c r="Y206" s="447"/>
      <c r="Z206" s="627"/>
      <c r="AC206" s="627"/>
      <c r="AD206" s="640"/>
      <c r="AE206" s="447"/>
      <c r="AF206" s="447"/>
    </row>
    <row r="207" spans="24:32">
      <c r="X207" s="640"/>
      <c r="Y207" s="447"/>
      <c r="Z207" s="627"/>
      <c r="AC207" s="627"/>
      <c r="AD207" s="640"/>
      <c r="AE207" s="447"/>
      <c r="AF207" s="447"/>
    </row>
    <row r="208" spans="24:32">
      <c r="X208" s="640"/>
      <c r="Y208" s="447"/>
      <c r="Z208" s="627"/>
      <c r="AC208" s="627"/>
      <c r="AD208" s="640"/>
      <c r="AE208" s="447"/>
      <c r="AF208" s="447"/>
    </row>
    <row r="209" spans="24:32">
      <c r="X209" s="640"/>
      <c r="Y209" s="447"/>
      <c r="Z209" s="627"/>
      <c r="AC209" s="627"/>
      <c r="AD209" s="640"/>
      <c r="AE209" s="447"/>
      <c r="AF209" s="447"/>
    </row>
    <row r="210" spans="24:32">
      <c r="X210" s="640"/>
      <c r="Y210" s="447"/>
      <c r="Z210" s="627"/>
      <c r="AC210" s="627"/>
      <c r="AD210" s="640"/>
      <c r="AE210" s="447"/>
      <c r="AF210" s="447"/>
    </row>
    <row r="211" spans="24:32">
      <c r="X211" s="640"/>
      <c r="Y211" s="447"/>
      <c r="Z211" s="627"/>
      <c r="AC211" s="627"/>
      <c r="AD211" s="640"/>
      <c r="AE211" s="447"/>
      <c r="AF211" s="447"/>
    </row>
    <row r="212" spans="24:32">
      <c r="X212" s="640"/>
      <c r="Y212" s="447"/>
      <c r="Z212" s="627"/>
      <c r="AC212" s="627"/>
      <c r="AD212" s="640"/>
      <c r="AE212" s="447"/>
      <c r="AF212" s="447"/>
    </row>
    <row r="213" spans="24:32">
      <c r="X213" s="640"/>
      <c r="Y213" s="447"/>
      <c r="Z213" s="627"/>
      <c r="AC213" s="627"/>
      <c r="AD213" s="640"/>
      <c r="AE213" s="447"/>
      <c r="AF213" s="447"/>
    </row>
    <row r="214" spans="24:32">
      <c r="X214" s="640"/>
      <c r="Y214" s="447"/>
      <c r="Z214" s="627"/>
      <c r="AC214" s="627"/>
      <c r="AD214" s="640"/>
      <c r="AE214" s="447"/>
      <c r="AF214" s="447"/>
    </row>
    <row r="215" spans="24:32">
      <c r="X215" s="640"/>
      <c r="Y215" s="447"/>
      <c r="Z215" s="627"/>
      <c r="AC215" s="627"/>
      <c r="AD215" s="640"/>
      <c r="AE215" s="447"/>
      <c r="AF215" s="447"/>
    </row>
    <row r="216" spans="24:32">
      <c r="X216" s="640"/>
      <c r="Y216" s="447"/>
      <c r="Z216" s="627"/>
      <c r="AC216" s="627"/>
      <c r="AD216" s="640"/>
      <c r="AE216" s="447"/>
      <c r="AF216" s="447"/>
    </row>
    <row r="217" spans="24:32">
      <c r="X217" s="640"/>
      <c r="Y217" s="447"/>
      <c r="Z217" s="627"/>
      <c r="AC217" s="627"/>
      <c r="AD217" s="640"/>
      <c r="AE217" s="447"/>
      <c r="AF217" s="447"/>
    </row>
    <row r="218" spans="24:32">
      <c r="X218" s="640"/>
      <c r="Y218" s="447"/>
      <c r="Z218" s="627"/>
      <c r="AC218" s="627"/>
      <c r="AD218" s="640"/>
      <c r="AE218" s="447"/>
      <c r="AF218" s="447"/>
    </row>
    <row r="219" spans="24:32">
      <c r="X219" s="640"/>
      <c r="Y219" s="447"/>
      <c r="Z219" s="627"/>
      <c r="AC219" s="627"/>
      <c r="AD219" s="640"/>
      <c r="AE219" s="447"/>
      <c r="AF219" s="447"/>
    </row>
    <row r="220" spans="24:32">
      <c r="X220" s="640"/>
      <c r="Y220" s="447"/>
      <c r="Z220" s="627"/>
      <c r="AC220" s="627"/>
      <c r="AD220" s="640"/>
      <c r="AE220" s="447"/>
      <c r="AF220" s="447"/>
    </row>
    <row r="221" spans="24:32">
      <c r="X221" s="640"/>
      <c r="Y221" s="447"/>
      <c r="Z221" s="627"/>
      <c r="AC221" s="627"/>
      <c r="AD221" s="640"/>
      <c r="AE221" s="447"/>
      <c r="AF221" s="447"/>
    </row>
    <row r="222" spans="24:32">
      <c r="X222" s="640"/>
      <c r="Y222" s="447"/>
      <c r="Z222" s="627"/>
      <c r="AC222" s="627"/>
      <c r="AD222" s="640"/>
      <c r="AE222" s="447"/>
      <c r="AF222" s="447"/>
    </row>
    <row r="223" spans="24:32">
      <c r="X223" s="640"/>
      <c r="Y223" s="447"/>
      <c r="Z223" s="627"/>
      <c r="AC223" s="627"/>
      <c r="AD223" s="640"/>
      <c r="AE223" s="447"/>
      <c r="AF223" s="447"/>
    </row>
    <row r="224" spans="24:32">
      <c r="X224" s="640"/>
      <c r="Y224" s="447"/>
      <c r="Z224" s="627"/>
      <c r="AC224" s="627"/>
      <c r="AD224" s="640"/>
      <c r="AE224" s="447"/>
      <c r="AF224" s="447"/>
    </row>
    <row r="225" spans="24:32">
      <c r="X225" s="640"/>
      <c r="Y225" s="447"/>
      <c r="Z225" s="627"/>
      <c r="AC225" s="627"/>
      <c r="AD225" s="640"/>
      <c r="AE225" s="447"/>
      <c r="AF225" s="447"/>
    </row>
    <row r="226" spans="24:32">
      <c r="X226" s="640"/>
      <c r="Y226" s="447"/>
      <c r="Z226" s="627"/>
      <c r="AC226" s="627"/>
      <c r="AD226" s="640"/>
      <c r="AE226" s="447"/>
      <c r="AF226" s="447"/>
    </row>
    <row r="227" spans="24:32">
      <c r="X227" s="640"/>
      <c r="Y227" s="447"/>
      <c r="Z227" s="627"/>
      <c r="AC227" s="627"/>
      <c r="AD227" s="640"/>
      <c r="AE227" s="447"/>
      <c r="AF227" s="447"/>
    </row>
    <row r="228" spans="24:32">
      <c r="X228" s="640"/>
      <c r="Y228" s="447"/>
      <c r="Z228" s="627"/>
      <c r="AC228" s="627"/>
      <c r="AD228" s="640"/>
      <c r="AE228" s="447"/>
      <c r="AF228" s="447"/>
    </row>
    <row r="229" spans="24:32">
      <c r="X229" s="640"/>
      <c r="Y229" s="447"/>
      <c r="Z229" s="627"/>
      <c r="AC229" s="627"/>
      <c r="AD229" s="640"/>
      <c r="AE229" s="447"/>
      <c r="AF229" s="447"/>
    </row>
    <row r="230" spans="24:32">
      <c r="X230" s="640"/>
      <c r="Y230" s="447"/>
      <c r="Z230" s="627"/>
      <c r="AC230" s="627"/>
      <c r="AD230" s="640"/>
      <c r="AE230" s="447"/>
      <c r="AF230" s="447"/>
    </row>
    <row r="231" spans="24:32">
      <c r="X231" s="640"/>
      <c r="Y231" s="447"/>
      <c r="Z231" s="627"/>
      <c r="AC231" s="627"/>
      <c r="AD231" s="640"/>
      <c r="AE231" s="447"/>
      <c r="AF231" s="447"/>
    </row>
    <row r="232" spans="24:32">
      <c r="X232" s="640"/>
      <c r="Y232" s="447"/>
      <c r="Z232" s="627"/>
      <c r="AC232" s="627"/>
      <c r="AD232" s="640"/>
      <c r="AE232" s="447"/>
      <c r="AF232" s="447"/>
    </row>
    <row r="233" spans="24:32">
      <c r="X233" s="640"/>
      <c r="Y233" s="447"/>
      <c r="Z233" s="627"/>
      <c r="AC233" s="627"/>
      <c r="AD233" s="640"/>
      <c r="AE233" s="447"/>
      <c r="AF233" s="447"/>
    </row>
    <row r="234" spans="24:32">
      <c r="X234" s="640"/>
      <c r="Y234" s="447"/>
      <c r="Z234" s="627"/>
      <c r="AC234" s="627"/>
      <c r="AD234" s="640"/>
      <c r="AE234" s="447"/>
      <c r="AF234" s="447"/>
    </row>
    <row r="235" spans="24:32">
      <c r="X235" s="640"/>
      <c r="Y235" s="447"/>
      <c r="Z235" s="627"/>
      <c r="AC235" s="627"/>
      <c r="AD235" s="640"/>
      <c r="AE235" s="447"/>
      <c r="AF235" s="447"/>
    </row>
    <row r="236" spans="24:32">
      <c r="X236" s="640"/>
      <c r="Y236" s="447"/>
      <c r="Z236" s="627"/>
      <c r="AC236" s="627"/>
      <c r="AD236" s="640"/>
      <c r="AE236" s="447"/>
      <c r="AF236" s="447"/>
    </row>
    <row r="237" spans="24:32">
      <c r="X237" s="640"/>
      <c r="Y237" s="447"/>
      <c r="Z237" s="627"/>
      <c r="AC237" s="627"/>
      <c r="AD237" s="640"/>
      <c r="AE237" s="447"/>
      <c r="AF237" s="447"/>
    </row>
    <row r="238" spans="24:32">
      <c r="X238" s="640"/>
      <c r="Y238" s="447"/>
      <c r="Z238" s="627"/>
      <c r="AC238" s="627"/>
      <c r="AD238" s="640"/>
      <c r="AE238" s="447"/>
      <c r="AF238" s="447"/>
    </row>
    <row r="239" spans="24:32">
      <c r="X239" s="640"/>
      <c r="Y239" s="447"/>
      <c r="Z239" s="627"/>
      <c r="AC239" s="627"/>
      <c r="AD239" s="640"/>
      <c r="AE239" s="447"/>
      <c r="AF239" s="447"/>
    </row>
    <row r="240" spans="24:32">
      <c r="X240" s="640"/>
      <c r="Y240" s="447"/>
      <c r="Z240" s="627"/>
      <c r="AC240" s="627"/>
      <c r="AD240" s="640"/>
      <c r="AE240" s="447"/>
      <c r="AF240" s="447"/>
    </row>
    <row r="241" spans="24:32">
      <c r="X241" s="640"/>
      <c r="Y241" s="447"/>
      <c r="Z241" s="627"/>
      <c r="AC241" s="627"/>
      <c r="AD241" s="640"/>
      <c r="AE241" s="447"/>
      <c r="AF241" s="447"/>
    </row>
    <row r="242" spans="24:32">
      <c r="X242" s="640"/>
      <c r="Y242" s="447"/>
      <c r="Z242" s="627"/>
      <c r="AC242" s="627"/>
      <c r="AD242" s="640"/>
      <c r="AE242" s="447"/>
      <c r="AF242" s="447"/>
    </row>
    <row r="243" spans="24:32">
      <c r="X243" s="640"/>
      <c r="Y243" s="447"/>
      <c r="Z243" s="627"/>
      <c r="AC243" s="627"/>
      <c r="AD243" s="640"/>
      <c r="AE243" s="447"/>
      <c r="AF243" s="447"/>
    </row>
    <row r="244" spans="24:32">
      <c r="X244" s="640"/>
      <c r="Y244" s="447"/>
      <c r="Z244" s="627"/>
      <c r="AC244" s="627"/>
      <c r="AD244" s="640"/>
      <c r="AE244" s="447"/>
      <c r="AF244" s="447"/>
    </row>
    <row r="245" spans="24:32">
      <c r="X245" s="640"/>
      <c r="Y245" s="447"/>
      <c r="Z245" s="627"/>
      <c r="AC245" s="627"/>
      <c r="AD245" s="640"/>
      <c r="AE245" s="447"/>
      <c r="AF245" s="447"/>
    </row>
    <row r="246" spans="24:32">
      <c r="X246" s="640"/>
      <c r="Y246" s="447"/>
      <c r="Z246" s="627"/>
      <c r="AC246" s="627"/>
      <c r="AD246" s="640"/>
      <c r="AE246" s="447"/>
      <c r="AF246" s="447"/>
    </row>
    <row r="247" spans="24:32">
      <c r="X247" s="640"/>
      <c r="Y247" s="447"/>
      <c r="Z247" s="627"/>
      <c r="AC247" s="627"/>
      <c r="AD247" s="640"/>
      <c r="AE247" s="447"/>
      <c r="AF247" s="447"/>
    </row>
    <row r="248" spans="24:32">
      <c r="X248" s="640"/>
      <c r="Y248" s="447"/>
      <c r="Z248" s="627"/>
      <c r="AC248" s="627"/>
      <c r="AD248" s="640"/>
      <c r="AE248" s="447"/>
      <c r="AF248" s="447"/>
    </row>
    <row r="249" spans="24:32">
      <c r="X249" s="640"/>
      <c r="Y249" s="447"/>
      <c r="Z249" s="627"/>
      <c r="AC249" s="627"/>
      <c r="AD249" s="640"/>
      <c r="AE249" s="447"/>
      <c r="AF249" s="447"/>
    </row>
    <row r="250" spans="24:32">
      <c r="X250" s="640"/>
      <c r="Y250" s="447"/>
      <c r="Z250" s="627"/>
      <c r="AC250" s="627"/>
      <c r="AD250" s="640"/>
      <c r="AE250" s="447"/>
      <c r="AF250" s="447"/>
    </row>
    <row r="251" spans="24:32">
      <c r="X251" s="640"/>
      <c r="Y251" s="447"/>
      <c r="Z251" s="627"/>
      <c r="AC251" s="627"/>
      <c r="AD251" s="640"/>
      <c r="AE251" s="447"/>
      <c r="AF251" s="447"/>
    </row>
    <row r="252" spans="24:32">
      <c r="X252" s="640"/>
      <c r="Y252" s="447"/>
      <c r="Z252" s="627"/>
      <c r="AC252" s="627"/>
      <c r="AD252" s="640"/>
      <c r="AE252" s="447"/>
      <c r="AF252" s="447"/>
    </row>
    <row r="253" spans="24:32">
      <c r="X253" s="640"/>
      <c r="Y253" s="447"/>
      <c r="Z253" s="627"/>
      <c r="AC253" s="627"/>
      <c r="AD253" s="640"/>
      <c r="AE253" s="447"/>
      <c r="AF253" s="447"/>
    </row>
  </sheetData>
  <sheetProtection algorithmName="SHA-512" hashValue="Jmv/K4g6eiK52mfr9rWfr4u6Lq9PYj/oERkFKtrfIXj9qe8P5ly1VrsPCLAA9OpUb1fL64bgdHpt7z3XMEpvsA==" saltValue="0FIvokWZaTQtsvkOxUB0gQ==" spinCount="100000" sheet="1" formatCells="0" formatColumns="0" formatRows="0" insertColumns="0" insertRows="0" sort="0" autoFilter="0"/>
  <conditionalFormatting sqref="G1:G1048576">
    <cfRule type="cellIs" dxfId="56" priority="11" operator="equal">
      <formula>"No diligenciar, no programo presupuesto"</formula>
    </cfRule>
    <cfRule type="cellIs" dxfId="55" priority="12" operator="equal">
      <formula>"Diligenciar la vigencia, tiene presupuesto programado"</formula>
    </cfRule>
  </conditionalFormatting>
  <conditionalFormatting sqref="M1:M1048576">
    <cfRule type="cellIs" dxfId="54" priority="9" operator="equal">
      <formula>"No diligenciar, no programo presupuesto"</formula>
    </cfRule>
    <cfRule type="cellIs" dxfId="53" priority="10" operator="equal">
      <formula>"Diligenciar la vigencia, tiene presupuesto programado"</formula>
    </cfRule>
  </conditionalFormatting>
  <conditionalFormatting sqref="S1:S1048576">
    <cfRule type="cellIs" dxfId="52" priority="7" operator="equal">
      <formula>"No diligenciar, no programo presupuesto"</formula>
    </cfRule>
    <cfRule type="cellIs" dxfId="51" priority="8" operator="equal">
      <formula>"Diligenciar la vigencia, tiene presupuesto programado"</formula>
    </cfRule>
  </conditionalFormatting>
  <conditionalFormatting sqref="Y1:Y100 Y254:Y1048576">
    <cfRule type="cellIs" dxfId="50" priority="5" operator="equal">
      <formula>"No diligenciar, no programo presupuesto"</formula>
    </cfRule>
    <cfRule type="cellIs" dxfId="49" priority="6" operator="equal">
      <formula>"Diligenciar la vigencia, tiene presupuesto programado"</formula>
    </cfRule>
  </conditionalFormatting>
  <conditionalFormatting sqref="AE1">
    <cfRule type="cellIs" dxfId="48" priority="3" operator="equal">
      <formula>"No diligenciar, no programo presupuesto"</formula>
    </cfRule>
    <cfRule type="cellIs" dxfId="47" priority="4" operator="equal">
      <formula>"Diligenciar la vigencia, tiene presupuesto programado"</formula>
    </cfRule>
  </conditionalFormatting>
  <conditionalFormatting sqref="AF1:AF100">
    <cfRule type="cellIs" dxfId="46" priority="1" operator="equal">
      <formula>"Ok, Continue"</formula>
    </cfRule>
    <cfRule type="cellIs" dxfId="45" priority="2" operator="equal">
      <formula>"Error, el promedio no coincide con la meta del cuatrienio"</formula>
    </cfRule>
  </conditionalFormatting>
  <conditionalFormatting sqref="AF254:AF1048576">
    <cfRule type="cellIs" dxfId="44" priority="13" operator="equal">
      <formula>"Ok, Continue"</formula>
    </cfRule>
    <cfRule type="cellIs" dxfId="43" priority="14" operator="equal">
      <formula>"Error, el promedio no coincide con la meta del cuatrienio"</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32E35-AA16-428B-9322-22ED7B41BAB5}">
  <dimension ref="A1:R43"/>
  <sheetViews>
    <sheetView workbookViewId="0">
      <selection sqref="A1:A1048576"/>
    </sheetView>
  </sheetViews>
  <sheetFormatPr baseColWidth="10" defaultColWidth="10.69921875" defaultRowHeight="10.199999999999999"/>
  <cols>
    <col min="1" max="1" width="19.3984375" style="604" customWidth="1"/>
    <col min="2" max="2" width="3.19921875" style="604" bestFit="1" customWidth="1"/>
    <col min="3" max="3" width="9.19921875" style="604" customWidth="1"/>
    <col min="4" max="4" width="7.796875" style="604" customWidth="1"/>
    <col min="5" max="5" width="15.19921875" style="604" customWidth="1"/>
    <col min="6" max="15" width="10.69921875" style="604"/>
    <col min="16" max="16" width="11.796875" style="604" customWidth="1"/>
    <col min="17" max="17" width="10.69921875" style="604"/>
    <col min="18" max="18" width="12.296875" style="604" customWidth="1"/>
    <col min="19" max="16384" width="10.69921875" style="604"/>
  </cols>
  <sheetData>
    <row r="1" spans="1:18" ht="16.05" customHeight="1">
      <c r="A1" s="605" t="s">
        <v>2348</v>
      </c>
      <c r="B1" s="605" t="s">
        <v>6746</v>
      </c>
      <c r="C1" s="605" t="s">
        <v>6747</v>
      </c>
      <c r="D1" s="605" t="s">
        <v>5040</v>
      </c>
      <c r="E1" s="605" t="s">
        <v>3991</v>
      </c>
      <c r="F1" s="605" t="s">
        <v>3992</v>
      </c>
      <c r="G1" s="605" t="s">
        <v>3993</v>
      </c>
      <c r="H1" s="605" t="s">
        <v>3994</v>
      </c>
      <c r="I1" s="605" t="s">
        <v>0</v>
      </c>
      <c r="J1" s="605" t="s">
        <v>2347</v>
      </c>
      <c r="K1" s="606" t="s">
        <v>3995</v>
      </c>
      <c r="L1" s="605" t="s">
        <v>3996</v>
      </c>
      <c r="M1" s="605" t="s">
        <v>3997</v>
      </c>
      <c r="N1" s="605" t="s">
        <v>5660</v>
      </c>
      <c r="O1" s="607" t="s">
        <v>753</v>
      </c>
      <c r="P1" s="605" t="s">
        <v>3998</v>
      </c>
      <c r="Q1" s="605" t="s">
        <v>3999</v>
      </c>
      <c r="R1" s="605" t="s">
        <v>2348</v>
      </c>
    </row>
    <row r="2" spans="1:18" ht="16.05" customHeight="1">
      <c r="A2" s="615" t="s">
        <v>4031</v>
      </c>
      <c r="B2" s="608">
        <v>24</v>
      </c>
      <c r="C2" s="608" t="s">
        <v>6748</v>
      </c>
      <c r="D2" s="608" t="s">
        <v>686</v>
      </c>
      <c r="E2" s="609" t="s">
        <v>4004</v>
      </c>
      <c r="F2" s="609" t="s">
        <v>4045</v>
      </c>
      <c r="G2" s="609" t="s">
        <v>4046</v>
      </c>
      <c r="H2" s="609" t="s">
        <v>4047</v>
      </c>
      <c r="I2" s="610">
        <v>22</v>
      </c>
      <c r="J2" s="609" t="s">
        <v>4048</v>
      </c>
      <c r="K2" s="611">
        <v>220107600</v>
      </c>
      <c r="L2" s="612" t="s">
        <v>4058</v>
      </c>
      <c r="M2" s="612" t="s">
        <v>4059</v>
      </c>
      <c r="N2" s="612" t="s">
        <v>5679</v>
      </c>
      <c r="O2" s="613">
        <v>55</v>
      </c>
      <c r="P2" s="609" t="s">
        <v>6419</v>
      </c>
      <c r="Q2" s="614">
        <v>55</v>
      </c>
      <c r="R2" s="615" t="s">
        <v>4031</v>
      </c>
    </row>
    <row r="3" spans="1:18" ht="16.05" customHeight="1">
      <c r="A3" s="615" t="s">
        <v>4031</v>
      </c>
      <c r="B3" s="608">
        <v>24</v>
      </c>
      <c r="C3" s="608" t="s">
        <v>6749</v>
      </c>
      <c r="D3" s="608" t="s">
        <v>685</v>
      </c>
      <c r="E3" s="609" t="s">
        <v>4004</v>
      </c>
      <c r="F3" s="609" t="s">
        <v>4045</v>
      </c>
      <c r="G3" s="609" t="s">
        <v>4046</v>
      </c>
      <c r="H3" s="609" t="s">
        <v>4047</v>
      </c>
      <c r="I3" s="610">
        <v>22</v>
      </c>
      <c r="J3" s="609" t="s">
        <v>4048</v>
      </c>
      <c r="K3" s="611">
        <v>220107600</v>
      </c>
      <c r="L3" s="612" t="s">
        <v>4058</v>
      </c>
      <c r="M3" s="612" t="s">
        <v>4059</v>
      </c>
      <c r="N3" s="612" t="s">
        <v>5679</v>
      </c>
      <c r="O3" s="613">
        <v>55</v>
      </c>
      <c r="P3" s="609" t="s">
        <v>6419</v>
      </c>
      <c r="Q3" s="614">
        <v>40</v>
      </c>
      <c r="R3" s="615" t="s">
        <v>4031</v>
      </c>
    </row>
    <row r="4" spans="1:18" ht="16.05" customHeight="1">
      <c r="A4" s="615" t="s">
        <v>4101</v>
      </c>
      <c r="B4" s="608">
        <v>54</v>
      </c>
      <c r="C4" s="608" t="s">
        <v>6750</v>
      </c>
      <c r="D4" s="608" t="s">
        <v>686</v>
      </c>
      <c r="E4" s="609" t="s">
        <v>4004</v>
      </c>
      <c r="F4" s="609" t="s">
        <v>4096</v>
      </c>
      <c r="G4" s="609" t="s">
        <v>6374</v>
      </c>
      <c r="H4" s="609" t="s">
        <v>4097</v>
      </c>
      <c r="I4" s="610">
        <v>33</v>
      </c>
      <c r="J4" s="609" t="s">
        <v>4098</v>
      </c>
      <c r="K4" s="611">
        <v>330106400</v>
      </c>
      <c r="L4" s="612" t="s">
        <v>4073</v>
      </c>
      <c r="M4" s="612" t="s">
        <v>4104</v>
      </c>
      <c r="N4" s="612" t="s">
        <v>5703</v>
      </c>
      <c r="O4" s="613">
        <v>100</v>
      </c>
      <c r="P4" s="609" t="s">
        <v>4100</v>
      </c>
      <c r="Q4" s="614">
        <v>100</v>
      </c>
      <c r="R4" s="615" t="s">
        <v>4101</v>
      </c>
    </row>
    <row r="5" spans="1:18" ht="16.05" customHeight="1">
      <c r="A5" s="615" t="s">
        <v>4101</v>
      </c>
      <c r="B5" s="608">
        <v>54</v>
      </c>
      <c r="C5" s="608" t="s">
        <v>6751</v>
      </c>
      <c r="D5" s="608" t="s">
        <v>685</v>
      </c>
      <c r="E5" s="609" t="s">
        <v>4004</v>
      </c>
      <c r="F5" s="609" t="s">
        <v>4096</v>
      </c>
      <c r="G5" s="609" t="s">
        <v>6374</v>
      </c>
      <c r="H5" s="609" t="s">
        <v>4097</v>
      </c>
      <c r="I5" s="610">
        <v>33</v>
      </c>
      <c r="J5" s="609" t="s">
        <v>4098</v>
      </c>
      <c r="K5" s="611">
        <v>330106400</v>
      </c>
      <c r="L5" s="612" t="s">
        <v>4073</v>
      </c>
      <c r="M5" s="612" t="s">
        <v>4104</v>
      </c>
      <c r="N5" s="612" t="s">
        <v>5703</v>
      </c>
      <c r="O5" s="613">
        <v>100</v>
      </c>
      <c r="P5" s="609" t="s">
        <v>4100</v>
      </c>
      <c r="Q5" s="614">
        <v>23</v>
      </c>
      <c r="R5" s="615" t="s">
        <v>4101</v>
      </c>
    </row>
    <row r="6" spans="1:18" ht="16.05" customHeight="1">
      <c r="A6" s="615" t="s">
        <v>4101</v>
      </c>
      <c r="B6" s="608">
        <v>55</v>
      </c>
      <c r="C6" s="608" t="s">
        <v>6752</v>
      </c>
      <c r="D6" s="608" t="s">
        <v>686</v>
      </c>
      <c r="E6" s="609" t="s">
        <v>4004</v>
      </c>
      <c r="F6" s="609" t="s">
        <v>4096</v>
      </c>
      <c r="G6" s="609" t="s">
        <v>6374</v>
      </c>
      <c r="H6" s="609" t="s">
        <v>4097</v>
      </c>
      <c r="I6" s="610">
        <v>33</v>
      </c>
      <c r="J6" s="609" t="s">
        <v>4098</v>
      </c>
      <c r="K6" s="611">
        <v>330112600</v>
      </c>
      <c r="L6" s="612" t="s">
        <v>4106</v>
      </c>
      <c r="M6" s="612" t="s">
        <v>4107</v>
      </c>
      <c r="N6" s="612" t="s">
        <v>5704</v>
      </c>
      <c r="O6" s="613">
        <v>2</v>
      </c>
      <c r="P6" s="609" t="s">
        <v>4100</v>
      </c>
      <c r="Q6" s="614">
        <v>2</v>
      </c>
      <c r="R6" s="615" t="s">
        <v>4101</v>
      </c>
    </row>
    <row r="7" spans="1:18" ht="16.05" customHeight="1">
      <c r="A7" s="615" t="s">
        <v>4101</v>
      </c>
      <c r="B7" s="608">
        <v>55</v>
      </c>
      <c r="C7" s="608" t="s">
        <v>6753</v>
      </c>
      <c r="D7" s="608" t="s">
        <v>685</v>
      </c>
      <c r="E7" s="609" t="s">
        <v>4004</v>
      </c>
      <c r="F7" s="609" t="s">
        <v>4096</v>
      </c>
      <c r="G7" s="609" t="s">
        <v>6374</v>
      </c>
      <c r="H7" s="609" t="s">
        <v>4097</v>
      </c>
      <c r="I7" s="610">
        <v>33</v>
      </c>
      <c r="J7" s="609" t="s">
        <v>4098</v>
      </c>
      <c r="K7" s="611">
        <v>330112600</v>
      </c>
      <c r="L7" s="612" t="s">
        <v>4106</v>
      </c>
      <c r="M7" s="612" t="s">
        <v>4107</v>
      </c>
      <c r="N7" s="612" t="s">
        <v>5704</v>
      </c>
      <c r="O7" s="613">
        <v>2</v>
      </c>
      <c r="P7" s="609" t="s">
        <v>4100</v>
      </c>
      <c r="Q7" s="614">
        <v>5</v>
      </c>
      <c r="R7" s="615" t="s">
        <v>4101</v>
      </c>
    </row>
    <row r="8" spans="1:18" ht="16.05" customHeight="1">
      <c r="A8" s="615" t="s">
        <v>4170</v>
      </c>
      <c r="B8" s="608">
        <v>97</v>
      </c>
      <c r="C8" s="608" t="s">
        <v>6754</v>
      </c>
      <c r="D8" s="608" t="s">
        <v>686</v>
      </c>
      <c r="E8" s="609" t="s">
        <v>4004</v>
      </c>
      <c r="F8" s="609" t="s">
        <v>4165</v>
      </c>
      <c r="G8" s="609" t="s">
        <v>4166</v>
      </c>
      <c r="H8" s="609" t="s">
        <v>4167</v>
      </c>
      <c r="I8" s="610">
        <v>45</v>
      </c>
      <c r="J8" s="609" t="s">
        <v>4180</v>
      </c>
      <c r="K8" s="611">
        <v>459902500</v>
      </c>
      <c r="L8" s="612" t="s">
        <v>4181</v>
      </c>
      <c r="M8" s="612" t="s">
        <v>4182</v>
      </c>
      <c r="N8" s="612" t="s">
        <v>5738</v>
      </c>
      <c r="O8" s="613">
        <v>1</v>
      </c>
      <c r="P8" s="609" t="s">
        <v>6457</v>
      </c>
      <c r="Q8" s="614">
        <v>1</v>
      </c>
      <c r="R8" s="615" t="s">
        <v>4170</v>
      </c>
    </row>
    <row r="9" spans="1:18" ht="16.05" customHeight="1">
      <c r="A9" s="615" t="s">
        <v>4170</v>
      </c>
      <c r="B9" s="608">
        <v>97</v>
      </c>
      <c r="C9" s="608" t="s">
        <v>6755</v>
      </c>
      <c r="D9" s="608" t="s">
        <v>685</v>
      </c>
      <c r="E9" s="609" t="s">
        <v>4004</v>
      </c>
      <c r="F9" s="609" t="s">
        <v>4165</v>
      </c>
      <c r="G9" s="609" t="s">
        <v>4166</v>
      </c>
      <c r="H9" s="609" t="s">
        <v>4167</v>
      </c>
      <c r="I9" s="610">
        <v>45</v>
      </c>
      <c r="J9" s="609" t="s">
        <v>4180</v>
      </c>
      <c r="K9" s="611">
        <v>459902500</v>
      </c>
      <c r="L9" s="612" t="s">
        <v>4181</v>
      </c>
      <c r="M9" s="612" t="s">
        <v>4182</v>
      </c>
      <c r="N9" s="612" t="s">
        <v>5738</v>
      </c>
      <c r="O9" s="613">
        <v>1</v>
      </c>
      <c r="P9" s="609" t="s">
        <v>6457</v>
      </c>
      <c r="Q9" s="614">
        <v>1</v>
      </c>
      <c r="R9" s="615" t="s">
        <v>4170</v>
      </c>
    </row>
    <row r="10" spans="1:18" ht="16.05" customHeight="1">
      <c r="A10" s="615" t="s">
        <v>4170</v>
      </c>
      <c r="B10" s="608">
        <v>114</v>
      </c>
      <c r="C10" s="608" t="s">
        <v>6756</v>
      </c>
      <c r="D10" s="608" t="s">
        <v>686</v>
      </c>
      <c r="E10" s="609" t="s">
        <v>4004</v>
      </c>
      <c r="F10" s="609" t="s">
        <v>4199</v>
      </c>
      <c r="G10" s="609" t="s">
        <v>4205</v>
      </c>
      <c r="H10" s="609" t="s">
        <v>4206</v>
      </c>
      <c r="I10" s="610">
        <v>45</v>
      </c>
      <c r="J10" s="609" t="s">
        <v>4209</v>
      </c>
      <c r="K10" s="611">
        <v>450200101</v>
      </c>
      <c r="L10" s="612" t="s">
        <v>4210</v>
      </c>
      <c r="M10" s="612" t="s">
        <v>4213</v>
      </c>
      <c r="N10" s="612" t="s">
        <v>5751</v>
      </c>
      <c r="O10" s="613">
        <v>5</v>
      </c>
      <c r="P10" s="609" t="s">
        <v>4208</v>
      </c>
      <c r="Q10" s="614">
        <v>5</v>
      </c>
      <c r="R10" s="615" t="s">
        <v>4170</v>
      </c>
    </row>
    <row r="11" spans="1:18" ht="16.05" customHeight="1">
      <c r="A11" s="615" t="s">
        <v>4170</v>
      </c>
      <c r="B11" s="608">
        <v>114</v>
      </c>
      <c r="C11" s="608" t="s">
        <v>6757</v>
      </c>
      <c r="D11" s="608" t="s">
        <v>685</v>
      </c>
      <c r="E11" s="609" t="s">
        <v>4004</v>
      </c>
      <c r="F11" s="609" t="s">
        <v>4199</v>
      </c>
      <c r="G11" s="609" t="s">
        <v>4205</v>
      </c>
      <c r="H11" s="609" t="s">
        <v>4206</v>
      </c>
      <c r="I11" s="610">
        <v>45</v>
      </c>
      <c r="J11" s="609" t="s">
        <v>4209</v>
      </c>
      <c r="K11" s="611">
        <v>450200101</v>
      </c>
      <c r="L11" s="612" t="s">
        <v>4210</v>
      </c>
      <c r="M11" s="612" t="s">
        <v>4213</v>
      </c>
      <c r="N11" s="612" t="s">
        <v>5751</v>
      </c>
      <c r="O11" s="613">
        <v>5</v>
      </c>
      <c r="P11" s="609" t="s">
        <v>4208</v>
      </c>
      <c r="Q11" s="614">
        <v>5</v>
      </c>
      <c r="R11" s="615" t="s">
        <v>4170</v>
      </c>
    </row>
    <row r="12" spans="1:18" ht="16.05" customHeight="1">
      <c r="A12" s="615" t="s">
        <v>4223</v>
      </c>
      <c r="B12" s="608">
        <v>131</v>
      </c>
      <c r="C12" s="608" t="s">
        <v>6758</v>
      </c>
      <c r="D12" s="608" t="s">
        <v>686</v>
      </c>
      <c r="E12" s="609" t="s">
        <v>4004</v>
      </c>
      <c r="F12" s="609" t="s">
        <v>4199</v>
      </c>
      <c r="G12" s="609" t="s">
        <v>4232</v>
      </c>
      <c r="H12" s="609" t="s">
        <v>4233</v>
      </c>
      <c r="I12" s="610">
        <v>41</v>
      </c>
      <c r="J12" s="609" t="s">
        <v>4242</v>
      </c>
      <c r="K12" s="611">
        <v>410204700</v>
      </c>
      <c r="L12" s="612" t="s">
        <v>4243</v>
      </c>
      <c r="M12" s="612" t="s">
        <v>4244</v>
      </c>
      <c r="N12" s="616" t="s">
        <v>6472</v>
      </c>
      <c r="O12" s="613">
        <v>65</v>
      </c>
      <c r="P12" s="609" t="s">
        <v>4245</v>
      </c>
      <c r="Q12" s="614">
        <v>65</v>
      </c>
      <c r="R12" s="615" t="s">
        <v>4223</v>
      </c>
    </row>
    <row r="13" spans="1:18" ht="16.05" customHeight="1">
      <c r="A13" s="615" t="s">
        <v>4223</v>
      </c>
      <c r="B13" s="608">
        <v>131</v>
      </c>
      <c r="C13" s="608" t="s">
        <v>6759</v>
      </c>
      <c r="D13" s="608" t="s">
        <v>685</v>
      </c>
      <c r="E13" s="609" t="s">
        <v>4004</v>
      </c>
      <c r="F13" s="609" t="s">
        <v>4199</v>
      </c>
      <c r="G13" s="609" t="s">
        <v>4232</v>
      </c>
      <c r="H13" s="609" t="s">
        <v>4233</v>
      </c>
      <c r="I13" s="610">
        <v>41</v>
      </c>
      <c r="J13" s="609" t="s">
        <v>4242</v>
      </c>
      <c r="K13" s="611">
        <v>410204700</v>
      </c>
      <c r="L13" s="612" t="s">
        <v>4243</v>
      </c>
      <c r="M13" s="612" t="s">
        <v>4244</v>
      </c>
      <c r="N13" s="616" t="s">
        <v>6472</v>
      </c>
      <c r="O13" s="613">
        <v>65</v>
      </c>
      <c r="P13" s="609" t="s">
        <v>4245</v>
      </c>
      <c r="Q13" s="614">
        <f>123-65</f>
        <v>58</v>
      </c>
      <c r="R13" s="615" t="s">
        <v>4223</v>
      </c>
    </row>
    <row r="14" spans="1:18" ht="16.05" customHeight="1">
      <c r="A14" s="615" t="s">
        <v>4431</v>
      </c>
      <c r="B14" s="608">
        <v>213</v>
      </c>
      <c r="C14" s="608" t="s">
        <v>6760</v>
      </c>
      <c r="D14" s="608" t="s">
        <v>686</v>
      </c>
      <c r="E14" s="609" t="s">
        <v>4255</v>
      </c>
      <c r="F14" s="609" t="s">
        <v>4422</v>
      </c>
      <c r="G14" s="609" t="s">
        <v>4423</v>
      </c>
      <c r="H14" s="609" t="s">
        <v>4424</v>
      </c>
      <c r="I14" s="610">
        <v>24</v>
      </c>
      <c r="J14" s="609" t="s">
        <v>4432</v>
      </c>
      <c r="K14" s="611">
        <v>240211200</v>
      </c>
      <c r="L14" s="612" t="s">
        <v>4436</v>
      </c>
      <c r="M14" s="612" t="s">
        <v>4444</v>
      </c>
      <c r="N14" s="612" t="s">
        <v>5836</v>
      </c>
      <c r="O14" s="617">
        <v>1000</v>
      </c>
      <c r="P14" s="609" t="s">
        <v>6501</v>
      </c>
      <c r="Q14" s="611">
        <v>1000</v>
      </c>
      <c r="R14" s="615" t="s">
        <v>4431</v>
      </c>
    </row>
    <row r="15" spans="1:18" ht="16.05" customHeight="1">
      <c r="A15" s="615" t="s">
        <v>4431</v>
      </c>
      <c r="B15" s="608">
        <v>213</v>
      </c>
      <c r="C15" s="608" t="s">
        <v>6761</v>
      </c>
      <c r="D15" s="608" t="s">
        <v>685</v>
      </c>
      <c r="E15" s="609" t="s">
        <v>4255</v>
      </c>
      <c r="F15" s="609" t="s">
        <v>4422</v>
      </c>
      <c r="G15" s="609" t="s">
        <v>4423</v>
      </c>
      <c r="H15" s="609" t="s">
        <v>4424</v>
      </c>
      <c r="I15" s="610">
        <v>24</v>
      </c>
      <c r="J15" s="609" t="s">
        <v>4432</v>
      </c>
      <c r="K15" s="611">
        <v>240211200</v>
      </c>
      <c r="L15" s="612" t="s">
        <v>4436</v>
      </c>
      <c r="M15" s="612" t="s">
        <v>4444</v>
      </c>
      <c r="N15" s="612" t="s">
        <v>5836</v>
      </c>
      <c r="O15" s="617">
        <v>1000</v>
      </c>
      <c r="P15" s="609" t="s">
        <v>6501</v>
      </c>
      <c r="Q15" s="611">
        <v>1000</v>
      </c>
      <c r="R15" s="615" t="s">
        <v>4431</v>
      </c>
    </row>
    <row r="16" spans="1:18" ht="16.05" customHeight="1">
      <c r="A16" s="615" t="s">
        <v>4431</v>
      </c>
      <c r="B16" s="608">
        <v>221</v>
      </c>
      <c r="C16" s="608" t="s">
        <v>6762</v>
      </c>
      <c r="D16" s="608" t="s">
        <v>686</v>
      </c>
      <c r="E16" s="609" t="s">
        <v>4255</v>
      </c>
      <c r="F16" s="609" t="s">
        <v>4422</v>
      </c>
      <c r="G16" s="609" t="s">
        <v>4455</v>
      </c>
      <c r="H16" s="609" t="s">
        <v>4456</v>
      </c>
      <c r="I16" s="610">
        <v>24</v>
      </c>
      <c r="J16" s="609" t="s">
        <v>4461</v>
      </c>
      <c r="K16" s="611">
        <v>240300200</v>
      </c>
      <c r="L16" s="612" t="s">
        <v>4462</v>
      </c>
      <c r="M16" s="612" t="s">
        <v>4463</v>
      </c>
      <c r="N16" s="612" t="s">
        <v>6190</v>
      </c>
      <c r="O16" s="618">
        <v>1</v>
      </c>
      <c r="P16" s="609" t="s">
        <v>4460</v>
      </c>
      <c r="Q16" s="611">
        <v>1</v>
      </c>
      <c r="R16" s="615" t="s">
        <v>4431</v>
      </c>
    </row>
    <row r="17" spans="1:18" ht="16.05" customHeight="1">
      <c r="A17" s="615" t="s">
        <v>4431</v>
      </c>
      <c r="B17" s="608">
        <v>221</v>
      </c>
      <c r="C17" s="608" t="s">
        <v>6763</v>
      </c>
      <c r="D17" s="608" t="s">
        <v>685</v>
      </c>
      <c r="E17" s="609" t="s">
        <v>4255</v>
      </c>
      <c r="F17" s="609" t="s">
        <v>4422</v>
      </c>
      <c r="G17" s="609" t="s">
        <v>4455</v>
      </c>
      <c r="H17" s="609" t="s">
        <v>4456</v>
      </c>
      <c r="I17" s="610">
        <v>24</v>
      </c>
      <c r="J17" s="609" t="s">
        <v>4461</v>
      </c>
      <c r="K17" s="611">
        <v>240300200</v>
      </c>
      <c r="L17" s="612" t="s">
        <v>4462</v>
      </c>
      <c r="M17" s="612" t="s">
        <v>4463</v>
      </c>
      <c r="N17" s="612" t="s">
        <v>6190</v>
      </c>
      <c r="O17" s="618">
        <v>1</v>
      </c>
      <c r="P17" s="609" t="s">
        <v>4460</v>
      </c>
      <c r="Q17" s="611">
        <v>4</v>
      </c>
      <c r="R17" s="615" t="s">
        <v>4431</v>
      </c>
    </row>
    <row r="18" spans="1:18" ht="16.05" customHeight="1">
      <c r="A18" s="615" t="s">
        <v>1250</v>
      </c>
      <c r="B18" s="608">
        <v>227</v>
      </c>
      <c r="C18" s="608" t="s">
        <v>6764</v>
      </c>
      <c r="D18" s="608" t="s">
        <v>686</v>
      </c>
      <c r="E18" s="609" t="s">
        <v>4255</v>
      </c>
      <c r="F18" s="609" t="s">
        <v>4422</v>
      </c>
      <c r="G18" s="609" t="s">
        <v>4470</v>
      </c>
      <c r="H18" s="609" t="s">
        <v>4471</v>
      </c>
      <c r="I18" s="610">
        <v>24</v>
      </c>
      <c r="J18" s="609" t="s">
        <v>4472</v>
      </c>
      <c r="K18" s="611">
        <v>240900800</v>
      </c>
      <c r="L18" s="612" t="s">
        <v>4063</v>
      </c>
      <c r="M18" s="612" t="s">
        <v>4112</v>
      </c>
      <c r="N18" s="612" t="s">
        <v>5846</v>
      </c>
      <c r="O18" s="618">
        <v>20</v>
      </c>
      <c r="P18" s="609" t="s">
        <v>4475</v>
      </c>
      <c r="Q18" s="611">
        <v>20</v>
      </c>
      <c r="R18" s="615" t="s">
        <v>1250</v>
      </c>
    </row>
    <row r="19" spans="1:18" ht="16.05" customHeight="1">
      <c r="A19" s="615" t="s">
        <v>1250</v>
      </c>
      <c r="B19" s="608">
        <v>227</v>
      </c>
      <c r="C19" s="608" t="s">
        <v>6763</v>
      </c>
      <c r="D19" s="608" t="s">
        <v>685</v>
      </c>
      <c r="E19" s="609" t="s">
        <v>4255</v>
      </c>
      <c r="F19" s="609" t="s">
        <v>4422</v>
      </c>
      <c r="G19" s="609" t="s">
        <v>4470</v>
      </c>
      <c r="H19" s="609" t="s">
        <v>4471</v>
      </c>
      <c r="I19" s="610">
        <v>24</v>
      </c>
      <c r="J19" s="609" t="s">
        <v>4472</v>
      </c>
      <c r="K19" s="611">
        <v>240900800</v>
      </c>
      <c r="L19" s="612" t="s">
        <v>4063</v>
      </c>
      <c r="M19" s="612" t="s">
        <v>4112</v>
      </c>
      <c r="N19" s="612" t="s">
        <v>5846</v>
      </c>
      <c r="O19" s="618">
        <v>20</v>
      </c>
      <c r="P19" s="609" t="s">
        <v>4475</v>
      </c>
      <c r="Q19" s="611">
        <v>4</v>
      </c>
      <c r="R19" s="615" t="s">
        <v>1250</v>
      </c>
    </row>
    <row r="20" spans="1:18" ht="16.05" customHeight="1">
      <c r="A20" s="615" t="s">
        <v>1250</v>
      </c>
      <c r="B20" s="608">
        <v>229</v>
      </c>
      <c r="C20" s="608" t="s">
        <v>6765</v>
      </c>
      <c r="D20" s="608" t="s">
        <v>686</v>
      </c>
      <c r="E20" s="609" t="s">
        <v>4255</v>
      </c>
      <c r="F20" s="609" t="s">
        <v>4422</v>
      </c>
      <c r="G20" s="609" t="s">
        <v>4470</v>
      </c>
      <c r="H20" s="609" t="s">
        <v>4471</v>
      </c>
      <c r="I20" s="610">
        <v>24</v>
      </c>
      <c r="J20" s="609" t="s">
        <v>4472</v>
      </c>
      <c r="K20" s="611">
        <v>240900400</v>
      </c>
      <c r="L20" s="612" t="s">
        <v>4479</v>
      </c>
      <c r="M20" s="612" t="s">
        <v>4480</v>
      </c>
      <c r="N20" s="612" t="s">
        <v>5848</v>
      </c>
      <c r="O20" s="618">
        <v>739</v>
      </c>
      <c r="P20" s="609" t="s">
        <v>4475</v>
      </c>
      <c r="Q20" s="611">
        <v>739</v>
      </c>
      <c r="R20" s="615" t="s">
        <v>1250</v>
      </c>
    </row>
    <row r="21" spans="1:18" ht="16.05" customHeight="1">
      <c r="A21" s="615" t="s">
        <v>1250</v>
      </c>
      <c r="B21" s="608">
        <v>229</v>
      </c>
      <c r="C21" s="608" t="s">
        <v>6766</v>
      </c>
      <c r="D21" s="608" t="s">
        <v>685</v>
      </c>
      <c r="E21" s="609" t="s">
        <v>4255</v>
      </c>
      <c r="F21" s="609" t="s">
        <v>4422</v>
      </c>
      <c r="G21" s="609" t="s">
        <v>4470</v>
      </c>
      <c r="H21" s="609" t="s">
        <v>4471</v>
      </c>
      <c r="I21" s="610">
        <v>24</v>
      </c>
      <c r="J21" s="609" t="s">
        <v>4472</v>
      </c>
      <c r="K21" s="611">
        <v>240900400</v>
      </c>
      <c r="L21" s="612" t="s">
        <v>4479</v>
      </c>
      <c r="M21" s="612" t="s">
        <v>4480</v>
      </c>
      <c r="N21" s="612" t="s">
        <v>5848</v>
      </c>
      <c r="O21" s="618">
        <v>739</v>
      </c>
      <c r="P21" s="609" t="s">
        <v>4475</v>
      </c>
      <c r="Q21" s="611">
        <f>800-739</f>
        <v>61</v>
      </c>
      <c r="R21" s="615" t="s">
        <v>1250</v>
      </c>
    </row>
    <row r="22" spans="1:18" ht="16.05" customHeight="1">
      <c r="A22" s="615" t="s">
        <v>4722</v>
      </c>
      <c r="B22" s="608">
        <v>399</v>
      </c>
      <c r="C22" s="608" t="s">
        <v>6767</v>
      </c>
      <c r="D22" s="608" t="s">
        <v>686</v>
      </c>
      <c r="E22" s="609" t="s">
        <v>6370</v>
      </c>
      <c r="F22" s="609" t="s">
        <v>4711</v>
      </c>
      <c r="G22" s="609" t="s">
        <v>4728</v>
      </c>
      <c r="H22" s="609" t="s">
        <v>4729</v>
      </c>
      <c r="I22" s="610">
        <v>19</v>
      </c>
      <c r="J22" s="609" t="s">
        <v>4719</v>
      </c>
      <c r="K22" s="611">
        <v>190505400</v>
      </c>
      <c r="L22" s="612" t="s">
        <v>4347</v>
      </c>
      <c r="M22" s="616" t="s">
        <v>4772</v>
      </c>
      <c r="N22" s="616" t="s">
        <v>5995</v>
      </c>
      <c r="O22" s="618">
        <v>1</v>
      </c>
      <c r="P22" s="609" t="s">
        <v>4731</v>
      </c>
      <c r="Q22" s="611">
        <v>1</v>
      </c>
      <c r="R22" s="615" t="s">
        <v>4722</v>
      </c>
    </row>
    <row r="23" spans="1:18" ht="16.05" customHeight="1">
      <c r="A23" s="615" t="s">
        <v>4722</v>
      </c>
      <c r="B23" s="608">
        <v>399</v>
      </c>
      <c r="C23" s="608" t="s">
        <v>6768</v>
      </c>
      <c r="D23" s="608" t="s">
        <v>685</v>
      </c>
      <c r="E23" s="609" t="s">
        <v>6370</v>
      </c>
      <c r="F23" s="609" t="s">
        <v>4711</v>
      </c>
      <c r="G23" s="609" t="s">
        <v>4728</v>
      </c>
      <c r="H23" s="609" t="s">
        <v>4729</v>
      </c>
      <c r="I23" s="610">
        <v>19</v>
      </c>
      <c r="J23" s="609" t="s">
        <v>4719</v>
      </c>
      <c r="K23" s="611">
        <v>190505400</v>
      </c>
      <c r="L23" s="612" t="s">
        <v>4347</v>
      </c>
      <c r="M23" s="616" t="s">
        <v>4772</v>
      </c>
      <c r="N23" s="616" t="s">
        <v>5995</v>
      </c>
      <c r="O23" s="618">
        <v>1</v>
      </c>
      <c r="P23" s="609" t="s">
        <v>4731</v>
      </c>
      <c r="Q23" s="611">
        <v>1</v>
      </c>
      <c r="R23" s="615" t="s">
        <v>4722</v>
      </c>
    </row>
    <row r="24" spans="1:18" ht="16.05" customHeight="1">
      <c r="A24" s="615" t="s">
        <v>2461</v>
      </c>
      <c r="B24" s="608">
        <v>401</v>
      </c>
      <c r="C24" s="608" t="s">
        <v>6769</v>
      </c>
      <c r="D24" s="608" t="s">
        <v>686</v>
      </c>
      <c r="E24" s="609" t="s">
        <v>6370</v>
      </c>
      <c r="F24" s="609" t="s">
        <v>4773</v>
      </c>
      <c r="G24" s="609" t="s">
        <v>4774</v>
      </c>
      <c r="H24" s="609" t="s">
        <v>4775</v>
      </c>
      <c r="I24" s="610">
        <v>43</v>
      </c>
      <c r="J24" s="609" t="s">
        <v>4776</v>
      </c>
      <c r="K24" s="611">
        <v>430100700</v>
      </c>
      <c r="L24" s="612" t="s">
        <v>4777</v>
      </c>
      <c r="M24" s="612" t="s">
        <v>4778</v>
      </c>
      <c r="N24" s="612" t="s">
        <v>6196</v>
      </c>
      <c r="O24" s="619">
        <v>13500</v>
      </c>
      <c r="P24" s="609" t="s">
        <v>4779</v>
      </c>
      <c r="Q24" s="611">
        <v>13500</v>
      </c>
      <c r="R24" s="615" t="s">
        <v>2461</v>
      </c>
    </row>
    <row r="25" spans="1:18" ht="16.05" customHeight="1">
      <c r="A25" s="615" t="s">
        <v>2461</v>
      </c>
      <c r="B25" s="608">
        <v>401</v>
      </c>
      <c r="C25" s="608" t="s">
        <v>6770</v>
      </c>
      <c r="D25" s="608" t="s">
        <v>685</v>
      </c>
      <c r="E25" s="609" t="s">
        <v>6370</v>
      </c>
      <c r="F25" s="609" t="s">
        <v>4773</v>
      </c>
      <c r="G25" s="609" t="s">
        <v>4774</v>
      </c>
      <c r="H25" s="609" t="s">
        <v>4775</v>
      </c>
      <c r="I25" s="610">
        <v>43</v>
      </c>
      <c r="J25" s="609" t="s">
        <v>4776</v>
      </c>
      <c r="K25" s="611">
        <v>430100700</v>
      </c>
      <c r="L25" s="612" t="s">
        <v>4777</v>
      </c>
      <c r="M25" s="612" t="s">
        <v>4778</v>
      </c>
      <c r="N25" s="612" t="s">
        <v>6196</v>
      </c>
      <c r="O25" s="619">
        <v>13500</v>
      </c>
      <c r="P25" s="609" t="s">
        <v>4779</v>
      </c>
      <c r="Q25" s="611">
        <v>500</v>
      </c>
      <c r="R25" s="615" t="s">
        <v>2461</v>
      </c>
    </row>
    <row r="26" spans="1:18" ht="16.05" customHeight="1">
      <c r="A26" s="615" t="s">
        <v>2461</v>
      </c>
      <c r="B26" s="608">
        <v>402</v>
      </c>
      <c r="C26" s="608" t="s">
        <v>6771</v>
      </c>
      <c r="D26" s="608" t="s">
        <v>686</v>
      </c>
      <c r="E26" s="609" t="s">
        <v>6370</v>
      </c>
      <c r="F26" s="609" t="s">
        <v>4773</v>
      </c>
      <c r="G26" s="609" t="s">
        <v>4774</v>
      </c>
      <c r="H26" s="609" t="s">
        <v>4775</v>
      </c>
      <c r="I26" s="610">
        <v>43</v>
      </c>
      <c r="J26" s="609" t="s">
        <v>4776</v>
      </c>
      <c r="K26" s="611">
        <v>430103700</v>
      </c>
      <c r="L26" s="612" t="s">
        <v>4008</v>
      </c>
      <c r="M26" s="612" t="s">
        <v>4780</v>
      </c>
      <c r="N26" s="612" t="s">
        <v>6582</v>
      </c>
      <c r="O26" s="619">
        <v>24000</v>
      </c>
      <c r="P26" s="609" t="s">
        <v>4779</v>
      </c>
      <c r="Q26" s="619">
        <v>24000</v>
      </c>
      <c r="R26" s="615" t="s">
        <v>2461</v>
      </c>
    </row>
    <row r="27" spans="1:18" ht="16.05" customHeight="1">
      <c r="A27" s="615" t="s">
        <v>2461</v>
      </c>
      <c r="B27" s="608">
        <v>402</v>
      </c>
      <c r="C27" s="608" t="s">
        <v>6772</v>
      </c>
      <c r="D27" s="608" t="s">
        <v>685</v>
      </c>
      <c r="E27" s="609" t="s">
        <v>6370</v>
      </c>
      <c r="F27" s="609" t="s">
        <v>4773</v>
      </c>
      <c r="G27" s="609" t="s">
        <v>4774</v>
      </c>
      <c r="H27" s="609" t="s">
        <v>4775</v>
      </c>
      <c r="I27" s="610">
        <v>43</v>
      </c>
      <c r="J27" s="609" t="s">
        <v>4776</v>
      </c>
      <c r="K27" s="611">
        <v>430103700</v>
      </c>
      <c r="L27" s="612" t="s">
        <v>4008</v>
      </c>
      <c r="M27" s="612" t="s">
        <v>4780</v>
      </c>
      <c r="N27" s="612" t="s">
        <v>6582</v>
      </c>
      <c r="O27" s="619">
        <v>24000</v>
      </c>
      <c r="P27" s="609" t="s">
        <v>4779</v>
      </c>
      <c r="Q27" s="620">
        <v>6000</v>
      </c>
      <c r="R27" s="615" t="s">
        <v>2461</v>
      </c>
    </row>
    <row r="28" spans="1:18" ht="16.05" customHeight="1">
      <c r="A28" s="615" t="s">
        <v>2461</v>
      </c>
      <c r="B28" s="608">
        <v>403</v>
      </c>
      <c r="C28" s="608" t="s">
        <v>6773</v>
      </c>
      <c r="D28" s="608" t="s">
        <v>686</v>
      </c>
      <c r="E28" s="609" t="s">
        <v>6370</v>
      </c>
      <c r="F28" s="609" t="s">
        <v>4773</v>
      </c>
      <c r="G28" s="609" t="s">
        <v>4774</v>
      </c>
      <c r="H28" s="609" t="s">
        <v>4775</v>
      </c>
      <c r="I28" s="610">
        <v>43</v>
      </c>
      <c r="J28" s="609" t="s">
        <v>4776</v>
      </c>
      <c r="K28" s="611">
        <v>430103701</v>
      </c>
      <c r="L28" s="612" t="s">
        <v>4008</v>
      </c>
      <c r="M28" s="612" t="s">
        <v>4782</v>
      </c>
      <c r="N28" s="612" t="s">
        <v>6583</v>
      </c>
      <c r="O28" s="619">
        <v>24000</v>
      </c>
      <c r="P28" s="609" t="s">
        <v>4779</v>
      </c>
      <c r="Q28" s="620">
        <v>24000</v>
      </c>
      <c r="R28" s="615" t="s">
        <v>2461</v>
      </c>
    </row>
    <row r="29" spans="1:18" ht="16.05" customHeight="1">
      <c r="A29" s="615" t="s">
        <v>2461</v>
      </c>
      <c r="B29" s="608">
        <v>403</v>
      </c>
      <c r="C29" s="608" t="s">
        <v>6774</v>
      </c>
      <c r="D29" s="608" t="s">
        <v>685</v>
      </c>
      <c r="E29" s="609" t="s">
        <v>6370</v>
      </c>
      <c r="F29" s="609" t="s">
        <v>4773</v>
      </c>
      <c r="G29" s="609" t="s">
        <v>4774</v>
      </c>
      <c r="H29" s="609" t="s">
        <v>4775</v>
      </c>
      <c r="I29" s="610">
        <v>43</v>
      </c>
      <c r="J29" s="609" t="s">
        <v>4776</v>
      </c>
      <c r="K29" s="611">
        <v>430103701</v>
      </c>
      <c r="L29" s="612" t="s">
        <v>4008</v>
      </c>
      <c r="M29" s="612" t="s">
        <v>4782</v>
      </c>
      <c r="N29" s="612" t="s">
        <v>6583</v>
      </c>
      <c r="O29" s="619">
        <v>24000</v>
      </c>
      <c r="P29" s="609" t="s">
        <v>4779</v>
      </c>
      <c r="Q29" s="620">
        <v>6000</v>
      </c>
      <c r="R29" s="615" t="s">
        <v>2461</v>
      </c>
    </row>
    <row r="30" spans="1:18" ht="16.05" customHeight="1">
      <c r="A30" s="615" t="s">
        <v>2461</v>
      </c>
      <c r="B30" s="608">
        <v>417</v>
      </c>
      <c r="C30" s="608" t="s">
        <v>6775</v>
      </c>
      <c r="D30" s="608" t="s">
        <v>686</v>
      </c>
      <c r="E30" s="609" t="s">
        <v>6370</v>
      </c>
      <c r="F30" s="609" t="s">
        <v>4802</v>
      </c>
      <c r="G30" s="609" t="s">
        <v>4811</v>
      </c>
      <c r="H30" s="609" t="s">
        <v>4812</v>
      </c>
      <c r="I30" s="610">
        <v>43</v>
      </c>
      <c r="J30" s="609" t="s">
        <v>4776</v>
      </c>
      <c r="K30" s="611">
        <v>430100400</v>
      </c>
      <c r="L30" s="612" t="s">
        <v>4813</v>
      </c>
      <c r="M30" s="612" t="s">
        <v>4814</v>
      </c>
      <c r="N30" s="612" t="s">
        <v>6008</v>
      </c>
      <c r="O30" s="618">
        <v>8</v>
      </c>
      <c r="P30" s="609" t="s">
        <v>4815</v>
      </c>
      <c r="Q30" s="611">
        <v>8</v>
      </c>
      <c r="R30" s="615" t="s">
        <v>2461</v>
      </c>
    </row>
    <row r="31" spans="1:18" ht="16.05" customHeight="1">
      <c r="A31" s="615" t="s">
        <v>2461</v>
      </c>
      <c r="B31" s="608">
        <v>417</v>
      </c>
      <c r="C31" s="608" t="s">
        <v>6776</v>
      </c>
      <c r="D31" s="608" t="s">
        <v>685</v>
      </c>
      <c r="E31" s="609" t="s">
        <v>6370</v>
      </c>
      <c r="F31" s="609" t="s">
        <v>4802</v>
      </c>
      <c r="G31" s="609" t="s">
        <v>4811</v>
      </c>
      <c r="H31" s="609" t="s">
        <v>4812</v>
      </c>
      <c r="I31" s="610">
        <v>43</v>
      </c>
      <c r="J31" s="609" t="s">
        <v>4776</v>
      </c>
      <c r="K31" s="611">
        <v>430100400</v>
      </c>
      <c r="L31" s="612" t="s">
        <v>4813</v>
      </c>
      <c r="M31" s="612" t="s">
        <v>4814</v>
      </c>
      <c r="N31" s="612" t="s">
        <v>6008</v>
      </c>
      <c r="O31" s="618">
        <v>8</v>
      </c>
      <c r="P31" s="609" t="s">
        <v>4815</v>
      </c>
      <c r="Q31" s="611">
        <v>1</v>
      </c>
      <c r="R31" s="615" t="s">
        <v>2461</v>
      </c>
    </row>
    <row r="32" spans="1:18" ht="16.05" customHeight="1">
      <c r="A32" s="615" t="s">
        <v>2461</v>
      </c>
      <c r="B32" s="608">
        <v>426</v>
      </c>
      <c r="C32" s="608" t="s">
        <v>6777</v>
      </c>
      <c r="D32" s="608" t="s">
        <v>686</v>
      </c>
      <c r="E32" s="609" t="s">
        <v>6370</v>
      </c>
      <c r="F32" s="609" t="s">
        <v>4802</v>
      </c>
      <c r="G32" s="609" t="s">
        <v>4811</v>
      </c>
      <c r="H32" s="609" t="s">
        <v>4812</v>
      </c>
      <c r="I32" s="610">
        <v>43</v>
      </c>
      <c r="J32" s="609" t="s">
        <v>4783</v>
      </c>
      <c r="K32" s="611">
        <v>430202700</v>
      </c>
      <c r="L32" s="612" t="s">
        <v>4828</v>
      </c>
      <c r="M32" s="612" t="s">
        <v>4829</v>
      </c>
      <c r="N32" s="612" t="s">
        <v>6017</v>
      </c>
      <c r="O32" s="618">
        <v>1</v>
      </c>
      <c r="P32" s="609" t="s">
        <v>4818</v>
      </c>
      <c r="Q32" s="611">
        <v>1</v>
      </c>
      <c r="R32" s="615" t="s">
        <v>2461</v>
      </c>
    </row>
    <row r="33" spans="1:18" ht="16.05" customHeight="1">
      <c r="A33" s="615" t="s">
        <v>2461</v>
      </c>
      <c r="B33" s="608">
        <v>426</v>
      </c>
      <c r="C33" s="608" t="s">
        <v>6778</v>
      </c>
      <c r="D33" s="608" t="s">
        <v>685</v>
      </c>
      <c r="E33" s="609" t="s">
        <v>6370</v>
      </c>
      <c r="F33" s="609" t="s">
        <v>4802</v>
      </c>
      <c r="G33" s="609" t="s">
        <v>4811</v>
      </c>
      <c r="H33" s="609" t="s">
        <v>4812</v>
      </c>
      <c r="I33" s="610">
        <v>43</v>
      </c>
      <c r="J33" s="609" t="s">
        <v>4783</v>
      </c>
      <c r="K33" s="611">
        <v>430202700</v>
      </c>
      <c r="L33" s="612" t="s">
        <v>4828</v>
      </c>
      <c r="M33" s="612" t="s">
        <v>4829</v>
      </c>
      <c r="N33" s="612" t="s">
        <v>6017</v>
      </c>
      <c r="O33" s="618">
        <v>1</v>
      </c>
      <c r="P33" s="609" t="s">
        <v>4818</v>
      </c>
      <c r="Q33" s="611">
        <v>2</v>
      </c>
      <c r="R33" s="615" t="s">
        <v>2461</v>
      </c>
    </row>
    <row r="34" spans="1:18" ht="16.05" customHeight="1">
      <c r="A34" s="615" t="s">
        <v>2461</v>
      </c>
      <c r="B34" s="608">
        <v>504</v>
      </c>
      <c r="C34" s="608" t="s">
        <v>6779</v>
      </c>
      <c r="D34" s="608" t="s">
        <v>686</v>
      </c>
      <c r="E34" s="609" t="s">
        <v>6370</v>
      </c>
      <c r="F34" s="609" t="s">
        <v>4930</v>
      </c>
      <c r="G34" s="609" t="s">
        <v>6384</v>
      </c>
      <c r="H34" s="609" t="s">
        <v>4931</v>
      </c>
      <c r="I34" s="610">
        <v>43</v>
      </c>
      <c r="J34" s="609" t="s">
        <v>4935</v>
      </c>
      <c r="K34" s="611">
        <v>430200100</v>
      </c>
      <c r="L34" s="612" t="s">
        <v>4933</v>
      </c>
      <c r="M34" s="612" t="s">
        <v>6625</v>
      </c>
      <c r="N34" s="612" t="s">
        <v>6088</v>
      </c>
      <c r="O34" s="618">
        <v>640</v>
      </c>
      <c r="P34" s="609" t="s">
        <v>4779</v>
      </c>
      <c r="Q34" s="611">
        <v>640</v>
      </c>
      <c r="R34" s="615" t="s">
        <v>2461</v>
      </c>
    </row>
    <row r="35" spans="1:18" ht="16.05" customHeight="1">
      <c r="A35" s="615" t="s">
        <v>2461</v>
      </c>
      <c r="B35" s="608">
        <v>504</v>
      </c>
      <c r="C35" s="608" t="s">
        <v>6780</v>
      </c>
      <c r="D35" s="608" t="s">
        <v>685</v>
      </c>
      <c r="E35" s="609" t="s">
        <v>6370</v>
      </c>
      <c r="F35" s="609" t="s">
        <v>4930</v>
      </c>
      <c r="G35" s="609" t="s">
        <v>6384</v>
      </c>
      <c r="H35" s="609" t="s">
        <v>4931</v>
      </c>
      <c r="I35" s="610">
        <v>43</v>
      </c>
      <c r="J35" s="609" t="s">
        <v>4935</v>
      </c>
      <c r="K35" s="611">
        <v>430200100</v>
      </c>
      <c r="L35" s="612" t="s">
        <v>4933</v>
      </c>
      <c r="M35" s="612" t="s">
        <v>6625</v>
      </c>
      <c r="N35" s="612" t="s">
        <v>6088</v>
      </c>
      <c r="O35" s="618">
        <v>640</v>
      </c>
      <c r="P35" s="609" t="s">
        <v>4779</v>
      </c>
      <c r="Q35" s="611">
        <f>656-640</f>
        <v>16</v>
      </c>
      <c r="R35" s="615" t="s">
        <v>2461</v>
      </c>
    </row>
    <row r="36" spans="1:18" ht="16.05" customHeight="1">
      <c r="A36" s="615" t="s">
        <v>2461</v>
      </c>
      <c r="B36" s="608">
        <v>507</v>
      </c>
      <c r="C36" s="608" t="s">
        <v>6781</v>
      </c>
      <c r="D36" s="608" t="s">
        <v>686</v>
      </c>
      <c r="E36" s="609" t="s">
        <v>6370</v>
      </c>
      <c r="F36" s="609" t="s">
        <v>4930</v>
      </c>
      <c r="G36" s="609" t="s">
        <v>6384</v>
      </c>
      <c r="H36" s="609" t="s">
        <v>4931</v>
      </c>
      <c r="I36" s="610">
        <v>43</v>
      </c>
      <c r="J36" s="609" t="s">
        <v>4935</v>
      </c>
      <c r="K36" s="611">
        <v>430200201</v>
      </c>
      <c r="L36" s="612" t="s">
        <v>4103</v>
      </c>
      <c r="M36" s="612" t="s">
        <v>6627</v>
      </c>
      <c r="N36" s="612" t="s">
        <v>6091</v>
      </c>
      <c r="O36" s="618">
        <v>207</v>
      </c>
      <c r="P36" s="609" t="s">
        <v>4779</v>
      </c>
      <c r="Q36" s="611">
        <v>207</v>
      </c>
      <c r="R36" s="615" t="s">
        <v>2461</v>
      </c>
    </row>
    <row r="37" spans="1:18" ht="16.05" customHeight="1">
      <c r="A37" s="615" t="s">
        <v>2461</v>
      </c>
      <c r="B37" s="608">
        <v>507</v>
      </c>
      <c r="C37" s="608" t="s">
        <v>6782</v>
      </c>
      <c r="D37" s="608" t="s">
        <v>685</v>
      </c>
      <c r="E37" s="609" t="s">
        <v>6370</v>
      </c>
      <c r="F37" s="609" t="s">
        <v>4930</v>
      </c>
      <c r="G37" s="609" t="s">
        <v>6384</v>
      </c>
      <c r="H37" s="609" t="s">
        <v>4931</v>
      </c>
      <c r="I37" s="610">
        <v>43</v>
      </c>
      <c r="J37" s="609" t="s">
        <v>4935</v>
      </c>
      <c r="K37" s="611">
        <v>430200201</v>
      </c>
      <c r="L37" s="612" t="s">
        <v>4103</v>
      </c>
      <c r="M37" s="612" t="s">
        <v>6627</v>
      </c>
      <c r="N37" s="612" t="s">
        <v>6091</v>
      </c>
      <c r="O37" s="618">
        <v>207</v>
      </c>
      <c r="P37" s="609" t="s">
        <v>4779</v>
      </c>
      <c r="Q37" s="611">
        <f>246-207</f>
        <v>39</v>
      </c>
      <c r="R37" s="615" t="s">
        <v>2461</v>
      </c>
    </row>
    <row r="38" spans="1:18" ht="16.05" customHeight="1">
      <c r="A38" s="615" t="s">
        <v>2461</v>
      </c>
      <c r="B38" s="608">
        <v>508</v>
      </c>
      <c r="C38" s="608" t="s">
        <v>6783</v>
      </c>
      <c r="D38" s="608" t="s">
        <v>686</v>
      </c>
      <c r="E38" s="609" t="s">
        <v>6370</v>
      </c>
      <c r="F38" s="609" t="s">
        <v>4930</v>
      </c>
      <c r="G38" s="609" t="s">
        <v>6384</v>
      </c>
      <c r="H38" s="609" t="s">
        <v>4931</v>
      </c>
      <c r="I38" s="610">
        <v>43</v>
      </c>
      <c r="J38" s="609" t="s">
        <v>4935</v>
      </c>
      <c r="K38" s="611">
        <v>430200201</v>
      </c>
      <c r="L38" s="612" t="s">
        <v>4103</v>
      </c>
      <c r="M38" s="612" t="s">
        <v>4939</v>
      </c>
      <c r="N38" s="612" t="s">
        <v>6092</v>
      </c>
      <c r="O38" s="618">
        <v>40</v>
      </c>
      <c r="P38" s="609" t="s">
        <v>4779</v>
      </c>
      <c r="Q38" s="611">
        <v>40</v>
      </c>
      <c r="R38" s="615" t="s">
        <v>2461</v>
      </c>
    </row>
    <row r="39" spans="1:18" ht="16.05" customHeight="1">
      <c r="A39" s="615" t="s">
        <v>2461</v>
      </c>
      <c r="B39" s="608">
        <v>508</v>
      </c>
      <c r="C39" s="608" t="s">
        <v>6784</v>
      </c>
      <c r="D39" s="608" t="s">
        <v>685</v>
      </c>
      <c r="E39" s="609" t="s">
        <v>6370</v>
      </c>
      <c r="F39" s="609" t="s">
        <v>4930</v>
      </c>
      <c r="G39" s="609" t="s">
        <v>6384</v>
      </c>
      <c r="H39" s="609" t="s">
        <v>4931</v>
      </c>
      <c r="I39" s="610">
        <v>43</v>
      </c>
      <c r="J39" s="609" t="s">
        <v>4935</v>
      </c>
      <c r="K39" s="611">
        <v>430200201</v>
      </c>
      <c r="L39" s="612" t="s">
        <v>4103</v>
      </c>
      <c r="M39" s="612" t="s">
        <v>4939</v>
      </c>
      <c r="N39" s="612" t="s">
        <v>6092</v>
      </c>
      <c r="O39" s="618">
        <v>40</v>
      </c>
      <c r="P39" s="609" t="s">
        <v>4779</v>
      </c>
      <c r="Q39" s="611">
        <v>16</v>
      </c>
      <c r="R39" s="615" t="s">
        <v>2461</v>
      </c>
    </row>
    <row r="40" spans="1:18" ht="16.05" customHeight="1">
      <c r="A40" s="615" t="s">
        <v>2461</v>
      </c>
      <c r="B40" s="608">
        <v>509</v>
      </c>
      <c r="C40" s="608" t="s">
        <v>6785</v>
      </c>
      <c r="D40" s="608" t="s">
        <v>686</v>
      </c>
      <c r="E40" s="609" t="s">
        <v>6370</v>
      </c>
      <c r="F40" s="609" t="s">
        <v>4930</v>
      </c>
      <c r="G40" s="609" t="s">
        <v>6384</v>
      </c>
      <c r="H40" s="609" t="s">
        <v>4931</v>
      </c>
      <c r="I40" s="610">
        <v>43</v>
      </c>
      <c r="J40" s="609" t="s">
        <v>4935</v>
      </c>
      <c r="K40" s="611">
        <v>430207300</v>
      </c>
      <c r="L40" s="612" t="s">
        <v>4008</v>
      </c>
      <c r="M40" s="612" t="s">
        <v>4940</v>
      </c>
      <c r="N40" s="612" t="s">
        <v>6093</v>
      </c>
      <c r="O40" s="618">
        <v>47</v>
      </c>
      <c r="P40" s="609" t="s">
        <v>4941</v>
      </c>
      <c r="Q40" s="611">
        <v>47</v>
      </c>
      <c r="R40" s="615" t="s">
        <v>2461</v>
      </c>
    </row>
    <row r="41" spans="1:18" ht="16.05" customHeight="1">
      <c r="A41" s="615" t="s">
        <v>2461</v>
      </c>
      <c r="B41" s="608">
        <v>509</v>
      </c>
      <c r="C41" s="608" t="s">
        <v>6786</v>
      </c>
      <c r="D41" s="608" t="s">
        <v>685</v>
      </c>
      <c r="E41" s="609" t="s">
        <v>6370</v>
      </c>
      <c r="F41" s="609" t="s">
        <v>4930</v>
      </c>
      <c r="G41" s="609" t="s">
        <v>6384</v>
      </c>
      <c r="H41" s="609" t="s">
        <v>4931</v>
      </c>
      <c r="I41" s="610">
        <v>43</v>
      </c>
      <c r="J41" s="609" t="s">
        <v>4935</v>
      </c>
      <c r="K41" s="611">
        <v>430207300</v>
      </c>
      <c r="L41" s="612" t="s">
        <v>4008</v>
      </c>
      <c r="M41" s="612" t="s">
        <v>4940</v>
      </c>
      <c r="N41" s="612" t="s">
        <v>6093</v>
      </c>
      <c r="O41" s="618">
        <v>47</v>
      </c>
      <c r="P41" s="609" t="s">
        <v>4941</v>
      </c>
      <c r="Q41" s="611">
        <v>13</v>
      </c>
      <c r="R41" s="615" t="s">
        <v>2461</v>
      </c>
    </row>
    <row r="42" spans="1:18" ht="16.05" customHeight="1">
      <c r="A42" s="615" t="s">
        <v>2461</v>
      </c>
      <c r="B42" s="608">
        <v>510</v>
      </c>
      <c r="C42" s="608" t="s">
        <v>6787</v>
      </c>
      <c r="D42" s="608" t="s">
        <v>686</v>
      </c>
      <c r="E42" s="609" t="s">
        <v>6370</v>
      </c>
      <c r="F42" s="609" t="s">
        <v>4930</v>
      </c>
      <c r="G42" s="609" t="s">
        <v>6384</v>
      </c>
      <c r="H42" s="609" t="s">
        <v>4931</v>
      </c>
      <c r="I42" s="610">
        <v>43</v>
      </c>
      <c r="J42" s="609" t="s">
        <v>4935</v>
      </c>
      <c r="K42" s="611">
        <v>430200400</v>
      </c>
      <c r="L42" s="612" t="s">
        <v>4943</v>
      </c>
      <c r="M42" s="612" t="s">
        <v>6628</v>
      </c>
      <c r="N42" s="612" t="s">
        <v>6094</v>
      </c>
      <c r="O42" s="619">
        <v>1340</v>
      </c>
      <c r="P42" s="609" t="s">
        <v>4779</v>
      </c>
      <c r="Q42" s="611">
        <v>1340</v>
      </c>
      <c r="R42" s="615" t="s">
        <v>2461</v>
      </c>
    </row>
    <row r="43" spans="1:18" ht="16.05" customHeight="1">
      <c r="A43" s="615" t="s">
        <v>2461</v>
      </c>
      <c r="B43" s="608">
        <v>510</v>
      </c>
      <c r="C43" s="608" t="s">
        <v>6788</v>
      </c>
      <c r="D43" s="608" t="s">
        <v>685</v>
      </c>
      <c r="E43" s="609" t="s">
        <v>6370</v>
      </c>
      <c r="F43" s="609" t="s">
        <v>4930</v>
      </c>
      <c r="G43" s="609" t="s">
        <v>6384</v>
      </c>
      <c r="H43" s="609" t="s">
        <v>4931</v>
      </c>
      <c r="I43" s="610">
        <v>43</v>
      </c>
      <c r="J43" s="609" t="s">
        <v>4935</v>
      </c>
      <c r="K43" s="611">
        <v>430200400</v>
      </c>
      <c r="L43" s="612" t="s">
        <v>4943</v>
      </c>
      <c r="M43" s="612" t="s">
        <v>6628</v>
      </c>
      <c r="N43" s="612" t="s">
        <v>6094</v>
      </c>
      <c r="O43" s="619">
        <v>1340</v>
      </c>
      <c r="P43" s="609" t="s">
        <v>4779</v>
      </c>
      <c r="Q43" s="611">
        <v>16</v>
      </c>
      <c r="R43" s="615" t="s">
        <v>2461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4F6228"/>
  </sheetPr>
  <dimension ref="A1:IB65"/>
  <sheetViews>
    <sheetView topLeftCell="HX1" zoomScale="85" zoomScaleNormal="85" workbookViewId="0">
      <pane ySplit="1" topLeftCell="A2" activePane="bottomLeft" state="frozen"/>
      <selection pane="bottomLeft" activeCell="IB6" sqref="IB6"/>
    </sheetView>
  </sheetViews>
  <sheetFormatPr baseColWidth="10" defaultRowHeight="13.8"/>
  <cols>
    <col min="1" max="1" width="13.5" style="552" bestFit="1" customWidth="1"/>
    <col min="2" max="2" width="65.3984375" style="552" customWidth="1"/>
    <col min="3" max="3" width="67.19921875" style="552" hidden="1" customWidth="1"/>
    <col min="4" max="4" width="15.69921875" style="458" customWidth="1"/>
    <col min="5" max="5" width="9.5" style="458" bestFit="1" customWidth="1"/>
    <col min="6" max="6" width="9.3984375" style="458" bestFit="1" customWidth="1"/>
    <col min="7" max="7" width="10.19921875" style="458" bestFit="1" customWidth="1"/>
    <col min="8" max="8" width="10.3984375" style="458" bestFit="1" customWidth="1"/>
    <col min="9" max="9" width="16.09765625" style="458" bestFit="1" customWidth="1"/>
    <col min="10" max="10" width="10.3984375" style="458" bestFit="1" customWidth="1"/>
    <col min="11" max="11" width="8.5" style="458" bestFit="1" customWidth="1"/>
    <col min="12" max="12" width="9" style="459" bestFit="1" customWidth="1"/>
    <col min="13" max="13" width="9.8984375" style="458" customWidth="1"/>
    <col min="14" max="14" width="10.19921875" style="458" customWidth="1"/>
    <col min="15" max="15" width="9.3984375" style="458" bestFit="1" customWidth="1"/>
    <col min="16" max="16" width="8.296875" style="459" bestFit="1" customWidth="1"/>
    <col min="17" max="17" width="24.796875" style="459" customWidth="1"/>
    <col min="18" max="25" width="10.69921875" style="458"/>
    <col min="26" max="26" width="10.69921875" style="459"/>
    <col min="27" max="29" width="10.69921875" style="458"/>
    <col min="30" max="31" width="10.69921875" style="459"/>
    <col min="32" max="39" width="10.69921875" style="458"/>
    <col min="40" max="40" width="10.69921875" style="459"/>
    <col min="41" max="43" width="10.69921875" style="458"/>
    <col min="44" max="45" width="10.69921875" style="459"/>
    <col min="46" max="53" width="10.69921875" style="458"/>
    <col min="54" max="54" width="10.69921875" style="459"/>
    <col min="55" max="57" width="10.69921875" style="458"/>
    <col min="58" max="59" width="10.69921875" style="459"/>
    <col min="60" max="60" width="19.69921875" style="459" bestFit="1" customWidth="1"/>
    <col min="61" max="61" width="28.69921875" bestFit="1" customWidth="1"/>
    <col min="62" max="69" width="10.69921875" style="376"/>
    <col min="71" max="73" width="10.69921875" style="376"/>
    <col min="76" max="83" width="10.69921875" style="376"/>
    <col min="85" max="87" width="10.69921875" style="376"/>
    <col min="90" max="90" width="10.796875" style="376" customWidth="1"/>
    <col min="91" max="97" width="10.69921875" style="376"/>
    <col min="99" max="101" width="10.69921875" style="376"/>
    <col min="104" max="111" width="10.69921875" style="376"/>
    <col min="113" max="115" width="10.69921875" style="376"/>
    <col min="119" max="119" width="28.69921875" bestFit="1" customWidth="1"/>
    <col min="120" max="127" width="10.69921875" style="376"/>
    <col min="129" max="131" width="10.69921875" style="376"/>
    <col min="134" max="141" width="10.69921875" style="376"/>
    <col min="143" max="145" width="10.69921875" style="376"/>
    <col min="148" max="155" width="10.69921875" style="376"/>
    <col min="157" max="159" width="10.69921875" style="376"/>
    <col min="162" max="169" width="10.69921875" style="376"/>
    <col min="171" max="173" width="10.69921875" style="376"/>
    <col min="177" max="177" width="28.69921875" bestFit="1" customWidth="1"/>
    <col min="178" max="185" width="10.69921875" style="376"/>
    <col min="187" max="189" width="10.69921875" style="376"/>
    <col min="192" max="199" width="10.69921875" style="376"/>
    <col min="201" max="203" width="10.69921875" style="376"/>
    <col min="206" max="210" width="10.69921875" style="376"/>
    <col min="211" max="211" width="15.69921875" style="376" bestFit="1" customWidth="1"/>
    <col min="212" max="213" width="10.69921875" style="376"/>
    <col min="215" max="217" width="10.69921875" style="376"/>
    <col min="220" max="227" width="10.69921875" style="376"/>
    <col min="229" max="231" width="10.69921875" style="376"/>
    <col min="235" max="235" width="28.69921875" bestFit="1" customWidth="1"/>
    <col min="236" max="236" width="19.3984375" customWidth="1"/>
  </cols>
  <sheetData>
    <row r="1" spans="1:236" s="363" customFormat="1" ht="55.05" customHeight="1" thickBot="1">
      <c r="A1" s="388" t="s">
        <v>5087</v>
      </c>
      <c r="B1" s="389" t="s">
        <v>5088</v>
      </c>
      <c r="C1" s="390" t="s">
        <v>5033</v>
      </c>
      <c r="D1" s="372" t="s">
        <v>5089</v>
      </c>
      <c r="E1" s="373" t="s">
        <v>5090</v>
      </c>
      <c r="F1" s="373" t="s">
        <v>5091</v>
      </c>
      <c r="G1" s="373" t="s">
        <v>5092</v>
      </c>
      <c r="H1" s="373" t="s">
        <v>5093</v>
      </c>
      <c r="I1" s="373" t="s">
        <v>5094</v>
      </c>
      <c r="J1" s="373" t="s">
        <v>5095</v>
      </c>
      <c r="K1" s="373" t="s">
        <v>5096</v>
      </c>
      <c r="L1" s="387" t="s">
        <v>5102</v>
      </c>
      <c r="M1" s="374" t="s">
        <v>5098</v>
      </c>
      <c r="N1" s="374" t="s">
        <v>5099</v>
      </c>
      <c r="O1" s="374" t="s">
        <v>5100</v>
      </c>
      <c r="P1" s="387" t="s">
        <v>5101</v>
      </c>
      <c r="Q1" s="386" t="s">
        <v>5097</v>
      </c>
      <c r="R1" s="372" t="s">
        <v>5124</v>
      </c>
      <c r="S1" s="373" t="s">
        <v>5125</v>
      </c>
      <c r="T1" s="373" t="s">
        <v>5126</v>
      </c>
      <c r="U1" s="373" t="s">
        <v>5127</v>
      </c>
      <c r="V1" s="373" t="s">
        <v>5128</v>
      </c>
      <c r="W1" s="373" t="s">
        <v>5116</v>
      </c>
      <c r="X1" s="373" t="s">
        <v>5117</v>
      </c>
      <c r="Y1" s="375" t="s">
        <v>5118</v>
      </c>
      <c r="Z1" s="387" t="s">
        <v>5309</v>
      </c>
      <c r="AA1" s="374" t="s">
        <v>5120</v>
      </c>
      <c r="AB1" s="374" t="s">
        <v>5121</v>
      </c>
      <c r="AC1" s="374" t="s">
        <v>5122</v>
      </c>
      <c r="AD1" s="385" t="s">
        <v>5123</v>
      </c>
      <c r="AE1" s="386" t="s">
        <v>5119</v>
      </c>
      <c r="AF1" s="372" t="s">
        <v>5129</v>
      </c>
      <c r="AG1" s="373" t="s">
        <v>5130</v>
      </c>
      <c r="AH1" s="373" t="s">
        <v>5131</v>
      </c>
      <c r="AI1" s="373" t="s">
        <v>5132</v>
      </c>
      <c r="AJ1" s="373" t="s">
        <v>5133</v>
      </c>
      <c r="AK1" s="373" t="s">
        <v>5134</v>
      </c>
      <c r="AL1" s="373" t="s">
        <v>5135</v>
      </c>
      <c r="AM1" s="373" t="s">
        <v>5136</v>
      </c>
      <c r="AN1" s="385" t="s">
        <v>5310</v>
      </c>
      <c r="AO1" s="374" t="s">
        <v>5138</v>
      </c>
      <c r="AP1" s="374" t="s">
        <v>5139</v>
      </c>
      <c r="AQ1" s="374" t="s">
        <v>5140</v>
      </c>
      <c r="AR1" s="385" t="s">
        <v>5141</v>
      </c>
      <c r="AS1" s="386" t="s">
        <v>5137</v>
      </c>
      <c r="AT1" s="372" t="s">
        <v>5142</v>
      </c>
      <c r="AU1" s="373" t="s">
        <v>5143</v>
      </c>
      <c r="AV1" s="373" t="s">
        <v>5144</v>
      </c>
      <c r="AW1" s="373" t="s">
        <v>5145</v>
      </c>
      <c r="AX1" s="373" t="s">
        <v>5146</v>
      </c>
      <c r="AY1" s="373" t="s">
        <v>5147</v>
      </c>
      <c r="AZ1" s="373" t="s">
        <v>5148</v>
      </c>
      <c r="BA1" s="373" t="s">
        <v>5149</v>
      </c>
      <c r="BB1" s="385" t="s">
        <v>5155</v>
      </c>
      <c r="BC1" s="374" t="s">
        <v>5151</v>
      </c>
      <c r="BD1" s="374" t="s">
        <v>5152</v>
      </c>
      <c r="BE1" s="374" t="s">
        <v>5153</v>
      </c>
      <c r="BF1" s="385" t="s">
        <v>5154</v>
      </c>
      <c r="BG1" s="386" t="s">
        <v>5150</v>
      </c>
      <c r="BH1" s="379" t="s">
        <v>5156</v>
      </c>
      <c r="BI1" s="380" t="s">
        <v>5308</v>
      </c>
      <c r="BJ1" s="372" t="s">
        <v>5103</v>
      </c>
      <c r="BK1" s="373" t="s">
        <v>5104</v>
      </c>
      <c r="BL1" s="373" t="s">
        <v>5105</v>
      </c>
      <c r="BM1" s="373" t="s">
        <v>5106</v>
      </c>
      <c r="BN1" s="373" t="s">
        <v>5107</v>
      </c>
      <c r="BO1" s="373" t="s">
        <v>5108</v>
      </c>
      <c r="BP1" s="373" t="s">
        <v>5109</v>
      </c>
      <c r="BQ1" s="373" t="s">
        <v>5110</v>
      </c>
      <c r="BR1" s="385" t="s">
        <v>5157</v>
      </c>
      <c r="BS1" s="374" t="s">
        <v>5112</v>
      </c>
      <c r="BT1" s="374" t="s">
        <v>5113</v>
      </c>
      <c r="BU1" s="374" t="s">
        <v>5114</v>
      </c>
      <c r="BV1" s="385" t="s">
        <v>5115</v>
      </c>
      <c r="BW1" s="378" t="s">
        <v>5111</v>
      </c>
      <c r="BX1" s="372" t="s">
        <v>5158</v>
      </c>
      <c r="BY1" s="373" t="s">
        <v>5159</v>
      </c>
      <c r="BZ1" s="373" t="s">
        <v>5160</v>
      </c>
      <c r="CA1" s="373" t="s">
        <v>5161</v>
      </c>
      <c r="CB1" s="373" t="s">
        <v>5162</v>
      </c>
      <c r="CC1" s="373" t="s">
        <v>5163</v>
      </c>
      <c r="CD1" s="373" t="s">
        <v>5164</v>
      </c>
      <c r="CE1" s="373" t="s">
        <v>5165</v>
      </c>
      <c r="CF1" s="385" t="s">
        <v>6171</v>
      </c>
      <c r="CG1" s="374" t="s">
        <v>5167</v>
      </c>
      <c r="CH1" s="374" t="s">
        <v>5168</v>
      </c>
      <c r="CI1" s="374" t="s">
        <v>5169</v>
      </c>
      <c r="CJ1" s="385" t="s">
        <v>5170</v>
      </c>
      <c r="CK1" s="378" t="s">
        <v>5166</v>
      </c>
      <c r="CL1" s="372" t="s">
        <v>5171</v>
      </c>
      <c r="CM1" s="373" t="s">
        <v>5172</v>
      </c>
      <c r="CN1" s="373" t="s">
        <v>5173</v>
      </c>
      <c r="CO1" s="373" t="s">
        <v>5174</v>
      </c>
      <c r="CP1" s="373" t="s">
        <v>5175</v>
      </c>
      <c r="CQ1" s="373" t="s">
        <v>5176</v>
      </c>
      <c r="CR1" s="373" t="s">
        <v>5177</v>
      </c>
      <c r="CS1" s="373" t="s">
        <v>5178</v>
      </c>
      <c r="CT1" s="385" t="s">
        <v>6172</v>
      </c>
      <c r="CU1" s="374" t="s">
        <v>5180</v>
      </c>
      <c r="CV1" s="374" t="s">
        <v>5181</v>
      </c>
      <c r="CW1" s="374" t="s">
        <v>5182</v>
      </c>
      <c r="CX1" s="385" t="s">
        <v>5183</v>
      </c>
      <c r="CY1" s="378" t="s">
        <v>5179</v>
      </c>
      <c r="CZ1" s="372" t="s">
        <v>5184</v>
      </c>
      <c r="DA1" s="373" t="s">
        <v>5185</v>
      </c>
      <c r="DB1" s="373" t="s">
        <v>5186</v>
      </c>
      <c r="DC1" s="373" t="s">
        <v>5187</v>
      </c>
      <c r="DD1" s="373" t="s">
        <v>5188</v>
      </c>
      <c r="DE1" s="373" t="s">
        <v>5189</v>
      </c>
      <c r="DF1" s="373" t="s">
        <v>5190</v>
      </c>
      <c r="DG1" s="373" t="s">
        <v>5191</v>
      </c>
      <c r="DH1" s="385" t="s">
        <v>5192</v>
      </c>
      <c r="DI1" s="374" t="s">
        <v>5193</v>
      </c>
      <c r="DJ1" s="374" t="s">
        <v>5194</v>
      </c>
      <c r="DK1" s="374" t="s">
        <v>5195</v>
      </c>
      <c r="DL1" s="384" t="s">
        <v>5196</v>
      </c>
      <c r="DM1" s="378" t="s">
        <v>5198</v>
      </c>
      <c r="DN1" s="379" t="s">
        <v>5197</v>
      </c>
      <c r="DO1" s="380" t="s">
        <v>6170</v>
      </c>
      <c r="DP1" s="372" t="s">
        <v>5199</v>
      </c>
      <c r="DQ1" s="373" t="s">
        <v>5200</v>
      </c>
      <c r="DR1" s="373" t="s">
        <v>5201</v>
      </c>
      <c r="DS1" s="373" t="s">
        <v>5202</v>
      </c>
      <c r="DT1" s="373" t="s">
        <v>5203</v>
      </c>
      <c r="DU1" s="373" t="s">
        <v>5204</v>
      </c>
      <c r="DV1" s="373" t="s">
        <v>5205</v>
      </c>
      <c r="DW1" s="373" t="s">
        <v>5206</v>
      </c>
      <c r="DX1" s="377" t="s">
        <v>5207</v>
      </c>
      <c r="DY1" s="374" t="s">
        <v>5208</v>
      </c>
      <c r="DZ1" s="374" t="s">
        <v>5209</v>
      </c>
      <c r="EA1" s="374" t="s">
        <v>5210</v>
      </c>
      <c r="EB1" s="377" t="s">
        <v>5211</v>
      </c>
      <c r="EC1" s="378" t="s">
        <v>5212</v>
      </c>
      <c r="ED1" s="372" t="s">
        <v>5213</v>
      </c>
      <c r="EE1" s="373" t="s">
        <v>5214</v>
      </c>
      <c r="EF1" s="373" t="s">
        <v>5215</v>
      </c>
      <c r="EG1" s="373" t="s">
        <v>5216</v>
      </c>
      <c r="EH1" s="373" t="s">
        <v>5217</v>
      </c>
      <c r="EI1" s="373" t="s">
        <v>5218</v>
      </c>
      <c r="EJ1" s="373" t="s">
        <v>5219</v>
      </c>
      <c r="EK1" s="373" t="s">
        <v>5220</v>
      </c>
      <c r="EL1" s="377" t="s">
        <v>6174</v>
      </c>
      <c r="EM1" s="374" t="s">
        <v>5222</v>
      </c>
      <c r="EN1" s="374" t="s">
        <v>5223</v>
      </c>
      <c r="EO1" s="374" t="s">
        <v>5224</v>
      </c>
      <c r="EP1" s="377" t="s">
        <v>5225</v>
      </c>
      <c r="EQ1" s="378" t="s">
        <v>5221</v>
      </c>
      <c r="ER1" s="372" t="s">
        <v>5226</v>
      </c>
      <c r="ES1" s="373" t="s">
        <v>5227</v>
      </c>
      <c r="ET1" s="373" t="s">
        <v>5228</v>
      </c>
      <c r="EU1" s="373" t="s">
        <v>5229</v>
      </c>
      <c r="EV1" s="373" t="s">
        <v>5230</v>
      </c>
      <c r="EW1" s="373" t="s">
        <v>5231</v>
      </c>
      <c r="EX1" s="373" t="s">
        <v>5232</v>
      </c>
      <c r="EY1" s="373" t="s">
        <v>5233</v>
      </c>
      <c r="EZ1" s="377" t="s">
        <v>6175</v>
      </c>
      <c r="FA1" s="374" t="s">
        <v>5235</v>
      </c>
      <c r="FB1" s="374" t="s">
        <v>5236</v>
      </c>
      <c r="FC1" s="374" t="s">
        <v>5237</v>
      </c>
      <c r="FD1" s="377" t="s">
        <v>5238</v>
      </c>
      <c r="FE1" s="378" t="s">
        <v>5234</v>
      </c>
      <c r="FF1" s="372" t="s">
        <v>5239</v>
      </c>
      <c r="FG1" s="373" t="s">
        <v>5240</v>
      </c>
      <c r="FH1" s="373" t="s">
        <v>5241</v>
      </c>
      <c r="FI1" s="373" t="s">
        <v>5242</v>
      </c>
      <c r="FJ1" s="373" t="s">
        <v>5243</v>
      </c>
      <c r="FK1" s="373" t="s">
        <v>5244</v>
      </c>
      <c r="FL1" s="373" t="s">
        <v>5245</v>
      </c>
      <c r="FM1" s="373" t="s">
        <v>5246</v>
      </c>
      <c r="FN1" s="377" t="s">
        <v>5247</v>
      </c>
      <c r="FO1" s="374" t="s">
        <v>5248</v>
      </c>
      <c r="FP1" s="374" t="s">
        <v>5249</v>
      </c>
      <c r="FQ1" s="374" t="s">
        <v>5250</v>
      </c>
      <c r="FR1" s="377" t="s">
        <v>5251</v>
      </c>
      <c r="FS1" s="378" t="s">
        <v>5234</v>
      </c>
      <c r="FT1" s="379" t="s">
        <v>5252</v>
      </c>
      <c r="FU1" s="380" t="s">
        <v>6173</v>
      </c>
      <c r="FV1" s="372" t="s">
        <v>5253</v>
      </c>
      <c r="FW1" s="373" t="s">
        <v>5254</v>
      </c>
      <c r="FX1" s="373" t="s">
        <v>5255</v>
      </c>
      <c r="FY1" s="373" t="s">
        <v>5256</v>
      </c>
      <c r="FZ1" s="373" t="s">
        <v>5257</v>
      </c>
      <c r="GA1" s="373" t="s">
        <v>5258</v>
      </c>
      <c r="GB1" s="373" t="s">
        <v>5259</v>
      </c>
      <c r="GC1" s="373" t="s">
        <v>5260</v>
      </c>
      <c r="GD1" s="377" t="s">
        <v>5261</v>
      </c>
      <c r="GE1" s="374" t="s">
        <v>5262</v>
      </c>
      <c r="GF1" s="374" t="s">
        <v>5263</v>
      </c>
      <c r="GG1" s="374" t="s">
        <v>5264</v>
      </c>
      <c r="GH1" s="377" t="s">
        <v>5265</v>
      </c>
      <c r="GI1" s="378" t="s">
        <v>5266</v>
      </c>
      <c r="GJ1" s="372" t="s">
        <v>5267</v>
      </c>
      <c r="GK1" s="373" t="s">
        <v>5268</v>
      </c>
      <c r="GL1" s="373" t="s">
        <v>5269</v>
      </c>
      <c r="GM1" s="373" t="s">
        <v>5270</v>
      </c>
      <c r="GN1" s="373" t="s">
        <v>5271</v>
      </c>
      <c r="GO1" s="373" t="s">
        <v>5272</v>
      </c>
      <c r="GP1" s="373" t="s">
        <v>5273</v>
      </c>
      <c r="GQ1" s="373" t="s">
        <v>5274</v>
      </c>
      <c r="GR1" s="377" t="s">
        <v>6176</v>
      </c>
      <c r="GS1" s="374" t="s">
        <v>5276</v>
      </c>
      <c r="GT1" s="374" t="s">
        <v>5277</v>
      </c>
      <c r="GU1" s="374" t="s">
        <v>5278</v>
      </c>
      <c r="GV1" s="377" t="s">
        <v>5279</v>
      </c>
      <c r="GW1" s="378" t="s">
        <v>5275</v>
      </c>
      <c r="GX1" s="372" t="s">
        <v>5280</v>
      </c>
      <c r="GY1" s="373" t="s">
        <v>5281</v>
      </c>
      <c r="GZ1" s="373" t="s">
        <v>5282</v>
      </c>
      <c r="HA1" s="373" t="s">
        <v>5283</v>
      </c>
      <c r="HB1" s="373" t="s">
        <v>5284</v>
      </c>
      <c r="HC1" s="373" t="s">
        <v>5285</v>
      </c>
      <c r="HD1" s="373" t="s">
        <v>5286</v>
      </c>
      <c r="HE1" s="373" t="s">
        <v>5287</v>
      </c>
      <c r="HF1" s="377" t="s">
        <v>6177</v>
      </c>
      <c r="HG1" s="374" t="s">
        <v>5289</v>
      </c>
      <c r="HH1" s="374" t="s">
        <v>5290</v>
      </c>
      <c r="HI1" s="374" t="s">
        <v>5291</v>
      </c>
      <c r="HJ1" s="377" t="s">
        <v>5292</v>
      </c>
      <c r="HK1" s="378" t="s">
        <v>5288</v>
      </c>
      <c r="HL1" s="372" t="s">
        <v>5293</v>
      </c>
      <c r="HM1" s="373" t="s">
        <v>5294</v>
      </c>
      <c r="HN1" s="373" t="s">
        <v>5295</v>
      </c>
      <c r="HO1" s="373" t="s">
        <v>5296</v>
      </c>
      <c r="HP1" s="373" t="s">
        <v>5297</v>
      </c>
      <c r="HQ1" s="373" t="s">
        <v>5298</v>
      </c>
      <c r="HR1" s="373" t="s">
        <v>5299</v>
      </c>
      <c r="HS1" s="373" t="s">
        <v>5300</v>
      </c>
      <c r="HT1" s="377" t="s">
        <v>5301</v>
      </c>
      <c r="HU1" s="374" t="s">
        <v>5302</v>
      </c>
      <c r="HV1" s="374" t="s">
        <v>5303</v>
      </c>
      <c r="HW1" s="374" t="s">
        <v>5304</v>
      </c>
      <c r="HX1" s="377" t="s">
        <v>5305</v>
      </c>
      <c r="HY1" s="378" t="s">
        <v>5288</v>
      </c>
      <c r="HZ1" s="379" t="s">
        <v>5306</v>
      </c>
      <c r="IA1" s="380" t="s">
        <v>6178</v>
      </c>
      <c r="IB1" s="381" t="s">
        <v>5307</v>
      </c>
    </row>
    <row r="2" spans="1:236" ht="27.6">
      <c r="A2" s="550">
        <f>IF('Parte Estrategica'!B2=0,"",'Parte Estrategica'!B2)</f>
        <v>296</v>
      </c>
      <c r="B2" s="551" t="str">
        <f>IFERROR(VLOOKUP(A2,'Matriz de Referencia'!$B$2:$P$578,'Matriz de Referencia'!L$1,FALSE),"")</f>
        <v>Unidades productivas beneficiadas en la implementación de la estrategias para incrementar su productividad)</v>
      </c>
      <c r="C2" s="551" t="str">
        <f>IFERROR(VLOOKUP(A2,'Matriz de Referencia'!$B$2:$P$584,'Matriz de Referencia'!M$1,FALSE),"")</f>
        <v xml:space="preserve">Intervenciones en sectores de interés que incluyen un plan de acción y una medición final </v>
      </c>
      <c r="D2" s="455" t="str">
        <f>IF(OR('Parte Estrategica'!AB2=0,'Parte Estrategica'!AB2=""),"",IF(VLOOKUP($A2,'Matriz de Referencia'!$B$2:$CO$584,'Matriz de Referencia'!Z$1,FALSE)=0,"","Digite"))</f>
        <v/>
      </c>
      <c r="E2" s="456">
        <f>IF(OR('Parte Estrategica'!AB2=0,'Parte Estrategica'!AB2=""),0,IF(VLOOKUP($A2,'Matriz de Referencia'!$B$2:$CO$584,26,FALSE)=0,0,"Digite"))</f>
        <v>0</v>
      </c>
      <c r="F2" s="456">
        <f>IF(OR('Parte Estrategica'!AB2=0,'Parte Estrategica'!AB2=""),0,IF(VLOOKUP($A2,'Matriz de Referencia'!$B$2:$CO$584,27,FALSE)=0,0,"Digite"))</f>
        <v>0</v>
      </c>
      <c r="G2" s="456">
        <f>IF(OR('Parte Estrategica'!AB2=0,'Parte Estrategica'!AB2=""),0,IF(VLOOKUP($A2,'Matriz de Referencia'!$B$2:$CO$584,28,FALSE)=0,0,"Digite"))</f>
        <v>0</v>
      </c>
      <c r="H2" s="456">
        <f>IF(OR('Parte Estrategica'!AB2=0,'Parte Estrategica'!AB2=""),0,IF(VLOOKUP($A2,'Matriz de Referencia'!$B$2:$CO$584,29,FALSE)=0,0,"Digite"))</f>
        <v>0</v>
      </c>
      <c r="I2" s="456">
        <f>IF(OR('Parte Estrategica'!AB2=0,'Parte Estrategica'!AB2=""),0,IF(VLOOKUP($A2,'Matriz de Referencia'!$B$2:$CO$584,30,FALSE)=0,0,"Digite"))</f>
        <v>0</v>
      </c>
      <c r="J2" s="456">
        <f>IF(OR('Parte Estrategica'!AB2=0,'Parte Estrategica'!AB2=""),0,IF(VLOOKUP($A2,'Matriz de Referencia'!$B$2:$CO$584,31,FALSE)=0,0,"Digite"))</f>
        <v>0</v>
      </c>
      <c r="K2" s="456">
        <f>IF(OR('Parte Estrategica'!AB2=0,'Parte Estrategica'!AB2=""),0,IF(VLOOKUP($A2,'Matriz de Referencia'!$B$2:$CO$584,32,FALSE)=0,0,"Digite"))</f>
        <v>0</v>
      </c>
      <c r="L2" s="460">
        <f>SUM(D2:K2)</f>
        <v>0</v>
      </c>
      <c r="M2" s="456">
        <f>IF(OR('Parte Estrategica'!AB2=0,'Parte Estrategica'!AB2=""),0,IF(VLOOKUP($A2,'Matriz de Referencia'!$B$2:$CO$584,34,FALSE)=0,0,"Digite"))</f>
        <v>0</v>
      </c>
      <c r="N2" s="456">
        <f>IF(OR('Parte Estrategica'!AB2=0,'Parte Estrategica'!AB2=""),0,IF(VLOOKUP($A2,'Matriz de Referencia'!$B$2:$CO$584,35,FALSE)=0,0,"Digite"))</f>
        <v>0</v>
      </c>
      <c r="O2" s="456">
        <f>IF(OR('Parte Estrategica'!AB2=0,'Parte Estrategica'!AB2=""),0,IF(VLOOKUP($A2,'Matriz de Referencia'!$B$2:$CO$584,36,FALSE)=0,0,"Digite"))</f>
        <v>0</v>
      </c>
      <c r="P2" s="457">
        <f>SUM(M2:O2)</f>
        <v>0</v>
      </c>
      <c r="Q2" s="457">
        <f>P2+L2</f>
        <v>0</v>
      </c>
      <c r="R2" s="455">
        <f>IF(OR('Parte Estrategica'!AC2=0,'Parte Estrategica'!AC2=""),0,IF(VLOOKUP($A2,'Matriz de Referencia'!$B$2:$CO$584,25,FALSE)=0,0,"Digite"))</f>
        <v>0</v>
      </c>
      <c r="S2" s="456">
        <f>IF(OR('Parte Estrategica'!AC2=0,'Parte Estrategica'!AC2=""),0,IF(VLOOKUP($A2,'Matriz de Referencia'!$B$2:$CO$584,26,FALSE)=0,0,"Digite"))</f>
        <v>0</v>
      </c>
      <c r="T2" s="456">
        <f>IF(OR('Parte Estrategica'!AC2=0,'Parte Estrategica'!AC2=""),0,IF(VLOOKUP($A2,'Matriz de Referencia'!$B$2:$CO$584,27,FALSE)=0,0,"Digite"))</f>
        <v>0</v>
      </c>
      <c r="U2" s="456">
        <f>IF(OR('Parte Estrategica'!AC2=0,'Parte Estrategica'!AC2=""),0,IF(VLOOKUP($A2,'Matriz de Referencia'!$B$2:$CO$584,28,FALSE)=0,0,"Digite"))</f>
        <v>0</v>
      </c>
      <c r="V2" s="456">
        <f>IF(OR('Parte Estrategica'!AC2=0,'Parte Estrategica'!AC2=""),0,IF(VLOOKUP($A2,'Matriz de Referencia'!$B$2:$CO$584,29,FALSE)=0,0,"Digite"))</f>
        <v>0</v>
      </c>
      <c r="W2" s="456">
        <f>IF(OR('Parte Estrategica'!AC2=0,'Parte Estrategica'!AC2=""),0,IF(VLOOKUP($A2,'Matriz de Referencia'!$B$2:$CO$584,30,FALSE)=0,0,"Digite"))</f>
        <v>0</v>
      </c>
      <c r="X2" s="456">
        <f>IF(OR('Parte Estrategica'!AC2=0,'Parte Estrategica'!AC2=""),0,IF(VLOOKUP($A2,'Matriz de Referencia'!$B$2:$CO$584,31,FALSE)=0,0,"Digite"))</f>
        <v>0</v>
      </c>
      <c r="Y2" s="456">
        <f>IF(OR('Parte Estrategica'!AC2=0,'Parte Estrategica'!AC2=""),0,IF(VLOOKUP($A2,'Matriz de Referencia'!$B$2:$CO$584,32,FALSE)=0,0,"Digite"))</f>
        <v>0</v>
      </c>
      <c r="Z2" s="457">
        <f>SUM(R2:Y2)</f>
        <v>0</v>
      </c>
      <c r="AA2" s="456">
        <f>IF(OR('Parte Estrategica'!AC2=0,'Parte Estrategica'!AC2=""),0,IF(VLOOKUP($A2,'Matriz de Referencia'!$B$2:$CO$584,34,FALSE)=0,0,"Digite"))</f>
        <v>0</v>
      </c>
      <c r="AB2" s="456">
        <f>IF(OR('Parte Estrategica'!AC2=0,'Parte Estrategica'!AC2=""),0,IF(VLOOKUP($A2,'Matriz de Referencia'!$B$2:$CO$584,35,FALSE)=0,0,"Digite"))</f>
        <v>0</v>
      </c>
      <c r="AC2" s="456">
        <f>IF(OR('Parte Estrategica'!AC2=0,'Parte Estrategica'!AC2=""),0,IF(VLOOKUP($A2,'Matriz de Referencia'!$B$2:$CO$584,36,FALSE)=0,0,"Digite"))</f>
        <v>0</v>
      </c>
      <c r="AD2" s="457">
        <f>SUM(AA2:AC2)</f>
        <v>0</v>
      </c>
      <c r="AE2" s="457">
        <f>AD2+Z2</f>
        <v>0</v>
      </c>
      <c r="AF2" s="455">
        <f>IF(OR('Parte Estrategica'!AD2=0,'Parte Estrategica'!AD2=""),0,IF(VLOOKUP($A2,'Matriz de Referencia'!$B$2:$CO$584,25,FALSE)=0,0,"Digite"))</f>
        <v>0</v>
      </c>
      <c r="AG2" s="456">
        <f>IF(OR('Parte Estrategica'!AD2=0,'Parte Estrategica'!AD2=""),0,IF(VLOOKUP($A2,'Matriz de Referencia'!$B$2:$CO$584,26,FALSE)=0,0,"Digite"))</f>
        <v>0</v>
      </c>
      <c r="AH2" s="456">
        <f>IF(OR('Parte Estrategica'!AD2=0,'Parte Estrategica'!AD2=""),0,IF(VLOOKUP($A2,'Matriz de Referencia'!$B$2:$CO$584,27,FALSE)=0,0,"Digite"))</f>
        <v>0</v>
      </c>
      <c r="AI2" s="456">
        <f>IF(OR('Parte Estrategica'!AD2=0,'Parte Estrategica'!AD2=""),0,IF(VLOOKUP($A2,'Matriz de Referencia'!$B$2:$CO$584,28,FALSE)=0,0,"Digite"))</f>
        <v>0</v>
      </c>
      <c r="AJ2" s="456">
        <f>IF(OR('Parte Estrategica'!AD2=0,'Parte Estrategica'!AD2=""),0,IF(VLOOKUP($A2,'Matriz de Referencia'!$B$2:$CO$584,29,FALSE)=0,0,"Digite"))</f>
        <v>0</v>
      </c>
      <c r="AK2" s="456">
        <f>IF(OR('Parte Estrategica'!AD2=0,'Parte Estrategica'!AD2=""),0,IF(VLOOKUP($A2,'Matriz de Referencia'!$B$2:$CO$584,30,FALSE)=0,0,"Digite"))</f>
        <v>0</v>
      </c>
      <c r="AL2" s="456">
        <f>IF(OR('Parte Estrategica'!AD2=0,'Parte Estrategica'!AD2=""),0,IF(VLOOKUP($A2,'Matriz de Referencia'!$B$2:$CO$584,31,FALSE)=0,0,"Digite"))</f>
        <v>0</v>
      </c>
      <c r="AM2" s="456">
        <f>IF(OR('Parte Estrategica'!AD2=0,'Parte Estrategica'!AD2=""),0,IF(VLOOKUP($A2,'Matriz de Referencia'!$B$2:$CO$584,32,FALSE)=0,0,"Digite"))</f>
        <v>0</v>
      </c>
      <c r="AN2" s="457">
        <f>SUM(AF2:AM2)</f>
        <v>0</v>
      </c>
      <c r="AO2" s="456">
        <f>IF(OR('Parte Estrategica'!AD2=0,'Parte Estrategica'!AD2=""),0,IF(VLOOKUP($A2,'Matriz de Referencia'!$B$2:$CO$584,34,FALSE)=0,0,"Digite"))</f>
        <v>0</v>
      </c>
      <c r="AP2" s="456">
        <f>IF(OR('Parte Estrategica'!AD2=0,'Parte Estrategica'!AD2=""),0,IF(VLOOKUP($A2,'Matriz de Referencia'!$B$2:$CO$584,35,FALSE)=0,0,"Digite"))</f>
        <v>0</v>
      </c>
      <c r="AQ2" s="456">
        <f>IF(OR('Parte Estrategica'!AD2=0,'Parte Estrategica'!AD2=""),0,IF(VLOOKUP($A2,'Matriz de Referencia'!$B$2:$CO$584,36,FALSE)=0,0,"Digite"))</f>
        <v>0</v>
      </c>
      <c r="AR2" s="457">
        <f>SUM(AO2:AQ2)</f>
        <v>0</v>
      </c>
      <c r="AS2" s="457">
        <f>AR2+AN2</f>
        <v>0</v>
      </c>
      <c r="AT2" s="455">
        <f>IF(OR('Parte Estrategica'!AE2=0,'Parte Estrategica'!AE2=""),0,IF(VLOOKUP($A2,'Matriz de Referencia'!$B$2:$CO$584,25,FALSE)=0,0,"Digite"))</f>
        <v>0</v>
      </c>
      <c r="AU2" s="456">
        <f>IF(OR('Parte Estrategica'!AE2=0,'Parte Estrategica'!AE2=""),0,IF(VLOOKUP($A2,'Matriz de Referencia'!$B$2:$CO$584,26,FALSE)=0,0,"Digite"))</f>
        <v>0</v>
      </c>
      <c r="AV2" s="456">
        <f>IF(OR('Parte Estrategica'!AE2=0,'Parte Estrategica'!AE2=""),0,IF(VLOOKUP($A2,'Matriz de Referencia'!$B$2:$CO$584,27,FALSE)=0,0,"Digite"))</f>
        <v>0</v>
      </c>
      <c r="AW2" s="456">
        <f>IF(OR('Parte Estrategica'!AE2=0,'Parte Estrategica'!AE2=""),0,IF(VLOOKUP($A2,'Matriz de Referencia'!$B$2:$CO$584,28,FALSE)=0,0,"Digite"))</f>
        <v>0</v>
      </c>
      <c r="AX2" s="456">
        <f>IF(OR('Parte Estrategica'!AE2=0,'Parte Estrategica'!AE2=""),0,IF(VLOOKUP($A2,'Matriz de Referencia'!$B$2:$CO$584,29,FALSE)=0,0,"Digite"))</f>
        <v>0</v>
      </c>
      <c r="AY2" s="456">
        <v>12150000000</v>
      </c>
      <c r="AZ2" s="456">
        <f>IF(OR('Parte Estrategica'!AE2=0,'Parte Estrategica'!AE2=""),0,IF(VLOOKUP($A2,'Matriz de Referencia'!$B$2:$CO$584,31,FALSE)=0,0,"Digite"))</f>
        <v>0</v>
      </c>
      <c r="BA2" s="456">
        <f>IF(OR('Parte Estrategica'!AE2=0,'Parte Estrategica'!AE2=""),0,IF(VLOOKUP($A2,'Matriz de Referencia'!$B$2:$CO$584,32,FALSE)=0,0,"Digite"))</f>
        <v>0</v>
      </c>
      <c r="BB2" s="457">
        <f>SUM(AT2:BA2)</f>
        <v>12150000000</v>
      </c>
      <c r="BC2" s="456">
        <f>IF(OR('Parte Estrategica'!AE2=0,'Parte Estrategica'!AE2=""),0,IF(VLOOKUP($A2,'Matriz de Referencia'!$B$2:$CO$584,34,FALSE)=0,0,"Digite"))</f>
        <v>0</v>
      </c>
      <c r="BD2" s="456">
        <f>IF(OR('Parte Estrategica'!AE2=0,'Parte Estrategica'!AE2=""),0,IF(VLOOKUP($A2,'Matriz de Referencia'!$B$2:$CO$584,35,FALSE)=0,0,"Digite"))</f>
        <v>0</v>
      </c>
      <c r="BE2" s="456">
        <f>IF(OR('Parte Estrategica'!AE2=0,'Parte Estrategica'!AE2=""),0,IF(VLOOKUP($A2,'Matriz de Referencia'!$B$2:$CO$584,36,FALSE)=0,0,"Digite"))</f>
        <v>0</v>
      </c>
      <c r="BF2" s="457">
        <f>SUM(BC2:BE2)</f>
        <v>0</v>
      </c>
      <c r="BG2" s="457">
        <f>BF2+BB2</f>
        <v>12150000000</v>
      </c>
      <c r="BH2" s="457">
        <f>BG2+AS2+AE2+Q2</f>
        <v>12150000000</v>
      </c>
      <c r="BI2" s="101" t="str">
        <f>IFERROR(IF(BH2=0,"",IF(VLOOKUP($A2,'Matriz de Referencia'!$B$2:$CO$584,'Matriz de Referencia'!AM$1,FALSE)=BH2,"Techos ok, cotinue","Debe revisar el valor programado")),"")</f>
        <v>Techos ok, cotinue</v>
      </c>
      <c r="BJ2" s="453">
        <f>IF(OR('Parte Estrategica'!AH2=0,'Parte Estrategica'!AH2=""),0,IF(VLOOKUP($A2,'Matriz de Referencia'!$B$2:$CO$584,39,FALSE)=0,0,"Digite"))</f>
        <v>0</v>
      </c>
      <c r="BK2" s="454">
        <f>IF(OR('Parte Estrategica'!AH2=0,'Parte Estrategica'!AH2=""),0,IF(VLOOKUP($A2,'Matriz de Referencia'!$B$2:$CO$584,40,FALSE)=0,0,"Digite"))</f>
        <v>0</v>
      </c>
      <c r="BL2" s="454">
        <f>IF(OR('Parte Estrategica'!AH2=0,'Parte Estrategica'!AH2=""),0,IF(VLOOKUP($A2,'Matriz de Referencia'!$B$2:$CO$584,41,FALSE)=0,0,"Digite"))</f>
        <v>0</v>
      </c>
      <c r="BM2" s="454">
        <f>IF(OR('Parte Estrategica'!AH2=0,'Parte Estrategica'!AH2=""),0,IF(VLOOKUP($A2,'Matriz de Referencia'!$B$2:$CO$584,42,FALSE)=0,0,"Digite"))</f>
        <v>0</v>
      </c>
      <c r="BN2" s="454">
        <f>IF(OR('Parte Estrategica'!AH2=0,'Parte Estrategica'!AH2=""),0,IF(VLOOKUP($A2,'Matriz de Referencia'!$B$2:$CO$584,43,FALSE)=0,0,"Digite"))</f>
        <v>0</v>
      </c>
      <c r="BO2" s="454">
        <f>IF(OR('Parte Estrategica'!AH2=0,'Parte Estrategica'!AH2=""),0,IF(VLOOKUP($A2,'Matriz de Referencia'!$B$2:$CO$584,44,FALSE)=0,0,"Digite"))</f>
        <v>0</v>
      </c>
      <c r="BP2" s="454">
        <f>IF(OR('Parte Estrategica'!AH2=0,'Parte Estrategica'!AH2=""),0,IF(VLOOKUP($A2,'Matriz de Referencia'!$B$2:$CO$584,45,FALSE)=0,0,"Digite"))</f>
        <v>0</v>
      </c>
      <c r="BQ2" s="454">
        <f>IF(OR('Parte Estrategica'!AH2=0,'Parte Estrategica'!AH2=""),0,IF(VLOOKUP($A2,'Matriz de Referencia'!$B$2:$CO$584,46,FALSE)=0,0,"Digite"))</f>
        <v>0</v>
      </c>
      <c r="BR2" s="382">
        <f>SUM(BJ2:BQ2)</f>
        <v>0</v>
      </c>
      <c r="BS2" s="454">
        <f>IF(OR('Parte Estrategica'!CL2=0,'Parte Estrategica'!CL2=""),0,IF(VLOOKUP($A2,'Matriz de Referencia'!$B$2:$CO$584,48,FALSE)=0,0,"Digite"))</f>
        <v>0</v>
      </c>
      <c r="BT2" s="454">
        <f>IF(OR('Parte Estrategica'!CL2=0,'Parte Estrategica'!CL2=""),0,IF(VLOOKUP($A2,'Matriz de Referencia'!$B$2:$CO$584,49,FALSE)=0,0,"Digite"))</f>
        <v>0</v>
      </c>
      <c r="BU2" s="454">
        <f>IF(OR('Parte Estrategica'!CL2=0,'Parte Estrategica'!CL2=""),0,IF(VLOOKUP($A2,'Matriz de Referencia'!$B$2:$CO$584,50,FALSE)=0,0,"Digite"))</f>
        <v>0</v>
      </c>
      <c r="BV2" s="382">
        <f>SUM(BS2:BU2)</f>
        <v>0</v>
      </c>
      <c r="BW2" s="382">
        <f>BV2+BR2</f>
        <v>0</v>
      </c>
      <c r="BX2" s="453">
        <f>IF(OR('Parte Estrategica'!AI2=0,'Parte Estrategica'!AI2=""),0,IF(VLOOKUP($A2,'Matriz de Referencia'!$B$2:$CO$584,39,FALSE)=0,0,"Digite"))</f>
        <v>0</v>
      </c>
      <c r="BY2" s="454">
        <f>IF(OR('Parte Estrategica'!AI2=0,'Parte Estrategica'!AI2=""),0,IF(VLOOKUP($A2,'Matriz de Referencia'!$B$2:$CO$584,40,FALSE)=0,0,"Digite"))</f>
        <v>0</v>
      </c>
      <c r="BZ2" s="454">
        <f>IF(OR('Parte Estrategica'!AI2=0,'Parte Estrategica'!AI2=""),0,IF(VLOOKUP($A2,'Matriz de Referencia'!$B$2:$CO$584,41,FALSE)=0,0,"Digite"))</f>
        <v>0</v>
      </c>
      <c r="CA2" s="454">
        <f>IF(OR('Parte Estrategica'!AI2=0,'Parte Estrategica'!AI2=""),0,IF(VLOOKUP($A2,'Matriz de Referencia'!$B$2:$CO$584,42,FALSE)=0,0,"Digite"))</f>
        <v>0</v>
      </c>
      <c r="CB2" s="454">
        <f>IF(OR('Parte Estrategica'!AI2=0,'Parte Estrategica'!AI2=""),0,IF(VLOOKUP($A2,'Matriz de Referencia'!$B$2:$CO$584,43,FALSE)=0,0,"Digite"))</f>
        <v>0</v>
      </c>
      <c r="CC2" s="454">
        <f>IF(OR('Parte Estrategica'!AI2=0,'Parte Estrategica'!AI2=""),0,IF(VLOOKUP($A2,'Matriz de Referencia'!$B$2:$CO$584,44,FALSE)=0,0,"Digite"))</f>
        <v>0</v>
      </c>
      <c r="CD2" s="454">
        <f>IF(OR('Parte Estrategica'!AI2=0,'Parte Estrategica'!AI2=""),0,IF(VLOOKUP($A2,'Matriz de Referencia'!$B$2:$CO$584,45,FALSE)=0,0,"Digite"))</f>
        <v>0</v>
      </c>
      <c r="CE2" s="454">
        <f>IF(OR('Parte Estrategica'!AI2=0,'Parte Estrategica'!AI2=""),0,IF(VLOOKUP($A2,'Matriz de Referencia'!$B$2:$CO$584,46,FALSE)=0,0,"Digite"))</f>
        <v>0</v>
      </c>
      <c r="CF2" s="382">
        <f>SUM(BX2:CE2)</f>
        <v>0</v>
      </c>
      <c r="CG2" s="454">
        <f>IF(OR('Parte Estrategica'!AI2=0,'Parte Estrategica'!AI2=""),0,IF(VLOOKUP($A2,'Matriz de Referencia'!$B$2:$CO$584,48,FALSE)=0,0,"Digite"))</f>
        <v>0</v>
      </c>
      <c r="CH2" s="454">
        <f>IF(OR('Parte Estrategica'!AI2=0,'Parte Estrategica'!AI2=""),0,IF(VLOOKUP($A2,'Matriz de Referencia'!$B$2:$CO$584,49,FALSE)=0,0,"Digite"))</f>
        <v>0</v>
      </c>
      <c r="CI2" s="454">
        <f>IF(OR('Parte Estrategica'!AI2=0,'Parte Estrategica'!AI2=""),0,IF(VLOOKUP($A2,'Matriz de Referencia'!$B$2:$CO$584,50,FALSE)=0,0,"Digite"))</f>
        <v>0</v>
      </c>
      <c r="CJ2" s="382">
        <f>SUM(CG2:CI2)</f>
        <v>0</v>
      </c>
      <c r="CK2" s="382">
        <f>CJ2+CF2</f>
        <v>0</v>
      </c>
      <c r="CL2" s="453">
        <f>IF(OR('Parte Estrategica'!AJ2=0,'Parte Estrategica'!AJ2=""),0,IF(VLOOKUP($A2,'Matriz de Referencia'!$B$2:$CO$584,39,FALSE)=0,0,"Digite"))</f>
        <v>0</v>
      </c>
      <c r="CM2" s="454">
        <f>IF(OR('Parte Estrategica'!AJ2=0,'Parte Estrategica'!AJ2=""),0,IF(VLOOKUP($A2,'Matriz de Referencia'!$B$2:$CO$584,40,FALSE)=0,0,"Digite"))</f>
        <v>0</v>
      </c>
      <c r="CN2" s="454">
        <f>IF(OR('Parte Estrategica'!AJ2=0,'Parte Estrategica'!AJ2=""),0,IF(VLOOKUP($A2,'Matriz de Referencia'!$B$2:$CO$584,41,FALSE)=0,0,"Digite"))</f>
        <v>0</v>
      </c>
      <c r="CO2" s="454">
        <f>IF(OR('Parte Estrategica'!AJ2=0,'Parte Estrategica'!AJ2=""),0,IF(VLOOKUP($A2,'Matriz de Referencia'!$B$2:$CO$584,42,FALSE)=0,0,"Digite"))</f>
        <v>0</v>
      </c>
      <c r="CP2" s="454">
        <f>IF(OR('Parte Estrategica'!AJ2=0,'Parte Estrategica'!AJ2=""),0,IF(VLOOKUP($A2,'Matriz de Referencia'!$B$2:$CO$584,43,FALSE)=0,0,"Digite"))</f>
        <v>0</v>
      </c>
      <c r="CQ2" s="454">
        <f>IF(OR('Parte Estrategica'!AJ2=0,'Parte Estrategica'!AJ2=""),0,IF(VLOOKUP($A2,'Matriz de Referencia'!$B$2:$CO$584,44,FALSE)=0,0,"Digite"))</f>
        <v>0</v>
      </c>
      <c r="CR2" s="454">
        <f>IF(OR('Parte Estrategica'!AJ2=0,'Parte Estrategica'!AJ2=""),0,IF(VLOOKUP($A2,'Matriz de Referencia'!$B$2:$CO$584,45,FALSE)=0,0,"Digite"))</f>
        <v>0</v>
      </c>
      <c r="CS2" s="454">
        <f>IF(OR('Parte Estrategica'!AJ2=0,'Parte Estrategica'!AJ2=""),0,IF(VLOOKUP($A2,'Matriz de Referencia'!$B$2:$CO$584,46,FALSE)=0,0,"Digite"))</f>
        <v>0</v>
      </c>
      <c r="CT2" s="382">
        <f>SUM(CL2:CS2)</f>
        <v>0</v>
      </c>
      <c r="CU2" s="454">
        <f>IF(OR('Parte Estrategica'!AJ2=0,'Parte Estrategica'!AJ2=""),0,IF(VLOOKUP($A2,'Matriz de Referencia'!$B$2:$CO$584,48,FALSE)=0,0,"Digite"))</f>
        <v>0</v>
      </c>
      <c r="CV2" s="454">
        <f>IF(OR('Parte Estrategica'!AJ2=0,'Parte Estrategica'!AJ2=""),0,IF(VLOOKUP($A2,'Matriz de Referencia'!$B$2:$CO$584,49,FALSE)=0,0,"Digite"))</f>
        <v>0</v>
      </c>
      <c r="CW2" s="454">
        <f>IF(OR('Parte Estrategica'!AJ2=0,'Parte Estrategica'!AJ2=""),0,IF(VLOOKUP($A2,'Matriz de Referencia'!$B$2:$CO$584,50,FALSE)=0,0,"Digite"))</f>
        <v>0</v>
      </c>
      <c r="CX2" s="382">
        <f>SUM(CU2:CW2)</f>
        <v>0</v>
      </c>
      <c r="CY2" s="382">
        <f>CX2+CT2</f>
        <v>0</v>
      </c>
      <c r="CZ2" s="453">
        <f>IF(OR('Parte Estrategica'!AK2=0,'Parte Estrategica'!AK2=""),0,IF(VLOOKUP($A2,'Matriz de Referencia'!$B$2:$CO$584,39,FALSE)=0,0,"Digite"))</f>
        <v>0</v>
      </c>
      <c r="DA2" s="454">
        <f>IF(OR('Parte Estrategica'!AK2=0,'Parte Estrategica'!AK2=""),0,IF(VLOOKUP($A2,'Matriz de Referencia'!$B$2:$CO$584,40,FALSE)=0,0,"Digite"))</f>
        <v>0</v>
      </c>
      <c r="DB2" s="454">
        <f>IF(OR('Parte Estrategica'!AK2=0,'Parte Estrategica'!AK2=""),0,IF(VLOOKUP($A2,'Matriz de Referencia'!$B$2:$CO$584,41,FALSE)=0,0,"Digite"))</f>
        <v>0</v>
      </c>
      <c r="DC2" s="454">
        <f>IF(OR('Parte Estrategica'!AK2=0,'Parte Estrategica'!AK2=""),0,IF(VLOOKUP($A2,'Matriz de Referencia'!$B$2:$CO$584,42,FALSE)=0,0,"Digite"))</f>
        <v>0</v>
      </c>
      <c r="DD2" s="454">
        <f>IF(OR('Parte Estrategica'!AK2=0,'Parte Estrategica'!AK2=""),0,IF(VLOOKUP($A2,'Matriz de Referencia'!$B$2:$CO$584,43,FALSE)=0,0,"Digite"))</f>
        <v>0</v>
      </c>
      <c r="DE2" s="454">
        <v>12150000000</v>
      </c>
      <c r="DF2" s="454">
        <f>IF(OR('Parte Estrategica'!AK2=0,'Parte Estrategica'!AK2=""),0,IF(VLOOKUP($A2,'Matriz de Referencia'!$B$2:$CO$584,45,FALSE)=0,0,"Digite"))</f>
        <v>0</v>
      </c>
      <c r="DG2" s="454">
        <f>IF(OR('Parte Estrategica'!AK2=0,'Parte Estrategica'!AK2=""),0,IF(VLOOKUP($A2,'Matriz de Referencia'!$B$2:$CO$584,46,FALSE)=0,0,"Digite"))</f>
        <v>0</v>
      </c>
      <c r="DH2" s="382">
        <f>SUM(CZ2:DG2)</f>
        <v>12150000000</v>
      </c>
      <c r="DI2" s="454">
        <f>IF(OR('Parte Estrategica'!AK2=0,'Parte Estrategica'!AK2=""),0,IF(VLOOKUP($A2,'Matriz de Referencia'!$B$2:$CO$584,48,FALSE)=0,0,"Digite"))</f>
        <v>0</v>
      </c>
      <c r="DJ2" s="454">
        <f>IF(OR('Parte Estrategica'!AK2=0,'Parte Estrategica'!AK2=""),0,IF(VLOOKUP($A2,'Matriz de Referencia'!$B$2:$CO$584,49,FALSE)=0,0,"Digite"))</f>
        <v>0</v>
      </c>
      <c r="DK2" s="454">
        <f>IF(OR('Parte Estrategica'!AK2=0,'Parte Estrategica'!AK2=""),0,IF(VLOOKUP($A2,'Matriz de Referencia'!$B$2:$CO$584,50,FALSE)=0,0,"Digite"))</f>
        <v>0</v>
      </c>
      <c r="DL2" s="382">
        <f>SUM(DI2:DK2)</f>
        <v>0</v>
      </c>
      <c r="DM2" s="382">
        <f>DL2+DH2</f>
        <v>12150000000</v>
      </c>
      <c r="DN2" s="382">
        <f>DM2+CY2+CK2+BW2</f>
        <v>12150000000</v>
      </c>
      <c r="DO2" s="101" t="str">
        <f>IFERROR(IF(DN2=0,"",IF(VLOOKUP($A2,'Matriz de Referencia'!$B$2:$CO$584,52,FALSE)=DN2,"Techos ok, cotinue","Debe revisar el valor programado")),"")</f>
        <v>Techos ok, cotinue</v>
      </c>
      <c r="DP2" s="453">
        <f>IF(OR('Parte Estrategica'!AN2=0,'Parte Estrategica'!AN2=""),0,IF(VLOOKUP($A2,'Matriz de Referencia'!$B$2:$CO$584,53,FALSE)=0,0,"Digite"))</f>
        <v>0</v>
      </c>
      <c r="DQ2" s="454">
        <f>IF(OR('Parte Estrategica'!AN2=0,'Parte Estrategica'!AN2=""),0,IF(VLOOKUP($A2,'Matriz de Referencia'!$B$2:$CO$584,54,FALSE)=0,0,"Digite"))</f>
        <v>0</v>
      </c>
      <c r="DR2" s="454">
        <f>IF(OR('Parte Estrategica'!AN2=0,'Parte Estrategica'!AN2=""),0,IF(VLOOKUP($A2,'Matriz de Referencia'!$B$2:$CO$584,55,FALSE)=0,0,"Digite"))</f>
        <v>0</v>
      </c>
      <c r="DS2" s="454">
        <f>IF(OR('Parte Estrategica'!AN2=0,'Parte Estrategica'!AN2=""),0,IF(VLOOKUP($A2,'Matriz de Referencia'!$B$2:$CO$584,56,FALSE)=0,0,"Digite"))</f>
        <v>0</v>
      </c>
      <c r="DT2" s="454">
        <f>IF(OR('Parte Estrategica'!AN2=0,'Parte Estrategica'!AN2=""),0,IF(VLOOKUP($A2,'Matriz de Referencia'!$B$2:$CO$584,57,FALSE)=0,0,"Digite"))</f>
        <v>0</v>
      </c>
      <c r="DU2" s="454">
        <f>IF(OR('Parte Estrategica'!AN2=0,'Parte Estrategica'!AN2=""),0,IF(VLOOKUP($A2,'Matriz de Referencia'!$B$2:$CO$584,58,FALSE)=0,0,"Digite"))</f>
        <v>0</v>
      </c>
      <c r="DV2" s="454">
        <f>IF(OR('Parte Estrategica'!AN2=0,'Parte Estrategica'!AN2=""),0,IF(VLOOKUP($A2,'Matriz de Referencia'!$B$2:$CO$584,59,FALSE)=0,0,"Digite"))</f>
        <v>0</v>
      </c>
      <c r="DW2" s="454">
        <f>IF(OR('Parte Estrategica'!AN2=0,'Parte Estrategica'!AN2=""),0,IF(VLOOKUP($A2,'Matriz de Referencia'!$B$2:$CO$584,60,FALSE)=0,0,"Digite"))</f>
        <v>0</v>
      </c>
      <c r="DX2" s="382">
        <f>SUM(DP2:DW2)</f>
        <v>0</v>
      </c>
      <c r="DY2" s="454">
        <f>IF(OR('Parte Estrategica'!AN2=0,'Parte Estrategica'!AN2=""),0,IF(VLOOKUP($A2,'Matriz de Referencia'!$B$2:$CO$584,62,FALSE)=0,0,"Digite"))</f>
        <v>0</v>
      </c>
      <c r="DZ2" s="454">
        <f>IF(OR('Parte Estrategica'!AN2=0,'Parte Estrategica'!AN2=""),0,IF(VLOOKUP($A2,'Matriz de Referencia'!$B$2:$CO$584,63,FALSE)=0,0,"Digite"))</f>
        <v>0</v>
      </c>
      <c r="EA2" s="454" t="str">
        <f>IF(OR('Parte Estrategica'!AN2=0,'Parte Estrategica'!AN2=""),"",IF(VLOOKUP($A2,'Matriz de Referencia'!$B$2:$CO$584,64,FALSE)=0,"","Digite"))</f>
        <v/>
      </c>
      <c r="EB2" s="382">
        <f>SUM(DY2:EA2)</f>
        <v>0</v>
      </c>
      <c r="EC2" s="382">
        <f>EB2+DX2</f>
        <v>0</v>
      </c>
      <c r="ED2" s="453">
        <f>IF(OR('Parte Estrategica'!AO2=0,'Parte Estrategica'!AO2=""),0,IF(VLOOKUP($A2,'Matriz de Referencia'!$B$2:$CO$584,53,FALSE)=0,0,"Digite"))</f>
        <v>0</v>
      </c>
      <c r="EE2" s="454">
        <f>IF(OR('Parte Estrategica'!AO2=0,'Parte Estrategica'!AO2=""),0,IF(VLOOKUP($A2,'Matriz de Referencia'!$B$2:$CO$584,54,FALSE)=0,0,"Digite"))</f>
        <v>0</v>
      </c>
      <c r="EF2" s="454">
        <f>IF(OR('Parte Estrategica'!AO2=0,'Parte Estrategica'!AO2=""),0,IF(VLOOKUP($A2,'Matriz de Referencia'!$B$2:$CO$584,55,FALSE)=0,0,"Digite"))</f>
        <v>0</v>
      </c>
      <c r="EG2" s="454">
        <f>IF(OR('Parte Estrategica'!AO2=0,'Parte Estrategica'!AO2=""),0,IF(VLOOKUP($A2,'Matriz de Referencia'!$B$2:$CO$584,56,FALSE)=0,0,"Digite"))</f>
        <v>0</v>
      </c>
      <c r="EH2" s="454">
        <f>IF(OR('Parte Estrategica'!AO2=0,'Parte Estrategica'!AO2=""),0,IF(VLOOKUP($A2,'Matriz de Referencia'!$B$2:$CO$584,57,FALSE)=0,0,"Digite"))</f>
        <v>0</v>
      </c>
      <c r="EI2" s="454">
        <f>IF(OR('Parte Estrategica'!AO2=0,'Parte Estrategica'!AO2=""),0,IF(VLOOKUP($A2,'Matriz de Referencia'!$B$2:$CO$584,58,FALSE)=0,0,"Digite"))</f>
        <v>0</v>
      </c>
      <c r="EJ2" s="454">
        <f>IF(OR('Parte Estrategica'!AO2=0,'Parte Estrategica'!AO2=""),0,IF(VLOOKUP($A2,'Matriz de Referencia'!$B$2:$CO$584,59,FALSE)=0,0,"Digite"))</f>
        <v>0</v>
      </c>
      <c r="EK2" s="454">
        <f>IF(OR('Parte Estrategica'!AO2=0,'Parte Estrategica'!AO2=""),0,IF(VLOOKUP($A2,'Matriz de Referencia'!$B$2:$CO$584,60,FALSE)=0,0,"Digite"))</f>
        <v>0</v>
      </c>
      <c r="EL2" s="382">
        <f>SUM(ED2:EK2)</f>
        <v>0</v>
      </c>
      <c r="EM2" s="454">
        <f>IF(OR('Parte Estrategica'!AO2=0,'Parte Estrategica'!AO2=""),0,IF(VLOOKUP($A2,'Matriz de Referencia'!$B$2:$CO$584,62,FALSE)=0,0,"Digite"))</f>
        <v>0</v>
      </c>
      <c r="EN2" s="454">
        <f>IF(OR('Parte Estrategica'!AO2=0,'Parte Estrategica'!AO2=""),0,IF(VLOOKUP($A2,'Matriz de Referencia'!$B$2:$CO$584,63,FALSE)=0,0,"Digite"))</f>
        <v>0</v>
      </c>
      <c r="EO2" s="454">
        <f>IF(OR('Parte Estrategica'!AO2=0,'Parte Estrategica'!AO2=""),0,IF(VLOOKUP($A2,'Matriz de Referencia'!$B$2:$CO$584,64,FALSE)=0,0,"Digite"))</f>
        <v>0</v>
      </c>
      <c r="EP2" s="382">
        <f>SUM(EM2:EO2)</f>
        <v>0</v>
      </c>
      <c r="EQ2" s="382">
        <f>EP2+EL2</f>
        <v>0</v>
      </c>
      <c r="ER2" s="453">
        <f>IF(OR('Parte Estrategica'!AP2=0,'Parte Estrategica'!AP2=""),0,IF(VLOOKUP($A2,'Matriz de Referencia'!$B$2:$CO$584,53,FALSE)=0,0,"Digite"))</f>
        <v>0</v>
      </c>
      <c r="ES2" s="454">
        <f>IF(OR('Parte Estrategica'!AP2=0,'Parte Estrategica'!AP2=""),0,IF(VLOOKUP($A2,'Matriz de Referencia'!$B$2:$CO$584,54,FALSE)=0,0,"Digite"))</f>
        <v>0</v>
      </c>
      <c r="ET2" s="454">
        <f>IF(OR('Parte Estrategica'!AP2=0,'Parte Estrategica'!AP2=""),0,IF(VLOOKUP($A2,'Matriz de Referencia'!$B$2:$CO$584,55,FALSE)=0,0,"Digite"))</f>
        <v>0</v>
      </c>
      <c r="EU2" s="454">
        <f>IF(OR('Parte Estrategica'!AP2=0,'Parte Estrategica'!AP2=""),0,IF(VLOOKUP($A2,'Matriz de Referencia'!$B$2:$CO$584,56,FALSE)=0,0,"Digite"))</f>
        <v>0</v>
      </c>
      <c r="EV2" s="454">
        <f>IF(OR('Parte Estrategica'!AP2=0,'Parte Estrategica'!AP2=""),0,IF(VLOOKUP($A2,'Matriz de Referencia'!$B$2:$CO$584,57,FALSE)=0,0,"Digite"))</f>
        <v>0</v>
      </c>
      <c r="EW2" s="454">
        <f>IF(OR('Parte Estrategica'!AP2=0,'Parte Estrategica'!AP2=""),0,IF(VLOOKUP($A2,'Matriz de Referencia'!$B$2:$CO$584,58,FALSE)=0,0,"Digite"))</f>
        <v>0</v>
      </c>
      <c r="EX2" s="454">
        <f>IF(OR('Parte Estrategica'!AP2=0,'Parte Estrategica'!AP2=""),0,IF(VLOOKUP($A2,'Matriz de Referencia'!$B$2:$CO$584,59,FALSE)=0,0,"Digite"))</f>
        <v>0</v>
      </c>
      <c r="EY2" s="454">
        <f>IF(OR('Parte Estrategica'!AP2=0,'Parte Estrategica'!AP2=""),0,IF(VLOOKUP($A2,'Matriz de Referencia'!$B$2:$CO$584,60,FALSE)=0,0,"Digite"))</f>
        <v>0</v>
      </c>
      <c r="EZ2" s="382">
        <f>SUM(ER2:EY2)</f>
        <v>0</v>
      </c>
      <c r="FA2" s="454">
        <f>IF(OR('Parte Estrategica'!AP2=0,'Parte Estrategica'!AP2=""),0,IF(VLOOKUP($A2,'Matriz de Referencia'!$B$2:$CO$584,62,FALSE)=0,0,"Digite"))</f>
        <v>0</v>
      </c>
      <c r="FB2" s="454">
        <f>IF(OR('Parte Estrategica'!AP2=0,'Parte Estrategica'!AP2=""),0,IF(VLOOKUP($A2,'Matriz de Referencia'!$B$2:$CO$584,63,FALSE)=0,0,"Digite"))</f>
        <v>0</v>
      </c>
      <c r="FC2" s="454">
        <f>IF(OR('Parte Estrategica'!AP2=0,'Parte Estrategica'!AP2=""),0,IF(VLOOKUP($A2,'Matriz de Referencia'!$B$2:$CO$584,64,FALSE)=0,0,"Digite"))</f>
        <v>0</v>
      </c>
      <c r="FD2" s="382">
        <f>SUM(FA2:FC2)</f>
        <v>0</v>
      </c>
      <c r="FE2" s="382">
        <f>FD2+EZ2</f>
        <v>0</v>
      </c>
      <c r="FF2" s="453">
        <f>IF(OR('Parte Estrategica'!AQ2=0,'Parte Estrategica'!AQ2=""),0,IF(VLOOKUP($A2,'Matriz de Referencia'!$B$2:$CO$584,53,FALSE)=0,0,"Digite"))</f>
        <v>0</v>
      </c>
      <c r="FG2" s="454">
        <f>IF(OR('Parte Estrategica'!AQ2=0,'Parte Estrategica'!AQ2=""),0,IF(VLOOKUP($A2,'Matriz de Referencia'!$B$2:$CO$584,54,FALSE)=0,0,"Digite"))</f>
        <v>0</v>
      </c>
      <c r="FH2" s="454">
        <f>IF(OR('Parte Estrategica'!AQ2=0,'Parte Estrategica'!AQ2=""),0,IF(VLOOKUP($A2,'Matriz de Referencia'!$B$2:$CO$584,55,FALSE)=0,0,"Digite"))</f>
        <v>0</v>
      </c>
      <c r="FI2" s="454">
        <f>IF(OR('Parte Estrategica'!AQ2=0,'Parte Estrategica'!AQ2=""),0,IF(VLOOKUP($A2,'Matriz de Referencia'!$B$2:$CO$584,56,FALSE)=0,0,"Digite"))</f>
        <v>0</v>
      </c>
      <c r="FJ2" s="454">
        <f>IF(OR('Parte Estrategica'!AQ2=0,'Parte Estrategica'!AQ2=""),0,IF(VLOOKUP($A2,'Matriz de Referencia'!$B$2:$CO$584,57,FALSE)=0,0,"Digite"))</f>
        <v>0</v>
      </c>
      <c r="FK2" s="454">
        <v>12150000000</v>
      </c>
      <c r="FL2" s="454">
        <f>IF(OR('Parte Estrategica'!AQ2=0,'Parte Estrategica'!AQ2=""),0,IF(VLOOKUP($A2,'Matriz de Referencia'!$B$2:$CO$584,59,FALSE)=0,0,"Digite"))</f>
        <v>0</v>
      </c>
      <c r="FM2" s="454">
        <f>IF(OR('Parte Estrategica'!AQ2=0,'Parte Estrategica'!AQ2=""),0,IF(VLOOKUP($A2,'Matriz de Referencia'!$B$2:$CO$584,60,FALSE)=0,0,"Digite"))</f>
        <v>0</v>
      </c>
      <c r="FN2" s="382">
        <f>SUM(FF2:FM2)</f>
        <v>12150000000</v>
      </c>
      <c r="FO2" s="454">
        <f>IF(OR('Parte Estrategica'!AQ2=0,'Parte Estrategica'!AQ2=""),0,IF(VLOOKUP($A2,'Matriz de Referencia'!$B$2:$CO$584,62,FALSE)=0,0,"Digite"))</f>
        <v>0</v>
      </c>
      <c r="FP2" s="454">
        <f>IF(OR('Parte Estrategica'!AQ2=0,'Parte Estrategica'!AQ2=""),0,IF(VLOOKUP($A2,'Matriz de Referencia'!$B$2:$CO$584,63,FALSE)=0,0,"Digite"))</f>
        <v>0</v>
      </c>
      <c r="FQ2" s="454">
        <f>IF(OR('Parte Estrategica'!AQ2=0,'Parte Estrategica'!AQ2=""),0,IF(VLOOKUP($A2,'Matriz de Referencia'!$B$2:$CO$584,64,FALSE)=0,0,"Digite"))</f>
        <v>0</v>
      </c>
      <c r="FR2" s="382">
        <f>SUM(FO2:FQ2)</f>
        <v>0</v>
      </c>
      <c r="FS2" s="382">
        <f>FR2+FN2</f>
        <v>12150000000</v>
      </c>
      <c r="FT2" s="382">
        <f>FS2+FE2+EQ2+EC2</f>
        <v>12150000000</v>
      </c>
      <c r="FU2" s="101" t="str">
        <f>IFERROR(IF(FT2=0,"",IF(VLOOKUP($A2,'Matriz de Referencia'!$B$2:$CO$584,66,FALSE)=FT2,"Techos ok, cotinue","Debe revisar el valor programado")),"")</f>
        <v>Techos ok, cotinue</v>
      </c>
      <c r="FV2" s="453">
        <f>IF(OR('Parte Estrategica'!AT2=0,'Parte Estrategica'!AT2=""),0,IF(VLOOKUP($A2,'Matriz de Referencia'!$B$2:$CO$584,67,FALSE)=0,0,"Digite"))</f>
        <v>0</v>
      </c>
      <c r="FW2" s="454">
        <f>IF(OR('Parte Estrategica'!AT2=0,'Parte Estrategica'!AT2=""),0,IF(VLOOKUP($A2,'Matriz de Referencia'!$B$2:$CO$584,68,FALSE)=0,0,"Digite"))</f>
        <v>0</v>
      </c>
      <c r="FX2" s="454">
        <f>IF(OR('Parte Estrategica'!AT2=0,'Parte Estrategica'!AT2=""),0,IF(VLOOKUP($A2,'Matriz de Referencia'!$B$2:$CO$584,69,FALSE)=0,0,"Digite"))</f>
        <v>0</v>
      </c>
      <c r="FY2" s="454">
        <f>IF(OR('Parte Estrategica'!AT2=0,'Parte Estrategica'!AT2=""),0,IF(VLOOKUP($A2,'Matriz de Referencia'!$B$2:$CO$584,70,FALSE)=0,0,"Digite"))</f>
        <v>0</v>
      </c>
      <c r="FZ2" s="454">
        <f>IF(OR('Parte Estrategica'!AT2=0,'Parte Estrategica'!AT2=""),0,IF(VLOOKUP($A2,'Matriz de Referencia'!$B$2:$CO$584,71,FALSE)=0,0,"Digite"))</f>
        <v>0</v>
      </c>
      <c r="GA2" s="454">
        <f>IF(OR('Parte Estrategica'!AT2=0,'Parte Estrategica'!AT2=""),0,IF(VLOOKUP($A2,'Matriz de Referencia'!$B$2:$CO$584,72,FALSE)=0,0,"Digite"))</f>
        <v>0</v>
      </c>
      <c r="GB2" s="454">
        <f>IF(OR('Parte Estrategica'!AT2=0,'Parte Estrategica'!AT2=""),0,IF(VLOOKUP($A2,'Matriz de Referencia'!$B$2:$CO$584,73,FALSE)=0,0,"Digite"))</f>
        <v>0</v>
      </c>
      <c r="GC2" s="454">
        <f>IF(OR('Parte Estrategica'!AT2=0,'Parte Estrategica'!AT2=""),0,IF(VLOOKUP($A2,'Matriz de Referencia'!$B$2:$CO$584,74,FALSE)=0,0,"Digite"))</f>
        <v>0</v>
      </c>
      <c r="GD2" s="382">
        <f>SUM(FV2:GC2)</f>
        <v>0</v>
      </c>
      <c r="GE2" s="454">
        <f>IF(OR('Parte Estrategica'!AT2=0,'Parte Estrategica'!AT2=""),0,IF(VLOOKUP($A2,'Matriz de Referencia'!$B$2:$CO$584,76,FALSE)=0,0,"Digite"))</f>
        <v>0</v>
      </c>
      <c r="GF2" s="454">
        <f>IF(OR('Parte Estrategica'!AT2=0,'Parte Estrategica'!AT2=""),0,IF(VLOOKUP($A2,'Matriz de Referencia'!$B$2:$CO$584,77,FALSE)=0,0,"Digite"))</f>
        <v>0</v>
      </c>
      <c r="GG2" s="454">
        <f>IF(OR('Parte Estrategica'!AT2=0,'Parte Estrategica'!AT2=""),0,IF(VLOOKUP($A2,'Matriz de Referencia'!$B$2:$CO$584,78,FALSE)=0,0,"Digite"))</f>
        <v>0</v>
      </c>
      <c r="GH2" s="382">
        <f>SUM(GE2:GG2)</f>
        <v>0</v>
      </c>
      <c r="GI2" s="382">
        <f>GH2+GD2</f>
        <v>0</v>
      </c>
      <c r="GJ2" s="453">
        <f>IF(OR('Parte Estrategica'!AU2=0,'Parte Estrategica'!AU2=""),0,IF(VLOOKUP($A2,'Matriz de Referencia'!$B$2:$CO$584,67,FALSE)=0,0,"Digite"))</f>
        <v>0</v>
      </c>
      <c r="GK2" s="454">
        <f>IF(OR('Parte Estrategica'!AU2=0,'Parte Estrategica'!AU2=""),0,IF(VLOOKUP($A2,'Matriz de Referencia'!$B$2:$CO$584,68,FALSE)=0,0,"Digite"))</f>
        <v>0</v>
      </c>
      <c r="GL2" s="454">
        <f>IF(OR('Parte Estrategica'!AU2=0,'Parte Estrategica'!AU2=""),0,IF(VLOOKUP($A2,'Matriz de Referencia'!$B$2:$CO$584,69,FALSE)=0,0,"Digite"))</f>
        <v>0</v>
      </c>
      <c r="GM2" s="454">
        <f>IF(OR('Parte Estrategica'!AU2=0,'Parte Estrategica'!AU2=""),0,IF(VLOOKUP($A2,'Matriz de Referencia'!$B$2:$CO$584,70,FALSE)=0,0,"Digite"))</f>
        <v>0</v>
      </c>
      <c r="GN2" s="454">
        <f>IF(OR('Parte Estrategica'!AU2=0,'Parte Estrategica'!AU2=""),0,IF(VLOOKUP($A2,'Matriz de Referencia'!$B$2:$CO$584,71,FALSE)=0,0,"Digite"))</f>
        <v>0</v>
      </c>
      <c r="GO2" s="454">
        <f>IF(OR('Parte Estrategica'!AU2=0,'Parte Estrategica'!AU2=""),0,IF(VLOOKUP($A2,'Matriz de Referencia'!$B$2:$CO$584,72,FALSE)=0,0,"Digite"))</f>
        <v>0</v>
      </c>
      <c r="GP2" s="454">
        <f>IF(OR('Parte Estrategica'!AU2=0,'Parte Estrategica'!AU2=""),0,IF(VLOOKUP($A2,'Matriz de Referencia'!$B$2:$CO$584,73,FALSE)=0,0,"Digite"))</f>
        <v>0</v>
      </c>
      <c r="GQ2" s="454">
        <f>IF(OR('Parte Estrategica'!AU2=0,'Parte Estrategica'!AU2=""),0,IF(VLOOKUP($A2,'Matriz de Referencia'!$B$2:$CO$584,74,FALSE)=0,0,"Digite"))</f>
        <v>0</v>
      </c>
      <c r="GR2" s="382">
        <f>SUM(GJ2:GQ2)</f>
        <v>0</v>
      </c>
      <c r="GS2" s="454">
        <f>IF(OR('Parte Estrategica'!AU2=0,'Parte Estrategica'!AU2=""),0,IF(VLOOKUP($A2,'Matriz de Referencia'!$B$2:$CO$584,76,FALSE)=0,0,"Digite"))</f>
        <v>0</v>
      </c>
      <c r="GT2" s="454">
        <f>IF(OR('Parte Estrategica'!AU2=0,'Parte Estrategica'!AU2=""),0,IF(VLOOKUP($A2,'Matriz de Referencia'!$B$2:$CO$584,77,FALSE)=0,0,"Digite"))</f>
        <v>0</v>
      </c>
      <c r="GU2" s="454">
        <f>IF(OR('Parte Estrategica'!AU2=0,'Parte Estrategica'!AU2=""),0,IF(VLOOKUP($A2,'Matriz de Referencia'!$B$2:$CO$584,78,FALSE)=0,0,"Digite"))</f>
        <v>0</v>
      </c>
      <c r="GV2" s="382">
        <f>SUM(GS2:GU2)</f>
        <v>0</v>
      </c>
      <c r="GW2" s="382">
        <f>GV2+GR2</f>
        <v>0</v>
      </c>
      <c r="GX2" s="453">
        <f>IF(OR('Parte Estrategica'!AV2=0,'Parte Estrategica'!AV2=""),0,IF(VLOOKUP($A2,'Matriz de Referencia'!$B$2:$CO$584,67,FALSE)=0,0,"Digite"))</f>
        <v>0</v>
      </c>
      <c r="GY2" s="454">
        <f>IF(OR('Parte Estrategica'!AV2=0,'Parte Estrategica'!AV2=""),0,IF(VLOOKUP($A2,'Matriz de Referencia'!$B$2:$CO$584,68,FALSE)=0,0,"Digite"))</f>
        <v>0</v>
      </c>
      <c r="GZ2" s="454">
        <f>IF(OR('Parte Estrategica'!AV2=0,'Parte Estrategica'!AV2=""),0,IF(VLOOKUP($A2,'Matriz de Referencia'!$B$2:$CO$584,69,FALSE)=0,0,"Digite"))</f>
        <v>0</v>
      </c>
      <c r="HA2" s="454">
        <f>IF(OR('Parte Estrategica'!AV2=0,'Parte Estrategica'!AV2=""),0,IF(VLOOKUP($A2,'Matriz de Referencia'!$B$2:$CO$584,70,FALSE)=0,0,"Digite"))</f>
        <v>0</v>
      </c>
      <c r="HB2" s="454">
        <f>IF(OR('Parte Estrategica'!AV2=0,'Parte Estrategica'!AV2=""),0,IF(VLOOKUP($A2,'Matriz de Referencia'!$B$2:$CO$584,71,FALSE)=0,0,"Digite"))</f>
        <v>0</v>
      </c>
      <c r="HC2" s="454">
        <f>IF(OR('Parte Estrategica'!AV2=0,'Parte Estrategica'!AV2=""),0,IF(VLOOKUP($A2,'Matriz de Referencia'!$B$2:$CO$584,72,FALSE)=0,0,"Digite"))</f>
        <v>0</v>
      </c>
      <c r="HD2" s="454">
        <f>IF(OR('Parte Estrategica'!AV2=0,'Parte Estrategica'!AV2=""),0,IF(VLOOKUP($A2,'Matriz de Referencia'!$B$2:$CO$584,73,FALSE)=0,0,"Digite"))</f>
        <v>0</v>
      </c>
      <c r="HE2" s="454">
        <f>IF(OR('Parte Estrategica'!AV2=0,'Parte Estrategica'!AV2=""),0,IF(VLOOKUP($A2,'Matriz de Referencia'!$B$2:$CO$584,74,FALSE)=0,0,"Digite"))</f>
        <v>0</v>
      </c>
      <c r="HF2" s="382">
        <f>SUM(GX2:HE2)</f>
        <v>0</v>
      </c>
      <c r="HG2" s="454">
        <f>IF(OR('Parte Estrategica'!AV2=0,'Parte Estrategica'!AV2=""),0,IF(VLOOKUP($A2,'Matriz de Referencia'!$B$2:$CO$584,76,FALSE)=0,0,"Digite"))</f>
        <v>0</v>
      </c>
      <c r="HH2" s="454">
        <f>IF(OR('Parte Estrategica'!AV2=0,'Parte Estrategica'!AV2=""),0,IF(VLOOKUP($A2,'Matriz de Referencia'!$B$2:$CO$584,77,FALSE)=0,0,"Digite"))</f>
        <v>0</v>
      </c>
      <c r="HI2" s="454">
        <f>IF(OR('Parte Estrategica'!AV2=0,'Parte Estrategica'!AV2=""),0,IF(VLOOKUP($A2,'Matriz de Referencia'!$B$2:$CO$584,78,FALSE)=0,0,"Digite"))</f>
        <v>0</v>
      </c>
      <c r="HJ2" s="382">
        <f>SUM(HG2:HI2)</f>
        <v>0</v>
      </c>
      <c r="HK2" s="382">
        <f>HJ2+HF2</f>
        <v>0</v>
      </c>
      <c r="HL2" s="453">
        <f>IF(OR('Parte Estrategica'!AW2=0,'Parte Estrategica'!AW2=""),0,IF(VLOOKUP($A2,'Matriz de Referencia'!$B$2:$CO$584,67,FALSE)=0,0,"Digite"))</f>
        <v>0</v>
      </c>
      <c r="HM2" s="454">
        <f>IF(OR('Parte Estrategica'!AW2=0,'Parte Estrategica'!AW2=""),0,IF(VLOOKUP($A2,'Matriz de Referencia'!$B$2:$CO$584,68,FALSE)=0,0,"Digite"))</f>
        <v>0</v>
      </c>
      <c r="HN2" s="454">
        <f>IF(OR('Parte Estrategica'!AW2=0,'Parte Estrategica'!AW2=""),0,IF(VLOOKUP($A2,'Matriz de Referencia'!$B$2:$CO$584,69,FALSE)=0,0,"Digite"))</f>
        <v>0</v>
      </c>
      <c r="HO2" s="454">
        <f>IF(OR('Parte Estrategica'!AW2=0,'Parte Estrategica'!AW2=""),0,IF(VLOOKUP($A2,'Matriz de Referencia'!$B$2:$CO$584,70,FALSE)=0,0,"Digite"))</f>
        <v>0</v>
      </c>
      <c r="HP2" s="454">
        <f>IF(OR('Parte Estrategica'!AW2=0,'Parte Estrategica'!AW2=""),0,IF(VLOOKUP($A2,'Matriz de Referencia'!$B$2:$CO$584,71,FALSE)=0,0,"Digite"))</f>
        <v>0</v>
      </c>
      <c r="HQ2" s="454">
        <v>12150000000</v>
      </c>
      <c r="HR2" s="454">
        <f>IF(OR('Parte Estrategica'!AW2=0,'Parte Estrategica'!AW2=""),0,IF(VLOOKUP($A2,'Matriz de Referencia'!$B$2:$CO$584,73,FALSE)=0,0,"Digite"))</f>
        <v>0</v>
      </c>
      <c r="HS2" s="454">
        <f>IF(OR('Parte Estrategica'!AW2=0,'Parte Estrategica'!AW2=""),0,IF(VLOOKUP($A2,'Matriz de Referencia'!$B$2:$CO$584,74,FALSE)=0,0,"Digite"))</f>
        <v>0</v>
      </c>
      <c r="HT2" s="382">
        <f>SUM(HL2:HS2)</f>
        <v>12150000000</v>
      </c>
      <c r="HU2" s="454">
        <f>IF(OR('Parte Estrategica'!AW2=0,'Parte Estrategica'!AW2=""),0,IF(VLOOKUP($A2,'Matriz de Referencia'!$B$2:$CO$584,76,FALSE)=0,0,"Digite"))</f>
        <v>0</v>
      </c>
      <c r="HV2" s="454">
        <f>IF(OR('Parte Estrategica'!AW2=0,'Parte Estrategica'!AW2=""),0,IF(VLOOKUP($A2,'Matriz de Referencia'!$B$2:$CO$584,77,FALSE)=0,0,"Digite"))</f>
        <v>0</v>
      </c>
      <c r="HW2" s="454">
        <f>IF(OR('Parte Estrategica'!AW2=0,'Parte Estrategica'!AW2=""),0,IF(VLOOKUP($A2,'Matriz de Referencia'!$B$2:$CO$584,78,FALSE)=0,0,"Digite"))</f>
        <v>0</v>
      </c>
      <c r="HX2" s="382">
        <f>SUM(HU2:HW2)</f>
        <v>0</v>
      </c>
      <c r="HY2" s="382">
        <f>HX2+HT2</f>
        <v>12150000000</v>
      </c>
      <c r="HZ2" s="382">
        <f>HY2+HK2+GW2+GI2</f>
        <v>12150000000</v>
      </c>
      <c r="IA2" s="101" t="str">
        <f>IFERROR(IF(HZ2=0,"",IF(VLOOKUP($A2,'Matriz de Referencia'!$B$2:$CO$584,80,FALSE)=HZ2,"Techos ok, cotinue","Debe revisar el valor programado")),"")</f>
        <v>Techos ok, cotinue</v>
      </c>
      <c r="IB2" s="383">
        <f>HZ2+FT2+DN2+BH2</f>
        <v>48600000000</v>
      </c>
    </row>
    <row r="3" spans="1:236" ht="27.6">
      <c r="A3" s="550">
        <f>IF('Parte Estrategica'!B3=0,"",'Parte Estrategica'!B3)</f>
        <v>297</v>
      </c>
      <c r="B3" s="551" t="str">
        <f>IFERROR(VLOOKUP(A3,'Matriz de Referencia'!$B$2:$P$578,'Matriz de Referencia'!L$1,FALSE),"")</f>
        <v>Documentos de lineamientos técnicos realizados (venta de Loterìa)</v>
      </c>
      <c r="C3" s="551" t="str">
        <f>IFERROR(VLOOKUP(A3,'Matriz de Referencia'!$B$2:$P$584,'Matriz de Referencia'!M$1,FALSE),"")</f>
        <v>Referido a planes operativos y planes de premios que reflejan las ventas de la lotería</v>
      </c>
      <c r="D3" s="455" t="str">
        <f>IF(OR('Parte Estrategica'!AB3=0,'Parte Estrategica'!AB3=""),"",IF(VLOOKUP($A3,'Matriz de Referencia'!$B$2:$CO$584,'Matriz de Referencia'!Z$1,FALSE)=0,"","Digite"))</f>
        <v/>
      </c>
      <c r="E3" s="456">
        <f>IF(OR('Parte Estrategica'!AB3=0,'Parte Estrategica'!AB3=""),0,IF(VLOOKUP($A3,'Matriz de Referencia'!$B$2:$CO$584,26,FALSE)=0,0,"Digite"))</f>
        <v>0</v>
      </c>
      <c r="F3" s="456">
        <f>IF(OR('Parte Estrategica'!AB3=0,'Parte Estrategica'!AB3=""),0,IF(VLOOKUP($A3,'Matriz de Referencia'!$B$2:$CO$584,27,FALSE)=0,0,"Digite"))</f>
        <v>0</v>
      </c>
      <c r="G3" s="456">
        <f>IF(OR('Parte Estrategica'!AB3=0,'Parte Estrategica'!AB3=""),0,IF(VLOOKUP($A3,'Matriz de Referencia'!$B$2:$CO$584,28,FALSE)=0,0,"Digite"))</f>
        <v>0</v>
      </c>
      <c r="H3" s="456">
        <f>IF(OR('Parte Estrategica'!AB3=0,'Parte Estrategica'!AB3=""),0,IF(VLOOKUP($A3,'Matriz de Referencia'!$B$2:$CO$584,29,FALSE)=0,0,"Digite"))</f>
        <v>0</v>
      </c>
      <c r="I3" s="456">
        <f>IF(OR('Parte Estrategica'!AB3=0,'Parte Estrategica'!AB3=""),0,IF(VLOOKUP($A3,'Matriz de Referencia'!$B$2:$CO$584,30,FALSE)=0,0,"Digite"))</f>
        <v>0</v>
      </c>
      <c r="J3" s="456">
        <f>IF(OR('Parte Estrategica'!AB3=0,'Parte Estrategica'!AB3=""),0,IF(VLOOKUP($A3,'Matriz de Referencia'!$B$2:$CO$584,31,FALSE)=0,0,"Digite"))</f>
        <v>0</v>
      </c>
      <c r="K3" s="456">
        <f>IF(OR('Parte Estrategica'!AB3=0,'Parte Estrategica'!AB3=""),0,IF(VLOOKUP($A3,'Matriz de Referencia'!$B$2:$CO$584,32,FALSE)=0,0,"Digite"))</f>
        <v>0</v>
      </c>
      <c r="L3" s="460">
        <f t="shared" ref="L3:L65" si="0">SUM(D3:K3)</f>
        <v>0</v>
      </c>
      <c r="M3" s="456">
        <f>IF(OR('Parte Estrategica'!AB3=0,'Parte Estrategica'!AB3=""),0,IF(VLOOKUP($A3,'Matriz de Referencia'!$B$2:$CO$584,34,FALSE)=0,0,"Digite"))</f>
        <v>0</v>
      </c>
      <c r="N3" s="456">
        <f>IF(OR('Parte Estrategica'!AB3=0,'Parte Estrategica'!AB3=""),0,IF(VLOOKUP($A3,'Matriz de Referencia'!$B$2:$CO$584,35,FALSE)=0,0,"Digite"))</f>
        <v>0</v>
      </c>
      <c r="O3" s="456">
        <f>IF(OR('Parte Estrategica'!AB3=0,'Parte Estrategica'!AB3=""),0,IF(VLOOKUP($A3,'Matriz de Referencia'!$B$2:$CO$584,36,FALSE)=0,0,"Digite"))</f>
        <v>0</v>
      </c>
      <c r="P3" s="457">
        <f t="shared" ref="P3:P65" si="1">SUM(M3:O3)</f>
        <v>0</v>
      </c>
      <c r="Q3" s="457">
        <f t="shared" ref="Q3:Q65" si="2">P3+L3</f>
        <v>0</v>
      </c>
      <c r="R3" s="455">
        <f>IF(OR('Parte Estrategica'!AC3=0,'Parte Estrategica'!AC3=""),0,IF(VLOOKUP($A3,'Matriz de Referencia'!$B$2:$CO$584,25,FALSE)=0,0,"Digite"))</f>
        <v>0</v>
      </c>
      <c r="S3" s="456">
        <f>IF(OR('Parte Estrategica'!AC3=0,'Parte Estrategica'!AC3=""),0,IF(VLOOKUP($A3,'Matriz de Referencia'!$B$2:$CO$584,26,FALSE)=0,0,"Digite"))</f>
        <v>0</v>
      </c>
      <c r="T3" s="456">
        <f>IF(OR('Parte Estrategica'!AC3=0,'Parte Estrategica'!AC3=""),0,IF(VLOOKUP($A3,'Matriz de Referencia'!$B$2:$CO$584,27,FALSE)=0,0,"Digite"))</f>
        <v>0</v>
      </c>
      <c r="U3" s="456">
        <f>IF(OR('Parte Estrategica'!AC3=0,'Parte Estrategica'!AC3=""),0,IF(VLOOKUP($A3,'Matriz de Referencia'!$B$2:$CO$584,28,FALSE)=0,0,"Digite"))</f>
        <v>0</v>
      </c>
      <c r="V3" s="456">
        <f>IF(OR('Parte Estrategica'!AC3=0,'Parte Estrategica'!AC3=""),0,IF(VLOOKUP($A3,'Matriz de Referencia'!$B$2:$CO$584,29,FALSE)=0,0,"Digite"))</f>
        <v>0</v>
      </c>
      <c r="W3" s="456">
        <f>IF(OR('Parte Estrategica'!AC3=0,'Parte Estrategica'!AC3=""),0,IF(VLOOKUP($A3,'Matriz de Referencia'!$B$2:$CO$584,30,FALSE)=0,0,"Digite"))</f>
        <v>0</v>
      </c>
      <c r="X3" s="456">
        <f>IF(OR('Parte Estrategica'!AC3=0,'Parte Estrategica'!AC3=""),0,IF(VLOOKUP($A3,'Matriz de Referencia'!$B$2:$CO$584,31,FALSE)=0,0,"Digite"))</f>
        <v>0</v>
      </c>
      <c r="Y3" s="456">
        <f>IF(OR('Parte Estrategica'!AC3=0,'Parte Estrategica'!AC3=""),0,IF(VLOOKUP($A3,'Matriz de Referencia'!$B$2:$CO$584,32,FALSE)=0,0,"Digite"))</f>
        <v>0</v>
      </c>
      <c r="Z3" s="457">
        <f t="shared" ref="Z3:Z65" si="3">SUM(R3:Y3)</f>
        <v>0</v>
      </c>
      <c r="AA3" s="456">
        <f>IF(OR('Parte Estrategica'!AC3=0,'Parte Estrategica'!AC3=""),0,IF(VLOOKUP($A3,'Matriz de Referencia'!$B$2:$CO$584,34,FALSE)=0,0,"Digite"))</f>
        <v>0</v>
      </c>
      <c r="AB3" s="456">
        <f>IF(OR('Parte Estrategica'!AC3=0,'Parte Estrategica'!AC3=""),0,IF(VLOOKUP($A3,'Matriz de Referencia'!$B$2:$CO$584,35,FALSE)=0,0,"Digite"))</f>
        <v>0</v>
      </c>
      <c r="AC3" s="456">
        <f>IF(OR('Parte Estrategica'!AC3=0,'Parte Estrategica'!AC3=""),0,IF(VLOOKUP($A3,'Matriz de Referencia'!$B$2:$CO$584,36,FALSE)=0,0,"Digite"))</f>
        <v>0</v>
      </c>
      <c r="AD3" s="457">
        <f t="shared" ref="AD3:AD65" si="4">SUM(AA3:AC3)</f>
        <v>0</v>
      </c>
      <c r="AE3" s="457">
        <f t="shared" ref="AE3:AE65" si="5">AD3+Z3</f>
        <v>0</v>
      </c>
      <c r="AF3" s="455">
        <f>IF(OR('Parte Estrategica'!AD3=0,'Parte Estrategica'!AD3=""),0,IF(VLOOKUP($A3,'Matriz de Referencia'!$B$2:$CO$584,25,FALSE)=0,0,"Digite"))</f>
        <v>0</v>
      </c>
      <c r="AG3" s="456">
        <f>IF(OR('Parte Estrategica'!AD3=0,'Parte Estrategica'!AD3=""),0,IF(VLOOKUP($A3,'Matriz de Referencia'!$B$2:$CO$584,26,FALSE)=0,0,"Digite"))</f>
        <v>0</v>
      </c>
      <c r="AH3" s="456">
        <f>IF(OR('Parte Estrategica'!AD3=0,'Parte Estrategica'!AD3=""),0,IF(VLOOKUP($A3,'Matriz de Referencia'!$B$2:$CO$584,27,FALSE)=0,0,"Digite"))</f>
        <v>0</v>
      </c>
      <c r="AI3" s="456">
        <f>IF(OR('Parte Estrategica'!AD3=0,'Parte Estrategica'!AD3=""),0,IF(VLOOKUP($A3,'Matriz de Referencia'!$B$2:$CO$584,28,FALSE)=0,0,"Digite"))</f>
        <v>0</v>
      </c>
      <c r="AJ3" s="456">
        <f>IF(OR('Parte Estrategica'!AD3=0,'Parte Estrategica'!AD3=""),0,IF(VLOOKUP($A3,'Matriz de Referencia'!$B$2:$CO$584,29,FALSE)=0,0,"Digite"))</f>
        <v>0</v>
      </c>
      <c r="AK3" s="456">
        <f>IF(OR('Parte Estrategica'!AD3=0,'Parte Estrategica'!AD3=""),0,IF(VLOOKUP($A3,'Matriz de Referencia'!$B$2:$CO$584,30,FALSE)=0,0,"Digite"))</f>
        <v>0</v>
      </c>
      <c r="AL3" s="456">
        <f>IF(OR('Parte Estrategica'!AD3=0,'Parte Estrategica'!AD3=""),0,IF(VLOOKUP($A3,'Matriz de Referencia'!$B$2:$CO$584,31,FALSE)=0,0,"Digite"))</f>
        <v>0</v>
      </c>
      <c r="AM3" s="456">
        <f>IF(OR('Parte Estrategica'!AD3=0,'Parte Estrategica'!AD3=""),0,IF(VLOOKUP($A3,'Matriz de Referencia'!$B$2:$CO$584,32,FALSE)=0,0,"Digite"))</f>
        <v>0</v>
      </c>
      <c r="AN3" s="457">
        <f t="shared" ref="AN3:AN65" si="6">SUM(AF3:AM3)</f>
        <v>0</v>
      </c>
      <c r="AO3" s="456">
        <f>IF(OR('Parte Estrategica'!AD3=0,'Parte Estrategica'!AD3=""),0,IF(VLOOKUP($A3,'Matriz de Referencia'!$B$2:$CO$584,34,FALSE)=0,0,"Digite"))</f>
        <v>0</v>
      </c>
      <c r="AP3" s="456">
        <f>IF(OR('Parte Estrategica'!AD3=0,'Parte Estrategica'!AD3=""),0,IF(VLOOKUP($A3,'Matriz de Referencia'!$B$2:$CO$584,35,FALSE)=0,0,"Digite"))</f>
        <v>0</v>
      </c>
      <c r="AQ3" s="456">
        <f>IF(OR('Parte Estrategica'!AD3=0,'Parte Estrategica'!AD3=""),0,IF(VLOOKUP($A3,'Matriz de Referencia'!$B$2:$CO$584,36,FALSE)=0,0,"Digite"))</f>
        <v>0</v>
      </c>
      <c r="AR3" s="457">
        <f t="shared" ref="AR3:AR65" si="7">SUM(AO3:AQ3)</f>
        <v>0</v>
      </c>
      <c r="AS3" s="457">
        <f t="shared" ref="AS3:AS65" si="8">AR3+AN3</f>
        <v>0</v>
      </c>
      <c r="AT3" s="455">
        <f>IF(OR('Parte Estrategica'!AE3=0,'Parte Estrategica'!AE3=""),0,IF(VLOOKUP($A3,'Matriz de Referencia'!$B$2:$CO$584,25,FALSE)=0,0,"Digite"))</f>
        <v>0</v>
      </c>
      <c r="AU3" s="456">
        <f>IF(OR('Parte Estrategica'!AE3=0,'Parte Estrategica'!AE3=""),0,IF(VLOOKUP($A3,'Matriz de Referencia'!$B$2:$CO$584,26,FALSE)=0,0,"Digite"))</f>
        <v>0</v>
      </c>
      <c r="AV3" s="456">
        <f>IF(OR('Parte Estrategica'!AE3=0,'Parte Estrategica'!AE3=""),0,IF(VLOOKUP($A3,'Matriz de Referencia'!$B$2:$CO$584,27,FALSE)=0,0,"Digite"))</f>
        <v>0</v>
      </c>
      <c r="AW3" s="456">
        <f>IF(OR('Parte Estrategica'!AE3=0,'Parte Estrategica'!AE3=""),0,IF(VLOOKUP($A3,'Matriz de Referencia'!$B$2:$CO$584,28,FALSE)=0,0,"Digite"))</f>
        <v>0</v>
      </c>
      <c r="AX3" s="456">
        <f>IF(OR('Parte Estrategica'!AE3=0,'Parte Estrategica'!AE3=""),0,IF(VLOOKUP($A3,'Matriz de Referencia'!$B$2:$CO$584,29,FALSE)=0,0,"Digite"))</f>
        <v>0</v>
      </c>
      <c r="AY3" s="456">
        <v>10800000000</v>
      </c>
      <c r="AZ3" s="456">
        <f>IF(OR('Parte Estrategica'!AE3=0,'Parte Estrategica'!AE3=""),0,IF(VLOOKUP($A3,'Matriz de Referencia'!$B$2:$CO$584,31,FALSE)=0,0,"Digite"))</f>
        <v>0</v>
      </c>
      <c r="BA3" s="456">
        <f>IF(OR('Parte Estrategica'!AE3=0,'Parte Estrategica'!AE3=""),0,IF(VLOOKUP($A3,'Matriz de Referencia'!$B$2:$CO$584,32,FALSE)=0,0,"Digite"))</f>
        <v>0</v>
      </c>
      <c r="BB3" s="457">
        <f t="shared" ref="BB3:BB65" si="9">SUM(AT3:BA3)</f>
        <v>10800000000</v>
      </c>
      <c r="BC3" s="456">
        <f>IF(OR('Parte Estrategica'!AE3=0,'Parte Estrategica'!AE3=""),0,IF(VLOOKUP($A3,'Matriz de Referencia'!$B$2:$CO$584,34,FALSE)=0,0,"Digite"))</f>
        <v>0</v>
      </c>
      <c r="BD3" s="456">
        <f>IF(OR('Parte Estrategica'!AE3=0,'Parte Estrategica'!AE3=""),0,IF(VLOOKUP($A3,'Matriz de Referencia'!$B$2:$CO$584,35,FALSE)=0,0,"Digite"))</f>
        <v>0</v>
      </c>
      <c r="BE3" s="456">
        <f>IF(OR('Parte Estrategica'!AE3=0,'Parte Estrategica'!AE3=""),0,IF(VLOOKUP($A3,'Matriz de Referencia'!$B$2:$CO$584,36,FALSE)=0,0,"Digite"))</f>
        <v>0</v>
      </c>
      <c r="BF3" s="457">
        <f t="shared" ref="BF3:BF65" si="10">SUM(BC3:BE3)</f>
        <v>0</v>
      </c>
      <c r="BG3" s="457">
        <f t="shared" ref="BG3:BG65" si="11">BF3+BB3</f>
        <v>10800000000</v>
      </c>
      <c r="BH3" s="457">
        <f t="shared" ref="BH3:BH65" si="12">BG3+AS3+AE3+Q3</f>
        <v>10800000000</v>
      </c>
      <c r="BI3" s="101" t="str">
        <f>IFERROR(IF(BH3=0,"",IF(VLOOKUP($A3,'Matriz de Referencia'!$B$2:$CO$584,'Matriz de Referencia'!AM$1,FALSE)=BH3,"Techos ok, cotinue","Debe revisar el valor programado")),"")</f>
        <v>Techos ok, cotinue</v>
      </c>
      <c r="BJ3" s="453">
        <f>IF(OR('Parte Estrategica'!AH3=0,'Parte Estrategica'!AH3=""),0,IF(VLOOKUP($A3,'Matriz de Referencia'!$B$2:$CO$584,39,FALSE)=0,0,"Digite"))</f>
        <v>0</v>
      </c>
      <c r="BK3" s="454">
        <f>IF(OR('Parte Estrategica'!AH3=0,'Parte Estrategica'!AH3=""),0,IF(VLOOKUP($A3,'Matriz de Referencia'!$B$2:$CO$584,40,FALSE)=0,0,"Digite"))</f>
        <v>0</v>
      </c>
      <c r="BL3" s="454">
        <f>IF(OR('Parte Estrategica'!AH3=0,'Parte Estrategica'!AH3=""),0,IF(VLOOKUP($A3,'Matriz de Referencia'!$B$2:$CO$584,41,FALSE)=0,0,"Digite"))</f>
        <v>0</v>
      </c>
      <c r="BM3" s="454">
        <f>IF(OR('Parte Estrategica'!AH3=0,'Parte Estrategica'!AH3=""),0,IF(VLOOKUP($A3,'Matriz de Referencia'!$B$2:$CO$584,42,FALSE)=0,0,"Digite"))</f>
        <v>0</v>
      </c>
      <c r="BN3" s="454">
        <f>IF(OR('Parte Estrategica'!AH3=0,'Parte Estrategica'!AH3=""),0,IF(VLOOKUP($A3,'Matriz de Referencia'!$B$2:$CO$584,43,FALSE)=0,0,"Digite"))</f>
        <v>0</v>
      </c>
      <c r="BO3" s="454">
        <v>10800000000</v>
      </c>
      <c r="BP3" s="454">
        <f>IF(OR('Parte Estrategica'!AH3=0,'Parte Estrategica'!AH3=""),0,IF(VLOOKUP($A3,'Matriz de Referencia'!$B$2:$CO$584,45,FALSE)=0,0,"Digite"))</f>
        <v>0</v>
      </c>
      <c r="BQ3" s="454">
        <f>IF(OR('Parte Estrategica'!AH3=0,'Parte Estrategica'!AH3=""),0,IF(VLOOKUP($A3,'Matriz de Referencia'!$B$2:$CO$584,46,FALSE)=0,0,"Digite"))</f>
        <v>0</v>
      </c>
      <c r="BR3" s="382">
        <f t="shared" ref="BR3:BR65" si="13">SUM(BJ3:BQ3)</f>
        <v>10800000000</v>
      </c>
      <c r="BS3" s="454">
        <f>IF(OR('Parte Estrategica'!CL3=0,'Parte Estrategica'!CL3=""),0,IF(VLOOKUP($A3,'Matriz de Referencia'!$B$2:$CO$584,48,FALSE)=0,0,"Digite"))</f>
        <v>0</v>
      </c>
      <c r="BT3" s="454">
        <f>IF(OR('Parte Estrategica'!CL3=0,'Parte Estrategica'!CL3=""),0,IF(VLOOKUP($A3,'Matriz de Referencia'!$B$2:$CO$584,49,FALSE)=0,0,"Digite"))</f>
        <v>0</v>
      </c>
      <c r="BU3" s="454">
        <f>IF(OR('Parte Estrategica'!CL3=0,'Parte Estrategica'!CL3=""),0,IF(VLOOKUP($A3,'Matriz de Referencia'!$B$2:$CO$584,50,FALSE)=0,0,"Digite"))</f>
        <v>0</v>
      </c>
      <c r="BV3" s="382">
        <f t="shared" ref="BV3:BV65" si="14">SUM(BS3:BU3)</f>
        <v>0</v>
      </c>
      <c r="BW3" s="382">
        <f t="shared" ref="BW3:BW65" si="15">BV3+BR3</f>
        <v>10800000000</v>
      </c>
      <c r="BX3" s="453">
        <f>IF(OR('Parte Estrategica'!AI3=0,'Parte Estrategica'!AI3=""),0,IF(VLOOKUP($A3,'Matriz de Referencia'!$B$2:$CO$584,39,FALSE)=0,0,"Digite"))</f>
        <v>0</v>
      </c>
      <c r="BY3" s="454">
        <f>IF(OR('Parte Estrategica'!AI3=0,'Parte Estrategica'!AI3=""),0,IF(VLOOKUP($A3,'Matriz de Referencia'!$B$2:$CO$584,40,FALSE)=0,0,"Digite"))</f>
        <v>0</v>
      </c>
      <c r="BZ3" s="454">
        <f>IF(OR('Parte Estrategica'!AI3=0,'Parte Estrategica'!AI3=""),0,IF(VLOOKUP($A3,'Matriz de Referencia'!$B$2:$CO$584,41,FALSE)=0,0,"Digite"))</f>
        <v>0</v>
      </c>
      <c r="CA3" s="454">
        <f>IF(OR('Parte Estrategica'!AI3=0,'Parte Estrategica'!AI3=""),0,IF(VLOOKUP($A3,'Matriz de Referencia'!$B$2:$CO$584,42,FALSE)=0,0,"Digite"))</f>
        <v>0</v>
      </c>
      <c r="CB3" s="454">
        <f>IF(OR('Parte Estrategica'!AI3=0,'Parte Estrategica'!AI3=""),0,IF(VLOOKUP($A3,'Matriz de Referencia'!$B$2:$CO$584,43,FALSE)=0,0,"Digite"))</f>
        <v>0</v>
      </c>
      <c r="CC3" s="454">
        <f>IF(OR('Parte Estrategica'!AI3=0,'Parte Estrategica'!AI3=""),0,IF(VLOOKUP($A3,'Matriz de Referencia'!$B$2:$CO$584,44,FALSE)=0,0,"Digite"))</f>
        <v>0</v>
      </c>
      <c r="CD3" s="454">
        <f>IF(OR('Parte Estrategica'!AI3=0,'Parte Estrategica'!AI3=""),0,IF(VLOOKUP($A3,'Matriz de Referencia'!$B$2:$CO$584,45,FALSE)=0,0,"Digite"))</f>
        <v>0</v>
      </c>
      <c r="CE3" s="454">
        <f>IF(OR('Parte Estrategica'!AI3=0,'Parte Estrategica'!AI3=""),0,IF(VLOOKUP($A3,'Matriz de Referencia'!$B$2:$CO$584,46,FALSE)=0,0,"Digite"))</f>
        <v>0</v>
      </c>
      <c r="CF3" s="382">
        <f t="shared" ref="CF3:CF65" si="16">SUM(BX3:CE3)</f>
        <v>0</v>
      </c>
      <c r="CG3" s="454">
        <f>IF(OR('Parte Estrategica'!AI3=0,'Parte Estrategica'!AI3=""),0,IF(VLOOKUP($A3,'Matriz de Referencia'!$B$2:$CO$584,48,FALSE)=0,0,"Digite"))</f>
        <v>0</v>
      </c>
      <c r="CH3" s="454">
        <f>IF(OR('Parte Estrategica'!AI3=0,'Parte Estrategica'!AI3=""),0,IF(VLOOKUP($A3,'Matriz de Referencia'!$B$2:$CO$584,49,FALSE)=0,0,"Digite"))</f>
        <v>0</v>
      </c>
      <c r="CI3" s="454">
        <f>IF(OR('Parte Estrategica'!AI3=0,'Parte Estrategica'!AI3=""),0,IF(VLOOKUP($A3,'Matriz de Referencia'!$B$2:$CO$584,50,FALSE)=0,0,"Digite"))</f>
        <v>0</v>
      </c>
      <c r="CJ3" s="382">
        <f t="shared" ref="CJ3:CJ65" si="17">SUM(CG3:CI3)</f>
        <v>0</v>
      </c>
      <c r="CK3" s="382">
        <f t="shared" ref="CK3:CK65" si="18">CJ3+CF3</f>
        <v>0</v>
      </c>
      <c r="CL3" s="453">
        <f>IF(OR('Parte Estrategica'!AJ3=0,'Parte Estrategica'!AJ3=""),0,IF(VLOOKUP($A3,'Matriz de Referencia'!$B$2:$CO$584,39,FALSE)=0,0,"Digite"))</f>
        <v>0</v>
      </c>
      <c r="CM3" s="454">
        <f>IF(OR('Parte Estrategica'!AJ3=0,'Parte Estrategica'!AJ3=""),0,IF(VLOOKUP($A3,'Matriz de Referencia'!$B$2:$CO$584,40,FALSE)=0,0,"Digite"))</f>
        <v>0</v>
      </c>
      <c r="CN3" s="454">
        <f>IF(OR('Parte Estrategica'!AJ3=0,'Parte Estrategica'!AJ3=""),0,IF(VLOOKUP($A3,'Matriz de Referencia'!$B$2:$CO$584,41,FALSE)=0,0,"Digite"))</f>
        <v>0</v>
      </c>
      <c r="CO3" s="454">
        <f>IF(OR('Parte Estrategica'!AJ3=0,'Parte Estrategica'!AJ3=""),0,IF(VLOOKUP($A3,'Matriz de Referencia'!$B$2:$CO$584,42,FALSE)=0,0,"Digite"))</f>
        <v>0</v>
      </c>
      <c r="CP3" s="454">
        <f>IF(OR('Parte Estrategica'!AJ3=0,'Parte Estrategica'!AJ3=""),0,IF(VLOOKUP($A3,'Matriz de Referencia'!$B$2:$CO$584,43,FALSE)=0,0,"Digite"))</f>
        <v>0</v>
      </c>
      <c r="CQ3" s="454">
        <f>IF(OR('Parte Estrategica'!AJ3=0,'Parte Estrategica'!AJ3=""),0,IF(VLOOKUP($A3,'Matriz de Referencia'!$B$2:$CO$584,44,FALSE)=0,0,"Digite"))</f>
        <v>0</v>
      </c>
      <c r="CR3" s="454">
        <f>IF(OR('Parte Estrategica'!AJ3=0,'Parte Estrategica'!AJ3=""),0,IF(VLOOKUP($A3,'Matriz de Referencia'!$B$2:$CO$584,45,FALSE)=0,0,"Digite"))</f>
        <v>0</v>
      </c>
      <c r="CS3" s="454">
        <f>IF(OR('Parte Estrategica'!AJ3=0,'Parte Estrategica'!AJ3=""),0,IF(VLOOKUP($A3,'Matriz de Referencia'!$B$2:$CO$584,46,FALSE)=0,0,"Digite"))</f>
        <v>0</v>
      </c>
      <c r="CT3" s="382">
        <f t="shared" ref="CT3:CT65" si="19">SUM(CL3:CS3)</f>
        <v>0</v>
      </c>
      <c r="CU3" s="454">
        <f>IF(OR('Parte Estrategica'!AJ3=0,'Parte Estrategica'!AJ3=""),0,IF(VLOOKUP($A3,'Matriz de Referencia'!$B$2:$CO$584,48,FALSE)=0,0,"Digite"))</f>
        <v>0</v>
      </c>
      <c r="CV3" s="454">
        <f>IF(OR('Parte Estrategica'!AJ3=0,'Parte Estrategica'!AJ3=""),0,IF(VLOOKUP($A3,'Matriz de Referencia'!$B$2:$CO$584,49,FALSE)=0,0,"Digite"))</f>
        <v>0</v>
      </c>
      <c r="CW3" s="454">
        <f>IF(OR('Parte Estrategica'!AJ3=0,'Parte Estrategica'!AJ3=""),0,IF(VLOOKUP($A3,'Matriz de Referencia'!$B$2:$CO$584,50,FALSE)=0,0,"Digite"))</f>
        <v>0</v>
      </c>
      <c r="CX3" s="382">
        <f t="shared" ref="CX3:CX65" si="20">SUM(CU3:CW3)</f>
        <v>0</v>
      </c>
      <c r="CY3" s="382">
        <f t="shared" ref="CY3:CY65" si="21">CX3+CT3</f>
        <v>0</v>
      </c>
      <c r="CZ3" s="453">
        <f>IF(OR('Parte Estrategica'!AK3=0,'Parte Estrategica'!AK3=""),0,IF(VLOOKUP($A3,'Matriz de Referencia'!$B$2:$CO$584,39,FALSE)=0,0,"Digite"))</f>
        <v>0</v>
      </c>
      <c r="DA3" s="454">
        <f>IF(OR('Parte Estrategica'!AK3=0,'Parte Estrategica'!AK3=""),0,IF(VLOOKUP($A3,'Matriz de Referencia'!$B$2:$CO$584,40,FALSE)=0,0,"Digite"))</f>
        <v>0</v>
      </c>
      <c r="DB3" s="454">
        <f>IF(OR('Parte Estrategica'!AK3=0,'Parte Estrategica'!AK3=""),0,IF(VLOOKUP($A3,'Matriz de Referencia'!$B$2:$CO$584,41,FALSE)=0,0,"Digite"))</f>
        <v>0</v>
      </c>
      <c r="DC3" s="454">
        <f>IF(OR('Parte Estrategica'!AK3=0,'Parte Estrategica'!AK3=""),0,IF(VLOOKUP($A3,'Matriz de Referencia'!$B$2:$CO$584,42,FALSE)=0,0,"Digite"))</f>
        <v>0</v>
      </c>
      <c r="DD3" s="454">
        <f>IF(OR('Parte Estrategica'!AK3=0,'Parte Estrategica'!AK3=""),0,IF(VLOOKUP($A3,'Matriz de Referencia'!$B$2:$CO$584,43,FALSE)=0,0,"Digite"))</f>
        <v>0</v>
      </c>
      <c r="DE3" s="454">
        <f>IF(OR('Parte Estrategica'!AK3=0,'Parte Estrategica'!AK3=""),0,IF(VLOOKUP($A3,'Matriz de Referencia'!$B$2:$CO$584,44,FALSE)=0,0,"Digite"))</f>
        <v>0</v>
      </c>
      <c r="DF3" s="454">
        <f>IF(OR('Parte Estrategica'!AK3=0,'Parte Estrategica'!AK3=""),0,IF(VLOOKUP($A3,'Matriz de Referencia'!$B$2:$CO$584,45,FALSE)=0,0,"Digite"))</f>
        <v>0</v>
      </c>
      <c r="DG3" s="454">
        <f>IF(OR('Parte Estrategica'!AK3=0,'Parte Estrategica'!AK3=""),0,IF(VLOOKUP($A3,'Matriz de Referencia'!$B$2:$CO$584,46,FALSE)=0,0,"Digite"))</f>
        <v>0</v>
      </c>
      <c r="DH3" s="382">
        <f t="shared" ref="DH3:DH65" si="22">SUM(CZ3:DG3)</f>
        <v>0</v>
      </c>
      <c r="DI3" s="454">
        <f>IF(OR('Parte Estrategica'!AK3=0,'Parte Estrategica'!AK3=""),0,IF(VLOOKUP($A3,'Matriz de Referencia'!$B$2:$CO$584,48,FALSE)=0,0,"Digite"))</f>
        <v>0</v>
      </c>
      <c r="DJ3" s="454">
        <f>IF(OR('Parte Estrategica'!AK3=0,'Parte Estrategica'!AK3=""),0,IF(VLOOKUP($A3,'Matriz de Referencia'!$B$2:$CO$584,49,FALSE)=0,0,"Digite"))</f>
        <v>0</v>
      </c>
      <c r="DK3" s="454">
        <f>IF(OR('Parte Estrategica'!AK3=0,'Parte Estrategica'!AK3=""),0,IF(VLOOKUP($A3,'Matriz de Referencia'!$B$2:$CO$584,50,FALSE)=0,0,"Digite"))</f>
        <v>0</v>
      </c>
      <c r="DL3" s="382">
        <f t="shared" ref="DL3:DL65" si="23">SUM(DI3:DK3)</f>
        <v>0</v>
      </c>
      <c r="DM3" s="382">
        <f t="shared" ref="DM3:DM65" si="24">DL3+DH3</f>
        <v>0</v>
      </c>
      <c r="DN3" s="382">
        <f t="shared" ref="DN3:DN65" si="25">DM3+CY3+CK3+BW3</f>
        <v>10800000000</v>
      </c>
      <c r="DO3" s="101" t="str">
        <f>IFERROR(IF(DN3=0,"",IF(VLOOKUP($A3,'Matriz de Referencia'!$B$2:$CO$584,52,FALSE)=DN3,"Techos ok, cotinue","Debe revisar el valor programado")),"")</f>
        <v>Techos ok, cotinue</v>
      </c>
      <c r="DP3" s="453">
        <f>IF(OR('Parte Estrategica'!AN3=0,'Parte Estrategica'!AN3=""),0,IF(VLOOKUP($A3,'Matriz de Referencia'!$B$2:$CO$584,53,FALSE)=0,0,"Digite"))</f>
        <v>0</v>
      </c>
      <c r="DQ3" s="454">
        <f>IF(OR('Parte Estrategica'!AN3=0,'Parte Estrategica'!AN3=""),0,IF(VLOOKUP($A3,'Matriz de Referencia'!$B$2:$CO$584,54,FALSE)=0,0,"Digite"))</f>
        <v>0</v>
      </c>
      <c r="DR3" s="454">
        <f>IF(OR('Parte Estrategica'!AN3=0,'Parte Estrategica'!AN3=""),0,IF(VLOOKUP($A3,'Matriz de Referencia'!$B$2:$CO$584,55,FALSE)=0,0,"Digite"))</f>
        <v>0</v>
      </c>
      <c r="DS3" s="454">
        <f>IF(OR('Parte Estrategica'!AN3=0,'Parte Estrategica'!AN3=""),0,IF(VLOOKUP($A3,'Matriz de Referencia'!$B$2:$CO$584,56,FALSE)=0,0,"Digite"))</f>
        <v>0</v>
      </c>
      <c r="DT3" s="454">
        <f>IF(OR('Parte Estrategica'!AN3=0,'Parte Estrategica'!AN3=""),0,IF(VLOOKUP($A3,'Matriz de Referencia'!$B$2:$CO$584,57,FALSE)=0,0,"Digite"))</f>
        <v>0</v>
      </c>
      <c r="DU3" s="454">
        <v>10800000000</v>
      </c>
      <c r="DV3" s="454">
        <f>IF(OR('Parte Estrategica'!AN3=0,'Parte Estrategica'!AN3=""),0,IF(VLOOKUP($A3,'Matriz de Referencia'!$B$2:$CO$584,59,FALSE)=0,0,"Digite"))</f>
        <v>0</v>
      </c>
      <c r="DW3" s="454">
        <f>IF(OR('Parte Estrategica'!AN3=0,'Parte Estrategica'!AN3=""),0,IF(VLOOKUP($A3,'Matriz de Referencia'!$B$2:$CO$584,60,FALSE)=0,0,"Digite"))</f>
        <v>0</v>
      </c>
      <c r="DX3" s="382">
        <f t="shared" ref="DX3:DX65" si="26">SUM(DP3:DW3)</f>
        <v>10800000000</v>
      </c>
      <c r="DY3" s="454">
        <f>IF(OR('Parte Estrategica'!AN3=0,'Parte Estrategica'!AN3=""),0,IF(VLOOKUP($A3,'Matriz de Referencia'!$B$2:$CO$584,62,FALSE)=0,0,"Digite"))</f>
        <v>0</v>
      </c>
      <c r="DZ3" s="454">
        <f>IF(OR('Parte Estrategica'!AN3=0,'Parte Estrategica'!AN3=""),0,IF(VLOOKUP($A3,'Matriz de Referencia'!$B$2:$CO$584,63,FALSE)=0,0,"Digite"))</f>
        <v>0</v>
      </c>
      <c r="EA3" s="454" t="str">
        <f>IF(OR('Parte Estrategica'!AN3=0,'Parte Estrategica'!AN3=""),"",IF(VLOOKUP($A3,'Matriz de Referencia'!$B$2:$CO$584,64,FALSE)=0,"","Digite"))</f>
        <v/>
      </c>
      <c r="EB3" s="382">
        <f t="shared" ref="EB3:EB65" si="27">SUM(DY3:EA3)</f>
        <v>0</v>
      </c>
      <c r="EC3" s="382">
        <f t="shared" ref="EC3:EC65" si="28">EB3+DX3</f>
        <v>10800000000</v>
      </c>
      <c r="ED3" s="453">
        <f>IF(OR('Parte Estrategica'!AO3=0,'Parte Estrategica'!AO3=""),0,IF(VLOOKUP($A3,'Matriz de Referencia'!$B$2:$CO$584,53,FALSE)=0,0,"Digite"))</f>
        <v>0</v>
      </c>
      <c r="EE3" s="454">
        <f>IF(OR('Parte Estrategica'!AO3=0,'Parte Estrategica'!AO3=""),0,IF(VLOOKUP($A3,'Matriz de Referencia'!$B$2:$CO$584,54,FALSE)=0,0,"Digite"))</f>
        <v>0</v>
      </c>
      <c r="EF3" s="454">
        <f>IF(OR('Parte Estrategica'!AO3=0,'Parte Estrategica'!AO3=""),0,IF(VLOOKUP($A3,'Matriz de Referencia'!$B$2:$CO$584,55,FALSE)=0,0,"Digite"))</f>
        <v>0</v>
      </c>
      <c r="EG3" s="454">
        <f>IF(OR('Parte Estrategica'!AO3=0,'Parte Estrategica'!AO3=""),0,IF(VLOOKUP($A3,'Matriz de Referencia'!$B$2:$CO$584,56,FALSE)=0,0,"Digite"))</f>
        <v>0</v>
      </c>
      <c r="EH3" s="454">
        <f>IF(OR('Parte Estrategica'!AO3=0,'Parte Estrategica'!AO3=""),0,IF(VLOOKUP($A3,'Matriz de Referencia'!$B$2:$CO$584,57,FALSE)=0,0,"Digite"))</f>
        <v>0</v>
      </c>
      <c r="EI3" s="454">
        <f>IF(OR('Parte Estrategica'!AO3=0,'Parte Estrategica'!AO3=""),0,IF(VLOOKUP($A3,'Matriz de Referencia'!$B$2:$CO$584,58,FALSE)=0,0,"Digite"))</f>
        <v>0</v>
      </c>
      <c r="EJ3" s="454">
        <f>IF(OR('Parte Estrategica'!AO3=0,'Parte Estrategica'!AO3=""),0,IF(VLOOKUP($A3,'Matriz de Referencia'!$B$2:$CO$584,59,FALSE)=0,0,"Digite"))</f>
        <v>0</v>
      </c>
      <c r="EK3" s="454">
        <f>IF(OR('Parte Estrategica'!AO3=0,'Parte Estrategica'!AO3=""),0,IF(VLOOKUP($A3,'Matriz de Referencia'!$B$2:$CO$584,60,FALSE)=0,0,"Digite"))</f>
        <v>0</v>
      </c>
      <c r="EL3" s="382">
        <f t="shared" ref="EL3:EL65" si="29">SUM(ED3:EK3)</f>
        <v>0</v>
      </c>
      <c r="EM3" s="454">
        <f>IF(OR('Parte Estrategica'!AO3=0,'Parte Estrategica'!AO3=""),0,IF(VLOOKUP($A3,'Matriz de Referencia'!$B$2:$CO$584,62,FALSE)=0,0,"Digite"))</f>
        <v>0</v>
      </c>
      <c r="EN3" s="454">
        <f>IF(OR('Parte Estrategica'!AO3=0,'Parte Estrategica'!AO3=""),0,IF(VLOOKUP($A3,'Matriz de Referencia'!$B$2:$CO$584,63,FALSE)=0,0,"Digite"))</f>
        <v>0</v>
      </c>
      <c r="EO3" s="454">
        <f>IF(OR('Parte Estrategica'!AO3=0,'Parte Estrategica'!AO3=""),0,IF(VLOOKUP($A3,'Matriz de Referencia'!$B$2:$CO$584,64,FALSE)=0,0,"Digite"))</f>
        <v>0</v>
      </c>
      <c r="EP3" s="382">
        <f t="shared" ref="EP3:EP65" si="30">SUM(EM3:EO3)</f>
        <v>0</v>
      </c>
      <c r="EQ3" s="382">
        <f t="shared" ref="EQ3:EQ65" si="31">EP3+EL3</f>
        <v>0</v>
      </c>
      <c r="ER3" s="453">
        <f>IF(OR('Parte Estrategica'!AP3=0,'Parte Estrategica'!AP3=""),0,IF(VLOOKUP($A3,'Matriz de Referencia'!$B$2:$CO$584,53,FALSE)=0,0,"Digite"))</f>
        <v>0</v>
      </c>
      <c r="ES3" s="454">
        <f>IF(OR('Parte Estrategica'!AP3=0,'Parte Estrategica'!AP3=""),0,IF(VLOOKUP($A3,'Matriz de Referencia'!$B$2:$CO$584,54,FALSE)=0,0,"Digite"))</f>
        <v>0</v>
      </c>
      <c r="ET3" s="454">
        <f>IF(OR('Parte Estrategica'!AP3=0,'Parte Estrategica'!AP3=""),0,IF(VLOOKUP($A3,'Matriz de Referencia'!$B$2:$CO$584,55,FALSE)=0,0,"Digite"))</f>
        <v>0</v>
      </c>
      <c r="EU3" s="454">
        <f>IF(OR('Parte Estrategica'!AP3=0,'Parte Estrategica'!AP3=""),0,IF(VLOOKUP($A3,'Matriz de Referencia'!$B$2:$CO$584,56,FALSE)=0,0,"Digite"))</f>
        <v>0</v>
      </c>
      <c r="EV3" s="454">
        <f>IF(OR('Parte Estrategica'!AP3=0,'Parte Estrategica'!AP3=""),0,IF(VLOOKUP($A3,'Matriz de Referencia'!$B$2:$CO$584,57,FALSE)=0,0,"Digite"))</f>
        <v>0</v>
      </c>
      <c r="EW3" s="454">
        <f>IF(OR('Parte Estrategica'!AP3=0,'Parte Estrategica'!AP3=""),0,IF(VLOOKUP($A3,'Matriz de Referencia'!$B$2:$CO$584,58,FALSE)=0,0,"Digite"))</f>
        <v>0</v>
      </c>
      <c r="EX3" s="454">
        <f>IF(OR('Parte Estrategica'!AP3=0,'Parte Estrategica'!AP3=""),0,IF(VLOOKUP($A3,'Matriz de Referencia'!$B$2:$CO$584,59,FALSE)=0,0,"Digite"))</f>
        <v>0</v>
      </c>
      <c r="EY3" s="454">
        <f>IF(OR('Parte Estrategica'!AP3=0,'Parte Estrategica'!AP3=""),0,IF(VLOOKUP($A3,'Matriz de Referencia'!$B$2:$CO$584,60,FALSE)=0,0,"Digite"))</f>
        <v>0</v>
      </c>
      <c r="EZ3" s="382">
        <f t="shared" ref="EZ3:EZ65" si="32">SUM(ER3:EY3)</f>
        <v>0</v>
      </c>
      <c r="FA3" s="454">
        <f>IF(OR('Parte Estrategica'!AP3=0,'Parte Estrategica'!AP3=""),0,IF(VLOOKUP($A3,'Matriz de Referencia'!$B$2:$CO$584,62,FALSE)=0,0,"Digite"))</f>
        <v>0</v>
      </c>
      <c r="FB3" s="454">
        <f>IF(OR('Parte Estrategica'!AP3=0,'Parte Estrategica'!AP3=""),0,IF(VLOOKUP($A3,'Matriz de Referencia'!$B$2:$CO$584,63,FALSE)=0,0,"Digite"))</f>
        <v>0</v>
      </c>
      <c r="FC3" s="454">
        <f>IF(OR('Parte Estrategica'!AP3=0,'Parte Estrategica'!AP3=""),0,IF(VLOOKUP($A3,'Matriz de Referencia'!$B$2:$CO$584,64,FALSE)=0,0,"Digite"))</f>
        <v>0</v>
      </c>
      <c r="FD3" s="382">
        <f t="shared" ref="FD3:FD65" si="33">SUM(FA3:FC3)</f>
        <v>0</v>
      </c>
      <c r="FE3" s="382">
        <f t="shared" ref="FE3:FE65" si="34">FD3+EZ3</f>
        <v>0</v>
      </c>
      <c r="FF3" s="453">
        <f>IF(OR('Parte Estrategica'!AQ3=0,'Parte Estrategica'!AQ3=""),0,IF(VLOOKUP($A3,'Matriz de Referencia'!$B$2:$CO$584,53,FALSE)=0,0,"Digite"))</f>
        <v>0</v>
      </c>
      <c r="FG3" s="454">
        <f>IF(OR('Parte Estrategica'!AQ3=0,'Parte Estrategica'!AQ3=""),0,IF(VLOOKUP($A3,'Matriz de Referencia'!$B$2:$CO$584,54,FALSE)=0,0,"Digite"))</f>
        <v>0</v>
      </c>
      <c r="FH3" s="454">
        <f>IF(OR('Parte Estrategica'!AQ3=0,'Parte Estrategica'!AQ3=""),0,IF(VLOOKUP($A3,'Matriz de Referencia'!$B$2:$CO$584,55,FALSE)=0,0,"Digite"))</f>
        <v>0</v>
      </c>
      <c r="FI3" s="454">
        <f>IF(OR('Parte Estrategica'!AQ3=0,'Parte Estrategica'!AQ3=""),0,IF(VLOOKUP($A3,'Matriz de Referencia'!$B$2:$CO$584,56,FALSE)=0,0,"Digite"))</f>
        <v>0</v>
      </c>
      <c r="FJ3" s="454">
        <f>IF(OR('Parte Estrategica'!AQ3=0,'Parte Estrategica'!AQ3=""),0,IF(VLOOKUP($A3,'Matriz de Referencia'!$B$2:$CO$584,57,FALSE)=0,0,"Digite"))</f>
        <v>0</v>
      </c>
      <c r="FK3" s="454">
        <f>IF(OR('Parte Estrategica'!AQ3=0,'Parte Estrategica'!AQ3=""),0,IF(VLOOKUP($A3,'Matriz de Referencia'!$B$2:$CO$584,58,FALSE)=0,0,"Digite"))</f>
        <v>0</v>
      </c>
      <c r="FL3" s="454">
        <f>IF(OR('Parte Estrategica'!AQ3=0,'Parte Estrategica'!AQ3=""),0,IF(VLOOKUP($A3,'Matriz de Referencia'!$B$2:$CO$584,59,FALSE)=0,0,"Digite"))</f>
        <v>0</v>
      </c>
      <c r="FM3" s="454">
        <f>IF(OR('Parte Estrategica'!AQ3=0,'Parte Estrategica'!AQ3=""),0,IF(VLOOKUP($A3,'Matriz de Referencia'!$B$2:$CO$584,60,FALSE)=0,0,"Digite"))</f>
        <v>0</v>
      </c>
      <c r="FN3" s="382">
        <f t="shared" ref="FN3:FN65" si="35">SUM(FF3:FM3)</f>
        <v>0</v>
      </c>
      <c r="FO3" s="454">
        <f>IF(OR('Parte Estrategica'!AQ3=0,'Parte Estrategica'!AQ3=""),0,IF(VLOOKUP($A3,'Matriz de Referencia'!$B$2:$CO$584,62,FALSE)=0,0,"Digite"))</f>
        <v>0</v>
      </c>
      <c r="FP3" s="454">
        <f>IF(OR('Parte Estrategica'!AQ3=0,'Parte Estrategica'!AQ3=""),0,IF(VLOOKUP($A3,'Matriz de Referencia'!$B$2:$CO$584,63,FALSE)=0,0,"Digite"))</f>
        <v>0</v>
      </c>
      <c r="FQ3" s="454">
        <f>IF(OR('Parte Estrategica'!AQ3=0,'Parte Estrategica'!AQ3=""),0,IF(VLOOKUP($A3,'Matriz de Referencia'!$B$2:$CO$584,64,FALSE)=0,0,"Digite"))</f>
        <v>0</v>
      </c>
      <c r="FR3" s="382">
        <f t="shared" ref="FR3:FR65" si="36">SUM(FO3:FQ3)</f>
        <v>0</v>
      </c>
      <c r="FS3" s="382">
        <f t="shared" ref="FS3:FS65" si="37">FR3+FN3</f>
        <v>0</v>
      </c>
      <c r="FT3" s="382">
        <f t="shared" ref="FT3:FT65" si="38">FS3+FE3+EQ3+EC3</f>
        <v>10800000000</v>
      </c>
      <c r="FU3" s="101" t="str">
        <f>IFERROR(IF(FT3=0,"",IF(VLOOKUP($A3,'Matriz de Referencia'!$B$2:$CO$584,66,FALSE)=FT3,"Techos ok, cotinue","Debe revisar el valor programado")),"")</f>
        <v>Techos ok, cotinue</v>
      </c>
      <c r="FV3" s="453">
        <f>IF(OR('Parte Estrategica'!AT3=0,'Parte Estrategica'!AT3=""),0,IF(VLOOKUP($A3,'Matriz de Referencia'!$B$2:$CO$584,67,FALSE)=0,0,"Digite"))</f>
        <v>0</v>
      </c>
      <c r="FW3" s="454">
        <f>IF(OR('Parte Estrategica'!AT3=0,'Parte Estrategica'!AT3=""),0,IF(VLOOKUP($A3,'Matriz de Referencia'!$B$2:$CO$584,68,FALSE)=0,0,"Digite"))</f>
        <v>0</v>
      </c>
      <c r="FX3" s="454">
        <f>IF(OR('Parte Estrategica'!AT3=0,'Parte Estrategica'!AT3=""),0,IF(VLOOKUP($A3,'Matriz de Referencia'!$B$2:$CO$584,69,FALSE)=0,0,"Digite"))</f>
        <v>0</v>
      </c>
      <c r="FY3" s="454">
        <f>IF(OR('Parte Estrategica'!AT3=0,'Parte Estrategica'!AT3=""),0,IF(VLOOKUP($A3,'Matriz de Referencia'!$B$2:$CO$584,70,FALSE)=0,0,"Digite"))</f>
        <v>0</v>
      </c>
      <c r="FZ3" s="454">
        <f>IF(OR('Parte Estrategica'!AT3=0,'Parte Estrategica'!AT3=""),0,IF(VLOOKUP($A3,'Matriz de Referencia'!$B$2:$CO$584,71,FALSE)=0,0,"Digite"))</f>
        <v>0</v>
      </c>
      <c r="GA3" s="454">
        <v>10800000000</v>
      </c>
      <c r="GB3" s="454">
        <f>IF(OR('Parte Estrategica'!AT3=0,'Parte Estrategica'!AT3=""),0,IF(VLOOKUP($A3,'Matriz de Referencia'!$B$2:$CO$584,73,FALSE)=0,0,"Digite"))</f>
        <v>0</v>
      </c>
      <c r="GC3" s="454">
        <f>IF(OR('Parte Estrategica'!AT3=0,'Parte Estrategica'!AT3=""),0,IF(VLOOKUP($A3,'Matriz de Referencia'!$B$2:$CO$584,74,FALSE)=0,0,"Digite"))</f>
        <v>0</v>
      </c>
      <c r="GD3" s="382">
        <f t="shared" ref="GD3:GD65" si="39">SUM(FV3:GC3)</f>
        <v>10800000000</v>
      </c>
      <c r="GE3" s="454">
        <f>IF(OR('Parte Estrategica'!AT3=0,'Parte Estrategica'!AT3=""),0,IF(VLOOKUP($A3,'Matriz de Referencia'!$B$2:$CO$584,76,FALSE)=0,0,"Digite"))</f>
        <v>0</v>
      </c>
      <c r="GF3" s="454">
        <f>IF(OR('Parte Estrategica'!AT3=0,'Parte Estrategica'!AT3=""),0,IF(VLOOKUP($A3,'Matriz de Referencia'!$B$2:$CO$584,77,FALSE)=0,0,"Digite"))</f>
        <v>0</v>
      </c>
      <c r="GG3" s="454">
        <f>IF(OR('Parte Estrategica'!AT3=0,'Parte Estrategica'!AT3=""),0,IF(VLOOKUP($A3,'Matriz de Referencia'!$B$2:$CO$584,78,FALSE)=0,0,"Digite"))</f>
        <v>0</v>
      </c>
      <c r="GH3" s="382">
        <f t="shared" ref="GH3:GH65" si="40">SUM(GE3:GG3)</f>
        <v>0</v>
      </c>
      <c r="GI3" s="382">
        <f t="shared" ref="GI3:GI65" si="41">GH3+GD3</f>
        <v>10800000000</v>
      </c>
      <c r="GJ3" s="453">
        <f>IF(OR('Parte Estrategica'!AU3=0,'Parte Estrategica'!AU3=""),0,IF(VLOOKUP($A3,'Matriz de Referencia'!$B$2:$CO$584,67,FALSE)=0,0,"Digite"))</f>
        <v>0</v>
      </c>
      <c r="GK3" s="454">
        <f>IF(OR('Parte Estrategica'!AU3=0,'Parte Estrategica'!AU3=""),0,IF(VLOOKUP($A3,'Matriz de Referencia'!$B$2:$CO$584,68,FALSE)=0,0,"Digite"))</f>
        <v>0</v>
      </c>
      <c r="GL3" s="454">
        <f>IF(OR('Parte Estrategica'!AU3=0,'Parte Estrategica'!AU3=""),0,IF(VLOOKUP($A3,'Matriz de Referencia'!$B$2:$CO$584,69,FALSE)=0,0,"Digite"))</f>
        <v>0</v>
      </c>
      <c r="GM3" s="454">
        <f>IF(OR('Parte Estrategica'!AU3=0,'Parte Estrategica'!AU3=""),0,IF(VLOOKUP($A3,'Matriz de Referencia'!$B$2:$CO$584,70,FALSE)=0,0,"Digite"))</f>
        <v>0</v>
      </c>
      <c r="GN3" s="454">
        <f>IF(OR('Parte Estrategica'!AU3=0,'Parte Estrategica'!AU3=""),0,IF(VLOOKUP($A3,'Matriz de Referencia'!$B$2:$CO$584,71,FALSE)=0,0,"Digite"))</f>
        <v>0</v>
      </c>
      <c r="GO3" s="454">
        <f>IF(OR('Parte Estrategica'!AU3=0,'Parte Estrategica'!AU3=""),0,IF(VLOOKUP($A3,'Matriz de Referencia'!$B$2:$CO$584,72,FALSE)=0,0,"Digite"))</f>
        <v>0</v>
      </c>
      <c r="GP3" s="454">
        <f>IF(OR('Parte Estrategica'!AU3=0,'Parte Estrategica'!AU3=""),0,IF(VLOOKUP($A3,'Matriz de Referencia'!$B$2:$CO$584,73,FALSE)=0,0,"Digite"))</f>
        <v>0</v>
      </c>
      <c r="GQ3" s="454">
        <f>IF(OR('Parte Estrategica'!AU3=0,'Parte Estrategica'!AU3=""),0,IF(VLOOKUP($A3,'Matriz de Referencia'!$B$2:$CO$584,74,FALSE)=0,0,"Digite"))</f>
        <v>0</v>
      </c>
      <c r="GR3" s="382">
        <f t="shared" ref="GR3:GR65" si="42">SUM(GJ3:GQ3)</f>
        <v>0</v>
      </c>
      <c r="GS3" s="454">
        <f>IF(OR('Parte Estrategica'!AU3=0,'Parte Estrategica'!AU3=""),0,IF(VLOOKUP($A3,'Matriz de Referencia'!$B$2:$CO$584,76,FALSE)=0,0,"Digite"))</f>
        <v>0</v>
      </c>
      <c r="GT3" s="454">
        <f>IF(OR('Parte Estrategica'!AU3=0,'Parte Estrategica'!AU3=""),0,IF(VLOOKUP($A3,'Matriz de Referencia'!$B$2:$CO$584,77,FALSE)=0,0,"Digite"))</f>
        <v>0</v>
      </c>
      <c r="GU3" s="454">
        <f>IF(OR('Parte Estrategica'!AU3=0,'Parte Estrategica'!AU3=""),0,IF(VLOOKUP($A3,'Matriz de Referencia'!$B$2:$CO$584,78,FALSE)=0,0,"Digite"))</f>
        <v>0</v>
      </c>
      <c r="GV3" s="382">
        <f t="shared" ref="GV3:GV65" si="43">SUM(GS3:GU3)</f>
        <v>0</v>
      </c>
      <c r="GW3" s="382">
        <f t="shared" ref="GW3:GW65" si="44">GV3+GR3</f>
        <v>0</v>
      </c>
      <c r="GX3" s="453">
        <f>IF(OR('Parte Estrategica'!AV3=0,'Parte Estrategica'!AV3=""),0,IF(VLOOKUP($A3,'Matriz de Referencia'!$B$2:$CO$584,67,FALSE)=0,0,"Digite"))</f>
        <v>0</v>
      </c>
      <c r="GY3" s="454">
        <f>IF(OR('Parte Estrategica'!AV3=0,'Parte Estrategica'!AV3=""),0,IF(VLOOKUP($A3,'Matriz de Referencia'!$B$2:$CO$584,68,FALSE)=0,0,"Digite"))</f>
        <v>0</v>
      </c>
      <c r="GZ3" s="454">
        <f>IF(OR('Parte Estrategica'!AV3=0,'Parte Estrategica'!AV3=""),0,IF(VLOOKUP($A3,'Matriz de Referencia'!$B$2:$CO$584,69,FALSE)=0,0,"Digite"))</f>
        <v>0</v>
      </c>
      <c r="HA3" s="454">
        <f>IF(OR('Parte Estrategica'!AV3=0,'Parte Estrategica'!AV3=""),0,IF(VLOOKUP($A3,'Matriz de Referencia'!$B$2:$CO$584,70,FALSE)=0,0,"Digite"))</f>
        <v>0</v>
      </c>
      <c r="HB3" s="454">
        <f>IF(OR('Parte Estrategica'!AV3=0,'Parte Estrategica'!AV3=""),0,IF(VLOOKUP($A3,'Matriz de Referencia'!$B$2:$CO$584,71,FALSE)=0,0,"Digite"))</f>
        <v>0</v>
      </c>
      <c r="HC3" s="454">
        <f>IF(OR('Parte Estrategica'!AV3=0,'Parte Estrategica'!AV3=""),0,IF(VLOOKUP($A3,'Matriz de Referencia'!$B$2:$CO$584,72,FALSE)=0,0,"Digite"))</f>
        <v>0</v>
      </c>
      <c r="HD3" s="454">
        <f>IF(OR('Parte Estrategica'!AV3=0,'Parte Estrategica'!AV3=""),0,IF(VLOOKUP($A3,'Matriz de Referencia'!$B$2:$CO$584,73,FALSE)=0,0,"Digite"))</f>
        <v>0</v>
      </c>
      <c r="HE3" s="454">
        <f>IF(OR('Parte Estrategica'!AV3=0,'Parte Estrategica'!AV3=""),0,IF(VLOOKUP($A3,'Matriz de Referencia'!$B$2:$CO$584,74,FALSE)=0,0,"Digite"))</f>
        <v>0</v>
      </c>
      <c r="HF3" s="382">
        <f t="shared" ref="HF3:HF65" si="45">SUM(GX3:HE3)</f>
        <v>0</v>
      </c>
      <c r="HG3" s="454">
        <f>IF(OR('Parte Estrategica'!AV3=0,'Parte Estrategica'!AV3=""),0,IF(VLOOKUP($A3,'Matriz de Referencia'!$B$2:$CO$584,76,FALSE)=0,0,"Digite"))</f>
        <v>0</v>
      </c>
      <c r="HH3" s="454">
        <f>IF(OR('Parte Estrategica'!AV3=0,'Parte Estrategica'!AV3=""),0,IF(VLOOKUP($A3,'Matriz de Referencia'!$B$2:$CO$584,77,FALSE)=0,0,"Digite"))</f>
        <v>0</v>
      </c>
      <c r="HI3" s="454">
        <f>IF(OR('Parte Estrategica'!AV3=0,'Parte Estrategica'!AV3=""),0,IF(VLOOKUP($A3,'Matriz de Referencia'!$B$2:$CO$584,78,FALSE)=0,0,"Digite"))</f>
        <v>0</v>
      </c>
      <c r="HJ3" s="382">
        <f t="shared" ref="HJ3:HJ65" si="46">SUM(HG3:HI3)</f>
        <v>0</v>
      </c>
      <c r="HK3" s="382">
        <f t="shared" ref="HK3:HK65" si="47">HJ3+HF3</f>
        <v>0</v>
      </c>
      <c r="HL3" s="453">
        <f>IF(OR('Parte Estrategica'!AW3=0,'Parte Estrategica'!AW3=""),0,IF(VLOOKUP($A3,'Matriz de Referencia'!$B$2:$CO$584,67,FALSE)=0,0,"Digite"))</f>
        <v>0</v>
      </c>
      <c r="HM3" s="454">
        <f>IF(OR('Parte Estrategica'!AW3=0,'Parte Estrategica'!AW3=""),0,IF(VLOOKUP($A3,'Matriz de Referencia'!$B$2:$CO$584,68,FALSE)=0,0,"Digite"))</f>
        <v>0</v>
      </c>
      <c r="HN3" s="454">
        <f>IF(OR('Parte Estrategica'!AW3=0,'Parte Estrategica'!AW3=""),0,IF(VLOOKUP($A3,'Matriz de Referencia'!$B$2:$CO$584,69,FALSE)=0,0,"Digite"))</f>
        <v>0</v>
      </c>
      <c r="HO3" s="454">
        <f>IF(OR('Parte Estrategica'!AW3=0,'Parte Estrategica'!AW3=""),0,IF(VLOOKUP($A3,'Matriz de Referencia'!$B$2:$CO$584,70,FALSE)=0,0,"Digite"))</f>
        <v>0</v>
      </c>
      <c r="HP3" s="454">
        <f>IF(OR('Parte Estrategica'!AW3=0,'Parte Estrategica'!AW3=""),0,IF(VLOOKUP($A3,'Matriz de Referencia'!$B$2:$CO$584,71,FALSE)=0,0,"Digite"))</f>
        <v>0</v>
      </c>
      <c r="HQ3" s="454">
        <f>IF(OR('Parte Estrategica'!AW3=0,'Parte Estrategica'!AW3=""),0,IF(VLOOKUP($A3,'Matriz de Referencia'!$B$2:$CO$584,72,FALSE)=0,0,"Digite"))</f>
        <v>0</v>
      </c>
      <c r="HR3" s="454">
        <f>IF(OR('Parte Estrategica'!AW3=0,'Parte Estrategica'!AW3=""),0,IF(VLOOKUP($A3,'Matriz de Referencia'!$B$2:$CO$584,73,FALSE)=0,0,"Digite"))</f>
        <v>0</v>
      </c>
      <c r="HS3" s="454">
        <f>IF(OR('Parte Estrategica'!AW3=0,'Parte Estrategica'!AW3=""),0,IF(VLOOKUP($A3,'Matriz de Referencia'!$B$2:$CO$584,74,FALSE)=0,0,"Digite"))</f>
        <v>0</v>
      </c>
      <c r="HT3" s="382">
        <f t="shared" ref="HT3:HT65" si="48">SUM(HL3:HS3)</f>
        <v>0</v>
      </c>
      <c r="HU3" s="454">
        <f>IF(OR('Parte Estrategica'!AW3=0,'Parte Estrategica'!AW3=""),0,IF(VLOOKUP($A3,'Matriz de Referencia'!$B$2:$CO$584,76,FALSE)=0,0,"Digite"))</f>
        <v>0</v>
      </c>
      <c r="HV3" s="454">
        <f>IF(OR('Parte Estrategica'!AW3=0,'Parte Estrategica'!AW3=""),0,IF(VLOOKUP($A3,'Matriz de Referencia'!$B$2:$CO$584,77,FALSE)=0,0,"Digite"))</f>
        <v>0</v>
      </c>
      <c r="HW3" s="454">
        <f>IF(OR('Parte Estrategica'!AW3=0,'Parte Estrategica'!AW3=""),0,IF(VLOOKUP($A3,'Matriz de Referencia'!$B$2:$CO$584,78,FALSE)=0,0,"Digite"))</f>
        <v>0</v>
      </c>
      <c r="HX3" s="382">
        <f t="shared" ref="HX3:HX65" si="49">SUM(HU3:HW3)</f>
        <v>0</v>
      </c>
      <c r="HY3" s="382">
        <f t="shared" ref="HY3:HY65" si="50">HX3+HT3</f>
        <v>0</v>
      </c>
      <c r="HZ3" s="382">
        <f t="shared" ref="HZ3:HZ65" si="51">HY3+HK3+GW3+GI3</f>
        <v>10800000000</v>
      </c>
      <c r="IA3" s="101" t="str">
        <f>IFERROR(IF(HZ3=0,"",IF(VLOOKUP($A3,'Matriz de Referencia'!$B$2:$CO$584,80,FALSE)=HZ3,"Techos ok, cotinue","Debe revisar el valor programado")),"")</f>
        <v>Techos ok, cotinue</v>
      </c>
      <c r="IB3" s="383">
        <f t="shared" ref="IB3:IB65" si="52">HZ3+FT3+DN3+BH3</f>
        <v>43200000000</v>
      </c>
    </row>
    <row r="4" spans="1:236" ht="27.6">
      <c r="A4" s="550">
        <f>IF('Parte Estrategica'!B4=0,"",'Parte Estrategica'!B4)</f>
        <v>298</v>
      </c>
      <c r="B4" s="551" t="str">
        <f>IFERROR(VLOOKUP(A4,'Matriz de Referencia'!$B$2:$P$578,'Matriz de Referencia'!L$1,FALSE),"")</f>
        <v>Documentos de lineamientos técnicos elaborados</v>
      </c>
      <c r="C4" s="551" t="str">
        <f>IFERROR(VLOOKUP(A4,'Matriz de Referencia'!$B$2:$P$584,'Matriz de Referencia'!M$1,FALSE),"")</f>
        <v>Documentos de caracterización de grupos de valor mediante la actualización  software CRM</v>
      </c>
      <c r="D4" s="455" t="str">
        <f>IF(OR('Parte Estrategica'!AB4=0,'Parte Estrategica'!AB4=""),"",IF(VLOOKUP($A4,'Matriz de Referencia'!$B$2:$CO$584,'Matriz de Referencia'!Z$1,FALSE)=0,"","Digite"))</f>
        <v/>
      </c>
      <c r="E4" s="456">
        <f>IF(OR('Parte Estrategica'!AB4=0,'Parte Estrategica'!AB4=""),0,IF(VLOOKUP($A4,'Matriz de Referencia'!$B$2:$CO$584,26,FALSE)=0,0,"Digite"))</f>
        <v>0</v>
      </c>
      <c r="F4" s="456">
        <f>IF(OR('Parte Estrategica'!AB4=0,'Parte Estrategica'!AB4=""),0,IF(VLOOKUP($A4,'Matriz de Referencia'!$B$2:$CO$584,27,FALSE)=0,0,"Digite"))</f>
        <v>0</v>
      </c>
      <c r="G4" s="456">
        <f>IF(OR('Parte Estrategica'!AB4=0,'Parte Estrategica'!AB4=""),0,IF(VLOOKUP($A4,'Matriz de Referencia'!$B$2:$CO$584,28,FALSE)=0,0,"Digite"))</f>
        <v>0</v>
      </c>
      <c r="H4" s="456">
        <f>IF(OR('Parte Estrategica'!AB4=0,'Parte Estrategica'!AB4=""),0,IF(VLOOKUP($A4,'Matriz de Referencia'!$B$2:$CO$584,29,FALSE)=0,0,"Digite"))</f>
        <v>0</v>
      </c>
      <c r="I4" s="456">
        <f>IF(OR('Parte Estrategica'!AB4=0,'Parte Estrategica'!AB4=""),0,IF(VLOOKUP($A4,'Matriz de Referencia'!$B$2:$CO$584,30,FALSE)=0,0,"Digite"))</f>
        <v>0</v>
      </c>
      <c r="J4" s="456">
        <f>IF(OR('Parte Estrategica'!AB4=0,'Parte Estrategica'!AB4=""),0,IF(VLOOKUP($A4,'Matriz de Referencia'!$B$2:$CO$584,31,FALSE)=0,0,"Digite"))</f>
        <v>0</v>
      </c>
      <c r="K4" s="456">
        <f>IF(OR('Parte Estrategica'!AB4=0,'Parte Estrategica'!AB4=""),0,IF(VLOOKUP($A4,'Matriz de Referencia'!$B$2:$CO$584,32,FALSE)=0,0,"Digite"))</f>
        <v>0</v>
      </c>
      <c r="L4" s="460">
        <f t="shared" si="0"/>
        <v>0</v>
      </c>
      <c r="M4" s="456">
        <f>IF(OR('Parte Estrategica'!AB4=0,'Parte Estrategica'!AB4=""),0,IF(VLOOKUP($A4,'Matriz de Referencia'!$B$2:$CO$584,34,FALSE)=0,0,"Digite"))</f>
        <v>0</v>
      </c>
      <c r="N4" s="456">
        <f>IF(OR('Parte Estrategica'!AB4=0,'Parte Estrategica'!AB4=""),0,IF(VLOOKUP($A4,'Matriz de Referencia'!$B$2:$CO$584,35,FALSE)=0,0,"Digite"))</f>
        <v>0</v>
      </c>
      <c r="O4" s="456">
        <f>IF(OR('Parte Estrategica'!AB4=0,'Parte Estrategica'!AB4=""),0,IF(VLOOKUP($A4,'Matriz de Referencia'!$B$2:$CO$584,36,FALSE)=0,0,"Digite"))</f>
        <v>0</v>
      </c>
      <c r="P4" s="457">
        <f t="shared" si="1"/>
        <v>0</v>
      </c>
      <c r="Q4" s="457">
        <f t="shared" si="2"/>
        <v>0</v>
      </c>
      <c r="R4" s="455">
        <f>IF(OR('Parte Estrategica'!AC4=0,'Parte Estrategica'!AC4=""),0,IF(VLOOKUP($A4,'Matriz de Referencia'!$B$2:$CO$584,25,FALSE)=0,0,"Digite"))</f>
        <v>0</v>
      </c>
      <c r="S4" s="456">
        <f>IF(OR('Parte Estrategica'!AC4=0,'Parte Estrategica'!AC4=""),0,IF(VLOOKUP($A4,'Matriz de Referencia'!$B$2:$CO$584,26,FALSE)=0,0,"Digite"))</f>
        <v>0</v>
      </c>
      <c r="T4" s="456">
        <f>IF(OR('Parte Estrategica'!AC4=0,'Parte Estrategica'!AC4=""),0,IF(VLOOKUP($A4,'Matriz de Referencia'!$B$2:$CO$584,27,FALSE)=0,0,"Digite"))</f>
        <v>0</v>
      </c>
      <c r="U4" s="456">
        <f>IF(OR('Parte Estrategica'!AC4=0,'Parte Estrategica'!AC4=""),0,IF(VLOOKUP($A4,'Matriz de Referencia'!$B$2:$CO$584,28,FALSE)=0,0,"Digite"))</f>
        <v>0</v>
      </c>
      <c r="V4" s="456">
        <f>IF(OR('Parte Estrategica'!AC4=0,'Parte Estrategica'!AC4=""),0,IF(VLOOKUP($A4,'Matriz de Referencia'!$B$2:$CO$584,29,FALSE)=0,0,"Digite"))</f>
        <v>0</v>
      </c>
      <c r="W4" s="456">
        <f>IF(OR('Parte Estrategica'!AC4=0,'Parte Estrategica'!AC4=""),0,IF(VLOOKUP($A4,'Matriz de Referencia'!$B$2:$CO$584,30,FALSE)=0,0,"Digite"))</f>
        <v>0</v>
      </c>
      <c r="X4" s="456">
        <f>IF(OR('Parte Estrategica'!AC4=0,'Parte Estrategica'!AC4=""),0,IF(VLOOKUP($A4,'Matriz de Referencia'!$B$2:$CO$584,31,FALSE)=0,0,"Digite"))</f>
        <v>0</v>
      </c>
      <c r="Y4" s="456">
        <f>IF(OR('Parte Estrategica'!AC4=0,'Parte Estrategica'!AC4=""),0,IF(VLOOKUP($A4,'Matriz de Referencia'!$B$2:$CO$584,32,FALSE)=0,0,"Digite"))</f>
        <v>0</v>
      </c>
      <c r="Z4" s="457">
        <f t="shared" si="3"/>
        <v>0</v>
      </c>
      <c r="AA4" s="456">
        <f>IF(OR('Parte Estrategica'!AC4=0,'Parte Estrategica'!AC4=""),0,IF(VLOOKUP($A4,'Matriz de Referencia'!$B$2:$CO$584,34,FALSE)=0,0,"Digite"))</f>
        <v>0</v>
      </c>
      <c r="AB4" s="456">
        <f>IF(OR('Parte Estrategica'!AC4=0,'Parte Estrategica'!AC4=""),0,IF(VLOOKUP($A4,'Matriz de Referencia'!$B$2:$CO$584,35,FALSE)=0,0,"Digite"))</f>
        <v>0</v>
      </c>
      <c r="AC4" s="456">
        <f>IF(OR('Parte Estrategica'!AC4=0,'Parte Estrategica'!AC4=""),0,IF(VLOOKUP($A4,'Matriz de Referencia'!$B$2:$CO$584,36,FALSE)=0,0,"Digite"))</f>
        <v>0</v>
      </c>
      <c r="AD4" s="457">
        <f t="shared" si="4"/>
        <v>0</v>
      </c>
      <c r="AE4" s="457">
        <f t="shared" si="5"/>
        <v>0</v>
      </c>
      <c r="AF4" s="455">
        <f>IF(OR('Parte Estrategica'!AD4=0,'Parte Estrategica'!AD4=""),0,IF(VLOOKUP($A4,'Matriz de Referencia'!$B$2:$CO$584,25,FALSE)=0,0,"Digite"))</f>
        <v>0</v>
      </c>
      <c r="AG4" s="456">
        <f>IF(OR('Parte Estrategica'!AD4=0,'Parte Estrategica'!AD4=""),0,IF(VLOOKUP($A4,'Matriz de Referencia'!$B$2:$CO$584,26,FALSE)=0,0,"Digite"))</f>
        <v>0</v>
      </c>
      <c r="AH4" s="456">
        <f>IF(OR('Parte Estrategica'!AD4=0,'Parte Estrategica'!AD4=""),0,IF(VLOOKUP($A4,'Matriz de Referencia'!$B$2:$CO$584,27,FALSE)=0,0,"Digite"))</f>
        <v>0</v>
      </c>
      <c r="AI4" s="456">
        <f>IF(OR('Parte Estrategica'!AD4=0,'Parte Estrategica'!AD4=""),0,IF(VLOOKUP($A4,'Matriz de Referencia'!$B$2:$CO$584,28,FALSE)=0,0,"Digite"))</f>
        <v>0</v>
      </c>
      <c r="AJ4" s="456">
        <f>IF(OR('Parte Estrategica'!AD4=0,'Parte Estrategica'!AD4=""),0,IF(VLOOKUP($A4,'Matriz de Referencia'!$B$2:$CO$584,29,FALSE)=0,0,"Digite"))</f>
        <v>0</v>
      </c>
      <c r="AK4" s="456">
        <f>IF(OR('Parte Estrategica'!AD4=0,'Parte Estrategica'!AD4=""),0,IF(VLOOKUP($A4,'Matriz de Referencia'!$B$2:$CO$584,30,FALSE)=0,0,"Digite"))</f>
        <v>0</v>
      </c>
      <c r="AL4" s="456">
        <f>IF(OR('Parte Estrategica'!AD4=0,'Parte Estrategica'!AD4=""),0,IF(VLOOKUP($A4,'Matriz de Referencia'!$B$2:$CO$584,31,FALSE)=0,0,"Digite"))</f>
        <v>0</v>
      </c>
      <c r="AM4" s="456">
        <f>IF(OR('Parte Estrategica'!AD4=0,'Parte Estrategica'!AD4=""),0,IF(VLOOKUP($A4,'Matriz de Referencia'!$B$2:$CO$584,32,FALSE)=0,0,"Digite"))</f>
        <v>0</v>
      </c>
      <c r="AN4" s="457">
        <f t="shared" si="6"/>
        <v>0</v>
      </c>
      <c r="AO4" s="456">
        <f>IF(OR('Parte Estrategica'!AD4=0,'Parte Estrategica'!AD4=""),0,IF(VLOOKUP($A4,'Matriz de Referencia'!$B$2:$CO$584,34,FALSE)=0,0,"Digite"))</f>
        <v>0</v>
      </c>
      <c r="AP4" s="456">
        <f>IF(OR('Parte Estrategica'!AD4=0,'Parte Estrategica'!AD4=""),0,IF(VLOOKUP($A4,'Matriz de Referencia'!$B$2:$CO$584,35,FALSE)=0,0,"Digite"))</f>
        <v>0</v>
      </c>
      <c r="AQ4" s="456">
        <f>IF(OR('Parte Estrategica'!AD4=0,'Parte Estrategica'!AD4=""),0,IF(VLOOKUP($A4,'Matriz de Referencia'!$B$2:$CO$584,36,FALSE)=0,0,"Digite"))</f>
        <v>0</v>
      </c>
      <c r="AR4" s="457">
        <f t="shared" si="7"/>
        <v>0</v>
      </c>
      <c r="AS4" s="457">
        <f t="shared" si="8"/>
        <v>0</v>
      </c>
      <c r="AT4" s="455">
        <f>IF(OR('Parte Estrategica'!AE4=0,'Parte Estrategica'!AE4=""),0,IF(VLOOKUP($A4,'Matriz de Referencia'!$B$2:$CO$584,25,FALSE)=0,0,"Digite"))</f>
        <v>0</v>
      </c>
      <c r="AU4" s="456">
        <f>IF(OR('Parte Estrategica'!AE4=0,'Parte Estrategica'!AE4=""),0,IF(VLOOKUP($A4,'Matriz de Referencia'!$B$2:$CO$584,26,FALSE)=0,0,"Digite"))</f>
        <v>0</v>
      </c>
      <c r="AV4" s="456">
        <f>IF(OR('Parte Estrategica'!AE4=0,'Parte Estrategica'!AE4=""),0,IF(VLOOKUP($A4,'Matriz de Referencia'!$B$2:$CO$584,27,FALSE)=0,0,"Digite"))</f>
        <v>0</v>
      </c>
      <c r="AW4" s="456">
        <f>IF(OR('Parte Estrategica'!AE4=0,'Parte Estrategica'!AE4=""),0,IF(VLOOKUP($A4,'Matriz de Referencia'!$B$2:$CO$584,28,FALSE)=0,0,"Digite"))</f>
        <v>0</v>
      </c>
      <c r="AX4" s="456">
        <f>IF(OR('Parte Estrategica'!AE4=0,'Parte Estrategica'!AE4=""),0,IF(VLOOKUP($A4,'Matriz de Referencia'!$B$2:$CO$584,29,FALSE)=0,0,"Digite"))</f>
        <v>0</v>
      </c>
      <c r="AY4" s="456">
        <v>40000000</v>
      </c>
      <c r="AZ4" s="456">
        <f>IF(OR('Parte Estrategica'!AE4=0,'Parte Estrategica'!AE4=""),0,IF(VLOOKUP($A4,'Matriz de Referencia'!$B$2:$CO$584,31,FALSE)=0,0,"Digite"))</f>
        <v>0</v>
      </c>
      <c r="BA4" s="456">
        <f>IF(OR('Parte Estrategica'!AE4=0,'Parte Estrategica'!AE4=""),0,IF(VLOOKUP($A4,'Matriz de Referencia'!$B$2:$CO$584,32,FALSE)=0,0,"Digite"))</f>
        <v>0</v>
      </c>
      <c r="BB4" s="457">
        <f t="shared" si="9"/>
        <v>40000000</v>
      </c>
      <c r="BC4" s="456">
        <f>IF(OR('Parte Estrategica'!AE4=0,'Parte Estrategica'!AE4=""),0,IF(VLOOKUP($A4,'Matriz de Referencia'!$B$2:$CO$584,34,FALSE)=0,0,"Digite"))</f>
        <v>0</v>
      </c>
      <c r="BD4" s="456">
        <f>IF(OR('Parte Estrategica'!AE4=0,'Parte Estrategica'!AE4=""),0,IF(VLOOKUP($A4,'Matriz de Referencia'!$B$2:$CO$584,35,FALSE)=0,0,"Digite"))</f>
        <v>0</v>
      </c>
      <c r="BE4" s="456">
        <f>IF(OR('Parte Estrategica'!AE4=0,'Parte Estrategica'!AE4=""),0,IF(VLOOKUP($A4,'Matriz de Referencia'!$B$2:$CO$584,36,FALSE)=0,0,"Digite"))</f>
        <v>0</v>
      </c>
      <c r="BF4" s="457">
        <f t="shared" si="10"/>
        <v>0</v>
      </c>
      <c r="BG4" s="457">
        <f t="shared" si="11"/>
        <v>40000000</v>
      </c>
      <c r="BH4" s="457">
        <f t="shared" si="12"/>
        <v>40000000</v>
      </c>
      <c r="BI4" s="101" t="str">
        <f>IFERROR(IF(BH4=0,"",IF(VLOOKUP($A4,'Matriz de Referencia'!$B$2:$CO$584,'Matriz de Referencia'!AM$1,FALSE)=BH4,"Techos ok, cotinue","Debe revisar el valor programado")),"")</f>
        <v>Techos ok, cotinue</v>
      </c>
      <c r="BJ4" s="453">
        <f>IF(OR('Parte Estrategica'!AH4=0,'Parte Estrategica'!AH4=""),0,IF(VLOOKUP($A4,'Matriz de Referencia'!$B$2:$CO$584,39,FALSE)=0,0,"Digite"))</f>
        <v>0</v>
      </c>
      <c r="BK4" s="454">
        <f>IF(OR('Parte Estrategica'!AH4=0,'Parte Estrategica'!AH4=""),0,IF(VLOOKUP($A4,'Matriz de Referencia'!$B$2:$CO$584,40,FALSE)=0,0,"Digite"))</f>
        <v>0</v>
      </c>
      <c r="BL4" s="454">
        <f>IF(OR('Parte Estrategica'!AH4=0,'Parte Estrategica'!AH4=""),0,IF(VLOOKUP($A4,'Matriz de Referencia'!$B$2:$CO$584,41,FALSE)=0,0,"Digite"))</f>
        <v>0</v>
      </c>
      <c r="BM4" s="454">
        <f>IF(OR('Parte Estrategica'!AH4=0,'Parte Estrategica'!AH4=""),0,IF(VLOOKUP($A4,'Matriz de Referencia'!$B$2:$CO$584,42,FALSE)=0,0,"Digite"))</f>
        <v>0</v>
      </c>
      <c r="BN4" s="454">
        <f>IF(OR('Parte Estrategica'!AH4=0,'Parte Estrategica'!AH4=""),0,IF(VLOOKUP($A4,'Matriz de Referencia'!$B$2:$CO$584,43,FALSE)=0,0,"Digite"))</f>
        <v>0</v>
      </c>
      <c r="BO4" s="454">
        <f>IF(OR('Parte Estrategica'!AH4=0,'Parte Estrategica'!AH4=""),0,IF(VLOOKUP($A4,'Matriz de Referencia'!$B$2:$CO$584,44,FALSE)=0,0,"Digite"))</f>
        <v>0</v>
      </c>
      <c r="BP4" s="454">
        <f>IF(OR('Parte Estrategica'!AH4=0,'Parte Estrategica'!AH4=""),0,IF(VLOOKUP($A4,'Matriz de Referencia'!$B$2:$CO$584,45,FALSE)=0,0,"Digite"))</f>
        <v>0</v>
      </c>
      <c r="BQ4" s="454">
        <f>IF(OR('Parte Estrategica'!AH4=0,'Parte Estrategica'!AH4=""),0,IF(VLOOKUP($A4,'Matriz de Referencia'!$B$2:$CO$584,46,FALSE)=0,0,"Digite"))</f>
        <v>0</v>
      </c>
      <c r="BR4" s="382">
        <f t="shared" si="13"/>
        <v>0</v>
      </c>
      <c r="BS4" s="454">
        <f>IF(OR('Parte Estrategica'!CL4=0,'Parte Estrategica'!CL4=""),0,IF(VLOOKUP($A4,'Matriz de Referencia'!$B$2:$CO$584,48,FALSE)=0,0,"Digite"))</f>
        <v>0</v>
      </c>
      <c r="BT4" s="454">
        <f>IF(OR('Parte Estrategica'!CL4=0,'Parte Estrategica'!CL4=""),0,IF(VLOOKUP($A4,'Matriz de Referencia'!$B$2:$CO$584,49,FALSE)=0,0,"Digite"))</f>
        <v>0</v>
      </c>
      <c r="BU4" s="454">
        <f>IF(OR('Parte Estrategica'!CL4=0,'Parte Estrategica'!CL4=""),0,IF(VLOOKUP($A4,'Matriz de Referencia'!$B$2:$CO$584,50,FALSE)=0,0,"Digite"))</f>
        <v>0</v>
      </c>
      <c r="BV4" s="382">
        <f t="shared" si="14"/>
        <v>0</v>
      </c>
      <c r="BW4" s="382">
        <f t="shared" si="15"/>
        <v>0</v>
      </c>
      <c r="BX4" s="453">
        <f>IF(OR('Parte Estrategica'!AI4=0,'Parte Estrategica'!AI4=""),0,IF(VLOOKUP($A4,'Matriz de Referencia'!$B$2:$CO$584,39,FALSE)=0,0,"Digite"))</f>
        <v>0</v>
      </c>
      <c r="BY4" s="454">
        <f>IF(OR('Parte Estrategica'!AI4=0,'Parte Estrategica'!AI4=""),0,IF(VLOOKUP($A4,'Matriz de Referencia'!$B$2:$CO$584,40,FALSE)=0,0,"Digite"))</f>
        <v>0</v>
      </c>
      <c r="BZ4" s="454">
        <f>IF(OR('Parte Estrategica'!AI4=0,'Parte Estrategica'!AI4=""),0,IF(VLOOKUP($A4,'Matriz de Referencia'!$B$2:$CO$584,41,FALSE)=0,0,"Digite"))</f>
        <v>0</v>
      </c>
      <c r="CA4" s="454">
        <f>IF(OR('Parte Estrategica'!AI4=0,'Parte Estrategica'!AI4=""),0,IF(VLOOKUP($A4,'Matriz de Referencia'!$B$2:$CO$584,42,FALSE)=0,0,"Digite"))</f>
        <v>0</v>
      </c>
      <c r="CB4" s="454">
        <f>IF(OR('Parte Estrategica'!AI4=0,'Parte Estrategica'!AI4=""),0,IF(VLOOKUP($A4,'Matriz de Referencia'!$B$2:$CO$584,43,FALSE)=0,0,"Digite"))</f>
        <v>0</v>
      </c>
      <c r="CC4" s="454">
        <v>13333333.333333334</v>
      </c>
      <c r="CD4" s="454">
        <f>IF(OR('Parte Estrategica'!AI4=0,'Parte Estrategica'!AI4=""),0,IF(VLOOKUP($A4,'Matriz de Referencia'!$B$2:$CO$584,45,FALSE)=0,0,"Digite"))</f>
        <v>0</v>
      </c>
      <c r="CE4" s="454">
        <f>IF(OR('Parte Estrategica'!AI4=0,'Parte Estrategica'!AI4=""),0,IF(VLOOKUP($A4,'Matriz de Referencia'!$B$2:$CO$584,46,FALSE)=0,0,"Digite"))</f>
        <v>0</v>
      </c>
      <c r="CF4" s="382">
        <f t="shared" si="16"/>
        <v>13333333.333333334</v>
      </c>
      <c r="CG4" s="454">
        <f>IF(OR('Parte Estrategica'!AI4=0,'Parte Estrategica'!AI4=""),0,IF(VLOOKUP($A4,'Matriz de Referencia'!$B$2:$CO$584,48,FALSE)=0,0,"Digite"))</f>
        <v>0</v>
      </c>
      <c r="CH4" s="454">
        <f>IF(OR('Parte Estrategica'!AI4=0,'Parte Estrategica'!AI4=""),0,IF(VLOOKUP($A4,'Matriz de Referencia'!$B$2:$CO$584,49,FALSE)=0,0,"Digite"))</f>
        <v>0</v>
      </c>
      <c r="CI4" s="454">
        <f>IF(OR('Parte Estrategica'!AI4=0,'Parte Estrategica'!AI4=""),0,IF(VLOOKUP($A4,'Matriz de Referencia'!$B$2:$CO$584,50,FALSE)=0,0,"Digite"))</f>
        <v>0</v>
      </c>
      <c r="CJ4" s="382">
        <f t="shared" si="17"/>
        <v>0</v>
      </c>
      <c r="CK4" s="382">
        <f t="shared" si="18"/>
        <v>13333333.333333334</v>
      </c>
      <c r="CL4" s="453">
        <f>IF(OR('Parte Estrategica'!AJ4=0,'Parte Estrategica'!AJ4=""),0,IF(VLOOKUP($A4,'Matriz de Referencia'!$B$2:$CO$584,39,FALSE)=0,0,"Digite"))</f>
        <v>0</v>
      </c>
      <c r="CM4" s="454">
        <f>IF(OR('Parte Estrategica'!AJ4=0,'Parte Estrategica'!AJ4=""),0,IF(VLOOKUP($A4,'Matriz de Referencia'!$B$2:$CO$584,40,FALSE)=0,0,"Digite"))</f>
        <v>0</v>
      </c>
      <c r="CN4" s="454">
        <f>IF(OR('Parte Estrategica'!AJ4=0,'Parte Estrategica'!AJ4=""),0,IF(VLOOKUP($A4,'Matriz de Referencia'!$B$2:$CO$584,41,FALSE)=0,0,"Digite"))</f>
        <v>0</v>
      </c>
      <c r="CO4" s="454">
        <f>IF(OR('Parte Estrategica'!AJ4=0,'Parte Estrategica'!AJ4=""),0,IF(VLOOKUP($A4,'Matriz de Referencia'!$B$2:$CO$584,42,FALSE)=0,0,"Digite"))</f>
        <v>0</v>
      </c>
      <c r="CP4" s="454">
        <f>IF(OR('Parte Estrategica'!AJ4=0,'Parte Estrategica'!AJ4=""),0,IF(VLOOKUP($A4,'Matriz de Referencia'!$B$2:$CO$584,43,FALSE)=0,0,"Digite"))</f>
        <v>0</v>
      </c>
      <c r="CQ4" s="454">
        <v>13333333.333333334</v>
      </c>
      <c r="CR4" s="454">
        <f>IF(OR('Parte Estrategica'!AJ4=0,'Parte Estrategica'!AJ4=""),0,IF(VLOOKUP($A4,'Matriz de Referencia'!$B$2:$CO$584,45,FALSE)=0,0,"Digite"))</f>
        <v>0</v>
      </c>
      <c r="CS4" s="454">
        <f>IF(OR('Parte Estrategica'!AJ4=0,'Parte Estrategica'!AJ4=""),0,IF(VLOOKUP($A4,'Matriz de Referencia'!$B$2:$CO$584,46,FALSE)=0,0,"Digite"))</f>
        <v>0</v>
      </c>
      <c r="CT4" s="382">
        <f t="shared" si="19"/>
        <v>13333333.333333334</v>
      </c>
      <c r="CU4" s="454">
        <f>IF(OR('Parte Estrategica'!AJ4=0,'Parte Estrategica'!AJ4=""),0,IF(VLOOKUP($A4,'Matriz de Referencia'!$B$2:$CO$584,48,FALSE)=0,0,"Digite"))</f>
        <v>0</v>
      </c>
      <c r="CV4" s="454">
        <f>IF(OR('Parte Estrategica'!AJ4=0,'Parte Estrategica'!AJ4=""),0,IF(VLOOKUP($A4,'Matriz de Referencia'!$B$2:$CO$584,49,FALSE)=0,0,"Digite"))</f>
        <v>0</v>
      </c>
      <c r="CW4" s="454">
        <f>IF(OR('Parte Estrategica'!AJ4=0,'Parte Estrategica'!AJ4=""),0,IF(VLOOKUP($A4,'Matriz de Referencia'!$B$2:$CO$584,50,FALSE)=0,0,"Digite"))</f>
        <v>0</v>
      </c>
      <c r="CX4" s="382">
        <f t="shared" si="20"/>
        <v>0</v>
      </c>
      <c r="CY4" s="382">
        <f t="shared" si="21"/>
        <v>13333333.333333334</v>
      </c>
      <c r="CZ4" s="453">
        <f>IF(OR('Parte Estrategica'!AK4=0,'Parte Estrategica'!AK4=""),0,IF(VLOOKUP($A4,'Matriz de Referencia'!$B$2:$CO$584,39,FALSE)=0,0,"Digite"))</f>
        <v>0</v>
      </c>
      <c r="DA4" s="454">
        <f>IF(OR('Parte Estrategica'!AK4=0,'Parte Estrategica'!AK4=""),0,IF(VLOOKUP($A4,'Matriz de Referencia'!$B$2:$CO$584,40,FALSE)=0,0,"Digite"))</f>
        <v>0</v>
      </c>
      <c r="DB4" s="454">
        <f>IF(OR('Parte Estrategica'!AK4=0,'Parte Estrategica'!AK4=""),0,IF(VLOOKUP($A4,'Matriz de Referencia'!$B$2:$CO$584,41,FALSE)=0,0,"Digite"))</f>
        <v>0</v>
      </c>
      <c r="DC4" s="454">
        <f>IF(OR('Parte Estrategica'!AK4=0,'Parte Estrategica'!AK4=""),0,IF(VLOOKUP($A4,'Matriz de Referencia'!$B$2:$CO$584,42,FALSE)=0,0,"Digite"))</f>
        <v>0</v>
      </c>
      <c r="DD4" s="454">
        <f>IF(OR('Parte Estrategica'!AK4=0,'Parte Estrategica'!AK4=""),0,IF(VLOOKUP($A4,'Matriz de Referencia'!$B$2:$CO$584,43,FALSE)=0,0,"Digite"))</f>
        <v>0</v>
      </c>
      <c r="DE4" s="454">
        <v>13333333.333333334</v>
      </c>
      <c r="DF4" s="454">
        <f>IF(OR('Parte Estrategica'!AK4=0,'Parte Estrategica'!AK4=""),0,IF(VLOOKUP($A4,'Matriz de Referencia'!$B$2:$CO$584,45,FALSE)=0,0,"Digite"))</f>
        <v>0</v>
      </c>
      <c r="DG4" s="454">
        <f>IF(OR('Parte Estrategica'!AK4=0,'Parte Estrategica'!AK4=""),0,IF(VLOOKUP($A4,'Matriz de Referencia'!$B$2:$CO$584,46,FALSE)=0,0,"Digite"))</f>
        <v>0</v>
      </c>
      <c r="DH4" s="382">
        <f t="shared" si="22"/>
        <v>13333333.333333334</v>
      </c>
      <c r="DI4" s="454">
        <f>IF(OR('Parte Estrategica'!AK4=0,'Parte Estrategica'!AK4=""),0,IF(VLOOKUP($A4,'Matriz de Referencia'!$B$2:$CO$584,48,FALSE)=0,0,"Digite"))</f>
        <v>0</v>
      </c>
      <c r="DJ4" s="454">
        <f>IF(OR('Parte Estrategica'!AK4=0,'Parte Estrategica'!AK4=""),0,IF(VLOOKUP($A4,'Matriz de Referencia'!$B$2:$CO$584,49,FALSE)=0,0,"Digite"))</f>
        <v>0</v>
      </c>
      <c r="DK4" s="454">
        <f>IF(OR('Parte Estrategica'!AK4=0,'Parte Estrategica'!AK4=""),0,IF(VLOOKUP($A4,'Matriz de Referencia'!$B$2:$CO$584,50,FALSE)=0,0,"Digite"))</f>
        <v>0</v>
      </c>
      <c r="DL4" s="382">
        <f t="shared" si="23"/>
        <v>0</v>
      </c>
      <c r="DM4" s="382">
        <f t="shared" si="24"/>
        <v>13333333.333333334</v>
      </c>
      <c r="DN4" s="382">
        <f t="shared" si="25"/>
        <v>40000000</v>
      </c>
      <c r="DO4" s="101" t="str">
        <f>IFERROR(IF(DN4=0,"",IF(VLOOKUP($A4,'Matriz de Referencia'!$B$2:$CO$584,52,FALSE)=DN4,"Techos ok, cotinue","Debe revisar el valor programado")),"")</f>
        <v>Techos ok, cotinue</v>
      </c>
      <c r="DP4" s="453">
        <f>IF(OR('Parte Estrategica'!AN4=0,'Parte Estrategica'!AN4=""),0,IF(VLOOKUP($A4,'Matriz de Referencia'!$B$2:$CO$584,53,FALSE)=0,0,"Digite"))</f>
        <v>0</v>
      </c>
      <c r="DQ4" s="454">
        <f>IF(OR('Parte Estrategica'!AN4=0,'Parte Estrategica'!AN4=""),0,IF(VLOOKUP($A4,'Matriz de Referencia'!$B$2:$CO$584,54,FALSE)=0,0,"Digite"))</f>
        <v>0</v>
      </c>
      <c r="DR4" s="454">
        <f>IF(OR('Parte Estrategica'!AN4=0,'Parte Estrategica'!AN4=""),0,IF(VLOOKUP($A4,'Matriz de Referencia'!$B$2:$CO$584,55,FALSE)=0,0,"Digite"))</f>
        <v>0</v>
      </c>
      <c r="DS4" s="454">
        <f>IF(OR('Parte Estrategica'!AN4=0,'Parte Estrategica'!AN4=""),0,IF(VLOOKUP($A4,'Matriz de Referencia'!$B$2:$CO$584,56,FALSE)=0,0,"Digite"))</f>
        <v>0</v>
      </c>
      <c r="DT4" s="454">
        <f>IF(OR('Parte Estrategica'!AN4=0,'Parte Estrategica'!AN4=""),0,IF(VLOOKUP($A4,'Matriz de Referencia'!$B$2:$CO$584,57,FALSE)=0,0,"Digite"))</f>
        <v>0</v>
      </c>
      <c r="DU4" s="454">
        <f>IF(OR('Parte Estrategica'!AN4=0,'Parte Estrategica'!AN4=""),0,IF(VLOOKUP($A4,'Matriz de Referencia'!$B$2:$CO$584,58,FALSE)=0,0,"Digite"))</f>
        <v>0</v>
      </c>
      <c r="DV4" s="454">
        <f>IF(OR('Parte Estrategica'!AN4=0,'Parte Estrategica'!AN4=""),0,IF(VLOOKUP($A4,'Matriz de Referencia'!$B$2:$CO$584,59,FALSE)=0,0,"Digite"))</f>
        <v>0</v>
      </c>
      <c r="DW4" s="454">
        <f>IF(OR('Parte Estrategica'!AN4=0,'Parte Estrategica'!AN4=""),0,IF(VLOOKUP($A4,'Matriz de Referencia'!$B$2:$CO$584,60,FALSE)=0,0,"Digite"))</f>
        <v>0</v>
      </c>
      <c r="DX4" s="382">
        <f t="shared" si="26"/>
        <v>0</v>
      </c>
      <c r="DY4" s="454">
        <f>IF(OR('Parte Estrategica'!AN4=0,'Parte Estrategica'!AN4=""),0,IF(VLOOKUP($A4,'Matriz de Referencia'!$B$2:$CO$584,62,FALSE)=0,0,"Digite"))</f>
        <v>0</v>
      </c>
      <c r="DZ4" s="454">
        <f>IF(OR('Parte Estrategica'!AN4=0,'Parte Estrategica'!AN4=""),0,IF(VLOOKUP($A4,'Matriz de Referencia'!$B$2:$CO$584,63,FALSE)=0,0,"Digite"))</f>
        <v>0</v>
      </c>
      <c r="EA4" s="454" t="str">
        <f>IF(OR('Parte Estrategica'!AN4=0,'Parte Estrategica'!AN4=""),"",IF(VLOOKUP($A4,'Matriz de Referencia'!$B$2:$CO$584,64,FALSE)=0,"","Digite"))</f>
        <v/>
      </c>
      <c r="EB4" s="382">
        <f t="shared" si="27"/>
        <v>0</v>
      </c>
      <c r="EC4" s="382">
        <f t="shared" si="28"/>
        <v>0</v>
      </c>
      <c r="ED4" s="453">
        <f>IF(OR('Parte Estrategica'!AO4=0,'Parte Estrategica'!AO4=""),0,IF(VLOOKUP($A4,'Matriz de Referencia'!$B$2:$CO$584,53,FALSE)=0,0,"Digite"))</f>
        <v>0</v>
      </c>
      <c r="EE4" s="454">
        <f>IF(OR('Parte Estrategica'!AO4=0,'Parte Estrategica'!AO4=""),0,IF(VLOOKUP($A4,'Matriz de Referencia'!$B$2:$CO$584,54,FALSE)=0,0,"Digite"))</f>
        <v>0</v>
      </c>
      <c r="EF4" s="454">
        <f>IF(OR('Parte Estrategica'!AO4=0,'Parte Estrategica'!AO4=""),0,IF(VLOOKUP($A4,'Matriz de Referencia'!$B$2:$CO$584,55,FALSE)=0,0,"Digite"))</f>
        <v>0</v>
      </c>
      <c r="EG4" s="454">
        <f>IF(OR('Parte Estrategica'!AO4=0,'Parte Estrategica'!AO4=""),0,IF(VLOOKUP($A4,'Matriz de Referencia'!$B$2:$CO$584,56,FALSE)=0,0,"Digite"))</f>
        <v>0</v>
      </c>
      <c r="EH4" s="454">
        <f>IF(OR('Parte Estrategica'!AO4=0,'Parte Estrategica'!AO4=""),0,IF(VLOOKUP($A4,'Matriz de Referencia'!$B$2:$CO$584,57,FALSE)=0,0,"Digite"))</f>
        <v>0</v>
      </c>
      <c r="EI4" s="454">
        <v>13333333.333333334</v>
      </c>
      <c r="EJ4" s="454">
        <f>IF(OR('Parte Estrategica'!AO4=0,'Parte Estrategica'!AO4=""),0,IF(VLOOKUP($A4,'Matriz de Referencia'!$B$2:$CO$584,59,FALSE)=0,0,"Digite"))</f>
        <v>0</v>
      </c>
      <c r="EK4" s="454">
        <f>IF(OR('Parte Estrategica'!AO4=0,'Parte Estrategica'!AO4=""),0,IF(VLOOKUP($A4,'Matriz de Referencia'!$B$2:$CO$584,60,FALSE)=0,0,"Digite"))</f>
        <v>0</v>
      </c>
      <c r="EL4" s="382">
        <f t="shared" si="29"/>
        <v>13333333.333333334</v>
      </c>
      <c r="EM4" s="454">
        <f>IF(OR('Parte Estrategica'!AO4=0,'Parte Estrategica'!AO4=""),0,IF(VLOOKUP($A4,'Matriz de Referencia'!$B$2:$CO$584,62,FALSE)=0,0,"Digite"))</f>
        <v>0</v>
      </c>
      <c r="EN4" s="454">
        <f>IF(OR('Parte Estrategica'!AO4=0,'Parte Estrategica'!AO4=""),0,IF(VLOOKUP($A4,'Matriz de Referencia'!$B$2:$CO$584,63,FALSE)=0,0,"Digite"))</f>
        <v>0</v>
      </c>
      <c r="EO4" s="454">
        <f>IF(OR('Parte Estrategica'!AO4=0,'Parte Estrategica'!AO4=""),0,IF(VLOOKUP($A4,'Matriz de Referencia'!$B$2:$CO$584,64,FALSE)=0,0,"Digite"))</f>
        <v>0</v>
      </c>
      <c r="EP4" s="382">
        <f t="shared" si="30"/>
        <v>0</v>
      </c>
      <c r="EQ4" s="382">
        <f t="shared" si="31"/>
        <v>13333333.333333334</v>
      </c>
      <c r="ER4" s="453">
        <f>IF(OR('Parte Estrategica'!AP4=0,'Parte Estrategica'!AP4=""),0,IF(VLOOKUP($A4,'Matriz de Referencia'!$B$2:$CO$584,53,FALSE)=0,0,"Digite"))</f>
        <v>0</v>
      </c>
      <c r="ES4" s="454">
        <f>IF(OR('Parte Estrategica'!AP4=0,'Parte Estrategica'!AP4=""),0,IF(VLOOKUP($A4,'Matriz de Referencia'!$B$2:$CO$584,54,FALSE)=0,0,"Digite"))</f>
        <v>0</v>
      </c>
      <c r="ET4" s="454">
        <f>IF(OR('Parte Estrategica'!AP4=0,'Parte Estrategica'!AP4=""),0,IF(VLOOKUP($A4,'Matriz de Referencia'!$B$2:$CO$584,55,FALSE)=0,0,"Digite"))</f>
        <v>0</v>
      </c>
      <c r="EU4" s="454">
        <f>IF(OR('Parte Estrategica'!AP4=0,'Parte Estrategica'!AP4=""),0,IF(VLOOKUP($A4,'Matriz de Referencia'!$B$2:$CO$584,56,FALSE)=0,0,"Digite"))</f>
        <v>0</v>
      </c>
      <c r="EV4" s="454">
        <f>IF(OR('Parte Estrategica'!AP4=0,'Parte Estrategica'!AP4=""),0,IF(VLOOKUP($A4,'Matriz de Referencia'!$B$2:$CO$584,57,FALSE)=0,0,"Digite"))</f>
        <v>0</v>
      </c>
      <c r="EW4" s="454">
        <v>13333333.333333334</v>
      </c>
      <c r="EX4" s="454">
        <f>IF(OR('Parte Estrategica'!AP4=0,'Parte Estrategica'!AP4=""),0,IF(VLOOKUP($A4,'Matriz de Referencia'!$B$2:$CO$584,59,FALSE)=0,0,"Digite"))</f>
        <v>0</v>
      </c>
      <c r="EY4" s="454">
        <f>IF(OR('Parte Estrategica'!AP4=0,'Parte Estrategica'!AP4=""),0,IF(VLOOKUP($A4,'Matriz de Referencia'!$B$2:$CO$584,60,FALSE)=0,0,"Digite"))</f>
        <v>0</v>
      </c>
      <c r="EZ4" s="382">
        <f t="shared" si="32"/>
        <v>13333333.333333334</v>
      </c>
      <c r="FA4" s="454">
        <f>IF(OR('Parte Estrategica'!AP4=0,'Parte Estrategica'!AP4=""),0,IF(VLOOKUP($A4,'Matriz de Referencia'!$B$2:$CO$584,62,FALSE)=0,0,"Digite"))</f>
        <v>0</v>
      </c>
      <c r="FB4" s="454">
        <f>IF(OR('Parte Estrategica'!AP4=0,'Parte Estrategica'!AP4=""),0,IF(VLOOKUP($A4,'Matriz de Referencia'!$B$2:$CO$584,63,FALSE)=0,0,"Digite"))</f>
        <v>0</v>
      </c>
      <c r="FC4" s="454">
        <f>IF(OR('Parte Estrategica'!AP4=0,'Parte Estrategica'!AP4=""),0,IF(VLOOKUP($A4,'Matriz de Referencia'!$B$2:$CO$584,64,FALSE)=0,0,"Digite"))</f>
        <v>0</v>
      </c>
      <c r="FD4" s="382">
        <f t="shared" si="33"/>
        <v>0</v>
      </c>
      <c r="FE4" s="382">
        <f t="shared" si="34"/>
        <v>13333333.333333334</v>
      </c>
      <c r="FF4" s="453">
        <f>IF(OR('Parte Estrategica'!AQ4=0,'Parte Estrategica'!AQ4=""),0,IF(VLOOKUP($A4,'Matriz de Referencia'!$B$2:$CO$584,53,FALSE)=0,0,"Digite"))</f>
        <v>0</v>
      </c>
      <c r="FG4" s="454">
        <f>IF(OR('Parte Estrategica'!AQ4=0,'Parte Estrategica'!AQ4=""),0,IF(VLOOKUP($A4,'Matriz de Referencia'!$B$2:$CO$584,54,FALSE)=0,0,"Digite"))</f>
        <v>0</v>
      </c>
      <c r="FH4" s="454">
        <f>IF(OR('Parte Estrategica'!AQ4=0,'Parte Estrategica'!AQ4=""),0,IF(VLOOKUP($A4,'Matriz de Referencia'!$B$2:$CO$584,55,FALSE)=0,0,"Digite"))</f>
        <v>0</v>
      </c>
      <c r="FI4" s="454">
        <f>IF(OR('Parte Estrategica'!AQ4=0,'Parte Estrategica'!AQ4=""),0,IF(VLOOKUP($A4,'Matriz de Referencia'!$B$2:$CO$584,56,FALSE)=0,0,"Digite"))</f>
        <v>0</v>
      </c>
      <c r="FJ4" s="454">
        <f>IF(OR('Parte Estrategica'!AQ4=0,'Parte Estrategica'!AQ4=""),0,IF(VLOOKUP($A4,'Matriz de Referencia'!$B$2:$CO$584,57,FALSE)=0,0,"Digite"))</f>
        <v>0</v>
      </c>
      <c r="FK4" s="454">
        <v>13333333.333333334</v>
      </c>
      <c r="FL4" s="454">
        <f>IF(OR('Parte Estrategica'!AQ4=0,'Parte Estrategica'!AQ4=""),0,IF(VLOOKUP($A4,'Matriz de Referencia'!$B$2:$CO$584,59,FALSE)=0,0,"Digite"))</f>
        <v>0</v>
      </c>
      <c r="FM4" s="454">
        <f>IF(OR('Parte Estrategica'!AQ4=0,'Parte Estrategica'!AQ4=""),0,IF(VLOOKUP($A4,'Matriz de Referencia'!$B$2:$CO$584,60,FALSE)=0,0,"Digite"))</f>
        <v>0</v>
      </c>
      <c r="FN4" s="382">
        <f t="shared" si="35"/>
        <v>13333333.333333334</v>
      </c>
      <c r="FO4" s="454">
        <f>IF(OR('Parte Estrategica'!AQ4=0,'Parte Estrategica'!AQ4=""),0,IF(VLOOKUP($A4,'Matriz de Referencia'!$B$2:$CO$584,62,FALSE)=0,0,"Digite"))</f>
        <v>0</v>
      </c>
      <c r="FP4" s="454">
        <f>IF(OR('Parte Estrategica'!AQ4=0,'Parte Estrategica'!AQ4=""),0,IF(VLOOKUP($A4,'Matriz de Referencia'!$B$2:$CO$584,63,FALSE)=0,0,"Digite"))</f>
        <v>0</v>
      </c>
      <c r="FQ4" s="454">
        <f>IF(OR('Parte Estrategica'!AQ4=0,'Parte Estrategica'!AQ4=""),0,IF(VLOOKUP($A4,'Matriz de Referencia'!$B$2:$CO$584,64,FALSE)=0,0,"Digite"))</f>
        <v>0</v>
      </c>
      <c r="FR4" s="382">
        <f t="shared" si="36"/>
        <v>0</v>
      </c>
      <c r="FS4" s="382">
        <f t="shared" si="37"/>
        <v>13333333.333333334</v>
      </c>
      <c r="FT4" s="382">
        <f t="shared" si="38"/>
        <v>40000000</v>
      </c>
      <c r="FU4" s="101" t="str">
        <f>IFERROR(IF(FT4=0,"",IF(VLOOKUP($A4,'Matriz de Referencia'!$B$2:$CO$584,66,FALSE)=FT4,"Techos ok, cotinue","Debe revisar el valor programado")),"")</f>
        <v>Techos ok, cotinue</v>
      </c>
      <c r="FV4" s="453">
        <f>IF(OR('Parte Estrategica'!AT4=0,'Parte Estrategica'!AT4=""),0,IF(VLOOKUP($A4,'Matriz de Referencia'!$B$2:$CO$584,67,FALSE)=0,0,"Digite"))</f>
        <v>0</v>
      </c>
      <c r="FW4" s="454">
        <f>IF(OR('Parte Estrategica'!AT4=0,'Parte Estrategica'!AT4=""),0,IF(VLOOKUP($A4,'Matriz de Referencia'!$B$2:$CO$584,68,FALSE)=0,0,"Digite"))</f>
        <v>0</v>
      </c>
      <c r="FX4" s="454">
        <f>IF(OR('Parte Estrategica'!AT4=0,'Parte Estrategica'!AT4=""),0,IF(VLOOKUP($A4,'Matriz de Referencia'!$B$2:$CO$584,69,FALSE)=0,0,"Digite"))</f>
        <v>0</v>
      </c>
      <c r="FY4" s="454">
        <f>IF(OR('Parte Estrategica'!AT4=0,'Parte Estrategica'!AT4=""),0,IF(VLOOKUP($A4,'Matriz de Referencia'!$B$2:$CO$584,70,FALSE)=0,0,"Digite"))</f>
        <v>0</v>
      </c>
      <c r="FZ4" s="454">
        <f>IF(OR('Parte Estrategica'!AT4=0,'Parte Estrategica'!AT4=""),0,IF(VLOOKUP($A4,'Matriz de Referencia'!$B$2:$CO$584,71,FALSE)=0,0,"Digite"))</f>
        <v>0</v>
      </c>
      <c r="GA4" s="454">
        <f>IF(OR('Parte Estrategica'!AT4=0,'Parte Estrategica'!AT4=""),0,IF(VLOOKUP($A4,'Matriz de Referencia'!$B$2:$CO$584,72,FALSE)=0,0,"Digite"))</f>
        <v>0</v>
      </c>
      <c r="GB4" s="454">
        <f>IF(OR('Parte Estrategica'!AT4=0,'Parte Estrategica'!AT4=""),0,IF(VLOOKUP($A4,'Matriz de Referencia'!$B$2:$CO$584,73,FALSE)=0,0,"Digite"))</f>
        <v>0</v>
      </c>
      <c r="GC4" s="454">
        <f>IF(OR('Parte Estrategica'!AT4=0,'Parte Estrategica'!AT4=""),0,IF(VLOOKUP($A4,'Matriz de Referencia'!$B$2:$CO$584,74,FALSE)=0,0,"Digite"))</f>
        <v>0</v>
      </c>
      <c r="GD4" s="382">
        <f t="shared" si="39"/>
        <v>0</v>
      </c>
      <c r="GE4" s="454">
        <f>IF(OR('Parte Estrategica'!AT4=0,'Parte Estrategica'!AT4=""),0,IF(VLOOKUP($A4,'Matriz de Referencia'!$B$2:$CO$584,76,FALSE)=0,0,"Digite"))</f>
        <v>0</v>
      </c>
      <c r="GF4" s="454">
        <f>IF(OR('Parte Estrategica'!AT4=0,'Parte Estrategica'!AT4=""),0,IF(VLOOKUP($A4,'Matriz de Referencia'!$B$2:$CO$584,77,FALSE)=0,0,"Digite"))</f>
        <v>0</v>
      </c>
      <c r="GG4" s="454">
        <f>IF(OR('Parte Estrategica'!AT4=0,'Parte Estrategica'!AT4=""),0,IF(VLOOKUP($A4,'Matriz de Referencia'!$B$2:$CO$584,78,FALSE)=0,0,"Digite"))</f>
        <v>0</v>
      </c>
      <c r="GH4" s="382">
        <f t="shared" si="40"/>
        <v>0</v>
      </c>
      <c r="GI4" s="382">
        <f t="shared" si="41"/>
        <v>0</v>
      </c>
      <c r="GJ4" s="453">
        <f>IF(OR('Parte Estrategica'!AU4=0,'Parte Estrategica'!AU4=""),0,IF(VLOOKUP($A4,'Matriz de Referencia'!$B$2:$CO$584,67,FALSE)=0,0,"Digite"))</f>
        <v>0</v>
      </c>
      <c r="GK4" s="454">
        <f>IF(OR('Parte Estrategica'!AU4=0,'Parte Estrategica'!AU4=""),0,IF(VLOOKUP($A4,'Matriz de Referencia'!$B$2:$CO$584,68,FALSE)=0,0,"Digite"))</f>
        <v>0</v>
      </c>
      <c r="GL4" s="454">
        <f>IF(OR('Parte Estrategica'!AU4=0,'Parte Estrategica'!AU4=""),0,IF(VLOOKUP($A4,'Matriz de Referencia'!$B$2:$CO$584,69,FALSE)=0,0,"Digite"))</f>
        <v>0</v>
      </c>
      <c r="GM4" s="454">
        <f>IF(OR('Parte Estrategica'!AU4=0,'Parte Estrategica'!AU4=""),0,IF(VLOOKUP($A4,'Matriz de Referencia'!$B$2:$CO$584,70,FALSE)=0,0,"Digite"))</f>
        <v>0</v>
      </c>
      <c r="GN4" s="454">
        <f>IF(OR('Parte Estrategica'!AU4=0,'Parte Estrategica'!AU4=""),0,IF(VLOOKUP($A4,'Matriz de Referencia'!$B$2:$CO$584,71,FALSE)=0,0,"Digite"))</f>
        <v>0</v>
      </c>
      <c r="GO4" s="454">
        <f>IF(OR('Parte Estrategica'!AU4=0,'Parte Estrategica'!AU4=""),0,IF(VLOOKUP($A4,'Matriz de Referencia'!$B$2:$CO$584,72,FALSE)=0,0,"Digite"))</f>
        <v>0</v>
      </c>
      <c r="GP4" s="454">
        <f>IF(OR('Parte Estrategica'!AU4=0,'Parte Estrategica'!AU4=""),0,IF(VLOOKUP($A4,'Matriz de Referencia'!$B$2:$CO$584,73,FALSE)=0,0,"Digite"))</f>
        <v>0</v>
      </c>
      <c r="GQ4" s="454">
        <f>IF(OR('Parte Estrategica'!AU4=0,'Parte Estrategica'!AU4=""),0,IF(VLOOKUP($A4,'Matriz de Referencia'!$B$2:$CO$584,74,FALSE)=0,0,"Digite"))</f>
        <v>0</v>
      </c>
      <c r="GR4" s="382">
        <f t="shared" si="42"/>
        <v>0</v>
      </c>
      <c r="GS4" s="454">
        <f>IF(OR('Parte Estrategica'!AU4=0,'Parte Estrategica'!AU4=""),0,IF(VLOOKUP($A4,'Matriz de Referencia'!$B$2:$CO$584,76,FALSE)=0,0,"Digite"))</f>
        <v>0</v>
      </c>
      <c r="GT4" s="454">
        <f>IF(OR('Parte Estrategica'!AU4=0,'Parte Estrategica'!AU4=""),0,IF(VLOOKUP($A4,'Matriz de Referencia'!$B$2:$CO$584,77,FALSE)=0,0,"Digite"))</f>
        <v>0</v>
      </c>
      <c r="GU4" s="454">
        <f>IF(OR('Parte Estrategica'!AU4=0,'Parte Estrategica'!AU4=""),0,IF(VLOOKUP($A4,'Matriz de Referencia'!$B$2:$CO$584,78,FALSE)=0,0,"Digite"))</f>
        <v>0</v>
      </c>
      <c r="GV4" s="382">
        <f t="shared" si="43"/>
        <v>0</v>
      </c>
      <c r="GW4" s="382">
        <f t="shared" si="44"/>
        <v>0</v>
      </c>
      <c r="GX4" s="453">
        <f>IF(OR('Parte Estrategica'!AV4=0,'Parte Estrategica'!AV4=""),0,IF(VLOOKUP($A4,'Matriz de Referencia'!$B$2:$CO$584,67,FALSE)=0,0,"Digite"))</f>
        <v>0</v>
      </c>
      <c r="GY4" s="454">
        <f>IF(OR('Parte Estrategica'!AV4=0,'Parte Estrategica'!AV4=""),0,IF(VLOOKUP($A4,'Matriz de Referencia'!$B$2:$CO$584,68,FALSE)=0,0,"Digite"))</f>
        <v>0</v>
      </c>
      <c r="GZ4" s="454">
        <f>IF(OR('Parte Estrategica'!AV4=0,'Parte Estrategica'!AV4=""),0,IF(VLOOKUP($A4,'Matriz de Referencia'!$B$2:$CO$584,69,FALSE)=0,0,"Digite"))</f>
        <v>0</v>
      </c>
      <c r="HA4" s="454">
        <f>IF(OR('Parte Estrategica'!AV4=0,'Parte Estrategica'!AV4=""),0,IF(VLOOKUP($A4,'Matriz de Referencia'!$B$2:$CO$584,70,FALSE)=0,0,"Digite"))</f>
        <v>0</v>
      </c>
      <c r="HB4" s="454">
        <f>IF(OR('Parte Estrategica'!AV4=0,'Parte Estrategica'!AV4=""),0,IF(VLOOKUP($A4,'Matriz de Referencia'!$B$2:$CO$584,71,FALSE)=0,0,"Digite"))</f>
        <v>0</v>
      </c>
      <c r="HC4" s="454">
        <v>40000000</v>
      </c>
      <c r="HD4" s="454">
        <f>IF(OR('Parte Estrategica'!AV4=0,'Parte Estrategica'!AV4=""),0,IF(VLOOKUP($A4,'Matriz de Referencia'!$B$2:$CO$584,73,FALSE)=0,0,"Digite"))</f>
        <v>0</v>
      </c>
      <c r="HE4" s="454">
        <f>IF(OR('Parte Estrategica'!AV4=0,'Parte Estrategica'!AV4=""),0,IF(VLOOKUP($A4,'Matriz de Referencia'!$B$2:$CO$584,74,FALSE)=0,0,"Digite"))</f>
        <v>0</v>
      </c>
      <c r="HF4" s="382">
        <f t="shared" si="45"/>
        <v>40000000</v>
      </c>
      <c r="HG4" s="454">
        <f>IF(OR('Parte Estrategica'!AV4=0,'Parte Estrategica'!AV4=""),0,IF(VLOOKUP($A4,'Matriz de Referencia'!$B$2:$CO$584,76,FALSE)=0,0,"Digite"))</f>
        <v>0</v>
      </c>
      <c r="HH4" s="454">
        <f>IF(OR('Parte Estrategica'!AV4=0,'Parte Estrategica'!AV4=""),0,IF(VLOOKUP($A4,'Matriz de Referencia'!$B$2:$CO$584,77,FALSE)=0,0,"Digite"))</f>
        <v>0</v>
      </c>
      <c r="HI4" s="454">
        <f>IF(OR('Parte Estrategica'!AV4=0,'Parte Estrategica'!AV4=""),0,IF(VLOOKUP($A4,'Matriz de Referencia'!$B$2:$CO$584,78,FALSE)=0,0,"Digite"))</f>
        <v>0</v>
      </c>
      <c r="HJ4" s="382">
        <f t="shared" si="46"/>
        <v>0</v>
      </c>
      <c r="HK4" s="382">
        <f t="shared" si="47"/>
        <v>40000000</v>
      </c>
      <c r="HL4" s="453">
        <f>IF(OR('Parte Estrategica'!AW4=0,'Parte Estrategica'!AW4=""),0,IF(VLOOKUP($A4,'Matriz de Referencia'!$B$2:$CO$584,67,FALSE)=0,0,"Digite"))</f>
        <v>0</v>
      </c>
      <c r="HM4" s="454">
        <f>IF(OR('Parte Estrategica'!AW4=0,'Parte Estrategica'!AW4=""),0,IF(VLOOKUP($A4,'Matriz de Referencia'!$B$2:$CO$584,68,FALSE)=0,0,"Digite"))</f>
        <v>0</v>
      </c>
      <c r="HN4" s="454">
        <f>IF(OR('Parte Estrategica'!AW4=0,'Parte Estrategica'!AW4=""),0,IF(VLOOKUP($A4,'Matriz de Referencia'!$B$2:$CO$584,69,FALSE)=0,0,"Digite"))</f>
        <v>0</v>
      </c>
      <c r="HO4" s="454">
        <f>IF(OR('Parte Estrategica'!AW4=0,'Parte Estrategica'!AW4=""),0,IF(VLOOKUP($A4,'Matriz de Referencia'!$B$2:$CO$584,70,FALSE)=0,0,"Digite"))</f>
        <v>0</v>
      </c>
      <c r="HP4" s="454">
        <f>IF(OR('Parte Estrategica'!AW4=0,'Parte Estrategica'!AW4=""),0,IF(VLOOKUP($A4,'Matriz de Referencia'!$B$2:$CO$584,71,FALSE)=0,0,"Digite"))</f>
        <v>0</v>
      </c>
      <c r="HQ4" s="454">
        <f>IF(OR('Parte Estrategica'!AW4=0,'Parte Estrategica'!AW4=""),0,IF(VLOOKUP($A4,'Matriz de Referencia'!$B$2:$CO$584,72,FALSE)=0,0,"Digite"))</f>
        <v>0</v>
      </c>
      <c r="HR4" s="454">
        <f>IF(OR('Parte Estrategica'!AW4=0,'Parte Estrategica'!AW4=""),0,IF(VLOOKUP($A4,'Matriz de Referencia'!$B$2:$CO$584,73,FALSE)=0,0,"Digite"))</f>
        <v>0</v>
      </c>
      <c r="HS4" s="454">
        <f>IF(OR('Parte Estrategica'!AW4=0,'Parte Estrategica'!AW4=""),0,IF(VLOOKUP($A4,'Matriz de Referencia'!$B$2:$CO$584,74,FALSE)=0,0,"Digite"))</f>
        <v>0</v>
      </c>
      <c r="HT4" s="382">
        <f t="shared" si="48"/>
        <v>0</v>
      </c>
      <c r="HU4" s="454">
        <f>IF(OR('Parte Estrategica'!AW4=0,'Parte Estrategica'!AW4=""),0,IF(VLOOKUP($A4,'Matriz de Referencia'!$B$2:$CO$584,76,FALSE)=0,0,"Digite"))</f>
        <v>0</v>
      </c>
      <c r="HV4" s="454">
        <f>IF(OR('Parte Estrategica'!AW4=0,'Parte Estrategica'!AW4=""),0,IF(VLOOKUP($A4,'Matriz de Referencia'!$B$2:$CO$584,77,FALSE)=0,0,"Digite"))</f>
        <v>0</v>
      </c>
      <c r="HW4" s="454">
        <f>IF(OR('Parte Estrategica'!AW4=0,'Parte Estrategica'!AW4=""),0,IF(VLOOKUP($A4,'Matriz de Referencia'!$B$2:$CO$584,78,FALSE)=0,0,"Digite"))</f>
        <v>0</v>
      </c>
      <c r="HX4" s="382">
        <f t="shared" si="49"/>
        <v>0</v>
      </c>
      <c r="HY4" s="382">
        <f t="shared" si="50"/>
        <v>0</v>
      </c>
      <c r="HZ4" s="382">
        <f t="shared" si="51"/>
        <v>40000000</v>
      </c>
      <c r="IA4" s="101" t="str">
        <f>IFERROR(IF(HZ4=0,"",IF(VLOOKUP($A4,'Matriz de Referencia'!$B$2:$CO$584,80,FALSE)=HZ4,"Techos ok, cotinue","Debe revisar el valor programado")),"")</f>
        <v>Techos ok, cotinue</v>
      </c>
      <c r="IB4" s="383">
        <f t="shared" si="52"/>
        <v>160000000</v>
      </c>
    </row>
    <row r="5" spans="1:236" ht="27.6">
      <c r="A5" s="550">
        <f>IF('Parte Estrategica'!B5=0,"",'Parte Estrategica'!B5)</f>
        <v>299</v>
      </c>
      <c r="B5" s="551" t="str">
        <f>IFERROR(VLOOKUP(A5,'Matriz de Referencia'!$B$2:$P$578,'Matriz de Referencia'!L$1,FALSE),"")</f>
        <v>Estrategias realizadas</v>
      </c>
      <c r="C5" s="551" t="str">
        <f>IFERROR(VLOOKUP(A5,'Matriz de Referencia'!$B$2:$P$584,'Matriz de Referencia'!M$1,FALSE),"")</f>
        <v>Diseño e implementación de  estrategias de  control de Juego Ilegal (Cultura del cuidado)</v>
      </c>
      <c r="D5" s="455" t="str">
        <f>IF(OR('Parte Estrategica'!AB5=0,'Parte Estrategica'!AB5=""),"",IF(VLOOKUP($A5,'Matriz de Referencia'!$B$2:$CO$584,'Matriz de Referencia'!Z$1,FALSE)=0,"","Digite"))</f>
        <v/>
      </c>
      <c r="E5" s="456">
        <f>IF(OR('Parte Estrategica'!AB5=0,'Parte Estrategica'!AB5=""),0,IF(VLOOKUP($A5,'Matriz de Referencia'!$B$2:$CO$584,26,FALSE)=0,0,"Digite"))</f>
        <v>0</v>
      </c>
      <c r="F5" s="456">
        <f>IF(OR('Parte Estrategica'!AB5=0,'Parte Estrategica'!AB5=""),0,IF(VLOOKUP($A5,'Matriz de Referencia'!$B$2:$CO$584,27,FALSE)=0,0,"Digite"))</f>
        <v>0</v>
      </c>
      <c r="G5" s="456">
        <f>IF(OR('Parte Estrategica'!AB5=0,'Parte Estrategica'!AB5=""),0,IF(VLOOKUP($A5,'Matriz de Referencia'!$B$2:$CO$584,28,FALSE)=0,0,"Digite"))</f>
        <v>0</v>
      </c>
      <c r="H5" s="456">
        <f>IF(OR('Parte Estrategica'!AB5=0,'Parte Estrategica'!AB5=""),0,IF(VLOOKUP($A5,'Matriz de Referencia'!$B$2:$CO$584,29,FALSE)=0,0,"Digite"))</f>
        <v>0</v>
      </c>
      <c r="I5" s="456">
        <f>IF(OR('Parte Estrategica'!AB5=0,'Parte Estrategica'!AB5=""),0,IF(VLOOKUP($A5,'Matriz de Referencia'!$B$2:$CO$584,30,FALSE)=0,0,"Digite"))</f>
        <v>0</v>
      </c>
      <c r="J5" s="456">
        <f>IF(OR('Parte Estrategica'!AB5=0,'Parte Estrategica'!AB5=""),0,IF(VLOOKUP($A5,'Matriz de Referencia'!$B$2:$CO$584,31,FALSE)=0,0,"Digite"))</f>
        <v>0</v>
      </c>
      <c r="K5" s="456">
        <f>IF(OR('Parte Estrategica'!AB5=0,'Parte Estrategica'!AB5=""),0,IF(VLOOKUP($A5,'Matriz de Referencia'!$B$2:$CO$584,32,FALSE)=0,0,"Digite"))</f>
        <v>0</v>
      </c>
      <c r="L5" s="460">
        <f t="shared" si="0"/>
        <v>0</v>
      </c>
      <c r="M5" s="456">
        <f>IF(OR('Parte Estrategica'!AB5=0,'Parte Estrategica'!AB5=""),0,IF(VLOOKUP($A5,'Matriz de Referencia'!$B$2:$CO$584,34,FALSE)=0,0,"Digite"))</f>
        <v>0</v>
      </c>
      <c r="N5" s="456">
        <f>IF(OR('Parte Estrategica'!AB5=0,'Parte Estrategica'!AB5=""),0,IF(VLOOKUP($A5,'Matriz de Referencia'!$B$2:$CO$584,35,FALSE)=0,0,"Digite"))</f>
        <v>0</v>
      </c>
      <c r="O5" s="456">
        <f>IF(OR('Parte Estrategica'!AB5=0,'Parte Estrategica'!AB5=""),0,IF(VLOOKUP($A5,'Matriz de Referencia'!$B$2:$CO$584,36,FALSE)=0,0,"Digite"))</f>
        <v>0</v>
      </c>
      <c r="P5" s="457">
        <f t="shared" si="1"/>
        <v>0</v>
      </c>
      <c r="Q5" s="457">
        <f t="shared" si="2"/>
        <v>0</v>
      </c>
      <c r="R5" s="455">
        <f>IF(OR('Parte Estrategica'!AC5=0,'Parte Estrategica'!AC5=""),0,IF(VLOOKUP($A5,'Matriz de Referencia'!$B$2:$CO$584,25,FALSE)=0,0,"Digite"))</f>
        <v>0</v>
      </c>
      <c r="S5" s="456">
        <f>IF(OR('Parte Estrategica'!AC5=0,'Parte Estrategica'!AC5=""),0,IF(VLOOKUP($A5,'Matriz de Referencia'!$B$2:$CO$584,26,FALSE)=0,0,"Digite"))</f>
        <v>0</v>
      </c>
      <c r="T5" s="456">
        <f>IF(OR('Parte Estrategica'!AC5=0,'Parte Estrategica'!AC5=""),0,IF(VLOOKUP($A5,'Matriz de Referencia'!$B$2:$CO$584,27,FALSE)=0,0,"Digite"))</f>
        <v>0</v>
      </c>
      <c r="U5" s="456">
        <f>IF(OR('Parte Estrategica'!AC5=0,'Parte Estrategica'!AC5=""),0,IF(VLOOKUP($A5,'Matriz de Referencia'!$B$2:$CO$584,28,FALSE)=0,0,"Digite"))</f>
        <v>0</v>
      </c>
      <c r="V5" s="456">
        <f>IF(OR('Parte Estrategica'!AC5=0,'Parte Estrategica'!AC5=""),0,IF(VLOOKUP($A5,'Matriz de Referencia'!$B$2:$CO$584,29,FALSE)=0,0,"Digite"))</f>
        <v>0</v>
      </c>
      <c r="W5" s="456">
        <f>IF(OR('Parte Estrategica'!AC5=0,'Parte Estrategica'!AC5=""),0,IF(VLOOKUP($A5,'Matriz de Referencia'!$B$2:$CO$584,30,FALSE)=0,0,"Digite"))</f>
        <v>0</v>
      </c>
      <c r="X5" s="456">
        <f>IF(OR('Parte Estrategica'!AC5=0,'Parte Estrategica'!AC5=""),0,IF(VLOOKUP($A5,'Matriz de Referencia'!$B$2:$CO$584,31,FALSE)=0,0,"Digite"))</f>
        <v>0</v>
      </c>
      <c r="Y5" s="456">
        <f>IF(OR('Parte Estrategica'!AC5=0,'Parte Estrategica'!AC5=""),0,IF(VLOOKUP($A5,'Matriz de Referencia'!$B$2:$CO$584,32,FALSE)=0,0,"Digite"))</f>
        <v>0</v>
      </c>
      <c r="Z5" s="457">
        <f t="shared" si="3"/>
        <v>0</v>
      </c>
      <c r="AA5" s="456">
        <f>IF(OR('Parte Estrategica'!AC5=0,'Parte Estrategica'!AC5=""),0,IF(VLOOKUP($A5,'Matriz de Referencia'!$B$2:$CO$584,34,FALSE)=0,0,"Digite"))</f>
        <v>0</v>
      </c>
      <c r="AB5" s="456">
        <f>IF(OR('Parte Estrategica'!AC5=0,'Parte Estrategica'!AC5=""),0,IF(VLOOKUP($A5,'Matriz de Referencia'!$B$2:$CO$584,35,FALSE)=0,0,"Digite"))</f>
        <v>0</v>
      </c>
      <c r="AC5" s="456">
        <f>IF(OR('Parte Estrategica'!AC5=0,'Parte Estrategica'!AC5=""),0,IF(VLOOKUP($A5,'Matriz de Referencia'!$B$2:$CO$584,36,FALSE)=0,0,"Digite"))</f>
        <v>0</v>
      </c>
      <c r="AD5" s="457">
        <f t="shared" si="4"/>
        <v>0</v>
      </c>
      <c r="AE5" s="457">
        <f t="shared" si="5"/>
        <v>0</v>
      </c>
      <c r="AF5" s="455">
        <f>IF(OR('Parte Estrategica'!AD5=0,'Parte Estrategica'!AD5=""),0,IF(VLOOKUP($A5,'Matriz de Referencia'!$B$2:$CO$584,25,FALSE)=0,0,"Digite"))</f>
        <v>0</v>
      </c>
      <c r="AG5" s="456">
        <f>IF(OR('Parte Estrategica'!AD5=0,'Parte Estrategica'!AD5=""),0,IF(VLOOKUP($A5,'Matriz de Referencia'!$B$2:$CO$584,26,FALSE)=0,0,"Digite"))</f>
        <v>0</v>
      </c>
      <c r="AH5" s="456">
        <f>IF(OR('Parte Estrategica'!AD5=0,'Parte Estrategica'!AD5=""),0,IF(VLOOKUP($A5,'Matriz de Referencia'!$B$2:$CO$584,27,FALSE)=0,0,"Digite"))</f>
        <v>0</v>
      </c>
      <c r="AI5" s="456">
        <f>IF(OR('Parte Estrategica'!AD5=0,'Parte Estrategica'!AD5=""),0,IF(VLOOKUP($A5,'Matriz de Referencia'!$B$2:$CO$584,28,FALSE)=0,0,"Digite"))</f>
        <v>0</v>
      </c>
      <c r="AJ5" s="456">
        <f>IF(OR('Parte Estrategica'!AD5=0,'Parte Estrategica'!AD5=""),0,IF(VLOOKUP($A5,'Matriz de Referencia'!$B$2:$CO$584,29,FALSE)=0,0,"Digite"))</f>
        <v>0</v>
      </c>
      <c r="AK5" s="456">
        <v>1330000000</v>
      </c>
      <c r="AL5" s="456">
        <f>IF(OR('Parte Estrategica'!AD5=0,'Parte Estrategica'!AD5=""),0,IF(VLOOKUP($A5,'Matriz de Referencia'!$B$2:$CO$584,31,FALSE)=0,0,"Digite"))</f>
        <v>0</v>
      </c>
      <c r="AM5" s="456">
        <f>IF(OR('Parte Estrategica'!AD5=0,'Parte Estrategica'!AD5=""),0,IF(VLOOKUP($A5,'Matriz de Referencia'!$B$2:$CO$584,32,FALSE)=0,0,"Digite"))</f>
        <v>0</v>
      </c>
      <c r="AN5" s="457">
        <f t="shared" si="6"/>
        <v>1330000000</v>
      </c>
      <c r="AO5" s="456">
        <f>IF(OR('Parte Estrategica'!AD5=0,'Parte Estrategica'!AD5=""),0,IF(VLOOKUP($A5,'Matriz de Referencia'!$B$2:$CO$584,34,FALSE)=0,0,"Digite"))</f>
        <v>0</v>
      </c>
      <c r="AP5" s="456">
        <f>IF(OR('Parte Estrategica'!AD5=0,'Parte Estrategica'!AD5=""),0,IF(VLOOKUP($A5,'Matriz de Referencia'!$B$2:$CO$584,35,FALSE)=0,0,"Digite"))</f>
        <v>0</v>
      </c>
      <c r="AQ5" s="456">
        <f>IF(OR('Parte Estrategica'!AD5=0,'Parte Estrategica'!AD5=""),0,IF(VLOOKUP($A5,'Matriz de Referencia'!$B$2:$CO$584,36,FALSE)=0,0,"Digite"))</f>
        <v>0</v>
      </c>
      <c r="AR5" s="457">
        <f t="shared" si="7"/>
        <v>0</v>
      </c>
      <c r="AS5" s="457">
        <f t="shared" si="8"/>
        <v>1330000000</v>
      </c>
      <c r="AT5" s="455">
        <f>IF(OR('Parte Estrategica'!AE5=0,'Parte Estrategica'!AE5=""),0,IF(VLOOKUP($A5,'Matriz de Referencia'!$B$2:$CO$584,25,FALSE)=0,0,"Digite"))</f>
        <v>0</v>
      </c>
      <c r="AU5" s="456">
        <f>IF(OR('Parte Estrategica'!AE5=0,'Parte Estrategica'!AE5=""),0,IF(VLOOKUP($A5,'Matriz de Referencia'!$B$2:$CO$584,26,FALSE)=0,0,"Digite"))</f>
        <v>0</v>
      </c>
      <c r="AV5" s="456">
        <f>IF(OR('Parte Estrategica'!AE5=0,'Parte Estrategica'!AE5=""),0,IF(VLOOKUP($A5,'Matriz de Referencia'!$B$2:$CO$584,27,FALSE)=0,0,"Digite"))</f>
        <v>0</v>
      </c>
      <c r="AW5" s="456">
        <f>IF(OR('Parte Estrategica'!AE5=0,'Parte Estrategica'!AE5=""),0,IF(VLOOKUP($A5,'Matriz de Referencia'!$B$2:$CO$584,28,FALSE)=0,0,"Digite"))</f>
        <v>0</v>
      </c>
      <c r="AX5" s="456">
        <f>IF(OR('Parte Estrategica'!AE5=0,'Parte Estrategica'!AE5=""),0,IF(VLOOKUP($A5,'Matriz de Referencia'!$B$2:$CO$584,29,FALSE)=0,0,"Digite"))</f>
        <v>0</v>
      </c>
      <c r="AY5" s="456">
        <v>1330000000</v>
      </c>
      <c r="AZ5" s="456">
        <f>IF(OR('Parte Estrategica'!AE5=0,'Parte Estrategica'!AE5=""),0,IF(VLOOKUP($A5,'Matriz de Referencia'!$B$2:$CO$584,31,FALSE)=0,0,"Digite"))</f>
        <v>0</v>
      </c>
      <c r="BA5" s="456">
        <f>IF(OR('Parte Estrategica'!AE5=0,'Parte Estrategica'!AE5=""),0,IF(VLOOKUP($A5,'Matriz de Referencia'!$B$2:$CO$584,32,FALSE)=0,0,"Digite"))</f>
        <v>0</v>
      </c>
      <c r="BB5" s="457">
        <f t="shared" si="9"/>
        <v>1330000000</v>
      </c>
      <c r="BC5" s="456">
        <f>IF(OR('Parte Estrategica'!AE5=0,'Parte Estrategica'!AE5=""),0,IF(VLOOKUP($A5,'Matriz de Referencia'!$B$2:$CO$584,34,FALSE)=0,0,"Digite"))</f>
        <v>0</v>
      </c>
      <c r="BD5" s="456">
        <f>IF(OR('Parte Estrategica'!AE5=0,'Parte Estrategica'!AE5=""),0,IF(VLOOKUP($A5,'Matriz de Referencia'!$B$2:$CO$584,35,FALSE)=0,0,"Digite"))</f>
        <v>0</v>
      </c>
      <c r="BE5" s="456">
        <f>IF(OR('Parte Estrategica'!AE5=0,'Parte Estrategica'!AE5=""),0,IF(VLOOKUP($A5,'Matriz de Referencia'!$B$2:$CO$584,36,FALSE)=0,0,"Digite"))</f>
        <v>0</v>
      </c>
      <c r="BF5" s="457">
        <f t="shared" si="10"/>
        <v>0</v>
      </c>
      <c r="BG5" s="457">
        <f t="shared" si="11"/>
        <v>1330000000</v>
      </c>
      <c r="BH5" s="457">
        <f t="shared" si="12"/>
        <v>2660000000</v>
      </c>
      <c r="BI5" s="101" t="str">
        <f>IFERROR(IF(BH5=0,"",IF(VLOOKUP($A5,'Matriz de Referencia'!$B$2:$CO$584,'Matriz de Referencia'!AM$1,FALSE)=BH5,"Techos ok, cotinue","Debe revisar el valor programado")),"")</f>
        <v>Techos ok, cotinue</v>
      </c>
      <c r="BJ5" s="453">
        <f>IF(OR('Parte Estrategica'!AH5=0,'Parte Estrategica'!AH5=""),0,IF(VLOOKUP($A5,'Matriz de Referencia'!$B$2:$CO$584,39,FALSE)=0,0,"Digite"))</f>
        <v>0</v>
      </c>
      <c r="BK5" s="454">
        <f>IF(OR('Parte Estrategica'!AH5=0,'Parte Estrategica'!AH5=""),0,IF(VLOOKUP($A5,'Matriz de Referencia'!$B$2:$CO$584,40,FALSE)=0,0,"Digite"))</f>
        <v>0</v>
      </c>
      <c r="BL5" s="454">
        <f>IF(OR('Parte Estrategica'!AH5=0,'Parte Estrategica'!AH5=""),0,IF(VLOOKUP($A5,'Matriz de Referencia'!$B$2:$CO$584,41,FALSE)=0,0,"Digite"))</f>
        <v>0</v>
      </c>
      <c r="BM5" s="454">
        <f>IF(OR('Parte Estrategica'!AH5=0,'Parte Estrategica'!AH5=""),0,IF(VLOOKUP($A5,'Matriz de Referencia'!$B$2:$CO$584,42,FALSE)=0,0,"Digite"))</f>
        <v>0</v>
      </c>
      <c r="BN5" s="454">
        <f>IF(OR('Parte Estrategica'!AH5=0,'Parte Estrategica'!AH5=""),0,IF(VLOOKUP($A5,'Matriz de Referencia'!$B$2:$CO$584,43,FALSE)=0,0,"Digite"))</f>
        <v>0</v>
      </c>
      <c r="BO5" s="454">
        <v>665000000</v>
      </c>
      <c r="BP5" s="454">
        <f>IF(OR('Parte Estrategica'!AH5=0,'Parte Estrategica'!AH5=""),0,IF(VLOOKUP($A5,'Matriz de Referencia'!$B$2:$CO$584,45,FALSE)=0,0,"Digite"))</f>
        <v>0</v>
      </c>
      <c r="BQ5" s="454">
        <f>IF(OR('Parte Estrategica'!AH5=0,'Parte Estrategica'!AH5=""),0,IF(VLOOKUP($A5,'Matriz de Referencia'!$B$2:$CO$584,46,FALSE)=0,0,"Digite"))</f>
        <v>0</v>
      </c>
      <c r="BR5" s="382">
        <f t="shared" si="13"/>
        <v>665000000</v>
      </c>
      <c r="BS5" s="454">
        <f>IF(OR('Parte Estrategica'!CL5=0,'Parte Estrategica'!CL5=""),0,IF(VLOOKUP($A5,'Matriz de Referencia'!$B$2:$CO$584,48,FALSE)=0,0,"Digite"))</f>
        <v>0</v>
      </c>
      <c r="BT5" s="454">
        <f>IF(OR('Parte Estrategica'!CL5=0,'Parte Estrategica'!CL5=""),0,IF(VLOOKUP($A5,'Matriz de Referencia'!$B$2:$CO$584,49,FALSE)=0,0,"Digite"))</f>
        <v>0</v>
      </c>
      <c r="BU5" s="454">
        <f>IF(OR('Parte Estrategica'!CL5=0,'Parte Estrategica'!CL5=""),0,IF(VLOOKUP($A5,'Matriz de Referencia'!$B$2:$CO$584,50,FALSE)=0,0,"Digite"))</f>
        <v>0</v>
      </c>
      <c r="BV5" s="382">
        <f t="shared" si="14"/>
        <v>0</v>
      </c>
      <c r="BW5" s="382">
        <f t="shared" si="15"/>
        <v>665000000</v>
      </c>
      <c r="BX5" s="453">
        <f>IF(OR('Parte Estrategica'!AI5=0,'Parte Estrategica'!AI5=""),0,IF(VLOOKUP($A5,'Matriz de Referencia'!$B$2:$CO$584,39,FALSE)=0,0,"Digite"))</f>
        <v>0</v>
      </c>
      <c r="BY5" s="454">
        <f>IF(OR('Parte Estrategica'!AI5=0,'Parte Estrategica'!AI5=""),0,IF(VLOOKUP($A5,'Matriz de Referencia'!$B$2:$CO$584,40,FALSE)=0,0,"Digite"))</f>
        <v>0</v>
      </c>
      <c r="BZ5" s="454">
        <f>IF(OR('Parte Estrategica'!AI5=0,'Parte Estrategica'!AI5=""),0,IF(VLOOKUP($A5,'Matriz de Referencia'!$B$2:$CO$584,41,FALSE)=0,0,"Digite"))</f>
        <v>0</v>
      </c>
      <c r="CA5" s="454">
        <f>IF(OR('Parte Estrategica'!AI5=0,'Parte Estrategica'!AI5=""),0,IF(VLOOKUP($A5,'Matriz de Referencia'!$B$2:$CO$584,42,FALSE)=0,0,"Digite"))</f>
        <v>0</v>
      </c>
      <c r="CB5" s="454">
        <f>IF(OR('Parte Estrategica'!AI5=0,'Parte Estrategica'!AI5=""),0,IF(VLOOKUP($A5,'Matriz de Referencia'!$B$2:$CO$584,43,FALSE)=0,0,"Digite"))</f>
        <v>0</v>
      </c>
      <c r="CC5" s="454">
        <v>665000000</v>
      </c>
      <c r="CD5" s="454">
        <f>IF(OR('Parte Estrategica'!AI5=0,'Parte Estrategica'!AI5=""),0,IF(VLOOKUP($A5,'Matriz de Referencia'!$B$2:$CO$584,45,FALSE)=0,0,"Digite"))</f>
        <v>0</v>
      </c>
      <c r="CE5" s="454">
        <f>IF(OR('Parte Estrategica'!AI5=0,'Parte Estrategica'!AI5=""),0,IF(VLOOKUP($A5,'Matriz de Referencia'!$B$2:$CO$584,46,FALSE)=0,0,"Digite"))</f>
        <v>0</v>
      </c>
      <c r="CF5" s="382">
        <f t="shared" si="16"/>
        <v>665000000</v>
      </c>
      <c r="CG5" s="454">
        <f>IF(OR('Parte Estrategica'!AI5=0,'Parte Estrategica'!AI5=""),0,IF(VLOOKUP($A5,'Matriz de Referencia'!$B$2:$CO$584,48,FALSE)=0,0,"Digite"))</f>
        <v>0</v>
      </c>
      <c r="CH5" s="454">
        <f>IF(OR('Parte Estrategica'!AI5=0,'Parte Estrategica'!AI5=""),0,IF(VLOOKUP($A5,'Matriz de Referencia'!$B$2:$CO$584,49,FALSE)=0,0,"Digite"))</f>
        <v>0</v>
      </c>
      <c r="CI5" s="454">
        <f>IF(OR('Parte Estrategica'!AI5=0,'Parte Estrategica'!AI5=""),0,IF(VLOOKUP($A5,'Matriz de Referencia'!$B$2:$CO$584,50,FALSE)=0,0,"Digite"))</f>
        <v>0</v>
      </c>
      <c r="CJ5" s="382">
        <f t="shared" si="17"/>
        <v>0</v>
      </c>
      <c r="CK5" s="382">
        <f t="shared" si="18"/>
        <v>665000000</v>
      </c>
      <c r="CL5" s="453">
        <f>IF(OR('Parte Estrategica'!AJ5=0,'Parte Estrategica'!AJ5=""),0,IF(VLOOKUP($A5,'Matriz de Referencia'!$B$2:$CO$584,39,FALSE)=0,0,"Digite"))</f>
        <v>0</v>
      </c>
      <c r="CM5" s="454">
        <f>IF(OR('Parte Estrategica'!AJ5=0,'Parte Estrategica'!AJ5=""),0,IF(VLOOKUP($A5,'Matriz de Referencia'!$B$2:$CO$584,40,FALSE)=0,0,"Digite"))</f>
        <v>0</v>
      </c>
      <c r="CN5" s="454">
        <f>IF(OR('Parte Estrategica'!AJ5=0,'Parte Estrategica'!AJ5=""),0,IF(VLOOKUP($A5,'Matriz de Referencia'!$B$2:$CO$584,41,FALSE)=0,0,"Digite"))</f>
        <v>0</v>
      </c>
      <c r="CO5" s="454">
        <f>IF(OR('Parte Estrategica'!AJ5=0,'Parte Estrategica'!AJ5=""),0,IF(VLOOKUP($A5,'Matriz de Referencia'!$B$2:$CO$584,42,FALSE)=0,0,"Digite"))</f>
        <v>0</v>
      </c>
      <c r="CP5" s="454">
        <f>IF(OR('Parte Estrategica'!AJ5=0,'Parte Estrategica'!AJ5=""),0,IF(VLOOKUP($A5,'Matriz de Referencia'!$B$2:$CO$584,43,FALSE)=0,0,"Digite"))</f>
        <v>0</v>
      </c>
      <c r="CQ5" s="454">
        <v>665000000</v>
      </c>
      <c r="CR5" s="454">
        <f>IF(OR('Parte Estrategica'!AJ5=0,'Parte Estrategica'!AJ5=""),0,IF(VLOOKUP($A5,'Matriz de Referencia'!$B$2:$CO$584,45,FALSE)=0,0,"Digite"))</f>
        <v>0</v>
      </c>
      <c r="CS5" s="454">
        <f>IF(OR('Parte Estrategica'!AJ5=0,'Parte Estrategica'!AJ5=""),0,IF(VLOOKUP($A5,'Matriz de Referencia'!$B$2:$CO$584,46,FALSE)=0,0,"Digite"))</f>
        <v>0</v>
      </c>
      <c r="CT5" s="382">
        <f t="shared" si="19"/>
        <v>665000000</v>
      </c>
      <c r="CU5" s="454">
        <f>IF(OR('Parte Estrategica'!AJ5=0,'Parte Estrategica'!AJ5=""),0,IF(VLOOKUP($A5,'Matriz de Referencia'!$B$2:$CO$584,48,FALSE)=0,0,"Digite"))</f>
        <v>0</v>
      </c>
      <c r="CV5" s="454">
        <f>IF(OR('Parte Estrategica'!AJ5=0,'Parte Estrategica'!AJ5=""),0,IF(VLOOKUP($A5,'Matriz de Referencia'!$B$2:$CO$584,49,FALSE)=0,0,"Digite"))</f>
        <v>0</v>
      </c>
      <c r="CW5" s="454">
        <f>IF(OR('Parte Estrategica'!AJ5=0,'Parte Estrategica'!AJ5=""),0,IF(VLOOKUP($A5,'Matriz de Referencia'!$B$2:$CO$584,50,FALSE)=0,0,"Digite"))</f>
        <v>0</v>
      </c>
      <c r="CX5" s="382">
        <f t="shared" si="20"/>
        <v>0</v>
      </c>
      <c r="CY5" s="382">
        <f t="shared" si="21"/>
        <v>665000000</v>
      </c>
      <c r="CZ5" s="453">
        <f>IF(OR('Parte Estrategica'!AK5=0,'Parte Estrategica'!AK5=""),0,IF(VLOOKUP($A5,'Matriz de Referencia'!$B$2:$CO$584,39,FALSE)=0,0,"Digite"))</f>
        <v>0</v>
      </c>
      <c r="DA5" s="454">
        <f>IF(OR('Parte Estrategica'!AK5=0,'Parte Estrategica'!AK5=""),0,IF(VLOOKUP($A5,'Matriz de Referencia'!$B$2:$CO$584,40,FALSE)=0,0,"Digite"))</f>
        <v>0</v>
      </c>
      <c r="DB5" s="454">
        <f>IF(OR('Parte Estrategica'!AK5=0,'Parte Estrategica'!AK5=""),0,IF(VLOOKUP($A5,'Matriz de Referencia'!$B$2:$CO$584,41,FALSE)=0,0,"Digite"))</f>
        <v>0</v>
      </c>
      <c r="DC5" s="454">
        <f>IF(OR('Parte Estrategica'!AK5=0,'Parte Estrategica'!AK5=""),0,IF(VLOOKUP($A5,'Matriz de Referencia'!$B$2:$CO$584,42,FALSE)=0,0,"Digite"))</f>
        <v>0</v>
      </c>
      <c r="DD5" s="454">
        <f>IF(OR('Parte Estrategica'!AK5=0,'Parte Estrategica'!AK5=""),0,IF(VLOOKUP($A5,'Matriz de Referencia'!$B$2:$CO$584,43,FALSE)=0,0,"Digite"))</f>
        <v>0</v>
      </c>
      <c r="DE5" s="454">
        <v>665000000</v>
      </c>
      <c r="DF5" s="454">
        <f>IF(OR('Parte Estrategica'!AK5=0,'Parte Estrategica'!AK5=""),0,IF(VLOOKUP($A5,'Matriz de Referencia'!$B$2:$CO$584,45,FALSE)=0,0,"Digite"))</f>
        <v>0</v>
      </c>
      <c r="DG5" s="454">
        <f>IF(OR('Parte Estrategica'!AK5=0,'Parte Estrategica'!AK5=""),0,IF(VLOOKUP($A5,'Matriz de Referencia'!$B$2:$CO$584,46,FALSE)=0,0,"Digite"))</f>
        <v>0</v>
      </c>
      <c r="DH5" s="382">
        <f t="shared" si="22"/>
        <v>665000000</v>
      </c>
      <c r="DI5" s="454">
        <f>IF(OR('Parte Estrategica'!AK5=0,'Parte Estrategica'!AK5=""),0,IF(VLOOKUP($A5,'Matriz de Referencia'!$B$2:$CO$584,48,FALSE)=0,0,"Digite"))</f>
        <v>0</v>
      </c>
      <c r="DJ5" s="454">
        <f>IF(OR('Parte Estrategica'!AK5=0,'Parte Estrategica'!AK5=""),0,IF(VLOOKUP($A5,'Matriz de Referencia'!$B$2:$CO$584,49,FALSE)=0,0,"Digite"))</f>
        <v>0</v>
      </c>
      <c r="DK5" s="454">
        <f>IF(OR('Parte Estrategica'!AK5=0,'Parte Estrategica'!AK5=""),0,IF(VLOOKUP($A5,'Matriz de Referencia'!$B$2:$CO$584,50,FALSE)=0,0,"Digite"))</f>
        <v>0</v>
      </c>
      <c r="DL5" s="382">
        <f t="shared" si="23"/>
        <v>0</v>
      </c>
      <c r="DM5" s="382">
        <f t="shared" si="24"/>
        <v>665000000</v>
      </c>
      <c r="DN5" s="382">
        <f t="shared" si="25"/>
        <v>2660000000</v>
      </c>
      <c r="DO5" s="101" t="str">
        <f>IFERROR(IF(DN5=0,"",IF(VLOOKUP($A5,'Matriz de Referencia'!$B$2:$CO$584,52,FALSE)=DN5,"Techos ok, cotinue","Debe revisar el valor programado")),"")</f>
        <v>Techos ok, cotinue</v>
      </c>
      <c r="DP5" s="453">
        <f>IF(OR('Parte Estrategica'!AN5=0,'Parte Estrategica'!AN5=""),0,IF(VLOOKUP($A5,'Matriz de Referencia'!$B$2:$CO$584,53,FALSE)=0,0,"Digite"))</f>
        <v>0</v>
      </c>
      <c r="DQ5" s="454">
        <f>IF(OR('Parte Estrategica'!AN5=0,'Parte Estrategica'!AN5=""),0,IF(VLOOKUP($A5,'Matriz de Referencia'!$B$2:$CO$584,54,FALSE)=0,0,"Digite"))</f>
        <v>0</v>
      </c>
      <c r="DR5" s="454">
        <f>IF(OR('Parte Estrategica'!AN5=0,'Parte Estrategica'!AN5=""),0,IF(VLOOKUP($A5,'Matriz de Referencia'!$B$2:$CO$584,55,FALSE)=0,0,"Digite"))</f>
        <v>0</v>
      </c>
      <c r="DS5" s="454">
        <f>IF(OR('Parte Estrategica'!AN5=0,'Parte Estrategica'!AN5=""),0,IF(VLOOKUP($A5,'Matriz de Referencia'!$B$2:$CO$584,56,FALSE)=0,0,"Digite"))</f>
        <v>0</v>
      </c>
      <c r="DT5" s="454">
        <f>IF(OR('Parte Estrategica'!AN5=0,'Parte Estrategica'!AN5=""),0,IF(VLOOKUP($A5,'Matriz de Referencia'!$B$2:$CO$584,57,FALSE)=0,0,"Digite"))</f>
        <v>0</v>
      </c>
      <c r="DU5" s="454">
        <f>IF(OR('Parte Estrategica'!AN5=0,'Parte Estrategica'!AN5=""),0,IF(VLOOKUP($A5,'Matriz de Referencia'!$B$2:$CO$584,58,FALSE)=0,0,"Digite"))</f>
        <v>0</v>
      </c>
      <c r="DV5" s="454">
        <f>IF(OR('Parte Estrategica'!AN5=0,'Parte Estrategica'!AN5=""),0,IF(VLOOKUP($A5,'Matriz de Referencia'!$B$2:$CO$584,59,FALSE)=0,0,"Digite"))</f>
        <v>0</v>
      </c>
      <c r="DW5" s="454">
        <f>IF(OR('Parte Estrategica'!AN5=0,'Parte Estrategica'!AN5=""),0,IF(VLOOKUP($A5,'Matriz de Referencia'!$B$2:$CO$584,60,FALSE)=0,0,"Digite"))</f>
        <v>0</v>
      </c>
      <c r="DX5" s="382">
        <f t="shared" si="26"/>
        <v>0</v>
      </c>
      <c r="DY5" s="454">
        <f>IF(OR('Parte Estrategica'!AN5=0,'Parte Estrategica'!AN5=""),0,IF(VLOOKUP($A5,'Matriz de Referencia'!$B$2:$CO$584,62,FALSE)=0,0,"Digite"))</f>
        <v>0</v>
      </c>
      <c r="DZ5" s="454">
        <f>IF(OR('Parte Estrategica'!AN5=0,'Parte Estrategica'!AN5=""),0,IF(VLOOKUP($A5,'Matriz de Referencia'!$B$2:$CO$584,63,FALSE)=0,0,"Digite"))</f>
        <v>0</v>
      </c>
      <c r="EA5" s="454" t="str">
        <f>IF(OR('Parte Estrategica'!AN5=0,'Parte Estrategica'!AN5=""),"",IF(VLOOKUP($A5,'Matriz de Referencia'!$B$2:$CO$584,64,FALSE)=0,"","Digite"))</f>
        <v/>
      </c>
      <c r="EB5" s="382">
        <f t="shared" si="27"/>
        <v>0</v>
      </c>
      <c r="EC5" s="382">
        <f t="shared" si="28"/>
        <v>0</v>
      </c>
      <c r="ED5" s="453">
        <f>IF(OR('Parte Estrategica'!AO5=0,'Parte Estrategica'!AO5=""),0,IF(VLOOKUP($A5,'Matriz de Referencia'!$B$2:$CO$584,53,FALSE)=0,0,"Digite"))</f>
        <v>0</v>
      </c>
      <c r="EE5" s="454">
        <f>IF(OR('Parte Estrategica'!AO5=0,'Parte Estrategica'!AO5=""),0,IF(VLOOKUP($A5,'Matriz de Referencia'!$B$2:$CO$584,54,FALSE)=0,0,"Digite"))</f>
        <v>0</v>
      </c>
      <c r="EF5" s="454">
        <f>IF(OR('Parte Estrategica'!AO5=0,'Parte Estrategica'!AO5=""),0,IF(VLOOKUP($A5,'Matriz de Referencia'!$B$2:$CO$584,55,FALSE)=0,0,"Digite"))</f>
        <v>0</v>
      </c>
      <c r="EG5" s="454">
        <f>IF(OR('Parte Estrategica'!AO5=0,'Parte Estrategica'!AO5=""),0,IF(VLOOKUP($A5,'Matriz de Referencia'!$B$2:$CO$584,56,FALSE)=0,0,"Digite"))</f>
        <v>0</v>
      </c>
      <c r="EH5" s="454">
        <f>IF(OR('Parte Estrategica'!AO5=0,'Parte Estrategica'!AO5=""),0,IF(VLOOKUP($A5,'Matriz de Referencia'!$B$2:$CO$584,57,FALSE)=0,0,"Digite"))</f>
        <v>0</v>
      </c>
      <c r="EI5" s="454">
        <f>IF(OR('Parte Estrategica'!AO5=0,'Parte Estrategica'!AO5=""),0,IF(VLOOKUP($A5,'Matriz de Referencia'!$B$2:$CO$584,58,FALSE)=0,0,"Digite"))</f>
        <v>0</v>
      </c>
      <c r="EJ5" s="454">
        <f>IF(OR('Parte Estrategica'!AO5=0,'Parte Estrategica'!AO5=""),0,IF(VLOOKUP($A5,'Matriz de Referencia'!$B$2:$CO$584,59,FALSE)=0,0,"Digite"))</f>
        <v>0</v>
      </c>
      <c r="EK5" s="454">
        <f>IF(OR('Parte Estrategica'!AO5=0,'Parte Estrategica'!AO5=""),0,IF(VLOOKUP($A5,'Matriz de Referencia'!$B$2:$CO$584,60,FALSE)=0,0,"Digite"))</f>
        <v>0</v>
      </c>
      <c r="EL5" s="382">
        <f t="shared" si="29"/>
        <v>0</v>
      </c>
      <c r="EM5" s="454">
        <f>IF(OR('Parte Estrategica'!AO5=0,'Parte Estrategica'!AO5=""),0,IF(VLOOKUP($A5,'Matriz de Referencia'!$B$2:$CO$584,62,FALSE)=0,0,"Digite"))</f>
        <v>0</v>
      </c>
      <c r="EN5" s="454">
        <f>IF(OR('Parte Estrategica'!AO5=0,'Parte Estrategica'!AO5=""),0,IF(VLOOKUP($A5,'Matriz de Referencia'!$B$2:$CO$584,63,FALSE)=0,0,"Digite"))</f>
        <v>0</v>
      </c>
      <c r="EO5" s="454">
        <f>IF(OR('Parte Estrategica'!AO5=0,'Parte Estrategica'!AO5=""),0,IF(VLOOKUP($A5,'Matriz de Referencia'!$B$2:$CO$584,64,FALSE)=0,0,"Digite"))</f>
        <v>0</v>
      </c>
      <c r="EP5" s="382">
        <f t="shared" si="30"/>
        <v>0</v>
      </c>
      <c r="EQ5" s="382">
        <f t="shared" si="31"/>
        <v>0</v>
      </c>
      <c r="ER5" s="453">
        <f>IF(OR('Parte Estrategica'!AP5=0,'Parte Estrategica'!AP5=""),0,IF(VLOOKUP($A5,'Matriz de Referencia'!$B$2:$CO$584,53,FALSE)=0,0,"Digite"))</f>
        <v>0</v>
      </c>
      <c r="ES5" s="454">
        <f>IF(OR('Parte Estrategica'!AP5=0,'Parte Estrategica'!AP5=""),0,IF(VLOOKUP($A5,'Matriz de Referencia'!$B$2:$CO$584,54,FALSE)=0,0,"Digite"))</f>
        <v>0</v>
      </c>
      <c r="ET5" s="454">
        <f>IF(OR('Parte Estrategica'!AP5=0,'Parte Estrategica'!AP5=""),0,IF(VLOOKUP($A5,'Matriz de Referencia'!$B$2:$CO$584,55,FALSE)=0,0,"Digite"))</f>
        <v>0</v>
      </c>
      <c r="EU5" s="454">
        <f>IF(OR('Parte Estrategica'!AP5=0,'Parte Estrategica'!AP5=""),0,IF(VLOOKUP($A5,'Matriz de Referencia'!$B$2:$CO$584,56,FALSE)=0,0,"Digite"))</f>
        <v>0</v>
      </c>
      <c r="EV5" s="454">
        <f>IF(OR('Parte Estrategica'!AP5=0,'Parte Estrategica'!AP5=""),0,IF(VLOOKUP($A5,'Matriz de Referencia'!$B$2:$CO$584,57,FALSE)=0,0,"Digite"))</f>
        <v>0</v>
      </c>
      <c r="EW5" s="454">
        <v>1330000000</v>
      </c>
      <c r="EX5" s="454">
        <f>IF(OR('Parte Estrategica'!AP5=0,'Parte Estrategica'!AP5=""),0,IF(VLOOKUP($A5,'Matriz de Referencia'!$B$2:$CO$584,59,FALSE)=0,0,"Digite"))</f>
        <v>0</v>
      </c>
      <c r="EY5" s="454">
        <f>IF(OR('Parte Estrategica'!AP5=0,'Parte Estrategica'!AP5=""),0,IF(VLOOKUP($A5,'Matriz de Referencia'!$B$2:$CO$584,60,FALSE)=0,0,"Digite"))</f>
        <v>0</v>
      </c>
      <c r="EZ5" s="382">
        <f t="shared" si="32"/>
        <v>1330000000</v>
      </c>
      <c r="FA5" s="454">
        <f>IF(OR('Parte Estrategica'!AP5=0,'Parte Estrategica'!AP5=""),0,IF(VLOOKUP($A5,'Matriz de Referencia'!$B$2:$CO$584,62,FALSE)=0,0,"Digite"))</f>
        <v>0</v>
      </c>
      <c r="FB5" s="454">
        <f>IF(OR('Parte Estrategica'!AP5=0,'Parte Estrategica'!AP5=""),0,IF(VLOOKUP($A5,'Matriz de Referencia'!$B$2:$CO$584,63,FALSE)=0,0,"Digite"))</f>
        <v>0</v>
      </c>
      <c r="FC5" s="454">
        <f>IF(OR('Parte Estrategica'!AP5=0,'Parte Estrategica'!AP5=""),0,IF(VLOOKUP($A5,'Matriz de Referencia'!$B$2:$CO$584,64,FALSE)=0,0,"Digite"))</f>
        <v>0</v>
      </c>
      <c r="FD5" s="382">
        <f t="shared" si="33"/>
        <v>0</v>
      </c>
      <c r="FE5" s="382">
        <f t="shared" si="34"/>
        <v>1330000000</v>
      </c>
      <c r="FF5" s="453">
        <f>IF(OR('Parte Estrategica'!AQ5=0,'Parte Estrategica'!AQ5=""),0,IF(VLOOKUP($A5,'Matriz de Referencia'!$B$2:$CO$584,53,FALSE)=0,0,"Digite"))</f>
        <v>0</v>
      </c>
      <c r="FG5" s="454">
        <f>IF(OR('Parte Estrategica'!AQ5=0,'Parte Estrategica'!AQ5=""),0,IF(VLOOKUP($A5,'Matriz de Referencia'!$B$2:$CO$584,54,FALSE)=0,0,"Digite"))</f>
        <v>0</v>
      </c>
      <c r="FH5" s="454">
        <f>IF(OR('Parte Estrategica'!AQ5=0,'Parte Estrategica'!AQ5=""),0,IF(VLOOKUP($A5,'Matriz de Referencia'!$B$2:$CO$584,55,FALSE)=0,0,"Digite"))</f>
        <v>0</v>
      </c>
      <c r="FI5" s="454">
        <f>IF(OR('Parte Estrategica'!AQ5=0,'Parte Estrategica'!AQ5=""),0,IF(VLOOKUP($A5,'Matriz de Referencia'!$B$2:$CO$584,56,FALSE)=0,0,"Digite"))</f>
        <v>0</v>
      </c>
      <c r="FJ5" s="454">
        <f>IF(OR('Parte Estrategica'!AQ5=0,'Parte Estrategica'!AQ5=""),0,IF(VLOOKUP($A5,'Matriz de Referencia'!$B$2:$CO$584,57,FALSE)=0,0,"Digite"))</f>
        <v>0</v>
      </c>
      <c r="FK5" s="454">
        <v>1330000000</v>
      </c>
      <c r="FL5" s="454">
        <f>IF(OR('Parte Estrategica'!AQ5=0,'Parte Estrategica'!AQ5=""),0,IF(VLOOKUP($A5,'Matriz de Referencia'!$B$2:$CO$584,59,FALSE)=0,0,"Digite"))</f>
        <v>0</v>
      </c>
      <c r="FM5" s="454">
        <f>IF(OR('Parte Estrategica'!AQ5=0,'Parte Estrategica'!AQ5=""),0,IF(VLOOKUP($A5,'Matriz de Referencia'!$B$2:$CO$584,60,FALSE)=0,0,"Digite"))</f>
        <v>0</v>
      </c>
      <c r="FN5" s="382">
        <f t="shared" si="35"/>
        <v>1330000000</v>
      </c>
      <c r="FO5" s="454">
        <f>IF(OR('Parte Estrategica'!AQ5=0,'Parte Estrategica'!AQ5=""),0,IF(VLOOKUP($A5,'Matriz de Referencia'!$B$2:$CO$584,62,FALSE)=0,0,"Digite"))</f>
        <v>0</v>
      </c>
      <c r="FP5" s="454">
        <f>IF(OR('Parte Estrategica'!AQ5=0,'Parte Estrategica'!AQ5=""),0,IF(VLOOKUP($A5,'Matriz de Referencia'!$B$2:$CO$584,63,FALSE)=0,0,"Digite"))</f>
        <v>0</v>
      </c>
      <c r="FQ5" s="454">
        <f>IF(OR('Parte Estrategica'!AQ5=0,'Parte Estrategica'!AQ5=""),0,IF(VLOOKUP($A5,'Matriz de Referencia'!$B$2:$CO$584,64,FALSE)=0,0,"Digite"))</f>
        <v>0</v>
      </c>
      <c r="FR5" s="382">
        <f t="shared" si="36"/>
        <v>0</v>
      </c>
      <c r="FS5" s="382">
        <f t="shared" si="37"/>
        <v>1330000000</v>
      </c>
      <c r="FT5" s="382">
        <f t="shared" si="38"/>
        <v>2660000000</v>
      </c>
      <c r="FU5" s="101" t="str">
        <f>IFERROR(IF(FT5=0,"",IF(VLOOKUP($A5,'Matriz de Referencia'!$B$2:$CO$584,66,FALSE)=FT5,"Techos ok, cotinue","Debe revisar el valor programado")),"")</f>
        <v>Techos ok, cotinue</v>
      </c>
      <c r="FV5" s="453">
        <f>IF(OR('Parte Estrategica'!AT5=0,'Parte Estrategica'!AT5=""),0,IF(VLOOKUP($A5,'Matriz de Referencia'!$B$2:$CO$584,67,FALSE)=0,0,"Digite"))</f>
        <v>0</v>
      </c>
      <c r="FW5" s="454">
        <f>IF(OR('Parte Estrategica'!AT5=0,'Parte Estrategica'!AT5=""),0,IF(VLOOKUP($A5,'Matriz de Referencia'!$B$2:$CO$584,68,FALSE)=0,0,"Digite"))</f>
        <v>0</v>
      </c>
      <c r="FX5" s="454">
        <f>IF(OR('Parte Estrategica'!AT5=0,'Parte Estrategica'!AT5=""),0,IF(VLOOKUP($A5,'Matriz de Referencia'!$B$2:$CO$584,69,FALSE)=0,0,"Digite"))</f>
        <v>0</v>
      </c>
      <c r="FY5" s="454">
        <f>IF(OR('Parte Estrategica'!AT5=0,'Parte Estrategica'!AT5=""),0,IF(VLOOKUP($A5,'Matriz de Referencia'!$B$2:$CO$584,70,FALSE)=0,0,"Digite"))</f>
        <v>0</v>
      </c>
      <c r="FZ5" s="454">
        <f>IF(OR('Parte Estrategica'!AT5=0,'Parte Estrategica'!AT5=""),0,IF(VLOOKUP($A5,'Matriz de Referencia'!$B$2:$CO$584,71,FALSE)=0,0,"Digite"))</f>
        <v>0</v>
      </c>
      <c r="GA5" s="454">
        <v>665000000</v>
      </c>
      <c r="GB5" s="454">
        <f>IF(OR('Parte Estrategica'!AT5=0,'Parte Estrategica'!AT5=""),0,IF(VLOOKUP($A5,'Matriz de Referencia'!$B$2:$CO$584,73,FALSE)=0,0,"Digite"))</f>
        <v>0</v>
      </c>
      <c r="GC5" s="454">
        <f>IF(OR('Parte Estrategica'!AT5=0,'Parte Estrategica'!AT5=""),0,IF(VLOOKUP($A5,'Matriz de Referencia'!$B$2:$CO$584,74,FALSE)=0,0,"Digite"))</f>
        <v>0</v>
      </c>
      <c r="GD5" s="382">
        <f t="shared" si="39"/>
        <v>665000000</v>
      </c>
      <c r="GE5" s="454">
        <f>IF(OR('Parte Estrategica'!AT5=0,'Parte Estrategica'!AT5=""),0,IF(VLOOKUP($A5,'Matriz de Referencia'!$B$2:$CO$584,76,FALSE)=0,0,"Digite"))</f>
        <v>0</v>
      </c>
      <c r="GF5" s="454">
        <f>IF(OR('Parte Estrategica'!AT5=0,'Parte Estrategica'!AT5=""),0,IF(VLOOKUP($A5,'Matriz de Referencia'!$B$2:$CO$584,77,FALSE)=0,0,"Digite"))</f>
        <v>0</v>
      </c>
      <c r="GG5" s="454">
        <f>IF(OR('Parte Estrategica'!AT5=0,'Parte Estrategica'!AT5=""),0,IF(VLOOKUP($A5,'Matriz de Referencia'!$B$2:$CO$584,78,FALSE)=0,0,"Digite"))</f>
        <v>0</v>
      </c>
      <c r="GH5" s="382">
        <f t="shared" si="40"/>
        <v>0</v>
      </c>
      <c r="GI5" s="382">
        <f t="shared" si="41"/>
        <v>665000000</v>
      </c>
      <c r="GJ5" s="453">
        <f>IF(OR('Parte Estrategica'!AU5=0,'Parte Estrategica'!AU5=""),0,IF(VLOOKUP($A5,'Matriz de Referencia'!$B$2:$CO$584,67,FALSE)=0,0,"Digite"))</f>
        <v>0</v>
      </c>
      <c r="GK5" s="454">
        <f>IF(OR('Parte Estrategica'!AU5=0,'Parte Estrategica'!AU5=""),0,IF(VLOOKUP($A5,'Matriz de Referencia'!$B$2:$CO$584,68,FALSE)=0,0,"Digite"))</f>
        <v>0</v>
      </c>
      <c r="GL5" s="454">
        <f>IF(OR('Parte Estrategica'!AU5=0,'Parte Estrategica'!AU5=""),0,IF(VLOOKUP($A5,'Matriz de Referencia'!$B$2:$CO$584,69,FALSE)=0,0,"Digite"))</f>
        <v>0</v>
      </c>
      <c r="GM5" s="454">
        <f>IF(OR('Parte Estrategica'!AU5=0,'Parte Estrategica'!AU5=""),0,IF(VLOOKUP($A5,'Matriz de Referencia'!$B$2:$CO$584,70,FALSE)=0,0,"Digite"))</f>
        <v>0</v>
      </c>
      <c r="GN5" s="454">
        <f>IF(OR('Parte Estrategica'!AU5=0,'Parte Estrategica'!AU5=""),0,IF(VLOOKUP($A5,'Matriz de Referencia'!$B$2:$CO$584,71,FALSE)=0,0,"Digite"))</f>
        <v>0</v>
      </c>
      <c r="GO5" s="454">
        <v>665000000</v>
      </c>
      <c r="GP5" s="454">
        <f>IF(OR('Parte Estrategica'!AU5=0,'Parte Estrategica'!AU5=""),0,IF(VLOOKUP($A5,'Matriz de Referencia'!$B$2:$CO$584,73,FALSE)=0,0,"Digite"))</f>
        <v>0</v>
      </c>
      <c r="GQ5" s="454">
        <f>IF(OR('Parte Estrategica'!AU5=0,'Parte Estrategica'!AU5=""),0,IF(VLOOKUP($A5,'Matriz de Referencia'!$B$2:$CO$584,74,FALSE)=0,0,"Digite"))</f>
        <v>0</v>
      </c>
      <c r="GR5" s="382">
        <f t="shared" si="42"/>
        <v>665000000</v>
      </c>
      <c r="GS5" s="454">
        <f>IF(OR('Parte Estrategica'!AU5=0,'Parte Estrategica'!AU5=""),0,IF(VLOOKUP($A5,'Matriz de Referencia'!$B$2:$CO$584,76,FALSE)=0,0,"Digite"))</f>
        <v>0</v>
      </c>
      <c r="GT5" s="454">
        <f>IF(OR('Parte Estrategica'!AU5=0,'Parte Estrategica'!AU5=""),0,IF(VLOOKUP($A5,'Matriz de Referencia'!$B$2:$CO$584,77,FALSE)=0,0,"Digite"))</f>
        <v>0</v>
      </c>
      <c r="GU5" s="454">
        <f>IF(OR('Parte Estrategica'!AU5=0,'Parte Estrategica'!AU5=""),0,IF(VLOOKUP($A5,'Matriz de Referencia'!$B$2:$CO$584,78,FALSE)=0,0,"Digite"))</f>
        <v>0</v>
      </c>
      <c r="GV5" s="382">
        <f t="shared" si="43"/>
        <v>0</v>
      </c>
      <c r="GW5" s="382">
        <f t="shared" si="44"/>
        <v>665000000</v>
      </c>
      <c r="GX5" s="453">
        <f>IF(OR('Parte Estrategica'!AV5=0,'Parte Estrategica'!AV5=""),0,IF(VLOOKUP($A5,'Matriz de Referencia'!$B$2:$CO$584,67,FALSE)=0,0,"Digite"))</f>
        <v>0</v>
      </c>
      <c r="GY5" s="454">
        <f>IF(OR('Parte Estrategica'!AV5=0,'Parte Estrategica'!AV5=""),0,IF(VLOOKUP($A5,'Matriz de Referencia'!$B$2:$CO$584,68,FALSE)=0,0,"Digite"))</f>
        <v>0</v>
      </c>
      <c r="GZ5" s="454">
        <f>IF(OR('Parte Estrategica'!AV5=0,'Parte Estrategica'!AV5=""),0,IF(VLOOKUP($A5,'Matriz de Referencia'!$B$2:$CO$584,69,FALSE)=0,0,"Digite"))</f>
        <v>0</v>
      </c>
      <c r="HA5" s="454">
        <f>IF(OR('Parte Estrategica'!AV5=0,'Parte Estrategica'!AV5=""),0,IF(VLOOKUP($A5,'Matriz de Referencia'!$B$2:$CO$584,70,FALSE)=0,0,"Digite"))</f>
        <v>0</v>
      </c>
      <c r="HB5" s="454">
        <f>IF(OR('Parte Estrategica'!AV5=0,'Parte Estrategica'!AV5=""),0,IF(VLOOKUP($A5,'Matriz de Referencia'!$B$2:$CO$584,71,FALSE)=0,0,"Digite"))</f>
        <v>0</v>
      </c>
      <c r="HC5" s="454">
        <v>665000000</v>
      </c>
      <c r="HD5" s="454">
        <f>IF(OR('Parte Estrategica'!AV5=0,'Parte Estrategica'!AV5=""),0,IF(VLOOKUP($A5,'Matriz de Referencia'!$B$2:$CO$584,73,FALSE)=0,0,"Digite"))</f>
        <v>0</v>
      </c>
      <c r="HE5" s="454">
        <f>IF(OR('Parte Estrategica'!AV5=0,'Parte Estrategica'!AV5=""),0,IF(VLOOKUP($A5,'Matriz de Referencia'!$B$2:$CO$584,74,FALSE)=0,0,"Digite"))</f>
        <v>0</v>
      </c>
      <c r="HF5" s="382">
        <f t="shared" si="45"/>
        <v>665000000</v>
      </c>
      <c r="HG5" s="454">
        <f>IF(OR('Parte Estrategica'!AV5=0,'Parte Estrategica'!AV5=""),0,IF(VLOOKUP($A5,'Matriz de Referencia'!$B$2:$CO$584,76,FALSE)=0,0,"Digite"))</f>
        <v>0</v>
      </c>
      <c r="HH5" s="454">
        <f>IF(OR('Parte Estrategica'!AV5=0,'Parte Estrategica'!AV5=""),0,IF(VLOOKUP($A5,'Matriz de Referencia'!$B$2:$CO$584,77,FALSE)=0,0,"Digite"))</f>
        <v>0</v>
      </c>
      <c r="HI5" s="454">
        <f>IF(OR('Parte Estrategica'!AV5=0,'Parte Estrategica'!AV5=""),0,IF(VLOOKUP($A5,'Matriz de Referencia'!$B$2:$CO$584,78,FALSE)=0,0,"Digite"))</f>
        <v>0</v>
      </c>
      <c r="HJ5" s="382">
        <f t="shared" si="46"/>
        <v>0</v>
      </c>
      <c r="HK5" s="382">
        <f t="shared" si="47"/>
        <v>665000000</v>
      </c>
      <c r="HL5" s="453">
        <f>IF(OR('Parte Estrategica'!AW5=0,'Parte Estrategica'!AW5=""),0,IF(VLOOKUP($A5,'Matriz de Referencia'!$B$2:$CO$584,67,FALSE)=0,0,"Digite"))</f>
        <v>0</v>
      </c>
      <c r="HM5" s="454">
        <f>IF(OR('Parte Estrategica'!AW5=0,'Parte Estrategica'!AW5=""),0,IF(VLOOKUP($A5,'Matriz de Referencia'!$B$2:$CO$584,68,FALSE)=0,0,"Digite"))</f>
        <v>0</v>
      </c>
      <c r="HN5" s="454">
        <f>IF(OR('Parte Estrategica'!AW5=0,'Parte Estrategica'!AW5=""),0,IF(VLOOKUP($A5,'Matriz de Referencia'!$B$2:$CO$584,69,FALSE)=0,0,"Digite"))</f>
        <v>0</v>
      </c>
      <c r="HO5" s="454">
        <f>IF(OR('Parte Estrategica'!AW5=0,'Parte Estrategica'!AW5=""),0,IF(VLOOKUP($A5,'Matriz de Referencia'!$B$2:$CO$584,70,FALSE)=0,0,"Digite"))</f>
        <v>0</v>
      </c>
      <c r="HP5" s="454">
        <f>IF(OR('Parte Estrategica'!AW5=0,'Parte Estrategica'!AW5=""),0,IF(VLOOKUP($A5,'Matriz de Referencia'!$B$2:$CO$584,71,FALSE)=0,0,"Digite"))</f>
        <v>0</v>
      </c>
      <c r="HQ5" s="454">
        <v>665000000</v>
      </c>
      <c r="HR5" s="454">
        <f>IF(OR('Parte Estrategica'!AW5=0,'Parte Estrategica'!AW5=""),0,IF(VLOOKUP($A5,'Matriz de Referencia'!$B$2:$CO$584,73,FALSE)=0,0,"Digite"))</f>
        <v>0</v>
      </c>
      <c r="HS5" s="454">
        <f>IF(OR('Parte Estrategica'!AW5=0,'Parte Estrategica'!AW5=""),0,IF(VLOOKUP($A5,'Matriz de Referencia'!$B$2:$CO$584,74,FALSE)=0,0,"Digite"))</f>
        <v>0</v>
      </c>
      <c r="HT5" s="382">
        <f t="shared" si="48"/>
        <v>665000000</v>
      </c>
      <c r="HU5" s="454">
        <f>IF(OR('Parte Estrategica'!AW5=0,'Parte Estrategica'!AW5=""),0,IF(VLOOKUP($A5,'Matriz de Referencia'!$B$2:$CO$584,76,FALSE)=0,0,"Digite"))</f>
        <v>0</v>
      </c>
      <c r="HV5" s="454">
        <f>IF(OR('Parte Estrategica'!AW5=0,'Parte Estrategica'!AW5=""),0,IF(VLOOKUP($A5,'Matriz de Referencia'!$B$2:$CO$584,77,FALSE)=0,0,"Digite"))</f>
        <v>0</v>
      </c>
      <c r="HW5" s="454">
        <f>IF(OR('Parte Estrategica'!AW5=0,'Parte Estrategica'!AW5=""),0,IF(VLOOKUP($A5,'Matriz de Referencia'!$B$2:$CO$584,78,FALSE)=0,0,"Digite"))</f>
        <v>0</v>
      </c>
      <c r="HX5" s="382">
        <f t="shared" si="49"/>
        <v>0</v>
      </c>
      <c r="HY5" s="382">
        <f t="shared" si="50"/>
        <v>665000000</v>
      </c>
      <c r="HZ5" s="382">
        <f t="shared" si="51"/>
        <v>2660000000</v>
      </c>
      <c r="IA5" s="101" t="str">
        <f>IFERROR(IF(HZ5=0,"",IF(VLOOKUP($A5,'Matriz de Referencia'!$B$2:$CO$584,80,FALSE)=HZ5,"Techos ok, cotinue","Debe revisar el valor programado")),"")</f>
        <v>Techos ok, cotinue</v>
      </c>
      <c r="IB5" s="383">
        <f t="shared" si="52"/>
        <v>10640000000</v>
      </c>
    </row>
    <row r="6" spans="1:236" ht="27.6">
      <c r="A6" s="550">
        <f>IF('Parte Estrategica'!B6=0,"",'Parte Estrategica'!B6)</f>
        <v>300</v>
      </c>
      <c r="B6" s="551" t="str">
        <f>IFERROR(VLOOKUP(A6,'Matriz de Referencia'!$B$2:$P$578,'Matriz de Referencia'!L$1,FALSE),"")</f>
        <v>Instrumentos para el mejoramiento productivo  implementado (Gestión de bienes muebles e inmuebles)</v>
      </c>
      <c r="C6" s="551" t="str">
        <f>IFERROR(VLOOKUP(A6,'Matriz de Referencia'!$B$2:$P$584,'Matriz de Referencia'!M$1,FALSE),"")</f>
        <v>Instrumentos de expansión Y productividad (Gestión inmobiliaria de bienes mueble e inmuebles)</v>
      </c>
      <c r="D6" s="455" t="str">
        <f>IF(OR('Parte Estrategica'!AB6=0,'Parte Estrategica'!AB6=""),"",IF(VLOOKUP($A6,'Matriz de Referencia'!$B$2:$CO$584,'Matriz de Referencia'!Z$1,FALSE)=0,"","Digite"))</f>
        <v/>
      </c>
      <c r="E6" s="456">
        <f>IF(OR('Parte Estrategica'!AB6=0,'Parte Estrategica'!AB6=""),0,IF(VLOOKUP($A6,'Matriz de Referencia'!$B$2:$CO$584,26,FALSE)=0,0,"Digite"))</f>
        <v>0</v>
      </c>
      <c r="F6" s="456">
        <f>IF(OR('Parte Estrategica'!AB6=0,'Parte Estrategica'!AB6=""),0,IF(VLOOKUP($A6,'Matriz de Referencia'!$B$2:$CO$584,27,FALSE)=0,0,"Digite"))</f>
        <v>0</v>
      </c>
      <c r="G6" s="456">
        <f>IF(OR('Parte Estrategica'!AB6=0,'Parte Estrategica'!AB6=""),0,IF(VLOOKUP($A6,'Matriz de Referencia'!$B$2:$CO$584,28,FALSE)=0,0,"Digite"))</f>
        <v>0</v>
      </c>
      <c r="H6" s="456">
        <f>IF(OR('Parte Estrategica'!AB6=0,'Parte Estrategica'!AB6=""),0,IF(VLOOKUP($A6,'Matriz de Referencia'!$B$2:$CO$584,29,FALSE)=0,0,"Digite"))</f>
        <v>0</v>
      </c>
      <c r="I6" s="456">
        <f>IF(OR('Parte Estrategica'!AB6=0,'Parte Estrategica'!AB6=""),0,IF(VLOOKUP($A6,'Matriz de Referencia'!$B$2:$CO$584,30,FALSE)=0,0,"Digite"))</f>
        <v>0</v>
      </c>
      <c r="J6" s="456">
        <f>IF(OR('Parte Estrategica'!AB6=0,'Parte Estrategica'!AB6=""),0,IF(VLOOKUP($A6,'Matriz de Referencia'!$B$2:$CO$584,31,FALSE)=0,0,"Digite"))</f>
        <v>0</v>
      </c>
      <c r="K6" s="456">
        <f>IF(OR('Parte Estrategica'!AB6=0,'Parte Estrategica'!AB6=""),0,IF(VLOOKUP($A6,'Matriz de Referencia'!$B$2:$CO$584,32,FALSE)=0,0,"Digite"))</f>
        <v>0</v>
      </c>
      <c r="L6" s="460">
        <f t="shared" si="0"/>
        <v>0</v>
      </c>
      <c r="M6" s="456">
        <f>IF(OR('Parte Estrategica'!AB6=0,'Parte Estrategica'!AB6=""),0,IF(VLOOKUP($A6,'Matriz de Referencia'!$B$2:$CO$584,34,FALSE)=0,0,"Digite"))</f>
        <v>0</v>
      </c>
      <c r="N6" s="456">
        <f>IF(OR('Parte Estrategica'!AB6=0,'Parte Estrategica'!AB6=""),0,IF(VLOOKUP($A6,'Matriz de Referencia'!$B$2:$CO$584,35,FALSE)=0,0,"Digite"))</f>
        <v>0</v>
      </c>
      <c r="O6" s="456">
        <f>IF(OR('Parte Estrategica'!AB6=0,'Parte Estrategica'!AB6=""),0,IF(VLOOKUP($A6,'Matriz de Referencia'!$B$2:$CO$584,36,FALSE)=0,0,"Digite"))</f>
        <v>0</v>
      </c>
      <c r="P6" s="457">
        <f t="shared" si="1"/>
        <v>0</v>
      </c>
      <c r="Q6" s="457">
        <f t="shared" si="2"/>
        <v>0</v>
      </c>
      <c r="R6" s="455">
        <f>IF(OR('Parte Estrategica'!AC6=0,'Parte Estrategica'!AC6=""),0,IF(VLOOKUP($A6,'Matriz de Referencia'!$B$2:$CO$584,25,FALSE)=0,0,"Digite"))</f>
        <v>0</v>
      </c>
      <c r="S6" s="456">
        <f>IF(OR('Parte Estrategica'!AC6=0,'Parte Estrategica'!AC6=""),0,IF(VLOOKUP($A6,'Matriz de Referencia'!$B$2:$CO$584,26,FALSE)=0,0,"Digite"))</f>
        <v>0</v>
      </c>
      <c r="T6" s="456">
        <f>IF(OR('Parte Estrategica'!AC6=0,'Parte Estrategica'!AC6=""),0,IF(VLOOKUP($A6,'Matriz de Referencia'!$B$2:$CO$584,27,FALSE)=0,0,"Digite"))</f>
        <v>0</v>
      </c>
      <c r="U6" s="456">
        <f>IF(OR('Parte Estrategica'!AC6=0,'Parte Estrategica'!AC6=""),0,IF(VLOOKUP($A6,'Matriz de Referencia'!$B$2:$CO$584,28,FALSE)=0,0,"Digite"))</f>
        <v>0</v>
      </c>
      <c r="V6" s="456">
        <f>IF(OR('Parte Estrategica'!AC6=0,'Parte Estrategica'!AC6=""),0,IF(VLOOKUP($A6,'Matriz de Referencia'!$B$2:$CO$584,29,FALSE)=0,0,"Digite"))</f>
        <v>0</v>
      </c>
      <c r="W6" s="456">
        <f>IF(OR('Parte Estrategica'!AC6=0,'Parte Estrategica'!AC6=""),0,IF(VLOOKUP($A6,'Matriz de Referencia'!$B$2:$CO$584,30,FALSE)=0,0,"Digite"))</f>
        <v>0</v>
      </c>
      <c r="X6" s="456">
        <f>IF(OR('Parte Estrategica'!AC6=0,'Parte Estrategica'!AC6=""),0,IF(VLOOKUP($A6,'Matriz de Referencia'!$B$2:$CO$584,31,FALSE)=0,0,"Digite"))</f>
        <v>0</v>
      </c>
      <c r="Y6" s="456">
        <f>IF(OR('Parte Estrategica'!AC6=0,'Parte Estrategica'!AC6=""),0,IF(VLOOKUP($A6,'Matriz de Referencia'!$B$2:$CO$584,32,FALSE)=0,0,"Digite"))</f>
        <v>0</v>
      </c>
      <c r="Z6" s="457">
        <f t="shared" si="3"/>
        <v>0</v>
      </c>
      <c r="AA6" s="456">
        <f>IF(OR('Parte Estrategica'!AC6=0,'Parte Estrategica'!AC6=""),0,IF(VLOOKUP($A6,'Matriz de Referencia'!$B$2:$CO$584,34,FALSE)=0,0,"Digite"))</f>
        <v>0</v>
      </c>
      <c r="AB6" s="456">
        <f>IF(OR('Parte Estrategica'!AC6=0,'Parte Estrategica'!AC6=""),0,IF(VLOOKUP($A6,'Matriz de Referencia'!$B$2:$CO$584,35,FALSE)=0,0,"Digite"))</f>
        <v>0</v>
      </c>
      <c r="AC6" s="456">
        <f>IF(OR('Parte Estrategica'!AC6=0,'Parte Estrategica'!AC6=""),0,IF(VLOOKUP($A6,'Matriz de Referencia'!$B$2:$CO$584,36,FALSE)=0,0,"Digite"))</f>
        <v>0</v>
      </c>
      <c r="AD6" s="457">
        <f t="shared" si="4"/>
        <v>0</v>
      </c>
      <c r="AE6" s="457">
        <f t="shared" si="5"/>
        <v>0</v>
      </c>
      <c r="AF6" s="455">
        <f>IF(OR('Parte Estrategica'!AD6=0,'Parte Estrategica'!AD6=""),0,IF(VLOOKUP($A6,'Matriz de Referencia'!$B$2:$CO$584,25,FALSE)=0,0,"Digite"))</f>
        <v>0</v>
      </c>
      <c r="AG6" s="456">
        <f>IF(OR('Parte Estrategica'!AD6=0,'Parte Estrategica'!AD6=""),0,IF(VLOOKUP($A6,'Matriz de Referencia'!$B$2:$CO$584,26,FALSE)=0,0,"Digite"))</f>
        <v>0</v>
      </c>
      <c r="AH6" s="456">
        <f>IF(OR('Parte Estrategica'!AD6=0,'Parte Estrategica'!AD6=""),0,IF(VLOOKUP($A6,'Matriz de Referencia'!$B$2:$CO$584,27,FALSE)=0,0,"Digite"))</f>
        <v>0</v>
      </c>
      <c r="AI6" s="456">
        <f>IF(OR('Parte Estrategica'!AD6=0,'Parte Estrategica'!AD6=""),0,IF(VLOOKUP($A6,'Matriz de Referencia'!$B$2:$CO$584,28,FALSE)=0,0,"Digite"))</f>
        <v>0</v>
      </c>
      <c r="AJ6" s="456">
        <f>IF(OR('Parte Estrategica'!AD6=0,'Parte Estrategica'!AD6=""),0,IF(VLOOKUP($A6,'Matriz de Referencia'!$B$2:$CO$584,29,FALSE)=0,0,"Digite"))</f>
        <v>0</v>
      </c>
      <c r="AK6" s="456">
        <v>1000000000</v>
      </c>
      <c r="AL6" s="456">
        <f>IF(OR('Parte Estrategica'!AD6=0,'Parte Estrategica'!AD6=""),0,IF(VLOOKUP($A6,'Matriz de Referencia'!$B$2:$CO$584,31,FALSE)=0,0,"Digite"))</f>
        <v>0</v>
      </c>
      <c r="AM6" s="456">
        <f>IF(OR('Parte Estrategica'!AD6=0,'Parte Estrategica'!AD6=""),0,IF(VLOOKUP($A6,'Matriz de Referencia'!$B$2:$CO$584,32,FALSE)=0,0,"Digite"))</f>
        <v>0</v>
      </c>
      <c r="AN6" s="457">
        <f t="shared" si="6"/>
        <v>1000000000</v>
      </c>
      <c r="AO6" s="456">
        <f>IF(OR('Parte Estrategica'!AD6=0,'Parte Estrategica'!AD6=""),0,IF(VLOOKUP($A6,'Matriz de Referencia'!$B$2:$CO$584,34,FALSE)=0,0,"Digite"))</f>
        <v>0</v>
      </c>
      <c r="AP6" s="456">
        <f>IF(OR('Parte Estrategica'!AD6=0,'Parte Estrategica'!AD6=""),0,IF(VLOOKUP($A6,'Matriz de Referencia'!$B$2:$CO$584,35,FALSE)=0,0,"Digite"))</f>
        <v>0</v>
      </c>
      <c r="AQ6" s="456">
        <f>IF(OR('Parte Estrategica'!AD6=0,'Parte Estrategica'!AD6=""),0,IF(VLOOKUP($A6,'Matriz de Referencia'!$B$2:$CO$584,36,FALSE)=0,0,"Digite"))</f>
        <v>0</v>
      </c>
      <c r="AR6" s="457">
        <f t="shared" si="7"/>
        <v>0</v>
      </c>
      <c r="AS6" s="457">
        <f t="shared" si="8"/>
        <v>1000000000</v>
      </c>
      <c r="AT6" s="455">
        <f>IF(OR('Parte Estrategica'!AE6=0,'Parte Estrategica'!AE6=""),0,IF(VLOOKUP($A6,'Matriz de Referencia'!$B$2:$CO$584,25,FALSE)=0,0,"Digite"))</f>
        <v>0</v>
      </c>
      <c r="AU6" s="456">
        <f>IF(OR('Parte Estrategica'!AE6=0,'Parte Estrategica'!AE6=""),0,IF(VLOOKUP($A6,'Matriz de Referencia'!$B$2:$CO$584,26,FALSE)=0,0,"Digite"))</f>
        <v>0</v>
      </c>
      <c r="AV6" s="456">
        <f>IF(OR('Parte Estrategica'!AE6=0,'Parte Estrategica'!AE6=""),0,IF(VLOOKUP($A6,'Matriz de Referencia'!$B$2:$CO$584,27,FALSE)=0,0,"Digite"))</f>
        <v>0</v>
      </c>
      <c r="AW6" s="456">
        <f>IF(OR('Parte Estrategica'!AE6=0,'Parte Estrategica'!AE6=""),0,IF(VLOOKUP($A6,'Matriz de Referencia'!$B$2:$CO$584,28,FALSE)=0,0,"Digite"))</f>
        <v>0</v>
      </c>
      <c r="AX6" s="456">
        <f>IF(OR('Parte Estrategica'!AE6=0,'Parte Estrategica'!AE6=""),0,IF(VLOOKUP($A6,'Matriz de Referencia'!$B$2:$CO$584,29,FALSE)=0,0,"Digite"))</f>
        <v>0</v>
      </c>
      <c r="AY6" s="456">
        <v>1000000000</v>
      </c>
      <c r="AZ6" s="456">
        <f>IF(OR('Parte Estrategica'!AE6=0,'Parte Estrategica'!AE6=""),0,IF(VLOOKUP($A6,'Matriz de Referencia'!$B$2:$CO$584,31,FALSE)=0,0,"Digite"))</f>
        <v>0</v>
      </c>
      <c r="BA6" s="456">
        <f>IF(OR('Parte Estrategica'!AE6=0,'Parte Estrategica'!AE6=""),0,IF(VLOOKUP($A6,'Matriz de Referencia'!$B$2:$CO$584,32,FALSE)=0,0,"Digite"))</f>
        <v>0</v>
      </c>
      <c r="BB6" s="457">
        <f t="shared" si="9"/>
        <v>1000000000</v>
      </c>
      <c r="BC6" s="456">
        <f>IF(OR('Parte Estrategica'!AE6=0,'Parte Estrategica'!AE6=""),0,IF(VLOOKUP($A6,'Matriz de Referencia'!$B$2:$CO$584,34,FALSE)=0,0,"Digite"))</f>
        <v>0</v>
      </c>
      <c r="BD6" s="456">
        <f>IF(OR('Parte Estrategica'!AE6=0,'Parte Estrategica'!AE6=""),0,IF(VLOOKUP($A6,'Matriz de Referencia'!$B$2:$CO$584,35,FALSE)=0,0,"Digite"))</f>
        <v>0</v>
      </c>
      <c r="BE6" s="456">
        <f>IF(OR('Parte Estrategica'!AE6=0,'Parte Estrategica'!AE6=""),0,IF(VLOOKUP($A6,'Matriz de Referencia'!$B$2:$CO$584,36,FALSE)=0,0,"Digite"))</f>
        <v>0</v>
      </c>
      <c r="BF6" s="457">
        <f t="shared" si="10"/>
        <v>0</v>
      </c>
      <c r="BG6" s="457">
        <f t="shared" si="11"/>
        <v>1000000000</v>
      </c>
      <c r="BH6" s="457">
        <f t="shared" si="12"/>
        <v>2000000000</v>
      </c>
      <c r="BI6" s="101" t="str">
        <f>IFERROR(IF(BH6=0,"",IF(VLOOKUP($A6,'Matriz de Referencia'!$B$2:$CO$584,'Matriz de Referencia'!AM$1,FALSE)=BH6,"Techos ok, cotinue","Debe revisar el valor programado")),"")</f>
        <v>Techos ok, cotinue</v>
      </c>
      <c r="BJ6" s="453">
        <f>IF(OR('Parte Estrategica'!AH6=0,'Parte Estrategica'!AH6=""),0,IF(VLOOKUP($A6,'Matriz de Referencia'!$B$2:$CO$584,39,FALSE)=0,0,"Digite"))</f>
        <v>0</v>
      </c>
      <c r="BK6" s="454">
        <f>IF(OR('Parte Estrategica'!AH6=0,'Parte Estrategica'!AH6=""),0,IF(VLOOKUP($A6,'Matriz de Referencia'!$B$2:$CO$584,40,FALSE)=0,0,"Digite"))</f>
        <v>0</v>
      </c>
      <c r="BL6" s="454">
        <f>IF(OR('Parte Estrategica'!AH6=0,'Parte Estrategica'!AH6=""),0,IF(VLOOKUP($A6,'Matriz de Referencia'!$B$2:$CO$584,41,FALSE)=0,0,"Digite"))</f>
        <v>0</v>
      </c>
      <c r="BM6" s="454">
        <f>IF(OR('Parte Estrategica'!AH6=0,'Parte Estrategica'!AH6=""),0,IF(VLOOKUP($A6,'Matriz de Referencia'!$B$2:$CO$584,42,FALSE)=0,0,"Digite"))</f>
        <v>0</v>
      </c>
      <c r="BN6" s="454">
        <f>IF(OR('Parte Estrategica'!AH6=0,'Parte Estrategica'!AH6=""),0,IF(VLOOKUP($A6,'Matriz de Referencia'!$B$2:$CO$584,43,FALSE)=0,0,"Digite"))</f>
        <v>0</v>
      </c>
      <c r="BO6" s="454">
        <f>IF(OR('Parte Estrategica'!AH6=0,'Parte Estrategica'!AH6=""),0,IF(VLOOKUP($A6,'Matriz de Referencia'!$B$2:$CO$584,44,FALSE)=0,0,"Digite"))</f>
        <v>0</v>
      </c>
      <c r="BP6" s="454">
        <f>IF(OR('Parte Estrategica'!AH6=0,'Parte Estrategica'!AH6=""),0,IF(VLOOKUP($A6,'Matriz de Referencia'!$B$2:$CO$584,45,FALSE)=0,0,"Digite"))</f>
        <v>0</v>
      </c>
      <c r="BQ6" s="454">
        <f>IF(OR('Parte Estrategica'!AH6=0,'Parte Estrategica'!AH6=""),0,IF(VLOOKUP($A6,'Matriz de Referencia'!$B$2:$CO$584,46,FALSE)=0,0,"Digite"))</f>
        <v>0</v>
      </c>
      <c r="BR6" s="382">
        <f t="shared" si="13"/>
        <v>0</v>
      </c>
      <c r="BS6" s="454">
        <f>IF(OR('Parte Estrategica'!CL6=0,'Parte Estrategica'!CL6=""),0,IF(VLOOKUP($A6,'Matriz de Referencia'!$B$2:$CO$584,48,FALSE)=0,0,"Digite"))</f>
        <v>0</v>
      </c>
      <c r="BT6" s="454">
        <f>IF(OR('Parte Estrategica'!CL6=0,'Parte Estrategica'!CL6=""),0,IF(VLOOKUP($A6,'Matriz de Referencia'!$B$2:$CO$584,49,FALSE)=0,0,"Digite"))</f>
        <v>0</v>
      </c>
      <c r="BU6" s="454">
        <f>IF(OR('Parte Estrategica'!CL6=0,'Parte Estrategica'!CL6=""),0,IF(VLOOKUP($A6,'Matriz de Referencia'!$B$2:$CO$584,50,FALSE)=0,0,"Digite"))</f>
        <v>0</v>
      </c>
      <c r="BV6" s="382">
        <f t="shared" si="14"/>
        <v>0</v>
      </c>
      <c r="BW6" s="382">
        <f t="shared" si="15"/>
        <v>0</v>
      </c>
      <c r="BX6" s="453">
        <f>IF(OR('Parte Estrategica'!AI6=0,'Parte Estrategica'!AI6=""),0,IF(VLOOKUP($A6,'Matriz de Referencia'!$B$2:$CO$584,39,FALSE)=0,0,"Digite"))</f>
        <v>0</v>
      </c>
      <c r="BY6" s="454">
        <f>IF(OR('Parte Estrategica'!AI6=0,'Parte Estrategica'!AI6=""),0,IF(VLOOKUP($A6,'Matriz de Referencia'!$B$2:$CO$584,40,FALSE)=0,0,"Digite"))</f>
        <v>0</v>
      </c>
      <c r="BZ6" s="454">
        <f>IF(OR('Parte Estrategica'!AI6=0,'Parte Estrategica'!AI6=""),0,IF(VLOOKUP($A6,'Matriz de Referencia'!$B$2:$CO$584,41,FALSE)=0,0,"Digite"))</f>
        <v>0</v>
      </c>
      <c r="CA6" s="454">
        <f>IF(OR('Parte Estrategica'!AI6=0,'Parte Estrategica'!AI6=""),0,IF(VLOOKUP($A6,'Matriz de Referencia'!$B$2:$CO$584,42,FALSE)=0,0,"Digite"))</f>
        <v>0</v>
      </c>
      <c r="CB6" s="454">
        <f>IF(OR('Parte Estrategica'!AI6=0,'Parte Estrategica'!AI6=""),0,IF(VLOOKUP($A6,'Matriz de Referencia'!$B$2:$CO$584,43,FALSE)=0,0,"Digite"))</f>
        <v>0</v>
      </c>
      <c r="CC6" s="454">
        <f>IF(OR('Parte Estrategica'!AI6=0,'Parte Estrategica'!AI6=""),0,IF(VLOOKUP($A6,'Matriz de Referencia'!$B$2:$CO$584,44,FALSE)=0,0,"Digite"))</f>
        <v>0</v>
      </c>
      <c r="CD6" s="454">
        <f>IF(OR('Parte Estrategica'!AI6=0,'Parte Estrategica'!AI6=""),0,IF(VLOOKUP($A6,'Matriz de Referencia'!$B$2:$CO$584,45,FALSE)=0,0,"Digite"))</f>
        <v>0</v>
      </c>
      <c r="CE6" s="454">
        <f>IF(OR('Parte Estrategica'!AI6=0,'Parte Estrategica'!AI6=""),0,IF(VLOOKUP($A6,'Matriz de Referencia'!$B$2:$CO$584,46,FALSE)=0,0,"Digite"))</f>
        <v>0</v>
      </c>
      <c r="CF6" s="382">
        <f t="shared" si="16"/>
        <v>0</v>
      </c>
      <c r="CG6" s="454">
        <f>IF(OR('Parte Estrategica'!AI6=0,'Parte Estrategica'!AI6=""),0,IF(VLOOKUP($A6,'Matriz de Referencia'!$B$2:$CO$584,48,FALSE)=0,0,"Digite"))</f>
        <v>0</v>
      </c>
      <c r="CH6" s="454">
        <f>IF(OR('Parte Estrategica'!AI6=0,'Parte Estrategica'!AI6=""),0,IF(VLOOKUP($A6,'Matriz de Referencia'!$B$2:$CO$584,49,FALSE)=0,0,"Digite"))</f>
        <v>0</v>
      </c>
      <c r="CI6" s="454">
        <f>IF(OR('Parte Estrategica'!AI6=0,'Parte Estrategica'!AI6=""),0,IF(VLOOKUP($A6,'Matriz de Referencia'!$B$2:$CO$584,50,FALSE)=0,0,"Digite"))</f>
        <v>0</v>
      </c>
      <c r="CJ6" s="382">
        <f t="shared" si="17"/>
        <v>0</v>
      </c>
      <c r="CK6" s="382">
        <f t="shared" si="18"/>
        <v>0</v>
      </c>
      <c r="CL6" s="453">
        <f>IF(OR('Parte Estrategica'!AJ6=0,'Parte Estrategica'!AJ6=""),0,IF(VLOOKUP($A6,'Matriz de Referencia'!$B$2:$CO$584,39,FALSE)=0,0,"Digite"))</f>
        <v>0</v>
      </c>
      <c r="CM6" s="454">
        <f>IF(OR('Parte Estrategica'!AJ6=0,'Parte Estrategica'!AJ6=""),0,IF(VLOOKUP($A6,'Matriz de Referencia'!$B$2:$CO$584,40,FALSE)=0,0,"Digite"))</f>
        <v>0</v>
      </c>
      <c r="CN6" s="454">
        <f>IF(OR('Parte Estrategica'!AJ6=0,'Parte Estrategica'!AJ6=""),0,IF(VLOOKUP($A6,'Matriz de Referencia'!$B$2:$CO$584,41,FALSE)=0,0,"Digite"))</f>
        <v>0</v>
      </c>
      <c r="CO6" s="454">
        <f>IF(OR('Parte Estrategica'!AJ6=0,'Parte Estrategica'!AJ6=""),0,IF(VLOOKUP($A6,'Matriz de Referencia'!$B$2:$CO$584,42,FALSE)=0,0,"Digite"))</f>
        <v>0</v>
      </c>
      <c r="CP6" s="454">
        <f>IF(OR('Parte Estrategica'!AJ6=0,'Parte Estrategica'!AJ6=""),0,IF(VLOOKUP($A6,'Matriz de Referencia'!$B$2:$CO$584,43,FALSE)=0,0,"Digite"))</f>
        <v>0</v>
      </c>
      <c r="CQ6" s="454">
        <v>1000000000</v>
      </c>
      <c r="CR6" s="454">
        <f>IF(OR('Parte Estrategica'!AJ6=0,'Parte Estrategica'!AJ6=""),0,IF(VLOOKUP($A6,'Matriz de Referencia'!$B$2:$CO$584,45,FALSE)=0,0,"Digite"))</f>
        <v>0</v>
      </c>
      <c r="CS6" s="454">
        <f>IF(OR('Parte Estrategica'!AJ6=0,'Parte Estrategica'!AJ6=""),0,IF(VLOOKUP($A6,'Matriz de Referencia'!$B$2:$CO$584,46,FALSE)=0,0,"Digite"))</f>
        <v>0</v>
      </c>
      <c r="CT6" s="382">
        <f t="shared" si="19"/>
        <v>1000000000</v>
      </c>
      <c r="CU6" s="454">
        <f>IF(OR('Parte Estrategica'!AJ6=0,'Parte Estrategica'!AJ6=""),0,IF(VLOOKUP($A6,'Matriz de Referencia'!$B$2:$CO$584,48,FALSE)=0,0,"Digite"))</f>
        <v>0</v>
      </c>
      <c r="CV6" s="454">
        <f>IF(OR('Parte Estrategica'!AJ6=0,'Parte Estrategica'!AJ6=""),0,IF(VLOOKUP($A6,'Matriz de Referencia'!$B$2:$CO$584,49,FALSE)=0,0,"Digite"))</f>
        <v>0</v>
      </c>
      <c r="CW6" s="454">
        <f>IF(OR('Parte Estrategica'!AJ6=0,'Parte Estrategica'!AJ6=""),0,IF(VLOOKUP($A6,'Matriz de Referencia'!$B$2:$CO$584,50,FALSE)=0,0,"Digite"))</f>
        <v>0</v>
      </c>
      <c r="CX6" s="382">
        <f t="shared" si="20"/>
        <v>0</v>
      </c>
      <c r="CY6" s="382">
        <f t="shared" si="21"/>
        <v>1000000000</v>
      </c>
      <c r="CZ6" s="453">
        <f>IF(OR('Parte Estrategica'!AK6=0,'Parte Estrategica'!AK6=""),0,IF(VLOOKUP($A6,'Matriz de Referencia'!$B$2:$CO$584,39,FALSE)=0,0,"Digite"))</f>
        <v>0</v>
      </c>
      <c r="DA6" s="454">
        <f>IF(OR('Parte Estrategica'!AK6=0,'Parte Estrategica'!AK6=""),0,IF(VLOOKUP($A6,'Matriz de Referencia'!$B$2:$CO$584,40,FALSE)=0,0,"Digite"))</f>
        <v>0</v>
      </c>
      <c r="DB6" s="454">
        <f>IF(OR('Parte Estrategica'!AK6=0,'Parte Estrategica'!AK6=""),0,IF(VLOOKUP($A6,'Matriz de Referencia'!$B$2:$CO$584,41,FALSE)=0,0,"Digite"))</f>
        <v>0</v>
      </c>
      <c r="DC6" s="454">
        <f>IF(OR('Parte Estrategica'!AK6=0,'Parte Estrategica'!AK6=""),0,IF(VLOOKUP($A6,'Matriz de Referencia'!$B$2:$CO$584,42,FALSE)=0,0,"Digite"))</f>
        <v>0</v>
      </c>
      <c r="DD6" s="454">
        <f>IF(OR('Parte Estrategica'!AK6=0,'Parte Estrategica'!AK6=""),0,IF(VLOOKUP($A6,'Matriz de Referencia'!$B$2:$CO$584,43,FALSE)=0,0,"Digite"))</f>
        <v>0</v>
      </c>
      <c r="DE6" s="454">
        <v>1000000000</v>
      </c>
      <c r="DF6" s="454">
        <f>IF(OR('Parte Estrategica'!AK6=0,'Parte Estrategica'!AK6=""),0,IF(VLOOKUP($A6,'Matriz de Referencia'!$B$2:$CO$584,45,FALSE)=0,0,"Digite"))</f>
        <v>0</v>
      </c>
      <c r="DG6" s="454">
        <f>IF(OR('Parte Estrategica'!AK6=0,'Parte Estrategica'!AK6=""),0,IF(VLOOKUP($A6,'Matriz de Referencia'!$B$2:$CO$584,46,FALSE)=0,0,"Digite"))</f>
        <v>0</v>
      </c>
      <c r="DH6" s="382">
        <f t="shared" si="22"/>
        <v>1000000000</v>
      </c>
      <c r="DI6" s="454">
        <f>IF(OR('Parte Estrategica'!AK6=0,'Parte Estrategica'!AK6=""),0,IF(VLOOKUP($A6,'Matriz de Referencia'!$B$2:$CO$584,48,FALSE)=0,0,"Digite"))</f>
        <v>0</v>
      </c>
      <c r="DJ6" s="454">
        <f>IF(OR('Parte Estrategica'!AK6=0,'Parte Estrategica'!AK6=""),0,IF(VLOOKUP($A6,'Matriz de Referencia'!$B$2:$CO$584,49,FALSE)=0,0,"Digite"))</f>
        <v>0</v>
      </c>
      <c r="DK6" s="454">
        <f>IF(OR('Parte Estrategica'!AK6=0,'Parte Estrategica'!AK6=""),0,IF(VLOOKUP($A6,'Matriz de Referencia'!$B$2:$CO$584,50,FALSE)=0,0,"Digite"))</f>
        <v>0</v>
      </c>
      <c r="DL6" s="382">
        <f t="shared" si="23"/>
        <v>0</v>
      </c>
      <c r="DM6" s="382">
        <f t="shared" si="24"/>
        <v>1000000000</v>
      </c>
      <c r="DN6" s="382">
        <f t="shared" si="25"/>
        <v>2000000000</v>
      </c>
      <c r="DO6" s="101" t="str">
        <f>IFERROR(IF(DN6=0,"",IF(VLOOKUP($A6,'Matriz de Referencia'!$B$2:$CO$584,52,FALSE)=DN6,"Techos ok, cotinue","Debe revisar el valor programado")),"")</f>
        <v>Techos ok, cotinue</v>
      </c>
      <c r="DP6" s="453">
        <f>IF(OR('Parte Estrategica'!AN6=0,'Parte Estrategica'!AN6=""),0,IF(VLOOKUP($A6,'Matriz de Referencia'!$B$2:$CO$584,53,FALSE)=0,0,"Digite"))</f>
        <v>0</v>
      </c>
      <c r="DQ6" s="454">
        <f>IF(OR('Parte Estrategica'!AN6=0,'Parte Estrategica'!AN6=""),0,IF(VLOOKUP($A6,'Matriz de Referencia'!$B$2:$CO$584,54,FALSE)=0,0,"Digite"))</f>
        <v>0</v>
      </c>
      <c r="DR6" s="454">
        <f>IF(OR('Parte Estrategica'!AN6=0,'Parte Estrategica'!AN6=""),0,IF(VLOOKUP($A6,'Matriz de Referencia'!$B$2:$CO$584,55,FALSE)=0,0,"Digite"))</f>
        <v>0</v>
      </c>
      <c r="DS6" s="454">
        <f>IF(OR('Parte Estrategica'!AN6=0,'Parte Estrategica'!AN6=""),0,IF(VLOOKUP($A6,'Matriz de Referencia'!$B$2:$CO$584,56,FALSE)=0,0,"Digite"))</f>
        <v>0</v>
      </c>
      <c r="DT6" s="454">
        <f>IF(OR('Parte Estrategica'!AN6=0,'Parte Estrategica'!AN6=""),0,IF(VLOOKUP($A6,'Matriz de Referencia'!$B$2:$CO$584,57,FALSE)=0,0,"Digite"))</f>
        <v>0</v>
      </c>
      <c r="DU6" s="454">
        <f>IF(OR('Parte Estrategica'!AN6=0,'Parte Estrategica'!AN6=""),0,IF(VLOOKUP($A6,'Matriz de Referencia'!$B$2:$CO$584,58,FALSE)=0,0,"Digite"))</f>
        <v>0</v>
      </c>
      <c r="DV6" s="454">
        <f>IF(OR('Parte Estrategica'!AN6=0,'Parte Estrategica'!AN6=""),0,IF(VLOOKUP($A6,'Matriz de Referencia'!$B$2:$CO$584,59,FALSE)=0,0,"Digite"))</f>
        <v>0</v>
      </c>
      <c r="DW6" s="454">
        <f>IF(OR('Parte Estrategica'!AN6=0,'Parte Estrategica'!AN6=""),0,IF(VLOOKUP($A6,'Matriz de Referencia'!$B$2:$CO$584,60,FALSE)=0,0,"Digite"))</f>
        <v>0</v>
      </c>
      <c r="DX6" s="382">
        <f t="shared" si="26"/>
        <v>0</v>
      </c>
      <c r="DY6" s="454">
        <f>IF(OR('Parte Estrategica'!AN6=0,'Parte Estrategica'!AN6=""),0,IF(VLOOKUP($A6,'Matriz de Referencia'!$B$2:$CO$584,62,FALSE)=0,0,"Digite"))</f>
        <v>0</v>
      </c>
      <c r="DZ6" s="454">
        <f>IF(OR('Parte Estrategica'!AN6=0,'Parte Estrategica'!AN6=""),0,IF(VLOOKUP($A6,'Matriz de Referencia'!$B$2:$CO$584,63,FALSE)=0,0,"Digite"))</f>
        <v>0</v>
      </c>
      <c r="EA6" s="454" t="str">
        <f>IF(OR('Parte Estrategica'!AN6=0,'Parte Estrategica'!AN6=""),"",IF(VLOOKUP($A6,'Matriz de Referencia'!$B$2:$CO$584,64,FALSE)=0,"","Digite"))</f>
        <v/>
      </c>
      <c r="EB6" s="382">
        <f t="shared" si="27"/>
        <v>0</v>
      </c>
      <c r="EC6" s="382">
        <f t="shared" si="28"/>
        <v>0</v>
      </c>
      <c r="ED6" s="453">
        <f>IF(OR('Parte Estrategica'!AO6=0,'Parte Estrategica'!AO6=""),0,IF(VLOOKUP($A6,'Matriz de Referencia'!$B$2:$CO$584,53,FALSE)=0,0,"Digite"))</f>
        <v>0</v>
      </c>
      <c r="EE6" s="454">
        <f>IF(OR('Parte Estrategica'!AO6=0,'Parte Estrategica'!AO6=""),0,IF(VLOOKUP($A6,'Matriz de Referencia'!$B$2:$CO$584,54,FALSE)=0,0,"Digite"))</f>
        <v>0</v>
      </c>
      <c r="EF6" s="454">
        <f>IF(OR('Parte Estrategica'!AO6=0,'Parte Estrategica'!AO6=""),0,IF(VLOOKUP($A6,'Matriz de Referencia'!$B$2:$CO$584,55,FALSE)=0,0,"Digite"))</f>
        <v>0</v>
      </c>
      <c r="EG6" s="454">
        <f>IF(OR('Parte Estrategica'!AO6=0,'Parte Estrategica'!AO6=""),0,IF(VLOOKUP($A6,'Matriz de Referencia'!$B$2:$CO$584,56,FALSE)=0,0,"Digite"))</f>
        <v>0</v>
      </c>
      <c r="EH6" s="454">
        <f>IF(OR('Parte Estrategica'!AO6=0,'Parte Estrategica'!AO6=""),0,IF(VLOOKUP($A6,'Matriz de Referencia'!$B$2:$CO$584,57,FALSE)=0,0,"Digite"))</f>
        <v>0</v>
      </c>
      <c r="EI6" s="454">
        <v>1000000000</v>
      </c>
      <c r="EJ6" s="454">
        <f>IF(OR('Parte Estrategica'!AO6=0,'Parte Estrategica'!AO6=""),0,IF(VLOOKUP($A6,'Matriz de Referencia'!$B$2:$CO$584,59,FALSE)=0,0,"Digite"))</f>
        <v>0</v>
      </c>
      <c r="EK6" s="454">
        <f>IF(OR('Parte Estrategica'!AO6=0,'Parte Estrategica'!AO6=""),0,IF(VLOOKUP($A6,'Matriz de Referencia'!$B$2:$CO$584,60,FALSE)=0,0,"Digite"))</f>
        <v>0</v>
      </c>
      <c r="EL6" s="382">
        <f t="shared" si="29"/>
        <v>1000000000</v>
      </c>
      <c r="EM6" s="454">
        <f>IF(OR('Parte Estrategica'!AO6=0,'Parte Estrategica'!AO6=""),0,IF(VLOOKUP($A6,'Matriz de Referencia'!$B$2:$CO$584,62,FALSE)=0,0,"Digite"))</f>
        <v>0</v>
      </c>
      <c r="EN6" s="454">
        <f>IF(OR('Parte Estrategica'!AO6=0,'Parte Estrategica'!AO6=""),0,IF(VLOOKUP($A6,'Matriz de Referencia'!$B$2:$CO$584,63,FALSE)=0,0,"Digite"))</f>
        <v>0</v>
      </c>
      <c r="EO6" s="454">
        <f>IF(OR('Parte Estrategica'!AO6=0,'Parte Estrategica'!AO6=""),0,IF(VLOOKUP($A6,'Matriz de Referencia'!$B$2:$CO$584,64,FALSE)=0,0,"Digite"))</f>
        <v>0</v>
      </c>
      <c r="EP6" s="382">
        <f t="shared" si="30"/>
        <v>0</v>
      </c>
      <c r="EQ6" s="382">
        <f t="shared" si="31"/>
        <v>1000000000</v>
      </c>
      <c r="ER6" s="453">
        <f>IF(OR('Parte Estrategica'!AP6=0,'Parte Estrategica'!AP6=""),0,IF(VLOOKUP($A6,'Matriz de Referencia'!$B$2:$CO$584,53,FALSE)=0,0,"Digite"))</f>
        <v>0</v>
      </c>
      <c r="ES6" s="454">
        <f>IF(OR('Parte Estrategica'!AP6=0,'Parte Estrategica'!AP6=""),0,IF(VLOOKUP($A6,'Matriz de Referencia'!$B$2:$CO$584,54,FALSE)=0,0,"Digite"))</f>
        <v>0</v>
      </c>
      <c r="ET6" s="454">
        <f>IF(OR('Parte Estrategica'!AP6=0,'Parte Estrategica'!AP6=""),0,IF(VLOOKUP($A6,'Matriz de Referencia'!$B$2:$CO$584,55,FALSE)=0,0,"Digite"))</f>
        <v>0</v>
      </c>
      <c r="EU6" s="454">
        <f>IF(OR('Parte Estrategica'!AP6=0,'Parte Estrategica'!AP6=""),0,IF(VLOOKUP($A6,'Matriz de Referencia'!$B$2:$CO$584,56,FALSE)=0,0,"Digite"))</f>
        <v>0</v>
      </c>
      <c r="EV6" s="454">
        <f>IF(OR('Parte Estrategica'!AP6=0,'Parte Estrategica'!AP6=""),0,IF(VLOOKUP($A6,'Matriz de Referencia'!$B$2:$CO$584,57,FALSE)=0,0,"Digite"))</f>
        <v>0</v>
      </c>
      <c r="EW6" s="454">
        <v>1000000000</v>
      </c>
      <c r="EX6" s="454">
        <f>IF(OR('Parte Estrategica'!AP6=0,'Parte Estrategica'!AP6=""),0,IF(VLOOKUP($A6,'Matriz de Referencia'!$B$2:$CO$584,59,FALSE)=0,0,"Digite"))</f>
        <v>0</v>
      </c>
      <c r="EY6" s="454">
        <f>IF(OR('Parte Estrategica'!AP6=0,'Parte Estrategica'!AP6=""),0,IF(VLOOKUP($A6,'Matriz de Referencia'!$B$2:$CO$584,60,FALSE)=0,0,"Digite"))</f>
        <v>0</v>
      </c>
      <c r="EZ6" s="382">
        <f t="shared" si="32"/>
        <v>1000000000</v>
      </c>
      <c r="FA6" s="454">
        <f>IF(OR('Parte Estrategica'!AP6=0,'Parte Estrategica'!AP6=""),0,IF(VLOOKUP($A6,'Matriz de Referencia'!$B$2:$CO$584,62,FALSE)=0,0,"Digite"))</f>
        <v>0</v>
      </c>
      <c r="FB6" s="454">
        <f>IF(OR('Parte Estrategica'!AP6=0,'Parte Estrategica'!AP6=""),0,IF(VLOOKUP($A6,'Matriz de Referencia'!$B$2:$CO$584,63,FALSE)=0,0,"Digite"))</f>
        <v>0</v>
      </c>
      <c r="FC6" s="454">
        <f>IF(OR('Parte Estrategica'!AP6=0,'Parte Estrategica'!AP6=""),0,IF(VLOOKUP($A6,'Matriz de Referencia'!$B$2:$CO$584,64,FALSE)=0,0,"Digite"))</f>
        <v>0</v>
      </c>
      <c r="FD6" s="382">
        <f t="shared" si="33"/>
        <v>0</v>
      </c>
      <c r="FE6" s="382">
        <f t="shared" si="34"/>
        <v>1000000000</v>
      </c>
      <c r="FF6" s="453">
        <f>IF(OR('Parte Estrategica'!AQ6=0,'Parte Estrategica'!AQ6=""),0,IF(VLOOKUP($A6,'Matriz de Referencia'!$B$2:$CO$584,53,FALSE)=0,0,"Digite"))</f>
        <v>0</v>
      </c>
      <c r="FG6" s="454">
        <f>IF(OR('Parte Estrategica'!AQ6=0,'Parte Estrategica'!AQ6=""),0,IF(VLOOKUP($A6,'Matriz de Referencia'!$B$2:$CO$584,54,FALSE)=0,0,"Digite"))</f>
        <v>0</v>
      </c>
      <c r="FH6" s="454">
        <f>IF(OR('Parte Estrategica'!AQ6=0,'Parte Estrategica'!AQ6=""),0,IF(VLOOKUP($A6,'Matriz de Referencia'!$B$2:$CO$584,55,FALSE)=0,0,"Digite"))</f>
        <v>0</v>
      </c>
      <c r="FI6" s="454">
        <f>IF(OR('Parte Estrategica'!AQ6=0,'Parte Estrategica'!AQ6=""),0,IF(VLOOKUP($A6,'Matriz de Referencia'!$B$2:$CO$584,56,FALSE)=0,0,"Digite"))</f>
        <v>0</v>
      </c>
      <c r="FJ6" s="454">
        <f>IF(OR('Parte Estrategica'!AQ6=0,'Parte Estrategica'!AQ6=""),0,IF(VLOOKUP($A6,'Matriz de Referencia'!$B$2:$CO$584,57,FALSE)=0,0,"Digite"))</f>
        <v>0</v>
      </c>
      <c r="FK6" s="454">
        <f>IF(OR('Parte Estrategica'!AQ6=0,'Parte Estrategica'!AQ6=""),0,IF(VLOOKUP($A6,'Matriz de Referencia'!$B$2:$CO$584,58,FALSE)=0,0,"Digite"))</f>
        <v>0</v>
      </c>
      <c r="FL6" s="454">
        <f>IF(OR('Parte Estrategica'!AQ6=0,'Parte Estrategica'!AQ6=""),0,IF(VLOOKUP($A6,'Matriz de Referencia'!$B$2:$CO$584,59,FALSE)=0,0,"Digite"))</f>
        <v>0</v>
      </c>
      <c r="FM6" s="454">
        <f>IF(OR('Parte Estrategica'!AQ6=0,'Parte Estrategica'!AQ6=""),0,IF(VLOOKUP($A6,'Matriz de Referencia'!$B$2:$CO$584,60,FALSE)=0,0,"Digite"))</f>
        <v>0</v>
      </c>
      <c r="FN6" s="382">
        <f t="shared" si="35"/>
        <v>0</v>
      </c>
      <c r="FO6" s="454">
        <f>IF(OR('Parte Estrategica'!AQ6=0,'Parte Estrategica'!AQ6=""),0,IF(VLOOKUP($A6,'Matriz de Referencia'!$B$2:$CO$584,62,FALSE)=0,0,"Digite"))</f>
        <v>0</v>
      </c>
      <c r="FP6" s="454">
        <f>IF(OR('Parte Estrategica'!AQ6=0,'Parte Estrategica'!AQ6=""),0,IF(VLOOKUP($A6,'Matriz de Referencia'!$B$2:$CO$584,63,FALSE)=0,0,"Digite"))</f>
        <v>0</v>
      </c>
      <c r="FQ6" s="454">
        <f>IF(OR('Parte Estrategica'!AQ6=0,'Parte Estrategica'!AQ6=""),0,IF(VLOOKUP($A6,'Matriz de Referencia'!$B$2:$CO$584,64,FALSE)=0,0,"Digite"))</f>
        <v>0</v>
      </c>
      <c r="FR6" s="382">
        <f t="shared" si="36"/>
        <v>0</v>
      </c>
      <c r="FS6" s="382">
        <f t="shared" si="37"/>
        <v>0</v>
      </c>
      <c r="FT6" s="382">
        <f t="shared" si="38"/>
        <v>2000000000</v>
      </c>
      <c r="FU6" s="101" t="str">
        <f>IFERROR(IF(FT6=0,"",IF(VLOOKUP($A6,'Matriz de Referencia'!$B$2:$CO$584,66,FALSE)=FT6,"Techos ok, cotinue","Debe revisar el valor programado")),"")</f>
        <v>Techos ok, cotinue</v>
      </c>
      <c r="FV6" s="453">
        <f>IF(OR('Parte Estrategica'!AT6=0,'Parte Estrategica'!AT6=""),0,IF(VLOOKUP($A6,'Matriz de Referencia'!$B$2:$CO$584,67,FALSE)=0,0,"Digite"))</f>
        <v>0</v>
      </c>
      <c r="FW6" s="454">
        <f>IF(OR('Parte Estrategica'!AT6=0,'Parte Estrategica'!AT6=""),0,IF(VLOOKUP($A6,'Matriz de Referencia'!$B$2:$CO$584,68,FALSE)=0,0,"Digite"))</f>
        <v>0</v>
      </c>
      <c r="FX6" s="454">
        <f>IF(OR('Parte Estrategica'!AT6=0,'Parte Estrategica'!AT6=""),0,IF(VLOOKUP($A6,'Matriz de Referencia'!$B$2:$CO$584,69,FALSE)=0,0,"Digite"))</f>
        <v>0</v>
      </c>
      <c r="FY6" s="454">
        <f>IF(OR('Parte Estrategica'!AT6=0,'Parte Estrategica'!AT6=""),0,IF(VLOOKUP($A6,'Matriz de Referencia'!$B$2:$CO$584,70,FALSE)=0,0,"Digite"))</f>
        <v>0</v>
      </c>
      <c r="FZ6" s="454">
        <f>IF(OR('Parte Estrategica'!AT6=0,'Parte Estrategica'!AT6=""),0,IF(VLOOKUP($A6,'Matriz de Referencia'!$B$2:$CO$584,71,FALSE)=0,0,"Digite"))</f>
        <v>0</v>
      </c>
      <c r="GA6" s="454">
        <f>IF(OR('Parte Estrategica'!AT6=0,'Parte Estrategica'!AT6=""),0,IF(VLOOKUP($A6,'Matriz de Referencia'!$B$2:$CO$584,72,FALSE)=0,0,"Digite"))</f>
        <v>0</v>
      </c>
      <c r="GB6" s="454">
        <f>IF(OR('Parte Estrategica'!AT6=0,'Parte Estrategica'!AT6=""),0,IF(VLOOKUP($A6,'Matriz de Referencia'!$B$2:$CO$584,73,FALSE)=0,0,"Digite"))</f>
        <v>0</v>
      </c>
      <c r="GC6" s="454">
        <f>IF(OR('Parte Estrategica'!AT6=0,'Parte Estrategica'!AT6=""),0,IF(VLOOKUP($A6,'Matriz de Referencia'!$B$2:$CO$584,74,FALSE)=0,0,"Digite"))</f>
        <v>0</v>
      </c>
      <c r="GD6" s="382">
        <f t="shared" si="39"/>
        <v>0</v>
      </c>
      <c r="GE6" s="454">
        <f>IF(OR('Parte Estrategica'!AT6=0,'Parte Estrategica'!AT6=""),0,IF(VLOOKUP($A6,'Matriz de Referencia'!$B$2:$CO$584,76,FALSE)=0,0,"Digite"))</f>
        <v>0</v>
      </c>
      <c r="GF6" s="454">
        <f>IF(OR('Parte Estrategica'!AT6=0,'Parte Estrategica'!AT6=""),0,IF(VLOOKUP($A6,'Matriz de Referencia'!$B$2:$CO$584,77,FALSE)=0,0,"Digite"))</f>
        <v>0</v>
      </c>
      <c r="GG6" s="454">
        <f>IF(OR('Parte Estrategica'!AT6=0,'Parte Estrategica'!AT6=""),0,IF(VLOOKUP($A6,'Matriz de Referencia'!$B$2:$CO$584,78,FALSE)=0,0,"Digite"))</f>
        <v>0</v>
      </c>
      <c r="GH6" s="382">
        <f t="shared" si="40"/>
        <v>0</v>
      </c>
      <c r="GI6" s="382">
        <f t="shared" si="41"/>
        <v>0</v>
      </c>
      <c r="GJ6" s="453">
        <f>IF(OR('Parte Estrategica'!AU6=0,'Parte Estrategica'!AU6=""),0,IF(VLOOKUP($A6,'Matriz de Referencia'!$B$2:$CO$584,67,FALSE)=0,0,"Digite"))</f>
        <v>0</v>
      </c>
      <c r="GK6" s="454">
        <f>IF(OR('Parte Estrategica'!AU6=0,'Parte Estrategica'!AU6=""),0,IF(VLOOKUP($A6,'Matriz de Referencia'!$B$2:$CO$584,68,FALSE)=0,0,"Digite"))</f>
        <v>0</v>
      </c>
      <c r="GL6" s="454">
        <f>IF(OR('Parte Estrategica'!AU6=0,'Parte Estrategica'!AU6=""),0,IF(VLOOKUP($A6,'Matriz de Referencia'!$B$2:$CO$584,69,FALSE)=0,0,"Digite"))</f>
        <v>0</v>
      </c>
      <c r="GM6" s="454">
        <f>IF(OR('Parte Estrategica'!AU6=0,'Parte Estrategica'!AU6=""),0,IF(VLOOKUP($A6,'Matriz de Referencia'!$B$2:$CO$584,70,FALSE)=0,0,"Digite"))</f>
        <v>0</v>
      </c>
      <c r="GN6" s="454">
        <f>IF(OR('Parte Estrategica'!AU6=0,'Parte Estrategica'!AU6=""),0,IF(VLOOKUP($A6,'Matriz de Referencia'!$B$2:$CO$584,71,FALSE)=0,0,"Digite"))</f>
        <v>0</v>
      </c>
      <c r="GO6" s="454">
        <f>IF(OR('Parte Estrategica'!AU6=0,'Parte Estrategica'!AU6=""),0,IF(VLOOKUP($A6,'Matriz de Referencia'!$B$2:$CO$584,72,FALSE)=0,0,"Digite"))</f>
        <v>0</v>
      </c>
      <c r="GP6" s="454">
        <f>IF(OR('Parte Estrategica'!AU6=0,'Parte Estrategica'!AU6=""),0,IF(VLOOKUP($A6,'Matriz de Referencia'!$B$2:$CO$584,73,FALSE)=0,0,"Digite"))</f>
        <v>0</v>
      </c>
      <c r="GQ6" s="454">
        <f>IF(OR('Parte Estrategica'!AU6=0,'Parte Estrategica'!AU6=""),0,IF(VLOOKUP($A6,'Matriz de Referencia'!$B$2:$CO$584,74,FALSE)=0,0,"Digite"))</f>
        <v>0</v>
      </c>
      <c r="GR6" s="382">
        <f t="shared" si="42"/>
        <v>0</v>
      </c>
      <c r="GS6" s="454">
        <f>IF(OR('Parte Estrategica'!AU6=0,'Parte Estrategica'!AU6=""),0,IF(VLOOKUP($A6,'Matriz de Referencia'!$B$2:$CO$584,76,FALSE)=0,0,"Digite"))</f>
        <v>0</v>
      </c>
      <c r="GT6" s="454">
        <f>IF(OR('Parte Estrategica'!AU6=0,'Parte Estrategica'!AU6=""),0,IF(VLOOKUP($A6,'Matriz de Referencia'!$B$2:$CO$584,77,FALSE)=0,0,"Digite"))</f>
        <v>0</v>
      </c>
      <c r="GU6" s="454">
        <f>IF(OR('Parte Estrategica'!AU6=0,'Parte Estrategica'!AU6=""),0,IF(VLOOKUP($A6,'Matriz de Referencia'!$B$2:$CO$584,78,FALSE)=0,0,"Digite"))</f>
        <v>0</v>
      </c>
      <c r="GV6" s="382">
        <f t="shared" si="43"/>
        <v>0</v>
      </c>
      <c r="GW6" s="382">
        <f t="shared" si="44"/>
        <v>0</v>
      </c>
      <c r="GX6" s="453">
        <f>IF(OR('Parte Estrategica'!AV6=0,'Parte Estrategica'!AV6=""),0,IF(VLOOKUP($A6,'Matriz de Referencia'!$B$2:$CO$584,67,FALSE)=0,0,"Digite"))</f>
        <v>0</v>
      </c>
      <c r="GY6" s="454">
        <f>IF(OR('Parte Estrategica'!AV6=0,'Parte Estrategica'!AV6=""),0,IF(VLOOKUP($A6,'Matriz de Referencia'!$B$2:$CO$584,68,FALSE)=0,0,"Digite"))</f>
        <v>0</v>
      </c>
      <c r="GZ6" s="454">
        <f>IF(OR('Parte Estrategica'!AV6=0,'Parte Estrategica'!AV6=""),0,IF(VLOOKUP($A6,'Matriz de Referencia'!$B$2:$CO$584,69,FALSE)=0,0,"Digite"))</f>
        <v>0</v>
      </c>
      <c r="HA6" s="454">
        <f>IF(OR('Parte Estrategica'!AV6=0,'Parte Estrategica'!AV6=""),0,IF(VLOOKUP($A6,'Matriz de Referencia'!$B$2:$CO$584,70,FALSE)=0,0,"Digite"))</f>
        <v>0</v>
      </c>
      <c r="HB6" s="454">
        <f>IF(OR('Parte Estrategica'!AV6=0,'Parte Estrategica'!AV6=""),0,IF(VLOOKUP($A6,'Matriz de Referencia'!$B$2:$CO$584,71,FALSE)=0,0,"Digite"))</f>
        <v>0</v>
      </c>
      <c r="HC6" s="454">
        <v>1000000000</v>
      </c>
      <c r="HD6" s="454">
        <f>IF(OR('Parte Estrategica'!AV6=0,'Parte Estrategica'!AV6=""),0,IF(VLOOKUP($A6,'Matriz de Referencia'!$B$2:$CO$584,73,FALSE)=0,0,"Digite"))</f>
        <v>0</v>
      </c>
      <c r="HE6" s="454">
        <f>IF(OR('Parte Estrategica'!AV6=0,'Parte Estrategica'!AV6=""),0,IF(VLOOKUP($A6,'Matriz de Referencia'!$B$2:$CO$584,74,FALSE)=0,0,"Digite"))</f>
        <v>0</v>
      </c>
      <c r="HF6" s="382">
        <f t="shared" si="45"/>
        <v>1000000000</v>
      </c>
      <c r="HG6" s="454">
        <f>IF(OR('Parte Estrategica'!AV6=0,'Parte Estrategica'!AV6=""),0,IF(VLOOKUP($A6,'Matriz de Referencia'!$B$2:$CO$584,76,FALSE)=0,0,"Digite"))</f>
        <v>0</v>
      </c>
      <c r="HH6" s="454">
        <f>IF(OR('Parte Estrategica'!AV6=0,'Parte Estrategica'!AV6=""),0,IF(VLOOKUP($A6,'Matriz de Referencia'!$B$2:$CO$584,77,FALSE)=0,0,"Digite"))</f>
        <v>0</v>
      </c>
      <c r="HI6" s="454">
        <f>IF(OR('Parte Estrategica'!AV6=0,'Parte Estrategica'!AV6=""),0,IF(VLOOKUP($A6,'Matriz de Referencia'!$B$2:$CO$584,78,FALSE)=0,0,"Digite"))</f>
        <v>0</v>
      </c>
      <c r="HJ6" s="382">
        <f t="shared" si="46"/>
        <v>0</v>
      </c>
      <c r="HK6" s="382">
        <f t="shared" si="47"/>
        <v>1000000000</v>
      </c>
      <c r="HL6" s="453">
        <f>IF(OR('Parte Estrategica'!AW6=0,'Parte Estrategica'!AW6=""),0,IF(VLOOKUP($A6,'Matriz de Referencia'!$B$2:$CO$584,67,FALSE)=0,0,"Digite"))</f>
        <v>0</v>
      </c>
      <c r="HM6" s="454">
        <f>IF(OR('Parte Estrategica'!AW6=0,'Parte Estrategica'!AW6=""),0,IF(VLOOKUP($A6,'Matriz de Referencia'!$B$2:$CO$584,68,FALSE)=0,0,"Digite"))</f>
        <v>0</v>
      </c>
      <c r="HN6" s="454">
        <f>IF(OR('Parte Estrategica'!AW6=0,'Parte Estrategica'!AW6=""),0,IF(VLOOKUP($A6,'Matriz de Referencia'!$B$2:$CO$584,69,FALSE)=0,0,"Digite"))</f>
        <v>0</v>
      </c>
      <c r="HO6" s="454">
        <f>IF(OR('Parte Estrategica'!AW6=0,'Parte Estrategica'!AW6=""),0,IF(VLOOKUP($A6,'Matriz de Referencia'!$B$2:$CO$584,70,FALSE)=0,0,"Digite"))</f>
        <v>0</v>
      </c>
      <c r="HP6" s="454">
        <f>IF(OR('Parte Estrategica'!AW6=0,'Parte Estrategica'!AW6=""),0,IF(VLOOKUP($A6,'Matriz de Referencia'!$B$2:$CO$584,71,FALSE)=0,0,"Digite"))</f>
        <v>0</v>
      </c>
      <c r="HQ6" s="454">
        <v>1000000000</v>
      </c>
      <c r="HR6" s="454">
        <f>IF(OR('Parte Estrategica'!AW6=0,'Parte Estrategica'!AW6=""),0,IF(VLOOKUP($A6,'Matriz de Referencia'!$B$2:$CO$584,73,FALSE)=0,0,"Digite"))</f>
        <v>0</v>
      </c>
      <c r="HS6" s="454">
        <f>IF(OR('Parte Estrategica'!AW6=0,'Parte Estrategica'!AW6=""),0,IF(VLOOKUP($A6,'Matriz de Referencia'!$B$2:$CO$584,74,FALSE)=0,0,"Digite"))</f>
        <v>0</v>
      </c>
      <c r="HT6" s="382">
        <f t="shared" si="48"/>
        <v>1000000000</v>
      </c>
      <c r="HU6" s="454">
        <f>IF(OR('Parte Estrategica'!AW6=0,'Parte Estrategica'!AW6=""),0,IF(VLOOKUP($A6,'Matriz de Referencia'!$B$2:$CO$584,76,FALSE)=0,0,"Digite"))</f>
        <v>0</v>
      </c>
      <c r="HV6" s="454">
        <f>IF(OR('Parte Estrategica'!AW6=0,'Parte Estrategica'!AW6=""),0,IF(VLOOKUP($A6,'Matriz de Referencia'!$B$2:$CO$584,77,FALSE)=0,0,"Digite"))</f>
        <v>0</v>
      </c>
      <c r="HW6" s="454">
        <f>IF(OR('Parte Estrategica'!AW6=0,'Parte Estrategica'!AW6=""),0,IF(VLOOKUP($A6,'Matriz de Referencia'!$B$2:$CO$584,78,FALSE)=0,0,"Digite"))</f>
        <v>0</v>
      </c>
      <c r="HX6" s="382">
        <f t="shared" si="49"/>
        <v>0</v>
      </c>
      <c r="HY6" s="382">
        <f t="shared" si="50"/>
        <v>1000000000</v>
      </c>
      <c r="HZ6" s="382">
        <f t="shared" si="51"/>
        <v>2000000000</v>
      </c>
      <c r="IA6" s="101" t="str">
        <f>IFERROR(IF(HZ6=0,"",IF(VLOOKUP($A6,'Matriz de Referencia'!$B$2:$CO$584,80,FALSE)=HZ6,"Techos ok, cotinue","Debe revisar el valor programado")),"")</f>
        <v>Techos ok, cotinue</v>
      </c>
      <c r="IB6" s="383">
        <f t="shared" si="52"/>
        <v>8000000000</v>
      </c>
    </row>
    <row r="7" spans="1:236">
      <c r="A7" s="550" t="str">
        <f>IF('Parte Estrategica'!B7=0,"",'Parte Estrategica'!B7)</f>
        <v/>
      </c>
      <c r="B7" s="551" t="str">
        <f>IFERROR(VLOOKUP(A7,'Matriz de Referencia'!$B$2:$P$578,'Matriz de Referencia'!L$1,FALSE),"")</f>
        <v/>
      </c>
      <c r="C7" s="551" t="str">
        <f>IFERROR(VLOOKUP(A7,'Matriz de Referencia'!$B$2:$P$584,'Matriz de Referencia'!M$1,FALSE),"")</f>
        <v/>
      </c>
      <c r="D7" s="455" t="str">
        <f>IF(OR('Parte Estrategica'!AB7=0,'Parte Estrategica'!AB7=""),"",IF(VLOOKUP($A7,'Matriz de Referencia'!$B$2:$CO$584,'Matriz de Referencia'!Z$1,FALSE)=0,"","Digite"))</f>
        <v/>
      </c>
      <c r="E7" s="456">
        <f>IF(OR('Parte Estrategica'!AB7=0,'Parte Estrategica'!AB7=""),0,IF(VLOOKUP($A7,'Matriz de Referencia'!$B$2:$CO$584,26,FALSE)=0,0,"Digite"))</f>
        <v>0</v>
      </c>
      <c r="F7" s="456">
        <f>IF(OR('Parte Estrategica'!AB7=0,'Parte Estrategica'!AB7=""),0,IF(VLOOKUP($A7,'Matriz de Referencia'!$B$2:$CO$584,27,FALSE)=0,0,"Digite"))</f>
        <v>0</v>
      </c>
      <c r="G7" s="456">
        <f>IF(OR('Parte Estrategica'!AB7=0,'Parte Estrategica'!AB7=""),0,IF(VLOOKUP($A7,'Matriz de Referencia'!$B$2:$CO$584,28,FALSE)=0,0,"Digite"))</f>
        <v>0</v>
      </c>
      <c r="H7" s="456">
        <f>IF(OR('Parte Estrategica'!AB7=0,'Parte Estrategica'!AB7=""),0,IF(VLOOKUP($A7,'Matriz de Referencia'!$B$2:$CO$584,29,FALSE)=0,0,"Digite"))</f>
        <v>0</v>
      </c>
      <c r="I7" s="456">
        <f>IF(OR('Parte Estrategica'!AB7=0,'Parte Estrategica'!AB7=""),0,IF(VLOOKUP($A7,'Matriz de Referencia'!$B$2:$CO$584,30,FALSE)=0,0,"Digite"))</f>
        <v>0</v>
      </c>
      <c r="J7" s="456">
        <f>IF(OR('Parte Estrategica'!AB7=0,'Parte Estrategica'!AB7=""),0,IF(VLOOKUP($A7,'Matriz de Referencia'!$B$2:$CO$584,31,FALSE)=0,0,"Digite"))</f>
        <v>0</v>
      </c>
      <c r="K7" s="456">
        <f>IF(OR('Parte Estrategica'!AB7=0,'Parte Estrategica'!AB7=""),0,IF(VLOOKUP($A7,'Matriz de Referencia'!$B$2:$CO$584,32,FALSE)=0,0,"Digite"))</f>
        <v>0</v>
      </c>
      <c r="L7" s="460">
        <f t="shared" si="0"/>
        <v>0</v>
      </c>
      <c r="M7" s="456">
        <f>IF(OR('Parte Estrategica'!AB7=0,'Parte Estrategica'!AB7=""),0,IF(VLOOKUP($A7,'Matriz de Referencia'!$B$2:$CO$584,34,FALSE)=0,0,"Digite"))</f>
        <v>0</v>
      </c>
      <c r="N7" s="456">
        <f>IF(OR('Parte Estrategica'!AB7=0,'Parte Estrategica'!AB7=""),0,IF(VLOOKUP($A7,'Matriz de Referencia'!$B$2:$CO$584,35,FALSE)=0,0,"Digite"))</f>
        <v>0</v>
      </c>
      <c r="O7" s="456">
        <f>IF(OR('Parte Estrategica'!AB7=0,'Parte Estrategica'!AB7=""),0,IF(VLOOKUP($A7,'Matriz de Referencia'!$B$2:$CO$584,36,FALSE)=0,0,"Digite"))</f>
        <v>0</v>
      </c>
      <c r="P7" s="457">
        <f t="shared" si="1"/>
        <v>0</v>
      </c>
      <c r="Q7" s="457">
        <f t="shared" si="2"/>
        <v>0</v>
      </c>
      <c r="R7" s="455">
        <f>IF(OR('Parte Estrategica'!AC7=0,'Parte Estrategica'!AC7=""),0,IF(VLOOKUP($A7,'Matriz de Referencia'!$B$2:$CO$584,25,FALSE)=0,0,"Digite"))</f>
        <v>0</v>
      </c>
      <c r="S7" s="456">
        <f>IF(OR('Parte Estrategica'!AC7=0,'Parte Estrategica'!AC7=""),0,IF(VLOOKUP($A7,'Matriz de Referencia'!$B$2:$CO$584,26,FALSE)=0,0,"Digite"))</f>
        <v>0</v>
      </c>
      <c r="T7" s="456">
        <f>IF(OR('Parte Estrategica'!AC7=0,'Parte Estrategica'!AC7=""),0,IF(VLOOKUP($A7,'Matriz de Referencia'!$B$2:$CO$584,27,FALSE)=0,0,"Digite"))</f>
        <v>0</v>
      </c>
      <c r="U7" s="456">
        <f>IF(OR('Parte Estrategica'!AC7=0,'Parte Estrategica'!AC7=""),0,IF(VLOOKUP($A7,'Matriz de Referencia'!$B$2:$CO$584,28,FALSE)=0,0,"Digite"))</f>
        <v>0</v>
      </c>
      <c r="V7" s="456">
        <f>IF(OR('Parte Estrategica'!AC7=0,'Parte Estrategica'!AC7=""),0,IF(VLOOKUP($A7,'Matriz de Referencia'!$B$2:$CO$584,29,FALSE)=0,0,"Digite"))</f>
        <v>0</v>
      </c>
      <c r="W7" s="456">
        <f>IF(OR('Parte Estrategica'!AC7=0,'Parte Estrategica'!AC7=""),0,IF(VLOOKUP($A7,'Matriz de Referencia'!$B$2:$CO$584,30,FALSE)=0,0,"Digite"))</f>
        <v>0</v>
      </c>
      <c r="X7" s="456">
        <f>IF(OR('Parte Estrategica'!AC7=0,'Parte Estrategica'!AC7=""),0,IF(VLOOKUP($A7,'Matriz de Referencia'!$B$2:$CO$584,31,FALSE)=0,0,"Digite"))</f>
        <v>0</v>
      </c>
      <c r="Y7" s="456">
        <f>IF(OR('Parte Estrategica'!AC7=0,'Parte Estrategica'!AC7=""),0,IF(VLOOKUP($A7,'Matriz de Referencia'!$B$2:$CO$584,32,FALSE)=0,0,"Digite"))</f>
        <v>0</v>
      </c>
      <c r="Z7" s="457">
        <f t="shared" si="3"/>
        <v>0</v>
      </c>
      <c r="AA7" s="456">
        <f>IF(OR('Parte Estrategica'!AC7=0,'Parte Estrategica'!AC7=""),0,IF(VLOOKUP($A7,'Matriz de Referencia'!$B$2:$CO$584,34,FALSE)=0,0,"Digite"))</f>
        <v>0</v>
      </c>
      <c r="AB7" s="456">
        <f>IF(OR('Parte Estrategica'!AC7=0,'Parte Estrategica'!AC7=""),0,IF(VLOOKUP($A7,'Matriz de Referencia'!$B$2:$CO$584,35,FALSE)=0,0,"Digite"))</f>
        <v>0</v>
      </c>
      <c r="AC7" s="456">
        <f>IF(OR('Parte Estrategica'!AC7=0,'Parte Estrategica'!AC7=""),0,IF(VLOOKUP($A7,'Matriz de Referencia'!$B$2:$CO$584,36,FALSE)=0,0,"Digite"))</f>
        <v>0</v>
      </c>
      <c r="AD7" s="457">
        <f t="shared" si="4"/>
        <v>0</v>
      </c>
      <c r="AE7" s="457">
        <f t="shared" si="5"/>
        <v>0</v>
      </c>
      <c r="AF7" s="455">
        <f>IF(OR('Parte Estrategica'!AD7=0,'Parte Estrategica'!AD7=""),0,IF(VLOOKUP($A7,'Matriz de Referencia'!$B$2:$CO$584,25,FALSE)=0,0,"Digite"))</f>
        <v>0</v>
      </c>
      <c r="AG7" s="456">
        <f>IF(OR('Parte Estrategica'!AD7=0,'Parte Estrategica'!AD7=""),0,IF(VLOOKUP($A7,'Matriz de Referencia'!$B$2:$CO$584,26,FALSE)=0,0,"Digite"))</f>
        <v>0</v>
      </c>
      <c r="AH7" s="456">
        <f>IF(OR('Parte Estrategica'!AD7=0,'Parte Estrategica'!AD7=""),0,IF(VLOOKUP($A7,'Matriz de Referencia'!$B$2:$CO$584,27,FALSE)=0,0,"Digite"))</f>
        <v>0</v>
      </c>
      <c r="AI7" s="456">
        <f>IF(OR('Parte Estrategica'!AD7=0,'Parte Estrategica'!AD7=""),0,IF(VLOOKUP($A7,'Matriz de Referencia'!$B$2:$CO$584,28,FALSE)=0,0,"Digite"))</f>
        <v>0</v>
      </c>
      <c r="AJ7" s="456">
        <f>IF(OR('Parte Estrategica'!AD7=0,'Parte Estrategica'!AD7=""),0,IF(VLOOKUP($A7,'Matriz de Referencia'!$B$2:$CO$584,29,FALSE)=0,0,"Digite"))</f>
        <v>0</v>
      </c>
      <c r="AK7" s="456">
        <f>IF(OR('Parte Estrategica'!AD7=0,'Parte Estrategica'!AD7=""),0,IF(VLOOKUP($A7,'Matriz de Referencia'!$B$2:$CO$584,30,FALSE)=0,0,"Digite"))</f>
        <v>0</v>
      </c>
      <c r="AL7" s="456">
        <f>IF(OR('Parte Estrategica'!AD7=0,'Parte Estrategica'!AD7=""),0,IF(VLOOKUP($A7,'Matriz de Referencia'!$B$2:$CO$584,31,FALSE)=0,0,"Digite"))</f>
        <v>0</v>
      </c>
      <c r="AM7" s="456">
        <f>IF(OR('Parte Estrategica'!AD7=0,'Parte Estrategica'!AD7=""),0,IF(VLOOKUP($A7,'Matriz de Referencia'!$B$2:$CO$584,32,FALSE)=0,0,"Digite"))</f>
        <v>0</v>
      </c>
      <c r="AN7" s="457">
        <f t="shared" si="6"/>
        <v>0</v>
      </c>
      <c r="AO7" s="456">
        <f>IF(OR('Parte Estrategica'!AD7=0,'Parte Estrategica'!AD7=""),0,IF(VLOOKUP($A7,'Matriz de Referencia'!$B$2:$CO$584,34,FALSE)=0,0,"Digite"))</f>
        <v>0</v>
      </c>
      <c r="AP7" s="456">
        <f>IF(OR('Parte Estrategica'!AD7=0,'Parte Estrategica'!AD7=""),0,IF(VLOOKUP($A7,'Matriz de Referencia'!$B$2:$CO$584,35,FALSE)=0,0,"Digite"))</f>
        <v>0</v>
      </c>
      <c r="AQ7" s="456">
        <f>IF(OR('Parte Estrategica'!AD7=0,'Parte Estrategica'!AD7=""),0,IF(VLOOKUP($A7,'Matriz de Referencia'!$B$2:$CO$584,36,FALSE)=0,0,"Digite"))</f>
        <v>0</v>
      </c>
      <c r="AR7" s="457">
        <f t="shared" si="7"/>
        <v>0</v>
      </c>
      <c r="AS7" s="457">
        <f t="shared" si="8"/>
        <v>0</v>
      </c>
      <c r="AT7" s="455">
        <f>IF(OR('Parte Estrategica'!AE7=0,'Parte Estrategica'!AE7=""),0,IF(VLOOKUP($A7,'Matriz de Referencia'!$B$2:$CO$584,25,FALSE)=0,0,"Digite"))</f>
        <v>0</v>
      </c>
      <c r="AU7" s="456">
        <f>IF(OR('Parte Estrategica'!AE7=0,'Parte Estrategica'!AE7=""),0,IF(VLOOKUP($A7,'Matriz de Referencia'!$B$2:$CO$584,26,FALSE)=0,0,"Digite"))</f>
        <v>0</v>
      </c>
      <c r="AV7" s="456">
        <f>IF(OR('Parte Estrategica'!AE7=0,'Parte Estrategica'!AE7=""),0,IF(VLOOKUP($A7,'Matriz de Referencia'!$B$2:$CO$584,27,FALSE)=0,0,"Digite"))</f>
        <v>0</v>
      </c>
      <c r="AW7" s="456">
        <f>IF(OR('Parte Estrategica'!AE7=0,'Parte Estrategica'!AE7=""),0,IF(VLOOKUP($A7,'Matriz de Referencia'!$B$2:$CO$584,28,FALSE)=0,0,"Digite"))</f>
        <v>0</v>
      </c>
      <c r="AX7" s="456">
        <f>IF(OR('Parte Estrategica'!AE7=0,'Parte Estrategica'!AE7=""),0,IF(VLOOKUP($A7,'Matriz de Referencia'!$B$2:$CO$584,29,FALSE)=0,0,"Digite"))</f>
        <v>0</v>
      </c>
      <c r="AY7" s="456">
        <f>IF(OR('Parte Estrategica'!AE7=0,'Parte Estrategica'!AE7=""),0,IF(VLOOKUP($A7,'Matriz de Referencia'!$B$2:$CO$584,30,FALSE)=0,0,"Digite"))</f>
        <v>0</v>
      </c>
      <c r="AZ7" s="456">
        <f>IF(OR('Parte Estrategica'!AE7=0,'Parte Estrategica'!AE7=""),0,IF(VLOOKUP($A7,'Matriz de Referencia'!$B$2:$CO$584,31,FALSE)=0,0,"Digite"))</f>
        <v>0</v>
      </c>
      <c r="BA7" s="456">
        <f>IF(OR('Parte Estrategica'!AE7=0,'Parte Estrategica'!AE7=""),0,IF(VLOOKUP($A7,'Matriz de Referencia'!$B$2:$CO$584,32,FALSE)=0,0,"Digite"))</f>
        <v>0</v>
      </c>
      <c r="BB7" s="457">
        <f t="shared" si="9"/>
        <v>0</v>
      </c>
      <c r="BC7" s="456">
        <f>IF(OR('Parte Estrategica'!AE7=0,'Parte Estrategica'!AE7=""),0,IF(VLOOKUP($A7,'Matriz de Referencia'!$B$2:$CO$584,34,FALSE)=0,0,"Digite"))</f>
        <v>0</v>
      </c>
      <c r="BD7" s="456">
        <f>IF(OR('Parte Estrategica'!AE7=0,'Parte Estrategica'!AE7=""),0,IF(VLOOKUP($A7,'Matriz de Referencia'!$B$2:$CO$584,35,FALSE)=0,0,"Digite"))</f>
        <v>0</v>
      </c>
      <c r="BE7" s="456">
        <f>IF(OR('Parte Estrategica'!AE7=0,'Parte Estrategica'!AE7=""),0,IF(VLOOKUP($A7,'Matriz de Referencia'!$B$2:$CO$584,36,FALSE)=0,0,"Digite"))</f>
        <v>0</v>
      </c>
      <c r="BF7" s="457">
        <f t="shared" si="10"/>
        <v>0</v>
      </c>
      <c r="BG7" s="457">
        <f t="shared" si="11"/>
        <v>0</v>
      </c>
      <c r="BH7" s="457">
        <f t="shared" si="12"/>
        <v>0</v>
      </c>
      <c r="BI7" s="101" t="str">
        <f>IFERROR(IF(BH7=0,"",IF(VLOOKUP($A7,'Matriz de Referencia'!$B$2:$CO$584,'Matriz de Referencia'!AM$1,FALSE)=BH7,"Techos ok, cotinue","Debe revisar el valor programado")),"")</f>
        <v/>
      </c>
      <c r="BJ7" s="453">
        <f>IF(OR('Parte Estrategica'!AH7=0,'Parte Estrategica'!AH7=""),0,IF(VLOOKUP($A7,'Matriz de Referencia'!$B$2:$CO$584,39,FALSE)=0,0,"Digite"))</f>
        <v>0</v>
      </c>
      <c r="BK7" s="454">
        <f>IF(OR('Parte Estrategica'!AH7=0,'Parte Estrategica'!AH7=""),0,IF(VLOOKUP($A7,'Matriz de Referencia'!$B$2:$CO$584,40,FALSE)=0,0,"Digite"))</f>
        <v>0</v>
      </c>
      <c r="BL7" s="454">
        <f>IF(OR('Parte Estrategica'!AH7=0,'Parte Estrategica'!AH7=""),0,IF(VLOOKUP($A7,'Matriz de Referencia'!$B$2:$CO$584,41,FALSE)=0,0,"Digite"))</f>
        <v>0</v>
      </c>
      <c r="BM7" s="454">
        <f>IF(OR('Parte Estrategica'!AH7=0,'Parte Estrategica'!AH7=""),0,IF(VLOOKUP($A7,'Matriz de Referencia'!$B$2:$CO$584,42,FALSE)=0,0,"Digite"))</f>
        <v>0</v>
      </c>
      <c r="BN7" s="454">
        <f>IF(OR('Parte Estrategica'!AH7=0,'Parte Estrategica'!AH7=""),0,IF(VLOOKUP($A7,'Matriz de Referencia'!$B$2:$CO$584,43,FALSE)=0,0,"Digite"))</f>
        <v>0</v>
      </c>
      <c r="BO7" s="454">
        <f>IF(OR('Parte Estrategica'!AH7=0,'Parte Estrategica'!AH7=""),0,IF(VLOOKUP($A7,'Matriz de Referencia'!$B$2:$CO$584,44,FALSE)=0,0,"Digite"))</f>
        <v>0</v>
      </c>
      <c r="BP7" s="454">
        <f>IF(OR('Parte Estrategica'!AH7=0,'Parte Estrategica'!AH7=""),0,IF(VLOOKUP($A7,'Matriz de Referencia'!$B$2:$CO$584,45,FALSE)=0,0,"Digite"))</f>
        <v>0</v>
      </c>
      <c r="BQ7" s="454">
        <f>IF(OR('Parte Estrategica'!AH7=0,'Parte Estrategica'!AH7=""),0,IF(VLOOKUP($A7,'Matriz de Referencia'!$B$2:$CO$584,46,FALSE)=0,0,"Digite"))</f>
        <v>0</v>
      </c>
      <c r="BR7" s="382">
        <f t="shared" si="13"/>
        <v>0</v>
      </c>
      <c r="BS7" s="454">
        <f>IF(OR('Parte Estrategica'!CL7=0,'Parte Estrategica'!CL7=""),0,IF(VLOOKUP($A7,'Matriz de Referencia'!$B$2:$CO$584,48,FALSE)=0,0,"Digite"))</f>
        <v>0</v>
      </c>
      <c r="BT7" s="454">
        <f>IF(OR('Parte Estrategica'!CL7=0,'Parte Estrategica'!CL7=""),0,IF(VLOOKUP($A7,'Matriz de Referencia'!$B$2:$CO$584,49,FALSE)=0,0,"Digite"))</f>
        <v>0</v>
      </c>
      <c r="BU7" s="454">
        <f>IF(OR('Parte Estrategica'!CL7=0,'Parte Estrategica'!CL7=""),0,IF(VLOOKUP($A7,'Matriz de Referencia'!$B$2:$CO$584,50,FALSE)=0,0,"Digite"))</f>
        <v>0</v>
      </c>
      <c r="BV7" s="382">
        <f t="shared" si="14"/>
        <v>0</v>
      </c>
      <c r="BW7" s="382">
        <f t="shared" si="15"/>
        <v>0</v>
      </c>
      <c r="BX7" s="453">
        <f>IF(OR('Parte Estrategica'!AI7=0,'Parte Estrategica'!AI7=""),0,IF(VLOOKUP($A7,'Matriz de Referencia'!$B$2:$CO$584,39,FALSE)=0,0,"Digite"))</f>
        <v>0</v>
      </c>
      <c r="BY7" s="454">
        <f>IF(OR('Parte Estrategica'!AI7=0,'Parte Estrategica'!AI7=""),0,IF(VLOOKUP($A7,'Matriz de Referencia'!$B$2:$CO$584,40,FALSE)=0,0,"Digite"))</f>
        <v>0</v>
      </c>
      <c r="BZ7" s="454">
        <f>IF(OR('Parte Estrategica'!AI7=0,'Parte Estrategica'!AI7=""),0,IF(VLOOKUP($A7,'Matriz de Referencia'!$B$2:$CO$584,41,FALSE)=0,0,"Digite"))</f>
        <v>0</v>
      </c>
      <c r="CA7" s="454">
        <f>IF(OR('Parte Estrategica'!AI7=0,'Parte Estrategica'!AI7=""),0,IF(VLOOKUP($A7,'Matriz de Referencia'!$B$2:$CO$584,42,FALSE)=0,0,"Digite"))</f>
        <v>0</v>
      </c>
      <c r="CB7" s="454">
        <f>IF(OR('Parte Estrategica'!AI7=0,'Parte Estrategica'!AI7=""),0,IF(VLOOKUP($A7,'Matriz de Referencia'!$B$2:$CO$584,43,FALSE)=0,0,"Digite"))</f>
        <v>0</v>
      </c>
      <c r="CC7" s="454">
        <f>IF(OR('Parte Estrategica'!AI7=0,'Parte Estrategica'!AI7=""),0,IF(VLOOKUP($A7,'Matriz de Referencia'!$B$2:$CO$584,44,FALSE)=0,0,"Digite"))</f>
        <v>0</v>
      </c>
      <c r="CD7" s="454">
        <f>IF(OR('Parte Estrategica'!AI7=0,'Parte Estrategica'!AI7=""),0,IF(VLOOKUP($A7,'Matriz de Referencia'!$B$2:$CO$584,45,FALSE)=0,0,"Digite"))</f>
        <v>0</v>
      </c>
      <c r="CE7" s="454">
        <f>IF(OR('Parte Estrategica'!AI7=0,'Parte Estrategica'!AI7=""),0,IF(VLOOKUP($A7,'Matriz de Referencia'!$B$2:$CO$584,46,FALSE)=0,0,"Digite"))</f>
        <v>0</v>
      </c>
      <c r="CF7" s="382">
        <f t="shared" si="16"/>
        <v>0</v>
      </c>
      <c r="CG7" s="454">
        <f>IF(OR('Parte Estrategica'!AI7=0,'Parte Estrategica'!AI7=""),0,IF(VLOOKUP($A7,'Matriz de Referencia'!$B$2:$CO$584,48,FALSE)=0,0,"Digite"))</f>
        <v>0</v>
      </c>
      <c r="CH7" s="454">
        <f>IF(OR('Parte Estrategica'!AI7=0,'Parte Estrategica'!AI7=""),0,IF(VLOOKUP($A7,'Matriz de Referencia'!$B$2:$CO$584,49,FALSE)=0,0,"Digite"))</f>
        <v>0</v>
      </c>
      <c r="CI7" s="454">
        <f>IF(OR('Parte Estrategica'!AI7=0,'Parte Estrategica'!AI7=""),0,IF(VLOOKUP($A7,'Matriz de Referencia'!$B$2:$CO$584,50,FALSE)=0,0,"Digite"))</f>
        <v>0</v>
      </c>
      <c r="CJ7" s="382">
        <f t="shared" si="17"/>
        <v>0</v>
      </c>
      <c r="CK7" s="382">
        <f t="shared" si="18"/>
        <v>0</v>
      </c>
      <c r="CL7" s="453">
        <f>IF(OR('Parte Estrategica'!AJ7=0,'Parte Estrategica'!AJ7=""),0,IF(VLOOKUP($A7,'Matriz de Referencia'!$B$2:$CO$584,39,FALSE)=0,0,"Digite"))</f>
        <v>0</v>
      </c>
      <c r="CM7" s="454">
        <f>IF(OR('Parte Estrategica'!AJ7=0,'Parte Estrategica'!AJ7=""),0,IF(VLOOKUP($A7,'Matriz de Referencia'!$B$2:$CO$584,40,FALSE)=0,0,"Digite"))</f>
        <v>0</v>
      </c>
      <c r="CN7" s="454">
        <f>IF(OR('Parte Estrategica'!AJ7=0,'Parte Estrategica'!AJ7=""),0,IF(VLOOKUP($A7,'Matriz de Referencia'!$B$2:$CO$584,41,FALSE)=0,0,"Digite"))</f>
        <v>0</v>
      </c>
      <c r="CO7" s="454">
        <f>IF(OR('Parte Estrategica'!AJ7=0,'Parte Estrategica'!AJ7=""),0,IF(VLOOKUP($A7,'Matriz de Referencia'!$B$2:$CO$584,42,FALSE)=0,0,"Digite"))</f>
        <v>0</v>
      </c>
      <c r="CP7" s="454">
        <f>IF(OR('Parte Estrategica'!AJ7=0,'Parte Estrategica'!AJ7=""),0,IF(VLOOKUP($A7,'Matriz de Referencia'!$B$2:$CO$584,43,FALSE)=0,0,"Digite"))</f>
        <v>0</v>
      </c>
      <c r="CQ7" s="454">
        <f>IF(OR('Parte Estrategica'!AJ7=0,'Parte Estrategica'!AJ7=""),0,IF(VLOOKUP($A7,'Matriz de Referencia'!$B$2:$CO$584,44,FALSE)=0,0,"Digite"))</f>
        <v>0</v>
      </c>
      <c r="CR7" s="454">
        <f>IF(OR('Parte Estrategica'!AJ7=0,'Parte Estrategica'!AJ7=""),0,IF(VLOOKUP($A7,'Matriz de Referencia'!$B$2:$CO$584,45,FALSE)=0,0,"Digite"))</f>
        <v>0</v>
      </c>
      <c r="CS7" s="454">
        <f>IF(OR('Parte Estrategica'!AJ7=0,'Parte Estrategica'!AJ7=""),0,IF(VLOOKUP($A7,'Matriz de Referencia'!$B$2:$CO$584,46,FALSE)=0,0,"Digite"))</f>
        <v>0</v>
      </c>
      <c r="CT7" s="382">
        <f t="shared" si="19"/>
        <v>0</v>
      </c>
      <c r="CU7" s="454">
        <f>IF(OR('Parte Estrategica'!AJ7=0,'Parte Estrategica'!AJ7=""),0,IF(VLOOKUP($A7,'Matriz de Referencia'!$B$2:$CO$584,48,FALSE)=0,0,"Digite"))</f>
        <v>0</v>
      </c>
      <c r="CV7" s="454">
        <f>IF(OR('Parte Estrategica'!AJ7=0,'Parte Estrategica'!AJ7=""),0,IF(VLOOKUP($A7,'Matriz de Referencia'!$B$2:$CO$584,49,FALSE)=0,0,"Digite"))</f>
        <v>0</v>
      </c>
      <c r="CW7" s="454">
        <f>IF(OR('Parte Estrategica'!AJ7=0,'Parte Estrategica'!AJ7=""),0,IF(VLOOKUP($A7,'Matriz de Referencia'!$B$2:$CO$584,50,FALSE)=0,0,"Digite"))</f>
        <v>0</v>
      </c>
      <c r="CX7" s="382">
        <f t="shared" si="20"/>
        <v>0</v>
      </c>
      <c r="CY7" s="382">
        <f t="shared" si="21"/>
        <v>0</v>
      </c>
      <c r="CZ7" s="453">
        <f>IF(OR('Parte Estrategica'!AK7=0,'Parte Estrategica'!AK7=""),0,IF(VLOOKUP($A7,'Matriz de Referencia'!$B$2:$CO$584,39,FALSE)=0,0,"Digite"))</f>
        <v>0</v>
      </c>
      <c r="DA7" s="454">
        <f>IF(OR('Parte Estrategica'!AK7=0,'Parte Estrategica'!AK7=""),0,IF(VLOOKUP($A7,'Matriz de Referencia'!$B$2:$CO$584,40,FALSE)=0,0,"Digite"))</f>
        <v>0</v>
      </c>
      <c r="DB7" s="454">
        <f>IF(OR('Parte Estrategica'!AK7=0,'Parte Estrategica'!AK7=""),0,IF(VLOOKUP($A7,'Matriz de Referencia'!$B$2:$CO$584,41,FALSE)=0,0,"Digite"))</f>
        <v>0</v>
      </c>
      <c r="DC7" s="454">
        <f>IF(OR('Parte Estrategica'!AK7=0,'Parte Estrategica'!AK7=""),0,IF(VLOOKUP($A7,'Matriz de Referencia'!$B$2:$CO$584,42,FALSE)=0,0,"Digite"))</f>
        <v>0</v>
      </c>
      <c r="DD7" s="454">
        <f>IF(OR('Parte Estrategica'!AK7=0,'Parte Estrategica'!AK7=""),0,IF(VLOOKUP($A7,'Matriz de Referencia'!$B$2:$CO$584,43,FALSE)=0,0,"Digite"))</f>
        <v>0</v>
      </c>
      <c r="DE7" s="454">
        <f>IF(OR('Parte Estrategica'!AK7=0,'Parte Estrategica'!AK7=""),0,IF(VLOOKUP($A7,'Matriz de Referencia'!$B$2:$CO$584,44,FALSE)=0,0,"Digite"))</f>
        <v>0</v>
      </c>
      <c r="DF7" s="454">
        <f>IF(OR('Parte Estrategica'!AK7=0,'Parte Estrategica'!AK7=""),0,IF(VLOOKUP($A7,'Matriz de Referencia'!$B$2:$CO$584,45,FALSE)=0,0,"Digite"))</f>
        <v>0</v>
      </c>
      <c r="DG7" s="454">
        <f>IF(OR('Parte Estrategica'!AK7=0,'Parte Estrategica'!AK7=""),0,IF(VLOOKUP($A7,'Matriz de Referencia'!$B$2:$CO$584,46,FALSE)=0,0,"Digite"))</f>
        <v>0</v>
      </c>
      <c r="DH7" s="382">
        <f t="shared" si="22"/>
        <v>0</v>
      </c>
      <c r="DI7" s="454">
        <f>IF(OR('Parte Estrategica'!AK7=0,'Parte Estrategica'!AK7=""),0,IF(VLOOKUP($A7,'Matriz de Referencia'!$B$2:$CO$584,48,FALSE)=0,0,"Digite"))</f>
        <v>0</v>
      </c>
      <c r="DJ7" s="454">
        <f>IF(OR('Parte Estrategica'!AK7=0,'Parte Estrategica'!AK7=""),0,IF(VLOOKUP($A7,'Matriz de Referencia'!$B$2:$CO$584,49,FALSE)=0,0,"Digite"))</f>
        <v>0</v>
      </c>
      <c r="DK7" s="454">
        <f>IF(OR('Parte Estrategica'!AK7=0,'Parte Estrategica'!AK7=""),0,IF(VLOOKUP($A7,'Matriz de Referencia'!$B$2:$CO$584,50,FALSE)=0,0,"Digite"))</f>
        <v>0</v>
      </c>
      <c r="DL7" s="382">
        <f t="shared" si="23"/>
        <v>0</v>
      </c>
      <c r="DM7" s="382">
        <f t="shared" si="24"/>
        <v>0</v>
      </c>
      <c r="DN7" s="382">
        <f t="shared" si="25"/>
        <v>0</v>
      </c>
      <c r="DO7" s="101" t="str">
        <f>IFERROR(IF(DN7=0,"",IF(VLOOKUP($A7,'Matriz de Referencia'!$B$2:$CO$584,52,FALSE)=DN7,"Techos ok, cotinue","Debe revisar el valor programado")),"")</f>
        <v/>
      </c>
      <c r="DP7" s="453">
        <f>IF(OR('Parte Estrategica'!AN7=0,'Parte Estrategica'!AN7=""),0,IF(VLOOKUP($A7,'Matriz de Referencia'!$B$2:$CO$584,53,FALSE)=0,0,"Digite"))</f>
        <v>0</v>
      </c>
      <c r="DQ7" s="454">
        <f>IF(OR('Parte Estrategica'!AN7=0,'Parte Estrategica'!AN7=""),0,IF(VLOOKUP($A7,'Matriz de Referencia'!$B$2:$CO$584,54,FALSE)=0,0,"Digite"))</f>
        <v>0</v>
      </c>
      <c r="DR7" s="454">
        <f>IF(OR('Parte Estrategica'!AN7=0,'Parte Estrategica'!AN7=""),0,IF(VLOOKUP($A7,'Matriz de Referencia'!$B$2:$CO$584,55,FALSE)=0,0,"Digite"))</f>
        <v>0</v>
      </c>
      <c r="DS7" s="454">
        <f>IF(OR('Parte Estrategica'!AN7=0,'Parte Estrategica'!AN7=""),0,IF(VLOOKUP($A7,'Matriz de Referencia'!$B$2:$CO$584,56,FALSE)=0,0,"Digite"))</f>
        <v>0</v>
      </c>
      <c r="DT7" s="454">
        <f>IF(OR('Parte Estrategica'!AN7=0,'Parte Estrategica'!AN7=""),0,IF(VLOOKUP($A7,'Matriz de Referencia'!$B$2:$CO$584,57,FALSE)=0,0,"Digite"))</f>
        <v>0</v>
      </c>
      <c r="DU7" s="454">
        <f>IF(OR('Parte Estrategica'!AN7=0,'Parte Estrategica'!AN7=""),0,IF(VLOOKUP($A7,'Matriz de Referencia'!$B$2:$CO$584,58,FALSE)=0,0,"Digite"))</f>
        <v>0</v>
      </c>
      <c r="DV7" s="454">
        <f>IF(OR('Parte Estrategica'!AN7=0,'Parte Estrategica'!AN7=""),0,IF(VLOOKUP($A7,'Matriz de Referencia'!$B$2:$CO$584,59,FALSE)=0,0,"Digite"))</f>
        <v>0</v>
      </c>
      <c r="DW7" s="454">
        <f>IF(OR('Parte Estrategica'!AN7=0,'Parte Estrategica'!AN7=""),0,IF(VLOOKUP($A7,'Matriz de Referencia'!$B$2:$CO$584,60,FALSE)=0,0,"Digite"))</f>
        <v>0</v>
      </c>
      <c r="DX7" s="382">
        <f t="shared" si="26"/>
        <v>0</v>
      </c>
      <c r="DY7" s="454">
        <f>IF(OR('Parte Estrategica'!AN7=0,'Parte Estrategica'!AN7=""),0,IF(VLOOKUP($A7,'Matriz de Referencia'!$B$2:$CO$584,62,FALSE)=0,0,"Digite"))</f>
        <v>0</v>
      </c>
      <c r="DZ7" s="454">
        <f>IF(OR('Parte Estrategica'!AN7=0,'Parte Estrategica'!AN7=""),0,IF(VLOOKUP($A7,'Matriz de Referencia'!$B$2:$CO$584,63,FALSE)=0,0,"Digite"))</f>
        <v>0</v>
      </c>
      <c r="EA7" s="454" t="str">
        <f>IF(OR('Parte Estrategica'!AN7=0,'Parte Estrategica'!AN7=""),"",IF(VLOOKUP($A7,'Matriz de Referencia'!$B$2:$CO$584,64,FALSE)=0,"","Digite"))</f>
        <v/>
      </c>
      <c r="EB7" s="382">
        <f t="shared" si="27"/>
        <v>0</v>
      </c>
      <c r="EC7" s="382">
        <f t="shared" si="28"/>
        <v>0</v>
      </c>
      <c r="ED7" s="453">
        <f>IF(OR('Parte Estrategica'!AO7=0,'Parte Estrategica'!AO7=""),0,IF(VLOOKUP($A7,'Matriz de Referencia'!$B$2:$CO$584,53,FALSE)=0,0,"Digite"))</f>
        <v>0</v>
      </c>
      <c r="EE7" s="454">
        <f>IF(OR('Parte Estrategica'!AO7=0,'Parte Estrategica'!AO7=""),0,IF(VLOOKUP($A7,'Matriz de Referencia'!$B$2:$CO$584,54,FALSE)=0,0,"Digite"))</f>
        <v>0</v>
      </c>
      <c r="EF7" s="454">
        <f>IF(OR('Parte Estrategica'!AO7=0,'Parte Estrategica'!AO7=""),0,IF(VLOOKUP($A7,'Matriz de Referencia'!$B$2:$CO$584,55,FALSE)=0,0,"Digite"))</f>
        <v>0</v>
      </c>
      <c r="EG7" s="454">
        <f>IF(OR('Parte Estrategica'!AO7=0,'Parte Estrategica'!AO7=""),0,IF(VLOOKUP($A7,'Matriz de Referencia'!$B$2:$CO$584,56,FALSE)=0,0,"Digite"))</f>
        <v>0</v>
      </c>
      <c r="EH7" s="454">
        <f>IF(OR('Parte Estrategica'!AO7=0,'Parte Estrategica'!AO7=""),0,IF(VLOOKUP($A7,'Matriz de Referencia'!$B$2:$CO$584,57,FALSE)=0,0,"Digite"))</f>
        <v>0</v>
      </c>
      <c r="EI7" s="454">
        <f>IF(OR('Parte Estrategica'!AO7=0,'Parte Estrategica'!AO7=""),0,IF(VLOOKUP($A7,'Matriz de Referencia'!$B$2:$CO$584,58,FALSE)=0,0,"Digite"))</f>
        <v>0</v>
      </c>
      <c r="EJ7" s="454">
        <f>IF(OR('Parte Estrategica'!AO7=0,'Parte Estrategica'!AO7=""),0,IF(VLOOKUP($A7,'Matriz de Referencia'!$B$2:$CO$584,59,FALSE)=0,0,"Digite"))</f>
        <v>0</v>
      </c>
      <c r="EK7" s="454">
        <f>IF(OR('Parte Estrategica'!AO7=0,'Parte Estrategica'!AO7=""),0,IF(VLOOKUP($A7,'Matriz de Referencia'!$B$2:$CO$584,60,FALSE)=0,0,"Digite"))</f>
        <v>0</v>
      </c>
      <c r="EL7" s="382">
        <f t="shared" si="29"/>
        <v>0</v>
      </c>
      <c r="EM7" s="454">
        <f>IF(OR('Parte Estrategica'!AO7=0,'Parte Estrategica'!AO7=""),0,IF(VLOOKUP($A7,'Matriz de Referencia'!$B$2:$CO$584,62,FALSE)=0,0,"Digite"))</f>
        <v>0</v>
      </c>
      <c r="EN7" s="454">
        <f>IF(OR('Parte Estrategica'!AO7=0,'Parte Estrategica'!AO7=""),0,IF(VLOOKUP($A7,'Matriz de Referencia'!$B$2:$CO$584,63,FALSE)=0,0,"Digite"))</f>
        <v>0</v>
      </c>
      <c r="EO7" s="454">
        <f>IF(OR('Parte Estrategica'!AO7=0,'Parte Estrategica'!AO7=""),0,IF(VLOOKUP($A7,'Matriz de Referencia'!$B$2:$CO$584,64,FALSE)=0,0,"Digite"))</f>
        <v>0</v>
      </c>
      <c r="EP7" s="382">
        <f t="shared" si="30"/>
        <v>0</v>
      </c>
      <c r="EQ7" s="382">
        <f t="shared" si="31"/>
        <v>0</v>
      </c>
      <c r="ER7" s="453">
        <f>IF(OR('Parte Estrategica'!AP7=0,'Parte Estrategica'!AP7=""),0,IF(VLOOKUP($A7,'Matriz de Referencia'!$B$2:$CO$584,53,FALSE)=0,0,"Digite"))</f>
        <v>0</v>
      </c>
      <c r="ES7" s="454">
        <f>IF(OR('Parte Estrategica'!AP7=0,'Parte Estrategica'!AP7=""),0,IF(VLOOKUP($A7,'Matriz de Referencia'!$B$2:$CO$584,54,FALSE)=0,0,"Digite"))</f>
        <v>0</v>
      </c>
      <c r="ET7" s="454">
        <f>IF(OR('Parte Estrategica'!AP7=0,'Parte Estrategica'!AP7=""),0,IF(VLOOKUP($A7,'Matriz de Referencia'!$B$2:$CO$584,55,FALSE)=0,0,"Digite"))</f>
        <v>0</v>
      </c>
      <c r="EU7" s="454">
        <f>IF(OR('Parte Estrategica'!AP7=0,'Parte Estrategica'!AP7=""),0,IF(VLOOKUP($A7,'Matriz de Referencia'!$B$2:$CO$584,56,FALSE)=0,0,"Digite"))</f>
        <v>0</v>
      </c>
      <c r="EV7" s="454">
        <f>IF(OR('Parte Estrategica'!AP7=0,'Parte Estrategica'!AP7=""),0,IF(VLOOKUP($A7,'Matriz de Referencia'!$B$2:$CO$584,57,FALSE)=0,0,"Digite"))</f>
        <v>0</v>
      </c>
      <c r="EW7" s="454">
        <f>IF(OR('Parte Estrategica'!AP7=0,'Parte Estrategica'!AP7=""),0,IF(VLOOKUP($A7,'Matriz de Referencia'!$B$2:$CO$584,58,FALSE)=0,0,"Digite"))</f>
        <v>0</v>
      </c>
      <c r="EX7" s="454">
        <f>IF(OR('Parte Estrategica'!AP7=0,'Parte Estrategica'!AP7=""),0,IF(VLOOKUP($A7,'Matriz de Referencia'!$B$2:$CO$584,59,FALSE)=0,0,"Digite"))</f>
        <v>0</v>
      </c>
      <c r="EY7" s="454">
        <f>IF(OR('Parte Estrategica'!AP7=0,'Parte Estrategica'!AP7=""),0,IF(VLOOKUP($A7,'Matriz de Referencia'!$B$2:$CO$584,60,FALSE)=0,0,"Digite"))</f>
        <v>0</v>
      </c>
      <c r="EZ7" s="382">
        <f t="shared" si="32"/>
        <v>0</v>
      </c>
      <c r="FA7" s="454">
        <f>IF(OR('Parte Estrategica'!AP7=0,'Parte Estrategica'!AP7=""),0,IF(VLOOKUP($A7,'Matriz de Referencia'!$B$2:$CO$584,62,FALSE)=0,0,"Digite"))</f>
        <v>0</v>
      </c>
      <c r="FB7" s="454">
        <f>IF(OR('Parte Estrategica'!AP7=0,'Parte Estrategica'!AP7=""),0,IF(VLOOKUP($A7,'Matriz de Referencia'!$B$2:$CO$584,63,FALSE)=0,0,"Digite"))</f>
        <v>0</v>
      </c>
      <c r="FC7" s="454">
        <f>IF(OR('Parte Estrategica'!AP7=0,'Parte Estrategica'!AP7=""),0,IF(VLOOKUP($A7,'Matriz de Referencia'!$B$2:$CO$584,64,FALSE)=0,0,"Digite"))</f>
        <v>0</v>
      </c>
      <c r="FD7" s="382">
        <f t="shared" si="33"/>
        <v>0</v>
      </c>
      <c r="FE7" s="382">
        <f t="shared" si="34"/>
        <v>0</v>
      </c>
      <c r="FF7" s="453">
        <f>IF(OR('Parte Estrategica'!AQ7=0,'Parte Estrategica'!AQ7=""),0,IF(VLOOKUP($A7,'Matriz de Referencia'!$B$2:$CO$584,53,FALSE)=0,0,"Digite"))</f>
        <v>0</v>
      </c>
      <c r="FG7" s="454">
        <f>IF(OR('Parte Estrategica'!AQ7=0,'Parte Estrategica'!AQ7=""),0,IF(VLOOKUP($A7,'Matriz de Referencia'!$B$2:$CO$584,54,FALSE)=0,0,"Digite"))</f>
        <v>0</v>
      </c>
      <c r="FH7" s="454">
        <f>IF(OR('Parte Estrategica'!AQ7=0,'Parte Estrategica'!AQ7=""),0,IF(VLOOKUP($A7,'Matriz de Referencia'!$B$2:$CO$584,55,FALSE)=0,0,"Digite"))</f>
        <v>0</v>
      </c>
      <c r="FI7" s="454">
        <f>IF(OR('Parte Estrategica'!AQ7=0,'Parte Estrategica'!AQ7=""),0,IF(VLOOKUP($A7,'Matriz de Referencia'!$B$2:$CO$584,56,FALSE)=0,0,"Digite"))</f>
        <v>0</v>
      </c>
      <c r="FJ7" s="454">
        <f>IF(OR('Parte Estrategica'!AQ7=0,'Parte Estrategica'!AQ7=""),0,IF(VLOOKUP($A7,'Matriz de Referencia'!$B$2:$CO$584,57,FALSE)=0,0,"Digite"))</f>
        <v>0</v>
      </c>
      <c r="FK7" s="454">
        <f>IF(OR('Parte Estrategica'!AQ7=0,'Parte Estrategica'!AQ7=""),0,IF(VLOOKUP($A7,'Matriz de Referencia'!$B$2:$CO$584,58,FALSE)=0,0,"Digite"))</f>
        <v>0</v>
      </c>
      <c r="FL7" s="454">
        <f>IF(OR('Parte Estrategica'!AQ7=0,'Parte Estrategica'!AQ7=""),0,IF(VLOOKUP($A7,'Matriz de Referencia'!$B$2:$CO$584,59,FALSE)=0,0,"Digite"))</f>
        <v>0</v>
      </c>
      <c r="FM7" s="454">
        <f>IF(OR('Parte Estrategica'!AQ7=0,'Parte Estrategica'!AQ7=""),0,IF(VLOOKUP($A7,'Matriz de Referencia'!$B$2:$CO$584,60,FALSE)=0,0,"Digite"))</f>
        <v>0</v>
      </c>
      <c r="FN7" s="382">
        <f t="shared" si="35"/>
        <v>0</v>
      </c>
      <c r="FO7" s="454">
        <f>IF(OR('Parte Estrategica'!AQ7=0,'Parte Estrategica'!AQ7=""),0,IF(VLOOKUP($A7,'Matriz de Referencia'!$B$2:$CO$584,62,FALSE)=0,0,"Digite"))</f>
        <v>0</v>
      </c>
      <c r="FP7" s="454">
        <f>IF(OR('Parte Estrategica'!AQ7=0,'Parte Estrategica'!AQ7=""),0,IF(VLOOKUP($A7,'Matriz de Referencia'!$B$2:$CO$584,63,FALSE)=0,0,"Digite"))</f>
        <v>0</v>
      </c>
      <c r="FQ7" s="454">
        <f>IF(OR('Parte Estrategica'!AQ7=0,'Parte Estrategica'!AQ7=""),0,IF(VLOOKUP($A7,'Matriz de Referencia'!$B$2:$CO$584,64,FALSE)=0,0,"Digite"))</f>
        <v>0</v>
      </c>
      <c r="FR7" s="382">
        <f t="shared" si="36"/>
        <v>0</v>
      </c>
      <c r="FS7" s="382">
        <f t="shared" si="37"/>
        <v>0</v>
      </c>
      <c r="FT7" s="382">
        <f t="shared" si="38"/>
        <v>0</v>
      </c>
      <c r="FU7" s="101" t="str">
        <f>IFERROR(IF(FT7=0,"",IF(VLOOKUP($A7,'Matriz de Referencia'!$B$2:$CO$584,66,FALSE)=FT7,"Techos ok, cotinue","Debe revisar el valor programado")),"")</f>
        <v/>
      </c>
      <c r="FV7" s="453">
        <f>IF(OR('Parte Estrategica'!AT7=0,'Parte Estrategica'!AT7=""),0,IF(VLOOKUP($A7,'Matriz de Referencia'!$B$2:$CO$584,67,FALSE)=0,0,"Digite"))</f>
        <v>0</v>
      </c>
      <c r="FW7" s="454">
        <f>IF(OR('Parte Estrategica'!AT7=0,'Parte Estrategica'!AT7=""),0,IF(VLOOKUP($A7,'Matriz de Referencia'!$B$2:$CO$584,68,FALSE)=0,0,"Digite"))</f>
        <v>0</v>
      </c>
      <c r="FX7" s="454">
        <f>IF(OR('Parte Estrategica'!AT7=0,'Parte Estrategica'!AT7=""),0,IF(VLOOKUP($A7,'Matriz de Referencia'!$B$2:$CO$584,69,FALSE)=0,0,"Digite"))</f>
        <v>0</v>
      </c>
      <c r="FY7" s="454">
        <f>IF(OR('Parte Estrategica'!AT7=0,'Parte Estrategica'!AT7=""),0,IF(VLOOKUP($A7,'Matriz de Referencia'!$B$2:$CO$584,70,FALSE)=0,0,"Digite"))</f>
        <v>0</v>
      </c>
      <c r="FZ7" s="454">
        <f>IF(OR('Parte Estrategica'!AT7=0,'Parte Estrategica'!AT7=""),0,IF(VLOOKUP($A7,'Matriz de Referencia'!$B$2:$CO$584,71,FALSE)=0,0,"Digite"))</f>
        <v>0</v>
      </c>
      <c r="GA7" s="454">
        <f>IF(OR('Parte Estrategica'!AT7=0,'Parte Estrategica'!AT7=""),0,IF(VLOOKUP($A7,'Matriz de Referencia'!$B$2:$CO$584,72,FALSE)=0,0,"Digite"))</f>
        <v>0</v>
      </c>
      <c r="GB7" s="454">
        <f>IF(OR('Parte Estrategica'!AT7=0,'Parte Estrategica'!AT7=""),0,IF(VLOOKUP($A7,'Matriz de Referencia'!$B$2:$CO$584,73,FALSE)=0,0,"Digite"))</f>
        <v>0</v>
      </c>
      <c r="GC7" s="454">
        <f>IF(OR('Parte Estrategica'!AT7=0,'Parte Estrategica'!AT7=""),0,IF(VLOOKUP($A7,'Matriz de Referencia'!$B$2:$CO$584,74,FALSE)=0,0,"Digite"))</f>
        <v>0</v>
      </c>
      <c r="GD7" s="382">
        <f t="shared" si="39"/>
        <v>0</v>
      </c>
      <c r="GE7" s="454">
        <f>IF(OR('Parte Estrategica'!AT7=0,'Parte Estrategica'!AT7=""),0,IF(VLOOKUP($A7,'Matriz de Referencia'!$B$2:$CO$584,76,FALSE)=0,0,"Digite"))</f>
        <v>0</v>
      </c>
      <c r="GF7" s="454">
        <f>IF(OR('Parte Estrategica'!AT7=0,'Parte Estrategica'!AT7=""),0,IF(VLOOKUP($A7,'Matriz de Referencia'!$B$2:$CO$584,77,FALSE)=0,0,"Digite"))</f>
        <v>0</v>
      </c>
      <c r="GG7" s="454">
        <f>IF(OR('Parte Estrategica'!AT7=0,'Parte Estrategica'!AT7=""),0,IF(VLOOKUP($A7,'Matriz de Referencia'!$B$2:$CO$584,78,FALSE)=0,0,"Digite"))</f>
        <v>0</v>
      </c>
      <c r="GH7" s="382">
        <f t="shared" si="40"/>
        <v>0</v>
      </c>
      <c r="GI7" s="382">
        <f t="shared" si="41"/>
        <v>0</v>
      </c>
      <c r="GJ7" s="453">
        <f>IF(OR('Parte Estrategica'!AU7=0,'Parte Estrategica'!AU7=""),0,IF(VLOOKUP($A7,'Matriz de Referencia'!$B$2:$CO$584,67,FALSE)=0,0,"Digite"))</f>
        <v>0</v>
      </c>
      <c r="GK7" s="454">
        <f>IF(OR('Parte Estrategica'!AU7=0,'Parte Estrategica'!AU7=""),0,IF(VLOOKUP($A7,'Matriz de Referencia'!$B$2:$CO$584,68,FALSE)=0,0,"Digite"))</f>
        <v>0</v>
      </c>
      <c r="GL7" s="454">
        <f>IF(OR('Parte Estrategica'!AU7=0,'Parte Estrategica'!AU7=""),0,IF(VLOOKUP($A7,'Matriz de Referencia'!$B$2:$CO$584,69,FALSE)=0,0,"Digite"))</f>
        <v>0</v>
      </c>
      <c r="GM7" s="454">
        <f>IF(OR('Parte Estrategica'!AU7=0,'Parte Estrategica'!AU7=""),0,IF(VLOOKUP($A7,'Matriz de Referencia'!$B$2:$CO$584,70,FALSE)=0,0,"Digite"))</f>
        <v>0</v>
      </c>
      <c r="GN7" s="454">
        <f>IF(OR('Parte Estrategica'!AU7=0,'Parte Estrategica'!AU7=""),0,IF(VLOOKUP($A7,'Matriz de Referencia'!$B$2:$CO$584,71,FALSE)=0,0,"Digite"))</f>
        <v>0</v>
      </c>
      <c r="GO7" s="454">
        <f>IF(OR('Parte Estrategica'!AU7=0,'Parte Estrategica'!AU7=""),0,IF(VLOOKUP($A7,'Matriz de Referencia'!$B$2:$CO$584,72,FALSE)=0,0,"Digite"))</f>
        <v>0</v>
      </c>
      <c r="GP7" s="454">
        <f>IF(OR('Parte Estrategica'!AU7=0,'Parte Estrategica'!AU7=""),0,IF(VLOOKUP($A7,'Matriz de Referencia'!$B$2:$CO$584,73,FALSE)=0,0,"Digite"))</f>
        <v>0</v>
      </c>
      <c r="GQ7" s="454">
        <f>IF(OR('Parte Estrategica'!AU7=0,'Parte Estrategica'!AU7=""),0,IF(VLOOKUP($A7,'Matriz de Referencia'!$B$2:$CO$584,74,FALSE)=0,0,"Digite"))</f>
        <v>0</v>
      </c>
      <c r="GR7" s="382">
        <f t="shared" si="42"/>
        <v>0</v>
      </c>
      <c r="GS7" s="454">
        <f>IF(OR('Parte Estrategica'!AU7=0,'Parte Estrategica'!AU7=""),0,IF(VLOOKUP($A7,'Matriz de Referencia'!$B$2:$CO$584,76,FALSE)=0,0,"Digite"))</f>
        <v>0</v>
      </c>
      <c r="GT7" s="454">
        <f>IF(OR('Parte Estrategica'!AU7=0,'Parte Estrategica'!AU7=""),0,IF(VLOOKUP($A7,'Matriz de Referencia'!$B$2:$CO$584,77,FALSE)=0,0,"Digite"))</f>
        <v>0</v>
      </c>
      <c r="GU7" s="454">
        <f>IF(OR('Parte Estrategica'!AU7=0,'Parte Estrategica'!AU7=""),0,IF(VLOOKUP($A7,'Matriz de Referencia'!$B$2:$CO$584,78,FALSE)=0,0,"Digite"))</f>
        <v>0</v>
      </c>
      <c r="GV7" s="382">
        <f t="shared" si="43"/>
        <v>0</v>
      </c>
      <c r="GW7" s="382">
        <f t="shared" si="44"/>
        <v>0</v>
      </c>
      <c r="GX7" s="453">
        <f>IF(OR('Parte Estrategica'!AV7=0,'Parte Estrategica'!AV7=""),0,IF(VLOOKUP($A7,'Matriz de Referencia'!$B$2:$CO$584,67,FALSE)=0,0,"Digite"))</f>
        <v>0</v>
      </c>
      <c r="GY7" s="454">
        <f>IF(OR('Parte Estrategica'!AV7=0,'Parte Estrategica'!AV7=""),0,IF(VLOOKUP($A7,'Matriz de Referencia'!$B$2:$CO$584,68,FALSE)=0,0,"Digite"))</f>
        <v>0</v>
      </c>
      <c r="GZ7" s="454">
        <f>IF(OR('Parte Estrategica'!AV7=0,'Parte Estrategica'!AV7=""),0,IF(VLOOKUP($A7,'Matriz de Referencia'!$B$2:$CO$584,69,FALSE)=0,0,"Digite"))</f>
        <v>0</v>
      </c>
      <c r="HA7" s="454">
        <f>IF(OR('Parte Estrategica'!AV7=0,'Parte Estrategica'!AV7=""),0,IF(VLOOKUP($A7,'Matriz de Referencia'!$B$2:$CO$584,70,FALSE)=0,0,"Digite"))</f>
        <v>0</v>
      </c>
      <c r="HB7" s="454">
        <f>IF(OR('Parte Estrategica'!AV7=0,'Parte Estrategica'!AV7=""),0,IF(VLOOKUP($A7,'Matriz de Referencia'!$B$2:$CO$584,71,FALSE)=0,0,"Digite"))</f>
        <v>0</v>
      </c>
      <c r="HC7" s="454">
        <f>IF(OR('Parte Estrategica'!AV7=0,'Parte Estrategica'!AV7=""),0,IF(VLOOKUP($A7,'Matriz de Referencia'!$B$2:$CO$584,72,FALSE)=0,0,"Digite"))</f>
        <v>0</v>
      </c>
      <c r="HD7" s="454">
        <f>IF(OR('Parte Estrategica'!AV7=0,'Parte Estrategica'!AV7=""),0,IF(VLOOKUP($A7,'Matriz de Referencia'!$B$2:$CO$584,73,FALSE)=0,0,"Digite"))</f>
        <v>0</v>
      </c>
      <c r="HE7" s="454">
        <f>IF(OR('Parte Estrategica'!AV7=0,'Parte Estrategica'!AV7=""),0,IF(VLOOKUP($A7,'Matriz de Referencia'!$B$2:$CO$584,74,FALSE)=0,0,"Digite"))</f>
        <v>0</v>
      </c>
      <c r="HF7" s="382">
        <f t="shared" si="45"/>
        <v>0</v>
      </c>
      <c r="HG7" s="454">
        <f>IF(OR('Parte Estrategica'!AV7=0,'Parte Estrategica'!AV7=""),0,IF(VLOOKUP($A7,'Matriz de Referencia'!$B$2:$CO$584,76,FALSE)=0,0,"Digite"))</f>
        <v>0</v>
      </c>
      <c r="HH7" s="454">
        <f>IF(OR('Parte Estrategica'!AV7=0,'Parte Estrategica'!AV7=""),0,IF(VLOOKUP($A7,'Matriz de Referencia'!$B$2:$CO$584,77,FALSE)=0,0,"Digite"))</f>
        <v>0</v>
      </c>
      <c r="HI7" s="454">
        <f>IF(OR('Parte Estrategica'!AV7=0,'Parte Estrategica'!AV7=""),0,IF(VLOOKUP($A7,'Matriz de Referencia'!$B$2:$CO$584,78,FALSE)=0,0,"Digite"))</f>
        <v>0</v>
      </c>
      <c r="HJ7" s="382">
        <f t="shared" si="46"/>
        <v>0</v>
      </c>
      <c r="HK7" s="382">
        <f t="shared" si="47"/>
        <v>0</v>
      </c>
      <c r="HL7" s="453">
        <f>IF(OR('Parte Estrategica'!AW7=0,'Parte Estrategica'!AW7=""),0,IF(VLOOKUP($A7,'Matriz de Referencia'!$B$2:$CO$584,67,FALSE)=0,0,"Digite"))</f>
        <v>0</v>
      </c>
      <c r="HM7" s="454">
        <f>IF(OR('Parte Estrategica'!AW7=0,'Parte Estrategica'!AW7=""),0,IF(VLOOKUP($A7,'Matriz de Referencia'!$B$2:$CO$584,68,FALSE)=0,0,"Digite"))</f>
        <v>0</v>
      </c>
      <c r="HN7" s="454">
        <f>IF(OR('Parte Estrategica'!AW7=0,'Parte Estrategica'!AW7=""),0,IF(VLOOKUP($A7,'Matriz de Referencia'!$B$2:$CO$584,69,FALSE)=0,0,"Digite"))</f>
        <v>0</v>
      </c>
      <c r="HO7" s="454">
        <f>IF(OR('Parte Estrategica'!AW7=0,'Parte Estrategica'!AW7=""),0,IF(VLOOKUP($A7,'Matriz de Referencia'!$B$2:$CO$584,70,FALSE)=0,0,"Digite"))</f>
        <v>0</v>
      </c>
      <c r="HP7" s="454">
        <f>IF(OR('Parte Estrategica'!AW7=0,'Parte Estrategica'!AW7=""),0,IF(VLOOKUP($A7,'Matriz de Referencia'!$B$2:$CO$584,71,FALSE)=0,0,"Digite"))</f>
        <v>0</v>
      </c>
      <c r="HQ7" s="454">
        <f>IF(OR('Parte Estrategica'!AW7=0,'Parte Estrategica'!AW7=""),0,IF(VLOOKUP($A7,'Matriz de Referencia'!$B$2:$CO$584,72,FALSE)=0,0,"Digite"))</f>
        <v>0</v>
      </c>
      <c r="HR7" s="454">
        <f>IF(OR('Parte Estrategica'!AW7=0,'Parte Estrategica'!AW7=""),0,IF(VLOOKUP($A7,'Matriz de Referencia'!$B$2:$CO$584,73,FALSE)=0,0,"Digite"))</f>
        <v>0</v>
      </c>
      <c r="HS7" s="454">
        <f>IF(OR('Parte Estrategica'!AW7=0,'Parte Estrategica'!AW7=""),0,IF(VLOOKUP($A7,'Matriz de Referencia'!$B$2:$CO$584,74,FALSE)=0,0,"Digite"))</f>
        <v>0</v>
      </c>
      <c r="HT7" s="382">
        <f t="shared" si="48"/>
        <v>0</v>
      </c>
      <c r="HU7" s="454">
        <f>IF(OR('Parte Estrategica'!AW7=0,'Parte Estrategica'!AW7=""),0,IF(VLOOKUP($A7,'Matriz de Referencia'!$B$2:$CO$584,76,FALSE)=0,0,"Digite"))</f>
        <v>0</v>
      </c>
      <c r="HV7" s="454">
        <f>IF(OR('Parte Estrategica'!AW7=0,'Parte Estrategica'!AW7=""),0,IF(VLOOKUP($A7,'Matriz de Referencia'!$B$2:$CO$584,77,FALSE)=0,0,"Digite"))</f>
        <v>0</v>
      </c>
      <c r="HW7" s="454">
        <f>IF(OR('Parte Estrategica'!AW7=0,'Parte Estrategica'!AW7=""),0,IF(VLOOKUP($A7,'Matriz de Referencia'!$B$2:$CO$584,78,FALSE)=0,0,"Digite"))</f>
        <v>0</v>
      </c>
      <c r="HX7" s="382">
        <f t="shared" si="49"/>
        <v>0</v>
      </c>
      <c r="HY7" s="382">
        <f t="shared" si="50"/>
        <v>0</v>
      </c>
      <c r="HZ7" s="382">
        <f t="shared" si="51"/>
        <v>0</v>
      </c>
      <c r="IA7" s="101" t="str">
        <f>IFERROR(IF(HZ7=0,"",IF(VLOOKUP($A7,'Matriz de Referencia'!$B$2:$CO$584,80,FALSE)=HZ7,"Techos ok, cotinue","Debe revisar el valor programado")),"")</f>
        <v/>
      </c>
      <c r="IB7" s="383">
        <f t="shared" si="52"/>
        <v>0</v>
      </c>
    </row>
    <row r="8" spans="1:236">
      <c r="A8" s="550" t="str">
        <f>IF('Parte Estrategica'!B8=0,"",'Parte Estrategica'!B8)</f>
        <v/>
      </c>
      <c r="B8" s="551" t="str">
        <f>IFERROR(VLOOKUP(A8,'Matriz de Referencia'!$B$2:$P$578,'Matriz de Referencia'!L$1,FALSE),"")</f>
        <v/>
      </c>
      <c r="C8" s="551" t="str">
        <f>IFERROR(VLOOKUP(A8,'Matriz de Referencia'!$B$2:$P$584,'Matriz de Referencia'!M$1,FALSE),"")</f>
        <v/>
      </c>
      <c r="D8" s="455" t="str">
        <f>IF(OR('Parte Estrategica'!AB8=0,'Parte Estrategica'!AB8=""),"",IF(VLOOKUP($A8,'Matriz de Referencia'!$B$2:$CO$584,'Matriz de Referencia'!Z$1,FALSE)=0,"","Digite"))</f>
        <v/>
      </c>
      <c r="E8" s="456">
        <f>IF(OR('Parte Estrategica'!AB8=0,'Parte Estrategica'!AB8=""),0,IF(VLOOKUP($A8,'Matriz de Referencia'!$B$2:$CO$584,26,FALSE)=0,0,"Digite"))</f>
        <v>0</v>
      </c>
      <c r="F8" s="456">
        <f>IF(OR('Parte Estrategica'!AB8=0,'Parte Estrategica'!AB8=""),0,IF(VLOOKUP($A8,'Matriz de Referencia'!$B$2:$CO$584,27,FALSE)=0,0,"Digite"))</f>
        <v>0</v>
      </c>
      <c r="G8" s="456">
        <f>IF(OR('Parte Estrategica'!AB8=0,'Parte Estrategica'!AB8=""),0,IF(VLOOKUP($A8,'Matriz de Referencia'!$B$2:$CO$584,28,FALSE)=0,0,"Digite"))</f>
        <v>0</v>
      </c>
      <c r="H8" s="456">
        <f>IF(OR('Parte Estrategica'!AB8=0,'Parte Estrategica'!AB8=""),0,IF(VLOOKUP($A8,'Matriz de Referencia'!$B$2:$CO$584,29,FALSE)=0,0,"Digite"))</f>
        <v>0</v>
      </c>
      <c r="I8" s="456">
        <f>IF(OR('Parte Estrategica'!AB8=0,'Parte Estrategica'!AB8=""),0,IF(VLOOKUP($A8,'Matriz de Referencia'!$B$2:$CO$584,30,FALSE)=0,0,"Digite"))</f>
        <v>0</v>
      </c>
      <c r="J8" s="456">
        <f>IF(OR('Parte Estrategica'!AB8=0,'Parte Estrategica'!AB8=""),0,IF(VLOOKUP($A8,'Matriz de Referencia'!$B$2:$CO$584,31,FALSE)=0,0,"Digite"))</f>
        <v>0</v>
      </c>
      <c r="K8" s="456">
        <f>IF(OR('Parte Estrategica'!AB8=0,'Parte Estrategica'!AB8=""),0,IF(VLOOKUP($A8,'Matriz de Referencia'!$B$2:$CO$584,32,FALSE)=0,0,"Digite"))</f>
        <v>0</v>
      </c>
      <c r="L8" s="460">
        <f t="shared" si="0"/>
        <v>0</v>
      </c>
      <c r="M8" s="456">
        <f>IF(OR('Parte Estrategica'!AB8=0,'Parte Estrategica'!AB8=""),0,IF(VLOOKUP($A8,'Matriz de Referencia'!$B$2:$CO$584,34,FALSE)=0,0,"Digite"))</f>
        <v>0</v>
      </c>
      <c r="N8" s="456">
        <f>IF(OR('Parte Estrategica'!AB8=0,'Parte Estrategica'!AB8=""),0,IF(VLOOKUP($A8,'Matriz de Referencia'!$B$2:$CO$584,35,FALSE)=0,0,"Digite"))</f>
        <v>0</v>
      </c>
      <c r="O8" s="456">
        <f>IF(OR('Parte Estrategica'!AB8=0,'Parte Estrategica'!AB8=""),0,IF(VLOOKUP($A8,'Matriz de Referencia'!$B$2:$CO$584,36,FALSE)=0,0,"Digite"))</f>
        <v>0</v>
      </c>
      <c r="P8" s="457">
        <f t="shared" si="1"/>
        <v>0</v>
      </c>
      <c r="Q8" s="457">
        <f t="shared" si="2"/>
        <v>0</v>
      </c>
      <c r="R8" s="455">
        <f>IF(OR('Parte Estrategica'!AC8=0,'Parte Estrategica'!AC8=""),0,IF(VLOOKUP($A8,'Matriz de Referencia'!$B$2:$CO$584,25,FALSE)=0,0,"Digite"))</f>
        <v>0</v>
      </c>
      <c r="S8" s="456">
        <f>IF(OR('Parte Estrategica'!AC8=0,'Parte Estrategica'!AC8=""),0,IF(VLOOKUP($A8,'Matriz de Referencia'!$B$2:$CO$584,26,FALSE)=0,0,"Digite"))</f>
        <v>0</v>
      </c>
      <c r="T8" s="456">
        <f>IF(OR('Parte Estrategica'!AC8=0,'Parte Estrategica'!AC8=""),0,IF(VLOOKUP($A8,'Matriz de Referencia'!$B$2:$CO$584,27,FALSE)=0,0,"Digite"))</f>
        <v>0</v>
      </c>
      <c r="U8" s="456">
        <f>IF(OR('Parte Estrategica'!AC8=0,'Parte Estrategica'!AC8=""),0,IF(VLOOKUP($A8,'Matriz de Referencia'!$B$2:$CO$584,28,FALSE)=0,0,"Digite"))</f>
        <v>0</v>
      </c>
      <c r="V8" s="456">
        <f>IF(OR('Parte Estrategica'!AC8=0,'Parte Estrategica'!AC8=""),0,IF(VLOOKUP($A8,'Matriz de Referencia'!$B$2:$CO$584,29,FALSE)=0,0,"Digite"))</f>
        <v>0</v>
      </c>
      <c r="W8" s="456">
        <f>IF(OR('Parte Estrategica'!AC8=0,'Parte Estrategica'!AC8=""),0,IF(VLOOKUP($A8,'Matriz de Referencia'!$B$2:$CO$584,30,FALSE)=0,0,"Digite"))</f>
        <v>0</v>
      </c>
      <c r="X8" s="456">
        <f>IF(OR('Parte Estrategica'!AC8=0,'Parte Estrategica'!AC8=""),0,IF(VLOOKUP($A8,'Matriz de Referencia'!$B$2:$CO$584,31,FALSE)=0,0,"Digite"))</f>
        <v>0</v>
      </c>
      <c r="Y8" s="456">
        <f>IF(OR('Parte Estrategica'!AC8=0,'Parte Estrategica'!AC8=""),0,IF(VLOOKUP($A8,'Matriz de Referencia'!$B$2:$CO$584,32,FALSE)=0,0,"Digite"))</f>
        <v>0</v>
      </c>
      <c r="Z8" s="457">
        <f t="shared" si="3"/>
        <v>0</v>
      </c>
      <c r="AA8" s="456">
        <f>IF(OR('Parte Estrategica'!AC8=0,'Parte Estrategica'!AC8=""),0,IF(VLOOKUP($A8,'Matriz de Referencia'!$B$2:$CO$584,34,FALSE)=0,0,"Digite"))</f>
        <v>0</v>
      </c>
      <c r="AB8" s="456">
        <f>IF(OR('Parte Estrategica'!AC8=0,'Parte Estrategica'!AC8=""),0,IF(VLOOKUP($A8,'Matriz de Referencia'!$B$2:$CO$584,35,FALSE)=0,0,"Digite"))</f>
        <v>0</v>
      </c>
      <c r="AC8" s="456">
        <f>IF(OR('Parte Estrategica'!AC8=0,'Parte Estrategica'!AC8=""),0,IF(VLOOKUP($A8,'Matriz de Referencia'!$B$2:$CO$584,36,FALSE)=0,0,"Digite"))</f>
        <v>0</v>
      </c>
      <c r="AD8" s="457">
        <f t="shared" si="4"/>
        <v>0</v>
      </c>
      <c r="AE8" s="457">
        <f t="shared" si="5"/>
        <v>0</v>
      </c>
      <c r="AF8" s="455">
        <f>IF(OR('Parte Estrategica'!AD8=0,'Parte Estrategica'!AD8=""),0,IF(VLOOKUP($A8,'Matriz de Referencia'!$B$2:$CO$584,25,FALSE)=0,0,"Digite"))</f>
        <v>0</v>
      </c>
      <c r="AG8" s="456">
        <f>IF(OR('Parte Estrategica'!AD8=0,'Parte Estrategica'!AD8=""),0,IF(VLOOKUP($A8,'Matriz de Referencia'!$B$2:$CO$584,26,FALSE)=0,0,"Digite"))</f>
        <v>0</v>
      </c>
      <c r="AH8" s="456">
        <f>IF(OR('Parte Estrategica'!AD8=0,'Parte Estrategica'!AD8=""),0,IF(VLOOKUP($A8,'Matriz de Referencia'!$B$2:$CO$584,27,FALSE)=0,0,"Digite"))</f>
        <v>0</v>
      </c>
      <c r="AI8" s="456">
        <f>IF(OR('Parte Estrategica'!AD8=0,'Parte Estrategica'!AD8=""),0,IF(VLOOKUP($A8,'Matriz de Referencia'!$B$2:$CO$584,28,FALSE)=0,0,"Digite"))</f>
        <v>0</v>
      </c>
      <c r="AJ8" s="456">
        <f>IF(OR('Parte Estrategica'!AD8=0,'Parte Estrategica'!AD8=""),0,IF(VLOOKUP($A8,'Matriz de Referencia'!$B$2:$CO$584,29,FALSE)=0,0,"Digite"))</f>
        <v>0</v>
      </c>
      <c r="AK8" s="456">
        <f>IF(OR('Parte Estrategica'!AD8=0,'Parte Estrategica'!AD8=""),0,IF(VLOOKUP($A8,'Matriz de Referencia'!$B$2:$CO$584,30,FALSE)=0,0,"Digite"))</f>
        <v>0</v>
      </c>
      <c r="AL8" s="456">
        <f>IF(OR('Parte Estrategica'!AD8=0,'Parte Estrategica'!AD8=""),0,IF(VLOOKUP($A8,'Matriz de Referencia'!$B$2:$CO$584,31,FALSE)=0,0,"Digite"))</f>
        <v>0</v>
      </c>
      <c r="AM8" s="456">
        <f>IF(OR('Parte Estrategica'!AD8=0,'Parte Estrategica'!AD8=""),0,IF(VLOOKUP($A8,'Matriz de Referencia'!$B$2:$CO$584,32,FALSE)=0,0,"Digite"))</f>
        <v>0</v>
      </c>
      <c r="AN8" s="457">
        <f t="shared" si="6"/>
        <v>0</v>
      </c>
      <c r="AO8" s="456">
        <f>IF(OR('Parte Estrategica'!AD8=0,'Parte Estrategica'!AD8=""),0,IF(VLOOKUP($A8,'Matriz de Referencia'!$B$2:$CO$584,34,FALSE)=0,0,"Digite"))</f>
        <v>0</v>
      </c>
      <c r="AP8" s="456">
        <f>IF(OR('Parte Estrategica'!AD8=0,'Parte Estrategica'!AD8=""),0,IF(VLOOKUP($A8,'Matriz de Referencia'!$B$2:$CO$584,35,FALSE)=0,0,"Digite"))</f>
        <v>0</v>
      </c>
      <c r="AQ8" s="456">
        <f>IF(OR('Parte Estrategica'!AD8=0,'Parte Estrategica'!AD8=""),0,IF(VLOOKUP($A8,'Matriz de Referencia'!$B$2:$CO$584,36,FALSE)=0,0,"Digite"))</f>
        <v>0</v>
      </c>
      <c r="AR8" s="457">
        <f t="shared" si="7"/>
        <v>0</v>
      </c>
      <c r="AS8" s="457">
        <f t="shared" si="8"/>
        <v>0</v>
      </c>
      <c r="AT8" s="455">
        <f>IF(OR('Parte Estrategica'!AE8=0,'Parte Estrategica'!AE8=""),0,IF(VLOOKUP($A8,'Matriz de Referencia'!$B$2:$CO$584,25,FALSE)=0,0,"Digite"))</f>
        <v>0</v>
      </c>
      <c r="AU8" s="456">
        <f>IF(OR('Parte Estrategica'!AE8=0,'Parte Estrategica'!AE8=""),0,IF(VLOOKUP($A8,'Matriz de Referencia'!$B$2:$CO$584,26,FALSE)=0,0,"Digite"))</f>
        <v>0</v>
      </c>
      <c r="AV8" s="456">
        <f>IF(OR('Parte Estrategica'!AE8=0,'Parte Estrategica'!AE8=""),0,IF(VLOOKUP($A8,'Matriz de Referencia'!$B$2:$CO$584,27,FALSE)=0,0,"Digite"))</f>
        <v>0</v>
      </c>
      <c r="AW8" s="456">
        <f>IF(OR('Parte Estrategica'!AE8=0,'Parte Estrategica'!AE8=""),0,IF(VLOOKUP($A8,'Matriz de Referencia'!$B$2:$CO$584,28,FALSE)=0,0,"Digite"))</f>
        <v>0</v>
      </c>
      <c r="AX8" s="456">
        <f>IF(OR('Parte Estrategica'!AE8=0,'Parte Estrategica'!AE8=""),0,IF(VLOOKUP($A8,'Matriz de Referencia'!$B$2:$CO$584,29,FALSE)=0,0,"Digite"))</f>
        <v>0</v>
      </c>
      <c r="AY8" s="456">
        <f>IF(OR('Parte Estrategica'!AE8=0,'Parte Estrategica'!AE8=""),0,IF(VLOOKUP($A8,'Matriz de Referencia'!$B$2:$CO$584,30,FALSE)=0,0,"Digite"))</f>
        <v>0</v>
      </c>
      <c r="AZ8" s="456">
        <f>IF(OR('Parte Estrategica'!AE8=0,'Parte Estrategica'!AE8=""),0,IF(VLOOKUP($A8,'Matriz de Referencia'!$B$2:$CO$584,31,FALSE)=0,0,"Digite"))</f>
        <v>0</v>
      </c>
      <c r="BA8" s="456">
        <f>IF(OR('Parte Estrategica'!AE8=0,'Parte Estrategica'!AE8=""),0,IF(VLOOKUP($A8,'Matriz de Referencia'!$B$2:$CO$584,32,FALSE)=0,0,"Digite"))</f>
        <v>0</v>
      </c>
      <c r="BB8" s="457">
        <f t="shared" si="9"/>
        <v>0</v>
      </c>
      <c r="BC8" s="456">
        <f>IF(OR('Parte Estrategica'!AE8=0,'Parte Estrategica'!AE8=""),0,IF(VLOOKUP($A8,'Matriz de Referencia'!$B$2:$CO$584,34,FALSE)=0,0,"Digite"))</f>
        <v>0</v>
      </c>
      <c r="BD8" s="456">
        <f>IF(OR('Parte Estrategica'!AE8=0,'Parte Estrategica'!AE8=""),0,IF(VLOOKUP($A8,'Matriz de Referencia'!$B$2:$CO$584,35,FALSE)=0,0,"Digite"))</f>
        <v>0</v>
      </c>
      <c r="BE8" s="456">
        <f>IF(OR('Parte Estrategica'!AE8=0,'Parte Estrategica'!AE8=""),0,IF(VLOOKUP($A8,'Matriz de Referencia'!$B$2:$CO$584,36,FALSE)=0,0,"Digite"))</f>
        <v>0</v>
      </c>
      <c r="BF8" s="457">
        <f t="shared" si="10"/>
        <v>0</v>
      </c>
      <c r="BG8" s="457">
        <f t="shared" si="11"/>
        <v>0</v>
      </c>
      <c r="BH8" s="457">
        <f t="shared" si="12"/>
        <v>0</v>
      </c>
      <c r="BI8" s="101" t="str">
        <f>IFERROR(IF(BH8=0,"",IF(VLOOKUP($A8,'Matriz de Referencia'!$B$2:$CO$584,'Matriz de Referencia'!AM$1,FALSE)=BH8,"Techos ok, cotinue","Debe revisar el valor programado")),"")</f>
        <v/>
      </c>
      <c r="BJ8" s="453">
        <f>IF(OR('Parte Estrategica'!AH8=0,'Parte Estrategica'!AH8=""),0,IF(VLOOKUP($A8,'Matriz de Referencia'!$B$2:$CO$584,39,FALSE)=0,0,"Digite"))</f>
        <v>0</v>
      </c>
      <c r="BK8" s="454">
        <f>IF(OR('Parte Estrategica'!AH8=0,'Parte Estrategica'!AH8=""),0,IF(VLOOKUP($A8,'Matriz de Referencia'!$B$2:$CO$584,40,FALSE)=0,0,"Digite"))</f>
        <v>0</v>
      </c>
      <c r="BL8" s="454">
        <f>IF(OR('Parte Estrategica'!AH8=0,'Parte Estrategica'!AH8=""),0,IF(VLOOKUP($A8,'Matriz de Referencia'!$B$2:$CO$584,41,FALSE)=0,0,"Digite"))</f>
        <v>0</v>
      </c>
      <c r="BM8" s="454">
        <f>IF(OR('Parte Estrategica'!AH8=0,'Parte Estrategica'!AH8=""),0,IF(VLOOKUP($A8,'Matriz de Referencia'!$B$2:$CO$584,42,FALSE)=0,0,"Digite"))</f>
        <v>0</v>
      </c>
      <c r="BN8" s="454">
        <f>IF(OR('Parte Estrategica'!AH8=0,'Parte Estrategica'!AH8=""),0,IF(VLOOKUP($A8,'Matriz de Referencia'!$B$2:$CO$584,43,FALSE)=0,0,"Digite"))</f>
        <v>0</v>
      </c>
      <c r="BO8" s="454">
        <f>IF(OR('Parte Estrategica'!AH8=0,'Parte Estrategica'!AH8=""),0,IF(VLOOKUP($A8,'Matriz de Referencia'!$B$2:$CO$584,44,FALSE)=0,0,"Digite"))</f>
        <v>0</v>
      </c>
      <c r="BP8" s="454">
        <f>IF(OR('Parte Estrategica'!AH8=0,'Parte Estrategica'!AH8=""),0,IF(VLOOKUP($A8,'Matriz de Referencia'!$B$2:$CO$584,45,FALSE)=0,0,"Digite"))</f>
        <v>0</v>
      </c>
      <c r="BQ8" s="454">
        <f>IF(OR('Parte Estrategica'!AH8=0,'Parte Estrategica'!AH8=""),0,IF(VLOOKUP($A8,'Matriz de Referencia'!$B$2:$CO$584,46,FALSE)=0,0,"Digite"))</f>
        <v>0</v>
      </c>
      <c r="BR8" s="382">
        <f t="shared" si="13"/>
        <v>0</v>
      </c>
      <c r="BS8" s="454">
        <f>IF(OR('Parte Estrategica'!CL8=0,'Parte Estrategica'!CL8=""),0,IF(VLOOKUP($A8,'Matriz de Referencia'!$B$2:$CO$584,48,FALSE)=0,0,"Digite"))</f>
        <v>0</v>
      </c>
      <c r="BT8" s="454">
        <f>IF(OR('Parte Estrategica'!CL8=0,'Parte Estrategica'!CL8=""),0,IF(VLOOKUP($A8,'Matriz de Referencia'!$B$2:$CO$584,49,FALSE)=0,0,"Digite"))</f>
        <v>0</v>
      </c>
      <c r="BU8" s="454">
        <f>IF(OR('Parte Estrategica'!CL8=0,'Parte Estrategica'!CL8=""),0,IF(VLOOKUP($A8,'Matriz de Referencia'!$B$2:$CO$584,50,FALSE)=0,0,"Digite"))</f>
        <v>0</v>
      </c>
      <c r="BV8" s="382">
        <f t="shared" si="14"/>
        <v>0</v>
      </c>
      <c r="BW8" s="382">
        <f t="shared" si="15"/>
        <v>0</v>
      </c>
      <c r="BX8" s="453">
        <f>IF(OR('Parte Estrategica'!AI8=0,'Parte Estrategica'!AI8=""),0,IF(VLOOKUP($A8,'Matriz de Referencia'!$B$2:$CO$584,39,FALSE)=0,0,"Digite"))</f>
        <v>0</v>
      </c>
      <c r="BY8" s="454">
        <f>IF(OR('Parte Estrategica'!AI8=0,'Parte Estrategica'!AI8=""),0,IF(VLOOKUP($A8,'Matriz de Referencia'!$B$2:$CO$584,40,FALSE)=0,0,"Digite"))</f>
        <v>0</v>
      </c>
      <c r="BZ8" s="454">
        <f>IF(OR('Parte Estrategica'!AI8=0,'Parte Estrategica'!AI8=""),0,IF(VLOOKUP($A8,'Matriz de Referencia'!$B$2:$CO$584,41,FALSE)=0,0,"Digite"))</f>
        <v>0</v>
      </c>
      <c r="CA8" s="454">
        <f>IF(OR('Parte Estrategica'!AI8=0,'Parte Estrategica'!AI8=""),0,IF(VLOOKUP($A8,'Matriz de Referencia'!$B$2:$CO$584,42,FALSE)=0,0,"Digite"))</f>
        <v>0</v>
      </c>
      <c r="CB8" s="454">
        <f>IF(OR('Parte Estrategica'!AI8=0,'Parte Estrategica'!AI8=""),0,IF(VLOOKUP($A8,'Matriz de Referencia'!$B$2:$CO$584,43,FALSE)=0,0,"Digite"))</f>
        <v>0</v>
      </c>
      <c r="CC8" s="454">
        <f>IF(OR('Parte Estrategica'!AI8=0,'Parte Estrategica'!AI8=""),0,IF(VLOOKUP($A8,'Matriz de Referencia'!$B$2:$CO$584,44,FALSE)=0,0,"Digite"))</f>
        <v>0</v>
      </c>
      <c r="CD8" s="454">
        <f>IF(OR('Parte Estrategica'!AI8=0,'Parte Estrategica'!AI8=""),0,IF(VLOOKUP($A8,'Matriz de Referencia'!$B$2:$CO$584,45,FALSE)=0,0,"Digite"))</f>
        <v>0</v>
      </c>
      <c r="CE8" s="454">
        <f>IF(OR('Parte Estrategica'!AI8=0,'Parte Estrategica'!AI8=""),0,IF(VLOOKUP($A8,'Matriz de Referencia'!$B$2:$CO$584,46,FALSE)=0,0,"Digite"))</f>
        <v>0</v>
      </c>
      <c r="CF8" s="382">
        <f t="shared" si="16"/>
        <v>0</v>
      </c>
      <c r="CG8" s="454">
        <f>IF(OR('Parte Estrategica'!AI8=0,'Parte Estrategica'!AI8=""),0,IF(VLOOKUP($A8,'Matriz de Referencia'!$B$2:$CO$584,48,FALSE)=0,0,"Digite"))</f>
        <v>0</v>
      </c>
      <c r="CH8" s="454">
        <f>IF(OR('Parte Estrategica'!AI8=0,'Parte Estrategica'!AI8=""),0,IF(VLOOKUP($A8,'Matriz de Referencia'!$B$2:$CO$584,49,FALSE)=0,0,"Digite"))</f>
        <v>0</v>
      </c>
      <c r="CI8" s="454">
        <f>IF(OR('Parte Estrategica'!AI8=0,'Parte Estrategica'!AI8=""),0,IF(VLOOKUP($A8,'Matriz de Referencia'!$B$2:$CO$584,50,FALSE)=0,0,"Digite"))</f>
        <v>0</v>
      </c>
      <c r="CJ8" s="382">
        <f t="shared" si="17"/>
        <v>0</v>
      </c>
      <c r="CK8" s="382">
        <f t="shared" si="18"/>
        <v>0</v>
      </c>
      <c r="CL8" s="453">
        <f>IF(OR('Parte Estrategica'!AJ8=0,'Parte Estrategica'!AJ8=""),0,IF(VLOOKUP($A8,'Matriz de Referencia'!$B$2:$CO$584,39,FALSE)=0,0,"Digite"))</f>
        <v>0</v>
      </c>
      <c r="CM8" s="454">
        <f>IF(OR('Parte Estrategica'!AJ8=0,'Parte Estrategica'!AJ8=""),0,IF(VLOOKUP($A8,'Matriz de Referencia'!$B$2:$CO$584,40,FALSE)=0,0,"Digite"))</f>
        <v>0</v>
      </c>
      <c r="CN8" s="454">
        <f>IF(OR('Parte Estrategica'!AJ8=0,'Parte Estrategica'!AJ8=""),0,IF(VLOOKUP($A8,'Matriz de Referencia'!$B$2:$CO$584,41,FALSE)=0,0,"Digite"))</f>
        <v>0</v>
      </c>
      <c r="CO8" s="454">
        <f>IF(OR('Parte Estrategica'!AJ8=0,'Parte Estrategica'!AJ8=""),0,IF(VLOOKUP($A8,'Matriz de Referencia'!$B$2:$CO$584,42,FALSE)=0,0,"Digite"))</f>
        <v>0</v>
      </c>
      <c r="CP8" s="454">
        <f>IF(OR('Parte Estrategica'!AJ8=0,'Parte Estrategica'!AJ8=""),0,IF(VLOOKUP($A8,'Matriz de Referencia'!$B$2:$CO$584,43,FALSE)=0,0,"Digite"))</f>
        <v>0</v>
      </c>
      <c r="CQ8" s="454">
        <f>IF(OR('Parte Estrategica'!AJ8=0,'Parte Estrategica'!AJ8=""),0,IF(VLOOKUP($A8,'Matriz de Referencia'!$B$2:$CO$584,44,FALSE)=0,0,"Digite"))</f>
        <v>0</v>
      </c>
      <c r="CR8" s="454">
        <f>IF(OR('Parte Estrategica'!AJ8=0,'Parte Estrategica'!AJ8=""),0,IF(VLOOKUP($A8,'Matriz de Referencia'!$B$2:$CO$584,45,FALSE)=0,0,"Digite"))</f>
        <v>0</v>
      </c>
      <c r="CS8" s="454">
        <f>IF(OR('Parte Estrategica'!AJ8=0,'Parte Estrategica'!AJ8=""),0,IF(VLOOKUP($A8,'Matriz de Referencia'!$B$2:$CO$584,46,FALSE)=0,0,"Digite"))</f>
        <v>0</v>
      </c>
      <c r="CT8" s="382">
        <f t="shared" si="19"/>
        <v>0</v>
      </c>
      <c r="CU8" s="454">
        <f>IF(OR('Parte Estrategica'!AJ8=0,'Parte Estrategica'!AJ8=""),0,IF(VLOOKUP($A8,'Matriz de Referencia'!$B$2:$CO$584,48,FALSE)=0,0,"Digite"))</f>
        <v>0</v>
      </c>
      <c r="CV8" s="454">
        <f>IF(OR('Parte Estrategica'!AJ8=0,'Parte Estrategica'!AJ8=""),0,IF(VLOOKUP($A8,'Matriz de Referencia'!$B$2:$CO$584,49,FALSE)=0,0,"Digite"))</f>
        <v>0</v>
      </c>
      <c r="CW8" s="454">
        <f>IF(OR('Parte Estrategica'!AJ8=0,'Parte Estrategica'!AJ8=""),0,IF(VLOOKUP($A8,'Matriz de Referencia'!$B$2:$CO$584,50,FALSE)=0,0,"Digite"))</f>
        <v>0</v>
      </c>
      <c r="CX8" s="382">
        <f t="shared" si="20"/>
        <v>0</v>
      </c>
      <c r="CY8" s="382">
        <f t="shared" si="21"/>
        <v>0</v>
      </c>
      <c r="CZ8" s="453">
        <f>IF(OR('Parte Estrategica'!AK8=0,'Parte Estrategica'!AK8=""),0,IF(VLOOKUP($A8,'Matriz de Referencia'!$B$2:$CO$584,39,FALSE)=0,0,"Digite"))</f>
        <v>0</v>
      </c>
      <c r="DA8" s="454">
        <f>IF(OR('Parte Estrategica'!AK8=0,'Parte Estrategica'!AK8=""),0,IF(VLOOKUP($A8,'Matriz de Referencia'!$B$2:$CO$584,40,FALSE)=0,0,"Digite"))</f>
        <v>0</v>
      </c>
      <c r="DB8" s="454">
        <f>IF(OR('Parte Estrategica'!AK8=0,'Parte Estrategica'!AK8=""),0,IF(VLOOKUP($A8,'Matriz de Referencia'!$B$2:$CO$584,41,FALSE)=0,0,"Digite"))</f>
        <v>0</v>
      </c>
      <c r="DC8" s="454">
        <f>IF(OR('Parte Estrategica'!AK8=0,'Parte Estrategica'!AK8=""),0,IF(VLOOKUP($A8,'Matriz de Referencia'!$B$2:$CO$584,42,FALSE)=0,0,"Digite"))</f>
        <v>0</v>
      </c>
      <c r="DD8" s="454">
        <f>IF(OR('Parte Estrategica'!AK8=0,'Parte Estrategica'!AK8=""),0,IF(VLOOKUP($A8,'Matriz de Referencia'!$B$2:$CO$584,43,FALSE)=0,0,"Digite"))</f>
        <v>0</v>
      </c>
      <c r="DE8" s="454">
        <f>IF(OR('Parte Estrategica'!AK8=0,'Parte Estrategica'!AK8=""),0,IF(VLOOKUP($A8,'Matriz de Referencia'!$B$2:$CO$584,44,FALSE)=0,0,"Digite"))</f>
        <v>0</v>
      </c>
      <c r="DF8" s="454">
        <f>IF(OR('Parte Estrategica'!AK8=0,'Parte Estrategica'!AK8=""),0,IF(VLOOKUP($A8,'Matriz de Referencia'!$B$2:$CO$584,45,FALSE)=0,0,"Digite"))</f>
        <v>0</v>
      </c>
      <c r="DG8" s="454">
        <f>IF(OR('Parte Estrategica'!AK8=0,'Parte Estrategica'!AK8=""),0,IF(VLOOKUP($A8,'Matriz de Referencia'!$B$2:$CO$584,46,FALSE)=0,0,"Digite"))</f>
        <v>0</v>
      </c>
      <c r="DH8" s="382">
        <f t="shared" si="22"/>
        <v>0</v>
      </c>
      <c r="DI8" s="454">
        <f>IF(OR('Parte Estrategica'!AK8=0,'Parte Estrategica'!AK8=""),0,IF(VLOOKUP($A8,'Matriz de Referencia'!$B$2:$CO$584,48,FALSE)=0,0,"Digite"))</f>
        <v>0</v>
      </c>
      <c r="DJ8" s="454">
        <f>IF(OR('Parte Estrategica'!AK8=0,'Parte Estrategica'!AK8=""),0,IF(VLOOKUP($A8,'Matriz de Referencia'!$B$2:$CO$584,49,FALSE)=0,0,"Digite"))</f>
        <v>0</v>
      </c>
      <c r="DK8" s="454">
        <f>IF(OR('Parte Estrategica'!AK8=0,'Parte Estrategica'!AK8=""),0,IF(VLOOKUP($A8,'Matriz de Referencia'!$B$2:$CO$584,50,FALSE)=0,0,"Digite"))</f>
        <v>0</v>
      </c>
      <c r="DL8" s="382">
        <f t="shared" si="23"/>
        <v>0</v>
      </c>
      <c r="DM8" s="382">
        <f t="shared" si="24"/>
        <v>0</v>
      </c>
      <c r="DN8" s="382">
        <f t="shared" si="25"/>
        <v>0</v>
      </c>
      <c r="DO8" s="101" t="str">
        <f>IFERROR(IF(DN8=0,"",IF(VLOOKUP($A8,'Matriz de Referencia'!$B$2:$CO$584,52,FALSE)=DN8,"Techos ok, cotinue","Debe revisar el valor programado")),"")</f>
        <v/>
      </c>
      <c r="DP8" s="453">
        <f>IF(OR('Parte Estrategica'!AN8=0,'Parte Estrategica'!AN8=""),0,IF(VLOOKUP($A8,'Matriz de Referencia'!$B$2:$CO$584,53,FALSE)=0,0,"Digite"))</f>
        <v>0</v>
      </c>
      <c r="DQ8" s="454">
        <f>IF(OR('Parte Estrategica'!AN8=0,'Parte Estrategica'!AN8=""),0,IF(VLOOKUP($A8,'Matriz de Referencia'!$B$2:$CO$584,54,FALSE)=0,0,"Digite"))</f>
        <v>0</v>
      </c>
      <c r="DR8" s="454">
        <f>IF(OR('Parte Estrategica'!AN8=0,'Parte Estrategica'!AN8=""),0,IF(VLOOKUP($A8,'Matriz de Referencia'!$B$2:$CO$584,55,FALSE)=0,0,"Digite"))</f>
        <v>0</v>
      </c>
      <c r="DS8" s="454">
        <f>IF(OR('Parte Estrategica'!AN8=0,'Parte Estrategica'!AN8=""),0,IF(VLOOKUP($A8,'Matriz de Referencia'!$B$2:$CO$584,56,FALSE)=0,0,"Digite"))</f>
        <v>0</v>
      </c>
      <c r="DT8" s="454">
        <f>IF(OR('Parte Estrategica'!AN8=0,'Parte Estrategica'!AN8=""),0,IF(VLOOKUP($A8,'Matriz de Referencia'!$B$2:$CO$584,57,FALSE)=0,0,"Digite"))</f>
        <v>0</v>
      </c>
      <c r="DU8" s="454">
        <f>IF(OR('Parte Estrategica'!AN8=0,'Parte Estrategica'!AN8=""),0,IF(VLOOKUP($A8,'Matriz de Referencia'!$B$2:$CO$584,58,FALSE)=0,0,"Digite"))</f>
        <v>0</v>
      </c>
      <c r="DV8" s="454">
        <f>IF(OR('Parte Estrategica'!AN8=0,'Parte Estrategica'!AN8=""),0,IF(VLOOKUP($A8,'Matriz de Referencia'!$B$2:$CO$584,59,FALSE)=0,0,"Digite"))</f>
        <v>0</v>
      </c>
      <c r="DW8" s="454">
        <f>IF(OR('Parte Estrategica'!AN8=0,'Parte Estrategica'!AN8=""),0,IF(VLOOKUP($A8,'Matriz de Referencia'!$B$2:$CO$584,60,FALSE)=0,0,"Digite"))</f>
        <v>0</v>
      </c>
      <c r="DX8" s="382">
        <f t="shared" si="26"/>
        <v>0</v>
      </c>
      <c r="DY8" s="454">
        <f>IF(OR('Parte Estrategica'!AN8=0,'Parte Estrategica'!AN8=""),0,IF(VLOOKUP($A8,'Matriz de Referencia'!$B$2:$CO$584,62,FALSE)=0,0,"Digite"))</f>
        <v>0</v>
      </c>
      <c r="DZ8" s="454">
        <f>IF(OR('Parte Estrategica'!AN8=0,'Parte Estrategica'!AN8=""),0,IF(VLOOKUP($A8,'Matriz de Referencia'!$B$2:$CO$584,63,FALSE)=0,0,"Digite"))</f>
        <v>0</v>
      </c>
      <c r="EA8" s="454" t="str">
        <f>IF(OR('Parte Estrategica'!AN8=0,'Parte Estrategica'!AN8=""),"",IF(VLOOKUP($A8,'Matriz de Referencia'!$B$2:$CO$584,64,FALSE)=0,"","Digite"))</f>
        <v/>
      </c>
      <c r="EB8" s="382">
        <f t="shared" si="27"/>
        <v>0</v>
      </c>
      <c r="EC8" s="382">
        <f t="shared" si="28"/>
        <v>0</v>
      </c>
      <c r="ED8" s="453">
        <f>IF(OR('Parte Estrategica'!AO8=0,'Parte Estrategica'!AO8=""),0,IF(VLOOKUP($A8,'Matriz de Referencia'!$B$2:$CO$584,53,FALSE)=0,0,"Digite"))</f>
        <v>0</v>
      </c>
      <c r="EE8" s="454">
        <f>IF(OR('Parte Estrategica'!AO8=0,'Parte Estrategica'!AO8=""),0,IF(VLOOKUP($A8,'Matriz de Referencia'!$B$2:$CO$584,54,FALSE)=0,0,"Digite"))</f>
        <v>0</v>
      </c>
      <c r="EF8" s="454">
        <f>IF(OR('Parte Estrategica'!AO8=0,'Parte Estrategica'!AO8=""),0,IF(VLOOKUP($A8,'Matriz de Referencia'!$B$2:$CO$584,55,FALSE)=0,0,"Digite"))</f>
        <v>0</v>
      </c>
      <c r="EG8" s="454">
        <f>IF(OR('Parte Estrategica'!AO8=0,'Parte Estrategica'!AO8=""),0,IF(VLOOKUP($A8,'Matriz de Referencia'!$B$2:$CO$584,56,FALSE)=0,0,"Digite"))</f>
        <v>0</v>
      </c>
      <c r="EH8" s="454">
        <f>IF(OR('Parte Estrategica'!AO8=0,'Parte Estrategica'!AO8=""),0,IF(VLOOKUP($A8,'Matriz de Referencia'!$B$2:$CO$584,57,FALSE)=0,0,"Digite"))</f>
        <v>0</v>
      </c>
      <c r="EI8" s="454">
        <f>IF(OR('Parte Estrategica'!AO8=0,'Parte Estrategica'!AO8=""),0,IF(VLOOKUP($A8,'Matriz de Referencia'!$B$2:$CO$584,58,FALSE)=0,0,"Digite"))</f>
        <v>0</v>
      </c>
      <c r="EJ8" s="454">
        <f>IF(OR('Parte Estrategica'!AO8=0,'Parte Estrategica'!AO8=""),0,IF(VLOOKUP($A8,'Matriz de Referencia'!$B$2:$CO$584,59,FALSE)=0,0,"Digite"))</f>
        <v>0</v>
      </c>
      <c r="EK8" s="454">
        <f>IF(OR('Parte Estrategica'!AO8=0,'Parte Estrategica'!AO8=""),0,IF(VLOOKUP($A8,'Matriz de Referencia'!$B$2:$CO$584,60,FALSE)=0,0,"Digite"))</f>
        <v>0</v>
      </c>
      <c r="EL8" s="382">
        <f t="shared" si="29"/>
        <v>0</v>
      </c>
      <c r="EM8" s="454">
        <f>IF(OR('Parte Estrategica'!AO8=0,'Parte Estrategica'!AO8=""),0,IF(VLOOKUP($A8,'Matriz de Referencia'!$B$2:$CO$584,62,FALSE)=0,0,"Digite"))</f>
        <v>0</v>
      </c>
      <c r="EN8" s="454">
        <f>IF(OR('Parte Estrategica'!AO8=0,'Parte Estrategica'!AO8=""),0,IF(VLOOKUP($A8,'Matriz de Referencia'!$B$2:$CO$584,63,FALSE)=0,0,"Digite"))</f>
        <v>0</v>
      </c>
      <c r="EO8" s="454">
        <f>IF(OR('Parte Estrategica'!AO8=0,'Parte Estrategica'!AO8=""),0,IF(VLOOKUP($A8,'Matriz de Referencia'!$B$2:$CO$584,64,FALSE)=0,0,"Digite"))</f>
        <v>0</v>
      </c>
      <c r="EP8" s="382">
        <f t="shared" si="30"/>
        <v>0</v>
      </c>
      <c r="EQ8" s="382">
        <f t="shared" si="31"/>
        <v>0</v>
      </c>
      <c r="ER8" s="453">
        <f>IF(OR('Parte Estrategica'!AP8=0,'Parte Estrategica'!AP8=""),0,IF(VLOOKUP($A8,'Matriz de Referencia'!$B$2:$CO$584,53,FALSE)=0,0,"Digite"))</f>
        <v>0</v>
      </c>
      <c r="ES8" s="454">
        <f>IF(OR('Parte Estrategica'!AP8=0,'Parte Estrategica'!AP8=""),0,IF(VLOOKUP($A8,'Matriz de Referencia'!$B$2:$CO$584,54,FALSE)=0,0,"Digite"))</f>
        <v>0</v>
      </c>
      <c r="ET8" s="454">
        <f>IF(OR('Parte Estrategica'!AP8=0,'Parte Estrategica'!AP8=""),0,IF(VLOOKUP($A8,'Matriz de Referencia'!$B$2:$CO$584,55,FALSE)=0,0,"Digite"))</f>
        <v>0</v>
      </c>
      <c r="EU8" s="454">
        <f>IF(OR('Parte Estrategica'!AP8=0,'Parte Estrategica'!AP8=""),0,IF(VLOOKUP($A8,'Matriz de Referencia'!$B$2:$CO$584,56,FALSE)=0,0,"Digite"))</f>
        <v>0</v>
      </c>
      <c r="EV8" s="454">
        <f>IF(OR('Parte Estrategica'!AP8=0,'Parte Estrategica'!AP8=""),0,IF(VLOOKUP($A8,'Matriz de Referencia'!$B$2:$CO$584,57,FALSE)=0,0,"Digite"))</f>
        <v>0</v>
      </c>
      <c r="EW8" s="454">
        <f>IF(OR('Parte Estrategica'!AP8=0,'Parte Estrategica'!AP8=""),0,IF(VLOOKUP($A8,'Matriz de Referencia'!$B$2:$CO$584,58,FALSE)=0,0,"Digite"))</f>
        <v>0</v>
      </c>
      <c r="EX8" s="454">
        <f>IF(OR('Parte Estrategica'!AP8=0,'Parte Estrategica'!AP8=""),0,IF(VLOOKUP($A8,'Matriz de Referencia'!$B$2:$CO$584,59,FALSE)=0,0,"Digite"))</f>
        <v>0</v>
      </c>
      <c r="EY8" s="454">
        <f>IF(OR('Parte Estrategica'!AP8=0,'Parte Estrategica'!AP8=""),0,IF(VLOOKUP($A8,'Matriz de Referencia'!$B$2:$CO$584,60,FALSE)=0,0,"Digite"))</f>
        <v>0</v>
      </c>
      <c r="EZ8" s="382">
        <f t="shared" si="32"/>
        <v>0</v>
      </c>
      <c r="FA8" s="454">
        <f>IF(OR('Parte Estrategica'!AP8=0,'Parte Estrategica'!AP8=""),0,IF(VLOOKUP($A8,'Matriz de Referencia'!$B$2:$CO$584,62,FALSE)=0,0,"Digite"))</f>
        <v>0</v>
      </c>
      <c r="FB8" s="454">
        <f>IF(OR('Parte Estrategica'!AP8=0,'Parte Estrategica'!AP8=""),0,IF(VLOOKUP($A8,'Matriz de Referencia'!$B$2:$CO$584,63,FALSE)=0,0,"Digite"))</f>
        <v>0</v>
      </c>
      <c r="FC8" s="454">
        <f>IF(OR('Parte Estrategica'!AP8=0,'Parte Estrategica'!AP8=""),0,IF(VLOOKUP($A8,'Matriz de Referencia'!$B$2:$CO$584,64,FALSE)=0,0,"Digite"))</f>
        <v>0</v>
      </c>
      <c r="FD8" s="382">
        <f t="shared" si="33"/>
        <v>0</v>
      </c>
      <c r="FE8" s="382">
        <f t="shared" si="34"/>
        <v>0</v>
      </c>
      <c r="FF8" s="453">
        <f>IF(OR('Parte Estrategica'!AQ8=0,'Parte Estrategica'!AQ8=""),0,IF(VLOOKUP($A8,'Matriz de Referencia'!$B$2:$CO$584,53,FALSE)=0,0,"Digite"))</f>
        <v>0</v>
      </c>
      <c r="FG8" s="454">
        <f>IF(OR('Parte Estrategica'!AQ8=0,'Parte Estrategica'!AQ8=""),0,IF(VLOOKUP($A8,'Matriz de Referencia'!$B$2:$CO$584,54,FALSE)=0,0,"Digite"))</f>
        <v>0</v>
      </c>
      <c r="FH8" s="454">
        <f>IF(OR('Parte Estrategica'!AQ8=0,'Parte Estrategica'!AQ8=""),0,IF(VLOOKUP($A8,'Matriz de Referencia'!$B$2:$CO$584,55,FALSE)=0,0,"Digite"))</f>
        <v>0</v>
      </c>
      <c r="FI8" s="454">
        <f>IF(OR('Parte Estrategica'!AQ8=0,'Parte Estrategica'!AQ8=""),0,IF(VLOOKUP($A8,'Matriz de Referencia'!$B$2:$CO$584,56,FALSE)=0,0,"Digite"))</f>
        <v>0</v>
      </c>
      <c r="FJ8" s="454">
        <f>IF(OR('Parte Estrategica'!AQ8=0,'Parte Estrategica'!AQ8=""),0,IF(VLOOKUP($A8,'Matriz de Referencia'!$B$2:$CO$584,57,FALSE)=0,0,"Digite"))</f>
        <v>0</v>
      </c>
      <c r="FK8" s="454">
        <f>IF(OR('Parte Estrategica'!AQ8=0,'Parte Estrategica'!AQ8=""),0,IF(VLOOKUP($A8,'Matriz de Referencia'!$B$2:$CO$584,58,FALSE)=0,0,"Digite"))</f>
        <v>0</v>
      </c>
      <c r="FL8" s="454">
        <f>IF(OR('Parte Estrategica'!AQ8=0,'Parte Estrategica'!AQ8=""),0,IF(VLOOKUP($A8,'Matriz de Referencia'!$B$2:$CO$584,59,FALSE)=0,0,"Digite"))</f>
        <v>0</v>
      </c>
      <c r="FM8" s="454">
        <f>IF(OR('Parte Estrategica'!AQ8=0,'Parte Estrategica'!AQ8=""),0,IF(VLOOKUP($A8,'Matriz de Referencia'!$B$2:$CO$584,60,FALSE)=0,0,"Digite"))</f>
        <v>0</v>
      </c>
      <c r="FN8" s="382">
        <f t="shared" si="35"/>
        <v>0</v>
      </c>
      <c r="FO8" s="454">
        <f>IF(OR('Parte Estrategica'!AQ8=0,'Parte Estrategica'!AQ8=""),0,IF(VLOOKUP($A8,'Matriz de Referencia'!$B$2:$CO$584,62,FALSE)=0,0,"Digite"))</f>
        <v>0</v>
      </c>
      <c r="FP8" s="454">
        <f>IF(OR('Parte Estrategica'!AQ8=0,'Parte Estrategica'!AQ8=""),0,IF(VLOOKUP($A8,'Matriz de Referencia'!$B$2:$CO$584,63,FALSE)=0,0,"Digite"))</f>
        <v>0</v>
      </c>
      <c r="FQ8" s="454">
        <f>IF(OR('Parte Estrategica'!AQ8=0,'Parte Estrategica'!AQ8=""),0,IF(VLOOKUP($A8,'Matriz de Referencia'!$B$2:$CO$584,64,FALSE)=0,0,"Digite"))</f>
        <v>0</v>
      </c>
      <c r="FR8" s="382">
        <f t="shared" si="36"/>
        <v>0</v>
      </c>
      <c r="FS8" s="382">
        <f t="shared" si="37"/>
        <v>0</v>
      </c>
      <c r="FT8" s="382">
        <f t="shared" si="38"/>
        <v>0</v>
      </c>
      <c r="FU8" s="101" t="str">
        <f>IFERROR(IF(FT8=0,"",IF(VLOOKUP($A8,'Matriz de Referencia'!$B$2:$CO$584,66,FALSE)=FT8,"Techos ok, cotinue","Debe revisar el valor programado")),"")</f>
        <v/>
      </c>
      <c r="FV8" s="453">
        <f>IF(OR('Parte Estrategica'!AT8=0,'Parte Estrategica'!AT8=""),0,IF(VLOOKUP($A8,'Matriz de Referencia'!$B$2:$CO$584,67,FALSE)=0,0,"Digite"))</f>
        <v>0</v>
      </c>
      <c r="FW8" s="454">
        <f>IF(OR('Parte Estrategica'!AT8=0,'Parte Estrategica'!AT8=""),0,IF(VLOOKUP($A8,'Matriz de Referencia'!$B$2:$CO$584,68,FALSE)=0,0,"Digite"))</f>
        <v>0</v>
      </c>
      <c r="FX8" s="454">
        <f>IF(OR('Parte Estrategica'!AT8=0,'Parte Estrategica'!AT8=""),0,IF(VLOOKUP($A8,'Matriz de Referencia'!$B$2:$CO$584,69,FALSE)=0,0,"Digite"))</f>
        <v>0</v>
      </c>
      <c r="FY8" s="454">
        <f>IF(OR('Parte Estrategica'!AT8=0,'Parte Estrategica'!AT8=""),0,IF(VLOOKUP($A8,'Matriz de Referencia'!$B$2:$CO$584,70,FALSE)=0,0,"Digite"))</f>
        <v>0</v>
      </c>
      <c r="FZ8" s="454">
        <f>IF(OR('Parte Estrategica'!AT8=0,'Parte Estrategica'!AT8=""),0,IF(VLOOKUP($A8,'Matriz de Referencia'!$B$2:$CO$584,71,FALSE)=0,0,"Digite"))</f>
        <v>0</v>
      </c>
      <c r="GA8" s="454">
        <f>IF(OR('Parte Estrategica'!AT8=0,'Parte Estrategica'!AT8=""),0,IF(VLOOKUP($A8,'Matriz de Referencia'!$B$2:$CO$584,72,FALSE)=0,0,"Digite"))</f>
        <v>0</v>
      </c>
      <c r="GB8" s="454">
        <f>IF(OR('Parte Estrategica'!AT8=0,'Parte Estrategica'!AT8=""),0,IF(VLOOKUP($A8,'Matriz de Referencia'!$B$2:$CO$584,73,FALSE)=0,0,"Digite"))</f>
        <v>0</v>
      </c>
      <c r="GC8" s="454">
        <f>IF(OR('Parte Estrategica'!AT8=0,'Parte Estrategica'!AT8=""),0,IF(VLOOKUP($A8,'Matriz de Referencia'!$B$2:$CO$584,74,FALSE)=0,0,"Digite"))</f>
        <v>0</v>
      </c>
      <c r="GD8" s="382">
        <f t="shared" si="39"/>
        <v>0</v>
      </c>
      <c r="GE8" s="454">
        <f>IF(OR('Parte Estrategica'!AT8=0,'Parte Estrategica'!AT8=""),0,IF(VLOOKUP($A8,'Matriz de Referencia'!$B$2:$CO$584,76,FALSE)=0,0,"Digite"))</f>
        <v>0</v>
      </c>
      <c r="GF8" s="454">
        <f>IF(OR('Parte Estrategica'!AT8=0,'Parte Estrategica'!AT8=""),0,IF(VLOOKUP($A8,'Matriz de Referencia'!$B$2:$CO$584,77,FALSE)=0,0,"Digite"))</f>
        <v>0</v>
      </c>
      <c r="GG8" s="454">
        <f>IF(OR('Parte Estrategica'!AT8=0,'Parte Estrategica'!AT8=""),0,IF(VLOOKUP($A8,'Matriz de Referencia'!$B$2:$CO$584,78,FALSE)=0,0,"Digite"))</f>
        <v>0</v>
      </c>
      <c r="GH8" s="382">
        <f t="shared" si="40"/>
        <v>0</v>
      </c>
      <c r="GI8" s="382">
        <f t="shared" si="41"/>
        <v>0</v>
      </c>
      <c r="GJ8" s="453">
        <f>IF(OR('Parte Estrategica'!AU8=0,'Parte Estrategica'!AU8=""),0,IF(VLOOKUP($A8,'Matriz de Referencia'!$B$2:$CO$584,67,FALSE)=0,0,"Digite"))</f>
        <v>0</v>
      </c>
      <c r="GK8" s="454">
        <f>IF(OR('Parte Estrategica'!AU8=0,'Parte Estrategica'!AU8=""),0,IF(VLOOKUP($A8,'Matriz de Referencia'!$B$2:$CO$584,68,FALSE)=0,0,"Digite"))</f>
        <v>0</v>
      </c>
      <c r="GL8" s="454">
        <f>IF(OR('Parte Estrategica'!AU8=0,'Parte Estrategica'!AU8=""),0,IF(VLOOKUP($A8,'Matriz de Referencia'!$B$2:$CO$584,69,FALSE)=0,0,"Digite"))</f>
        <v>0</v>
      </c>
      <c r="GM8" s="454">
        <f>IF(OR('Parte Estrategica'!AU8=0,'Parte Estrategica'!AU8=""),0,IF(VLOOKUP($A8,'Matriz de Referencia'!$B$2:$CO$584,70,FALSE)=0,0,"Digite"))</f>
        <v>0</v>
      </c>
      <c r="GN8" s="454">
        <f>IF(OR('Parte Estrategica'!AU8=0,'Parte Estrategica'!AU8=""),0,IF(VLOOKUP($A8,'Matriz de Referencia'!$B$2:$CO$584,71,FALSE)=0,0,"Digite"))</f>
        <v>0</v>
      </c>
      <c r="GO8" s="454">
        <f>IF(OR('Parte Estrategica'!AU8=0,'Parte Estrategica'!AU8=""),0,IF(VLOOKUP($A8,'Matriz de Referencia'!$B$2:$CO$584,72,FALSE)=0,0,"Digite"))</f>
        <v>0</v>
      </c>
      <c r="GP8" s="454">
        <f>IF(OR('Parte Estrategica'!AU8=0,'Parte Estrategica'!AU8=""),0,IF(VLOOKUP($A8,'Matriz de Referencia'!$B$2:$CO$584,73,FALSE)=0,0,"Digite"))</f>
        <v>0</v>
      </c>
      <c r="GQ8" s="454">
        <f>IF(OR('Parte Estrategica'!AU8=0,'Parte Estrategica'!AU8=""),0,IF(VLOOKUP($A8,'Matriz de Referencia'!$B$2:$CO$584,74,FALSE)=0,0,"Digite"))</f>
        <v>0</v>
      </c>
      <c r="GR8" s="382">
        <f t="shared" si="42"/>
        <v>0</v>
      </c>
      <c r="GS8" s="454">
        <f>IF(OR('Parte Estrategica'!AU8=0,'Parte Estrategica'!AU8=""),0,IF(VLOOKUP($A8,'Matriz de Referencia'!$B$2:$CO$584,76,FALSE)=0,0,"Digite"))</f>
        <v>0</v>
      </c>
      <c r="GT8" s="454">
        <f>IF(OR('Parte Estrategica'!AU8=0,'Parte Estrategica'!AU8=""),0,IF(VLOOKUP($A8,'Matriz de Referencia'!$B$2:$CO$584,77,FALSE)=0,0,"Digite"))</f>
        <v>0</v>
      </c>
      <c r="GU8" s="454">
        <f>IF(OR('Parte Estrategica'!AU8=0,'Parte Estrategica'!AU8=""),0,IF(VLOOKUP($A8,'Matriz de Referencia'!$B$2:$CO$584,78,FALSE)=0,0,"Digite"))</f>
        <v>0</v>
      </c>
      <c r="GV8" s="382">
        <f t="shared" si="43"/>
        <v>0</v>
      </c>
      <c r="GW8" s="382">
        <f t="shared" si="44"/>
        <v>0</v>
      </c>
      <c r="GX8" s="453">
        <f>IF(OR('Parte Estrategica'!AV8=0,'Parte Estrategica'!AV8=""),0,IF(VLOOKUP($A8,'Matriz de Referencia'!$B$2:$CO$584,67,FALSE)=0,0,"Digite"))</f>
        <v>0</v>
      </c>
      <c r="GY8" s="454">
        <f>IF(OR('Parte Estrategica'!AV8=0,'Parte Estrategica'!AV8=""),0,IF(VLOOKUP($A8,'Matriz de Referencia'!$B$2:$CO$584,68,FALSE)=0,0,"Digite"))</f>
        <v>0</v>
      </c>
      <c r="GZ8" s="454">
        <f>IF(OR('Parte Estrategica'!AV8=0,'Parte Estrategica'!AV8=""),0,IF(VLOOKUP($A8,'Matriz de Referencia'!$B$2:$CO$584,69,FALSE)=0,0,"Digite"))</f>
        <v>0</v>
      </c>
      <c r="HA8" s="454">
        <f>IF(OR('Parte Estrategica'!AV8=0,'Parte Estrategica'!AV8=""),0,IF(VLOOKUP($A8,'Matriz de Referencia'!$B$2:$CO$584,70,FALSE)=0,0,"Digite"))</f>
        <v>0</v>
      </c>
      <c r="HB8" s="454">
        <f>IF(OR('Parte Estrategica'!AV8=0,'Parte Estrategica'!AV8=""),0,IF(VLOOKUP($A8,'Matriz de Referencia'!$B$2:$CO$584,71,FALSE)=0,0,"Digite"))</f>
        <v>0</v>
      </c>
      <c r="HC8" s="454">
        <f>IF(OR('Parte Estrategica'!AV8=0,'Parte Estrategica'!AV8=""),0,IF(VLOOKUP($A8,'Matriz de Referencia'!$B$2:$CO$584,72,FALSE)=0,0,"Digite"))</f>
        <v>0</v>
      </c>
      <c r="HD8" s="454">
        <f>IF(OR('Parte Estrategica'!AV8=0,'Parte Estrategica'!AV8=""),0,IF(VLOOKUP($A8,'Matriz de Referencia'!$B$2:$CO$584,73,FALSE)=0,0,"Digite"))</f>
        <v>0</v>
      </c>
      <c r="HE8" s="454">
        <f>IF(OR('Parte Estrategica'!AV8=0,'Parte Estrategica'!AV8=""),0,IF(VLOOKUP($A8,'Matriz de Referencia'!$B$2:$CO$584,74,FALSE)=0,0,"Digite"))</f>
        <v>0</v>
      </c>
      <c r="HF8" s="382">
        <f t="shared" si="45"/>
        <v>0</v>
      </c>
      <c r="HG8" s="454">
        <f>IF(OR('Parte Estrategica'!AV8=0,'Parte Estrategica'!AV8=""),0,IF(VLOOKUP($A8,'Matriz de Referencia'!$B$2:$CO$584,76,FALSE)=0,0,"Digite"))</f>
        <v>0</v>
      </c>
      <c r="HH8" s="454">
        <f>IF(OR('Parte Estrategica'!AV8=0,'Parte Estrategica'!AV8=""),0,IF(VLOOKUP($A8,'Matriz de Referencia'!$B$2:$CO$584,77,FALSE)=0,0,"Digite"))</f>
        <v>0</v>
      </c>
      <c r="HI8" s="454">
        <f>IF(OR('Parte Estrategica'!AV8=0,'Parte Estrategica'!AV8=""),0,IF(VLOOKUP($A8,'Matriz de Referencia'!$B$2:$CO$584,78,FALSE)=0,0,"Digite"))</f>
        <v>0</v>
      </c>
      <c r="HJ8" s="382">
        <f t="shared" si="46"/>
        <v>0</v>
      </c>
      <c r="HK8" s="382">
        <f t="shared" si="47"/>
        <v>0</v>
      </c>
      <c r="HL8" s="453">
        <f>IF(OR('Parte Estrategica'!AW8=0,'Parte Estrategica'!AW8=""),0,IF(VLOOKUP($A8,'Matriz de Referencia'!$B$2:$CO$584,67,FALSE)=0,0,"Digite"))</f>
        <v>0</v>
      </c>
      <c r="HM8" s="454">
        <f>IF(OR('Parte Estrategica'!AW8=0,'Parte Estrategica'!AW8=""),0,IF(VLOOKUP($A8,'Matriz de Referencia'!$B$2:$CO$584,68,FALSE)=0,0,"Digite"))</f>
        <v>0</v>
      </c>
      <c r="HN8" s="454">
        <f>IF(OR('Parte Estrategica'!AW8=0,'Parte Estrategica'!AW8=""),0,IF(VLOOKUP($A8,'Matriz de Referencia'!$B$2:$CO$584,69,FALSE)=0,0,"Digite"))</f>
        <v>0</v>
      </c>
      <c r="HO8" s="454">
        <f>IF(OR('Parte Estrategica'!AW8=0,'Parte Estrategica'!AW8=""),0,IF(VLOOKUP($A8,'Matriz de Referencia'!$B$2:$CO$584,70,FALSE)=0,0,"Digite"))</f>
        <v>0</v>
      </c>
      <c r="HP8" s="454">
        <f>IF(OR('Parte Estrategica'!AW8=0,'Parte Estrategica'!AW8=""),0,IF(VLOOKUP($A8,'Matriz de Referencia'!$B$2:$CO$584,71,FALSE)=0,0,"Digite"))</f>
        <v>0</v>
      </c>
      <c r="HQ8" s="454">
        <f>IF(OR('Parte Estrategica'!AW8=0,'Parte Estrategica'!AW8=""),0,IF(VLOOKUP($A8,'Matriz de Referencia'!$B$2:$CO$584,72,FALSE)=0,0,"Digite"))</f>
        <v>0</v>
      </c>
      <c r="HR8" s="454">
        <f>IF(OR('Parte Estrategica'!AW8=0,'Parte Estrategica'!AW8=""),0,IF(VLOOKUP($A8,'Matriz de Referencia'!$B$2:$CO$584,73,FALSE)=0,0,"Digite"))</f>
        <v>0</v>
      </c>
      <c r="HS8" s="454">
        <f>IF(OR('Parte Estrategica'!AW8=0,'Parte Estrategica'!AW8=""),0,IF(VLOOKUP($A8,'Matriz de Referencia'!$B$2:$CO$584,74,FALSE)=0,0,"Digite"))</f>
        <v>0</v>
      </c>
      <c r="HT8" s="382">
        <f t="shared" si="48"/>
        <v>0</v>
      </c>
      <c r="HU8" s="454">
        <f>IF(OR('Parte Estrategica'!AW8=0,'Parte Estrategica'!AW8=""),0,IF(VLOOKUP($A8,'Matriz de Referencia'!$B$2:$CO$584,76,FALSE)=0,0,"Digite"))</f>
        <v>0</v>
      </c>
      <c r="HV8" s="454">
        <f>IF(OR('Parte Estrategica'!AW8=0,'Parte Estrategica'!AW8=""),0,IF(VLOOKUP($A8,'Matriz de Referencia'!$B$2:$CO$584,77,FALSE)=0,0,"Digite"))</f>
        <v>0</v>
      </c>
      <c r="HW8" s="454">
        <f>IF(OR('Parte Estrategica'!AW8=0,'Parte Estrategica'!AW8=""),0,IF(VLOOKUP($A8,'Matriz de Referencia'!$B$2:$CO$584,78,FALSE)=0,0,"Digite"))</f>
        <v>0</v>
      </c>
      <c r="HX8" s="382">
        <f t="shared" si="49"/>
        <v>0</v>
      </c>
      <c r="HY8" s="382">
        <f t="shared" si="50"/>
        <v>0</v>
      </c>
      <c r="HZ8" s="382">
        <f t="shared" si="51"/>
        <v>0</v>
      </c>
      <c r="IA8" s="101" t="str">
        <f>IFERROR(IF(HZ8=0,"",IF(VLOOKUP($A8,'Matriz de Referencia'!$B$2:$CO$584,80,FALSE)=HZ8,"Techos ok, cotinue","Debe revisar el valor programado")),"")</f>
        <v/>
      </c>
      <c r="IB8" s="383">
        <f t="shared" si="52"/>
        <v>0</v>
      </c>
    </row>
    <row r="9" spans="1:236">
      <c r="A9" s="550" t="str">
        <f>IF('Parte Estrategica'!B9=0,"",'Parte Estrategica'!B9)</f>
        <v/>
      </c>
      <c r="B9" s="551" t="str">
        <f>IFERROR(VLOOKUP(A9,'Matriz de Referencia'!$B$2:$P$578,'Matriz de Referencia'!L$1,FALSE),"")</f>
        <v/>
      </c>
      <c r="C9" s="551" t="str">
        <f>IFERROR(VLOOKUP(A9,'Matriz de Referencia'!$B$2:$P$584,'Matriz de Referencia'!M$1,FALSE),"")</f>
        <v/>
      </c>
      <c r="D9" s="455" t="str">
        <f>IF(OR('Parte Estrategica'!AB9=0,'Parte Estrategica'!AB9=""),"",IF(VLOOKUP($A9,'Matriz de Referencia'!$B$2:$CO$584,'Matriz de Referencia'!Z$1,FALSE)=0,"","Digite"))</f>
        <v/>
      </c>
      <c r="E9" s="456">
        <f>IF(OR('Parte Estrategica'!AB9=0,'Parte Estrategica'!AB9=""),0,IF(VLOOKUP($A9,'Matriz de Referencia'!$B$2:$CO$584,26,FALSE)=0,0,"Digite"))</f>
        <v>0</v>
      </c>
      <c r="F9" s="456">
        <f>IF(OR('Parte Estrategica'!AB9=0,'Parte Estrategica'!AB9=""),0,IF(VLOOKUP($A9,'Matriz de Referencia'!$B$2:$CO$584,27,FALSE)=0,0,"Digite"))</f>
        <v>0</v>
      </c>
      <c r="G9" s="456">
        <f>IF(OR('Parte Estrategica'!AB9=0,'Parte Estrategica'!AB9=""),0,IF(VLOOKUP($A9,'Matriz de Referencia'!$B$2:$CO$584,28,FALSE)=0,0,"Digite"))</f>
        <v>0</v>
      </c>
      <c r="H9" s="456">
        <f>IF(OR('Parte Estrategica'!AB9=0,'Parte Estrategica'!AB9=""),0,IF(VLOOKUP($A9,'Matriz de Referencia'!$B$2:$CO$584,29,FALSE)=0,0,"Digite"))</f>
        <v>0</v>
      </c>
      <c r="I9" s="456">
        <f>IF(OR('Parte Estrategica'!AB9=0,'Parte Estrategica'!AB9=""),0,IF(VLOOKUP($A9,'Matriz de Referencia'!$B$2:$CO$584,30,FALSE)=0,0,"Digite"))</f>
        <v>0</v>
      </c>
      <c r="J9" s="456">
        <f>IF(OR('Parte Estrategica'!AB9=0,'Parte Estrategica'!AB9=""),0,IF(VLOOKUP($A9,'Matriz de Referencia'!$B$2:$CO$584,31,FALSE)=0,0,"Digite"))</f>
        <v>0</v>
      </c>
      <c r="K9" s="456">
        <f>IF(OR('Parte Estrategica'!AB9=0,'Parte Estrategica'!AB9=""),0,IF(VLOOKUP($A9,'Matriz de Referencia'!$B$2:$CO$584,32,FALSE)=0,0,"Digite"))</f>
        <v>0</v>
      </c>
      <c r="L9" s="460">
        <f t="shared" si="0"/>
        <v>0</v>
      </c>
      <c r="M9" s="456">
        <f>IF(OR('Parte Estrategica'!AB9=0,'Parte Estrategica'!AB9=""),0,IF(VLOOKUP($A9,'Matriz de Referencia'!$B$2:$CO$584,34,FALSE)=0,0,"Digite"))</f>
        <v>0</v>
      </c>
      <c r="N9" s="456">
        <f>IF(OR('Parte Estrategica'!AB9=0,'Parte Estrategica'!AB9=""),0,IF(VLOOKUP($A9,'Matriz de Referencia'!$B$2:$CO$584,35,FALSE)=0,0,"Digite"))</f>
        <v>0</v>
      </c>
      <c r="O9" s="456">
        <f>IF(OR('Parte Estrategica'!AB9=0,'Parte Estrategica'!AB9=""),0,IF(VLOOKUP($A9,'Matriz de Referencia'!$B$2:$CO$584,36,FALSE)=0,0,"Digite"))</f>
        <v>0</v>
      </c>
      <c r="P9" s="457">
        <f t="shared" si="1"/>
        <v>0</v>
      </c>
      <c r="Q9" s="457">
        <f t="shared" si="2"/>
        <v>0</v>
      </c>
      <c r="R9" s="455">
        <f>IF(OR('Parte Estrategica'!AC9=0,'Parte Estrategica'!AC9=""),0,IF(VLOOKUP($A9,'Matriz de Referencia'!$B$2:$CO$584,25,FALSE)=0,0,"Digite"))</f>
        <v>0</v>
      </c>
      <c r="S9" s="456">
        <f>IF(OR('Parte Estrategica'!AC9=0,'Parte Estrategica'!AC9=""),0,IF(VLOOKUP($A9,'Matriz de Referencia'!$B$2:$CO$584,26,FALSE)=0,0,"Digite"))</f>
        <v>0</v>
      </c>
      <c r="T9" s="456">
        <f>IF(OR('Parte Estrategica'!AC9=0,'Parte Estrategica'!AC9=""),0,IF(VLOOKUP($A9,'Matriz de Referencia'!$B$2:$CO$584,27,FALSE)=0,0,"Digite"))</f>
        <v>0</v>
      </c>
      <c r="U9" s="456">
        <f>IF(OR('Parte Estrategica'!AC9=0,'Parte Estrategica'!AC9=""),0,IF(VLOOKUP($A9,'Matriz de Referencia'!$B$2:$CO$584,28,FALSE)=0,0,"Digite"))</f>
        <v>0</v>
      </c>
      <c r="V9" s="456">
        <f>IF(OR('Parte Estrategica'!AC9=0,'Parte Estrategica'!AC9=""),0,IF(VLOOKUP($A9,'Matriz de Referencia'!$B$2:$CO$584,29,FALSE)=0,0,"Digite"))</f>
        <v>0</v>
      </c>
      <c r="W9" s="456">
        <f>IF(OR('Parte Estrategica'!AC9=0,'Parte Estrategica'!AC9=""),0,IF(VLOOKUP($A9,'Matriz de Referencia'!$B$2:$CO$584,30,FALSE)=0,0,"Digite"))</f>
        <v>0</v>
      </c>
      <c r="X9" s="456">
        <f>IF(OR('Parte Estrategica'!AC9=0,'Parte Estrategica'!AC9=""),0,IF(VLOOKUP($A9,'Matriz de Referencia'!$B$2:$CO$584,31,FALSE)=0,0,"Digite"))</f>
        <v>0</v>
      </c>
      <c r="Y9" s="456">
        <f>IF(OR('Parte Estrategica'!AC9=0,'Parte Estrategica'!AC9=""),0,IF(VLOOKUP($A9,'Matriz de Referencia'!$B$2:$CO$584,32,FALSE)=0,0,"Digite"))</f>
        <v>0</v>
      </c>
      <c r="Z9" s="457">
        <f t="shared" si="3"/>
        <v>0</v>
      </c>
      <c r="AA9" s="456">
        <f>IF(OR('Parte Estrategica'!AC9=0,'Parte Estrategica'!AC9=""),0,IF(VLOOKUP($A9,'Matriz de Referencia'!$B$2:$CO$584,34,FALSE)=0,0,"Digite"))</f>
        <v>0</v>
      </c>
      <c r="AB9" s="456">
        <f>IF(OR('Parte Estrategica'!AC9=0,'Parte Estrategica'!AC9=""),0,IF(VLOOKUP($A9,'Matriz de Referencia'!$B$2:$CO$584,35,FALSE)=0,0,"Digite"))</f>
        <v>0</v>
      </c>
      <c r="AC9" s="456">
        <f>IF(OR('Parte Estrategica'!AC9=0,'Parte Estrategica'!AC9=""),0,IF(VLOOKUP($A9,'Matriz de Referencia'!$B$2:$CO$584,36,FALSE)=0,0,"Digite"))</f>
        <v>0</v>
      </c>
      <c r="AD9" s="457">
        <f t="shared" si="4"/>
        <v>0</v>
      </c>
      <c r="AE9" s="457">
        <f t="shared" si="5"/>
        <v>0</v>
      </c>
      <c r="AF9" s="455">
        <f>IF(OR('Parte Estrategica'!AD9=0,'Parte Estrategica'!AD9=""),0,IF(VLOOKUP($A9,'Matriz de Referencia'!$B$2:$CO$584,25,FALSE)=0,0,"Digite"))</f>
        <v>0</v>
      </c>
      <c r="AG9" s="456">
        <f>IF(OR('Parte Estrategica'!AD9=0,'Parte Estrategica'!AD9=""),0,IF(VLOOKUP($A9,'Matriz de Referencia'!$B$2:$CO$584,26,FALSE)=0,0,"Digite"))</f>
        <v>0</v>
      </c>
      <c r="AH9" s="456">
        <f>IF(OR('Parte Estrategica'!AD9=0,'Parte Estrategica'!AD9=""),0,IF(VLOOKUP($A9,'Matriz de Referencia'!$B$2:$CO$584,27,FALSE)=0,0,"Digite"))</f>
        <v>0</v>
      </c>
      <c r="AI9" s="456">
        <f>IF(OR('Parte Estrategica'!AD9=0,'Parte Estrategica'!AD9=""),0,IF(VLOOKUP($A9,'Matriz de Referencia'!$B$2:$CO$584,28,FALSE)=0,0,"Digite"))</f>
        <v>0</v>
      </c>
      <c r="AJ9" s="456">
        <f>IF(OR('Parte Estrategica'!AD9=0,'Parte Estrategica'!AD9=""),0,IF(VLOOKUP($A9,'Matriz de Referencia'!$B$2:$CO$584,29,FALSE)=0,0,"Digite"))</f>
        <v>0</v>
      </c>
      <c r="AK9" s="456">
        <f>IF(OR('Parte Estrategica'!AD9=0,'Parte Estrategica'!AD9=""),0,IF(VLOOKUP($A9,'Matriz de Referencia'!$B$2:$CO$584,30,FALSE)=0,0,"Digite"))</f>
        <v>0</v>
      </c>
      <c r="AL9" s="456">
        <f>IF(OR('Parte Estrategica'!AD9=0,'Parte Estrategica'!AD9=""),0,IF(VLOOKUP($A9,'Matriz de Referencia'!$B$2:$CO$584,31,FALSE)=0,0,"Digite"))</f>
        <v>0</v>
      </c>
      <c r="AM9" s="456">
        <f>IF(OR('Parte Estrategica'!AD9=0,'Parte Estrategica'!AD9=""),0,IF(VLOOKUP($A9,'Matriz de Referencia'!$B$2:$CO$584,32,FALSE)=0,0,"Digite"))</f>
        <v>0</v>
      </c>
      <c r="AN9" s="457">
        <f t="shared" si="6"/>
        <v>0</v>
      </c>
      <c r="AO9" s="456">
        <f>IF(OR('Parte Estrategica'!AD9=0,'Parte Estrategica'!AD9=""),0,IF(VLOOKUP($A9,'Matriz de Referencia'!$B$2:$CO$584,34,FALSE)=0,0,"Digite"))</f>
        <v>0</v>
      </c>
      <c r="AP9" s="456">
        <f>IF(OR('Parte Estrategica'!AD9=0,'Parte Estrategica'!AD9=""),0,IF(VLOOKUP($A9,'Matriz de Referencia'!$B$2:$CO$584,35,FALSE)=0,0,"Digite"))</f>
        <v>0</v>
      </c>
      <c r="AQ9" s="456">
        <f>IF(OR('Parte Estrategica'!AD9=0,'Parte Estrategica'!AD9=""),0,IF(VLOOKUP($A9,'Matriz de Referencia'!$B$2:$CO$584,36,FALSE)=0,0,"Digite"))</f>
        <v>0</v>
      </c>
      <c r="AR9" s="457">
        <f t="shared" si="7"/>
        <v>0</v>
      </c>
      <c r="AS9" s="457">
        <f t="shared" si="8"/>
        <v>0</v>
      </c>
      <c r="AT9" s="455">
        <f>IF(OR('Parte Estrategica'!AE9=0,'Parte Estrategica'!AE9=""),0,IF(VLOOKUP($A9,'Matriz de Referencia'!$B$2:$CO$584,25,FALSE)=0,0,"Digite"))</f>
        <v>0</v>
      </c>
      <c r="AU9" s="456">
        <f>IF(OR('Parte Estrategica'!AE9=0,'Parte Estrategica'!AE9=""),0,IF(VLOOKUP($A9,'Matriz de Referencia'!$B$2:$CO$584,26,FALSE)=0,0,"Digite"))</f>
        <v>0</v>
      </c>
      <c r="AV9" s="456">
        <f>IF(OR('Parte Estrategica'!AE9=0,'Parte Estrategica'!AE9=""),0,IF(VLOOKUP($A9,'Matriz de Referencia'!$B$2:$CO$584,27,FALSE)=0,0,"Digite"))</f>
        <v>0</v>
      </c>
      <c r="AW9" s="456">
        <f>IF(OR('Parte Estrategica'!AE9=0,'Parte Estrategica'!AE9=""),0,IF(VLOOKUP($A9,'Matriz de Referencia'!$B$2:$CO$584,28,FALSE)=0,0,"Digite"))</f>
        <v>0</v>
      </c>
      <c r="AX9" s="456">
        <f>IF(OR('Parte Estrategica'!AE9=0,'Parte Estrategica'!AE9=""),0,IF(VLOOKUP($A9,'Matriz de Referencia'!$B$2:$CO$584,29,FALSE)=0,0,"Digite"))</f>
        <v>0</v>
      </c>
      <c r="AY9" s="456">
        <f>IF(OR('Parte Estrategica'!AE9=0,'Parte Estrategica'!AE9=""),0,IF(VLOOKUP($A9,'Matriz de Referencia'!$B$2:$CO$584,30,FALSE)=0,0,"Digite"))</f>
        <v>0</v>
      </c>
      <c r="AZ9" s="456">
        <f>IF(OR('Parte Estrategica'!AE9=0,'Parte Estrategica'!AE9=""),0,IF(VLOOKUP($A9,'Matriz de Referencia'!$B$2:$CO$584,31,FALSE)=0,0,"Digite"))</f>
        <v>0</v>
      </c>
      <c r="BA9" s="456">
        <f>IF(OR('Parte Estrategica'!AE9=0,'Parte Estrategica'!AE9=""),0,IF(VLOOKUP($A9,'Matriz de Referencia'!$B$2:$CO$584,32,FALSE)=0,0,"Digite"))</f>
        <v>0</v>
      </c>
      <c r="BB9" s="457">
        <f t="shared" si="9"/>
        <v>0</v>
      </c>
      <c r="BC9" s="456">
        <f>IF(OR('Parte Estrategica'!AE9=0,'Parte Estrategica'!AE9=""),0,IF(VLOOKUP($A9,'Matriz de Referencia'!$B$2:$CO$584,34,FALSE)=0,0,"Digite"))</f>
        <v>0</v>
      </c>
      <c r="BD9" s="456">
        <f>IF(OR('Parte Estrategica'!AE9=0,'Parte Estrategica'!AE9=""),0,IF(VLOOKUP($A9,'Matriz de Referencia'!$B$2:$CO$584,35,FALSE)=0,0,"Digite"))</f>
        <v>0</v>
      </c>
      <c r="BE9" s="456">
        <f>IF(OR('Parte Estrategica'!AE9=0,'Parte Estrategica'!AE9=""),0,IF(VLOOKUP($A9,'Matriz de Referencia'!$B$2:$CO$584,36,FALSE)=0,0,"Digite"))</f>
        <v>0</v>
      </c>
      <c r="BF9" s="457">
        <f t="shared" si="10"/>
        <v>0</v>
      </c>
      <c r="BG9" s="457">
        <f t="shared" si="11"/>
        <v>0</v>
      </c>
      <c r="BH9" s="457">
        <f t="shared" si="12"/>
        <v>0</v>
      </c>
      <c r="BI9" s="101" t="str">
        <f>IFERROR(IF(BH9=0,"",IF(VLOOKUP($A9,'Matriz de Referencia'!$B$2:$CO$584,'Matriz de Referencia'!AM$1,FALSE)=BH9,"Techos ok, cotinue","Debe revisar el valor programado")),"")</f>
        <v/>
      </c>
      <c r="BJ9" s="453">
        <f>IF(OR('Parte Estrategica'!AH9=0,'Parte Estrategica'!AH9=""),0,IF(VLOOKUP($A9,'Matriz de Referencia'!$B$2:$CO$584,39,FALSE)=0,0,"Digite"))</f>
        <v>0</v>
      </c>
      <c r="BK9" s="454">
        <f>IF(OR('Parte Estrategica'!AH9=0,'Parte Estrategica'!AH9=""),0,IF(VLOOKUP($A9,'Matriz de Referencia'!$B$2:$CO$584,40,FALSE)=0,0,"Digite"))</f>
        <v>0</v>
      </c>
      <c r="BL9" s="454">
        <f>IF(OR('Parte Estrategica'!AH9=0,'Parte Estrategica'!AH9=""),0,IF(VLOOKUP($A9,'Matriz de Referencia'!$B$2:$CO$584,41,FALSE)=0,0,"Digite"))</f>
        <v>0</v>
      </c>
      <c r="BM9" s="454">
        <f>IF(OR('Parte Estrategica'!AH9=0,'Parte Estrategica'!AH9=""),0,IF(VLOOKUP($A9,'Matriz de Referencia'!$B$2:$CO$584,42,FALSE)=0,0,"Digite"))</f>
        <v>0</v>
      </c>
      <c r="BN9" s="454">
        <f>IF(OR('Parte Estrategica'!AH9=0,'Parte Estrategica'!AH9=""),0,IF(VLOOKUP($A9,'Matriz de Referencia'!$B$2:$CO$584,43,FALSE)=0,0,"Digite"))</f>
        <v>0</v>
      </c>
      <c r="BO9" s="454">
        <f>IF(OR('Parte Estrategica'!AH9=0,'Parte Estrategica'!AH9=""),0,IF(VLOOKUP($A9,'Matriz de Referencia'!$B$2:$CO$584,44,FALSE)=0,0,"Digite"))</f>
        <v>0</v>
      </c>
      <c r="BP9" s="454">
        <f>IF(OR('Parte Estrategica'!AH9=0,'Parte Estrategica'!AH9=""),0,IF(VLOOKUP($A9,'Matriz de Referencia'!$B$2:$CO$584,45,FALSE)=0,0,"Digite"))</f>
        <v>0</v>
      </c>
      <c r="BQ9" s="454">
        <f>IF(OR('Parte Estrategica'!AH9=0,'Parte Estrategica'!AH9=""),0,IF(VLOOKUP($A9,'Matriz de Referencia'!$B$2:$CO$584,46,FALSE)=0,0,"Digite"))</f>
        <v>0</v>
      </c>
      <c r="BR9" s="382">
        <f t="shared" si="13"/>
        <v>0</v>
      </c>
      <c r="BS9" s="454">
        <f>IF(OR('Parte Estrategica'!CL9=0,'Parte Estrategica'!CL9=""),0,IF(VLOOKUP($A9,'Matriz de Referencia'!$B$2:$CO$584,48,FALSE)=0,0,"Digite"))</f>
        <v>0</v>
      </c>
      <c r="BT9" s="454">
        <f>IF(OR('Parte Estrategica'!CL9=0,'Parte Estrategica'!CL9=""),0,IF(VLOOKUP($A9,'Matriz de Referencia'!$B$2:$CO$584,49,FALSE)=0,0,"Digite"))</f>
        <v>0</v>
      </c>
      <c r="BU9" s="454">
        <f>IF(OR('Parte Estrategica'!CL9=0,'Parte Estrategica'!CL9=""),0,IF(VLOOKUP($A9,'Matriz de Referencia'!$B$2:$CO$584,50,FALSE)=0,0,"Digite"))</f>
        <v>0</v>
      </c>
      <c r="BV9" s="382">
        <f t="shared" si="14"/>
        <v>0</v>
      </c>
      <c r="BW9" s="382">
        <f t="shared" si="15"/>
        <v>0</v>
      </c>
      <c r="BX9" s="453">
        <f>IF(OR('Parte Estrategica'!AI9=0,'Parte Estrategica'!AI9=""),0,IF(VLOOKUP($A9,'Matriz de Referencia'!$B$2:$CO$584,39,FALSE)=0,0,"Digite"))</f>
        <v>0</v>
      </c>
      <c r="BY9" s="454">
        <f>IF(OR('Parte Estrategica'!AI9=0,'Parte Estrategica'!AI9=""),0,IF(VLOOKUP($A9,'Matriz de Referencia'!$B$2:$CO$584,40,FALSE)=0,0,"Digite"))</f>
        <v>0</v>
      </c>
      <c r="BZ9" s="454">
        <f>IF(OR('Parte Estrategica'!AI9=0,'Parte Estrategica'!AI9=""),0,IF(VLOOKUP($A9,'Matriz de Referencia'!$B$2:$CO$584,41,FALSE)=0,0,"Digite"))</f>
        <v>0</v>
      </c>
      <c r="CA9" s="454">
        <f>IF(OR('Parte Estrategica'!AI9=0,'Parte Estrategica'!AI9=""),0,IF(VLOOKUP($A9,'Matriz de Referencia'!$B$2:$CO$584,42,FALSE)=0,0,"Digite"))</f>
        <v>0</v>
      </c>
      <c r="CB9" s="454">
        <f>IF(OR('Parte Estrategica'!AI9=0,'Parte Estrategica'!AI9=""),0,IF(VLOOKUP($A9,'Matriz de Referencia'!$B$2:$CO$584,43,FALSE)=0,0,"Digite"))</f>
        <v>0</v>
      </c>
      <c r="CC9" s="454">
        <f>IF(OR('Parte Estrategica'!AI9=0,'Parte Estrategica'!AI9=""),0,IF(VLOOKUP($A9,'Matriz de Referencia'!$B$2:$CO$584,44,FALSE)=0,0,"Digite"))</f>
        <v>0</v>
      </c>
      <c r="CD9" s="454">
        <f>IF(OR('Parte Estrategica'!AI9=0,'Parte Estrategica'!AI9=""),0,IF(VLOOKUP($A9,'Matriz de Referencia'!$B$2:$CO$584,45,FALSE)=0,0,"Digite"))</f>
        <v>0</v>
      </c>
      <c r="CE9" s="454">
        <f>IF(OR('Parte Estrategica'!AI9=0,'Parte Estrategica'!AI9=""),0,IF(VLOOKUP($A9,'Matriz de Referencia'!$B$2:$CO$584,46,FALSE)=0,0,"Digite"))</f>
        <v>0</v>
      </c>
      <c r="CF9" s="382">
        <f t="shared" si="16"/>
        <v>0</v>
      </c>
      <c r="CG9" s="454">
        <f>IF(OR('Parte Estrategica'!AI9=0,'Parte Estrategica'!AI9=""),0,IF(VLOOKUP($A9,'Matriz de Referencia'!$B$2:$CO$584,48,FALSE)=0,0,"Digite"))</f>
        <v>0</v>
      </c>
      <c r="CH9" s="454">
        <f>IF(OR('Parte Estrategica'!AI9=0,'Parte Estrategica'!AI9=""),0,IF(VLOOKUP($A9,'Matriz de Referencia'!$B$2:$CO$584,49,FALSE)=0,0,"Digite"))</f>
        <v>0</v>
      </c>
      <c r="CI9" s="454">
        <f>IF(OR('Parte Estrategica'!AI9=0,'Parte Estrategica'!AI9=""),0,IF(VLOOKUP($A9,'Matriz de Referencia'!$B$2:$CO$584,50,FALSE)=0,0,"Digite"))</f>
        <v>0</v>
      </c>
      <c r="CJ9" s="382">
        <f t="shared" si="17"/>
        <v>0</v>
      </c>
      <c r="CK9" s="382">
        <f t="shared" si="18"/>
        <v>0</v>
      </c>
      <c r="CL9" s="453">
        <f>IF(OR('Parte Estrategica'!AJ9=0,'Parte Estrategica'!AJ9=""),0,IF(VLOOKUP($A9,'Matriz de Referencia'!$B$2:$CO$584,39,FALSE)=0,0,"Digite"))</f>
        <v>0</v>
      </c>
      <c r="CM9" s="454">
        <f>IF(OR('Parte Estrategica'!AJ9=0,'Parte Estrategica'!AJ9=""),0,IF(VLOOKUP($A9,'Matriz de Referencia'!$B$2:$CO$584,40,FALSE)=0,0,"Digite"))</f>
        <v>0</v>
      </c>
      <c r="CN9" s="454">
        <f>IF(OR('Parte Estrategica'!AJ9=0,'Parte Estrategica'!AJ9=""),0,IF(VLOOKUP($A9,'Matriz de Referencia'!$B$2:$CO$584,41,FALSE)=0,0,"Digite"))</f>
        <v>0</v>
      </c>
      <c r="CO9" s="454">
        <f>IF(OR('Parte Estrategica'!AJ9=0,'Parte Estrategica'!AJ9=""),0,IF(VLOOKUP($A9,'Matriz de Referencia'!$B$2:$CO$584,42,FALSE)=0,0,"Digite"))</f>
        <v>0</v>
      </c>
      <c r="CP9" s="454">
        <f>IF(OR('Parte Estrategica'!AJ9=0,'Parte Estrategica'!AJ9=""),0,IF(VLOOKUP($A9,'Matriz de Referencia'!$B$2:$CO$584,43,FALSE)=0,0,"Digite"))</f>
        <v>0</v>
      </c>
      <c r="CQ9" s="454">
        <f>IF(OR('Parte Estrategica'!AJ9=0,'Parte Estrategica'!AJ9=""),0,IF(VLOOKUP($A9,'Matriz de Referencia'!$B$2:$CO$584,44,FALSE)=0,0,"Digite"))</f>
        <v>0</v>
      </c>
      <c r="CR9" s="454">
        <f>IF(OR('Parte Estrategica'!AJ9=0,'Parte Estrategica'!AJ9=""),0,IF(VLOOKUP($A9,'Matriz de Referencia'!$B$2:$CO$584,45,FALSE)=0,0,"Digite"))</f>
        <v>0</v>
      </c>
      <c r="CS9" s="454">
        <f>IF(OR('Parte Estrategica'!AJ9=0,'Parte Estrategica'!AJ9=""),0,IF(VLOOKUP($A9,'Matriz de Referencia'!$B$2:$CO$584,46,FALSE)=0,0,"Digite"))</f>
        <v>0</v>
      </c>
      <c r="CT9" s="382">
        <f t="shared" si="19"/>
        <v>0</v>
      </c>
      <c r="CU9" s="454">
        <f>IF(OR('Parte Estrategica'!AJ9=0,'Parte Estrategica'!AJ9=""),0,IF(VLOOKUP($A9,'Matriz de Referencia'!$B$2:$CO$584,48,FALSE)=0,0,"Digite"))</f>
        <v>0</v>
      </c>
      <c r="CV9" s="454">
        <f>IF(OR('Parte Estrategica'!AJ9=0,'Parte Estrategica'!AJ9=""),0,IF(VLOOKUP($A9,'Matriz de Referencia'!$B$2:$CO$584,49,FALSE)=0,0,"Digite"))</f>
        <v>0</v>
      </c>
      <c r="CW9" s="454">
        <f>IF(OR('Parte Estrategica'!AJ9=0,'Parte Estrategica'!AJ9=""),0,IF(VLOOKUP($A9,'Matriz de Referencia'!$B$2:$CO$584,50,FALSE)=0,0,"Digite"))</f>
        <v>0</v>
      </c>
      <c r="CX9" s="382">
        <f t="shared" si="20"/>
        <v>0</v>
      </c>
      <c r="CY9" s="382">
        <f t="shared" si="21"/>
        <v>0</v>
      </c>
      <c r="CZ9" s="453">
        <f>IF(OR('Parte Estrategica'!AK9=0,'Parte Estrategica'!AK9=""),0,IF(VLOOKUP($A9,'Matriz de Referencia'!$B$2:$CO$584,39,FALSE)=0,0,"Digite"))</f>
        <v>0</v>
      </c>
      <c r="DA9" s="454">
        <f>IF(OR('Parte Estrategica'!AK9=0,'Parte Estrategica'!AK9=""),0,IF(VLOOKUP($A9,'Matriz de Referencia'!$B$2:$CO$584,40,FALSE)=0,0,"Digite"))</f>
        <v>0</v>
      </c>
      <c r="DB9" s="454">
        <f>IF(OR('Parte Estrategica'!AK9=0,'Parte Estrategica'!AK9=""),0,IF(VLOOKUP($A9,'Matriz de Referencia'!$B$2:$CO$584,41,FALSE)=0,0,"Digite"))</f>
        <v>0</v>
      </c>
      <c r="DC9" s="454">
        <f>IF(OR('Parte Estrategica'!AK9=0,'Parte Estrategica'!AK9=""),0,IF(VLOOKUP($A9,'Matriz de Referencia'!$B$2:$CO$584,42,FALSE)=0,0,"Digite"))</f>
        <v>0</v>
      </c>
      <c r="DD9" s="454">
        <f>IF(OR('Parte Estrategica'!AK9=0,'Parte Estrategica'!AK9=""),0,IF(VLOOKUP($A9,'Matriz de Referencia'!$B$2:$CO$584,43,FALSE)=0,0,"Digite"))</f>
        <v>0</v>
      </c>
      <c r="DE9" s="454">
        <f>IF(OR('Parte Estrategica'!AK9=0,'Parte Estrategica'!AK9=""),0,IF(VLOOKUP($A9,'Matriz de Referencia'!$B$2:$CO$584,44,FALSE)=0,0,"Digite"))</f>
        <v>0</v>
      </c>
      <c r="DF9" s="454">
        <f>IF(OR('Parte Estrategica'!AK9=0,'Parte Estrategica'!AK9=""),0,IF(VLOOKUP($A9,'Matriz de Referencia'!$B$2:$CO$584,45,FALSE)=0,0,"Digite"))</f>
        <v>0</v>
      </c>
      <c r="DG9" s="454">
        <f>IF(OR('Parte Estrategica'!AK9=0,'Parte Estrategica'!AK9=""),0,IF(VLOOKUP($A9,'Matriz de Referencia'!$B$2:$CO$584,46,FALSE)=0,0,"Digite"))</f>
        <v>0</v>
      </c>
      <c r="DH9" s="382">
        <f t="shared" si="22"/>
        <v>0</v>
      </c>
      <c r="DI9" s="454">
        <f>IF(OR('Parte Estrategica'!AK9=0,'Parte Estrategica'!AK9=""),0,IF(VLOOKUP($A9,'Matriz de Referencia'!$B$2:$CO$584,48,FALSE)=0,0,"Digite"))</f>
        <v>0</v>
      </c>
      <c r="DJ9" s="454">
        <f>IF(OR('Parte Estrategica'!AK9=0,'Parte Estrategica'!AK9=""),0,IF(VLOOKUP($A9,'Matriz de Referencia'!$B$2:$CO$584,49,FALSE)=0,0,"Digite"))</f>
        <v>0</v>
      </c>
      <c r="DK9" s="454">
        <f>IF(OR('Parte Estrategica'!AK9=0,'Parte Estrategica'!AK9=""),0,IF(VLOOKUP($A9,'Matriz de Referencia'!$B$2:$CO$584,50,FALSE)=0,0,"Digite"))</f>
        <v>0</v>
      </c>
      <c r="DL9" s="382">
        <f t="shared" si="23"/>
        <v>0</v>
      </c>
      <c r="DM9" s="382">
        <f t="shared" si="24"/>
        <v>0</v>
      </c>
      <c r="DN9" s="382">
        <f t="shared" si="25"/>
        <v>0</v>
      </c>
      <c r="DO9" s="101" t="str">
        <f>IFERROR(IF(DN9=0,"",IF(VLOOKUP($A9,'Matriz de Referencia'!$B$2:$CO$584,52,FALSE)=DN9,"Techos ok, cotinue","Debe revisar el valor programado")),"")</f>
        <v/>
      </c>
      <c r="DP9" s="453">
        <f>IF(OR('Parte Estrategica'!AN9=0,'Parte Estrategica'!AN9=""),0,IF(VLOOKUP($A9,'Matriz de Referencia'!$B$2:$CO$584,53,FALSE)=0,0,"Digite"))</f>
        <v>0</v>
      </c>
      <c r="DQ9" s="454">
        <f>IF(OR('Parte Estrategica'!AN9=0,'Parte Estrategica'!AN9=""),0,IF(VLOOKUP($A9,'Matriz de Referencia'!$B$2:$CO$584,54,FALSE)=0,0,"Digite"))</f>
        <v>0</v>
      </c>
      <c r="DR9" s="454">
        <f>IF(OR('Parte Estrategica'!AN9=0,'Parte Estrategica'!AN9=""),0,IF(VLOOKUP($A9,'Matriz de Referencia'!$B$2:$CO$584,55,FALSE)=0,0,"Digite"))</f>
        <v>0</v>
      </c>
      <c r="DS9" s="454">
        <f>IF(OR('Parte Estrategica'!AN9=0,'Parte Estrategica'!AN9=""),0,IF(VLOOKUP($A9,'Matriz de Referencia'!$B$2:$CO$584,56,FALSE)=0,0,"Digite"))</f>
        <v>0</v>
      </c>
      <c r="DT9" s="454">
        <f>IF(OR('Parte Estrategica'!AN9=0,'Parte Estrategica'!AN9=""),0,IF(VLOOKUP($A9,'Matriz de Referencia'!$B$2:$CO$584,57,FALSE)=0,0,"Digite"))</f>
        <v>0</v>
      </c>
      <c r="DU9" s="454">
        <f>IF(OR('Parte Estrategica'!AN9=0,'Parte Estrategica'!AN9=""),0,IF(VLOOKUP($A9,'Matriz de Referencia'!$B$2:$CO$584,58,FALSE)=0,0,"Digite"))</f>
        <v>0</v>
      </c>
      <c r="DV9" s="454">
        <f>IF(OR('Parte Estrategica'!AN9=0,'Parte Estrategica'!AN9=""),0,IF(VLOOKUP($A9,'Matriz de Referencia'!$B$2:$CO$584,59,FALSE)=0,0,"Digite"))</f>
        <v>0</v>
      </c>
      <c r="DW9" s="454">
        <f>IF(OR('Parte Estrategica'!AN9=0,'Parte Estrategica'!AN9=""),0,IF(VLOOKUP($A9,'Matriz de Referencia'!$B$2:$CO$584,60,FALSE)=0,0,"Digite"))</f>
        <v>0</v>
      </c>
      <c r="DX9" s="382">
        <f t="shared" si="26"/>
        <v>0</v>
      </c>
      <c r="DY9" s="454">
        <f>IF(OR('Parte Estrategica'!AN9=0,'Parte Estrategica'!AN9=""),0,IF(VLOOKUP($A9,'Matriz de Referencia'!$B$2:$CO$584,62,FALSE)=0,0,"Digite"))</f>
        <v>0</v>
      </c>
      <c r="DZ9" s="454">
        <f>IF(OR('Parte Estrategica'!AN9=0,'Parte Estrategica'!AN9=""),0,IF(VLOOKUP($A9,'Matriz de Referencia'!$B$2:$CO$584,63,FALSE)=0,0,"Digite"))</f>
        <v>0</v>
      </c>
      <c r="EA9" s="454" t="str">
        <f>IF(OR('Parte Estrategica'!AN9=0,'Parte Estrategica'!AN9=""),"",IF(VLOOKUP($A9,'Matriz de Referencia'!$B$2:$CO$584,64,FALSE)=0,"","Digite"))</f>
        <v/>
      </c>
      <c r="EB9" s="382">
        <f t="shared" si="27"/>
        <v>0</v>
      </c>
      <c r="EC9" s="382">
        <f t="shared" si="28"/>
        <v>0</v>
      </c>
      <c r="ED9" s="453">
        <f>IF(OR('Parte Estrategica'!AO9=0,'Parte Estrategica'!AO9=""),0,IF(VLOOKUP($A9,'Matriz de Referencia'!$B$2:$CO$584,53,FALSE)=0,0,"Digite"))</f>
        <v>0</v>
      </c>
      <c r="EE9" s="454">
        <f>IF(OR('Parte Estrategica'!AO9=0,'Parte Estrategica'!AO9=""),0,IF(VLOOKUP($A9,'Matriz de Referencia'!$B$2:$CO$584,54,FALSE)=0,0,"Digite"))</f>
        <v>0</v>
      </c>
      <c r="EF9" s="454">
        <f>IF(OR('Parte Estrategica'!AO9=0,'Parte Estrategica'!AO9=""),0,IF(VLOOKUP($A9,'Matriz de Referencia'!$B$2:$CO$584,55,FALSE)=0,0,"Digite"))</f>
        <v>0</v>
      </c>
      <c r="EG9" s="454">
        <f>IF(OR('Parte Estrategica'!AO9=0,'Parte Estrategica'!AO9=""),0,IF(VLOOKUP($A9,'Matriz de Referencia'!$B$2:$CO$584,56,FALSE)=0,0,"Digite"))</f>
        <v>0</v>
      </c>
      <c r="EH9" s="454">
        <f>IF(OR('Parte Estrategica'!AO9=0,'Parte Estrategica'!AO9=""),0,IF(VLOOKUP($A9,'Matriz de Referencia'!$B$2:$CO$584,57,FALSE)=0,0,"Digite"))</f>
        <v>0</v>
      </c>
      <c r="EI9" s="454">
        <f>IF(OR('Parte Estrategica'!AO9=0,'Parte Estrategica'!AO9=""),0,IF(VLOOKUP($A9,'Matriz de Referencia'!$B$2:$CO$584,58,FALSE)=0,0,"Digite"))</f>
        <v>0</v>
      </c>
      <c r="EJ9" s="454">
        <f>IF(OR('Parte Estrategica'!AO9=0,'Parte Estrategica'!AO9=""),0,IF(VLOOKUP($A9,'Matriz de Referencia'!$B$2:$CO$584,59,FALSE)=0,0,"Digite"))</f>
        <v>0</v>
      </c>
      <c r="EK9" s="454">
        <f>IF(OR('Parte Estrategica'!AO9=0,'Parte Estrategica'!AO9=""),0,IF(VLOOKUP($A9,'Matriz de Referencia'!$B$2:$CO$584,60,FALSE)=0,0,"Digite"))</f>
        <v>0</v>
      </c>
      <c r="EL9" s="382">
        <f t="shared" si="29"/>
        <v>0</v>
      </c>
      <c r="EM9" s="454">
        <f>IF(OR('Parte Estrategica'!AO9=0,'Parte Estrategica'!AO9=""),0,IF(VLOOKUP($A9,'Matriz de Referencia'!$B$2:$CO$584,62,FALSE)=0,0,"Digite"))</f>
        <v>0</v>
      </c>
      <c r="EN9" s="454">
        <f>IF(OR('Parte Estrategica'!AO9=0,'Parte Estrategica'!AO9=""),0,IF(VLOOKUP($A9,'Matriz de Referencia'!$B$2:$CO$584,63,FALSE)=0,0,"Digite"))</f>
        <v>0</v>
      </c>
      <c r="EO9" s="454">
        <f>IF(OR('Parte Estrategica'!AO9=0,'Parte Estrategica'!AO9=""),0,IF(VLOOKUP($A9,'Matriz de Referencia'!$B$2:$CO$584,64,FALSE)=0,0,"Digite"))</f>
        <v>0</v>
      </c>
      <c r="EP9" s="382">
        <f t="shared" si="30"/>
        <v>0</v>
      </c>
      <c r="EQ9" s="382">
        <f t="shared" si="31"/>
        <v>0</v>
      </c>
      <c r="ER9" s="453">
        <f>IF(OR('Parte Estrategica'!AP9=0,'Parte Estrategica'!AP9=""),0,IF(VLOOKUP($A9,'Matriz de Referencia'!$B$2:$CO$584,53,FALSE)=0,0,"Digite"))</f>
        <v>0</v>
      </c>
      <c r="ES9" s="454">
        <f>IF(OR('Parte Estrategica'!AP9=0,'Parte Estrategica'!AP9=""),0,IF(VLOOKUP($A9,'Matriz de Referencia'!$B$2:$CO$584,54,FALSE)=0,0,"Digite"))</f>
        <v>0</v>
      </c>
      <c r="ET9" s="454">
        <f>IF(OR('Parte Estrategica'!AP9=0,'Parte Estrategica'!AP9=""),0,IF(VLOOKUP($A9,'Matriz de Referencia'!$B$2:$CO$584,55,FALSE)=0,0,"Digite"))</f>
        <v>0</v>
      </c>
      <c r="EU9" s="454">
        <f>IF(OR('Parte Estrategica'!AP9=0,'Parte Estrategica'!AP9=""),0,IF(VLOOKUP($A9,'Matriz de Referencia'!$B$2:$CO$584,56,FALSE)=0,0,"Digite"))</f>
        <v>0</v>
      </c>
      <c r="EV9" s="454">
        <f>IF(OR('Parte Estrategica'!AP9=0,'Parte Estrategica'!AP9=""),0,IF(VLOOKUP($A9,'Matriz de Referencia'!$B$2:$CO$584,57,FALSE)=0,0,"Digite"))</f>
        <v>0</v>
      </c>
      <c r="EW9" s="454">
        <f>IF(OR('Parte Estrategica'!AP9=0,'Parte Estrategica'!AP9=""),0,IF(VLOOKUP($A9,'Matriz de Referencia'!$B$2:$CO$584,58,FALSE)=0,0,"Digite"))</f>
        <v>0</v>
      </c>
      <c r="EX9" s="454">
        <f>IF(OR('Parte Estrategica'!AP9=0,'Parte Estrategica'!AP9=""),0,IF(VLOOKUP($A9,'Matriz de Referencia'!$B$2:$CO$584,59,FALSE)=0,0,"Digite"))</f>
        <v>0</v>
      </c>
      <c r="EY9" s="454">
        <f>IF(OR('Parte Estrategica'!AP9=0,'Parte Estrategica'!AP9=""),0,IF(VLOOKUP($A9,'Matriz de Referencia'!$B$2:$CO$584,60,FALSE)=0,0,"Digite"))</f>
        <v>0</v>
      </c>
      <c r="EZ9" s="382">
        <f t="shared" si="32"/>
        <v>0</v>
      </c>
      <c r="FA9" s="454">
        <f>IF(OR('Parte Estrategica'!AP9=0,'Parte Estrategica'!AP9=""),0,IF(VLOOKUP($A9,'Matriz de Referencia'!$B$2:$CO$584,62,FALSE)=0,0,"Digite"))</f>
        <v>0</v>
      </c>
      <c r="FB9" s="454">
        <f>IF(OR('Parte Estrategica'!AP9=0,'Parte Estrategica'!AP9=""),0,IF(VLOOKUP($A9,'Matriz de Referencia'!$B$2:$CO$584,63,FALSE)=0,0,"Digite"))</f>
        <v>0</v>
      </c>
      <c r="FC9" s="454">
        <f>IF(OR('Parte Estrategica'!AP9=0,'Parte Estrategica'!AP9=""),0,IF(VLOOKUP($A9,'Matriz de Referencia'!$B$2:$CO$584,64,FALSE)=0,0,"Digite"))</f>
        <v>0</v>
      </c>
      <c r="FD9" s="382">
        <f t="shared" si="33"/>
        <v>0</v>
      </c>
      <c r="FE9" s="382">
        <f t="shared" si="34"/>
        <v>0</v>
      </c>
      <c r="FF9" s="453">
        <f>IF(OR('Parte Estrategica'!AQ9=0,'Parte Estrategica'!AQ9=""),0,IF(VLOOKUP($A9,'Matriz de Referencia'!$B$2:$CO$584,53,FALSE)=0,0,"Digite"))</f>
        <v>0</v>
      </c>
      <c r="FG9" s="454">
        <f>IF(OR('Parte Estrategica'!AQ9=0,'Parte Estrategica'!AQ9=""),0,IF(VLOOKUP($A9,'Matriz de Referencia'!$B$2:$CO$584,54,FALSE)=0,0,"Digite"))</f>
        <v>0</v>
      </c>
      <c r="FH9" s="454">
        <f>IF(OR('Parte Estrategica'!AQ9=0,'Parte Estrategica'!AQ9=""),0,IF(VLOOKUP($A9,'Matriz de Referencia'!$B$2:$CO$584,55,FALSE)=0,0,"Digite"))</f>
        <v>0</v>
      </c>
      <c r="FI9" s="454">
        <f>IF(OR('Parte Estrategica'!AQ9=0,'Parte Estrategica'!AQ9=""),0,IF(VLOOKUP($A9,'Matriz de Referencia'!$B$2:$CO$584,56,FALSE)=0,0,"Digite"))</f>
        <v>0</v>
      </c>
      <c r="FJ9" s="454">
        <f>IF(OR('Parte Estrategica'!AQ9=0,'Parte Estrategica'!AQ9=""),0,IF(VLOOKUP($A9,'Matriz de Referencia'!$B$2:$CO$584,57,FALSE)=0,0,"Digite"))</f>
        <v>0</v>
      </c>
      <c r="FK9" s="454">
        <f>IF(OR('Parte Estrategica'!AQ9=0,'Parte Estrategica'!AQ9=""),0,IF(VLOOKUP($A9,'Matriz de Referencia'!$B$2:$CO$584,58,FALSE)=0,0,"Digite"))</f>
        <v>0</v>
      </c>
      <c r="FL9" s="454">
        <f>IF(OR('Parte Estrategica'!AQ9=0,'Parte Estrategica'!AQ9=""),0,IF(VLOOKUP($A9,'Matriz de Referencia'!$B$2:$CO$584,59,FALSE)=0,0,"Digite"))</f>
        <v>0</v>
      </c>
      <c r="FM9" s="454">
        <f>IF(OR('Parte Estrategica'!AQ9=0,'Parte Estrategica'!AQ9=""),0,IF(VLOOKUP($A9,'Matriz de Referencia'!$B$2:$CO$584,60,FALSE)=0,0,"Digite"))</f>
        <v>0</v>
      </c>
      <c r="FN9" s="382">
        <f t="shared" si="35"/>
        <v>0</v>
      </c>
      <c r="FO9" s="454">
        <f>IF(OR('Parte Estrategica'!AQ9=0,'Parte Estrategica'!AQ9=""),0,IF(VLOOKUP($A9,'Matriz de Referencia'!$B$2:$CO$584,62,FALSE)=0,0,"Digite"))</f>
        <v>0</v>
      </c>
      <c r="FP9" s="454">
        <f>IF(OR('Parte Estrategica'!AQ9=0,'Parte Estrategica'!AQ9=""),0,IF(VLOOKUP($A9,'Matriz de Referencia'!$B$2:$CO$584,63,FALSE)=0,0,"Digite"))</f>
        <v>0</v>
      </c>
      <c r="FQ9" s="454">
        <f>IF(OR('Parte Estrategica'!AQ9=0,'Parte Estrategica'!AQ9=""),0,IF(VLOOKUP($A9,'Matriz de Referencia'!$B$2:$CO$584,64,FALSE)=0,0,"Digite"))</f>
        <v>0</v>
      </c>
      <c r="FR9" s="382">
        <f t="shared" si="36"/>
        <v>0</v>
      </c>
      <c r="FS9" s="382">
        <f t="shared" si="37"/>
        <v>0</v>
      </c>
      <c r="FT9" s="382">
        <f t="shared" si="38"/>
        <v>0</v>
      </c>
      <c r="FU9" s="101" t="str">
        <f>IFERROR(IF(FT9=0,"",IF(VLOOKUP($A9,'Matriz de Referencia'!$B$2:$CO$584,66,FALSE)=FT9,"Techos ok, cotinue","Debe revisar el valor programado")),"")</f>
        <v/>
      </c>
      <c r="FV9" s="453">
        <f>IF(OR('Parte Estrategica'!AT9=0,'Parte Estrategica'!AT9=""),0,IF(VLOOKUP($A9,'Matriz de Referencia'!$B$2:$CO$584,67,FALSE)=0,0,"Digite"))</f>
        <v>0</v>
      </c>
      <c r="FW9" s="454">
        <f>IF(OR('Parte Estrategica'!AT9=0,'Parte Estrategica'!AT9=""),0,IF(VLOOKUP($A9,'Matriz de Referencia'!$B$2:$CO$584,68,FALSE)=0,0,"Digite"))</f>
        <v>0</v>
      </c>
      <c r="FX9" s="454">
        <f>IF(OR('Parte Estrategica'!AT9=0,'Parte Estrategica'!AT9=""),0,IF(VLOOKUP($A9,'Matriz de Referencia'!$B$2:$CO$584,69,FALSE)=0,0,"Digite"))</f>
        <v>0</v>
      </c>
      <c r="FY9" s="454">
        <f>IF(OR('Parte Estrategica'!AT9=0,'Parte Estrategica'!AT9=""),0,IF(VLOOKUP($A9,'Matriz de Referencia'!$B$2:$CO$584,70,FALSE)=0,0,"Digite"))</f>
        <v>0</v>
      </c>
      <c r="FZ9" s="454">
        <f>IF(OR('Parte Estrategica'!AT9=0,'Parte Estrategica'!AT9=""),0,IF(VLOOKUP($A9,'Matriz de Referencia'!$B$2:$CO$584,71,FALSE)=0,0,"Digite"))</f>
        <v>0</v>
      </c>
      <c r="GA9" s="454">
        <f>IF(OR('Parte Estrategica'!AT9=0,'Parte Estrategica'!AT9=""),0,IF(VLOOKUP($A9,'Matriz de Referencia'!$B$2:$CO$584,72,FALSE)=0,0,"Digite"))</f>
        <v>0</v>
      </c>
      <c r="GB9" s="454">
        <f>IF(OR('Parte Estrategica'!AT9=0,'Parte Estrategica'!AT9=""),0,IF(VLOOKUP($A9,'Matriz de Referencia'!$B$2:$CO$584,73,FALSE)=0,0,"Digite"))</f>
        <v>0</v>
      </c>
      <c r="GC9" s="454">
        <f>IF(OR('Parte Estrategica'!AT9=0,'Parte Estrategica'!AT9=""),0,IF(VLOOKUP($A9,'Matriz de Referencia'!$B$2:$CO$584,74,FALSE)=0,0,"Digite"))</f>
        <v>0</v>
      </c>
      <c r="GD9" s="382">
        <f t="shared" si="39"/>
        <v>0</v>
      </c>
      <c r="GE9" s="454">
        <f>IF(OR('Parte Estrategica'!AT9=0,'Parte Estrategica'!AT9=""),0,IF(VLOOKUP($A9,'Matriz de Referencia'!$B$2:$CO$584,76,FALSE)=0,0,"Digite"))</f>
        <v>0</v>
      </c>
      <c r="GF9" s="454">
        <f>IF(OR('Parte Estrategica'!AT9=0,'Parte Estrategica'!AT9=""),0,IF(VLOOKUP($A9,'Matriz de Referencia'!$B$2:$CO$584,77,FALSE)=0,0,"Digite"))</f>
        <v>0</v>
      </c>
      <c r="GG9" s="454">
        <f>IF(OR('Parte Estrategica'!AT9=0,'Parte Estrategica'!AT9=""),0,IF(VLOOKUP($A9,'Matriz de Referencia'!$B$2:$CO$584,78,FALSE)=0,0,"Digite"))</f>
        <v>0</v>
      </c>
      <c r="GH9" s="382">
        <f t="shared" si="40"/>
        <v>0</v>
      </c>
      <c r="GI9" s="382">
        <f t="shared" si="41"/>
        <v>0</v>
      </c>
      <c r="GJ9" s="453">
        <f>IF(OR('Parte Estrategica'!AU9=0,'Parte Estrategica'!AU9=""),0,IF(VLOOKUP($A9,'Matriz de Referencia'!$B$2:$CO$584,67,FALSE)=0,0,"Digite"))</f>
        <v>0</v>
      </c>
      <c r="GK9" s="454">
        <f>IF(OR('Parte Estrategica'!AU9=0,'Parte Estrategica'!AU9=""),0,IF(VLOOKUP($A9,'Matriz de Referencia'!$B$2:$CO$584,68,FALSE)=0,0,"Digite"))</f>
        <v>0</v>
      </c>
      <c r="GL9" s="454">
        <f>IF(OR('Parte Estrategica'!AU9=0,'Parte Estrategica'!AU9=""),0,IF(VLOOKUP($A9,'Matriz de Referencia'!$B$2:$CO$584,69,FALSE)=0,0,"Digite"))</f>
        <v>0</v>
      </c>
      <c r="GM9" s="454">
        <f>IF(OR('Parte Estrategica'!AU9=0,'Parte Estrategica'!AU9=""),0,IF(VLOOKUP($A9,'Matriz de Referencia'!$B$2:$CO$584,70,FALSE)=0,0,"Digite"))</f>
        <v>0</v>
      </c>
      <c r="GN9" s="454">
        <f>IF(OR('Parte Estrategica'!AU9=0,'Parte Estrategica'!AU9=""),0,IF(VLOOKUP($A9,'Matriz de Referencia'!$B$2:$CO$584,71,FALSE)=0,0,"Digite"))</f>
        <v>0</v>
      </c>
      <c r="GO9" s="454">
        <f>IF(OR('Parte Estrategica'!AU9=0,'Parte Estrategica'!AU9=""),0,IF(VLOOKUP($A9,'Matriz de Referencia'!$B$2:$CO$584,72,FALSE)=0,0,"Digite"))</f>
        <v>0</v>
      </c>
      <c r="GP9" s="454">
        <f>IF(OR('Parte Estrategica'!AU9=0,'Parte Estrategica'!AU9=""),0,IF(VLOOKUP($A9,'Matriz de Referencia'!$B$2:$CO$584,73,FALSE)=0,0,"Digite"))</f>
        <v>0</v>
      </c>
      <c r="GQ9" s="454">
        <f>IF(OR('Parte Estrategica'!AU9=0,'Parte Estrategica'!AU9=""),0,IF(VLOOKUP($A9,'Matriz de Referencia'!$B$2:$CO$584,74,FALSE)=0,0,"Digite"))</f>
        <v>0</v>
      </c>
      <c r="GR9" s="382">
        <f t="shared" si="42"/>
        <v>0</v>
      </c>
      <c r="GS9" s="454">
        <f>IF(OR('Parte Estrategica'!AU9=0,'Parte Estrategica'!AU9=""),0,IF(VLOOKUP($A9,'Matriz de Referencia'!$B$2:$CO$584,76,FALSE)=0,0,"Digite"))</f>
        <v>0</v>
      </c>
      <c r="GT9" s="454">
        <f>IF(OR('Parte Estrategica'!AU9=0,'Parte Estrategica'!AU9=""),0,IF(VLOOKUP($A9,'Matriz de Referencia'!$B$2:$CO$584,77,FALSE)=0,0,"Digite"))</f>
        <v>0</v>
      </c>
      <c r="GU9" s="454">
        <f>IF(OR('Parte Estrategica'!AU9=0,'Parte Estrategica'!AU9=""),0,IF(VLOOKUP($A9,'Matriz de Referencia'!$B$2:$CO$584,78,FALSE)=0,0,"Digite"))</f>
        <v>0</v>
      </c>
      <c r="GV9" s="382">
        <f t="shared" si="43"/>
        <v>0</v>
      </c>
      <c r="GW9" s="382">
        <f t="shared" si="44"/>
        <v>0</v>
      </c>
      <c r="GX9" s="453">
        <f>IF(OR('Parte Estrategica'!AV9=0,'Parte Estrategica'!AV9=""),0,IF(VLOOKUP($A9,'Matriz de Referencia'!$B$2:$CO$584,67,FALSE)=0,0,"Digite"))</f>
        <v>0</v>
      </c>
      <c r="GY9" s="454">
        <f>IF(OR('Parte Estrategica'!AV9=0,'Parte Estrategica'!AV9=""),0,IF(VLOOKUP($A9,'Matriz de Referencia'!$B$2:$CO$584,68,FALSE)=0,0,"Digite"))</f>
        <v>0</v>
      </c>
      <c r="GZ9" s="454">
        <f>IF(OR('Parte Estrategica'!AV9=0,'Parte Estrategica'!AV9=""),0,IF(VLOOKUP($A9,'Matriz de Referencia'!$B$2:$CO$584,69,FALSE)=0,0,"Digite"))</f>
        <v>0</v>
      </c>
      <c r="HA9" s="454">
        <f>IF(OR('Parte Estrategica'!AV9=0,'Parte Estrategica'!AV9=""),0,IF(VLOOKUP($A9,'Matriz de Referencia'!$B$2:$CO$584,70,FALSE)=0,0,"Digite"))</f>
        <v>0</v>
      </c>
      <c r="HB9" s="454">
        <f>IF(OR('Parte Estrategica'!AV9=0,'Parte Estrategica'!AV9=""),0,IF(VLOOKUP($A9,'Matriz de Referencia'!$B$2:$CO$584,71,FALSE)=0,0,"Digite"))</f>
        <v>0</v>
      </c>
      <c r="HC9" s="454">
        <f>IF(OR('Parte Estrategica'!AV9=0,'Parte Estrategica'!AV9=""),0,IF(VLOOKUP($A9,'Matriz de Referencia'!$B$2:$CO$584,72,FALSE)=0,0,"Digite"))</f>
        <v>0</v>
      </c>
      <c r="HD9" s="454">
        <f>IF(OR('Parte Estrategica'!AV9=0,'Parte Estrategica'!AV9=""),0,IF(VLOOKUP($A9,'Matriz de Referencia'!$B$2:$CO$584,73,FALSE)=0,0,"Digite"))</f>
        <v>0</v>
      </c>
      <c r="HE9" s="454">
        <f>IF(OR('Parte Estrategica'!AV9=0,'Parte Estrategica'!AV9=""),0,IF(VLOOKUP($A9,'Matriz de Referencia'!$B$2:$CO$584,74,FALSE)=0,0,"Digite"))</f>
        <v>0</v>
      </c>
      <c r="HF9" s="382">
        <f t="shared" si="45"/>
        <v>0</v>
      </c>
      <c r="HG9" s="454">
        <f>IF(OR('Parte Estrategica'!AV9=0,'Parte Estrategica'!AV9=""),0,IF(VLOOKUP($A9,'Matriz de Referencia'!$B$2:$CO$584,76,FALSE)=0,0,"Digite"))</f>
        <v>0</v>
      </c>
      <c r="HH9" s="454">
        <f>IF(OR('Parte Estrategica'!AV9=0,'Parte Estrategica'!AV9=""),0,IF(VLOOKUP($A9,'Matriz de Referencia'!$B$2:$CO$584,77,FALSE)=0,0,"Digite"))</f>
        <v>0</v>
      </c>
      <c r="HI9" s="454">
        <f>IF(OR('Parte Estrategica'!AV9=0,'Parte Estrategica'!AV9=""),0,IF(VLOOKUP($A9,'Matriz de Referencia'!$B$2:$CO$584,78,FALSE)=0,0,"Digite"))</f>
        <v>0</v>
      </c>
      <c r="HJ9" s="382">
        <f t="shared" si="46"/>
        <v>0</v>
      </c>
      <c r="HK9" s="382">
        <f t="shared" si="47"/>
        <v>0</v>
      </c>
      <c r="HL9" s="453">
        <f>IF(OR('Parte Estrategica'!AW9=0,'Parte Estrategica'!AW9=""),0,IF(VLOOKUP($A9,'Matriz de Referencia'!$B$2:$CO$584,67,FALSE)=0,0,"Digite"))</f>
        <v>0</v>
      </c>
      <c r="HM9" s="454">
        <f>IF(OR('Parte Estrategica'!AW9=0,'Parte Estrategica'!AW9=""),0,IF(VLOOKUP($A9,'Matriz de Referencia'!$B$2:$CO$584,68,FALSE)=0,0,"Digite"))</f>
        <v>0</v>
      </c>
      <c r="HN9" s="454">
        <f>IF(OR('Parte Estrategica'!AW9=0,'Parte Estrategica'!AW9=""),0,IF(VLOOKUP($A9,'Matriz de Referencia'!$B$2:$CO$584,69,FALSE)=0,0,"Digite"))</f>
        <v>0</v>
      </c>
      <c r="HO9" s="454">
        <f>IF(OR('Parte Estrategica'!AW9=0,'Parte Estrategica'!AW9=""),0,IF(VLOOKUP($A9,'Matriz de Referencia'!$B$2:$CO$584,70,FALSE)=0,0,"Digite"))</f>
        <v>0</v>
      </c>
      <c r="HP9" s="454">
        <f>IF(OR('Parte Estrategica'!AW9=0,'Parte Estrategica'!AW9=""),0,IF(VLOOKUP($A9,'Matriz de Referencia'!$B$2:$CO$584,71,FALSE)=0,0,"Digite"))</f>
        <v>0</v>
      </c>
      <c r="HQ9" s="454">
        <f>IF(OR('Parte Estrategica'!AW9=0,'Parte Estrategica'!AW9=""),0,IF(VLOOKUP($A9,'Matriz de Referencia'!$B$2:$CO$584,72,FALSE)=0,0,"Digite"))</f>
        <v>0</v>
      </c>
      <c r="HR9" s="454">
        <f>IF(OR('Parte Estrategica'!AW9=0,'Parte Estrategica'!AW9=""),0,IF(VLOOKUP($A9,'Matriz de Referencia'!$B$2:$CO$584,73,FALSE)=0,0,"Digite"))</f>
        <v>0</v>
      </c>
      <c r="HS9" s="454">
        <f>IF(OR('Parte Estrategica'!AW9=0,'Parte Estrategica'!AW9=""),0,IF(VLOOKUP($A9,'Matriz de Referencia'!$B$2:$CO$584,74,FALSE)=0,0,"Digite"))</f>
        <v>0</v>
      </c>
      <c r="HT9" s="382">
        <f t="shared" si="48"/>
        <v>0</v>
      </c>
      <c r="HU9" s="454">
        <f>IF(OR('Parte Estrategica'!AW9=0,'Parte Estrategica'!AW9=""),0,IF(VLOOKUP($A9,'Matriz de Referencia'!$B$2:$CO$584,76,FALSE)=0,0,"Digite"))</f>
        <v>0</v>
      </c>
      <c r="HV9" s="454">
        <f>IF(OR('Parte Estrategica'!AW9=0,'Parte Estrategica'!AW9=""),0,IF(VLOOKUP($A9,'Matriz de Referencia'!$B$2:$CO$584,77,FALSE)=0,0,"Digite"))</f>
        <v>0</v>
      </c>
      <c r="HW9" s="454">
        <f>IF(OR('Parte Estrategica'!AW9=0,'Parte Estrategica'!AW9=""),0,IF(VLOOKUP($A9,'Matriz de Referencia'!$B$2:$CO$584,78,FALSE)=0,0,"Digite"))</f>
        <v>0</v>
      </c>
      <c r="HX9" s="382">
        <f t="shared" si="49"/>
        <v>0</v>
      </c>
      <c r="HY9" s="382">
        <f t="shared" si="50"/>
        <v>0</v>
      </c>
      <c r="HZ9" s="382">
        <f t="shared" si="51"/>
        <v>0</v>
      </c>
      <c r="IA9" s="101" t="str">
        <f>IFERROR(IF(HZ9=0,"",IF(VLOOKUP($A9,'Matriz de Referencia'!$B$2:$CO$584,80,FALSE)=HZ9,"Techos ok, cotinue","Debe revisar el valor programado")),"")</f>
        <v/>
      </c>
      <c r="IB9" s="383">
        <f t="shared" si="52"/>
        <v>0</v>
      </c>
    </row>
    <row r="10" spans="1:236">
      <c r="A10" s="550" t="str">
        <f>IF('Parte Estrategica'!B10=0,"",'Parte Estrategica'!B10)</f>
        <v/>
      </c>
      <c r="B10" s="551" t="str">
        <f>IFERROR(VLOOKUP(A10,'Matriz de Referencia'!$B$2:$P$578,'Matriz de Referencia'!L$1,FALSE),"")</f>
        <v/>
      </c>
      <c r="C10" s="551" t="str">
        <f>IFERROR(VLOOKUP(A10,'Matriz de Referencia'!$B$2:$P$584,'Matriz de Referencia'!M$1,FALSE),"")</f>
        <v/>
      </c>
      <c r="D10" s="455" t="str">
        <f>IF(OR('Parte Estrategica'!AB10=0,'Parte Estrategica'!AB10=""),"",IF(VLOOKUP($A10,'Matriz de Referencia'!$B$2:$CO$584,'Matriz de Referencia'!Z$1,FALSE)=0,"","Digite"))</f>
        <v/>
      </c>
      <c r="E10" s="456">
        <f>IF(OR('Parte Estrategica'!AB10=0,'Parte Estrategica'!AB10=""),0,IF(VLOOKUP($A10,'Matriz de Referencia'!$B$2:$CO$584,26,FALSE)=0,0,"Digite"))</f>
        <v>0</v>
      </c>
      <c r="F10" s="456">
        <f>IF(OR('Parte Estrategica'!AB10=0,'Parte Estrategica'!AB10=""),0,IF(VLOOKUP($A10,'Matriz de Referencia'!$B$2:$CO$584,27,FALSE)=0,0,"Digite"))</f>
        <v>0</v>
      </c>
      <c r="G10" s="456">
        <f>IF(OR('Parte Estrategica'!AB10=0,'Parte Estrategica'!AB10=""),0,IF(VLOOKUP($A10,'Matriz de Referencia'!$B$2:$CO$584,28,FALSE)=0,0,"Digite"))</f>
        <v>0</v>
      </c>
      <c r="H10" s="456">
        <f>IF(OR('Parte Estrategica'!AB10=0,'Parte Estrategica'!AB10=""),0,IF(VLOOKUP($A10,'Matriz de Referencia'!$B$2:$CO$584,29,FALSE)=0,0,"Digite"))</f>
        <v>0</v>
      </c>
      <c r="I10" s="456">
        <f>IF(OR('Parte Estrategica'!AB10=0,'Parte Estrategica'!AB10=""),0,IF(VLOOKUP($A10,'Matriz de Referencia'!$B$2:$CO$584,30,FALSE)=0,0,"Digite"))</f>
        <v>0</v>
      </c>
      <c r="J10" s="456">
        <f>IF(OR('Parte Estrategica'!AB10=0,'Parte Estrategica'!AB10=""),0,IF(VLOOKUP($A10,'Matriz de Referencia'!$B$2:$CO$584,31,FALSE)=0,0,"Digite"))</f>
        <v>0</v>
      </c>
      <c r="K10" s="456">
        <f>IF(OR('Parte Estrategica'!AB10=0,'Parte Estrategica'!AB10=""),0,IF(VLOOKUP($A10,'Matriz de Referencia'!$B$2:$CO$584,32,FALSE)=0,0,"Digite"))</f>
        <v>0</v>
      </c>
      <c r="L10" s="460">
        <f t="shared" si="0"/>
        <v>0</v>
      </c>
      <c r="M10" s="456">
        <f>IF(OR('Parte Estrategica'!AB10=0,'Parte Estrategica'!AB10=""),0,IF(VLOOKUP($A10,'Matriz de Referencia'!$B$2:$CO$584,34,FALSE)=0,0,"Digite"))</f>
        <v>0</v>
      </c>
      <c r="N10" s="456">
        <f>IF(OR('Parte Estrategica'!AB10=0,'Parte Estrategica'!AB10=""),0,IF(VLOOKUP($A10,'Matriz de Referencia'!$B$2:$CO$584,35,FALSE)=0,0,"Digite"))</f>
        <v>0</v>
      </c>
      <c r="O10" s="456">
        <f>IF(OR('Parte Estrategica'!AB10=0,'Parte Estrategica'!AB10=""),0,IF(VLOOKUP($A10,'Matriz de Referencia'!$B$2:$CO$584,36,FALSE)=0,0,"Digite"))</f>
        <v>0</v>
      </c>
      <c r="P10" s="457">
        <f t="shared" si="1"/>
        <v>0</v>
      </c>
      <c r="Q10" s="457">
        <f t="shared" si="2"/>
        <v>0</v>
      </c>
      <c r="R10" s="455">
        <f>IF(OR('Parte Estrategica'!AC10=0,'Parte Estrategica'!AC10=""),0,IF(VLOOKUP($A10,'Matriz de Referencia'!$B$2:$CO$584,25,FALSE)=0,0,"Digite"))</f>
        <v>0</v>
      </c>
      <c r="S10" s="456">
        <f>IF(OR('Parte Estrategica'!AC10=0,'Parte Estrategica'!AC10=""),0,IF(VLOOKUP($A10,'Matriz de Referencia'!$B$2:$CO$584,26,FALSE)=0,0,"Digite"))</f>
        <v>0</v>
      </c>
      <c r="T10" s="456">
        <f>IF(OR('Parte Estrategica'!AC10=0,'Parte Estrategica'!AC10=""),0,IF(VLOOKUP($A10,'Matriz de Referencia'!$B$2:$CO$584,27,FALSE)=0,0,"Digite"))</f>
        <v>0</v>
      </c>
      <c r="U10" s="456">
        <f>IF(OR('Parte Estrategica'!AC10=0,'Parte Estrategica'!AC10=""),0,IF(VLOOKUP($A10,'Matriz de Referencia'!$B$2:$CO$584,28,FALSE)=0,0,"Digite"))</f>
        <v>0</v>
      </c>
      <c r="V10" s="456">
        <f>IF(OR('Parte Estrategica'!AC10=0,'Parte Estrategica'!AC10=""),0,IF(VLOOKUP($A10,'Matriz de Referencia'!$B$2:$CO$584,29,FALSE)=0,0,"Digite"))</f>
        <v>0</v>
      </c>
      <c r="W10" s="456">
        <f>IF(OR('Parte Estrategica'!AC10=0,'Parte Estrategica'!AC10=""),0,IF(VLOOKUP($A10,'Matriz de Referencia'!$B$2:$CO$584,30,FALSE)=0,0,"Digite"))</f>
        <v>0</v>
      </c>
      <c r="X10" s="456">
        <f>IF(OR('Parte Estrategica'!AC10=0,'Parte Estrategica'!AC10=""),0,IF(VLOOKUP($A10,'Matriz de Referencia'!$B$2:$CO$584,31,FALSE)=0,0,"Digite"))</f>
        <v>0</v>
      </c>
      <c r="Y10" s="456">
        <f>IF(OR('Parte Estrategica'!AC10=0,'Parte Estrategica'!AC10=""),0,IF(VLOOKUP($A10,'Matriz de Referencia'!$B$2:$CO$584,32,FALSE)=0,0,"Digite"))</f>
        <v>0</v>
      </c>
      <c r="Z10" s="457">
        <f t="shared" si="3"/>
        <v>0</v>
      </c>
      <c r="AA10" s="456">
        <f>IF(OR('Parte Estrategica'!AC10=0,'Parte Estrategica'!AC10=""),0,IF(VLOOKUP($A10,'Matriz de Referencia'!$B$2:$CO$584,34,FALSE)=0,0,"Digite"))</f>
        <v>0</v>
      </c>
      <c r="AB10" s="456">
        <f>IF(OR('Parte Estrategica'!AC10=0,'Parte Estrategica'!AC10=""),0,IF(VLOOKUP($A10,'Matriz de Referencia'!$B$2:$CO$584,35,FALSE)=0,0,"Digite"))</f>
        <v>0</v>
      </c>
      <c r="AC10" s="456">
        <f>IF(OR('Parte Estrategica'!AC10=0,'Parte Estrategica'!AC10=""),0,IF(VLOOKUP($A10,'Matriz de Referencia'!$B$2:$CO$584,36,FALSE)=0,0,"Digite"))</f>
        <v>0</v>
      </c>
      <c r="AD10" s="457">
        <f t="shared" si="4"/>
        <v>0</v>
      </c>
      <c r="AE10" s="457">
        <f t="shared" si="5"/>
        <v>0</v>
      </c>
      <c r="AF10" s="455">
        <f>IF(OR('Parte Estrategica'!AD10=0,'Parte Estrategica'!AD10=""),0,IF(VLOOKUP($A10,'Matriz de Referencia'!$B$2:$CO$584,25,FALSE)=0,0,"Digite"))</f>
        <v>0</v>
      </c>
      <c r="AG10" s="456">
        <f>IF(OR('Parte Estrategica'!AD10=0,'Parte Estrategica'!AD10=""),0,IF(VLOOKUP($A10,'Matriz de Referencia'!$B$2:$CO$584,26,FALSE)=0,0,"Digite"))</f>
        <v>0</v>
      </c>
      <c r="AH10" s="456">
        <f>IF(OR('Parte Estrategica'!AD10=0,'Parte Estrategica'!AD10=""),0,IF(VLOOKUP($A10,'Matriz de Referencia'!$B$2:$CO$584,27,FALSE)=0,0,"Digite"))</f>
        <v>0</v>
      </c>
      <c r="AI10" s="456">
        <f>IF(OR('Parte Estrategica'!AD10=0,'Parte Estrategica'!AD10=""),0,IF(VLOOKUP($A10,'Matriz de Referencia'!$B$2:$CO$584,28,FALSE)=0,0,"Digite"))</f>
        <v>0</v>
      </c>
      <c r="AJ10" s="456">
        <f>IF(OR('Parte Estrategica'!AD10=0,'Parte Estrategica'!AD10=""),0,IF(VLOOKUP($A10,'Matriz de Referencia'!$B$2:$CO$584,29,FALSE)=0,0,"Digite"))</f>
        <v>0</v>
      </c>
      <c r="AK10" s="456">
        <f>IF(OR('Parte Estrategica'!AD10=0,'Parte Estrategica'!AD10=""),0,IF(VLOOKUP($A10,'Matriz de Referencia'!$B$2:$CO$584,30,FALSE)=0,0,"Digite"))</f>
        <v>0</v>
      </c>
      <c r="AL10" s="456">
        <f>IF(OR('Parte Estrategica'!AD10=0,'Parte Estrategica'!AD10=""),0,IF(VLOOKUP($A10,'Matriz de Referencia'!$B$2:$CO$584,31,FALSE)=0,0,"Digite"))</f>
        <v>0</v>
      </c>
      <c r="AM10" s="456">
        <f>IF(OR('Parte Estrategica'!AD10=0,'Parte Estrategica'!AD10=""),0,IF(VLOOKUP($A10,'Matriz de Referencia'!$B$2:$CO$584,32,FALSE)=0,0,"Digite"))</f>
        <v>0</v>
      </c>
      <c r="AN10" s="457">
        <f t="shared" si="6"/>
        <v>0</v>
      </c>
      <c r="AO10" s="456">
        <f>IF(OR('Parte Estrategica'!AD10=0,'Parte Estrategica'!AD10=""),0,IF(VLOOKUP($A10,'Matriz de Referencia'!$B$2:$CO$584,34,FALSE)=0,0,"Digite"))</f>
        <v>0</v>
      </c>
      <c r="AP10" s="456">
        <f>IF(OR('Parte Estrategica'!AD10=0,'Parte Estrategica'!AD10=""),0,IF(VLOOKUP($A10,'Matriz de Referencia'!$B$2:$CO$584,35,FALSE)=0,0,"Digite"))</f>
        <v>0</v>
      </c>
      <c r="AQ10" s="456">
        <f>IF(OR('Parte Estrategica'!AD10=0,'Parte Estrategica'!AD10=""),0,IF(VLOOKUP($A10,'Matriz de Referencia'!$B$2:$CO$584,36,FALSE)=0,0,"Digite"))</f>
        <v>0</v>
      </c>
      <c r="AR10" s="457">
        <f t="shared" si="7"/>
        <v>0</v>
      </c>
      <c r="AS10" s="457">
        <f t="shared" si="8"/>
        <v>0</v>
      </c>
      <c r="AT10" s="455">
        <f>IF(OR('Parte Estrategica'!AE10=0,'Parte Estrategica'!AE10=""),0,IF(VLOOKUP($A10,'Matriz de Referencia'!$B$2:$CO$584,25,FALSE)=0,0,"Digite"))</f>
        <v>0</v>
      </c>
      <c r="AU10" s="456">
        <f>IF(OR('Parte Estrategica'!AE10=0,'Parte Estrategica'!AE10=""),0,IF(VLOOKUP($A10,'Matriz de Referencia'!$B$2:$CO$584,26,FALSE)=0,0,"Digite"))</f>
        <v>0</v>
      </c>
      <c r="AV10" s="456">
        <f>IF(OR('Parte Estrategica'!AE10=0,'Parte Estrategica'!AE10=""),0,IF(VLOOKUP($A10,'Matriz de Referencia'!$B$2:$CO$584,27,FALSE)=0,0,"Digite"))</f>
        <v>0</v>
      </c>
      <c r="AW10" s="456">
        <f>IF(OR('Parte Estrategica'!AE10=0,'Parte Estrategica'!AE10=""),0,IF(VLOOKUP($A10,'Matriz de Referencia'!$B$2:$CO$584,28,FALSE)=0,0,"Digite"))</f>
        <v>0</v>
      </c>
      <c r="AX10" s="456">
        <f>IF(OR('Parte Estrategica'!AE10=0,'Parte Estrategica'!AE10=""),0,IF(VLOOKUP($A10,'Matriz de Referencia'!$B$2:$CO$584,29,FALSE)=0,0,"Digite"))</f>
        <v>0</v>
      </c>
      <c r="AY10" s="456">
        <f>IF(OR('Parte Estrategica'!AE10=0,'Parte Estrategica'!AE10=""),0,IF(VLOOKUP($A10,'Matriz de Referencia'!$B$2:$CO$584,30,FALSE)=0,0,"Digite"))</f>
        <v>0</v>
      </c>
      <c r="AZ10" s="456">
        <f>IF(OR('Parte Estrategica'!AE10=0,'Parte Estrategica'!AE10=""),0,IF(VLOOKUP($A10,'Matriz de Referencia'!$B$2:$CO$584,31,FALSE)=0,0,"Digite"))</f>
        <v>0</v>
      </c>
      <c r="BA10" s="456">
        <f>IF(OR('Parte Estrategica'!AE10=0,'Parte Estrategica'!AE10=""),0,IF(VLOOKUP($A10,'Matriz de Referencia'!$B$2:$CO$584,32,FALSE)=0,0,"Digite"))</f>
        <v>0</v>
      </c>
      <c r="BB10" s="457">
        <f t="shared" si="9"/>
        <v>0</v>
      </c>
      <c r="BC10" s="456">
        <f>IF(OR('Parte Estrategica'!AE10=0,'Parte Estrategica'!AE10=""),0,IF(VLOOKUP($A10,'Matriz de Referencia'!$B$2:$CO$584,34,FALSE)=0,0,"Digite"))</f>
        <v>0</v>
      </c>
      <c r="BD10" s="456">
        <f>IF(OR('Parte Estrategica'!AE10=0,'Parte Estrategica'!AE10=""),0,IF(VLOOKUP($A10,'Matriz de Referencia'!$B$2:$CO$584,35,FALSE)=0,0,"Digite"))</f>
        <v>0</v>
      </c>
      <c r="BE10" s="456">
        <f>IF(OR('Parte Estrategica'!AE10=0,'Parte Estrategica'!AE10=""),0,IF(VLOOKUP($A10,'Matriz de Referencia'!$B$2:$CO$584,36,FALSE)=0,0,"Digite"))</f>
        <v>0</v>
      </c>
      <c r="BF10" s="457">
        <f t="shared" si="10"/>
        <v>0</v>
      </c>
      <c r="BG10" s="457">
        <f t="shared" si="11"/>
        <v>0</v>
      </c>
      <c r="BH10" s="457">
        <f t="shared" si="12"/>
        <v>0</v>
      </c>
      <c r="BI10" s="101" t="str">
        <f>IFERROR(IF(BH10=0,"",IF(VLOOKUP($A10,'Matriz de Referencia'!$B$2:$CO$584,'Matriz de Referencia'!AM$1,FALSE)=BH10,"Techos ok, cotinue","Debe revisar el valor programado")),"")</f>
        <v/>
      </c>
      <c r="BJ10" s="453">
        <f>IF(OR('Parte Estrategica'!AH10=0,'Parte Estrategica'!AH10=""),0,IF(VLOOKUP($A10,'Matriz de Referencia'!$B$2:$CO$584,39,FALSE)=0,0,"Digite"))</f>
        <v>0</v>
      </c>
      <c r="BK10" s="454">
        <f>IF(OR('Parte Estrategica'!AH10=0,'Parte Estrategica'!AH10=""),0,IF(VLOOKUP($A10,'Matriz de Referencia'!$B$2:$CO$584,40,FALSE)=0,0,"Digite"))</f>
        <v>0</v>
      </c>
      <c r="BL10" s="454">
        <f>IF(OR('Parte Estrategica'!AH10=0,'Parte Estrategica'!AH10=""),0,IF(VLOOKUP($A10,'Matriz de Referencia'!$B$2:$CO$584,41,FALSE)=0,0,"Digite"))</f>
        <v>0</v>
      </c>
      <c r="BM10" s="454">
        <f>IF(OR('Parte Estrategica'!AH10=0,'Parte Estrategica'!AH10=""),0,IF(VLOOKUP($A10,'Matriz de Referencia'!$B$2:$CO$584,42,FALSE)=0,0,"Digite"))</f>
        <v>0</v>
      </c>
      <c r="BN10" s="454">
        <f>IF(OR('Parte Estrategica'!AH10=0,'Parte Estrategica'!AH10=""),0,IF(VLOOKUP($A10,'Matriz de Referencia'!$B$2:$CO$584,43,FALSE)=0,0,"Digite"))</f>
        <v>0</v>
      </c>
      <c r="BO10" s="454">
        <f>IF(OR('Parte Estrategica'!AH10=0,'Parte Estrategica'!AH10=""),0,IF(VLOOKUP($A10,'Matriz de Referencia'!$B$2:$CO$584,44,FALSE)=0,0,"Digite"))</f>
        <v>0</v>
      </c>
      <c r="BP10" s="454">
        <f>IF(OR('Parte Estrategica'!AH10=0,'Parte Estrategica'!AH10=""),0,IF(VLOOKUP($A10,'Matriz de Referencia'!$B$2:$CO$584,45,FALSE)=0,0,"Digite"))</f>
        <v>0</v>
      </c>
      <c r="BQ10" s="454">
        <f>IF(OR('Parte Estrategica'!AH10=0,'Parte Estrategica'!AH10=""),0,IF(VLOOKUP($A10,'Matriz de Referencia'!$B$2:$CO$584,46,FALSE)=0,0,"Digite"))</f>
        <v>0</v>
      </c>
      <c r="BR10" s="382">
        <f t="shared" si="13"/>
        <v>0</v>
      </c>
      <c r="BS10" s="454">
        <f>IF(OR('Parte Estrategica'!CL10=0,'Parte Estrategica'!CL10=""),0,IF(VLOOKUP($A10,'Matriz de Referencia'!$B$2:$CO$584,48,FALSE)=0,0,"Digite"))</f>
        <v>0</v>
      </c>
      <c r="BT10" s="454">
        <f>IF(OR('Parte Estrategica'!CL10=0,'Parte Estrategica'!CL10=""),0,IF(VLOOKUP($A10,'Matriz de Referencia'!$B$2:$CO$584,49,FALSE)=0,0,"Digite"))</f>
        <v>0</v>
      </c>
      <c r="BU10" s="454">
        <f>IF(OR('Parte Estrategica'!CL10=0,'Parte Estrategica'!CL10=""),0,IF(VLOOKUP($A10,'Matriz de Referencia'!$B$2:$CO$584,50,FALSE)=0,0,"Digite"))</f>
        <v>0</v>
      </c>
      <c r="BV10" s="382">
        <f t="shared" si="14"/>
        <v>0</v>
      </c>
      <c r="BW10" s="382">
        <f t="shared" si="15"/>
        <v>0</v>
      </c>
      <c r="BX10" s="453">
        <f>IF(OR('Parte Estrategica'!AI10=0,'Parte Estrategica'!AI10=""),0,IF(VLOOKUP($A10,'Matriz de Referencia'!$B$2:$CO$584,39,FALSE)=0,0,"Digite"))</f>
        <v>0</v>
      </c>
      <c r="BY10" s="454">
        <f>IF(OR('Parte Estrategica'!AI10=0,'Parte Estrategica'!AI10=""),0,IF(VLOOKUP($A10,'Matriz de Referencia'!$B$2:$CO$584,40,FALSE)=0,0,"Digite"))</f>
        <v>0</v>
      </c>
      <c r="BZ10" s="454">
        <f>IF(OR('Parte Estrategica'!AI10=0,'Parte Estrategica'!AI10=""),0,IF(VLOOKUP($A10,'Matriz de Referencia'!$B$2:$CO$584,41,FALSE)=0,0,"Digite"))</f>
        <v>0</v>
      </c>
      <c r="CA10" s="454">
        <f>IF(OR('Parte Estrategica'!AI10=0,'Parte Estrategica'!AI10=""),0,IF(VLOOKUP($A10,'Matriz de Referencia'!$B$2:$CO$584,42,FALSE)=0,0,"Digite"))</f>
        <v>0</v>
      </c>
      <c r="CB10" s="454">
        <f>IF(OR('Parte Estrategica'!AI10=0,'Parte Estrategica'!AI10=""),0,IF(VLOOKUP($A10,'Matriz de Referencia'!$B$2:$CO$584,43,FALSE)=0,0,"Digite"))</f>
        <v>0</v>
      </c>
      <c r="CC10" s="454">
        <f>IF(OR('Parte Estrategica'!AI10=0,'Parte Estrategica'!AI10=""),0,IF(VLOOKUP($A10,'Matriz de Referencia'!$B$2:$CO$584,44,FALSE)=0,0,"Digite"))</f>
        <v>0</v>
      </c>
      <c r="CD10" s="454">
        <f>IF(OR('Parte Estrategica'!AI10=0,'Parte Estrategica'!AI10=""),0,IF(VLOOKUP($A10,'Matriz de Referencia'!$B$2:$CO$584,45,FALSE)=0,0,"Digite"))</f>
        <v>0</v>
      </c>
      <c r="CE10" s="454">
        <f>IF(OR('Parte Estrategica'!AI10=0,'Parte Estrategica'!AI10=""),0,IF(VLOOKUP($A10,'Matriz de Referencia'!$B$2:$CO$584,46,FALSE)=0,0,"Digite"))</f>
        <v>0</v>
      </c>
      <c r="CF10" s="382">
        <f t="shared" si="16"/>
        <v>0</v>
      </c>
      <c r="CG10" s="454">
        <f>IF(OR('Parte Estrategica'!AI10=0,'Parte Estrategica'!AI10=""),0,IF(VLOOKUP($A10,'Matriz de Referencia'!$B$2:$CO$584,48,FALSE)=0,0,"Digite"))</f>
        <v>0</v>
      </c>
      <c r="CH10" s="454">
        <f>IF(OR('Parte Estrategica'!AI10=0,'Parte Estrategica'!AI10=""),0,IF(VLOOKUP($A10,'Matriz de Referencia'!$B$2:$CO$584,49,FALSE)=0,0,"Digite"))</f>
        <v>0</v>
      </c>
      <c r="CI10" s="454">
        <f>IF(OR('Parte Estrategica'!AI10=0,'Parte Estrategica'!AI10=""),0,IF(VLOOKUP($A10,'Matriz de Referencia'!$B$2:$CO$584,50,FALSE)=0,0,"Digite"))</f>
        <v>0</v>
      </c>
      <c r="CJ10" s="382">
        <f t="shared" si="17"/>
        <v>0</v>
      </c>
      <c r="CK10" s="382">
        <f t="shared" si="18"/>
        <v>0</v>
      </c>
      <c r="CL10" s="453">
        <f>IF(OR('Parte Estrategica'!AJ10=0,'Parte Estrategica'!AJ10=""),0,IF(VLOOKUP($A10,'Matriz de Referencia'!$B$2:$CO$584,39,FALSE)=0,0,"Digite"))</f>
        <v>0</v>
      </c>
      <c r="CM10" s="454">
        <f>IF(OR('Parte Estrategica'!AJ10=0,'Parte Estrategica'!AJ10=""),0,IF(VLOOKUP($A10,'Matriz de Referencia'!$B$2:$CO$584,40,FALSE)=0,0,"Digite"))</f>
        <v>0</v>
      </c>
      <c r="CN10" s="454">
        <f>IF(OR('Parte Estrategica'!AJ10=0,'Parte Estrategica'!AJ10=""),0,IF(VLOOKUP($A10,'Matriz de Referencia'!$B$2:$CO$584,41,FALSE)=0,0,"Digite"))</f>
        <v>0</v>
      </c>
      <c r="CO10" s="454">
        <f>IF(OR('Parte Estrategica'!AJ10=0,'Parte Estrategica'!AJ10=""),0,IF(VLOOKUP($A10,'Matriz de Referencia'!$B$2:$CO$584,42,FALSE)=0,0,"Digite"))</f>
        <v>0</v>
      </c>
      <c r="CP10" s="454">
        <f>IF(OR('Parte Estrategica'!AJ10=0,'Parte Estrategica'!AJ10=""),0,IF(VLOOKUP($A10,'Matriz de Referencia'!$B$2:$CO$584,43,FALSE)=0,0,"Digite"))</f>
        <v>0</v>
      </c>
      <c r="CQ10" s="454">
        <f>IF(OR('Parte Estrategica'!AJ10=0,'Parte Estrategica'!AJ10=""),0,IF(VLOOKUP($A10,'Matriz de Referencia'!$B$2:$CO$584,44,FALSE)=0,0,"Digite"))</f>
        <v>0</v>
      </c>
      <c r="CR10" s="454">
        <f>IF(OR('Parte Estrategica'!AJ10=0,'Parte Estrategica'!AJ10=""),0,IF(VLOOKUP($A10,'Matriz de Referencia'!$B$2:$CO$584,45,FALSE)=0,0,"Digite"))</f>
        <v>0</v>
      </c>
      <c r="CS10" s="454">
        <f>IF(OR('Parte Estrategica'!AJ10=0,'Parte Estrategica'!AJ10=""),0,IF(VLOOKUP($A10,'Matriz de Referencia'!$B$2:$CO$584,46,FALSE)=0,0,"Digite"))</f>
        <v>0</v>
      </c>
      <c r="CT10" s="382">
        <f t="shared" si="19"/>
        <v>0</v>
      </c>
      <c r="CU10" s="454">
        <f>IF(OR('Parte Estrategica'!AJ10=0,'Parte Estrategica'!AJ10=""),0,IF(VLOOKUP($A10,'Matriz de Referencia'!$B$2:$CO$584,48,FALSE)=0,0,"Digite"))</f>
        <v>0</v>
      </c>
      <c r="CV10" s="454">
        <f>IF(OR('Parte Estrategica'!AJ10=0,'Parte Estrategica'!AJ10=""),0,IF(VLOOKUP($A10,'Matriz de Referencia'!$B$2:$CO$584,49,FALSE)=0,0,"Digite"))</f>
        <v>0</v>
      </c>
      <c r="CW10" s="454">
        <f>IF(OR('Parte Estrategica'!AJ10=0,'Parte Estrategica'!AJ10=""),0,IF(VLOOKUP($A10,'Matriz de Referencia'!$B$2:$CO$584,50,FALSE)=0,0,"Digite"))</f>
        <v>0</v>
      </c>
      <c r="CX10" s="382">
        <f t="shared" si="20"/>
        <v>0</v>
      </c>
      <c r="CY10" s="382">
        <f t="shared" si="21"/>
        <v>0</v>
      </c>
      <c r="CZ10" s="453">
        <f>IF(OR('Parte Estrategica'!AK10=0,'Parte Estrategica'!AK10=""),0,IF(VLOOKUP($A10,'Matriz de Referencia'!$B$2:$CO$584,39,FALSE)=0,0,"Digite"))</f>
        <v>0</v>
      </c>
      <c r="DA10" s="454">
        <f>IF(OR('Parte Estrategica'!AK10=0,'Parte Estrategica'!AK10=""),0,IF(VLOOKUP($A10,'Matriz de Referencia'!$B$2:$CO$584,40,FALSE)=0,0,"Digite"))</f>
        <v>0</v>
      </c>
      <c r="DB10" s="454">
        <f>IF(OR('Parte Estrategica'!AK10=0,'Parte Estrategica'!AK10=""),0,IF(VLOOKUP($A10,'Matriz de Referencia'!$B$2:$CO$584,41,FALSE)=0,0,"Digite"))</f>
        <v>0</v>
      </c>
      <c r="DC10" s="454">
        <f>IF(OR('Parte Estrategica'!AK10=0,'Parte Estrategica'!AK10=""),0,IF(VLOOKUP($A10,'Matriz de Referencia'!$B$2:$CO$584,42,FALSE)=0,0,"Digite"))</f>
        <v>0</v>
      </c>
      <c r="DD10" s="454">
        <f>IF(OR('Parte Estrategica'!AK10=0,'Parte Estrategica'!AK10=""),0,IF(VLOOKUP($A10,'Matriz de Referencia'!$B$2:$CO$584,43,FALSE)=0,0,"Digite"))</f>
        <v>0</v>
      </c>
      <c r="DE10" s="454">
        <f>IF(OR('Parte Estrategica'!AK10=0,'Parte Estrategica'!AK10=""),0,IF(VLOOKUP($A10,'Matriz de Referencia'!$B$2:$CO$584,44,FALSE)=0,0,"Digite"))</f>
        <v>0</v>
      </c>
      <c r="DF10" s="454">
        <f>IF(OR('Parte Estrategica'!AK10=0,'Parte Estrategica'!AK10=""),0,IF(VLOOKUP($A10,'Matriz de Referencia'!$B$2:$CO$584,45,FALSE)=0,0,"Digite"))</f>
        <v>0</v>
      </c>
      <c r="DG10" s="454">
        <f>IF(OR('Parte Estrategica'!AK10=0,'Parte Estrategica'!AK10=""),0,IF(VLOOKUP($A10,'Matriz de Referencia'!$B$2:$CO$584,46,FALSE)=0,0,"Digite"))</f>
        <v>0</v>
      </c>
      <c r="DH10" s="382">
        <f t="shared" si="22"/>
        <v>0</v>
      </c>
      <c r="DI10" s="454">
        <f>IF(OR('Parte Estrategica'!AK10=0,'Parte Estrategica'!AK10=""),0,IF(VLOOKUP($A10,'Matriz de Referencia'!$B$2:$CO$584,48,FALSE)=0,0,"Digite"))</f>
        <v>0</v>
      </c>
      <c r="DJ10" s="454">
        <f>IF(OR('Parte Estrategica'!AK10=0,'Parte Estrategica'!AK10=""),0,IF(VLOOKUP($A10,'Matriz de Referencia'!$B$2:$CO$584,49,FALSE)=0,0,"Digite"))</f>
        <v>0</v>
      </c>
      <c r="DK10" s="454">
        <f>IF(OR('Parte Estrategica'!AK10=0,'Parte Estrategica'!AK10=""),0,IF(VLOOKUP($A10,'Matriz de Referencia'!$B$2:$CO$584,50,FALSE)=0,0,"Digite"))</f>
        <v>0</v>
      </c>
      <c r="DL10" s="382">
        <f t="shared" si="23"/>
        <v>0</v>
      </c>
      <c r="DM10" s="382">
        <f t="shared" si="24"/>
        <v>0</v>
      </c>
      <c r="DN10" s="382">
        <f t="shared" si="25"/>
        <v>0</v>
      </c>
      <c r="DO10" s="101" t="str">
        <f>IFERROR(IF(DN10=0,"",IF(VLOOKUP($A10,'Matriz de Referencia'!$B$2:$CO$584,52,FALSE)=DN10,"Techos ok, cotinue","Debe revisar el valor programado")),"")</f>
        <v/>
      </c>
      <c r="DP10" s="453">
        <f>IF(OR('Parte Estrategica'!AN10=0,'Parte Estrategica'!AN10=""),0,IF(VLOOKUP($A10,'Matriz de Referencia'!$B$2:$CO$584,53,FALSE)=0,0,"Digite"))</f>
        <v>0</v>
      </c>
      <c r="DQ10" s="454">
        <f>IF(OR('Parte Estrategica'!AN10=0,'Parte Estrategica'!AN10=""),0,IF(VLOOKUP($A10,'Matriz de Referencia'!$B$2:$CO$584,54,FALSE)=0,0,"Digite"))</f>
        <v>0</v>
      </c>
      <c r="DR10" s="454">
        <f>IF(OR('Parte Estrategica'!AN10=0,'Parte Estrategica'!AN10=""),0,IF(VLOOKUP($A10,'Matriz de Referencia'!$B$2:$CO$584,55,FALSE)=0,0,"Digite"))</f>
        <v>0</v>
      </c>
      <c r="DS10" s="454">
        <f>IF(OR('Parte Estrategica'!AN10=0,'Parte Estrategica'!AN10=""),0,IF(VLOOKUP($A10,'Matriz de Referencia'!$B$2:$CO$584,56,FALSE)=0,0,"Digite"))</f>
        <v>0</v>
      </c>
      <c r="DT10" s="454">
        <f>IF(OR('Parte Estrategica'!AN10=0,'Parte Estrategica'!AN10=""),0,IF(VLOOKUP($A10,'Matriz de Referencia'!$B$2:$CO$584,57,FALSE)=0,0,"Digite"))</f>
        <v>0</v>
      </c>
      <c r="DU10" s="454">
        <f>IF(OR('Parte Estrategica'!AN10=0,'Parte Estrategica'!AN10=""),0,IF(VLOOKUP($A10,'Matriz de Referencia'!$B$2:$CO$584,58,FALSE)=0,0,"Digite"))</f>
        <v>0</v>
      </c>
      <c r="DV10" s="454">
        <f>IF(OR('Parte Estrategica'!AN10=0,'Parte Estrategica'!AN10=""),0,IF(VLOOKUP($A10,'Matriz de Referencia'!$B$2:$CO$584,59,FALSE)=0,0,"Digite"))</f>
        <v>0</v>
      </c>
      <c r="DW10" s="454">
        <f>IF(OR('Parte Estrategica'!AN10=0,'Parte Estrategica'!AN10=""),0,IF(VLOOKUP($A10,'Matriz de Referencia'!$B$2:$CO$584,60,FALSE)=0,0,"Digite"))</f>
        <v>0</v>
      </c>
      <c r="DX10" s="382">
        <f t="shared" si="26"/>
        <v>0</v>
      </c>
      <c r="DY10" s="454">
        <f>IF(OR('Parte Estrategica'!AN10=0,'Parte Estrategica'!AN10=""),0,IF(VLOOKUP($A10,'Matriz de Referencia'!$B$2:$CO$584,62,FALSE)=0,0,"Digite"))</f>
        <v>0</v>
      </c>
      <c r="DZ10" s="454">
        <f>IF(OR('Parte Estrategica'!AN10=0,'Parte Estrategica'!AN10=""),0,IF(VLOOKUP($A10,'Matriz de Referencia'!$B$2:$CO$584,63,FALSE)=0,0,"Digite"))</f>
        <v>0</v>
      </c>
      <c r="EA10" s="454" t="str">
        <f>IF(OR('Parte Estrategica'!AN10=0,'Parte Estrategica'!AN10=""),"",IF(VLOOKUP($A10,'Matriz de Referencia'!$B$2:$CO$584,64,FALSE)=0,"","Digite"))</f>
        <v/>
      </c>
      <c r="EB10" s="382">
        <f t="shared" si="27"/>
        <v>0</v>
      </c>
      <c r="EC10" s="382">
        <f t="shared" si="28"/>
        <v>0</v>
      </c>
      <c r="ED10" s="453">
        <f>IF(OR('Parte Estrategica'!AO10=0,'Parte Estrategica'!AO10=""),0,IF(VLOOKUP($A10,'Matriz de Referencia'!$B$2:$CO$584,53,FALSE)=0,0,"Digite"))</f>
        <v>0</v>
      </c>
      <c r="EE10" s="454">
        <f>IF(OR('Parte Estrategica'!AO10=0,'Parte Estrategica'!AO10=""),0,IF(VLOOKUP($A10,'Matriz de Referencia'!$B$2:$CO$584,54,FALSE)=0,0,"Digite"))</f>
        <v>0</v>
      </c>
      <c r="EF10" s="454">
        <f>IF(OR('Parte Estrategica'!AO10=0,'Parte Estrategica'!AO10=""),0,IF(VLOOKUP($A10,'Matriz de Referencia'!$B$2:$CO$584,55,FALSE)=0,0,"Digite"))</f>
        <v>0</v>
      </c>
      <c r="EG10" s="454">
        <f>IF(OR('Parte Estrategica'!AO10=0,'Parte Estrategica'!AO10=""),0,IF(VLOOKUP($A10,'Matriz de Referencia'!$B$2:$CO$584,56,FALSE)=0,0,"Digite"))</f>
        <v>0</v>
      </c>
      <c r="EH10" s="454">
        <f>IF(OR('Parte Estrategica'!AO10=0,'Parte Estrategica'!AO10=""),0,IF(VLOOKUP($A10,'Matriz de Referencia'!$B$2:$CO$584,57,FALSE)=0,0,"Digite"))</f>
        <v>0</v>
      </c>
      <c r="EI10" s="454">
        <f>IF(OR('Parte Estrategica'!AO10=0,'Parte Estrategica'!AO10=""),0,IF(VLOOKUP($A10,'Matriz de Referencia'!$B$2:$CO$584,58,FALSE)=0,0,"Digite"))</f>
        <v>0</v>
      </c>
      <c r="EJ10" s="454">
        <f>IF(OR('Parte Estrategica'!AO10=0,'Parte Estrategica'!AO10=""),0,IF(VLOOKUP($A10,'Matriz de Referencia'!$B$2:$CO$584,59,FALSE)=0,0,"Digite"))</f>
        <v>0</v>
      </c>
      <c r="EK10" s="454">
        <f>IF(OR('Parte Estrategica'!AO10=0,'Parte Estrategica'!AO10=""),0,IF(VLOOKUP($A10,'Matriz de Referencia'!$B$2:$CO$584,60,FALSE)=0,0,"Digite"))</f>
        <v>0</v>
      </c>
      <c r="EL10" s="382">
        <f t="shared" si="29"/>
        <v>0</v>
      </c>
      <c r="EM10" s="454">
        <f>IF(OR('Parte Estrategica'!AO10=0,'Parte Estrategica'!AO10=""),0,IF(VLOOKUP($A10,'Matriz de Referencia'!$B$2:$CO$584,62,FALSE)=0,0,"Digite"))</f>
        <v>0</v>
      </c>
      <c r="EN10" s="454">
        <f>IF(OR('Parte Estrategica'!AO10=0,'Parte Estrategica'!AO10=""),0,IF(VLOOKUP($A10,'Matriz de Referencia'!$B$2:$CO$584,63,FALSE)=0,0,"Digite"))</f>
        <v>0</v>
      </c>
      <c r="EO10" s="454">
        <f>IF(OR('Parte Estrategica'!AO10=0,'Parte Estrategica'!AO10=""),0,IF(VLOOKUP($A10,'Matriz de Referencia'!$B$2:$CO$584,64,FALSE)=0,0,"Digite"))</f>
        <v>0</v>
      </c>
      <c r="EP10" s="382">
        <f t="shared" si="30"/>
        <v>0</v>
      </c>
      <c r="EQ10" s="382">
        <f t="shared" si="31"/>
        <v>0</v>
      </c>
      <c r="ER10" s="453">
        <f>IF(OR('Parte Estrategica'!AP10=0,'Parte Estrategica'!AP10=""),0,IF(VLOOKUP($A10,'Matriz de Referencia'!$B$2:$CO$584,53,FALSE)=0,0,"Digite"))</f>
        <v>0</v>
      </c>
      <c r="ES10" s="454">
        <f>IF(OR('Parte Estrategica'!AP10=0,'Parte Estrategica'!AP10=""),0,IF(VLOOKUP($A10,'Matriz de Referencia'!$B$2:$CO$584,54,FALSE)=0,0,"Digite"))</f>
        <v>0</v>
      </c>
      <c r="ET10" s="454">
        <f>IF(OR('Parte Estrategica'!AP10=0,'Parte Estrategica'!AP10=""),0,IF(VLOOKUP($A10,'Matriz de Referencia'!$B$2:$CO$584,55,FALSE)=0,0,"Digite"))</f>
        <v>0</v>
      </c>
      <c r="EU10" s="454">
        <f>IF(OR('Parte Estrategica'!AP10=0,'Parte Estrategica'!AP10=""),0,IF(VLOOKUP($A10,'Matriz de Referencia'!$B$2:$CO$584,56,FALSE)=0,0,"Digite"))</f>
        <v>0</v>
      </c>
      <c r="EV10" s="454">
        <f>IF(OR('Parte Estrategica'!AP10=0,'Parte Estrategica'!AP10=""),0,IF(VLOOKUP($A10,'Matriz de Referencia'!$B$2:$CO$584,57,FALSE)=0,0,"Digite"))</f>
        <v>0</v>
      </c>
      <c r="EW10" s="454">
        <f>IF(OR('Parte Estrategica'!AP10=0,'Parte Estrategica'!AP10=""),0,IF(VLOOKUP($A10,'Matriz de Referencia'!$B$2:$CO$584,58,FALSE)=0,0,"Digite"))</f>
        <v>0</v>
      </c>
      <c r="EX10" s="454">
        <f>IF(OR('Parte Estrategica'!AP10=0,'Parte Estrategica'!AP10=""),0,IF(VLOOKUP($A10,'Matriz de Referencia'!$B$2:$CO$584,59,FALSE)=0,0,"Digite"))</f>
        <v>0</v>
      </c>
      <c r="EY10" s="454">
        <f>IF(OR('Parte Estrategica'!AP10=0,'Parte Estrategica'!AP10=""),0,IF(VLOOKUP($A10,'Matriz de Referencia'!$B$2:$CO$584,60,FALSE)=0,0,"Digite"))</f>
        <v>0</v>
      </c>
      <c r="EZ10" s="382">
        <f t="shared" si="32"/>
        <v>0</v>
      </c>
      <c r="FA10" s="454">
        <f>IF(OR('Parte Estrategica'!AP10=0,'Parte Estrategica'!AP10=""),0,IF(VLOOKUP($A10,'Matriz de Referencia'!$B$2:$CO$584,62,FALSE)=0,0,"Digite"))</f>
        <v>0</v>
      </c>
      <c r="FB10" s="454">
        <f>IF(OR('Parte Estrategica'!AP10=0,'Parte Estrategica'!AP10=""),0,IF(VLOOKUP($A10,'Matriz de Referencia'!$B$2:$CO$584,63,FALSE)=0,0,"Digite"))</f>
        <v>0</v>
      </c>
      <c r="FC10" s="454">
        <f>IF(OR('Parte Estrategica'!AP10=0,'Parte Estrategica'!AP10=""),0,IF(VLOOKUP($A10,'Matriz de Referencia'!$B$2:$CO$584,64,FALSE)=0,0,"Digite"))</f>
        <v>0</v>
      </c>
      <c r="FD10" s="382">
        <f t="shared" si="33"/>
        <v>0</v>
      </c>
      <c r="FE10" s="382">
        <f t="shared" si="34"/>
        <v>0</v>
      </c>
      <c r="FF10" s="453">
        <f>IF(OR('Parte Estrategica'!AQ10=0,'Parte Estrategica'!AQ10=""),0,IF(VLOOKUP($A10,'Matriz de Referencia'!$B$2:$CO$584,53,FALSE)=0,0,"Digite"))</f>
        <v>0</v>
      </c>
      <c r="FG10" s="454">
        <f>IF(OR('Parte Estrategica'!AQ10=0,'Parte Estrategica'!AQ10=""),0,IF(VLOOKUP($A10,'Matriz de Referencia'!$B$2:$CO$584,54,FALSE)=0,0,"Digite"))</f>
        <v>0</v>
      </c>
      <c r="FH10" s="454">
        <f>IF(OR('Parte Estrategica'!AQ10=0,'Parte Estrategica'!AQ10=""),0,IF(VLOOKUP($A10,'Matriz de Referencia'!$B$2:$CO$584,55,FALSE)=0,0,"Digite"))</f>
        <v>0</v>
      </c>
      <c r="FI10" s="454">
        <f>IF(OR('Parte Estrategica'!AQ10=0,'Parte Estrategica'!AQ10=""),0,IF(VLOOKUP($A10,'Matriz de Referencia'!$B$2:$CO$584,56,FALSE)=0,0,"Digite"))</f>
        <v>0</v>
      </c>
      <c r="FJ10" s="454">
        <f>IF(OR('Parte Estrategica'!AQ10=0,'Parte Estrategica'!AQ10=""),0,IF(VLOOKUP($A10,'Matriz de Referencia'!$B$2:$CO$584,57,FALSE)=0,0,"Digite"))</f>
        <v>0</v>
      </c>
      <c r="FK10" s="454">
        <f>IF(OR('Parte Estrategica'!AQ10=0,'Parte Estrategica'!AQ10=""),0,IF(VLOOKUP($A10,'Matriz de Referencia'!$B$2:$CO$584,58,FALSE)=0,0,"Digite"))</f>
        <v>0</v>
      </c>
      <c r="FL10" s="454">
        <f>IF(OR('Parte Estrategica'!AQ10=0,'Parte Estrategica'!AQ10=""),0,IF(VLOOKUP($A10,'Matriz de Referencia'!$B$2:$CO$584,59,FALSE)=0,0,"Digite"))</f>
        <v>0</v>
      </c>
      <c r="FM10" s="454">
        <f>IF(OR('Parte Estrategica'!AQ10=0,'Parte Estrategica'!AQ10=""),0,IF(VLOOKUP($A10,'Matriz de Referencia'!$B$2:$CO$584,60,FALSE)=0,0,"Digite"))</f>
        <v>0</v>
      </c>
      <c r="FN10" s="382">
        <f t="shared" si="35"/>
        <v>0</v>
      </c>
      <c r="FO10" s="454">
        <f>IF(OR('Parte Estrategica'!AQ10=0,'Parte Estrategica'!AQ10=""),0,IF(VLOOKUP($A10,'Matriz de Referencia'!$B$2:$CO$584,62,FALSE)=0,0,"Digite"))</f>
        <v>0</v>
      </c>
      <c r="FP10" s="454">
        <f>IF(OR('Parte Estrategica'!AQ10=0,'Parte Estrategica'!AQ10=""),0,IF(VLOOKUP($A10,'Matriz de Referencia'!$B$2:$CO$584,63,FALSE)=0,0,"Digite"))</f>
        <v>0</v>
      </c>
      <c r="FQ10" s="454">
        <f>IF(OR('Parte Estrategica'!AQ10=0,'Parte Estrategica'!AQ10=""),0,IF(VLOOKUP($A10,'Matriz de Referencia'!$B$2:$CO$584,64,FALSE)=0,0,"Digite"))</f>
        <v>0</v>
      </c>
      <c r="FR10" s="382">
        <f t="shared" si="36"/>
        <v>0</v>
      </c>
      <c r="FS10" s="382">
        <f t="shared" si="37"/>
        <v>0</v>
      </c>
      <c r="FT10" s="382">
        <f t="shared" si="38"/>
        <v>0</v>
      </c>
      <c r="FU10" s="101" t="str">
        <f>IFERROR(IF(FT10=0,"",IF(VLOOKUP($A10,'Matriz de Referencia'!$B$2:$CO$584,66,FALSE)=FT10,"Techos ok, cotinue","Debe revisar el valor programado")),"")</f>
        <v/>
      </c>
      <c r="FV10" s="453">
        <f>IF(OR('Parte Estrategica'!AT10=0,'Parte Estrategica'!AT10=""),0,IF(VLOOKUP($A10,'Matriz de Referencia'!$B$2:$CO$584,67,FALSE)=0,0,"Digite"))</f>
        <v>0</v>
      </c>
      <c r="FW10" s="454">
        <f>IF(OR('Parte Estrategica'!AT10=0,'Parte Estrategica'!AT10=""),0,IF(VLOOKUP($A10,'Matriz de Referencia'!$B$2:$CO$584,68,FALSE)=0,0,"Digite"))</f>
        <v>0</v>
      </c>
      <c r="FX10" s="454">
        <f>IF(OR('Parte Estrategica'!AT10=0,'Parte Estrategica'!AT10=""),0,IF(VLOOKUP($A10,'Matriz de Referencia'!$B$2:$CO$584,69,FALSE)=0,0,"Digite"))</f>
        <v>0</v>
      </c>
      <c r="FY10" s="454">
        <f>IF(OR('Parte Estrategica'!AT10=0,'Parte Estrategica'!AT10=""),0,IF(VLOOKUP($A10,'Matriz de Referencia'!$B$2:$CO$584,70,FALSE)=0,0,"Digite"))</f>
        <v>0</v>
      </c>
      <c r="FZ10" s="454">
        <f>IF(OR('Parte Estrategica'!AT10=0,'Parte Estrategica'!AT10=""),0,IF(VLOOKUP($A10,'Matriz de Referencia'!$B$2:$CO$584,71,FALSE)=0,0,"Digite"))</f>
        <v>0</v>
      </c>
      <c r="GA10" s="454">
        <f>IF(OR('Parte Estrategica'!AT10=0,'Parte Estrategica'!AT10=""),0,IF(VLOOKUP($A10,'Matriz de Referencia'!$B$2:$CO$584,72,FALSE)=0,0,"Digite"))</f>
        <v>0</v>
      </c>
      <c r="GB10" s="454">
        <f>IF(OR('Parte Estrategica'!AT10=0,'Parte Estrategica'!AT10=""),0,IF(VLOOKUP($A10,'Matriz de Referencia'!$B$2:$CO$584,73,FALSE)=0,0,"Digite"))</f>
        <v>0</v>
      </c>
      <c r="GC10" s="454">
        <f>IF(OR('Parte Estrategica'!AT10=0,'Parte Estrategica'!AT10=""),0,IF(VLOOKUP($A10,'Matriz de Referencia'!$B$2:$CO$584,74,FALSE)=0,0,"Digite"))</f>
        <v>0</v>
      </c>
      <c r="GD10" s="382">
        <f t="shared" si="39"/>
        <v>0</v>
      </c>
      <c r="GE10" s="454">
        <f>IF(OR('Parte Estrategica'!AT10=0,'Parte Estrategica'!AT10=""),0,IF(VLOOKUP($A10,'Matriz de Referencia'!$B$2:$CO$584,76,FALSE)=0,0,"Digite"))</f>
        <v>0</v>
      </c>
      <c r="GF10" s="454">
        <f>IF(OR('Parte Estrategica'!AT10=0,'Parte Estrategica'!AT10=""),0,IF(VLOOKUP($A10,'Matriz de Referencia'!$B$2:$CO$584,77,FALSE)=0,0,"Digite"))</f>
        <v>0</v>
      </c>
      <c r="GG10" s="454">
        <f>IF(OR('Parte Estrategica'!AT10=0,'Parte Estrategica'!AT10=""),0,IF(VLOOKUP($A10,'Matriz de Referencia'!$B$2:$CO$584,78,FALSE)=0,0,"Digite"))</f>
        <v>0</v>
      </c>
      <c r="GH10" s="382">
        <f t="shared" si="40"/>
        <v>0</v>
      </c>
      <c r="GI10" s="382">
        <f t="shared" si="41"/>
        <v>0</v>
      </c>
      <c r="GJ10" s="453">
        <f>IF(OR('Parte Estrategica'!AU10=0,'Parte Estrategica'!AU10=""),0,IF(VLOOKUP($A10,'Matriz de Referencia'!$B$2:$CO$584,67,FALSE)=0,0,"Digite"))</f>
        <v>0</v>
      </c>
      <c r="GK10" s="454">
        <f>IF(OR('Parte Estrategica'!AU10=0,'Parte Estrategica'!AU10=""),0,IF(VLOOKUP($A10,'Matriz de Referencia'!$B$2:$CO$584,68,FALSE)=0,0,"Digite"))</f>
        <v>0</v>
      </c>
      <c r="GL10" s="454">
        <f>IF(OR('Parte Estrategica'!AU10=0,'Parte Estrategica'!AU10=""),0,IF(VLOOKUP($A10,'Matriz de Referencia'!$B$2:$CO$584,69,FALSE)=0,0,"Digite"))</f>
        <v>0</v>
      </c>
      <c r="GM10" s="454">
        <f>IF(OR('Parte Estrategica'!AU10=0,'Parte Estrategica'!AU10=""),0,IF(VLOOKUP($A10,'Matriz de Referencia'!$B$2:$CO$584,70,FALSE)=0,0,"Digite"))</f>
        <v>0</v>
      </c>
      <c r="GN10" s="454">
        <f>IF(OR('Parte Estrategica'!AU10=0,'Parte Estrategica'!AU10=""),0,IF(VLOOKUP($A10,'Matriz de Referencia'!$B$2:$CO$584,71,FALSE)=0,0,"Digite"))</f>
        <v>0</v>
      </c>
      <c r="GO10" s="454">
        <f>IF(OR('Parte Estrategica'!AU10=0,'Parte Estrategica'!AU10=""),0,IF(VLOOKUP($A10,'Matriz de Referencia'!$B$2:$CO$584,72,FALSE)=0,0,"Digite"))</f>
        <v>0</v>
      </c>
      <c r="GP10" s="454">
        <f>IF(OR('Parte Estrategica'!AU10=0,'Parte Estrategica'!AU10=""),0,IF(VLOOKUP($A10,'Matriz de Referencia'!$B$2:$CO$584,73,FALSE)=0,0,"Digite"))</f>
        <v>0</v>
      </c>
      <c r="GQ10" s="454">
        <f>IF(OR('Parte Estrategica'!AU10=0,'Parte Estrategica'!AU10=""),0,IF(VLOOKUP($A10,'Matriz de Referencia'!$B$2:$CO$584,74,FALSE)=0,0,"Digite"))</f>
        <v>0</v>
      </c>
      <c r="GR10" s="382">
        <f t="shared" si="42"/>
        <v>0</v>
      </c>
      <c r="GS10" s="454">
        <f>IF(OR('Parte Estrategica'!AU10=0,'Parte Estrategica'!AU10=""),0,IF(VLOOKUP($A10,'Matriz de Referencia'!$B$2:$CO$584,76,FALSE)=0,0,"Digite"))</f>
        <v>0</v>
      </c>
      <c r="GT10" s="454">
        <f>IF(OR('Parte Estrategica'!AU10=0,'Parte Estrategica'!AU10=""),0,IF(VLOOKUP($A10,'Matriz de Referencia'!$B$2:$CO$584,77,FALSE)=0,0,"Digite"))</f>
        <v>0</v>
      </c>
      <c r="GU10" s="454">
        <f>IF(OR('Parte Estrategica'!AU10=0,'Parte Estrategica'!AU10=""),0,IF(VLOOKUP($A10,'Matriz de Referencia'!$B$2:$CO$584,78,FALSE)=0,0,"Digite"))</f>
        <v>0</v>
      </c>
      <c r="GV10" s="382">
        <f t="shared" si="43"/>
        <v>0</v>
      </c>
      <c r="GW10" s="382">
        <f t="shared" si="44"/>
        <v>0</v>
      </c>
      <c r="GX10" s="453">
        <f>IF(OR('Parte Estrategica'!AV10=0,'Parte Estrategica'!AV10=""),0,IF(VLOOKUP($A10,'Matriz de Referencia'!$B$2:$CO$584,67,FALSE)=0,0,"Digite"))</f>
        <v>0</v>
      </c>
      <c r="GY10" s="454">
        <f>IF(OR('Parte Estrategica'!AV10=0,'Parte Estrategica'!AV10=""),0,IF(VLOOKUP($A10,'Matriz de Referencia'!$B$2:$CO$584,68,FALSE)=0,0,"Digite"))</f>
        <v>0</v>
      </c>
      <c r="GZ10" s="454">
        <f>IF(OR('Parte Estrategica'!AV10=0,'Parte Estrategica'!AV10=""),0,IF(VLOOKUP($A10,'Matriz de Referencia'!$B$2:$CO$584,69,FALSE)=0,0,"Digite"))</f>
        <v>0</v>
      </c>
      <c r="HA10" s="454">
        <f>IF(OR('Parte Estrategica'!AV10=0,'Parte Estrategica'!AV10=""),0,IF(VLOOKUP($A10,'Matriz de Referencia'!$B$2:$CO$584,70,FALSE)=0,0,"Digite"))</f>
        <v>0</v>
      </c>
      <c r="HB10" s="454">
        <f>IF(OR('Parte Estrategica'!AV10=0,'Parte Estrategica'!AV10=""),0,IF(VLOOKUP($A10,'Matriz de Referencia'!$B$2:$CO$584,71,FALSE)=0,0,"Digite"))</f>
        <v>0</v>
      </c>
      <c r="HC10" s="454">
        <f>IF(OR('Parte Estrategica'!AV10=0,'Parte Estrategica'!AV10=""),0,IF(VLOOKUP($A10,'Matriz de Referencia'!$B$2:$CO$584,72,FALSE)=0,0,"Digite"))</f>
        <v>0</v>
      </c>
      <c r="HD10" s="454">
        <f>IF(OR('Parte Estrategica'!AV10=0,'Parte Estrategica'!AV10=""),0,IF(VLOOKUP($A10,'Matriz de Referencia'!$B$2:$CO$584,73,FALSE)=0,0,"Digite"))</f>
        <v>0</v>
      </c>
      <c r="HE10" s="454">
        <f>IF(OR('Parte Estrategica'!AV10=0,'Parte Estrategica'!AV10=""),0,IF(VLOOKUP($A10,'Matriz de Referencia'!$B$2:$CO$584,74,FALSE)=0,0,"Digite"))</f>
        <v>0</v>
      </c>
      <c r="HF10" s="382">
        <f t="shared" si="45"/>
        <v>0</v>
      </c>
      <c r="HG10" s="454">
        <f>IF(OR('Parte Estrategica'!AV10=0,'Parte Estrategica'!AV10=""),0,IF(VLOOKUP($A10,'Matriz de Referencia'!$B$2:$CO$584,76,FALSE)=0,0,"Digite"))</f>
        <v>0</v>
      </c>
      <c r="HH10" s="454">
        <f>IF(OR('Parte Estrategica'!AV10=0,'Parte Estrategica'!AV10=""),0,IF(VLOOKUP($A10,'Matriz de Referencia'!$B$2:$CO$584,77,FALSE)=0,0,"Digite"))</f>
        <v>0</v>
      </c>
      <c r="HI10" s="454">
        <f>IF(OR('Parte Estrategica'!AV10=0,'Parte Estrategica'!AV10=""),0,IF(VLOOKUP($A10,'Matriz de Referencia'!$B$2:$CO$584,78,FALSE)=0,0,"Digite"))</f>
        <v>0</v>
      </c>
      <c r="HJ10" s="382">
        <f t="shared" si="46"/>
        <v>0</v>
      </c>
      <c r="HK10" s="382">
        <f t="shared" si="47"/>
        <v>0</v>
      </c>
      <c r="HL10" s="453">
        <f>IF(OR('Parte Estrategica'!AW10=0,'Parte Estrategica'!AW10=""),0,IF(VLOOKUP($A10,'Matriz de Referencia'!$B$2:$CO$584,67,FALSE)=0,0,"Digite"))</f>
        <v>0</v>
      </c>
      <c r="HM10" s="454">
        <f>IF(OR('Parte Estrategica'!AW10=0,'Parte Estrategica'!AW10=""),0,IF(VLOOKUP($A10,'Matriz de Referencia'!$B$2:$CO$584,68,FALSE)=0,0,"Digite"))</f>
        <v>0</v>
      </c>
      <c r="HN10" s="454">
        <f>IF(OR('Parte Estrategica'!AW10=0,'Parte Estrategica'!AW10=""),0,IF(VLOOKUP($A10,'Matriz de Referencia'!$B$2:$CO$584,69,FALSE)=0,0,"Digite"))</f>
        <v>0</v>
      </c>
      <c r="HO10" s="454">
        <f>IF(OR('Parte Estrategica'!AW10=0,'Parte Estrategica'!AW10=""),0,IF(VLOOKUP($A10,'Matriz de Referencia'!$B$2:$CO$584,70,FALSE)=0,0,"Digite"))</f>
        <v>0</v>
      </c>
      <c r="HP10" s="454">
        <f>IF(OR('Parte Estrategica'!AW10=0,'Parte Estrategica'!AW10=""),0,IF(VLOOKUP($A10,'Matriz de Referencia'!$B$2:$CO$584,71,FALSE)=0,0,"Digite"))</f>
        <v>0</v>
      </c>
      <c r="HQ10" s="454">
        <f>IF(OR('Parte Estrategica'!AW10=0,'Parte Estrategica'!AW10=""),0,IF(VLOOKUP($A10,'Matriz de Referencia'!$B$2:$CO$584,72,FALSE)=0,0,"Digite"))</f>
        <v>0</v>
      </c>
      <c r="HR10" s="454">
        <f>IF(OR('Parte Estrategica'!AW10=0,'Parte Estrategica'!AW10=""),0,IF(VLOOKUP($A10,'Matriz de Referencia'!$B$2:$CO$584,73,FALSE)=0,0,"Digite"))</f>
        <v>0</v>
      </c>
      <c r="HS10" s="454">
        <f>IF(OR('Parte Estrategica'!AW10=0,'Parte Estrategica'!AW10=""),0,IF(VLOOKUP($A10,'Matriz de Referencia'!$B$2:$CO$584,74,FALSE)=0,0,"Digite"))</f>
        <v>0</v>
      </c>
      <c r="HT10" s="382">
        <f t="shared" si="48"/>
        <v>0</v>
      </c>
      <c r="HU10" s="454">
        <f>IF(OR('Parte Estrategica'!AW10=0,'Parte Estrategica'!AW10=""),0,IF(VLOOKUP($A10,'Matriz de Referencia'!$B$2:$CO$584,76,FALSE)=0,0,"Digite"))</f>
        <v>0</v>
      </c>
      <c r="HV10" s="454">
        <f>IF(OR('Parte Estrategica'!AW10=0,'Parte Estrategica'!AW10=""),0,IF(VLOOKUP($A10,'Matriz de Referencia'!$B$2:$CO$584,77,FALSE)=0,0,"Digite"))</f>
        <v>0</v>
      </c>
      <c r="HW10" s="454">
        <f>IF(OR('Parte Estrategica'!AW10=0,'Parte Estrategica'!AW10=""),0,IF(VLOOKUP($A10,'Matriz de Referencia'!$B$2:$CO$584,78,FALSE)=0,0,"Digite"))</f>
        <v>0</v>
      </c>
      <c r="HX10" s="382">
        <f t="shared" si="49"/>
        <v>0</v>
      </c>
      <c r="HY10" s="382">
        <f t="shared" si="50"/>
        <v>0</v>
      </c>
      <c r="HZ10" s="382">
        <f t="shared" si="51"/>
        <v>0</v>
      </c>
      <c r="IA10" s="101" t="str">
        <f>IFERROR(IF(HZ10=0,"",IF(VLOOKUP($A10,'Matriz de Referencia'!$B$2:$CO$584,80,FALSE)=HZ10,"Techos ok, cotinue","Debe revisar el valor programado")),"")</f>
        <v/>
      </c>
      <c r="IB10" s="383">
        <f t="shared" si="52"/>
        <v>0</v>
      </c>
    </row>
    <row r="11" spans="1:236">
      <c r="A11" s="550" t="str">
        <f>IF('Parte Estrategica'!B11=0,"",'Parte Estrategica'!B11)</f>
        <v/>
      </c>
      <c r="B11" s="551" t="str">
        <f>IFERROR(VLOOKUP(A11,'Matriz de Referencia'!$B$2:$P$578,'Matriz de Referencia'!L$1,FALSE),"")</f>
        <v/>
      </c>
      <c r="C11" s="551" t="str">
        <f>IFERROR(VLOOKUP(A11,'Matriz de Referencia'!$B$2:$P$584,'Matriz de Referencia'!M$1,FALSE),"")</f>
        <v/>
      </c>
      <c r="D11" s="455" t="str">
        <f>IF(OR('Parte Estrategica'!AB11=0,'Parte Estrategica'!AB11=""),"",IF(VLOOKUP($A11,'Matriz de Referencia'!$B$2:$CO$584,'Matriz de Referencia'!Z$1,FALSE)=0,"","Digite"))</f>
        <v/>
      </c>
      <c r="E11" s="456">
        <f>IF(OR('Parte Estrategica'!AB11=0,'Parte Estrategica'!AB11=""),0,IF(VLOOKUP($A11,'Matriz de Referencia'!$B$2:$CO$584,26,FALSE)=0,0,"Digite"))</f>
        <v>0</v>
      </c>
      <c r="F11" s="456">
        <f>IF(OR('Parte Estrategica'!AB11=0,'Parte Estrategica'!AB11=""),0,IF(VLOOKUP($A11,'Matriz de Referencia'!$B$2:$CO$584,27,FALSE)=0,0,"Digite"))</f>
        <v>0</v>
      </c>
      <c r="G11" s="456">
        <f>IF(OR('Parte Estrategica'!AB11=0,'Parte Estrategica'!AB11=""),0,IF(VLOOKUP($A11,'Matriz de Referencia'!$B$2:$CO$584,28,FALSE)=0,0,"Digite"))</f>
        <v>0</v>
      </c>
      <c r="H11" s="456">
        <f>IF(OR('Parte Estrategica'!AB11=0,'Parte Estrategica'!AB11=""),0,IF(VLOOKUP($A11,'Matriz de Referencia'!$B$2:$CO$584,29,FALSE)=0,0,"Digite"))</f>
        <v>0</v>
      </c>
      <c r="I11" s="456">
        <f>IF(OR('Parte Estrategica'!AB11=0,'Parte Estrategica'!AB11=""),0,IF(VLOOKUP($A11,'Matriz de Referencia'!$B$2:$CO$584,30,FALSE)=0,0,"Digite"))</f>
        <v>0</v>
      </c>
      <c r="J11" s="456">
        <f>IF(OR('Parte Estrategica'!AB11=0,'Parte Estrategica'!AB11=""),0,IF(VLOOKUP($A11,'Matriz de Referencia'!$B$2:$CO$584,31,FALSE)=0,0,"Digite"))</f>
        <v>0</v>
      </c>
      <c r="K11" s="456">
        <f>IF(OR('Parte Estrategica'!AB11=0,'Parte Estrategica'!AB11=""),0,IF(VLOOKUP($A11,'Matriz de Referencia'!$B$2:$CO$584,32,FALSE)=0,0,"Digite"))</f>
        <v>0</v>
      </c>
      <c r="L11" s="460">
        <f t="shared" si="0"/>
        <v>0</v>
      </c>
      <c r="M11" s="456">
        <f>IF(OR('Parte Estrategica'!AB11=0,'Parte Estrategica'!AB11=""),0,IF(VLOOKUP($A11,'Matriz de Referencia'!$B$2:$CO$584,34,FALSE)=0,0,"Digite"))</f>
        <v>0</v>
      </c>
      <c r="N11" s="456">
        <f>IF(OR('Parte Estrategica'!AB11=0,'Parte Estrategica'!AB11=""),0,IF(VLOOKUP($A11,'Matriz de Referencia'!$B$2:$CO$584,35,FALSE)=0,0,"Digite"))</f>
        <v>0</v>
      </c>
      <c r="O11" s="456">
        <f>IF(OR('Parte Estrategica'!AB11=0,'Parte Estrategica'!AB11=""),0,IF(VLOOKUP($A11,'Matriz de Referencia'!$B$2:$CO$584,36,FALSE)=0,0,"Digite"))</f>
        <v>0</v>
      </c>
      <c r="P11" s="457">
        <f t="shared" si="1"/>
        <v>0</v>
      </c>
      <c r="Q11" s="457">
        <f t="shared" si="2"/>
        <v>0</v>
      </c>
      <c r="R11" s="455">
        <f>IF(OR('Parte Estrategica'!AC11=0,'Parte Estrategica'!AC11=""),0,IF(VLOOKUP($A11,'Matriz de Referencia'!$B$2:$CO$584,25,FALSE)=0,0,"Digite"))</f>
        <v>0</v>
      </c>
      <c r="S11" s="456">
        <f>IF(OR('Parte Estrategica'!AC11=0,'Parte Estrategica'!AC11=""),0,IF(VLOOKUP($A11,'Matriz de Referencia'!$B$2:$CO$584,26,FALSE)=0,0,"Digite"))</f>
        <v>0</v>
      </c>
      <c r="T11" s="456">
        <f>IF(OR('Parte Estrategica'!AC11=0,'Parte Estrategica'!AC11=""),0,IF(VLOOKUP($A11,'Matriz de Referencia'!$B$2:$CO$584,27,FALSE)=0,0,"Digite"))</f>
        <v>0</v>
      </c>
      <c r="U11" s="456">
        <f>IF(OR('Parte Estrategica'!AC11=0,'Parte Estrategica'!AC11=""),0,IF(VLOOKUP($A11,'Matriz de Referencia'!$B$2:$CO$584,28,FALSE)=0,0,"Digite"))</f>
        <v>0</v>
      </c>
      <c r="V11" s="456">
        <f>IF(OR('Parte Estrategica'!AC11=0,'Parte Estrategica'!AC11=""),0,IF(VLOOKUP($A11,'Matriz de Referencia'!$B$2:$CO$584,29,FALSE)=0,0,"Digite"))</f>
        <v>0</v>
      </c>
      <c r="W11" s="456">
        <f>IF(OR('Parte Estrategica'!AC11=0,'Parte Estrategica'!AC11=""),0,IF(VLOOKUP($A11,'Matriz de Referencia'!$B$2:$CO$584,30,FALSE)=0,0,"Digite"))</f>
        <v>0</v>
      </c>
      <c r="X11" s="456">
        <f>IF(OR('Parte Estrategica'!AC11=0,'Parte Estrategica'!AC11=""),0,IF(VLOOKUP($A11,'Matriz de Referencia'!$B$2:$CO$584,31,FALSE)=0,0,"Digite"))</f>
        <v>0</v>
      </c>
      <c r="Y11" s="456">
        <f>IF(OR('Parte Estrategica'!AC11=0,'Parte Estrategica'!AC11=""),0,IF(VLOOKUP($A11,'Matriz de Referencia'!$B$2:$CO$584,32,FALSE)=0,0,"Digite"))</f>
        <v>0</v>
      </c>
      <c r="Z11" s="457">
        <f t="shared" si="3"/>
        <v>0</v>
      </c>
      <c r="AA11" s="456">
        <f>IF(OR('Parte Estrategica'!AC11=0,'Parte Estrategica'!AC11=""),0,IF(VLOOKUP($A11,'Matriz de Referencia'!$B$2:$CO$584,34,FALSE)=0,0,"Digite"))</f>
        <v>0</v>
      </c>
      <c r="AB11" s="456">
        <f>IF(OR('Parte Estrategica'!AC11=0,'Parte Estrategica'!AC11=""),0,IF(VLOOKUP($A11,'Matriz de Referencia'!$B$2:$CO$584,35,FALSE)=0,0,"Digite"))</f>
        <v>0</v>
      </c>
      <c r="AC11" s="456">
        <f>IF(OR('Parte Estrategica'!AC11=0,'Parte Estrategica'!AC11=""),0,IF(VLOOKUP($A11,'Matriz de Referencia'!$B$2:$CO$584,36,FALSE)=0,0,"Digite"))</f>
        <v>0</v>
      </c>
      <c r="AD11" s="457">
        <f t="shared" si="4"/>
        <v>0</v>
      </c>
      <c r="AE11" s="457">
        <f t="shared" si="5"/>
        <v>0</v>
      </c>
      <c r="AF11" s="455">
        <f>IF(OR('Parte Estrategica'!AD11=0,'Parte Estrategica'!AD11=""),0,IF(VLOOKUP($A11,'Matriz de Referencia'!$B$2:$CO$584,25,FALSE)=0,0,"Digite"))</f>
        <v>0</v>
      </c>
      <c r="AG11" s="456">
        <f>IF(OR('Parte Estrategica'!AD11=0,'Parte Estrategica'!AD11=""),0,IF(VLOOKUP($A11,'Matriz de Referencia'!$B$2:$CO$584,26,FALSE)=0,0,"Digite"))</f>
        <v>0</v>
      </c>
      <c r="AH11" s="456">
        <f>IF(OR('Parte Estrategica'!AD11=0,'Parte Estrategica'!AD11=""),0,IF(VLOOKUP($A11,'Matriz de Referencia'!$B$2:$CO$584,27,FALSE)=0,0,"Digite"))</f>
        <v>0</v>
      </c>
      <c r="AI11" s="456">
        <f>IF(OR('Parte Estrategica'!AD11=0,'Parte Estrategica'!AD11=""),0,IF(VLOOKUP($A11,'Matriz de Referencia'!$B$2:$CO$584,28,FALSE)=0,0,"Digite"))</f>
        <v>0</v>
      </c>
      <c r="AJ11" s="456">
        <f>IF(OR('Parte Estrategica'!AD11=0,'Parte Estrategica'!AD11=""),0,IF(VLOOKUP($A11,'Matriz de Referencia'!$B$2:$CO$584,29,FALSE)=0,0,"Digite"))</f>
        <v>0</v>
      </c>
      <c r="AK11" s="456">
        <f>IF(OR('Parte Estrategica'!AD11=0,'Parte Estrategica'!AD11=""),0,IF(VLOOKUP($A11,'Matriz de Referencia'!$B$2:$CO$584,30,FALSE)=0,0,"Digite"))</f>
        <v>0</v>
      </c>
      <c r="AL11" s="456">
        <f>IF(OR('Parte Estrategica'!AD11=0,'Parte Estrategica'!AD11=""),0,IF(VLOOKUP($A11,'Matriz de Referencia'!$B$2:$CO$584,31,FALSE)=0,0,"Digite"))</f>
        <v>0</v>
      </c>
      <c r="AM11" s="456">
        <f>IF(OR('Parte Estrategica'!AD11=0,'Parte Estrategica'!AD11=""),0,IF(VLOOKUP($A11,'Matriz de Referencia'!$B$2:$CO$584,32,FALSE)=0,0,"Digite"))</f>
        <v>0</v>
      </c>
      <c r="AN11" s="457">
        <f t="shared" si="6"/>
        <v>0</v>
      </c>
      <c r="AO11" s="456">
        <f>IF(OR('Parte Estrategica'!AD11=0,'Parte Estrategica'!AD11=""),0,IF(VLOOKUP($A11,'Matriz de Referencia'!$B$2:$CO$584,34,FALSE)=0,0,"Digite"))</f>
        <v>0</v>
      </c>
      <c r="AP11" s="456">
        <f>IF(OR('Parte Estrategica'!AD11=0,'Parte Estrategica'!AD11=""),0,IF(VLOOKUP($A11,'Matriz de Referencia'!$B$2:$CO$584,35,FALSE)=0,0,"Digite"))</f>
        <v>0</v>
      </c>
      <c r="AQ11" s="456">
        <f>IF(OR('Parte Estrategica'!AD11=0,'Parte Estrategica'!AD11=""),0,IF(VLOOKUP($A11,'Matriz de Referencia'!$B$2:$CO$584,36,FALSE)=0,0,"Digite"))</f>
        <v>0</v>
      </c>
      <c r="AR11" s="457">
        <f t="shared" si="7"/>
        <v>0</v>
      </c>
      <c r="AS11" s="457">
        <f t="shared" si="8"/>
        <v>0</v>
      </c>
      <c r="AT11" s="455">
        <f>IF(OR('Parte Estrategica'!AE11=0,'Parte Estrategica'!AE11=""),0,IF(VLOOKUP($A11,'Matriz de Referencia'!$B$2:$CO$584,25,FALSE)=0,0,"Digite"))</f>
        <v>0</v>
      </c>
      <c r="AU11" s="456">
        <f>IF(OR('Parte Estrategica'!AE11=0,'Parte Estrategica'!AE11=""),0,IF(VLOOKUP($A11,'Matriz de Referencia'!$B$2:$CO$584,26,FALSE)=0,0,"Digite"))</f>
        <v>0</v>
      </c>
      <c r="AV11" s="456">
        <f>IF(OR('Parte Estrategica'!AE11=0,'Parte Estrategica'!AE11=""),0,IF(VLOOKUP($A11,'Matriz de Referencia'!$B$2:$CO$584,27,FALSE)=0,0,"Digite"))</f>
        <v>0</v>
      </c>
      <c r="AW11" s="456">
        <f>IF(OR('Parte Estrategica'!AE11=0,'Parte Estrategica'!AE11=""),0,IF(VLOOKUP($A11,'Matriz de Referencia'!$B$2:$CO$584,28,FALSE)=0,0,"Digite"))</f>
        <v>0</v>
      </c>
      <c r="AX11" s="456">
        <f>IF(OR('Parte Estrategica'!AE11=0,'Parte Estrategica'!AE11=""),0,IF(VLOOKUP($A11,'Matriz de Referencia'!$B$2:$CO$584,29,FALSE)=0,0,"Digite"))</f>
        <v>0</v>
      </c>
      <c r="AY11" s="456">
        <f>IF(OR('Parte Estrategica'!AE11=0,'Parte Estrategica'!AE11=""),0,IF(VLOOKUP($A11,'Matriz de Referencia'!$B$2:$CO$584,30,FALSE)=0,0,"Digite"))</f>
        <v>0</v>
      </c>
      <c r="AZ11" s="456">
        <f>IF(OR('Parte Estrategica'!AE11=0,'Parte Estrategica'!AE11=""),0,IF(VLOOKUP($A11,'Matriz de Referencia'!$B$2:$CO$584,31,FALSE)=0,0,"Digite"))</f>
        <v>0</v>
      </c>
      <c r="BA11" s="456">
        <f>IF(OR('Parte Estrategica'!AE11=0,'Parte Estrategica'!AE11=""),0,IF(VLOOKUP($A11,'Matriz de Referencia'!$B$2:$CO$584,32,FALSE)=0,0,"Digite"))</f>
        <v>0</v>
      </c>
      <c r="BB11" s="457">
        <f t="shared" si="9"/>
        <v>0</v>
      </c>
      <c r="BC11" s="456">
        <f>IF(OR('Parte Estrategica'!AE11=0,'Parte Estrategica'!AE11=""),0,IF(VLOOKUP($A11,'Matriz de Referencia'!$B$2:$CO$584,34,FALSE)=0,0,"Digite"))</f>
        <v>0</v>
      </c>
      <c r="BD11" s="456">
        <f>IF(OR('Parte Estrategica'!AE11=0,'Parte Estrategica'!AE11=""),0,IF(VLOOKUP($A11,'Matriz de Referencia'!$B$2:$CO$584,35,FALSE)=0,0,"Digite"))</f>
        <v>0</v>
      </c>
      <c r="BE11" s="456">
        <f>IF(OR('Parte Estrategica'!AE11=0,'Parte Estrategica'!AE11=""),0,IF(VLOOKUP($A11,'Matriz de Referencia'!$B$2:$CO$584,36,FALSE)=0,0,"Digite"))</f>
        <v>0</v>
      </c>
      <c r="BF11" s="457">
        <f t="shared" si="10"/>
        <v>0</v>
      </c>
      <c r="BG11" s="457">
        <f t="shared" si="11"/>
        <v>0</v>
      </c>
      <c r="BH11" s="457">
        <f t="shared" si="12"/>
        <v>0</v>
      </c>
      <c r="BI11" s="101" t="str">
        <f>IFERROR(IF(BH11=0,"",IF(VLOOKUP($A11,'Matriz de Referencia'!$B$2:$CO$584,'Matriz de Referencia'!AM$1,FALSE)=BH11,"Techos ok, cotinue","Debe revisar el valor programado")),"")</f>
        <v/>
      </c>
      <c r="BJ11" s="453">
        <f>IF(OR('Parte Estrategica'!AH11=0,'Parte Estrategica'!AH11=""),0,IF(VLOOKUP($A11,'Matriz de Referencia'!$B$2:$CO$584,39,FALSE)=0,0,"Digite"))</f>
        <v>0</v>
      </c>
      <c r="BK11" s="454">
        <f>IF(OR('Parte Estrategica'!AH11=0,'Parte Estrategica'!AH11=""),0,IF(VLOOKUP($A11,'Matriz de Referencia'!$B$2:$CO$584,40,FALSE)=0,0,"Digite"))</f>
        <v>0</v>
      </c>
      <c r="BL11" s="454">
        <f>IF(OR('Parte Estrategica'!AH11=0,'Parte Estrategica'!AH11=""),0,IF(VLOOKUP($A11,'Matriz de Referencia'!$B$2:$CO$584,41,FALSE)=0,0,"Digite"))</f>
        <v>0</v>
      </c>
      <c r="BM11" s="454">
        <f>IF(OR('Parte Estrategica'!AH11=0,'Parte Estrategica'!AH11=""),0,IF(VLOOKUP($A11,'Matriz de Referencia'!$B$2:$CO$584,42,FALSE)=0,0,"Digite"))</f>
        <v>0</v>
      </c>
      <c r="BN11" s="454">
        <f>IF(OR('Parte Estrategica'!AH11=0,'Parte Estrategica'!AH11=""),0,IF(VLOOKUP($A11,'Matriz de Referencia'!$B$2:$CO$584,43,FALSE)=0,0,"Digite"))</f>
        <v>0</v>
      </c>
      <c r="BO11" s="454">
        <f>IF(OR('Parte Estrategica'!AH11=0,'Parte Estrategica'!AH11=""),0,IF(VLOOKUP($A11,'Matriz de Referencia'!$B$2:$CO$584,44,FALSE)=0,0,"Digite"))</f>
        <v>0</v>
      </c>
      <c r="BP11" s="454">
        <f>IF(OR('Parte Estrategica'!AH11=0,'Parte Estrategica'!AH11=""),0,IF(VLOOKUP($A11,'Matriz de Referencia'!$B$2:$CO$584,45,FALSE)=0,0,"Digite"))</f>
        <v>0</v>
      </c>
      <c r="BQ11" s="454">
        <f>IF(OR('Parte Estrategica'!AH11=0,'Parte Estrategica'!AH11=""),0,IF(VLOOKUP($A11,'Matriz de Referencia'!$B$2:$CO$584,46,FALSE)=0,0,"Digite"))</f>
        <v>0</v>
      </c>
      <c r="BR11" s="382">
        <f t="shared" si="13"/>
        <v>0</v>
      </c>
      <c r="BS11" s="454">
        <f>IF(OR('Parte Estrategica'!CL11=0,'Parte Estrategica'!CL11=""),0,IF(VLOOKUP($A11,'Matriz de Referencia'!$B$2:$CO$584,48,FALSE)=0,0,"Digite"))</f>
        <v>0</v>
      </c>
      <c r="BT11" s="454">
        <f>IF(OR('Parte Estrategica'!CL11=0,'Parte Estrategica'!CL11=""),0,IF(VLOOKUP($A11,'Matriz de Referencia'!$B$2:$CO$584,49,FALSE)=0,0,"Digite"))</f>
        <v>0</v>
      </c>
      <c r="BU11" s="454">
        <f>IF(OR('Parte Estrategica'!CL11=0,'Parte Estrategica'!CL11=""),0,IF(VLOOKUP($A11,'Matriz de Referencia'!$B$2:$CO$584,50,FALSE)=0,0,"Digite"))</f>
        <v>0</v>
      </c>
      <c r="BV11" s="382">
        <f t="shared" si="14"/>
        <v>0</v>
      </c>
      <c r="BW11" s="382">
        <f t="shared" si="15"/>
        <v>0</v>
      </c>
      <c r="BX11" s="453">
        <f>IF(OR('Parte Estrategica'!AI11=0,'Parte Estrategica'!AI11=""),0,IF(VLOOKUP($A11,'Matriz de Referencia'!$B$2:$CO$584,39,FALSE)=0,0,"Digite"))</f>
        <v>0</v>
      </c>
      <c r="BY11" s="454">
        <f>IF(OR('Parte Estrategica'!AI11=0,'Parte Estrategica'!AI11=""),0,IF(VLOOKUP($A11,'Matriz de Referencia'!$B$2:$CO$584,40,FALSE)=0,0,"Digite"))</f>
        <v>0</v>
      </c>
      <c r="BZ11" s="454">
        <f>IF(OR('Parte Estrategica'!AI11=0,'Parte Estrategica'!AI11=""),0,IF(VLOOKUP($A11,'Matriz de Referencia'!$B$2:$CO$584,41,FALSE)=0,0,"Digite"))</f>
        <v>0</v>
      </c>
      <c r="CA11" s="454">
        <f>IF(OR('Parte Estrategica'!AI11=0,'Parte Estrategica'!AI11=""),0,IF(VLOOKUP($A11,'Matriz de Referencia'!$B$2:$CO$584,42,FALSE)=0,0,"Digite"))</f>
        <v>0</v>
      </c>
      <c r="CB11" s="454">
        <f>IF(OR('Parte Estrategica'!AI11=0,'Parte Estrategica'!AI11=""),0,IF(VLOOKUP($A11,'Matriz de Referencia'!$B$2:$CO$584,43,FALSE)=0,0,"Digite"))</f>
        <v>0</v>
      </c>
      <c r="CC11" s="454">
        <f>IF(OR('Parte Estrategica'!AI11=0,'Parte Estrategica'!AI11=""),0,IF(VLOOKUP($A11,'Matriz de Referencia'!$B$2:$CO$584,44,FALSE)=0,0,"Digite"))</f>
        <v>0</v>
      </c>
      <c r="CD11" s="454">
        <f>IF(OR('Parte Estrategica'!AI11=0,'Parte Estrategica'!AI11=""),0,IF(VLOOKUP($A11,'Matriz de Referencia'!$B$2:$CO$584,45,FALSE)=0,0,"Digite"))</f>
        <v>0</v>
      </c>
      <c r="CE11" s="454">
        <f>IF(OR('Parte Estrategica'!AI11=0,'Parte Estrategica'!AI11=""),0,IF(VLOOKUP($A11,'Matriz de Referencia'!$B$2:$CO$584,46,FALSE)=0,0,"Digite"))</f>
        <v>0</v>
      </c>
      <c r="CF11" s="382">
        <f t="shared" si="16"/>
        <v>0</v>
      </c>
      <c r="CG11" s="454">
        <f>IF(OR('Parte Estrategica'!AI11=0,'Parte Estrategica'!AI11=""),0,IF(VLOOKUP($A11,'Matriz de Referencia'!$B$2:$CO$584,48,FALSE)=0,0,"Digite"))</f>
        <v>0</v>
      </c>
      <c r="CH11" s="454">
        <f>IF(OR('Parte Estrategica'!AI11=0,'Parte Estrategica'!AI11=""),0,IF(VLOOKUP($A11,'Matriz de Referencia'!$B$2:$CO$584,49,FALSE)=0,0,"Digite"))</f>
        <v>0</v>
      </c>
      <c r="CI11" s="454">
        <f>IF(OR('Parte Estrategica'!AI11=0,'Parte Estrategica'!AI11=""),0,IF(VLOOKUP($A11,'Matriz de Referencia'!$B$2:$CO$584,50,FALSE)=0,0,"Digite"))</f>
        <v>0</v>
      </c>
      <c r="CJ11" s="382">
        <f t="shared" si="17"/>
        <v>0</v>
      </c>
      <c r="CK11" s="382">
        <f t="shared" si="18"/>
        <v>0</v>
      </c>
      <c r="CL11" s="453">
        <f>IF(OR('Parte Estrategica'!AJ11=0,'Parte Estrategica'!AJ11=""),0,IF(VLOOKUP($A11,'Matriz de Referencia'!$B$2:$CO$584,39,FALSE)=0,0,"Digite"))</f>
        <v>0</v>
      </c>
      <c r="CM11" s="454">
        <f>IF(OR('Parte Estrategica'!AJ11=0,'Parte Estrategica'!AJ11=""),0,IF(VLOOKUP($A11,'Matriz de Referencia'!$B$2:$CO$584,40,FALSE)=0,0,"Digite"))</f>
        <v>0</v>
      </c>
      <c r="CN11" s="454">
        <f>IF(OR('Parte Estrategica'!AJ11=0,'Parte Estrategica'!AJ11=""),0,IF(VLOOKUP($A11,'Matriz de Referencia'!$B$2:$CO$584,41,FALSE)=0,0,"Digite"))</f>
        <v>0</v>
      </c>
      <c r="CO11" s="454">
        <f>IF(OR('Parte Estrategica'!AJ11=0,'Parte Estrategica'!AJ11=""),0,IF(VLOOKUP($A11,'Matriz de Referencia'!$B$2:$CO$584,42,FALSE)=0,0,"Digite"))</f>
        <v>0</v>
      </c>
      <c r="CP11" s="454">
        <f>IF(OR('Parte Estrategica'!AJ11=0,'Parte Estrategica'!AJ11=""),0,IF(VLOOKUP($A11,'Matriz de Referencia'!$B$2:$CO$584,43,FALSE)=0,0,"Digite"))</f>
        <v>0</v>
      </c>
      <c r="CQ11" s="454">
        <f>IF(OR('Parte Estrategica'!AJ11=0,'Parte Estrategica'!AJ11=""),0,IF(VLOOKUP($A11,'Matriz de Referencia'!$B$2:$CO$584,44,FALSE)=0,0,"Digite"))</f>
        <v>0</v>
      </c>
      <c r="CR11" s="454">
        <f>IF(OR('Parte Estrategica'!AJ11=0,'Parte Estrategica'!AJ11=""),0,IF(VLOOKUP($A11,'Matriz de Referencia'!$B$2:$CO$584,45,FALSE)=0,0,"Digite"))</f>
        <v>0</v>
      </c>
      <c r="CS11" s="454">
        <f>IF(OR('Parte Estrategica'!AJ11=0,'Parte Estrategica'!AJ11=""),0,IF(VLOOKUP($A11,'Matriz de Referencia'!$B$2:$CO$584,46,FALSE)=0,0,"Digite"))</f>
        <v>0</v>
      </c>
      <c r="CT11" s="382">
        <f t="shared" si="19"/>
        <v>0</v>
      </c>
      <c r="CU11" s="454">
        <f>IF(OR('Parte Estrategica'!AJ11=0,'Parte Estrategica'!AJ11=""),0,IF(VLOOKUP($A11,'Matriz de Referencia'!$B$2:$CO$584,48,FALSE)=0,0,"Digite"))</f>
        <v>0</v>
      </c>
      <c r="CV11" s="454">
        <f>IF(OR('Parte Estrategica'!AJ11=0,'Parte Estrategica'!AJ11=""),0,IF(VLOOKUP($A11,'Matriz de Referencia'!$B$2:$CO$584,49,FALSE)=0,0,"Digite"))</f>
        <v>0</v>
      </c>
      <c r="CW11" s="454">
        <f>IF(OR('Parte Estrategica'!AJ11=0,'Parte Estrategica'!AJ11=""),0,IF(VLOOKUP($A11,'Matriz de Referencia'!$B$2:$CO$584,50,FALSE)=0,0,"Digite"))</f>
        <v>0</v>
      </c>
      <c r="CX11" s="382">
        <f t="shared" si="20"/>
        <v>0</v>
      </c>
      <c r="CY11" s="382">
        <f t="shared" si="21"/>
        <v>0</v>
      </c>
      <c r="CZ11" s="453">
        <f>IF(OR('Parte Estrategica'!AK11=0,'Parte Estrategica'!AK11=""),0,IF(VLOOKUP($A11,'Matriz de Referencia'!$B$2:$CO$584,39,FALSE)=0,0,"Digite"))</f>
        <v>0</v>
      </c>
      <c r="DA11" s="454">
        <f>IF(OR('Parte Estrategica'!AK11=0,'Parte Estrategica'!AK11=""),0,IF(VLOOKUP($A11,'Matriz de Referencia'!$B$2:$CO$584,40,FALSE)=0,0,"Digite"))</f>
        <v>0</v>
      </c>
      <c r="DB11" s="454">
        <f>IF(OR('Parte Estrategica'!AK11=0,'Parte Estrategica'!AK11=""),0,IF(VLOOKUP($A11,'Matriz de Referencia'!$B$2:$CO$584,41,FALSE)=0,0,"Digite"))</f>
        <v>0</v>
      </c>
      <c r="DC11" s="454">
        <f>IF(OR('Parte Estrategica'!AK11=0,'Parte Estrategica'!AK11=""),0,IF(VLOOKUP($A11,'Matriz de Referencia'!$B$2:$CO$584,42,FALSE)=0,0,"Digite"))</f>
        <v>0</v>
      </c>
      <c r="DD11" s="454">
        <f>IF(OR('Parte Estrategica'!AK11=0,'Parte Estrategica'!AK11=""),0,IF(VLOOKUP($A11,'Matriz de Referencia'!$B$2:$CO$584,43,FALSE)=0,0,"Digite"))</f>
        <v>0</v>
      </c>
      <c r="DE11" s="454">
        <f>IF(OR('Parte Estrategica'!AK11=0,'Parte Estrategica'!AK11=""),0,IF(VLOOKUP($A11,'Matriz de Referencia'!$B$2:$CO$584,44,FALSE)=0,0,"Digite"))</f>
        <v>0</v>
      </c>
      <c r="DF11" s="454">
        <f>IF(OR('Parte Estrategica'!AK11=0,'Parte Estrategica'!AK11=""),0,IF(VLOOKUP($A11,'Matriz de Referencia'!$B$2:$CO$584,45,FALSE)=0,0,"Digite"))</f>
        <v>0</v>
      </c>
      <c r="DG11" s="454">
        <f>IF(OR('Parte Estrategica'!AK11=0,'Parte Estrategica'!AK11=""),0,IF(VLOOKUP($A11,'Matriz de Referencia'!$B$2:$CO$584,46,FALSE)=0,0,"Digite"))</f>
        <v>0</v>
      </c>
      <c r="DH11" s="382">
        <f t="shared" si="22"/>
        <v>0</v>
      </c>
      <c r="DI11" s="454">
        <f>IF(OR('Parte Estrategica'!AK11=0,'Parte Estrategica'!AK11=""),0,IF(VLOOKUP($A11,'Matriz de Referencia'!$B$2:$CO$584,48,FALSE)=0,0,"Digite"))</f>
        <v>0</v>
      </c>
      <c r="DJ11" s="454">
        <f>IF(OR('Parte Estrategica'!AK11=0,'Parte Estrategica'!AK11=""),0,IF(VLOOKUP($A11,'Matriz de Referencia'!$B$2:$CO$584,49,FALSE)=0,0,"Digite"))</f>
        <v>0</v>
      </c>
      <c r="DK11" s="454">
        <f>IF(OR('Parte Estrategica'!AK11=0,'Parte Estrategica'!AK11=""),0,IF(VLOOKUP($A11,'Matriz de Referencia'!$B$2:$CO$584,50,FALSE)=0,0,"Digite"))</f>
        <v>0</v>
      </c>
      <c r="DL11" s="382">
        <f t="shared" si="23"/>
        <v>0</v>
      </c>
      <c r="DM11" s="382">
        <f t="shared" si="24"/>
        <v>0</v>
      </c>
      <c r="DN11" s="382">
        <f t="shared" si="25"/>
        <v>0</v>
      </c>
      <c r="DO11" s="101" t="str">
        <f>IFERROR(IF(DN11=0,"",IF(VLOOKUP($A11,'Matriz de Referencia'!$B$2:$CO$584,52,FALSE)=DN11,"Techos ok, cotinue","Debe revisar el valor programado")),"")</f>
        <v/>
      </c>
      <c r="DP11" s="453">
        <f>IF(OR('Parte Estrategica'!AN11=0,'Parte Estrategica'!AN11=""),0,IF(VLOOKUP($A11,'Matriz de Referencia'!$B$2:$CO$584,53,FALSE)=0,0,"Digite"))</f>
        <v>0</v>
      </c>
      <c r="DQ11" s="454">
        <f>IF(OR('Parte Estrategica'!AN11=0,'Parte Estrategica'!AN11=""),0,IF(VLOOKUP($A11,'Matriz de Referencia'!$B$2:$CO$584,54,FALSE)=0,0,"Digite"))</f>
        <v>0</v>
      </c>
      <c r="DR11" s="454">
        <f>IF(OR('Parte Estrategica'!AN11=0,'Parte Estrategica'!AN11=""),0,IF(VLOOKUP($A11,'Matriz de Referencia'!$B$2:$CO$584,55,FALSE)=0,0,"Digite"))</f>
        <v>0</v>
      </c>
      <c r="DS11" s="454">
        <f>IF(OR('Parte Estrategica'!AN11=0,'Parte Estrategica'!AN11=""),0,IF(VLOOKUP($A11,'Matriz de Referencia'!$B$2:$CO$584,56,FALSE)=0,0,"Digite"))</f>
        <v>0</v>
      </c>
      <c r="DT11" s="454">
        <f>IF(OR('Parte Estrategica'!AN11=0,'Parte Estrategica'!AN11=""),0,IF(VLOOKUP($A11,'Matriz de Referencia'!$B$2:$CO$584,57,FALSE)=0,0,"Digite"))</f>
        <v>0</v>
      </c>
      <c r="DU11" s="454">
        <f>IF(OR('Parte Estrategica'!AN11=0,'Parte Estrategica'!AN11=""),0,IF(VLOOKUP($A11,'Matriz de Referencia'!$B$2:$CO$584,58,FALSE)=0,0,"Digite"))</f>
        <v>0</v>
      </c>
      <c r="DV11" s="454">
        <f>IF(OR('Parte Estrategica'!AN11=0,'Parte Estrategica'!AN11=""),0,IF(VLOOKUP($A11,'Matriz de Referencia'!$B$2:$CO$584,59,FALSE)=0,0,"Digite"))</f>
        <v>0</v>
      </c>
      <c r="DW11" s="454">
        <f>IF(OR('Parte Estrategica'!AN11=0,'Parte Estrategica'!AN11=""),0,IF(VLOOKUP($A11,'Matriz de Referencia'!$B$2:$CO$584,60,FALSE)=0,0,"Digite"))</f>
        <v>0</v>
      </c>
      <c r="DX11" s="382">
        <f t="shared" si="26"/>
        <v>0</v>
      </c>
      <c r="DY11" s="454">
        <f>IF(OR('Parte Estrategica'!AN11=0,'Parte Estrategica'!AN11=""),0,IF(VLOOKUP($A11,'Matriz de Referencia'!$B$2:$CO$584,62,FALSE)=0,0,"Digite"))</f>
        <v>0</v>
      </c>
      <c r="DZ11" s="454">
        <f>IF(OR('Parte Estrategica'!AN11=0,'Parte Estrategica'!AN11=""),0,IF(VLOOKUP($A11,'Matriz de Referencia'!$B$2:$CO$584,63,FALSE)=0,0,"Digite"))</f>
        <v>0</v>
      </c>
      <c r="EA11" s="454" t="str">
        <f>IF(OR('Parte Estrategica'!AN11=0,'Parte Estrategica'!AN11=""),"",IF(VLOOKUP($A11,'Matriz de Referencia'!$B$2:$CO$584,64,FALSE)=0,"","Digite"))</f>
        <v/>
      </c>
      <c r="EB11" s="382">
        <f t="shared" si="27"/>
        <v>0</v>
      </c>
      <c r="EC11" s="382">
        <f t="shared" si="28"/>
        <v>0</v>
      </c>
      <c r="ED11" s="453">
        <f>IF(OR('Parte Estrategica'!AO11=0,'Parte Estrategica'!AO11=""),0,IF(VLOOKUP($A11,'Matriz de Referencia'!$B$2:$CO$584,53,FALSE)=0,0,"Digite"))</f>
        <v>0</v>
      </c>
      <c r="EE11" s="454">
        <f>IF(OR('Parte Estrategica'!AO11=0,'Parte Estrategica'!AO11=""),0,IF(VLOOKUP($A11,'Matriz de Referencia'!$B$2:$CO$584,54,FALSE)=0,0,"Digite"))</f>
        <v>0</v>
      </c>
      <c r="EF11" s="454">
        <f>IF(OR('Parte Estrategica'!AO11=0,'Parte Estrategica'!AO11=""),0,IF(VLOOKUP($A11,'Matriz de Referencia'!$B$2:$CO$584,55,FALSE)=0,0,"Digite"))</f>
        <v>0</v>
      </c>
      <c r="EG11" s="454">
        <f>IF(OR('Parte Estrategica'!AO11=0,'Parte Estrategica'!AO11=""),0,IF(VLOOKUP($A11,'Matriz de Referencia'!$B$2:$CO$584,56,FALSE)=0,0,"Digite"))</f>
        <v>0</v>
      </c>
      <c r="EH11" s="454">
        <f>IF(OR('Parte Estrategica'!AO11=0,'Parte Estrategica'!AO11=""),0,IF(VLOOKUP($A11,'Matriz de Referencia'!$B$2:$CO$584,57,FALSE)=0,0,"Digite"))</f>
        <v>0</v>
      </c>
      <c r="EI11" s="454">
        <f>IF(OR('Parte Estrategica'!AO11=0,'Parte Estrategica'!AO11=""),0,IF(VLOOKUP($A11,'Matriz de Referencia'!$B$2:$CO$584,58,FALSE)=0,0,"Digite"))</f>
        <v>0</v>
      </c>
      <c r="EJ11" s="454">
        <f>IF(OR('Parte Estrategica'!AO11=0,'Parte Estrategica'!AO11=""),0,IF(VLOOKUP($A11,'Matriz de Referencia'!$B$2:$CO$584,59,FALSE)=0,0,"Digite"))</f>
        <v>0</v>
      </c>
      <c r="EK11" s="454">
        <f>IF(OR('Parte Estrategica'!AO11=0,'Parte Estrategica'!AO11=""),0,IF(VLOOKUP($A11,'Matriz de Referencia'!$B$2:$CO$584,60,FALSE)=0,0,"Digite"))</f>
        <v>0</v>
      </c>
      <c r="EL11" s="382">
        <f t="shared" si="29"/>
        <v>0</v>
      </c>
      <c r="EM11" s="454">
        <f>IF(OR('Parte Estrategica'!AO11=0,'Parte Estrategica'!AO11=""),0,IF(VLOOKUP($A11,'Matriz de Referencia'!$B$2:$CO$584,62,FALSE)=0,0,"Digite"))</f>
        <v>0</v>
      </c>
      <c r="EN11" s="454">
        <f>IF(OR('Parte Estrategica'!AO11=0,'Parte Estrategica'!AO11=""),0,IF(VLOOKUP($A11,'Matriz de Referencia'!$B$2:$CO$584,63,FALSE)=0,0,"Digite"))</f>
        <v>0</v>
      </c>
      <c r="EO11" s="454">
        <f>IF(OR('Parte Estrategica'!AO11=0,'Parte Estrategica'!AO11=""),0,IF(VLOOKUP($A11,'Matriz de Referencia'!$B$2:$CO$584,64,FALSE)=0,0,"Digite"))</f>
        <v>0</v>
      </c>
      <c r="EP11" s="382">
        <f t="shared" si="30"/>
        <v>0</v>
      </c>
      <c r="EQ11" s="382">
        <f t="shared" si="31"/>
        <v>0</v>
      </c>
      <c r="ER11" s="453">
        <f>IF(OR('Parte Estrategica'!AP11=0,'Parte Estrategica'!AP11=""),0,IF(VLOOKUP($A11,'Matriz de Referencia'!$B$2:$CO$584,53,FALSE)=0,0,"Digite"))</f>
        <v>0</v>
      </c>
      <c r="ES11" s="454">
        <f>IF(OR('Parte Estrategica'!AP11=0,'Parte Estrategica'!AP11=""),0,IF(VLOOKUP($A11,'Matriz de Referencia'!$B$2:$CO$584,54,FALSE)=0,0,"Digite"))</f>
        <v>0</v>
      </c>
      <c r="ET11" s="454">
        <f>IF(OR('Parte Estrategica'!AP11=0,'Parte Estrategica'!AP11=""),0,IF(VLOOKUP($A11,'Matriz de Referencia'!$B$2:$CO$584,55,FALSE)=0,0,"Digite"))</f>
        <v>0</v>
      </c>
      <c r="EU11" s="454">
        <f>IF(OR('Parte Estrategica'!AP11=0,'Parte Estrategica'!AP11=""),0,IF(VLOOKUP($A11,'Matriz de Referencia'!$B$2:$CO$584,56,FALSE)=0,0,"Digite"))</f>
        <v>0</v>
      </c>
      <c r="EV11" s="454">
        <f>IF(OR('Parte Estrategica'!AP11=0,'Parte Estrategica'!AP11=""),0,IF(VLOOKUP($A11,'Matriz de Referencia'!$B$2:$CO$584,57,FALSE)=0,0,"Digite"))</f>
        <v>0</v>
      </c>
      <c r="EW11" s="454">
        <f>IF(OR('Parte Estrategica'!AP11=0,'Parte Estrategica'!AP11=""),0,IF(VLOOKUP($A11,'Matriz de Referencia'!$B$2:$CO$584,58,FALSE)=0,0,"Digite"))</f>
        <v>0</v>
      </c>
      <c r="EX11" s="454">
        <f>IF(OR('Parte Estrategica'!AP11=0,'Parte Estrategica'!AP11=""),0,IF(VLOOKUP($A11,'Matriz de Referencia'!$B$2:$CO$584,59,FALSE)=0,0,"Digite"))</f>
        <v>0</v>
      </c>
      <c r="EY11" s="454">
        <f>IF(OR('Parte Estrategica'!AP11=0,'Parte Estrategica'!AP11=""),0,IF(VLOOKUP($A11,'Matriz de Referencia'!$B$2:$CO$584,60,FALSE)=0,0,"Digite"))</f>
        <v>0</v>
      </c>
      <c r="EZ11" s="382">
        <f t="shared" si="32"/>
        <v>0</v>
      </c>
      <c r="FA11" s="454">
        <f>IF(OR('Parte Estrategica'!AP11=0,'Parte Estrategica'!AP11=""),0,IF(VLOOKUP($A11,'Matriz de Referencia'!$B$2:$CO$584,62,FALSE)=0,0,"Digite"))</f>
        <v>0</v>
      </c>
      <c r="FB11" s="454">
        <f>IF(OR('Parte Estrategica'!AP11=0,'Parte Estrategica'!AP11=""),0,IF(VLOOKUP($A11,'Matriz de Referencia'!$B$2:$CO$584,63,FALSE)=0,0,"Digite"))</f>
        <v>0</v>
      </c>
      <c r="FC11" s="454">
        <f>IF(OR('Parte Estrategica'!AP11=0,'Parte Estrategica'!AP11=""),0,IF(VLOOKUP($A11,'Matriz de Referencia'!$B$2:$CO$584,64,FALSE)=0,0,"Digite"))</f>
        <v>0</v>
      </c>
      <c r="FD11" s="382">
        <f t="shared" si="33"/>
        <v>0</v>
      </c>
      <c r="FE11" s="382">
        <f t="shared" si="34"/>
        <v>0</v>
      </c>
      <c r="FF11" s="453">
        <f>IF(OR('Parte Estrategica'!AQ11=0,'Parte Estrategica'!AQ11=""),0,IF(VLOOKUP($A11,'Matriz de Referencia'!$B$2:$CO$584,53,FALSE)=0,0,"Digite"))</f>
        <v>0</v>
      </c>
      <c r="FG11" s="454">
        <f>IF(OR('Parte Estrategica'!AQ11=0,'Parte Estrategica'!AQ11=""),0,IF(VLOOKUP($A11,'Matriz de Referencia'!$B$2:$CO$584,54,FALSE)=0,0,"Digite"))</f>
        <v>0</v>
      </c>
      <c r="FH11" s="454">
        <f>IF(OR('Parte Estrategica'!AQ11=0,'Parte Estrategica'!AQ11=""),0,IF(VLOOKUP($A11,'Matriz de Referencia'!$B$2:$CO$584,55,FALSE)=0,0,"Digite"))</f>
        <v>0</v>
      </c>
      <c r="FI11" s="454">
        <f>IF(OR('Parte Estrategica'!AQ11=0,'Parte Estrategica'!AQ11=""),0,IF(VLOOKUP($A11,'Matriz de Referencia'!$B$2:$CO$584,56,FALSE)=0,0,"Digite"))</f>
        <v>0</v>
      </c>
      <c r="FJ11" s="454">
        <f>IF(OR('Parte Estrategica'!AQ11=0,'Parte Estrategica'!AQ11=""),0,IF(VLOOKUP($A11,'Matriz de Referencia'!$B$2:$CO$584,57,FALSE)=0,0,"Digite"))</f>
        <v>0</v>
      </c>
      <c r="FK11" s="454">
        <f>IF(OR('Parte Estrategica'!AQ11=0,'Parte Estrategica'!AQ11=""),0,IF(VLOOKUP($A11,'Matriz de Referencia'!$B$2:$CO$584,58,FALSE)=0,0,"Digite"))</f>
        <v>0</v>
      </c>
      <c r="FL11" s="454">
        <f>IF(OR('Parte Estrategica'!AQ11=0,'Parte Estrategica'!AQ11=""),0,IF(VLOOKUP($A11,'Matriz de Referencia'!$B$2:$CO$584,59,FALSE)=0,0,"Digite"))</f>
        <v>0</v>
      </c>
      <c r="FM11" s="454">
        <f>IF(OR('Parte Estrategica'!AQ11=0,'Parte Estrategica'!AQ11=""),0,IF(VLOOKUP($A11,'Matriz de Referencia'!$B$2:$CO$584,60,FALSE)=0,0,"Digite"))</f>
        <v>0</v>
      </c>
      <c r="FN11" s="382">
        <f t="shared" si="35"/>
        <v>0</v>
      </c>
      <c r="FO11" s="454">
        <f>IF(OR('Parte Estrategica'!AQ11=0,'Parte Estrategica'!AQ11=""),0,IF(VLOOKUP($A11,'Matriz de Referencia'!$B$2:$CO$584,62,FALSE)=0,0,"Digite"))</f>
        <v>0</v>
      </c>
      <c r="FP11" s="454">
        <f>IF(OR('Parte Estrategica'!AQ11=0,'Parte Estrategica'!AQ11=""),0,IF(VLOOKUP($A11,'Matriz de Referencia'!$B$2:$CO$584,63,FALSE)=0,0,"Digite"))</f>
        <v>0</v>
      </c>
      <c r="FQ11" s="454">
        <f>IF(OR('Parte Estrategica'!AQ11=0,'Parte Estrategica'!AQ11=""),0,IF(VLOOKUP($A11,'Matriz de Referencia'!$B$2:$CO$584,64,FALSE)=0,0,"Digite"))</f>
        <v>0</v>
      </c>
      <c r="FR11" s="382">
        <f t="shared" si="36"/>
        <v>0</v>
      </c>
      <c r="FS11" s="382">
        <f t="shared" si="37"/>
        <v>0</v>
      </c>
      <c r="FT11" s="382">
        <f t="shared" si="38"/>
        <v>0</v>
      </c>
      <c r="FU11" s="101" t="str">
        <f>IFERROR(IF(FT11=0,"",IF(VLOOKUP($A11,'Matriz de Referencia'!$B$2:$CO$584,66,FALSE)=FT11,"Techos ok, cotinue","Debe revisar el valor programado")),"")</f>
        <v/>
      </c>
      <c r="FV11" s="453">
        <f>IF(OR('Parte Estrategica'!AT11=0,'Parte Estrategica'!AT11=""),0,IF(VLOOKUP($A11,'Matriz de Referencia'!$B$2:$CO$584,67,FALSE)=0,0,"Digite"))</f>
        <v>0</v>
      </c>
      <c r="FW11" s="454">
        <f>IF(OR('Parte Estrategica'!AT11=0,'Parte Estrategica'!AT11=""),0,IF(VLOOKUP($A11,'Matriz de Referencia'!$B$2:$CO$584,68,FALSE)=0,0,"Digite"))</f>
        <v>0</v>
      </c>
      <c r="FX11" s="454">
        <f>IF(OR('Parte Estrategica'!AT11=0,'Parte Estrategica'!AT11=""),0,IF(VLOOKUP($A11,'Matriz de Referencia'!$B$2:$CO$584,69,FALSE)=0,0,"Digite"))</f>
        <v>0</v>
      </c>
      <c r="FY11" s="454">
        <f>IF(OR('Parte Estrategica'!AT11=0,'Parte Estrategica'!AT11=""),0,IF(VLOOKUP($A11,'Matriz de Referencia'!$B$2:$CO$584,70,FALSE)=0,0,"Digite"))</f>
        <v>0</v>
      </c>
      <c r="FZ11" s="454">
        <f>IF(OR('Parte Estrategica'!AT11=0,'Parte Estrategica'!AT11=""),0,IF(VLOOKUP($A11,'Matriz de Referencia'!$B$2:$CO$584,71,FALSE)=0,0,"Digite"))</f>
        <v>0</v>
      </c>
      <c r="GA11" s="454">
        <f>IF(OR('Parte Estrategica'!AT11=0,'Parte Estrategica'!AT11=""),0,IF(VLOOKUP($A11,'Matriz de Referencia'!$B$2:$CO$584,72,FALSE)=0,0,"Digite"))</f>
        <v>0</v>
      </c>
      <c r="GB11" s="454">
        <f>IF(OR('Parte Estrategica'!AT11=0,'Parte Estrategica'!AT11=""),0,IF(VLOOKUP($A11,'Matriz de Referencia'!$B$2:$CO$584,73,FALSE)=0,0,"Digite"))</f>
        <v>0</v>
      </c>
      <c r="GC11" s="454">
        <f>IF(OR('Parte Estrategica'!AT11=0,'Parte Estrategica'!AT11=""),0,IF(VLOOKUP($A11,'Matriz de Referencia'!$B$2:$CO$584,74,FALSE)=0,0,"Digite"))</f>
        <v>0</v>
      </c>
      <c r="GD11" s="382">
        <f t="shared" si="39"/>
        <v>0</v>
      </c>
      <c r="GE11" s="454">
        <f>IF(OR('Parte Estrategica'!AT11=0,'Parte Estrategica'!AT11=""),0,IF(VLOOKUP($A11,'Matriz de Referencia'!$B$2:$CO$584,76,FALSE)=0,0,"Digite"))</f>
        <v>0</v>
      </c>
      <c r="GF11" s="454">
        <f>IF(OR('Parte Estrategica'!AT11=0,'Parte Estrategica'!AT11=""),0,IF(VLOOKUP($A11,'Matriz de Referencia'!$B$2:$CO$584,77,FALSE)=0,0,"Digite"))</f>
        <v>0</v>
      </c>
      <c r="GG11" s="454">
        <f>IF(OR('Parte Estrategica'!AT11=0,'Parte Estrategica'!AT11=""),0,IF(VLOOKUP($A11,'Matriz de Referencia'!$B$2:$CO$584,78,FALSE)=0,0,"Digite"))</f>
        <v>0</v>
      </c>
      <c r="GH11" s="382">
        <f t="shared" si="40"/>
        <v>0</v>
      </c>
      <c r="GI11" s="382">
        <f t="shared" si="41"/>
        <v>0</v>
      </c>
      <c r="GJ11" s="453">
        <f>IF(OR('Parte Estrategica'!AU11=0,'Parte Estrategica'!AU11=""),0,IF(VLOOKUP($A11,'Matriz de Referencia'!$B$2:$CO$584,67,FALSE)=0,0,"Digite"))</f>
        <v>0</v>
      </c>
      <c r="GK11" s="454">
        <f>IF(OR('Parte Estrategica'!AU11=0,'Parte Estrategica'!AU11=""),0,IF(VLOOKUP($A11,'Matriz de Referencia'!$B$2:$CO$584,68,FALSE)=0,0,"Digite"))</f>
        <v>0</v>
      </c>
      <c r="GL11" s="454">
        <f>IF(OR('Parte Estrategica'!AU11=0,'Parte Estrategica'!AU11=""),0,IF(VLOOKUP($A11,'Matriz de Referencia'!$B$2:$CO$584,69,FALSE)=0,0,"Digite"))</f>
        <v>0</v>
      </c>
      <c r="GM11" s="454">
        <f>IF(OR('Parte Estrategica'!AU11=0,'Parte Estrategica'!AU11=""),0,IF(VLOOKUP($A11,'Matriz de Referencia'!$B$2:$CO$584,70,FALSE)=0,0,"Digite"))</f>
        <v>0</v>
      </c>
      <c r="GN11" s="454">
        <f>IF(OR('Parte Estrategica'!AU11=0,'Parte Estrategica'!AU11=""),0,IF(VLOOKUP($A11,'Matriz de Referencia'!$B$2:$CO$584,71,FALSE)=0,0,"Digite"))</f>
        <v>0</v>
      </c>
      <c r="GO11" s="454">
        <f>IF(OR('Parte Estrategica'!AU11=0,'Parte Estrategica'!AU11=""),0,IF(VLOOKUP($A11,'Matriz de Referencia'!$B$2:$CO$584,72,FALSE)=0,0,"Digite"))</f>
        <v>0</v>
      </c>
      <c r="GP11" s="454">
        <f>IF(OR('Parte Estrategica'!AU11=0,'Parte Estrategica'!AU11=""),0,IF(VLOOKUP($A11,'Matriz de Referencia'!$B$2:$CO$584,73,FALSE)=0,0,"Digite"))</f>
        <v>0</v>
      </c>
      <c r="GQ11" s="454">
        <f>IF(OR('Parte Estrategica'!AU11=0,'Parte Estrategica'!AU11=""),0,IF(VLOOKUP($A11,'Matriz de Referencia'!$B$2:$CO$584,74,FALSE)=0,0,"Digite"))</f>
        <v>0</v>
      </c>
      <c r="GR11" s="382">
        <f t="shared" si="42"/>
        <v>0</v>
      </c>
      <c r="GS11" s="454">
        <f>IF(OR('Parte Estrategica'!AU11=0,'Parte Estrategica'!AU11=""),0,IF(VLOOKUP($A11,'Matriz de Referencia'!$B$2:$CO$584,76,FALSE)=0,0,"Digite"))</f>
        <v>0</v>
      </c>
      <c r="GT11" s="454">
        <f>IF(OR('Parte Estrategica'!AU11=0,'Parte Estrategica'!AU11=""),0,IF(VLOOKUP($A11,'Matriz de Referencia'!$B$2:$CO$584,77,FALSE)=0,0,"Digite"))</f>
        <v>0</v>
      </c>
      <c r="GU11" s="454">
        <f>IF(OR('Parte Estrategica'!AU11=0,'Parte Estrategica'!AU11=""),0,IF(VLOOKUP($A11,'Matriz de Referencia'!$B$2:$CO$584,78,FALSE)=0,0,"Digite"))</f>
        <v>0</v>
      </c>
      <c r="GV11" s="382">
        <f t="shared" si="43"/>
        <v>0</v>
      </c>
      <c r="GW11" s="382">
        <f t="shared" si="44"/>
        <v>0</v>
      </c>
      <c r="GX11" s="453">
        <f>IF(OR('Parte Estrategica'!AV11=0,'Parte Estrategica'!AV11=""),0,IF(VLOOKUP($A11,'Matriz de Referencia'!$B$2:$CO$584,67,FALSE)=0,0,"Digite"))</f>
        <v>0</v>
      </c>
      <c r="GY11" s="454">
        <f>IF(OR('Parte Estrategica'!AV11=0,'Parte Estrategica'!AV11=""),0,IF(VLOOKUP($A11,'Matriz de Referencia'!$B$2:$CO$584,68,FALSE)=0,0,"Digite"))</f>
        <v>0</v>
      </c>
      <c r="GZ11" s="454">
        <f>IF(OR('Parte Estrategica'!AV11=0,'Parte Estrategica'!AV11=""),0,IF(VLOOKUP($A11,'Matriz de Referencia'!$B$2:$CO$584,69,FALSE)=0,0,"Digite"))</f>
        <v>0</v>
      </c>
      <c r="HA11" s="454">
        <f>IF(OR('Parte Estrategica'!AV11=0,'Parte Estrategica'!AV11=""),0,IF(VLOOKUP($A11,'Matriz de Referencia'!$B$2:$CO$584,70,FALSE)=0,0,"Digite"))</f>
        <v>0</v>
      </c>
      <c r="HB11" s="454">
        <f>IF(OR('Parte Estrategica'!AV11=0,'Parte Estrategica'!AV11=""),0,IF(VLOOKUP($A11,'Matriz de Referencia'!$B$2:$CO$584,71,FALSE)=0,0,"Digite"))</f>
        <v>0</v>
      </c>
      <c r="HC11" s="454">
        <f>IF(OR('Parte Estrategica'!AV11=0,'Parte Estrategica'!AV11=""),0,IF(VLOOKUP($A11,'Matriz de Referencia'!$B$2:$CO$584,72,FALSE)=0,0,"Digite"))</f>
        <v>0</v>
      </c>
      <c r="HD11" s="454">
        <f>IF(OR('Parte Estrategica'!AV11=0,'Parte Estrategica'!AV11=""),0,IF(VLOOKUP($A11,'Matriz de Referencia'!$B$2:$CO$584,73,FALSE)=0,0,"Digite"))</f>
        <v>0</v>
      </c>
      <c r="HE11" s="454">
        <f>IF(OR('Parte Estrategica'!AV11=0,'Parte Estrategica'!AV11=""),0,IF(VLOOKUP($A11,'Matriz de Referencia'!$B$2:$CO$584,74,FALSE)=0,0,"Digite"))</f>
        <v>0</v>
      </c>
      <c r="HF11" s="382">
        <f t="shared" si="45"/>
        <v>0</v>
      </c>
      <c r="HG11" s="454">
        <f>IF(OR('Parte Estrategica'!AV11=0,'Parte Estrategica'!AV11=""),0,IF(VLOOKUP($A11,'Matriz de Referencia'!$B$2:$CO$584,76,FALSE)=0,0,"Digite"))</f>
        <v>0</v>
      </c>
      <c r="HH11" s="454">
        <f>IF(OR('Parte Estrategica'!AV11=0,'Parte Estrategica'!AV11=""),0,IF(VLOOKUP($A11,'Matriz de Referencia'!$B$2:$CO$584,77,FALSE)=0,0,"Digite"))</f>
        <v>0</v>
      </c>
      <c r="HI11" s="454">
        <f>IF(OR('Parte Estrategica'!AV11=0,'Parte Estrategica'!AV11=""),0,IF(VLOOKUP($A11,'Matriz de Referencia'!$B$2:$CO$584,78,FALSE)=0,0,"Digite"))</f>
        <v>0</v>
      </c>
      <c r="HJ11" s="382">
        <f t="shared" si="46"/>
        <v>0</v>
      </c>
      <c r="HK11" s="382">
        <f t="shared" si="47"/>
        <v>0</v>
      </c>
      <c r="HL11" s="453">
        <f>IF(OR('Parte Estrategica'!AW11=0,'Parte Estrategica'!AW11=""),0,IF(VLOOKUP($A11,'Matriz de Referencia'!$B$2:$CO$584,67,FALSE)=0,0,"Digite"))</f>
        <v>0</v>
      </c>
      <c r="HM11" s="454">
        <f>IF(OR('Parte Estrategica'!AW11=0,'Parte Estrategica'!AW11=""),0,IF(VLOOKUP($A11,'Matriz de Referencia'!$B$2:$CO$584,68,FALSE)=0,0,"Digite"))</f>
        <v>0</v>
      </c>
      <c r="HN11" s="454">
        <f>IF(OR('Parte Estrategica'!AW11=0,'Parte Estrategica'!AW11=""),0,IF(VLOOKUP($A11,'Matriz de Referencia'!$B$2:$CO$584,69,FALSE)=0,0,"Digite"))</f>
        <v>0</v>
      </c>
      <c r="HO11" s="454">
        <f>IF(OR('Parte Estrategica'!AW11=0,'Parte Estrategica'!AW11=""),0,IF(VLOOKUP($A11,'Matriz de Referencia'!$B$2:$CO$584,70,FALSE)=0,0,"Digite"))</f>
        <v>0</v>
      </c>
      <c r="HP11" s="454">
        <f>IF(OR('Parte Estrategica'!AW11=0,'Parte Estrategica'!AW11=""),0,IF(VLOOKUP($A11,'Matriz de Referencia'!$B$2:$CO$584,71,FALSE)=0,0,"Digite"))</f>
        <v>0</v>
      </c>
      <c r="HQ11" s="454">
        <f>IF(OR('Parte Estrategica'!AW11=0,'Parte Estrategica'!AW11=""),0,IF(VLOOKUP($A11,'Matriz de Referencia'!$B$2:$CO$584,72,FALSE)=0,0,"Digite"))</f>
        <v>0</v>
      </c>
      <c r="HR11" s="454">
        <f>IF(OR('Parte Estrategica'!AW11=0,'Parte Estrategica'!AW11=""),0,IF(VLOOKUP($A11,'Matriz de Referencia'!$B$2:$CO$584,73,FALSE)=0,0,"Digite"))</f>
        <v>0</v>
      </c>
      <c r="HS11" s="454">
        <f>IF(OR('Parte Estrategica'!AW11=0,'Parte Estrategica'!AW11=""),0,IF(VLOOKUP($A11,'Matriz de Referencia'!$B$2:$CO$584,74,FALSE)=0,0,"Digite"))</f>
        <v>0</v>
      </c>
      <c r="HT11" s="382">
        <f t="shared" si="48"/>
        <v>0</v>
      </c>
      <c r="HU11" s="454">
        <f>IF(OR('Parte Estrategica'!AW11=0,'Parte Estrategica'!AW11=""),0,IF(VLOOKUP($A11,'Matriz de Referencia'!$B$2:$CO$584,76,FALSE)=0,0,"Digite"))</f>
        <v>0</v>
      </c>
      <c r="HV11" s="454">
        <f>IF(OR('Parte Estrategica'!AW11=0,'Parte Estrategica'!AW11=""),0,IF(VLOOKUP($A11,'Matriz de Referencia'!$B$2:$CO$584,77,FALSE)=0,0,"Digite"))</f>
        <v>0</v>
      </c>
      <c r="HW11" s="454">
        <f>IF(OR('Parte Estrategica'!AW11=0,'Parte Estrategica'!AW11=""),0,IF(VLOOKUP($A11,'Matriz de Referencia'!$B$2:$CO$584,78,FALSE)=0,0,"Digite"))</f>
        <v>0</v>
      </c>
      <c r="HX11" s="382">
        <f t="shared" si="49"/>
        <v>0</v>
      </c>
      <c r="HY11" s="382">
        <f t="shared" si="50"/>
        <v>0</v>
      </c>
      <c r="HZ11" s="382">
        <f t="shared" si="51"/>
        <v>0</v>
      </c>
      <c r="IA11" s="101" t="str">
        <f>IFERROR(IF(HZ11=0,"",IF(VLOOKUP($A11,'Matriz de Referencia'!$B$2:$CO$584,80,FALSE)=HZ11,"Techos ok, cotinue","Debe revisar el valor programado")),"")</f>
        <v/>
      </c>
      <c r="IB11" s="383">
        <f t="shared" si="52"/>
        <v>0</v>
      </c>
    </row>
    <row r="12" spans="1:236">
      <c r="A12" s="550" t="str">
        <f>IF('Parte Estrategica'!B12=0,"",'Parte Estrategica'!B12)</f>
        <v/>
      </c>
      <c r="B12" s="551" t="str">
        <f>IFERROR(VLOOKUP(A12,'Matriz de Referencia'!$B$2:$P$578,'Matriz de Referencia'!L$1,FALSE),"")</f>
        <v/>
      </c>
      <c r="C12" s="551" t="str">
        <f>IFERROR(VLOOKUP(A12,'Matriz de Referencia'!$B$2:$P$584,'Matriz de Referencia'!M$1,FALSE),"")</f>
        <v/>
      </c>
      <c r="D12" s="455" t="str">
        <f>IF(OR('Parte Estrategica'!AB12=0,'Parte Estrategica'!AB12=""),"",IF(VLOOKUP($A12,'Matriz de Referencia'!$B$2:$CO$584,'Matriz de Referencia'!Z$1,FALSE)=0,"","Digite"))</f>
        <v/>
      </c>
      <c r="E12" s="456">
        <f>IF(OR('Parte Estrategica'!AB12=0,'Parte Estrategica'!AB12=""),0,IF(VLOOKUP($A12,'Matriz de Referencia'!$B$2:$CO$584,26,FALSE)=0,0,"Digite"))</f>
        <v>0</v>
      </c>
      <c r="F12" s="456">
        <f>IF(OR('Parte Estrategica'!AB12=0,'Parte Estrategica'!AB12=""),0,IF(VLOOKUP($A12,'Matriz de Referencia'!$B$2:$CO$584,27,FALSE)=0,0,"Digite"))</f>
        <v>0</v>
      </c>
      <c r="G12" s="456">
        <f>IF(OR('Parte Estrategica'!AB12=0,'Parte Estrategica'!AB12=""),0,IF(VLOOKUP($A12,'Matriz de Referencia'!$B$2:$CO$584,28,FALSE)=0,0,"Digite"))</f>
        <v>0</v>
      </c>
      <c r="H12" s="456">
        <f>IF(OR('Parte Estrategica'!AB12=0,'Parte Estrategica'!AB12=""),0,IF(VLOOKUP($A12,'Matriz de Referencia'!$B$2:$CO$584,29,FALSE)=0,0,"Digite"))</f>
        <v>0</v>
      </c>
      <c r="I12" s="456">
        <f>IF(OR('Parte Estrategica'!AB12=0,'Parte Estrategica'!AB12=""),0,IF(VLOOKUP($A12,'Matriz de Referencia'!$B$2:$CO$584,30,FALSE)=0,0,"Digite"))</f>
        <v>0</v>
      </c>
      <c r="J12" s="456">
        <f>IF(OR('Parte Estrategica'!AB12=0,'Parte Estrategica'!AB12=""),0,IF(VLOOKUP($A12,'Matriz de Referencia'!$B$2:$CO$584,31,FALSE)=0,0,"Digite"))</f>
        <v>0</v>
      </c>
      <c r="K12" s="456">
        <f>IF(OR('Parte Estrategica'!AB12=0,'Parte Estrategica'!AB12=""),0,IF(VLOOKUP($A12,'Matriz de Referencia'!$B$2:$CO$584,32,FALSE)=0,0,"Digite"))</f>
        <v>0</v>
      </c>
      <c r="L12" s="460">
        <f t="shared" si="0"/>
        <v>0</v>
      </c>
      <c r="M12" s="456">
        <f>IF(OR('Parte Estrategica'!AB12=0,'Parte Estrategica'!AB12=""),0,IF(VLOOKUP($A12,'Matriz de Referencia'!$B$2:$CO$584,34,FALSE)=0,0,"Digite"))</f>
        <v>0</v>
      </c>
      <c r="N12" s="456">
        <f>IF(OR('Parte Estrategica'!AB12=0,'Parte Estrategica'!AB12=""),0,IF(VLOOKUP($A12,'Matriz de Referencia'!$B$2:$CO$584,35,FALSE)=0,0,"Digite"))</f>
        <v>0</v>
      </c>
      <c r="O12" s="456">
        <f>IF(OR('Parte Estrategica'!AB12=0,'Parte Estrategica'!AB12=""),0,IF(VLOOKUP($A12,'Matriz de Referencia'!$B$2:$CO$584,36,FALSE)=0,0,"Digite"))</f>
        <v>0</v>
      </c>
      <c r="P12" s="457">
        <f t="shared" si="1"/>
        <v>0</v>
      </c>
      <c r="Q12" s="457">
        <f t="shared" si="2"/>
        <v>0</v>
      </c>
      <c r="R12" s="455">
        <f>IF(OR('Parte Estrategica'!AC12=0,'Parte Estrategica'!AC12=""),0,IF(VLOOKUP($A12,'Matriz de Referencia'!$B$2:$CO$584,25,FALSE)=0,0,"Digite"))</f>
        <v>0</v>
      </c>
      <c r="S12" s="456">
        <f>IF(OR('Parte Estrategica'!AC12=0,'Parte Estrategica'!AC12=""),0,IF(VLOOKUP($A12,'Matriz de Referencia'!$B$2:$CO$584,26,FALSE)=0,0,"Digite"))</f>
        <v>0</v>
      </c>
      <c r="T12" s="456">
        <f>IF(OR('Parte Estrategica'!AC12=0,'Parte Estrategica'!AC12=""),0,IF(VLOOKUP($A12,'Matriz de Referencia'!$B$2:$CO$584,27,FALSE)=0,0,"Digite"))</f>
        <v>0</v>
      </c>
      <c r="U12" s="456">
        <f>IF(OR('Parte Estrategica'!AC12=0,'Parte Estrategica'!AC12=""),0,IF(VLOOKUP($A12,'Matriz de Referencia'!$B$2:$CO$584,28,FALSE)=0,0,"Digite"))</f>
        <v>0</v>
      </c>
      <c r="V12" s="456">
        <f>IF(OR('Parte Estrategica'!AC12=0,'Parte Estrategica'!AC12=""),0,IF(VLOOKUP($A12,'Matriz de Referencia'!$B$2:$CO$584,29,FALSE)=0,0,"Digite"))</f>
        <v>0</v>
      </c>
      <c r="W12" s="456">
        <f>IF(OR('Parte Estrategica'!AC12=0,'Parte Estrategica'!AC12=""),0,IF(VLOOKUP($A12,'Matriz de Referencia'!$B$2:$CO$584,30,FALSE)=0,0,"Digite"))</f>
        <v>0</v>
      </c>
      <c r="X12" s="456">
        <f>IF(OR('Parte Estrategica'!AC12=0,'Parte Estrategica'!AC12=""),0,IF(VLOOKUP($A12,'Matriz de Referencia'!$B$2:$CO$584,31,FALSE)=0,0,"Digite"))</f>
        <v>0</v>
      </c>
      <c r="Y12" s="456">
        <f>IF(OR('Parte Estrategica'!AC12=0,'Parte Estrategica'!AC12=""),0,IF(VLOOKUP($A12,'Matriz de Referencia'!$B$2:$CO$584,32,FALSE)=0,0,"Digite"))</f>
        <v>0</v>
      </c>
      <c r="Z12" s="457">
        <f t="shared" si="3"/>
        <v>0</v>
      </c>
      <c r="AA12" s="456">
        <f>IF(OR('Parte Estrategica'!AC12=0,'Parte Estrategica'!AC12=""),0,IF(VLOOKUP($A12,'Matriz de Referencia'!$B$2:$CO$584,34,FALSE)=0,0,"Digite"))</f>
        <v>0</v>
      </c>
      <c r="AB12" s="456">
        <f>IF(OR('Parte Estrategica'!AC12=0,'Parte Estrategica'!AC12=""),0,IF(VLOOKUP($A12,'Matriz de Referencia'!$B$2:$CO$584,35,FALSE)=0,0,"Digite"))</f>
        <v>0</v>
      </c>
      <c r="AC12" s="456">
        <f>IF(OR('Parte Estrategica'!AC12=0,'Parte Estrategica'!AC12=""),0,IF(VLOOKUP($A12,'Matriz de Referencia'!$B$2:$CO$584,36,FALSE)=0,0,"Digite"))</f>
        <v>0</v>
      </c>
      <c r="AD12" s="457">
        <f t="shared" si="4"/>
        <v>0</v>
      </c>
      <c r="AE12" s="457">
        <f t="shared" si="5"/>
        <v>0</v>
      </c>
      <c r="AF12" s="455">
        <f>IF(OR('Parte Estrategica'!AD12=0,'Parte Estrategica'!AD12=""),0,IF(VLOOKUP($A12,'Matriz de Referencia'!$B$2:$CO$584,25,FALSE)=0,0,"Digite"))</f>
        <v>0</v>
      </c>
      <c r="AG12" s="456">
        <f>IF(OR('Parte Estrategica'!AD12=0,'Parte Estrategica'!AD12=""),0,IF(VLOOKUP($A12,'Matriz de Referencia'!$B$2:$CO$584,26,FALSE)=0,0,"Digite"))</f>
        <v>0</v>
      </c>
      <c r="AH12" s="456">
        <f>IF(OR('Parte Estrategica'!AD12=0,'Parte Estrategica'!AD12=""),0,IF(VLOOKUP($A12,'Matriz de Referencia'!$B$2:$CO$584,27,FALSE)=0,0,"Digite"))</f>
        <v>0</v>
      </c>
      <c r="AI12" s="456">
        <f>IF(OR('Parte Estrategica'!AD12=0,'Parte Estrategica'!AD12=""),0,IF(VLOOKUP($A12,'Matriz de Referencia'!$B$2:$CO$584,28,FALSE)=0,0,"Digite"))</f>
        <v>0</v>
      </c>
      <c r="AJ12" s="456">
        <f>IF(OR('Parte Estrategica'!AD12=0,'Parte Estrategica'!AD12=""),0,IF(VLOOKUP($A12,'Matriz de Referencia'!$B$2:$CO$584,29,FALSE)=0,0,"Digite"))</f>
        <v>0</v>
      </c>
      <c r="AK12" s="456">
        <f>IF(OR('Parte Estrategica'!AD12=0,'Parte Estrategica'!AD12=""),0,IF(VLOOKUP($A12,'Matriz de Referencia'!$B$2:$CO$584,30,FALSE)=0,0,"Digite"))</f>
        <v>0</v>
      </c>
      <c r="AL12" s="456">
        <f>IF(OR('Parte Estrategica'!AD12=0,'Parte Estrategica'!AD12=""),0,IF(VLOOKUP($A12,'Matriz de Referencia'!$B$2:$CO$584,31,FALSE)=0,0,"Digite"))</f>
        <v>0</v>
      </c>
      <c r="AM12" s="456">
        <f>IF(OR('Parte Estrategica'!AD12=0,'Parte Estrategica'!AD12=""),0,IF(VLOOKUP($A12,'Matriz de Referencia'!$B$2:$CO$584,32,FALSE)=0,0,"Digite"))</f>
        <v>0</v>
      </c>
      <c r="AN12" s="457">
        <f t="shared" si="6"/>
        <v>0</v>
      </c>
      <c r="AO12" s="456">
        <f>IF(OR('Parte Estrategica'!AD12=0,'Parte Estrategica'!AD12=""),0,IF(VLOOKUP($A12,'Matriz de Referencia'!$B$2:$CO$584,34,FALSE)=0,0,"Digite"))</f>
        <v>0</v>
      </c>
      <c r="AP12" s="456">
        <f>IF(OR('Parte Estrategica'!AD12=0,'Parte Estrategica'!AD12=""),0,IF(VLOOKUP($A12,'Matriz de Referencia'!$B$2:$CO$584,35,FALSE)=0,0,"Digite"))</f>
        <v>0</v>
      </c>
      <c r="AQ12" s="456">
        <f>IF(OR('Parte Estrategica'!AD12=0,'Parte Estrategica'!AD12=""),0,IF(VLOOKUP($A12,'Matriz de Referencia'!$B$2:$CO$584,36,FALSE)=0,0,"Digite"))</f>
        <v>0</v>
      </c>
      <c r="AR12" s="457">
        <f t="shared" si="7"/>
        <v>0</v>
      </c>
      <c r="AS12" s="457">
        <f t="shared" si="8"/>
        <v>0</v>
      </c>
      <c r="AT12" s="455">
        <f>IF(OR('Parte Estrategica'!AE12=0,'Parte Estrategica'!AE12=""),0,IF(VLOOKUP($A12,'Matriz de Referencia'!$B$2:$CO$584,25,FALSE)=0,0,"Digite"))</f>
        <v>0</v>
      </c>
      <c r="AU12" s="456">
        <f>IF(OR('Parte Estrategica'!AE12=0,'Parte Estrategica'!AE12=""),0,IF(VLOOKUP($A12,'Matriz de Referencia'!$B$2:$CO$584,26,FALSE)=0,0,"Digite"))</f>
        <v>0</v>
      </c>
      <c r="AV12" s="456">
        <f>IF(OR('Parte Estrategica'!AE12=0,'Parte Estrategica'!AE12=""),0,IF(VLOOKUP($A12,'Matriz de Referencia'!$B$2:$CO$584,27,FALSE)=0,0,"Digite"))</f>
        <v>0</v>
      </c>
      <c r="AW12" s="456">
        <f>IF(OR('Parte Estrategica'!AE12=0,'Parte Estrategica'!AE12=""),0,IF(VLOOKUP($A12,'Matriz de Referencia'!$B$2:$CO$584,28,FALSE)=0,0,"Digite"))</f>
        <v>0</v>
      </c>
      <c r="AX12" s="456">
        <f>IF(OR('Parte Estrategica'!AE12=0,'Parte Estrategica'!AE12=""),0,IF(VLOOKUP($A12,'Matriz de Referencia'!$B$2:$CO$584,29,FALSE)=0,0,"Digite"))</f>
        <v>0</v>
      </c>
      <c r="AY12" s="456">
        <f>IF(OR('Parte Estrategica'!AE12=0,'Parte Estrategica'!AE12=""),0,IF(VLOOKUP($A12,'Matriz de Referencia'!$B$2:$CO$584,30,FALSE)=0,0,"Digite"))</f>
        <v>0</v>
      </c>
      <c r="AZ12" s="456">
        <f>IF(OR('Parte Estrategica'!AE12=0,'Parte Estrategica'!AE12=""),0,IF(VLOOKUP($A12,'Matriz de Referencia'!$B$2:$CO$584,31,FALSE)=0,0,"Digite"))</f>
        <v>0</v>
      </c>
      <c r="BA12" s="456">
        <f>IF(OR('Parte Estrategica'!AE12=0,'Parte Estrategica'!AE12=""),0,IF(VLOOKUP($A12,'Matriz de Referencia'!$B$2:$CO$584,32,FALSE)=0,0,"Digite"))</f>
        <v>0</v>
      </c>
      <c r="BB12" s="457">
        <f t="shared" si="9"/>
        <v>0</v>
      </c>
      <c r="BC12" s="456">
        <f>IF(OR('Parte Estrategica'!AE12=0,'Parte Estrategica'!AE12=""),0,IF(VLOOKUP($A12,'Matriz de Referencia'!$B$2:$CO$584,34,FALSE)=0,0,"Digite"))</f>
        <v>0</v>
      </c>
      <c r="BD12" s="456">
        <f>IF(OR('Parte Estrategica'!AE12=0,'Parte Estrategica'!AE12=""),0,IF(VLOOKUP($A12,'Matriz de Referencia'!$B$2:$CO$584,35,FALSE)=0,0,"Digite"))</f>
        <v>0</v>
      </c>
      <c r="BE12" s="456">
        <f>IF(OR('Parte Estrategica'!AE12=0,'Parte Estrategica'!AE12=""),0,IF(VLOOKUP($A12,'Matriz de Referencia'!$B$2:$CO$584,36,FALSE)=0,0,"Digite"))</f>
        <v>0</v>
      </c>
      <c r="BF12" s="457">
        <f t="shared" si="10"/>
        <v>0</v>
      </c>
      <c r="BG12" s="457">
        <f t="shared" si="11"/>
        <v>0</v>
      </c>
      <c r="BH12" s="457">
        <f t="shared" si="12"/>
        <v>0</v>
      </c>
      <c r="BI12" s="101" t="str">
        <f>IFERROR(IF(BH12=0,"",IF(VLOOKUP($A12,'Matriz de Referencia'!$B$2:$CO$584,'Matriz de Referencia'!AM$1,FALSE)=BH12,"Techos ok, cotinue","Debe revisar el valor programado")),"")</f>
        <v/>
      </c>
      <c r="BJ12" s="453">
        <f>IF(OR('Parte Estrategica'!AH12=0,'Parte Estrategica'!AH12=""),0,IF(VLOOKUP($A12,'Matriz de Referencia'!$B$2:$CO$584,39,FALSE)=0,0,"Digite"))</f>
        <v>0</v>
      </c>
      <c r="BK12" s="454">
        <f>IF(OR('Parte Estrategica'!AH12=0,'Parte Estrategica'!AH12=""),0,IF(VLOOKUP($A12,'Matriz de Referencia'!$B$2:$CO$584,40,FALSE)=0,0,"Digite"))</f>
        <v>0</v>
      </c>
      <c r="BL12" s="454">
        <f>IF(OR('Parte Estrategica'!AH12=0,'Parte Estrategica'!AH12=""),0,IF(VLOOKUP($A12,'Matriz de Referencia'!$B$2:$CO$584,41,FALSE)=0,0,"Digite"))</f>
        <v>0</v>
      </c>
      <c r="BM12" s="454">
        <f>IF(OR('Parte Estrategica'!AH12=0,'Parte Estrategica'!AH12=""),0,IF(VLOOKUP($A12,'Matriz de Referencia'!$B$2:$CO$584,42,FALSE)=0,0,"Digite"))</f>
        <v>0</v>
      </c>
      <c r="BN12" s="454">
        <f>IF(OR('Parte Estrategica'!AH12=0,'Parte Estrategica'!AH12=""),0,IF(VLOOKUP($A12,'Matriz de Referencia'!$B$2:$CO$584,43,FALSE)=0,0,"Digite"))</f>
        <v>0</v>
      </c>
      <c r="BO12" s="454">
        <f>IF(OR('Parte Estrategica'!AH12=0,'Parte Estrategica'!AH12=""),0,IF(VLOOKUP($A12,'Matriz de Referencia'!$B$2:$CO$584,44,FALSE)=0,0,"Digite"))</f>
        <v>0</v>
      </c>
      <c r="BP12" s="454">
        <f>IF(OR('Parte Estrategica'!AH12=0,'Parte Estrategica'!AH12=""),0,IF(VLOOKUP($A12,'Matriz de Referencia'!$B$2:$CO$584,45,FALSE)=0,0,"Digite"))</f>
        <v>0</v>
      </c>
      <c r="BQ12" s="454">
        <f>IF(OR('Parte Estrategica'!AH12=0,'Parte Estrategica'!AH12=""),0,IF(VLOOKUP($A12,'Matriz de Referencia'!$B$2:$CO$584,46,FALSE)=0,0,"Digite"))</f>
        <v>0</v>
      </c>
      <c r="BR12" s="382">
        <f t="shared" si="13"/>
        <v>0</v>
      </c>
      <c r="BS12" s="454">
        <f>IF(OR('Parte Estrategica'!CL12=0,'Parte Estrategica'!CL12=""),0,IF(VLOOKUP($A12,'Matriz de Referencia'!$B$2:$CO$584,48,FALSE)=0,0,"Digite"))</f>
        <v>0</v>
      </c>
      <c r="BT12" s="454">
        <f>IF(OR('Parte Estrategica'!CL12=0,'Parte Estrategica'!CL12=""),0,IF(VLOOKUP($A12,'Matriz de Referencia'!$B$2:$CO$584,49,FALSE)=0,0,"Digite"))</f>
        <v>0</v>
      </c>
      <c r="BU12" s="454">
        <f>IF(OR('Parte Estrategica'!CL12=0,'Parte Estrategica'!CL12=""),0,IF(VLOOKUP($A12,'Matriz de Referencia'!$B$2:$CO$584,50,FALSE)=0,0,"Digite"))</f>
        <v>0</v>
      </c>
      <c r="BV12" s="382">
        <f t="shared" si="14"/>
        <v>0</v>
      </c>
      <c r="BW12" s="382">
        <f t="shared" si="15"/>
        <v>0</v>
      </c>
      <c r="BX12" s="453">
        <f>IF(OR('Parte Estrategica'!AI12=0,'Parte Estrategica'!AI12=""),0,IF(VLOOKUP($A12,'Matriz de Referencia'!$B$2:$CO$584,39,FALSE)=0,0,"Digite"))</f>
        <v>0</v>
      </c>
      <c r="BY12" s="454">
        <f>IF(OR('Parte Estrategica'!AI12=0,'Parte Estrategica'!AI12=""),0,IF(VLOOKUP($A12,'Matriz de Referencia'!$B$2:$CO$584,40,FALSE)=0,0,"Digite"))</f>
        <v>0</v>
      </c>
      <c r="BZ12" s="454">
        <f>IF(OR('Parte Estrategica'!AI12=0,'Parte Estrategica'!AI12=""),0,IF(VLOOKUP($A12,'Matriz de Referencia'!$B$2:$CO$584,41,FALSE)=0,0,"Digite"))</f>
        <v>0</v>
      </c>
      <c r="CA12" s="454">
        <f>IF(OR('Parte Estrategica'!AI12=0,'Parte Estrategica'!AI12=""),0,IF(VLOOKUP($A12,'Matriz de Referencia'!$B$2:$CO$584,42,FALSE)=0,0,"Digite"))</f>
        <v>0</v>
      </c>
      <c r="CB12" s="454">
        <f>IF(OR('Parte Estrategica'!AI12=0,'Parte Estrategica'!AI12=""),0,IF(VLOOKUP($A12,'Matriz de Referencia'!$B$2:$CO$584,43,FALSE)=0,0,"Digite"))</f>
        <v>0</v>
      </c>
      <c r="CC12" s="454">
        <f>IF(OR('Parte Estrategica'!AI12=0,'Parte Estrategica'!AI12=""),0,IF(VLOOKUP($A12,'Matriz de Referencia'!$B$2:$CO$584,44,FALSE)=0,0,"Digite"))</f>
        <v>0</v>
      </c>
      <c r="CD12" s="454">
        <f>IF(OR('Parte Estrategica'!AI12=0,'Parte Estrategica'!AI12=""),0,IF(VLOOKUP($A12,'Matriz de Referencia'!$B$2:$CO$584,45,FALSE)=0,0,"Digite"))</f>
        <v>0</v>
      </c>
      <c r="CE12" s="454">
        <f>IF(OR('Parte Estrategica'!AI12=0,'Parte Estrategica'!AI12=""),0,IF(VLOOKUP($A12,'Matriz de Referencia'!$B$2:$CO$584,46,FALSE)=0,0,"Digite"))</f>
        <v>0</v>
      </c>
      <c r="CF12" s="382">
        <f t="shared" si="16"/>
        <v>0</v>
      </c>
      <c r="CG12" s="454">
        <f>IF(OR('Parte Estrategica'!AI12=0,'Parte Estrategica'!AI12=""),0,IF(VLOOKUP($A12,'Matriz de Referencia'!$B$2:$CO$584,48,FALSE)=0,0,"Digite"))</f>
        <v>0</v>
      </c>
      <c r="CH12" s="454">
        <f>IF(OR('Parte Estrategica'!AI12=0,'Parte Estrategica'!AI12=""),0,IF(VLOOKUP($A12,'Matriz de Referencia'!$B$2:$CO$584,49,FALSE)=0,0,"Digite"))</f>
        <v>0</v>
      </c>
      <c r="CI12" s="454">
        <f>IF(OR('Parte Estrategica'!AI12=0,'Parte Estrategica'!AI12=""),0,IF(VLOOKUP($A12,'Matriz de Referencia'!$B$2:$CO$584,50,FALSE)=0,0,"Digite"))</f>
        <v>0</v>
      </c>
      <c r="CJ12" s="382">
        <f t="shared" si="17"/>
        <v>0</v>
      </c>
      <c r="CK12" s="382">
        <f t="shared" si="18"/>
        <v>0</v>
      </c>
      <c r="CL12" s="453">
        <f>IF(OR('Parte Estrategica'!AJ12=0,'Parte Estrategica'!AJ12=""),0,IF(VLOOKUP($A12,'Matriz de Referencia'!$B$2:$CO$584,39,FALSE)=0,0,"Digite"))</f>
        <v>0</v>
      </c>
      <c r="CM12" s="454">
        <f>IF(OR('Parte Estrategica'!AJ12=0,'Parte Estrategica'!AJ12=""),0,IF(VLOOKUP($A12,'Matriz de Referencia'!$B$2:$CO$584,40,FALSE)=0,0,"Digite"))</f>
        <v>0</v>
      </c>
      <c r="CN12" s="454">
        <f>IF(OR('Parte Estrategica'!AJ12=0,'Parte Estrategica'!AJ12=""),0,IF(VLOOKUP($A12,'Matriz de Referencia'!$B$2:$CO$584,41,FALSE)=0,0,"Digite"))</f>
        <v>0</v>
      </c>
      <c r="CO12" s="454">
        <f>IF(OR('Parte Estrategica'!AJ12=0,'Parte Estrategica'!AJ12=""),0,IF(VLOOKUP($A12,'Matriz de Referencia'!$B$2:$CO$584,42,FALSE)=0,0,"Digite"))</f>
        <v>0</v>
      </c>
      <c r="CP12" s="454">
        <f>IF(OR('Parte Estrategica'!AJ12=0,'Parte Estrategica'!AJ12=""),0,IF(VLOOKUP($A12,'Matriz de Referencia'!$B$2:$CO$584,43,FALSE)=0,0,"Digite"))</f>
        <v>0</v>
      </c>
      <c r="CQ12" s="454">
        <f>IF(OR('Parte Estrategica'!AJ12=0,'Parte Estrategica'!AJ12=""),0,IF(VLOOKUP($A12,'Matriz de Referencia'!$B$2:$CO$584,44,FALSE)=0,0,"Digite"))</f>
        <v>0</v>
      </c>
      <c r="CR12" s="454">
        <f>IF(OR('Parte Estrategica'!AJ12=0,'Parte Estrategica'!AJ12=""),0,IF(VLOOKUP($A12,'Matriz de Referencia'!$B$2:$CO$584,45,FALSE)=0,0,"Digite"))</f>
        <v>0</v>
      </c>
      <c r="CS12" s="454">
        <f>IF(OR('Parte Estrategica'!AJ12=0,'Parte Estrategica'!AJ12=""),0,IF(VLOOKUP($A12,'Matriz de Referencia'!$B$2:$CO$584,46,FALSE)=0,0,"Digite"))</f>
        <v>0</v>
      </c>
      <c r="CT12" s="382">
        <f t="shared" si="19"/>
        <v>0</v>
      </c>
      <c r="CU12" s="454">
        <f>IF(OR('Parte Estrategica'!AJ12=0,'Parte Estrategica'!AJ12=""),0,IF(VLOOKUP($A12,'Matriz de Referencia'!$B$2:$CO$584,48,FALSE)=0,0,"Digite"))</f>
        <v>0</v>
      </c>
      <c r="CV12" s="454">
        <f>IF(OR('Parte Estrategica'!AJ12=0,'Parte Estrategica'!AJ12=""),0,IF(VLOOKUP($A12,'Matriz de Referencia'!$B$2:$CO$584,49,FALSE)=0,0,"Digite"))</f>
        <v>0</v>
      </c>
      <c r="CW12" s="454">
        <f>IF(OR('Parte Estrategica'!AJ12=0,'Parte Estrategica'!AJ12=""),0,IF(VLOOKUP($A12,'Matriz de Referencia'!$B$2:$CO$584,50,FALSE)=0,0,"Digite"))</f>
        <v>0</v>
      </c>
      <c r="CX12" s="382">
        <f t="shared" si="20"/>
        <v>0</v>
      </c>
      <c r="CY12" s="382">
        <f t="shared" si="21"/>
        <v>0</v>
      </c>
      <c r="CZ12" s="453">
        <f>IF(OR('Parte Estrategica'!AK12=0,'Parte Estrategica'!AK12=""),0,IF(VLOOKUP($A12,'Matriz de Referencia'!$B$2:$CO$584,39,FALSE)=0,0,"Digite"))</f>
        <v>0</v>
      </c>
      <c r="DA12" s="454">
        <f>IF(OR('Parte Estrategica'!AK12=0,'Parte Estrategica'!AK12=""),0,IF(VLOOKUP($A12,'Matriz de Referencia'!$B$2:$CO$584,40,FALSE)=0,0,"Digite"))</f>
        <v>0</v>
      </c>
      <c r="DB12" s="454">
        <f>IF(OR('Parte Estrategica'!AK12=0,'Parte Estrategica'!AK12=""),0,IF(VLOOKUP($A12,'Matriz de Referencia'!$B$2:$CO$584,41,FALSE)=0,0,"Digite"))</f>
        <v>0</v>
      </c>
      <c r="DC12" s="454">
        <f>IF(OR('Parte Estrategica'!AK12=0,'Parte Estrategica'!AK12=""),0,IF(VLOOKUP($A12,'Matriz de Referencia'!$B$2:$CO$584,42,FALSE)=0,0,"Digite"))</f>
        <v>0</v>
      </c>
      <c r="DD12" s="454">
        <f>IF(OR('Parte Estrategica'!AK12=0,'Parte Estrategica'!AK12=""),0,IF(VLOOKUP($A12,'Matriz de Referencia'!$B$2:$CO$584,43,FALSE)=0,0,"Digite"))</f>
        <v>0</v>
      </c>
      <c r="DE12" s="454">
        <f>IF(OR('Parte Estrategica'!AK12=0,'Parte Estrategica'!AK12=""),0,IF(VLOOKUP($A12,'Matriz de Referencia'!$B$2:$CO$584,44,FALSE)=0,0,"Digite"))</f>
        <v>0</v>
      </c>
      <c r="DF12" s="454">
        <f>IF(OR('Parte Estrategica'!AK12=0,'Parte Estrategica'!AK12=""),0,IF(VLOOKUP($A12,'Matriz de Referencia'!$B$2:$CO$584,45,FALSE)=0,0,"Digite"))</f>
        <v>0</v>
      </c>
      <c r="DG12" s="454">
        <f>IF(OR('Parte Estrategica'!AK12=0,'Parte Estrategica'!AK12=""),0,IF(VLOOKUP($A12,'Matriz de Referencia'!$B$2:$CO$584,46,FALSE)=0,0,"Digite"))</f>
        <v>0</v>
      </c>
      <c r="DH12" s="382">
        <f t="shared" si="22"/>
        <v>0</v>
      </c>
      <c r="DI12" s="454">
        <f>IF(OR('Parte Estrategica'!AK12=0,'Parte Estrategica'!AK12=""),0,IF(VLOOKUP($A12,'Matriz de Referencia'!$B$2:$CO$584,48,FALSE)=0,0,"Digite"))</f>
        <v>0</v>
      </c>
      <c r="DJ12" s="454">
        <f>IF(OR('Parte Estrategica'!AK12=0,'Parte Estrategica'!AK12=""),0,IF(VLOOKUP($A12,'Matriz de Referencia'!$B$2:$CO$584,49,FALSE)=0,0,"Digite"))</f>
        <v>0</v>
      </c>
      <c r="DK12" s="454">
        <f>IF(OR('Parte Estrategica'!AK12=0,'Parte Estrategica'!AK12=""),0,IF(VLOOKUP($A12,'Matriz de Referencia'!$B$2:$CO$584,50,FALSE)=0,0,"Digite"))</f>
        <v>0</v>
      </c>
      <c r="DL12" s="382">
        <f t="shared" si="23"/>
        <v>0</v>
      </c>
      <c r="DM12" s="382">
        <f t="shared" si="24"/>
        <v>0</v>
      </c>
      <c r="DN12" s="382">
        <f t="shared" si="25"/>
        <v>0</v>
      </c>
      <c r="DO12" s="101" t="str">
        <f>IFERROR(IF(DN12=0,"",IF(VLOOKUP($A12,'Matriz de Referencia'!$B$2:$CO$584,52,FALSE)=DN12,"Techos ok, cotinue","Debe revisar el valor programado")),"")</f>
        <v/>
      </c>
      <c r="DP12" s="453">
        <f>IF(OR('Parte Estrategica'!AN12=0,'Parte Estrategica'!AN12=""),0,IF(VLOOKUP($A12,'Matriz de Referencia'!$B$2:$CO$584,53,FALSE)=0,0,"Digite"))</f>
        <v>0</v>
      </c>
      <c r="DQ12" s="454">
        <f>IF(OR('Parte Estrategica'!AN12=0,'Parte Estrategica'!AN12=""),0,IF(VLOOKUP($A12,'Matriz de Referencia'!$B$2:$CO$584,54,FALSE)=0,0,"Digite"))</f>
        <v>0</v>
      </c>
      <c r="DR12" s="454">
        <f>IF(OR('Parte Estrategica'!AN12=0,'Parte Estrategica'!AN12=""),0,IF(VLOOKUP($A12,'Matriz de Referencia'!$B$2:$CO$584,55,FALSE)=0,0,"Digite"))</f>
        <v>0</v>
      </c>
      <c r="DS12" s="454">
        <f>IF(OR('Parte Estrategica'!AN12=0,'Parte Estrategica'!AN12=""),0,IF(VLOOKUP($A12,'Matriz de Referencia'!$B$2:$CO$584,56,FALSE)=0,0,"Digite"))</f>
        <v>0</v>
      </c>
      <c r="DT12" s="454">
        <f>IF(OR('Parte Estrategica'!AN12=0,'Parte Estrategica'!AN12=""),0,IF(VLOOKUP($A12,'Matriz de Referencia'!$B$2:$CO$584,57,FALSE)=0,0,"Digite"))</f>
        <v>0</v>
      </c>
      <c r="DU12" s="454">
        <f>IF(OR('Parte Estrategica'!AN12=0,'Parte Estrategica'!AN12=""),0,IF(VLOOKUP($A12,'Matriz de Referencia'!$B$2:$CO$584,58,FALSE)=0,0,"Digite"))</f>
        <v>0</v>
      </c>
      <c r="DV12" s="454">
        <f>IF(OR('Parte Estrategica'!AN12=0,'Parte Estrategica'!AN12=""),0,IF(VLOOKUP($A12,'Matriz de Referencia'!$B$2:$CO$584,59,FALSE)=0,0,"Digite"))</f>
        <v>0</v>
      </c>
      <c r="DW12" s="454">
        <f>IF(OR('Parte Estrategica'!AN12=0,'Parte Estrategica'!AN12=""),0,IF(VLOOKUP($A12,'Matriz de Referencia'!$B$2:$CO$584,60,FALSE)=0,0,"Digite"))</f>
        <v>0</v>
      </c>
      <c r="DX12" s="382">
        <f t="shared" si="26"/>
        <v>0</v>
      </c>
      <c r="DY12" s="454">
        <f>IF(OR('Parte Estrategica'!AN12=0,'Parte Estrategica'!AN12=""),0,IF(VLOOKUP($A12,'Matriz de Referencia'!$B$2:$CO$584,62,FALSE)=0,0,"Digite"))</f>
        <v>0</v>
      </c>
      <c r="DZ12" s="454">
        <f>IF(OR('Parte Estrategica'!AN12=0,'Parte Estrategica'!AN12=""),0,IF(VLOOKUP($A12,'Matriz de Referencia'!$B$2:$CO$584,63,FALSE)=0,0,"Digite"))</f>
        <v>0</v>
      </c>
      <c r="EA12" s="454" t="str">
        <f>IF(OR('Parte Estrategica'!AN12=0,'Parte Estrategica'!AN12=""),"",IF(VLOOKUP($A12,'Matriz de Referencia'!$B$2:$CO$584,64,FALSE)=0,"","Digite"))</f>
        <v/>
      </c>
      <c r="EB12" s="382">
        <f t="shared" si="27"/>
        <v>0</v>
      </c>
      <c r="EC12" s="382">
        <f t="shared" si="28"/>
        <v>0</v>
      </c>
      <c r="ED12" s="453">
        <f>IF(OR('Parte Estrategica'!AO12=0,'Parte Estrategica'!AO12=""),0,IF(VLOOKUP($A12,'Matriz de Referencia'!$B$2:$CO$584,53,FALSE)=0,0,"Digite"))</f>
        <v>0</v>
      </c>
      <c r="EE12" s="454">
        <f>IF(OR('Parte Estrategica'!AO12=0,'Parte Estrategica'!AO12=""),0,IF(VLOOKUP($A12,'Matriz de Referencia'!$B$2:$CO$584,54,FALSE)=0,0,"Digite"))</f>
        <v>0</v>
      </c>
      <c r="EF12" s="454">
        <f>IF(OR('Parte Estrategica'!AO12=0,'Parte Estrategica'!AO12=""),0,IF(VLOOKUP($A12,'Matriz de Referencia'!$B$2:$CO$584,55,FALSE)=0,0,"Digite"))</f>
        <v>0</v>
      </c>
      <c r="EG12" s="454">
        <f>IF(OR('Parte Estrategica'!AO12=0,'Parte Estrategica'!AO12=""),0,IF(VLOOKUP($A12,'Matriz de Referencia'!$B$2:$CO$584,56,FALSE)=0,0,"Digite"))</f>
        <v>0</v>
      </c>
      <c r="EH12" s="454">
        <f>IF(OR('Parte Estrategica'!AO12=0,'Parte Estrategica'!AO12=""),0,IF(VLOOKUP($A12,'Matriz de Referencia'!$B$2:$CO$584,57,FALSE)=0,0,"Digite"))</f>
        <v>0</v>
      </c>
      <c r="EI12" s="454">
        <f>IF(OR('Parte Estrategica'!AO12=0,'Parte Estrategica'!AO12=""),0,IF(VLOOKUP($A12,'Matriz de Referencia'!$B$2:$CO$584,58,FALSE)=0,0,"Digite"))</f>
        <v>0</v>
      </c>
      <c r="EJ12" s="454">
        <f>IF(OR('Parte Estrategica'!AO12=0,'Parte Estrategica'!AO12=""),0,IF(VLOOKUP($A12,'Matriz de Referencia'!$B$2:$CO$584,59,FALSE)=0,0,"Digite"))</f>
        <v>0</v>
      </c>
      <c r="EK12" s="454">
        <f>IF(OR('Parte Estrategica'!AO12=0,'Parte Estrategica'!AO12=""),0,IF(VLOOKUP($A12,'Matriz de Referencia'!$B$2:$CO$584,60,FALSE)=0,0,"Digite"))</f>
        <v>0</v>
      </c>
      <c r="EL12" s="382">
        <f t="shared" si="29"/>
        <v>0</v>
      </c>
      <c r="EM12" s="454">
        <f>IF(OR('Parte Estrategica'!AO12=0,'Parte Estrategica'!AO12=""),0,IF(VLOOKUP($A12,'Matriz de Referencia'!$B$2:$CO$584,62,FALSE)=0,0,"Digite"))</f>
        <v>0</v>
      </c>
      <c r="EN12" s="454">
        <f>IF(OR('Parte Estrategica'!AO12=0,'Parte Estrategica'!AO12=""),0,IF(VLOOKUP($A12,'Matriz de Referencia'!$B$2:$CO$584,63,FALSE)=0,0,"Digite"))</f>
        <v>0</v>
      </c>
      <c r="EO12" s="454">
        <f>IF(OR('Parte Estrategica'!AO12=0,'Parte Estrategica'!AO12=""),0,IF(VLOOKUP($A12,'Matriz de Referencia'!$B$2:$CO$584,64,FALSE)=0,0,"Digite"))</f>
        <v>0</v>
      </c>
      <c r="EP12" s="382">
        <f t="shared" si="30"/>
        <v>0</v>
      </c>
      <c r="EQ12" s="382">
        <f t="shared" si="31"/>
        <v>0</v>
      </c>
      <c r="ER12" s="453">
        <f>IF(OR('Parte Estrategica'!AP12=0,'Parte Estrategica'!AP12=""),0,IF(VLOOKUP($A12,'Matriz de Referencia'!$B$2:$CO$584,53,FALSE)=0,0,"Digite"))</f>
        <v>0</v>
      </c>
      <c r="ES12" s="454">
        <f>IF(OR('Parte Estrategica'!AP12=0,'Parte Estrategica'!AP12=""),0,IF(VLOOKUP($A12,'Matriz de Referencia'!$B$2:$CO$584,54,FALSE)=0,0,"Digite"))</f>
        <v>0</v>
      </c>
      <c r="ET12" s="454">
        <f>IF(OR('Parte Estrategica'!AP12=0,'Parte Estrategica'!AP12=""),0,IF(VLOOKUP($A12,'Matriz de Referencia'!$B$2:$CO$584,55,FALSE)=0,0,"Digite"))</f>
        <v>0</v>
      </c>
      <c r="EU12" s="454">
        <f>IF(OR('Parte Estrategica'!AP12=0,'Parte Estrategica'!AP12=""),0,IF(VLOOKUP($A12,'Matriz de Referencia'!$B$2:$CO$584,56,FALSE)=0,0,"Digite"))</f>
        <v>0</v>
      </c>
      <c r="EV12" s="454">
        <f>IF(OR('Parte Estrategica'!AP12=0,'Parte Estrategica'!AP12=""),0,IF(VLOOKUP($A12,'Matriz de Referencia'!$B$2:$CO$584,57,FALSE)=0,0,"Digite"))</f>
        <v>0</v>
      </c>
      <c r="EW12" s="454">
        <f>IF(OR('Parte Estrategica'!AP12=0,'Parte Estrategica'!AP12=""),0,IF(VLOOKUP($A12,'Matriz de Referencia'!$B$2:$CO$584,58,FALSE)=0,0,"Digite"))</f>
        <v>0</v>
      </c>
      <c r="EX12" s="454">
        <f>IF(OR('Parte Estrategica'!AP12=0,'Parte Estrategica'!AP12=""),0,IF(VLOOKUP($A12,'Matriz de Referencia'!$B$2:$CO$584,59,FALSE)=0,0,"Digite"))</f>
        <v>0</v>
      </c>
      <c r="EY12" s="454">
        <f>IF(OR('Parte Estrategica'!AP12=0,'Parte Estrategica'!AP12=""),0,IF(VLOOKUP($A12,'Matriz de Referencia'!$B$2:$CO$584,60,FALSE)=0,0,"Digite"))</f>
        <v>0</v>
      </c>
      <c r="EZ12" s="382">
        <f t="shared" si="32"/>
        <v>0</v>
      </c>
      <c r="FA12" s="454">
        <f>IF(OR('Parte Estrategica'!AP12=0,'Parte Estrategica'!AP12=""),0,IF(VLOOKUP($A12,'Matriz de Referencia'!$B$2:$CO$584,62,FALSE)=0,0,"Digite"))</f>
        <v>0</v>
      </c>
      <c r="FB12" s="454">
        <f>IF(OR('Parte Estrategica'!AP12=0,'Parte Estrategica'!AP12=""),0,IF(VLOOKUP($A12,'Matriz de Referencia'!$B$2:$CO$584,63,FALSE)=0,0,"Digite"))</f>
        <v>0</v>
      </c>
      <c r="FC12" s="454">
        <f>IF(OR('Parte Estrategica'!AP12=0,'Parte Estrategica'!AP12=""),0,IF(VLOOKUP($A12,'Matriz de Referencia'!$B$2:$CO$584,64,FALSE)=0,0,"Digite"))</f>
        <v>0</v>
      </c>
      <c r="FD12" s="382">
        <f t="shared" si="33"/>
        <v>0</v>
      </c>
      <c r="FE12" s="382">
        <f t="shared" si="34"/>
        <v>0</v>
      </c>
      <c r="FF12" s="453">
        <f>IF(OR('Parte Estrategica'!AQ12=0,'Parte Estrategica'!AQ12=""),0,IF(VLOOKUP($A12,'Matriz de Referencia'!$B$2:$CO$584,53,FALSE)=0,0,"Digite"))</f>
        <v>0</v>
      </c>
      <c r="FG12" s="454">
        <f>IF(OR('Parte Estrategica'!AQ12=0,'Parte Estrategica'!AQ12=""),0,IF(VLOOKUP($A12,'Matriz de Referencia'!$B$2:$CO$584,54,FALSE)=0,0,"Digite"))</f>
        <v>0</v>
      </c>
      <c r="FH12" s="454">
        <f>IF(OR('Parte Estrategica'!AQ12=0,'Parte Estrategica'!AQ12=""),0,IF(VLOOKUP($A12,'Matriz de Referencia'!$B$2:$CO$584,55,FALSE)=0,0,"Digite"))</f>
        <v>0</v>
      </c>
      <c r="FI12" s="454">
        <f>IF(OR('Parte Estrategica'!AQ12=0,'Parte Estrategica'!AQ12=""),0,IF(VLOOKUP($A12,'Matriz de Referencia'!$B$2:$CO$584,56,FALSE)=0,0,"Digite"))</f>
        <v>0</v>
      </c>
      <c r="FJ12" s="454">
        <f>IF(OR('Parte Estrategica'!AQ12=0,'Parte Estrategica'!AQ12=""),0,IF(VLOOKUP($A12,'Matriz de Referencia'!$B$2:$CO$584,57,FALSE)=0,0,"Digite"))</f>
        <v>0</v>
      </c>
      <c r="FK12" s="454">
        <f>IF(OR('Parte Estrategica'!AQ12=0,'Parte Estrategica'!AQ12=""),0,IF(VLOOKUP($A12,'Matriz de Referencia'!$B$2:$CO$584,58,FALSE)=0,0,"Digite"))</f>
        <v>0</v>
      </c>
      <c r="FL12" s="454">
        <f>IF(OR('Parte Estrategica'!AQ12=0,'Parte Estrategica'!AQ12=""),0,IF(VLOOKUP($A12,'Matriz de Referencia'!$B$2:$CO$584,59,FALSE)=0,0,"Digite"))</f>
        <v>0</v>
      </c>
      <c r="FM12" s="454">
        <f>IF(OR('Parte Estrategica'!AQ12=0,'Parte Estrategica'!AQ12=""),0,IF(VLOOKUP($A12,'Matriz de Referencia'!$B$2:$CO$584,60,FALSE)=0,0,"Digite"))</f>
        <v>0</v>
      </c>
      <c r="FN12" s="382">
        <f t="shared" si="35"/>
        <v>0</v>
      </c>
      <c r="FO12" s="454">
        <f>IF(OR('Parte Estrategica'!AQ12=0,'Parte Estrategica'!AQ12=""),0,IF(VLOOKUP($A12,'Matriz de Referencia'!$B$2:$CO$584,62,FALSE)=0,0,"Digite"))</f>
        <v>0</v>
      </c>
      <c r="FP12" s="454">
        <f>IF(OR('Parte Estrategica'!AQ12=0,'Parte Estrategica'!AQ12=""),0,IF(VLOOKUP($A12,'Matriz de Referencia'!$B$2:$CO$584,63,FALSE)=0,0,"Digite"))</f>
        <v>0</v>
      </c>
      <c r="FQ12" s="454">
        <f>IF(OR('Parte Estrategica'!AQ12=0,'Parte Estrategica'!AQ12=""),0,IF(VLOOKUP($A12,'Matriz de Referencia'!$B$2:$CO$584,64,FALSE)=0,0,"Digite"))</f>
        <v>0</v>
      </c>
      <c r="FR12" s="382">
        <f t="shared" si="36"/>
        <v>0</v>
      </c>
      <c r="FS12" s="382">
        <f t="shared" si="37"/>
        <v>0</v>
      </c>
      <c r="FT12" s="382">
        <f t="shared" si="38"/>
        <v>0</v>
      </c>
      <c r="FU12" s="101" t="str">
        <f>IFERROR(IF(FT12=0,"",IF(VLOOKUP($A12,'Matriz de Referencia'!$B$2:$CO$584,66,FALSE)=FT12,"Techos ok, cotinue","Debe revisar el valor programado")),"")</f>
        <v/>
      </c>
      <c r="FV12" s="453">
        <f>IF(OR('Parte Estrategica'!AT12=0,'Parte Estrategica'!AT12=""),0,IF(VLOOKUP($A12,'Matriz de Referencia'!$B$2:$CO$584,67,FALSE)=0,0,"Digite"))</f>
        <v>0</v>
      </c>
      <c r="FW12" s="454">
        <f>IF(OR('Parte Estrategica'!AT12=0,'Parte Estrategica'!AT12=""),0,IF(VLOOKUP($A12,'Matriz de Referencia'!$B$2:$CO$584,68,FALSE)=0,0,"Digite"))</f>
        <v>0</v>
      </c>
      <c r="FX12" s="454">
        <f>IF(OR('Parte Estrategica'!AT12=0,'Parte Estrategica'!AT12=""),0,IF(VLOOKUP($A12,'Matriz de Referencia'!$B$2:$CO$584,69,FALSE)=0,0,"Digite"))</f>
        <v>0</v>
      </c>
      <c r="FY12" s="454">
        <f>IF(OR('Parte Estrategica'!AT12=0,'Parte Estrategica'!AT12=""),0,IF(VLOOKUP($A12,'Matriz de Referencia'!$B$2:$CO$584,70,FALSE)=0,0,"Digite"))</f>
        <v>0</v>
      </c>
      <c r="FZ12" s="454">
        <f>IF(OR('Parte Estrategica'!AT12=0,'Parte Estrategica'!AT12=""),0,IF(VLOOKUP($A12,'Matriz de Referencia'!$B$2:$CO$584,71,FALSE)=0,0,"Digite"))</f>
        <v>0</v>
      </c>
      <c r="GA12" s="454">
        <f>IF(OR('Parte Estrategica'!AT12=0,'Parte Estrategica'!AT12=""),0,IF(VLOOKUP($A12,'Matriz de Referencia'!$B$2:$CO$584,72,FALSE)=0,0,"Digite"))</f>
        <v>0</v>
      </c>
      <c r="GB12" s="454">
        <f>IF(OR('Parte Estrategica'!AT12=0,'Parte Estrategica'!AT12=""),0,IF(VLOOKUP($A12,'Matriz de Referencia'!$B$2:$CO$584,73,FALSE)=0,0,"Digite"))</f>
        <v>0</v>
      </c>
      <c r="GC12" s="454">
        <f>IF(OR('Parte Estrategica'!AT12=0,'Parte Estrategica'!AT12=""),0,IF(VLOOKUP($A12,'Matriz de Referencia'!$B$2:$CO$584,74,FALSE)=0,0,"Digite"))</f>
        <v>0</v>
      </c>
      <c r="GD12" s="382">
        <f t="shared" si="39"/>
        <v>0</v>
      </c>
      <c r="GE12" s="454">
        <f>IF(OR('Parte Estrategica'!AT12=0,'Parte Estrategica'!AT12=""),0,IF(VLOOKUP($A12,'Matriz de Referencia'!$B$2:$CO$584,76,FALSE)=0,0,"Digite"))</f>
        <v>0</v>
      </c>
      <c r="GF12" s="454">
        <f>IF(OR('Parte Estrategica'!AT12=0,'Parte Estrategica'!AT12=""),0,IF(VLOOKUP($A12,'Matriz de Referencia'!$B$2:$CO$584,77,FALSE)=0,0,"Digite"))</f>
        <v>0</v>
      </c>
      <c r="GG12" s="454">
        <f>IF(OR('Parte Estrategica'!AT12=0,'Parte Estrategica'!AT12=""),0,IF(VLOOKUP($A12,'Matriz de Referencia'!$B$2:$CO$584,78,FALSE)=0,0,"Digite"))</f>
        <v>0</v>
      </c>
      <c r="GH12" s="382">
        <f t="shared" si="40"/>
        <v>0</v>
      </c>
      <c r="GI12" s="382">
        <f t="shared" si="41"/>
        <v>0</v>
      </c>
      <c r="GJ12" s="453">
        <f>IF(OR('Parte Estrategica'!AU12=0,'Parte Estrategica'!AU12=""),0,IF(VLOOKUP($A12,'Matriz de Referencia'!$B$2:$CO$584,67,FALSE)=0,0,"Digite"))</f>
        <v>0</v>
      </c>
      <c r="GK12" s="454">
        <f>IF(OR('Parte Estrategica'!AU12=0,'Parte Estrategica'!AU12=""),0,IF(VLOOKUP($A12,'Matriz de Referencia'!$B$2:$CO$584,68,FALSE)=0,0,"Digite"))</f>
        <v>0</v>
      </c>
      <c r="GL12" s="454">
        <f>IF(OR('Parte Estrategica'!AU12=0,'Parte Estrategica'!AU12=""),0,IF(VLOOKUP($A12,'Matriz de Referencia'!$B$2:$CO$584,69,FALSE)=0,0,"Digite"))</f>
        <v>0</v>
      </c>
      <c r="GM12" s="454">
        <f>IF(OR('Parte Estrategica'!AU12=0,'Parte Estrategica'!AU12=""),0,IF(VLOOKUP($A12,'Matriz de Referencia'!$B$2:$CO$584,70,FALSE)=0,0,"Digite"))</f>
        <v>0</v>
      </c>
      <c r="GN12" s="454">
        <f>IF(OR('Parte Estrategica'!AU12=0,'Parte Estrategica'!AU12=""),0,IF(VLOOKUP($A12,'Matriz de Referencia'!$B$2:$CO$584,71,FALSE)=0,0,"Digite"))</f>
        <v>0</v>
      </c>
      <c r="GO12" s="454">
        <f>IF(OR('Parte Estrategica'!AU12=0,'Parte Estrategica'!AU12=""),0,IF(VLOOKUP($A12,'Matriz de Referencia'!$B$2:$CO$584,72,FALSE)=0,0,"Digite"))</f>
        <v>0</v>
      </c>
      <c r="GP12" s="454">
        <f>IF(OR('Parte Estrategica'!AU12=0,'Parte Estrategica'!AU12=""),0,IF(VLOOKUP($A12,'Matriz de Referencia'!$B$2:$CO$584,73,FALSE)=0,0,"Digite"))</f>
        <v>0</v>
      </c>
      <c r="GQ12" s="454">
        <f>IF(OR('Parte Estrategica'!AU12=0,'Parte Estrategica'!AU12=""),0,IF(VLOOKUP($A12,'Matriz de Referencia'!$B$2:$CO$584,74,FALSE)=0,0,"Digite"))</f>
        <v>0</v>
      </c>
      <c r="GR12" s="382">
        <f t="shared" si="42"/>
        <v>0</v>
      </c>
      <c r="GS12" s="454">
        <f>IF(OR('Parte Estrategica'!AU12=0,'Parte Estrategica'!AU12=""),0,IF(VLOOKUP($A12,'Matriz de Referencia'!$B$2:$CO$584,76,FALSE)=0,0,"Digite"))</f>
        <v>0</v>
      </c>
      <c r="GT12" s="454">
        <f>IF(OR('Parte Estrategica'!AU12=0,'Parte Estrategica'!AU12=""),0,IF(VLOOKUP($A12,'Matriz de Referencia'!$B$2:$CO$584,77,FALSE)=0,0,"Digite"))</f>
        <v>0</v>
      </c>
      <c r="GU12" s="454">
        <f>IF(OR('Parte Estrategica'!AU12=0,'Parte Estrategica'!AU12=""),0,IF(VLOOKUP($A12,'Matriz de Referencia'!$B$2:$CO$584,78,FALSE)=0,0,"Digite"))</f>
        <v>0</v>
      </c>
      <c r="GV12" s="382">
        <f t="shared" si="43"/>
        <v>0</v>
      </c>
      <c r="GW12" s="382">
        <f t="shared" si="44"/>
        <v>0</v>
      </c>
      <c r="GX12" s="453">
        <f>IF(OR('Parte Estrategica'!AV12=0,'Parte Estrategica'!AV12=""),0,IF(VLOOKUP($A12,'Matriz de Referencia'!$B$2:$CO$584,67,FALSE)=0,0,"Digite"))</f>
        <v>0</v>
      </c>
      <c r="GY12" s="454">
        <f>IF(OR('Parte Estrategica'!AV12=0,'Parte Estrategica'!AV12=""),0,IF(VLOOKUP($A12,'Matriz de Referencia'!$B$2:$CO$584,68,FALSE)=0,0,"Digite"))</f>
        <v>0</v>
      </c>
      <c r="GZ12" s="454">
        <f>IF(OR('Parte Estrategica'!AV12=0,'Parte Estrategica'!AV12=""),0,IF(VLOOKUP($A12,'Matriz de Referencia'!$B$2:$CO$584,69,FALSE)=0,0,"Digite"))</f>
        <v>0</v>
      </c>
      <c r="HA12" s="454">
        <f>IF(OR('Parte Estrategica'!AV12=0,'Parte Estrategica'!AV12=""),0,IF(VLOOKUP($A12,'Matriz de Referencia'!$B$2:$CO$584,70,FALSE)=0,0,"Digite"))</f>
        <v>0</v>
      </c>
      <c r="HB12" s="454">
        <f>IF(OR('Parte Estrategica'!AV12=0,'Parte Estrategica'!AV12=""),0,IF(VLOOKUP($A12,'Matriz de Referencia'!$B$2:$CO$584,71,FALSE)=0,0,"Digite"))</f>
        <v>0</v>
      </c>
      <c r="HC12" s="454">
        <f>IF(OR('Parte Estrategica'!AV12=0,'Parte Estrategica'!AV12=""),0,IF(VLOOKUP($A12,'Matriz de Referencia'!$B$2:$CO$584,72,FALSE)=0,0,"Digite"))</f>
        <v>0</v>
      </c>
      <c r="HD12" s="454">
        <f>IF(OR('Parte Estrategica'!AV12=0,'Parte Estrategica'!AV12=""),0,IF(VLOOKUP($A12,'Matriz de Referencia'!$B$2:$CO$584,73,FALSE)=0,0,"Digite"))</f>
        <v>0</v>
      </c>
      <c r="HE12" s="454">
        <f>IF(OR('Parte Estrategica'!AV12=0,'Parte Estrategica'!AV12=""),0,IF(VLOOKUP($A12,'Matriz de Referencia'!$B$2:$CO$584,74,FALSE)=0,0,"Digite"))</f>
        <v>0</v>
      </c>
      <c r="HF12" s="382">
        <f t="shared" si="45"/>
        <v>0</v>
      </c>
      <c r="HG12" s="454">
        <f>IF(OR('Parte Estrategica'!AV12=0,'Parte Estrategica'!AV12=""),0,IF(VLOOKUP($A12,'Matriz de Referencia'!$B$2:$CO$584,76,FALSE)=0,0,"Digite"))</f>
        <v>0</v>
      </c>
      <c r="HH12" s="454">
        <f>IF(OR('Parte Estrategica'!AV12=0,'Parte Estrategica'!AV12=""),0,IF(VLOOKUP($A12,'Matriz de Referencia'!$B$2:$CO$584,77,FALSE)=0,0,"Digite"))</f>
        <v>0</v>
      </c>
      <c r="HI12" s="454">
        <f>IF(OR('Parte Estrategica'!AV12=0,'Parte Estrategica'!AV12=""),0,IF(VLOOKUP($A12,'Matriz de Referencia'!$B$2:$CO$584,78,FALSE)=0,0,"Digite"))</f>
        <v>0</v>
      </c>
      <c r="HJ12" s="382">
        <f t="shared" si="46"/>
        <v>0</v>
      </c>
      <c r="HK12" s="382">
        <f t="shared" si="47"/>
        <v>0</v>
      </c>
      <c r="HL12" s="453">
        <f>IF(OR('Parte Estrategica'!AW12=0,'Parte Estrategica'!AW12=""),0,IF(VLOOKUP($A12,'Matriz de Referencia'!$B$2:$CO$584,67,FALSE)=0,0,"Digite"))</f>
        <v>0</v>
      </c>
      <c r="HM12" s="454">
        <f>IF(OR('Parte Estrategica'!AW12=0,'Parte Estrategica'!AW12=""),0,IF(VLOOKUP($A12,'Matriz de Referencia'!$B$2:$CO$584,68,FALSE)=0,0,"Digite"))</f>
        <v>0</v>
      </c>
      <c r="HN12" s="454">
        <f>IF(OR('Parte Estrategica'!AW12=0,'Parte Estrategica'!AW12=""),0,IF(VLOOKUP($A12,'Matriz de Referencia'!$B$2:$CO$584,69,FALSE)=0,0,"Digite"))</f>
        <v>0</v>
      </c>
      <c r="HO12" s="454">
        <f>IF(OR('Parte Estrategica'!AW12=0,'Parte Estrategica'!AW12=""),0,IF(VLOOKUP($A12,'Matriz de Referencia'!$B$2:$CO$584,70,FALSE)=0,0,"Digite"))</f>
        <v>0</v>
      </c>
      <c r="HP12" s="454">
        <f>IF(OR('Parte Estrategica'!AW12=0,'Parte Estrategica'!AW12=""),0,IF(VLOOKUP($A12,'Matriz de Referencia'!$B$2:$CO$584,71,FALSE)=0,0,"Digite"))</f>
        <v>0</v>
      </c>
      <c r="HQ12" s="454">
        <f>IF(OR('Parte Estrategica'!AW12=0,'Parte Estrategica'!AW12=""),0,IF(VLOOKUP($A12,'Matriz de Referencia'!$B$2:$CO$584,72,FALSE)=0,0,"Digite"))</f>
        <v>0</v>
      </c>
      <c r="HR12" s="454">
        <f>IF(OR('Parte Estrategica'!AW12=0,'Parte Estrategica'!AW12=""),0,IF(VLOOKUP($A12,'Matriz de Referencia'!$B$2:$CO$584,73,FALSE)=0,0,"Digite"))</f>
        <v>0</v>
      </c>
      <c r="HS12" s="454">
        <f>IF(OR('Parte Estrategica'!AW12=0,'Parte Estrategica'!AW12=""),0,IF(VLOOKUP($A12,'Matriz de Referencia'!$B$2:$CO$584,74,FALSE)=0,0,"Digite"))</f>
        <v>0</v>
      </c>
      <c r="HT12" s="382">
        <f t="shared" si="48"/>
        <v>0</v>
      </c>
      <c r="HU12" s="454">
        <f>IF(OR('Parte Estrategica'!AW12=0,'Parte Estrategica'!AW12=""),0,IF(VLOOKUP($A12,'Matriz de Referencia'!$B$2:$CO$584,76,FALSE)=0,0,"Digite"))</f>
        <v>0</v>
      </c>
      <c r="HV12" s="454">
        <f>IF(OR('Parte Estrategica'!AW12=0,'Parte Estrategica'!AW12=""),0,IF(VLOOKUP($A12,'Matriz de Referencia'!$B$2:$CO$584,77,FALSE)=0,0,"Digite"))</f>
        <v>0</v>
      </c>
      <c r="HW12" s="454">
        <f>IF(OR('Parte Estrategica'!AW12=0,'Parte Estrategica'!AW12=""),0,IF(VLOOKUP($A12,'Matriz de Referencia'!$B$2:$CO$584,78,FALSE)=0,0,"Digite"))</f>
        <v>0</v>
      </c>
      <c r="HX12" s="382">
        <f t="shared" si="49"/>
        <v>0</v>
      </c>
      <c r="HY12" s="382">
        <f t="shared" si="50"/>
        <v>0</v>
      </c>
      <c r="HZ12" s="382">
        <f t="shared" si="51"/>
        <v>0</v>
      </c>
      <c r="IA12" s="101" t="str">
        <f>IFERROR(IF(HZ12=0,"",IF(VLOOKUP($A12,'Matriz de Referencia'!$B$2:$CO$584,80,FALSE)=HZ12,"Techos ok, cotinue","Debe revisar el valor programado")),"")</f>
        <v/>
      </c>
      <c r="IB12" s="383">
        <f t="shared" si="52"/>
        <v>0</v>
      </c>
    </row>
    <row r="13" spans="1:236">
      <c r="A13" s="550" t="str">
        <f>IF('Parte Estrategica'!B13=0,"",'Parte Estrategica'!B13)</f>
        <v/>
      </c>
      <c r="B13" s="551" t="str">
        <f>IFERROR(VLOOKUP(A13,'Matriz de Referencia'!$B$2:$P$578,'Matriz de Referencia'!L$1,FALSE),"")</f>
        <v/>
      </c>
      <c r="C13" s="551" t="str">
        <f>IFERROR(VLOOKUP(A13,'Matriz de Referencia'!$B$2:$P$584,'Matriz de Referencia'!M$1,FALSE),"")</f>
        <v/>
      </c>
      <c r="D13" s="455" t="str">
        <f>IF(OR('Parte Estrategica'!AB13=0,'Parte Estrategica'!AB13=""),"",IF(VLOOKUP($A13,'Matriz de Referencia'!$B$2:$CO$584,'Matriz de Referencia'!Z$1,FALSE)=0,"","Digite"))</f>
        <v/>
      </c>
      <c r="E13" s="456">
        <f>IF(OR('Parte Estrategica'!AB13=0,'Parte Estrategica'!AB13=""),0,IF(VLOOKUP($A13,'Matriz de Referencia'!$B$2:$CO$584,26,FALSE)=0,0,"Digite"))</f>
        <v>0</v>
      </c>
      <c r="F13" s="456">
        <f>IF(OR('Parte Estrategica'!AB13=0,'Parte Estrategica'!AB13=""),0,IF(VLOOKUP($A13,'Matriz de Referencia'!$B$2:$CO$584,27,FALSE)=0,0,"Digite"))</f>
        <v>0</v>
      </c>
      <c r="G13" s="456">
        <f>IF(OR('Parte Estrategica'!AB13=0,'Parte Estrategica'!AB13=""),0,IF(VLOOKUP($A13,'Matriz de Referencia'!$B$2:$CO$584,28,FALSE)=0,0,"Digite"))</f>
        <v>0</v>
      </c>
      <c r="H13" s="456">
        <f>IF(OR('Parte Estrategica'!AB13=0,'Parte Estrategica'!AB13=""),0,IF(VLOOKUP($A13,'Matriz de Referencia'!$B$2:$CO$584,29,FALSE)=0,0,"Digite"))</f>
        <v>0</v>
      </c>
      <c r="I13" s="456">
        <f>IF(OR('Parte Estrategica'!AB13=0,'Parte Estrategica'!AB13=""),0,IF(VLOOKUP($A13,'Matriz de Referencia'!$B$2:$CO$584,30,FALSE)=0,0,"Digite"))</f>
        <v>0</v>
      </c>
      <c r="J13" s="456">
        <f>IF(OR('Parte Estrategica'!AB13=0,'Parte Estrategica'!AB13=""),0,IF(VLOOKUP($A13,'Matriz de Referencia'!$B$2:$CO$584,31,FALSE)=0,0,"Digite"))</f>
        <v>0</v>
      </c>
      <c r="K13" s="456">
        <f>IF(OR('Parte Estrategica'!AB13=0,'Parte Estrategica'!AB13=""),0,IF(VLOOKUP($A13,'Matriz de Referencia'!$B$2:$CO$584,32,FALSE)=0,0,"Digite"))</f>
        <v>0</v>
      </c>
      <c r="L13" s="460">
        <f t="shared" si="0"/>
        <v>0</v>
      </c>
      <c r="M13" s="456">
        <f>IF(OR('Parte Estrategica'!AB13=0,'Parte Estrategica'!AB13=""),0,IF(VLOOKUP($A13,'Matriz de Referencia'!$B$2:$CO$584,34,FALSE)=0,0,"Digite"))</f>
        <v>0</v>
      </c>
      <c r="N13" s="456">
        <f>IF(OR('Parte Estrategica'!AB13=0,'Parte Estrategica'!AB13=""),0,IF(VLOOKUP($A13,'Matriz de Referencia'!$B$2:$CO$584,35,FALSE)=0,0,"Digite"))</f>
        <v>0</v>
      </c>
      <c r="O13" s="456">
        <f>IF(OR('Parte Estrategica'!AB13=0,'Parte Estrategica'!AB13=""),0,IF(VLOOKUP($A13,'Matriz de Referencia'!$B$2:$CO$584,36,FALSE)=0,0,"Digite"))</f>
        <v>0</v>
      </c>
      <c r="P13" s="457">
        <f t="shared" si="1"/>
        <v>0</v>
      </c>
      <c r="Q13" s="457">
        <f t="shared" si="2"/>
        <v>0</v>
      </c>
      <c r="R13" s="455">
        <f>IF(OR('Parte Estrategica'!AC13=0,'Parte Estrategica'!AC13=""),0,IF(VLOOKUP($A13,'Matriz de Referencia'!$B$2:$CO$584,25,FALSE)=0,0,"Digite"))</f>
        <v>0</v>
      </c>
      <c r="S13" s="456">
        <f>IF(OR('Parte Estrategica'!AC13=0,'Parte Estrategica'!AC13=""),0,IF(VLOOKUP($A13,'Matriz de Referencia'!$B$2:$CO$584,26,FALSE)=0,0,"Digite"))</f>
        <v>0</v>
      </c>
      <c r="T13" s="456">
        <f>IF(OR('Parte Estrategica'!AC13=0,'Parte Estrategica'!AC13=""),0,IF(VLOOKUP($A13,'Matriz de Referencia'!$B$2:$CO$584,27,FALSE)=0,0,"Digite"))</f>
        <v>0</v>
      </c>
      <c r="U13" s="456">
        <f>IF(OR('Parte Estrategica'!AC13=0,'Parte Estrategica'!AC13=""),0,IF(VLOOKUP($A13,'Matriz de Referencia'!$B$2:$CO$584,28,FALSE)=0,0,"Digite"))</f>
        <v>0</v>
      </c>
      <c r="V13" s="456">
        <f>IF(OR('Parte Estrategica'!AC13=0,'Parte Estrategica'!AC13=""),0,IF(VLOOKUP($A13,'Matriz de Referencia'!$B$2:$CO$584,29,FALSE)=0,0,"Digite"))</f>
        <v>0</v>
      </c>
      <c r="W13" s="456">
        <f>IF(OR('Parte Estrategica'!AC13=0,'Parte Estrategica'!AC13=""),0,IF(VLOOKUP($A13,'Matriz de Referencia'!$B$2:$CO$584,30,FALSE)=0,0,"Digite"))</f>
        <v>0</v>
      </c>
      <c r="X13" s="456">
        <f>IF(OR('Parte Estrategica'!AC13=0,'Parte Estrategica'!AC13=""),0,IF(VLOOKUP($A13,'Matriz de Referencia'!$B$2:$CO$584,31,FALSE)=0,0,"Digite"))</f>
        <v>0</v>
      </c>
      <c r="Y13" s="456">
        <f>IF(OR('Parte Estrategica'!AC13=0,'Parte Estrategica'!AC13=""),0,IF(VLOOKUP($A13,'Matriz de Referencia'!$B$2:$CO$584,32,FALSE)=0,0,"Digite"))</f>
        <v>0</v>
      </c>
      <c r="Z13" s="457">
        <f t="shared" si="3"/>
        <v>0</v>
      </c>
      <c r="AA13" s="456">
        <f>IF(OR('Parte Estrategica'!AC13=0,'Parte Estrategica'!AC13=""),0,IF(VLOOKUP($A13,'Matriz de Referencia'!$B$2:$CO$584,34,FALSE)=0,0,"Digite"))</f>
        <v>0</v>
      </c>
      <c r="AB13" s="456">
        <f>IF(OR('Parte Estrategica'!AC13=0,'Parte Estrategica'!AC13=""),0,IF(VLOOKUP($A13,'Matriz de Referencia'!$B$2:$CO$584,35,FALSE)=0,0,"Digite"))</f>
        <v>0</v>
      </c>
      <c r="AC13" s="456">
        <f>IF(OR('Parte Estrategica'!AC13=0,'Parte Estrategica'!AC13=""),0,IF(VLOOKUP($A13,'Matriz de Referencia'!$B$2:$CO$584,36,FALSE)=0,0,"Digite"))</f>
        <v>0</v>
      </c>
      <c r="AD13" s="457">
        <f t="shared" si="4"/>
        <v>0</v>
      </c>
      <c r="AE13" s="457">
        <f t="shared" si="5"/>
        <v>0</v>
      </c>
      <c r="AF13" s="455">
        <f>IF(OR('Parte Estrategica'!AD13=0,'Parte Estrategica'!AD13=""),0,IF(VLOOKUP($A13,'Matriz de Referencia'!$B$2:$CO$584,25,FALSE)=0,0,"Digite"))</f>
        <v>0</v>
      </c>
      <c r="AG13" s="456">
        <f>IF(OR('Parte Estrategica'!AD13=0,'Parte Estrategica'!AD13=""),0,IF(VLOOKUP($A13,'Matriz de Referencia'!$B$2:$CO$584,26,FALSE)=0,0,"Digite"))</f>
        <v>0</v>
      </c>
      <c r="AH13" s="456">
        <f>IF(OR('Parte Estrategica'!AD13=0,'Parte Estrategica'!AD13=""),0,IF(VLOOKUP($A13,'Matriz de Referencia'!$B$2:$CO$584,27,FALSE)=0,0,"Digite"))</f>
        <v>0</v>
      </c>
      <c r="AI13" s="456">
        <f>IF(OR('Parte Estrategica'!AD13=0,'Parte Estrategica'!AD13=""),0,IF(VLOOKUP($A13,'Matriz de Referencia'!$B$2:$CO$584,28,FALSE)=0,0,"Digite"))</f>
        <v>0</v>
      </c>
      <c r="AJ13" s="456">
        <f>IF(OR('Parte Estrategica'!AD13=0,'Parte Estrategica'!AD13=""),0,IF(VLOOKUP($A13,'Matriz de Referencia'!$B$2:$CO$584,29,FALSE)=0,0,"Digite"))</f>
        <v>0</v>
      </c>
      <c r="AK13" s="456">
        <f>IF(OR('Parte Estrategica'!AD13=0,'Parte Estrategica'!AD13=""),0,IF(VLOOKUP($A13,'Matriz de Referencia'!$B$2:$CO$584,30,FALSE)=0,0,"Digite"))</f>
        <v>0</v>
      </c>
      <c r="AL13" s="456">
        <f>IF(OR('Parte Estrategica'!AD13=0,'Parte Estrategica'!AD13=""),0,IF(VLOOKUP($A13,'Matriz de Referencia'!$B$2:$CO$584,31,FALSE)=0,0,"Digite"))</f>
        <v>0</v>
      </c>
      <c r="AM13" s="456">
        <f>IF(OR('Parte Estrategica'!AD13=0,'Parte Estrategica'!AD13=""),0,IF(VLOOKUP($A13,'Matriz de Referencia'!$B$2:$CO$584,32,FALSE)=0,0,"Digite"))</f>
        <v>0</v>
      </c>
      <c r="AN13" s="457">
        <f t="shared" si="6"/>
        <v>0</v>
      </c>
      <c r="AO13" s="456">
        <f>IF(OR('Parte Estrategica'!AD13=0,'Parte Estrategica'!AD13=""),0,IF(VLOOKUP($A13,'Matriz de Referencia'!$B$2:$CO$584,34,FALSE)=0,0,"Digite"))</f>
        <v>0</v>
      </c>
      <c r="AP13" s="456">
        <f>IF(OR('Parte Estrategica'!AD13=0,'Parte Estrategica'!AD13=""),0,IF(VLOOKUP($A13,'Matriz de Referencia'!$B$2:$CO$584,35,FALSE)=0,0,"Digite"))</f>
        <v>0</v>
      </c>
      <c r="AQ13" s="456">
        <f>IF(OR('Parte Estrategica'!AD13=0,'Parte Estrategica'!AD13=""),0,IF(VLOOKUP($A13,'Matriz de Referencia'!$B$2:$CO$584,36,FALSE)=0,0,"Digite"))</f>
        <v>0</v>
      </c>
      <c r="AR13" s="457">
        <f t="shared" si="7"/>
        <v>0</v>
      </c>
      <c r="AS13" s="457">
        <f t="shared" si="8"/>
        <v>0</v>
      </c>
      <c r="AT13" s="455">
        <f>IF(OR('Parte Estrategica'!AE13=0,'Parte Estrategica'!AE13=""),0,IF(VLOOKUP($A13,'Matriz de Referencia'!$B$2:$CO$584,25,FALSE)=0,0,"Digite"))</f>
        <v>0</v>
      </c>
      <c r="AU13" s="456">
        <f>IF(OR('Parte Estrategica'!AE13=0,'Parte Estrategica'!AE13=""),0,IF(VLOOKUP($A13,'Matriz de Referencia'!$B$2:$CO$584,26,FALSE)=0,0,"Digite"))</f>
        <v>0</v>
      </c>
      <c r="AV13" s="456">
        <f>IF(OR('Parte Estrategica'!AE13=0,'Parte Estrategica'!AE13=""),0,IF(VLOOKUP($A13,'Matriz de Referencia'!$B$2:$CO$584,27,FALSE)=0,0,"Digite"))</f>
        <v>0</v>
      </c>
      <c r="AW13" s="456">
        <f>IF(OR('Parte Estrategica'!AE13=0,'Parte Estrategica'!AE13=""),0,IF(VLOOKUP($A13,'Matriz de Referencia'!$B$2:$CO$584,28,FALSE)=0,0,"Digite"))</f>
        <v>0</v>
      </c>
      <c r="AX13" s="456">
        <f>IF(OR('Parte Estrategica'!AE13=0,'Parte Estrategica'!AE13=""),0,IF(VLOOKUP($A13,'Matriz de Referencia'!$B$2:$CO$584,29,FALSE)=0,0,"Digite"))</f>
        <v>0</v>
      </c>
      <c r="AY13" s="456">
        <f>IF(OR('Parte Estrategica'!AE13=0,'Parte Estrategica'!AE13=""),0,IF(VLOOKUP($A13,'Matriz de Referencia'!$B$2:$CO$584,30,FALSE)=0,0,"Digite"))</f>
        <v>0</v>
      </c>
      <c r="AZ13" s="456">
        <f>IF(OR('Parte Estrategica'!AE13=0,'Parte Estrategica'!AE13=""),0,IF(VLOOKUP($A13,'Matriz de Referencia'!$B$2:$CO$584,31,FALSE)=0,0,"Digite"))</f>
        <v>0</v>
      </c>
      <c r="BA13" s="456">
        <f>IF(OR('Parte Estrategica'!AE13=0,'Parte Estrategica'!AE13=""),0,IF(VLOOKUP($A13,'Matriz de Referencia'!$B$2:$CO$584,32,FALSE)=0,0,"Digite"))</f>
        <v>0</v>
      </c>
      <c r="BB13" s="457">
        <f t="shared" si="9"/>
        <v>0</v>
      </c>
      <c r="BC13" s="456">
        <f>IF(OR('Parte Estrategica'!AE13=0,'Parte Estrategica'!AE13=""),0,IF(VLOOKUP($A13,'Matriz de Referencia'!$B$2:$CO$584,34,FALSE)=0,0,"Digite"))</f>
        <v>0</v>
      </c>
      <c r="BD13" s="456">
        <f>IF(OR('Parte Estrategica'!AE13=0,'Parte Estrategica'!AE13=""),0,IF(VLOOKUP($A13,'Matriz de Referencia'!$B$2:$CO$584,35,FALSE)=0,0,"Digite"))</f>
        <v>0</v>
      </c>
      <c r="BE13" s="456">
        <f>IF(OR('Parte Estrategica'!AE13=0,'Parte Estrategica'!AE13=""),0,IF(VLOOKUP($A13,'Matriz de Referencia'!$B$2:$CO$584,36,FALSE)=0,0,"Digite"))</f>
        <v>0</v>
      </c>
      <c r="BF13" s="457">
        <f t="shared" si="10"/>
        <v>0</v>
      </c>
      <c r="BG13" s="457">
        <f t="shared" si="11"/>
        <v>0</v>
      </c>
      <c r="BH13" s="457">
        <f t="shared" si="12"/>
        <v>0</v>
      </c>
      <c r="BI13" s="101" t="str">
        <f>IFERROR(IF(BH13=0,"",IF(VLOOKUP($A13,'Matriz de Referencia'!$B$2:$CO$584,'Matriz de Referencia'!AM$1,FALSE)=BH13,"Techos ok, cotinue","Debe revisar el valor programado")),"")</f>
        <v/>
      </c>
      <c r="BJ13" s="453">
        <f>IF(OR('Parte Estrategica'!AH13=0,'Parte Estrategica'!AH13=""),0,IF(VLOOKUP($A13,'Matriz de Referencia'!$B$2:$CO$584,39,FALSE)=0,0,"Digite"))</f>
        <v>0</v>
      </c>
      <c r="BK13" s="454">
        <f>IF(OR('Parte Estrategica'!AH13=0,'Parte Estrategica'!AH13=""),0,IF(VLOOKUP($A13,'Matriz de Referencia'!$B$2:$CO$584,40,FALSE)=0,0,"Digite"))</f>
        <v>0</v>
      </c>
      <c r="BL13" s="454">
        <f>IF(OR('Parte Estrategica'!AH13=0,'Parte Estrategica'!AH13=""),0,IF(VLOOKUP($A13,'Matriz de Referencia'!$B$2:$CO$584,41,FALSE)=0,0,"Digite"))</f>
        <v>0</v>
      </c>
      <c r="BM13" s="454">
        <f>IF(OR('Parte Estrategica'!AH13=0,'Parte Estrategica'!AH13=""),0,IF(VLOOKUP($A13,'Matriz de Referencia'!$B$2:$CO$584,42,FALSE)=0,0,"Digite"))</f>
        <v>0</v>
      </c>
      <c r="BN13" s="454">
        <f>IF(OR('Parte Estrategica'!AH13=0,'Parte Estrategica'!AH13=""),0,IF(VLOOKUP($A13,'Matriz de Referencia'!$B$2:$CO$584,43,FALSE)=0,0,"Digite"))</f>
        <v>0</v>
      </c>
      <c r="BO13" s="454">
        <f>IF(OR('Parte Estrategica'!AH13=0,'Parte Estrategica'!AH13=""),0,IF(VLOOKUP($A13,'Matriz de Referencia'!$B$2:$CO$584,44,FALSE)=0,0,"Digite"))</f>
        <v>0</v>
      </c>
      <c r="BP13" s="454">
        <f>IF(OR('Parte Estrategica'!AH13=0,'Parte Estrategica'!AH13=""),0,IF(VLOOKUP($A13,'Matriz de Referencia'!$B$2:$CO$584,45,FALSE)=0,0,"Digite"))</f>
        <v>0</v>
      </c>
      <c r="BQ13" s="454">
        <f>IF(OR('Parte Estrategica'!AH13=0,'Parte Estrategica'!AH13=""),0,IF(VLOOKUP($A13,'Matriz de Referencia'!$B$2:$CO$584,46,FALSE)=0,0,"Digite"))</f>
        <v>0</v>
      </c>
      <c r="BR13" s="382">
        <f t="shared" si="13"/>
        <v>0</v>
      </c>
      <c r="BS13" s="454">
        <f>IF(OR('Parte Estrategica'!CL13=0,'Parte Estrategica'!CL13=""),0,IF(VLOOKUP($A13,'Matriz de Referencia'!$B$2:$CO$584,48,FALSE)=0,0,"Digite"))</f>
        <v>0</v>
      </c>
      <c r="BT13" s="454">
        <f>IF(OR('Parte Estrategica'!CL13=0,'Parte Estrategica'!CL13=""),0,IF(VLOOKUP($A13,'Matriz de Referencia'!$B$2:$CO$584,49,FALSE)=0,0,"Digite"))</f>
        <v>0</v>
      </c>
      <c r="BU13" s="454">
        <f>IF(OR('Parte Estrategica'!CL13=0,'Parte Estrategica'!CL13=""),0,IF(VLOOKUP($A13,'Matriz de Referencia'!$B$2:$CO$584,50,FALSE)=0,0,"Digite"))</f>
        <v>0</v>
      </c>
      <c r="BV13" s="382">
        <f t="shared" si="14"/>
        <v>0</v>
      </c>
      <c r="BW13" s="382">
        <f t="shared" si="15"/>
        <v>0</v>
      </c>
      <c r="BX13" s="453">
        <f>IF(OR('Parte Estrategica'!AI13=0,'Parte Estrategica'!AI13=""),0,IF(VLOOKUP($A13,'Matriz de Referencia'!$B$2:$CO$584,39,FALSE)=0,0,"Digite"))</f>
        <v>0</v>
      </c>
      <c r="BY13" s="454">
        <f>IF(OR('Parte Estrategica'!AI13=0,'Parte Estrategica'!AI13=""),0,IF(VLOOKUP($A13,'Matriz de Referencia'!$B$2:$CO$584,40,FALSE)=0,0,"Digite"))</f>
        <v>0</v>
      </c>
      <c r="BZ13" s="454">
        <f>IF(OR('Parte Estrategica'!AI13=0,'Parte Estrategica'!AI13=""),0,IF(VLOOKUP($A13,'Matriz de Referencia'!$B$2:$CO$584,41,FALSE)=0,0,"Digite"))</f>
        <v>0</v>
      </c>
      <c r="CA13" s="454">
        <f>IF(OR('Parte Estrategica'!AI13=0,'Parte Estrategica'!AI13=""),0,IF(VLOOKUP($A13,'Matriz de Referencia'!$B$2:$CO$584,42,FALSE)=0,0,"Digite"))</f>
        <v>0</v>
      </c>
      <c r="CB13" s="454">
        <f>IF(OR('Parte Estrategica'!AI13=0,'Parte Estrategica'!AI13=""),0,IF(VLOOKUP($A13,'Matriz de Referencia'!$B$2:$CO$584,43,FALSE)=0,0,"Digite"))</f>
        <v>0</v>
      </c>
      <c r="CC13" s="454">
        <f>IF(OR('Parte Estrategica'!AI13=0,'Parte Estrategica'!AI13=""),0,IF(VLOOKUP($A13,'Matriz de Referencia'!$B$2:$CO$584,44,FALSE)=0,0,"Digite"))</f>
        <v>0</v>
      </c>
      <c r="CD13" s="454">
        <f>IF(OR('Parte Estrategica'!AI13=0,'Parte Estrategica'!AI13=""),0,IF(VLOOKUP($A13,'Matriz de Referencia'!$B$2:$CO$584,45,FALSE)=0,0,"Digite"))</f>
        <v>0</v>
      </c>
      <c r="CE13" s="454">
        <f>IF(OR('Parte Estrategica'!AI13=0,'Parte Estrategica'!AI13=""),0,IF(VLOOKUP($A13,'Matriz de Referencia'!$B$2:$CO$584,46,FALSE)=0,0,"Digite"))</f>
        <v>0</v>
      </c>
      <c r="CF13" s="382">
        <f t="shared" si="16"/>
        <v>0</v>
      </c>
      <c r="CG13" s="454">
        <f>IF(OR('Parte Estrategica'!AI13=0,'Parte Estrategica'!AI13=""),0,IF(VLOOKUP($A13,'Matriz de Referencia'!$B$2:$CO$584,48,FALSE)=0,0,"Digite"))</f>
        <v>0</v>
      </c>
      <c r="CH13" s="454">
        <f>IF(OR('Parte Estrategica'!AI13=0,'Parte Estrategica'!AI13=""),0,IF(VLOOKUP($A13,'Matriz de Referencia'!$B$2:$CO$584,49,FALSE)=0,0,"Digite"))</f>
        <v>0</v>
      </c>
      <c r="CI13" s="454">
        <f>IF(OR('Parte Estrategica'!AI13=0,'Parte Estrategica'!AI13=""),0,IF(VLOOKUP($A13,'Matriz de Referencia'!$B$2:$CO$584,50,FALSE)=0,0,"Digite"))</f>
        <v>0</v>
      </c>
      <c r="CJ13" s="382">
        <f t="shared" si="17"/>
        <v>0</v>
      </c>
      <c r="CK13" s="382">
        <f t="shared" si="18"/>
        <v>0</v>
      </c>
      <c r="CL13" s="453">
        <f>IF(OR('Parte Estrategica'!AJ13=0,'Parte Estrategica'!AJ13=""),0,IF(VLOOKUP($A13,'Matriz de Referencia'!$B$2:$CO$584,39,FALSE)=0,0,"Digite"))</f>
        <v>0</v>
      </c>
      <c r="CM13" s="454">
        <f>IF(OR('Parte Estrategica'!AJ13=0,'Parte Estrategica'!AJ13=""),0,IF(VLOOKUP($A13,'Matriz de Referencia'!$B$2:$CO$584,40,FALSE)=0,0,"Digite"))</f>
        <v>0</v>
      </c>
      <c r="CN13" s="454">
        <f>IF(OR('Parte Estrategica'!AJ13=0,'Parte Estrategica'!AJ13=""),0,IF(VLOOKUP($A13,'Matriz de Referencia'!$B$2:$CO$584,41,FALSE)=0,0,"Digite"))</f>
        <v>0</v>
      </c>
      <c r="CO13" s="454">
        <f>IF(OR('Parte Estrategica'!AJ13=0,'Parte Estrategica'!AJ13=""),0,IF(VLOOKUP($A13,'Matriz de Referencia'!$B$2:$CO$584,42,FALSE)=0,0,"Digite"))</f>
        <v>0</v>
      </c>
      <c r="CP13" s="454">
        <f>IF(OR('Parte Estrategica'!AJ13=0,'Parte Estrategica'!AJ13=""),0,IF(VLOOKUP($A13,'Matriz de Referencia'!$B$2:$CO$584,43,FALSE)=0,0,"Digite"))</f>
        <v>0</v>
      </c>
      <c r="CQ13" s="454">
        <f>IF(OR('Parte Estrategica'!AJ13=0,'Parte Estrategica'!AJ13=""),0,IF(VLOOKUP($A13,'Matriz de Referencia'!$B$2:$CO$584,44,FALSE)=0,0,"Digite"))</f>
        <v>0</v>
      </c>
      <c r="CR13" s="454">
        <f>IF(OR('Parte Estrategica'!AJ13=0,'Parte Estrategica'!AJ13=""),0,IF(VLOOKUP($A13,'Matriz de Referencia'!$B$2:$CO$584,45,FALSE)=0,0,"Digite"))</f>
        <v>0</v>
      </c>
      <c r="CS13" s="454">
        <f>IF(OR('Parte Estrategica'!AJ13=0,'Parte Estrategica'!AJ13=""),0,IF(VLOOKUP($A13,'Matriz de Referencia'!$B$2:$CO$584,46,FALSE)=0,0,"Digite"))</f>
        <v>0</v>
      </c>
      <c r="CT13" s="382">
        <f t="shared" si="19"/>
        <v>0</v>
      </c>
      <c r="CU13" s="454">
        <f>IF(OR('Parte Estrategica'!AJ13=0,'Parte Estrategica'!AJ13=""),0,IF(VLOOKUP($A13,'Matriz de Referencia'!$B$2:$CO$584,48,FALSE)=0,0,"Digite"))</f>
        <v>0</v>
      </c>
      <c r="CV13" s="454">
        <f>IF(OR('Parte Estrategica'!AJ13=0,'Parte Estrategica'!AJ13=""),0,IF(VLOOKUP($A13,'Matriz de Referencia'!$B$2:$CO$584,49,FALSE)=0,0,"Digite"))</f>
        <v>0</v>
      </c>
      <c r="CW13" s="454">
        <f>IF(OR('Parte Estrategica'!AJ13=0,'Parte Estrategica'!AJ13=""),0,IF(VLOOKUP($A13,'Matriz de Referencia'!$B$2:$CO$584,50,FALSE)=0,0,"Digite"))</f>
        <v>0</v>
      </c>
      <c r="CX13" s="382">
        <f t="shared" si="20"/>
        <v>0</v>
      </c>
      <c r="CY13" s="382">
        <f t="shared" si="21"/>
        <v>0</v>
      </c>
      <c r="CZ13" s="453">
        <f>IF(OR('Parte Estrategica'!AK13=0,'Parte Estrategica'!AK13=""),0,IF(VLOOKUP($A13,'Matriz de Referencia'!$B$2:$CO$584,39,FALSE)=0,0,"Digite"))</f>
        <v>0</v>
      </c>
      <c r="DA13" s="454">
        <f>IF(OR('Parte Estrategica'!AK13=0,'Parte Estrategica'!AK13=""),0,IF(VLOOKUP($A13,'Matriz de Referencia'!$B$2:$CO$584,40,FALSE)=0,0,"Digite"))</f>
        <v>0</v>
      </c>
      <c r="DB13" s="454">
        <f>IF(OR('Parte Estrategica'!AK13=0,'Parte Estrategica'!AK13=""),0,IF(VLOOKUP($A13,'Matriz de Referencia'!$B$2:$CO$584,41,FALSE)=0,0,"Digite"))</f>
        <v>0</v>
      </c>
      <c r="DC13" s="454">
        <f>IF(OR('Parte Estrategica'!AK13=0,'Parte Estrategica'!AK13=""),0,IF(VLOOKUP($A13,'Matriz de Referencia'!$B$2:$CO$584,42,FALSE)=0,0,"Digite"))</f>
        <v>0</v>
      </c>
      <c r="DD13" s="454">
        <f>IF(OR('Parte Estrategica'!AK13=0,'Parte Estrategica'!AK13=""),0,IF(VLOOKUP($A13,'Matriz de Referencia'!$B$2:$CO$584,43,FALSE)=0,0,"Digite"))</f>
        <v>0</v>
      </c>
      <c r="DE13" s="454">
        <f>IF(OR('Parte Estrategica'!AK13=0,'Parte Estrategica'!AK13=""),0,IF(VLOOKUP($A13,'Matriz de Referencia'!$B$2:$CO$584,44,FALSE)=0,0,"Digite"))</f>
        <v>0</v>
      </c>
      <c r="DF13" s="454">
        <f>IF(OR('Parte Estrategica'!AK13=0,'Parte Estrategica'!AK13=""),0,IF(VLOOKUP($A13,'Matriz de Referencia'!$B$2:$CO$584,45,FALSE)=0,0,"Digite"))</f>
        <v>0</v>
      </c>
      <c r="DG13" s="454">
        <f>IF(OR('Parte Estrategica'!AK13=0,'Parte Estrategica'!AK13=""),0,IF(VLOOKUP($A13,'Matriz de Referencia'!$B$2:$CO$584,46,FALSE)=0,0,"Digite"))</f>
        <v>0</v>
      </c>
      <c r="DH13" s="382">
        <f t="shared" si="22"/>
        <v>0</v>
      </c>
      <c r="DI13" s="454">
        <f>IF(OR('Parte Estrategica'!AK13=0,'Parte Estrategica'!AK13=""),0,IF(VLOOKUP($A13,'Matriz de Referencia'!$B$2:$CO$584,48,FALSE)=0,0,"Digite"))</f>
        <v>0</v>
      </c>
      <c r="DJ13" s="454">
        <f>IF(OR('Parte Estrategica'!AK13=0,'Parte Estrategica'!AK13=""),0,IF(VLOOKUP($A13,'Matriz de Referencia'!$B$2:$CO$584,49,FALSE)=0,0,"Digite"))</f>
        <v>0</v>
      </c>
      <c r="DK13" s="454">
        <f>IF(OR('Parte Estrategica'!AK13=0,'Parte Estrategica'!AK13=""),0,IF(VLOOKUP($A13,'Matriz de Referencia'!$B$2:$CO$584,50,FALSE)=0,0,"Digite"))</f>
        <v>0</v>
      </c>
      <c r="DL13" s="382">
        <f t="shared" si="23"/>
        <v>0</v>
      </c>
      <c r="DM13" s="382">
        <f t="shared" si="24"/>
        <v>0</v>
      </c>
      <c r="DN13" s="382">
        <f t="shared" si="25"/>
        <v>0</v>
      </c>
      <c r="DO13" s="101" t="str">
        <f>IFERROR(IF(DN13=0,"",IF(VLOOKUP($A13,'Matriz de Referencia'!$B$2:$CO$584,52,FALSE)=DN13,"Techos ok, cotinue","Debe revisar el valor programado")),"")</f>
        <v/>
      </c>
      <c r="DP13" s="453">
        <f>IF(OR('Parte Estrategica'!AN13=0,'Parte Estrategica'!AN13=""),0,IF(VLOOKUP($A13,'Matriz de Referencia'!$B$2:$CO$584,53,FALSE)=0,0,"Digite"))</f>
        <v>0</v>
      </c>
      <c r="DQ13" s="454">
        <f>IF(OR('Parte Estrategica'!AN13=0,'Parte Estrategica'!AN13=""),0,IF(VLOOKUP($A13,'Matriz de Referencia'!$B$2:$CO$584,54,FALSE)=0,0,"Digite"))</f>
        <v>0</v>
      </c>
      <c r="DR13" s="454">
        <f>IF(OR('Parte Estrategica'!AN13=0,'Parte Estrategica'!AN13=""),0,IF(VLOOKUP($A13,'Matriz de Referencia'!$B$2:$CO$584,55,FALSE)=0,0,"Digite"))</f>
        <v>0</v>
      </c>
      <c r="DS13" s="454">
        <f>IF(OR('Parte Estrategica'!AN13=0,'Parte Estrategica'!AN13=""),0,IF(VLOOKUP($A13,'Matriz de Referencia'!$B$2:$CO$584,56,FALSE)=0,0,"Digite"))</f>
        <v>0</v>
      </c>
      <c r="DT13" s="454">
        <f>IF(OR('Parte Estrategica'!AN13=0,'Parte Estrategica'!AN13=""),0,IF(VLOOKUP($A13,'Matriz de Referencia'!$B$2:$CO$584,57,FALSE)=0,0,"Digite"))</f>
        <v>0</v>
      </c>
      <c r="DU13" s="454">
        <f>IF(OR('Parte Estrategica'!AN13=0,'Parte Estrategica'!AN13=""),0,IF(VLOOKUP($A13,'Matriz de Referencia'!$B$2:$CO$584,58,FALSE)=0,0,"Digite"))</f>
        <v>0</v>
      </c>
      <c r="DV13" s="454">
        <f>IF(OR('Parte Estrategica'!AN13=0,'Parte Estrategica'!AN13=""),0,IF(VLOOKUP($A13,'Matriz de Referencia'!$B$2:$CO$584,59,FALSE)=0,0,"Digite"))</f>
        <v>0</v>
      </c>
      <c r="DW13" s="454">
        <f>IF(OR('Parte Estrategica'!AN13=0,'Parte Estrategica'!AN13=""),0,IF(VLOOKUP($A13,'Matriz de Referencia'!$B$2:$CO$584,60,FALSE)=0,0,"Digite"))</f>
        <v>0</v>
      </c>
      <c r="DX13" s="382">
        <f t="shared" si="26"/>
        <v>0</v>
      </c>
      <c r="DY13" s="454">
        <f>IF(OR('Parte Estrategica'!AN13=0,'Parte Estrategica'!AN13=""),0,IF(VLOOKUP($A13,'Matriz de Referencia'!$B$2:$CO$584,62,FALSE)=0,0,"Digite"))</f>
        <v>0</v>
      </c>
      <c r="DZ13" s="454">
        <f>IF(OR('Parte Estrategica'!AN13=0,'Parte Estrategica'!AN13=""),0,IF(VLOOKUP($A13,'Matriz de Referencia'!$B$2:$CO$584,63,FALSE)=0,0,"Digite"))</f>
        <v>0</v>
      </c>
      <c r="EA13" s="454" t="str">
        <f>IF(OR('Parte Estrategica'!AN13=0,'Parte Estrategica'!AN13=""),"",IF(VLOOKUP($A13,'Matriz de Referencia'!$B$2:$CO$584,64,FALSE)=0,"","Digite"))</f>
        <v/>
      </c>
      <c r="EB13" s="382">
        <f t="shared" si="27"/>
        <v>0</v>
      </c>
      <c r="EC13" s="382">
        <f t="shared" si="28"/>
        <v>0</v>
      </c>
      <c r="ED13" s="453">
        <f>IF(OR('Parte Estrategica'!AO13=0,'Parte Estrategica'!AO13=""),0,IF(VLOOKUP($A13,'Matriz de Referencia'!$B$2:$CO$584,53,FALSE)=0,0,"Digite"))</f>
        <v>0</v>
      </c>
      <c r="EE13" s="454">
        <f>IF(OR('Parte Estrategica'!AO13=0,'Parte Estrategica'!AO13=""),0,IF(VLOOKUP($A13,'Matriz de Referencia'!$B$2:$CO$584,54,FALSE)=0,0,"Digite"))</f>
        <v>0</v>
      </c>
      <c r="EF13" s="454">
        <f>IF(OR('Parte Estrategica'!AO13=0,'Parte Estrategica'!AO13=""),0,IF(VLOOKUP($A13,'Matriz de Referencia'!$B$2:$CO$584,55,FALSE)=0,0,"Digite"))</f>
        <v>0</v>
      </c>
      <c r="EG13" s="454">
        <f>IF(OR('Parte Estrategica'!AO13=0,'Parte Estrategica'!AO13=""),0,IF(VLOOKUP($A13,'Matriz de Referencia'!$B$2:$CO$584,56,FALSE)=0,0,"Digite"))</f>
        <v>0</v>
      </c>
      <c r="EH13" s="454">
        <f>IF(OR('Parte Estrategica'!AO13=0,'Parte Estrategica'!AO13=""),0,IF(VLOOKUP($A13,'Matriz de Referencia'!$B$2:$CO$584,57,FALSE)=0,0,"Digite"))</f>
        <v>0</v>
      </c>
      <c r="EI13" s="454">
        <f>IF(OR('Parte Estrategica'!AO13=0,'Parte Estrategica'!AO13=""),0,IF(VLOOKUP($A13,'Matriz de Referencia'!$B$2:$CO$584,58,FALSE)=0,0,"Digite"))</f>
        <v>0</v>
      </c>
      <c r="EJ13" s="454">
        <f>IF(OR('Parte Estrategica'!AO13=0,'Parte Estrategica'!AO13=""),0,IF(VLOOKUP($A13,'Matriz de Referencia'!$B$2:$CO$584,59,FALSE)=0,0,"Digite"))</f>
        <v>0</v>
      </c>
      <c r="EK13" s="454">
        <f>IF(OR('Parte Estrategica'!AO13=0,'Parte Estrategica'!AO13=""),0,IF(VLOOKUP($A13,'Matriz de Referencia'!$B$2:$CO$584,60,FALSE)=0,0,"Digite"))</f>
        <v>0</v>
      </c>
      <c r="EL13" s="382">
        <f t="shared" si="29"/>
        <v>0</v>
      </c>
      <c r="EM13" s="454">
        <f>IF(OR('Parte Estrategica'!AO13=0,'Parte Estrategica'!AO13=""),0,IF(VLOOKUP($A13,'Matriz de Referencia'!$B$2:$CO$584,62,FALSE)=0,0,"Digite"))</f>
        <v>0</v>
      </c>
      <c r="EN13" s="454">
        <f>IF(OR('Parte Estrategica'!AO13=0,'Parte Estrategica'!AO13=""),0,IF(VLOOKUP($A13,'Matriz de Referencia'!$B$2:$CO$584,63,FALSE)=0,0,"Digite"))</f>
        <v>0</v>
      </c>
      <c r="EO13" s="454">
        <f>IF(OR('Parte Estrategica'!AO13=0,'Parte Estrategica'!AO13=""),0,IF(VLOOKUP($A13,'Matriz de Referencia'!$B$2:$CO$584,64,FALSE)=0,0,"Digite"))</f>
        <v>0</v>
      </c>
      <c r="EP13" s="382">
        <f t="shared" si="30"/>
        <v>0</v>
      </c>
      <c r="EQ13" s="382">
        <f t="shared" si="31"/>
        <v>0</v>
      </c>
      <c r="ER13" s="453">
        <f>IF(OR('Parte Estrategica'!AP13=0,'Parte Estrategica'!AP13=""),0,IF(VLOOKUP($A13,'Matriz de Referencia'!$B$2:$CO$584,53,FALSE)=0,0,"Digite"))</f>
        <v>0</v>
      </c>
      <c r="ES13" s="454">
        <f>IF(OR('Parte Estrategica'!AP13=0,'Parte Estrategica'!AP13=""),0,IF(VLOOKUP($A13,'Matriz de Referencia'!$B$2:$CO$584,54,FALSE)=0,0,"Digite"))</f>
        <v>0</v>
      </c>
      <c r="ET13" s="454">
        <f>IF(OR('Parte Estrategica'!AP13=0,'Parte Estrategica'!AP13=""),0,IF(VLOOKUP($A13,'Matriz de Referencia'!$B$2:$CO$584,55,FALSE)=0,0,"Digite"))</f>
        <v>0</v>
      </c>
      <c r="EU13" s="454">
        <f>IF(OR('Parte Estrategica'!AP13=0,'Parte Estrategica'!AP13=""),0,IF(VLOOKUP($A13,'Matriz de Referencia'!$B$2:$CO$584,56,FALSE)=0,0,"Digite"))</f>
        <v>0</v>
      </c>
      <c r="EV13" s="454">
        <f>IF(OR('Parte Estrategica'!AP13=0,'Parte Estrategica'!AP13=""),0,IF(VLOOKUP($A13,'Matriz de Referencia'!$B$2:$CO$584,57,FALSE)=0,0,"Digite"))</f>
        <v>0</v>
      </c>
      <c r="EW13" s="454">
        <f>IF(OR('Parte Estrategica'!AP13=0,'Parte Estrategica'!AP13=""),0,IF(VLOOKUP($A13,'Matriz de Referencia'!$B$2:$CO$584,58,FALSE)=0,0,"Digite"))</f>
        <v>0</v>
      </c>
      <c r="EX13" s="454">
        <f>IF(OR('Parte Estrategica'!AP13=0,'Parte Estrategica'!AP13=""),0,IF(VLOOKUP($A13,'Matriz de Referencia'!$B$2:$CO$584,59,FALSE)=0,0,"Digite"))</f>
        <v>0</v>
      </c>
      <c r="EY13" s="454">
        <f>IF(OR('Parte Estrategica'!AP13=0,'Parte Estrategica'!AP13=""),0,IF(VLOOKUP($A13,'Matriz de Referencia'!$B$2:$CO$584,60,FALSE)=0,0,"Digite"))</f>
        <v>0</v>
      </c>
      <c r="EZ13" s="382">
        <f t="shared" si="32"/>
        <v>0</v>
      </c>
      <c r="FA13" s="454">
        <f>IF(OR('Parte Estrategica'!AP13=0,'Parte Estrategica'!AP13=""),0,IF(VLOOKUP($A13,'Matriz de Referencia'!$B$2:$CO$584,62,FALSE)=0,0,"Digite"))</f>
        <v>0</v>
      </c>
      <c r="FB13" s="454">
        <f>IF(OR('Parte Estrategica'!AP13=0,'Parte Estrategica'!AP13=""),0,IF(VLOOKUP($A13,'Matriz de Referencia'!$B$2:$CO$584,63,FALSE)=0,0,"Digite"))</f>
        <v>0</v>
      </c>
      <c r="FC13" s="454">
        <f>IF(OR('Parte Estrategica'!AP13=0,'Parte Estrategica'!AP13=""),0,IF(VLOOKUP($A13,'Matriz de Referencia'!$B$2:$CO$584,64,FALSE)=0,0,"Digite"))</f>
        <v>0</v>
      </c>
      <c r="FD13" s="382">
        <f t="shared" si="33"/>
        <v>0</v>
      </c>
      <c r="FE13" s="382">
        <f t="shared" si="34"/>
        <v>0</v>
      </c>
      <c r="FF13" s="453">
        <f>IF(OR('Parte Estrategica'!AQ13=0,'Parte Estrategica'!AQ13=""),0,IF(VLOOKUP($A13,'Matriz de Referencia'!$B$2:$CO$584,53,FALSE)=0,0,"Digite"))</f>
        <v>0</v>
      </c>
      <c r="FG13" s="454">
        <f>IF(OR('Parte Estrategica'!AQ13=0,'Parte Estrategica'!AQ13=""),0,IF(VLOOKUP($A13,'Matriz de Referencia'!$B$2:$CO$584,54,FALSE)=0,0,"Digite"))</f>
        <v>0</v>
      </c>
      <c r="FH13" s="454">
        <f>IF(OR('Parte Estrategica'!AQ13=0,'Parte Estrategica'!AQ13=""),0,IF(VLOOKUP($A13,'Matriz de Referencia'!$B$2:$CO$584,55,FALSE)=0,0,"Digite"))</f>
        <v>0</v>
      </c>
      <c r="FI13" s="454">
        <f>IF(OR('Parte Estrategica'!AQ13=0,'Parte Estrategica'!AQ13=""),0,IF(VLOOKUP($A13,'Matriz de Referencia'!$B$2:$CO$584,56,FALSE)=0,0,"Digite"))</f>
        <v>0</v>
      </c>
      <c r="FJ13" s="454">
        <f>IF(OR('Parte Estrategica'!AQ13=0,'Parte Estrategica'!AQ13=""),0,IF(VLOOKUP($A13,'Matriz de Referencia'!$B$2:$CO$584,57,FALSE)=0,0,"Digite"))</f>
        <v>0</v>
      </c>
      <c r="FK13" s="454">
        <f>IF(OR('Parte Estrategica'!AQ13=0,'Parte Estrategica'!AQ13=""),0,IF(VLOOKUP($A13,'Matriz de Referencia'!$B$2:$CO$584,58,FALSE)=0,0,"Digite"))</f>
        <v>0</v>
      </c>
      <c r="FL13" s="454">
        <f>IF(OR('Parte Estrategica'!AQ13=0,'Parte Estrategica'!AQ13=""),0,IF(VLOOKUP($A13,'Matriz de Referencia'!$B$2:$CO$584,59,FALSE)=0,0,"Digite"))</f>
        <v>0</v>
      </c>
      <c r="FM13" s="454">
        <f>IF(OR('Parte Estrategica'!AQ13=0,'Parte Estrategica'!AQ13=""),0,IF(VLOOKUP($A13,'Matriz de Referencia'!$B$2:$CO$584,60,FALSE)=0,0,"Digite"))</f>
        <v>0</v>
      </c>
      <c r="FN13" s="382">
        <f t="shared" si="35"/>
        <v>0</v>
      </c>
      <c r="FO13" s="454">
        <f>IF(OR('Parte Estrategica'!AQ13=0,'Parte Estrategica'!AQ13=""),0,IF(VLOOKUP($A13,'Matriz de Referencia'!$B$2:$CO$584,62,FALSE)=0,0,"Digite"))</f>
        <v>0</v>
      </c>
      <c r="FP13" s="454">
        <f>IF(OR('Parte Estrategica'!AQ13=0,'Parte Estrategica'!AQ13=""),0,IF(VLOOKUP($A13,'Matriz de Referencia'!$B$2:$CO$584,63,FALSE)=0,0,"Digite"))</f>
        <v>0</v>
      </c>
      <c r="FQ13" s="454">
        <f>IF(OR('Parte Estrategica'!AQ13=0,'Parte Estrategica'!AQ13=""),0,IF(VLOOKUP($A13,'Matriz de Referencia'!$B$2:$CO$584,64,FALSE)=0,0,"Digite"))</f>
        <v>0</v>
      </c>
      <c r="FR13" s="382">
        <f t="shared" si="36"/>
        <v>0</v>
      </c>
      <c r="FS13" s="382">
        <f t="shared" si="37"/>
        <v>0</v>
      </c>
      <c r="FT13" s="382">
        <f t="shared" si="38"/>
        <v>0</v>
      </c>
      <c r="FU13" s="101" t="str">
        <f>IFERROR(IF(FT13=0,"",IF(VLOOKUP($A13,'Matriz de Referencia'!$B$2:$CO$584,66,FALSE)=FT13,"Techos ok, cotinue","Debe revisar el valor programado")),"")</f>
        <v/>
      </c>
      <c r="FV13" s="453">
        <f>IF(OR('Parte Estrategica'!AT13=0,'Parte Estrategica'!AT13=""),0,IF(VLOOKUP($A13,'Matriz de Referencia'!$B$2:$CO$584,67,FALSE)=0,0,"Digite"))</f>
        <v>0</v>
      </c>
      <c r="FW13" s="454">
        <f>IF(OR('Parte Estrategica'!AT13=0,'Parte Estrategica'!AT13=""),0,IF(VLOOKUP($A13,'Matriz de Referencia'!$B$2:$CO$584,68,FALSE)=0,0,"Digite"))</f>
        <v>0</v>
      </c>
      <c r="FX13" s="454">
        <f>IF(OR('Parte Estrategica'!AT13=0,'Parte Estrategica'!AT13=""),0,IF(VLOOKUP($A13,'Matriz de Referencia'!$B$2:$CO$584,69,FALSE)=0,0,"Digite"))</f>
        <v>0</v>
      </c>
      <c r="FY13" s="454">
        <f>IF(OR('Parte Estrategica'!AT13=0,'Parte Estrategica'!AT13=""),0,IF(VLOOKUP($A13,'Matriz de Referencia'!$B$2:$CO$584,70,FALSE)=0,0,"Digite"))</f>
        <v>0</v>
      </c>
      <c r="FZ13" s="454">
        <f>IF(OR('Parte Estrategica'!AT13=0,'Parte Estrategica'!AT13=""),0,IF(VLOOKUP($A13,'Matriz de Referencia'!$B$2:$CO$584,71,FALSE)=0,0,"Digite"))</f>
        <v>0</v>
      </c>
      <c r="GA13" s="454">
        <f>IF(OR('Parte Estrategica'!AT13=0,'Parte Estrategica'!AT13=""),0,IF(VLOOKUP($A13,'Matriz de Referencia'!$B$2:$CO$584,72,FALSE)=0,0,"Digite"))</f>
        <v>0</v>
      </c>
      <c r="GB13" s="454">
        <f>IF(OR('Parte Estrategica'!AT13=0,'Parte Estrategica'!AT13=""),0,IF(VLOOKUP($A13,'Matriz de Referencia'!$B$2:$CO$584,73,FALSE)=0,0,"Digite"))</f>
        <v>0</v>
      </c>
      <c r="GC13" s="454">
        <f>IF(OR('Parte Estrategica'!AT13=0,'Parte Estrategica'!AT13=""),0,IF(VLOOKUP($A13,'Matriz de Referencia'!$B$2:$CO$584,74,FALSE)=0,0,"Digite"))</f>
        <v>0</v>
      </c>
      <c r="GD13" s="382">
        <f t="shared" si="39"/>
        <v>0</v>
      </c>
      <c r="GE13" s="454">
        <f>IF(OR('Parte Estrategica'!AT13=0,'Parte Estrategica'!AT13=""),0,IF(VLOOKUP($A13,'Matriz de Referencia'!$B$2:$CO$584,76,FALSE)=0,0,"Digite"))</f>
        <v>0</v>
      </c>
      <c r="GF13" s="454">
        <f>IF(OR('Parte Estrategica'!AT13=0,'Parte Estrategica'!AT13=""),0,IF(VLOOKUP($A13,'Matriz de Referencia'!$B$2:$CO$584,77,FALSE)=0,0,"Digite"))</f>
        <v>0</v>
      </c>
      <c r="GG13" s="454">
        <f>IF(OR('Parte Estrategica'!AT13=0,'Parte Estrategica'!AT13=""),0,IF(VLOOKUP($A13,'Matriz de Referencia'!$B$2:$CO$584,78,FALSE)=0,0,"Digite"))</f>
        <v>0</v>
      </c>
      <c r="GH13" s="382">
        <f t="shared" si="40"/>
        <v>0</v>
      </c>
      <c r="GI13" s="382">
        <f t="shared" si="41"/>
        <v>0</v>
      </c>
      <c r="GJ13" s="453">
        <f>IF(OR('Parte Estrategica'!AU13=0,'Parte Estrategica'!AU13=""),0,IF(VLOOKUP($A13,'Matriz de Referencia'!$B$2:$CO$584,67,FALSE)=0,0,"Digite"))</f>
        <v>0</v>
      </c>
      <c r="GK13" s="454">
        <f>IF(OR('Parte Estrategica'!AU13=0,'Parte Estrategica'!AU13=""),0,IF(VLOOKUP($A13,'Matriz de Referencia'!$B$2:$CO$584,68,FALSE)=0,0,"Digite"))</f>
        <v>0</v>
      </c>
      <c r="GL13" s="454">
        <f>IF(OR('Parte Estrategica'!AU13=0,'Parte Estrategica'!AU13=""),0,IF(VLOOKUP($A13,'Matriz de Referencia'!$B$2:$CO$584,69,FALSE)=0,0,"Digite"))</f>
        <v>0</v>
      </c>
      <c r="GM13" s="454">
        <f>IF(OR('Parte Estrategica'!AU13=0,'Parte Estrategica'!AU13=""),0,IF(VLOOKUP($A13,'Matriz de Referencia'!$B$2:$CO$584,70,FALSE)=0,0,"Digite"))</f>
        <v>0</v>
      </c>
      <c r="GN13" s="454">
        <f>IF(OR('Parte Estrategica'!AU13=0,'Parte Estrategica'!AU13=""),0,IF(VLOOKUP($A13,'Matriz de Referencia'!$B$2:$CO$584,71,FALSE)=0,0,"Digite"))</f>
        <v>0</v>
      </c>
      <c r="GO13" s="454">
        <f>IF(OR('Parte Estrategica'!AU13=0,'Parte Estrategica'!AU13=""),0,IF(VLOOKUP($A13,'Matriz de Referencia'!$B$2:$CO$584,72,FALSE)=0,0,"Digite"))</f>
        <v>0</v>
      </c>
      <c r="GP13" s="454">
        <f>IF(OR('Parte Estrategica'!AU13=0,'Parte Estrategica'!AU13=""),0,IF(VLOOKUP($A13,'Matriz de Referencia'!$B$2:$CO$584,73,FALSE)=0,0,"Digite"))</f>
        <v>0</v>
      </c>
      <c r="GQ13" s="454">
        <f>IF(OR('Parte Estrategica'!AU13=0,'Parte Estrategica'!AU13=""),0,IF(VLOOKUP($A13,'Matriz de Referencia'!$B$2:$CO$584,74,FALSE)=0,0,"Digite"))</f>
        <v>0</v>
      </c>
      <c r="GR13" s="382">
        <f t="shared" si="42"/>
        <v>0</v>
      </c>
      <c r="GS13" s="454">
        <f>IF(OR('Parte Estrategica'!AU13=0,'Parte Estrategica'!AU13=""),0,IF(VLOOKUP($A13,'Matriz de Referencia'!$B$2:$CO$584,76,FALSE)=0,0,"Digite"))</f>
        <v>0</v>
      </c>
      <c r="GT13" s="454">
        <f>IF(OR('Parte Estrategica'!AU13=0,'Parte Estrategica'!AU13=""),0,IF(VLOOKUP($A13,'Matriz de Referencia'!$B$2:$CO$584,77,FALSE)=0,0,"Digite"))</f>
        <v>0</v>
      </c>
      <c r="GU13" s="454">
        <f>IF(OR('Parte Estrategica'!AU13=0,'Parte Estrategica'!AU13=""),0,IF(VLOOKUP($A13,'Matriz de Referencia'!$B$2:$CO$584,78,FALSE)=0,0,"Digite"))</f>
        <v>0</v>
      </c>
      <c r="GV13" s="382">
        <f t="shared" si="43"/>
        <v>0</v>
      </c>
      <c r="GW13" s="382">
        <f t="shared" si="44"/>
        <v>0</v>
      </c>
      <c r="GX13" s="453">
        <f>IF(OR('Parte Estrategica'!AV13=0,'Parte Estrategica'!AV13=""),0,IF(VLOOKUP($A13,'Matriz de Referencia'!$B$2:$CO$584,67,FALSE)=0,0,"Digite"))</f>
        <v>0</v>
      </c>
      <c r="GY13" s="454">
        <f>IF(OR('Parte Estrategica'!AV13=0,'Parte Estrategica'!AV13=""),0,IF(VLOOKUP($A13,'Matriz de Referencia'!$B$2:$CO$584,68,FALSE)=0,0,"Digite"))</f>
        <v>0</v>
      </c>
      <c r="GZ13" s="454">
        <f>IF(OR('Parte Estrategica'!AV13=0,'Parte Estrategica'!AV13=""),0,IF(VLOOKUP($A13,'Matriz de Referencia'!$B$2:$CO$584,69,FALSE)=0,0,"Digite"))</f>
        <v>0</v>
      </c>
      <c r="HA13" s="454">
        <f>IF(OR('Parte Estrategica'!AV13=0,'Parte Estrategica'!AV13=""),0,IF(VLOOKUP($A13,'Matriz de Referencia'!$B$2:$CO$584,70,FALSE)=0,0,"Digite"))</f>
        <v>0</v>
      </c>
      <c r="HB13" s="454">
        <f>IF(OR('Parte Estrategica'!AV13=0,'Parte Estrategica'!AV13=""),0,IF(VLOOKUP($A13,'Matriz de Referencia'!$B$2:$CO$584,71,FALSE)=0,0,"Digite"))</f>
        <v>0</v>
      </c>
      <c r="HC13" s="454">
        <f>IF(OR('Parte Estrategica'!AV13=0,'Parte Estrategica'!AV13=""),0,IF(VLOOKUP($A13,'Matriz de Referencia'!$B$2:$CO$584,72,FALSE)=0,0,"Digite"))</f>
        <v>0</v>
      </c>
      <c r="HD13" s="454">
        <f>IF(OR('Parte Estrategica'!AV13=0,'Parte Estrategica'!AV13=""),0,IF(VLOOKUP($A13,'Matriz de Referencia'!$B$2:$CO$584,73,FALSE)=0,0,"Digite"))</f>
        <v>0</v>
      </c>
      <c r="HE13" s="454">
        <f>IF(OR('Parte Estrategica'!AV13=0,'Parte Estrategica'!AV13=""),0,IF(VLOOKUP($A13,'Matriz de Referencia'!$B$2:$CO$584,74,FALSE)=0,0,"Digite"))</f>
        <v>0</v>
      </c>
      <c r="HF13" s="382">
        <f t="shared" si="45"/>
        <v>0</v>
      </c>
      <c r="HG13" s="454">
        <f>IF(OR('Parte Estrategica'!AV13=0,'Parte Estrategica'!AV13=""),0,IF(VLOOKUP($A13,'Matriz de Referencia'!$B$2:$CO$584,76,FALSE)=0,0,"Digite"))</f>
        <v>0</v>
      </c>
      <c r="HH13" s="454">
        <f>IF(OR('Parte Estrategica'!AV13=0,'Parte Estrategica'!AV13=""),0,IF(VLOOKUP($A13,'Matriz de Referencia'!$B$2:$CO$584,77,FALSE)=0,0,"Digite"))</f>
        <v>0</v>
      </c>
      <c r="HI13" s="454">
        <f>IF(OR('Parte Estrategica'!AV13=0,'Parte Estrategica'!AV13=""),0,IF(VLOOKUP($A13,'Matriz de Referencia'!$B$2:$CO$584,78,FALSE)=0,0,"Digite"))</f>
        <v>0</v>
      </c>
      <c r="HJ13" s="382">
        <f t="shared" si="46"/>
        <v>0</v>
      </c>
      <c r="HK13" s="382">
        <f t="shared" si="47"/>
        <v>0</v>
      </c>
      <c r="HL13" s="453">
        <f>IF(OR('Parte Estrategica'!AW13=0,'Parte Estrategica'!AW13=""),0,IF(VLOOKUP($A13,'Matriz de Referencia'!$B$2:$CO$584,67,FALSE)=0,0,"Digite"))</f>
        <v>0</v>
      </c>
      <c r="HM13" s="454">
        <f>IF(OR('Parte Estrategica'!AW13=0,'Parte Estrategica'!AW13=""),0,IF(VLOOKUP($A13,'Matriz de Referencia'!$B$2:$CO$584,68,FALSE)=0,0,"Digite"))</f>
        <v>0</v>
      </c>
      <c r="HN13" s="454">
        <f>IF(OR('Parte Estrategica'!AW13=0,'Parte Estrategica'!AW13=""),0,IF(VLOOKUP($A13,'Matriz de Referencia'!$B$2:$CO$584,69,FALSE)=0,0,"Digite"))</f>
        <v>0</v>
      </c>
      <c r="HO13" s="454">
        <f>IF(OR('Parte Estrategica'!AW13=0,'Parte Estrategica'!AW13=""),0,IF(VLOOKUP($A13,'Matriz de Referencia'!$B$2:$CO$584,70,FALSE)=0,0,"Digite"))</f>
        <v>0</v>
      </c>
      <c r="HP13" s="454">
        <f>IF(OR('Parte Estrategica'!AW13=0,'Parte Estrategica'!AW13=""),0,IF(VLOOKUP($A13,'Matriz de Referencia'!$B$2:$CO$584,71,FALSE)=0,0,"Digite"))</f>
        <v>0</v>
      </c>
      <c r="HQ13" s="454">
        <f>IF(OR('Parte Estrategica'!AW13=0,'Parte Estrategica'!AW13=""),0,IF(VLOOKUP($A13,'Matriz de Referencia'!$B$2:$CO$584,72,FALSE)=0,0,"Digite"))</f>
        <v>0</v>
      </c>
      <c r="HR13" s="454">
        <f>IF(OR('Parte Estrategica'!AW13=0,'Parte Estrategica'!AW13=""),0,IF(VLOOKUP($A13,'Matriz de Referencia'!$B$2:$CO$584,73,FALSE)=0,0,"Digite"))</f>
        <v>0</v>
      </c>
      <c r="HS13" s="454">
        <f>IF(OR('Parte Estrategica'!AW13=0,'Parte Estrategica'!AW13=""),0,IF(VLOOKUP($A13,'Matriz de Referencia'!$B$2:$CO$584,74,FALSE)=0,0,"Digite"))</f>
        <v>0</v>
      </c>
      <c r="HT13" s="382">
        <f t="shared" si="48"/>
        <v>0</v>
      </c>
      <c r="HU13" s="454">
        <f>IF(OR('Parte Estrategica'!AW13=0,'Parte Estrategica'!AW13=""),0,IF(VLOOKUP($A13,'Matriz de Referencia'!$B$2:$CO$584,76,FALSE)=0,0,"Digite"))</f>
        <v>0</v>
      </c>
      <c r="HV13" s="454">
        <f>IF(OR('Parte Estrategica'!AW13=0,'Parte Estrategica'!AW13=""),0,IF(VLOOKUP($A13,'Matriz de Referencia'!$B$2:$CO$584,77,FALSE)=0,0,"Digite"))</f>
        <v>0</v>
      </c>
      <c r="HW13" s="454">
        <f>IF(OR('Parte Estrategica'!AW13=0,'Parte Estrategica'!AW13=""),0,IF(VLOOKUP($A13,'Matriz de Referencia'!$B$2:$CO$584,78,FALSE)=0,0,"Digite"))</f>
        <v>0</v>
      </c>
      <c r="HX13" s="382">
        <f t="shared" si="49"/>
        <v>0</v>
      </c>
      <c r="HY13" s="382">
        <f t="shared" si="50"/>
        <v>0</v>
      </c>
      <c r="HZ13" s="382">
        <f t="shared" si="51"/>
        <v>0</v>
      </c>
      <c r="IA13" s="101" t="str">
        <f>IFERROR(IF(HZ13=0,"",IF(VLOOKUP($A13,'Matriz de Referencia'!$B$2:$CO$584,80,FALSE)=HZ13,"Techos ok, cotinue","Debe revisar el valor programado")),"")</f>
        <v/>
      </c>
      <c r="IB13" s="383">
        <f t="shared" si="52"/>
        <v>0</v>
      </c>
    </row>
    <row r="14" spans="1:236">
      <c r="A14" s="550" t="str">
        <f>IF('Parte Estrategica'!B14=0,"",'Parte Estrategica'!B14)</f>
        <v/>
      </c>
      <c r="B14" s="551" t="str">
        <f>IFERROR(VLOOKUP(A14,'Matriz de Referencia'!$B$2:$P$578,'Matriz de Referencia'!L$1,FALSE),"")</f>
        <v/>
      </c>
      <c r="C14" s="551" t="str">
        <f>IFERROR(VLOOKUP(A14,'Matriz de Referencia'!$B$2:$P$584,'Matriz de Referencia'!M$1,FALSE),"")</f>
        <v/>
      </c>
      <c r="D14" s="455" t="str">
        <f>IF(OR('Parte Estrategica'!AB14=0,'Parte Estrategica'!AB14=""),"",IF(VLOOKUP($A14,'Matriz de Referencia'!$B$2:$CO$584,'Matriz de Referencia'!Z$1,FALSE)=0,"","Digite"))</f>
        <v/>
      </c>
      <c r="E14" s="456">
        <f>IF(OR('Parte Estrategica'!AB14=0,'Parte Estrategica'!AB14=""),0,IF(VLOOKUP($A14,'Matriz de Referencia'!$B$2:$CO$584,26,FALSE)=0,0,"Digite"))</f>
        <v>0</v>
      </c>
      <c r="F14" s="456">
        <f>IF(OR('Parte Estrategica'!AB14=0,'Parte Estrategica'!AB14=""),0,IF(VLOOKUP($A14,'Matriz de Referencia'!$B$2:$CO$584,27,FALSE)=0,0,"Digite"))</f>
        <v>0</v>
      </c>
      <c r="G14" s="456">
        <f>IF(OR('Parte Estrategica'!AB14=0,'Parte Estrategica'!AB14=""),0,IF(VLOOKUP($A14,'Matriz de Referencia'!$B$2:$CO$584,28,FALSE)=0,0,"Digite"))</f>
        <v>0</v>
      </c>
      <c r="H14" s="456">
        <f>IF(OR('Parte Estrategica'!AB14=0,'Parte Estrategica'!AB14=""),0,IF(VLOOKUP($A14,'Matriz de Referencia'!$B$2:$CO$584,29,FALSE)=0,0,"Digite"))</f>
        <v>0</v>
      </c>
      <c r="I14" s="456">
        <f>IF(OR('Parte Estrategica'!AB14=0,'Parte Estrategica'!AB14=""),0,IF(VLOOKUP($A14,'Matriz de Referencia'!$B$2:$CO$584,30,FALSE)=0,0,"Digite"))</f>
        <v>0</v>
      </c>
      <c r="J14" s="456">
        <f>IF(OR('Parte Estrategica'!AB14=0,'Parte Estrategica'!AB14=""),0,IF(VLOOKUP($A14,'Matriz de Referencia'!$B$2:$CO$584,31,FALSE)=0,0,"Digite"))</f>
        <v>0</v>
      </c>
      <c r="K14" s="456">
        <f>IF(OR('Parte Estrategica'!AB14=0,'Parte Estrategica'!AB14=""),0,IF(VLOOKUP($A14,'Matriz de Referencia'!$B$2:$CO$584,32,FALSE)=0,0,"Digite"))</f>
        <v>0</v>
      </c>
      <c r="L14" s="460">
        <f t="shared" si="0"/>
        <v>0</v>
      </c>
      <c r="M14" s="456">
        <f>IF(OR('Parte Estrategica'!AB14=0,'Parte Estrategica'!AB14=""),0,IF(VLOOKUP($A14,'Matriz de Referencia'!$B$2:$CO$584,34,FALSE)=0,0,"Digite"))</f>
        <v>0</v>
      </c>
      <c r="N14" s="456">
        <f>IF(OR('Parte Estrategica'!AB14=0,'Parte Estrategica'!AB14=""),0,IF(VLOOKUP($A14,'Matriz de Referencia'!$B$2:$CO$584,35,FALSE)=0,0,"Digite"))</f>
        <v>0</v>
      </c>
      <c r="O14" s="456">
        <f>IF(OR('Parte Estrategica'!AB14=0,'Parte Estrategica'!AB14=""),0,IF(VLOOKUP($A14,'Matriz de Referencia'!$B$2:$CO$584,36,FALSE)=0,0,"Digite"))</f>
        <v>0</v>
      </c>
      <c r="P14" s="457">
        <f t="shared" si="1"/>
        <v>0</v>
      </c>
      <c r="Q14" s="457">
        <f t="shared" si="2"/>
        <v>0</v>
      </c>
      <c r="R14" s="455">
        <f>IF(OR('Parte Estrategica'!AC14=0,'Parte Estrategica'!AC14=""),0,IF(VLOOKUP($A14,'Matriz de Referencia'!$B$2:$CO$584,25,FALSE)=0,0,"Digite"))</f>
        <v>0</v>
      </c>
      <c r="S14" s="456">
        <f>IF(OR('Parte Estrategica'!AC14=0,'Parte Estrategica'!AC14=""),0,IF(VLOOKUP($A14,'Matriz de Referencia'!$B$2:$CO$584,26,FALSE)=0,0,"Digite"))</f>
        <v>0</v>
      </c>
      <c r="T14" s="456">
        <f>IF(OR('Parte Estrategica'!AC14=0,'Parte Estrategica'!AC14=""),0,IF(VLOOKUP($A14,'Matriz de Referencia'!$B$2:$CO$584,27,FALSE)=0,0,"Digite"))</f>
        <v>0</v>
      </c>
      <c r="U14" s="456">
        <f>IF(OR('Parte Estrategica'!AC14=0,'Parte Estrategica'!AC14=""),0,IF(VLOOKUP($A14,'Matriz de Referencia'!$B$2:$CO$584,28,FALSE)=0,0,"Digite"))</f>
        <v>0</v>
      </c>
      <c r="V14" s="456">
        <f>IF(OR('Parte Estrategica'!AC14=0,'Parte Estrategica'!AC14=""),0,IF(VLOOKUP($A14,'Matriz de Referencia'!$B$2:$CO$584,29,FALSE)=0,0,"Digite"))</f>
        <v>0</v>
      </c>
      <c r="W14" s="456">
        <f>IF(OR('Parte Estrategica'!AC14=0,'Parte Estrategica'!AC14=""),0,IF(VLOOKUP($A14,'Matriz de Referencia'!$B$2:$CO$584,30,FALSE)=0,0,"Digite"))</f>
        <v>0</v>
      </c>
      <c r="X14" s="456">
        <f>IF(OR('Parte Estrategica'!AC14=0,'Parte Estrategica'!AC14=""),0,IF(VLOOKUP($A14,'Matriz de Referencia'!$B$2:$CO$584,31,FALSE)=0,0,"Digite"))</f>
        <v>0</v>
      </c>
      <c r="Y14" s="456">
        <f>IF(OR('Parte Estrategica'!AC14=0,'Parte Estrategica'!AC14=""),0,IF(VLOOKUP($A14,'Matriz de Referencia'!$B$2:$CO$584,32,FALSE)=0,0,"Digite"))</f>
        <v>0</v>
      </c>
      <c r="Z14" s="457">
        <f t="shared" si="3"/>
        <v>0</v>
      </c>
      <c r="AA14" s="456">
        <f>IF(OR('Parte Estrategica'!AC14=0,'Parte Estrategica'!AC14=""),0,IF(VLOOKUP($A14,'Matriz de Referencia'!$B$2:$CO$584,34,FALSE)=0,0,"Digite"))</f>
        <v>0</v>
      </c>
      <c r="AB14" s="456">
        <f>IF(OR('Parte Estrategica'!AC14=0,'Parte Estrategica'!AC14=""),0,IF(VLOOKUP($A14,'Matriz de Referencia'!$B$2:$CO$584,35,FALSE)=0,0,"Digite"))</f>
        <v>0</v>
      </c>
      <c r="AC14" s="456">
        <f>IF(OR('Parte Estrategica'!AC14=0,'Parte Estrategica'!AC14=""),0,IF(VLOOKUP($A14,'Matriz de Referencia'!$B$2:$CO$584,36,FALSE)=0,0,"Digite"))</f>
        <v>0</v>
      </c>
      <c r="AD14" s="457">
        <f t="shared" si="4"/>
        <v>0</v>
      </c>
      <c r="AE14" s="457">
        <f t="shared" si="5"/>
        <v>0</v>
      </c>
      <c r="AF14" s="455">
        <f>IF(OR('Parte Estrategica'!AD14=0,'Parte Estrategica'!AD14=""),0,IF(VLOOKUP($A14,'Matriz de Referencia'!$B$2:$CO$584,25,FALSE)=0,0,"Digite"))</f>
        <v>0</v>
      </c>
      <c r="AG14" s="456">
        <f>IF(OR('Parte Estrategica'!AD14=0,'Parte Estrategica'!AD14=""),0,IF(VLOOKUP($A14,'Matriz de Referencia'!$B$2:$CO$584,26,FALSE)=0,0,"Digite"))</f>
        <v>0</v>
      </c>
      <c r="AH14" s="456">
        <f>IF(OR('Parte Estrategica'!AD14=0,'Parte Estrategica'!AD14=""),0,IF(VLOOKUP($A14,'Matriz de Referencia'!$B$2:$CO$584,27,FALSE)=0,0,"Digite"))</f>
        <v>0</v>
      </c>
      <c r="AI14" s="456">
        <f>IF(OR('Parte Estrategica'!AD14=0,'Parte Estrategica'!AD14=""),0,IF(VLOOKUP($A14,'Matriz de Referencia'!$B$2:$CO$584,28,FALSE)=0,0,"Digite"))</f>
        <v>0</v>
      </c>
      <c r="AJ14" s="456">
        <f>IF(OR('Parte Estrategica'!AD14=0,'Parte Estrategica'!AD14=""),0,IF(VLOOKUP($A14,'Matriz de Referencia'!$B$2:$CO$584,29,FALSE)=0,0,"Digite"))</f>
        <v>0</v>
      </c>
      <c r="AK14" s="456">
        <f>IF(OR('Parte Estrategica'!AD14=0,'Parte Estrategica'!AD14=""),0,IF(VLOOKUP($A14,'Matriz de Referencia'!$B$2:$CO$584,30,FALSE)=0,0,"Digite"))</f>
        <v>0</v>
      </c>
      <c r="AL14" s="456">
        <f>IF(OR('Parte Estrategica'!AD14=0,'Parte Estrategica'!AD14=""),0,IF(VLOOKUP($A14,'Matriz de Referencia'!$B$2:$CO$584,31,FALSE)=0,0,"Digite"))</f>
        <v>0</v>
      </c>
      <c r="AM14" s="456">
        <f>IF(OR('Parte Estrategica'!AD14=0,'Parte Estrategica'!AD14=""),0,IF(VLOOKUP($A14,'Matriz de Referencia'!$B$2:$CO$584,32,FALSE)=0,0,"Digite"))</f>
        <v>0</v>
      </c>
      <c r="AN14" s="457">
        <f t="shared" si="6"/>
        <v>0</v>
      </c>
      <c r="AO14" s="456">
        <f>IF(OR('Parte Estrategica'!AD14=0,'Parte Estrategica'!AD14=""),0,IF(VLOOKUP($A14,'Matriz de Referencia'!$B$2:$CO$584,34,FALSE)=0,0,"Digite"))</f>
        <v>0</v>
      </c>
      <c r="AP14" s="456">
        <f>IF(OR('Parte Estrategica'!AD14=0,'Parte Estrategica'!AD14=""),0,IF(VLOOKUP($A14,'Matriz de Referencia'!$B$2:$CO$584,35,FALSE)=0,0,"Digite"))</f>
        <v>0</v>
      </c>
      <c r="AQ14" s="456">
        <f>IF(OR('Parte Estrategica'!AD14=0,'Parte Estrategica'!AD14=""),0,IF(VLOOKUP($A14,'Matriz de Referencia'!$B$2:$CO$584,36,FALSE)=0,0,"Digite"))</f>
        <v>0</v>
      </c>
      <c r="AR14" s="457">
        <f t="shared" si="7"/>
        <v>0</v>
      </c>
      <c r="AS14" s="457">
        <f t="shared" si="8"/>
        <v>0</v>
      </c>
      <c r="AT14" s="455">
        <f>IF(OR('Parte Estrategica'!AE14=0,'Parte Estrategica'!AE14=""),0,IF(VLOOKUP($A14,'Matriz de Referencia'!$B$2:$CO$584,25,FALSE)=0,0,"Digite"))</f>
        <v>0</v>
      </c>
      <c r="AU14" s="456">
        <f>IF(OR('Parte Estrategica'!AE14=0,'Parte Estrategica'!AE14=""),0,IF(VLOOKUP($A14,'Matriz de Referencia'!$B$2:$CO$584,26,FALSE)=0,0,"Digite"))</f>
        <v>0</v>
      </c>
      <c r="AV14" s="456">
        <f>IF(OR('Parte Estrategica'!AE14=0,'Parte Estrategica'!AE14=""),0,IF(VLOOKUP($A14,'Matriz de Referencia'!$B$2:$CO$584,27,FALSE)=0,0,"Digite"))</f>
        <v>0</v>
      </c>
      <c r="AW14" s="456">
        <f>IF(OR('Parte Estrategica'!AE14=0,'Parte Estrategica'!AE14=""),0,IF(VLOOKUP($A14,'Matriz de Referencia'!$B$2:$CO$584,28,FALSE)=0,0,"Digite"))</f>
        <v>0</v>
      </c>
      <c r="AX14" s="456">
        <f>IF(OR('Parte Estrategica'!AE14=0,'Parte Estrategica'!AE14=""),0,IF(VLOOKUP($A14,'Matriz de Referencia'!$B$2:$CO$584,29,FALSE)=0,0,"Digite"))</f>
        <v>0</v>
      </c>
      <c r="AY14" s="456">
        <f>IF(OR('Parte Estrategica'!AE14=0,'Parte Estrategica'!AE14=""),0,IF(VLOOKUP($A14,'Matriz de Referencia'!$B$2:$CO$584,30,FALSE)=0,0,"Digite"))</f>
        <v>0</v>
      </c>
      <c r="AZ14" s="456">
        <f>IF(OR('Parte Estrategica'!AE14=0,'Parte Estrategica'!AE14=""),0,IF(VLOOKUP($A14,'Matriz de Referencia'!$B$2:$CO$584,31,FALSE)=0,0,"Digite"))</f>
        <v>0</v>
      </c>
      <c r="BA14" s="456">
        <f>IF(OR('Parte Estrategica'!AE14=0,'Parte Estrategica'!AE14=""),0,IF(VLOOKUP($A14,'Matriz de Referencia'!$B$2:$CO$584,32,FALSE)=0,0,"Digite"))</f>
        <v>0</v>
      </c>
      <c r="BB14" s="457">
        <f t="shared" si="9"/>
        <v>0</v>
      </c>
      <c r="BC14" s="456">
        <f>IF(OR('Parte Estrategica'!AE14=0,'Parte Estrategica'!AE14=""),0,IF(VLOOKUP($A14,'Matriz de Referencia'!$B$2:$CO$584,34,FALSE)=0,0,"Digite"))</f>
        <v>0</v>
      </c>
      <c r="BD14" s="456">
        <f>IF(OR('Parte Estrategica'!AE14=0,'Parte Estrategica'!AE14=""),0,IF(VLOOKUP($A14,'Matriz de Referencia'!$B$2:$CO$584,35,FALSE)=0,0,"Digite"))</f>
        <v>0</v>
      </c>
      <c r="BE14" s="456">
        <f>IF(OR('Parte Estrategica'!AE14=0,'Parte Estrategica'!AE14=""),0,IF(VLOOKUP($A14,'Matriz de Referencia'!$B$2:$CO$584,36,FALSE)=0,0,"Digite"))</f>
        <v>0</v>
      </c>
      <c r="BF14" s="457">
        <f t="shared" si="10"/>
        <v>0</v>
      </c>
      <c r="BG14" s="457">
        <f t="shared" si="11"/>
        <v>0</v>
      </c>
      <c r="BH14" s="457">
        <f t="shared" si="12"/>
        <v>0</v>
      </c>
      <c r="BI14" s="101" t="str">
        <f>IFERROR(IF(BH14=0,"",IF(VLOOKUP($A14,'Matriz de Referencia'!$B$2:$CO$584,'Matriz de Referencia'!AM$1,FALSE)=BH14,"Techos ok, cotinue","Debe revisar el valor programado")),"")</f>
        <v/>
      </c>
      <c r="BJ14" s="453">
        <f>IF(OR('Parte Estrategica'!AH14=0,'Parte Estrategica'!AH14=""),0,IF(VLOOKUP($A14,'Matriz de Referencia'!$B$2:$CO$584,39,FALSE)=0,0,"Digite"))</f>
        <v>0</v>
      </c>
      <c r="BK14" s="454">
        <f>IF(OR('Parte Estrategica'!AH14=0,'Parte Estrategica'!AH14=""),0,IF(VLOOKUP($A14,'Matriz de Referencia'!$B$2:$CO$584,40,FALSE)=0,0,"Digite"))</f>
        <v>0</v>
      </c>
      <c r="BL14" s="454">
        <f>IF(OR('Parte Estrategica'!AH14=0,'Parte Estrategica'!AH14=""),0,IF(VLOOKUP($A14,'Matriz de Referencia'!$B$2:$CO$584,41,FALSE)=0,0,"Digite"))</f>
        <v>0</v>
      </c>
      <c r="BM14" s="454">
        <f>IF(OR('Parte Estrategica'!AH14=0,'Parte Estrategica'!AH14=""),0,IF(VLOOKUP($A14,'Matriz de Referencia'!$B$2:$CO$584,42,FALSE)=0,0,"Digite"))</f>
        <v>0</v>
      </c>
      <c r="BN14" s="454">
        <f>IF(OR('Parte Estrategica'!AH14=0,'Parte Estrategica'!AH14=""),0,IF(VLOOKUP($A14,'Matriz de Referencia'!$B$2:$CO$584,43,FALSE)=0,0,"Digite"))</f>
        <v>0</v>
      </c>
      <c r="BO14" s="454">
        <f>IF(OR('Parte Estrategica'!AH14=0,'Parte Estrategica'!AH14=""),0,IF(VLOOKUP($A14,'Matriz de Referencia'!$B$2:$CO$584,44,FALSE)=0,0,"Digite"))</f>
        <v>0</v>
      </c>
      <c r="BP14" s="454">
        <f>IF(OR('Parte Estrategica'!AH14=0,'Parte Estrategica'!AH14=""),0,IF(VLOOKUP($A14,'Matriz de Referencia'!$B$2:$CO$584,45,FALSE)=0,0,"Digite"))</f>
        <v>0</v>
      </c>
      <c r="BQ14" s="454">
        <f>IF(OR('Parte Estrategica'!AH14=0,'Parte Estrategica'!AH14=""),0,IF(VLOOKUP($A14,'Matriz de Referencia'!$B$2:$CO$584,46,FALSE)=0,0,"Digite"))</f>
        <v>0</v>
      </c>
      <c r="BR14" s="382">
        <f t="shared" si="13"/>
        <v>0</v>
      </c>
      <c r="BS14" s="454">
        <f>IF(OR('Parte Estrategica'!CL14=0,'Parte Estrategica'!CL14=""),0,IF(VLOOKUP($A14,'Matriz de Referencia'!$B$2:$CO$584,48,FALSE)=0,0,"Digite"))</f>
        <v>0</v>
      </c>
      <c r="BT14" s="454">
        <f>IF(OR('Parte Estrategica'!CL14=0,'Parte Estrategica'!CL14=""),0,IF(VLOOKUP($A14,'Matriz de Referencia'!$B$2:$CO$584,49,FALSE)=0,0,"Digite"))</f>
        <v>0</v>
      </c>
      <c r="BU14" s="454">
        <f>IF(OR('Parte Estrategica'!CL14=0,'Parte Estrategica'!CL14=""),0,IF(VLOOKUP($A14,'Matriz de Referencia'!$B$2:$CO$584,50,FALSE)=0,0,"Digite"))</f>
        <v>0</v>
      </c>
      <c r="BV14" s="382">
        <f t="shared" si="14"/>
        <v>0</v>
      </c>
      <c r="BW14" s="382">
        <f t="shared" si="15"/>
        <v>0</v>
      </c>
      <c r="BX14" s="453">
        <f>IF(OR('Parte Estrategica'!AI14=0,'Parte Estrategica'!AI14=""),0,IF(VLOOKUP($A14,'Matriz de Referencia'!$B$2:$CO$584,39,FALSE)=0,0,"Digite"))</f>
        <v>0</v>
      </c>
      <c r="BY14" s="454">
        <f>IF(OR('Parte Estrategica'!AI14=0,'Parte Estrategica'!AI14=""),0,IF(VLOOKUP($A14,'Matriz de Referencia'!$B$2:$CO$584,40,FALSE)=0,0,"Digite"))</f>
        <v>0</v>
      </c>
      <c r="BZ14" s="454">
        <f>IF(OR('Parte Estrategica'!AI14=0,'Parte Estrategica'!AI14=""),0,IF(VLOOKUP($A14,'Matriz de Referencia'!$B$2:$CO$584,41,FALSE)=0,0,"Digite"))</f>
        <v>0</v>
      </c>
      <c r="CA14" s="454">
        <f>IF(OR('Parte Estrategica'!AI14=0,'Parte Estrategica'!AI14=""),0,IF(VLOOKUP($A14,'Matriz de Referencia'!$B$2:$CO$584,42,FALSE)=0,0,"Digite"))</f>
        <v>0</v>
      </c>
      <c r="CB14" s="454">
        <f>IF(OR('Parte Estrategica'!AI14=0,'Parte Estrategica'!AI14=""),0,IF(VLOOKUP($A14,'Matriz de Referencia'!$B$2:$CO$584,43,FALSE)=0,0,"Digite"))</f>
        <v>0</v>
      </c>
      <c r="CC14" s="454">
        <f>IF(OR('Parte Estrategica'!AI14=0,'Parte Estrategica'!AI14=""),0,IF(VLOOKUP($A14,'Matriz de Referencia'!$B$2:$CO$584,44,FALSE)=0,0,"Digite"))</f>
        <v>0</v>
      </c>
      <c r="CD14" s="454">
        <f>IF(OR('Parte Estrategica'!AI14=0,'Parte Estrategica'!AI14=""),0,IF(VLOOKUP($A14,'Matriz de Referencia'!$B$2:$CO$584,45,FALSE)=0,0,"Digite"))</f>
        <v>0</v>
      </c>
      <c r="CE14" s="454">
        <f>IF(OR('Parte Estrategica'!AI14=0,'Parte Estrategica'!AI14=""),0,IF(VLOOKUP($A14,'Matriz de Referencia'!$B$2:$CO$584,46,FALSE)=0,0,"Digite"))</f>
        <v>0</v>
      </c>
      <c r="CF14" s="382">
        <f t="shared" si="16"/>
        <v>0</v>
      </c>
      <c r="CG14" s="454">
        <f>IF(OR('Parte Estrategica'!AI14=0,'Parte Estrategica'!AI14=""),0,IF(VLOOKUP($A14,'Matriz de Referencia'!$B$2:$CO$584,48,FALSE)=0,0,"Digite"))</f>
        <v>0</v>
      </c>
      <c r="CH14" s="454">
        <f>IF(OR('Parte Estrategica'!AI14=0,'Parte Estrategica'!AI14=""),0,IF(VLOOKUP($A14,'Matriz de Referencia'!$B$2:$CO$584,49,FALSE)=0,0,"Digite"))</f>
        <v>0</v>
      </c>
      <c r="CI14" s="454">
        <f>IF(OR('Parte Estrategica'!AI14=0,'Parte Estrategica'!AI14=""),0,IF(VLOOKUP($A14,'Matriz de Referencia'!$B$2:$CO$584,50,FALSE)=0,0,"Digite"))</f>
        <v>0</v>
      </c>
      <c r="CJ14" s="382">
        <f t="shared" si="17"/>
        <v>0</v>
      </c>
      <c r="CK14" s="382">
        <f t="shared" si="18"/>
        <v>0</v>
      </c>
      <c r="CL14" s="453">
        <f>IF(OR('Parte Estrategica'!AJ14=0,'Parte Estrategica'!AJ14=""),0,IF(VLOOKUP($A14,'Matriz de Referencia'!$B$2:$CO$584,39,FALSE)=0,0,"Digite"))</f>
        <v>0</v>
      </c>
      <c r="CM14" s="454">
        <f>IF(OR('Parte Estrategica'!AJ14=0,'Parte Estrategica'!AJ14=""),0,IF(VLOOKUP($A14,'Matriz de Referencia'!$B$2:$CO$584,40,FALSE)=0,0,"Digite"))</f>
        <v>0</v>
      </c>
      <c r="CN14" s="454">
        <f>IF(OR('Parte Estrategica'!AJ14=0,'Parte Estrategica'!AJ14=""),0,IF(VLOOKUP($A14,'Matriz de Referencia'!$B$2:$CO$584,41,FALSE)=0,0,"Digite"))</f>
        <v>0</v>
      </c>
      <c r="CO14" s="454">
        <f>IF(OR('Parte Estrategica'!AJ14=0,'Parte Estrategica'!AJ14=""),0,IF(VLOOKUP($A14,'Matriz de Referencia'!$B$2:$CO$584,42,FALSE)=0,0,"Digite"))</f>
        <v>0</v>
      </c>
      <c r="CP14" s="454">
        <f>IF(OR('Parte Estrategica'!AJ14=0,'Parte Estrategica'!AJ14=""),0,IF(VLOOKUP($A14,'Matriz de Referencia'!$B$2:$CO$584,43,FALSE)=0,0,"Digite"))</f>
        <v>0</v>
      </c>
      <c r="CQ14" s="454">
        <f>IF(OR('Parte Estrategica'!AJ14=0,'Parte Estrategica'!AJ14=""),0,IF(VLOOKUP($A14,'Matriz de Referencia'!$B$2:$CO$584,44,FALSE)=0,0,"Digite"))</f>
        <v>0</v>
      </c>
      <c r="CR14" s="454">
        <f>IF(OR('Parte Estrategica'!AJ14=0,'Parte Estrategica'!AJ14=""),0,IF(VLOOKUP($A14,'Matriz de Referencia'!$B$2:$CO$584,45,FALSE)=0,0,"Digite"))</f>
        <v>0</v>
      </c>
      <c r="CS14" s="454">
        <f>IF(OR('Parte Estrategica'!AJ14=0,'Parte Estrategica'!AJ14=""),0,IF(VLOOKUP($A14,'Matriz de Referencia'!$B$2:$CO$584,46,FALSE)=0,0,"Digite"))</f>
        <v>0</v>
      </c>
      <c r="CT14" s="382">
        <f t="shared" si="19"/>
        <v>0</v>
      </c>
      <c r="CU14" s="454">
        <f>IF(OR('Parte Estrategica'!AJ14=0,'Parte Estrategica'!AJ14=""),0,IF(VLOOKUP($A14,'Matriz de Referencia'!$B$2:$CO$584,48,FALSE)=0,0,"Digite"))</f>
        <v>0</v>
      </c>
      <c r="CV14" s="454">
        <f>IF(OR('Parte Estrategica'!AJ14=0,'Parte Estrategica'!AJ14=""),0,IF(VLOOKUP($A14,'Matriz de Referencia'!$B$2:$CO$584,49,FALSE)=0,0,"Digite"))</f>
        <v>0</v>
      </c>
      <c r="CW14" s="454">
        <f>IF(OR('Parte Estrategica'!AJ14=0,'Parte Estrategica'!AJ14=""),0,IF(VLOOKUP($A14,'Matriz de Referencia'!$B$2:$CO$584,50,FALSE)=0,0,"Digite"))</f>
        <v>0</v>
      </c>
      <c r="CX14" s="382">
        <f t="shared" si="20"/>
        <v>0</v>
      </c>
      <c r="CY14" s="382">
        <f t="shared" si="21"/>
        <v>0</v>
      </c>
      <c r="CZ14" s="453">
        <f>IF(OR('Parte Estrategica'!AK14=0,'Parte Estrategica'!AK14=""),0,IF(VLOOKUP($A14,'Matriz de Referencia'!$B$2:$CO$584,39,FALSE)=0,0,"Digite"))</f>
        <v>0</v>
      </c>
      <c r="DA14" s="454">
        <f>IF(OR('Parte Estrategica'!AK14=0,'Parte Estrategica'!AK14=""),0,IF(VLOOKUP($A14,'Matriz de Referencia'!$B$2:$CO$584,40,FALSE)=0,0,"Digite"))</f>
        <v>0</v>
      </c>
      <c r="DB14" s="454">
        <f>IF(OR('Parte Estrategica'!AK14=0,'Parte Estrategica'!AK14=""),0,IF(VLOOKUP($A14,'Matriz de Referencia'!$B$2:$CO$584,41,FALSE)=0,0,"Digite"))</f>
        <v>0</v>
      </c>
      <c r="DC14" s="454">
        <f>IF(OR('Parte Estrategica'!AK14=0,'Parte Estrategica'!AK14=""),0,IF(VLOOKUP($A14,'Matriz de Referencia'!$B$2:$CO$584,42,FALSE)=0,0,"Digite"))</f>
        <v>0</v>
      </c>
      <c r="DD14" s="454">
        <f>IF(OR('Parte Estrategica'!AK14=0,'Parte Estrategica'!AK14=""),0,IF(VLOOKUP($A14,'Matriz de Referencia'!$B$2:$CO$584,43,FALSE)=0,0,"Digite"))</f>
        <v>0</v>
      </c>
      <c r="DE14" s="454">
        <f>IF(OR('Parte Estrategica'!AK14=0,'Parte Estrategica'!AK14=""),0,IF(VLOOKUP($A14,'Matriz de Referencia'!$B$2:$CO$584,44,FALSE)=0,0,"Digite"))</f>
        <v>0</v>
      </c>
      <c r="DF14" s="454">
        <f>IF(OR('Parte Estrategica'!AK14=0,'Parte Estrategica'!AK14=""),0,IF(VLOOKUP($A14,'Matriz de Referencia'!$B$2:$CO$584,45,FALSE)=0,0,"Digite"))</f>
        <v>0</v>
      </c>
      <c r="DG14" s="454">
        <f>IF(OR('Parte Estrategica'!AK14=0,'Parte Estrategica'!AK14=""),0,IF(VLOOKUP($A14,'Matriz de Referencia'!$B$2:$CO$584,46,FALSE)=0,0,"Digite"))</f>
        <v>0</v>
      </c>
      <c r="DH14" s="382">
        <f t="shared" si="22"/>
        <v>0</v>
      </c>
      <c r="DI14" s="454">
        <f>IF(OR('Parte Estrategica'!AK14=0,'Parte Estrategica'!AK14=""),0,IF(VLOOKUP($A14,'Matriz de Referencia'!$B$2:$CO$584,48,FALSE)=0,0,"Digite"))</f>
        <v>0</v>
      </c>
      <c r="DJ14" s="454">
        <f>IF(OR('Parte Estrategica'!AK14=0,'Parte Estrategica'!AK14=""),0,IF(VLOOKUP($A14,'Matriz de Referencia'!$B$2:$CO$584,49,FALSE)=0,0,"Digite"))</f>
        <v>0</v>
      </c>
      <c r="DK14" s="454">
        <f>IF(OR('Parte Estrategica'!AK14=0,'Parte Estrategica'!AK14=""),0,IF(VLOOKUP($A14,'Matriz de Referencia'!$B$2:$CO$584,50,FALSE)=0,0,"Digite"))</f>
        <v>0</v>
      </c>
      <c r="DL14" s="382">
        <f t="shared" si="23"/>
        <v>0</v>
      </c>
      <c r="DM14" s="382">
        <f t="shared" si="24"/>
        <v>0</v>
      </c>
      <c r="DN14" s="382">
        <f t="shared" si="25"/>
        <v>0</v>
      </c>
      <c r="DO14" s="101" t="str">
        <f>IFERROR(IF(DN14=0,"",IF(VLOOKUP($A14,'Matriz de Referencia'!$B$2:$CO$584,52,FALSE)=DN14,"Techos ok, cotinue","Debe revisar el valor programado")),"")</f>
        <v/>
      </c>
      <c r="DP14" s="453">
        <f>IF(OR('Parte Estrategica'!AN14=0,'Parte Estrategica'!AN14=""),0,IF(VLOOKUP($A14,'Matriz de Referencia'!$B$2:$CO$584,53,FALSE)=0,0,"Digite"))</f>
        <v>0</v>
      </c>
      <c r="DQ14" s="454">
        <f>IF(OR('Parte Estrategica'!AN14=0,'Parte Estrategica'!AN14=""),0,IF(VLOOKUP($A14,'Matriz de Referencia'!$B$2:$CO$584,54,FALSE)=0,0,"Digite"))</f>
        <v>0</v>
      </c>
      <c r="DR14" s="454">
        <f>IF(OR('Parte Estrategica'!AN14=0,'Parte Estrategica'!AN14=""),0,IF(VLOOKUP($A14,'Matriz de Referencia'!$B$2:$CO$584,55,FALSE)=0,0,"Digite"))</f>
        <v>0</v>
      </c>
      <c r="DS14" s="454">
        <f>IF(OR('Parte Estrategica'!AN14=0,'Parte Estrategica'!AN14=""),0,IF(VLOOKUP($A14,'Matriz de Referencia'!$B$2:$CO$584,56,FALSE)=0,0,"Digite"))</f>
        <v>0</v>
      </c>
      <c r="DT14" s="454">
        <f>IF(OR('Parte Estrategica'!AN14=0,'Parte Estrategica'!AN14=""),0,IF(VLOOKUP($A14,'Matriz de Referencia'!$B$2:$CO$584,57,FALSE)=0,0,"Digite"))</f>
        <v>0</v>
      </c>
      <c r="DU14" s="454">
        <f>IF(OR('Parte Estrategica'!AN14=0,'Parte Estrategica'!AN14=""),0,IF(VLOOKUP($A14,'Matriz de Referencia'!$B$2:$CO$584,58,FALSE)=0,0,"Digite"))</f>
        <v>0</v>
      </c>
      <c r="DV14" s="454">
        <f>IF(OR('Parte Estrategica'!AN14=0,'Parte Estrategica'!AN14=""),0,IF(VLOOKUP($A14,'Matriz de Referencia'!$B$2:$CO$584,59,FALSE)=0,0,"Digite"))</f>
        <v>0</v>
      </c>
      <c r="DW14" s="454">
        <f>IF(OR('Parte Estrategica'!AN14=0,'Parte Estrategica'!AN14=""),0,IF(VLOOKUP($A14,'Matriz de Referencia'!$B$2:$CO$584,60,FALSE)=0,0,"Digite"))</f>
        <v>0</v>
      </c>
      <c r="DX14" s="382">
        <f t="shared" si="26"/>
        <v>0</v>
      </c>
      <c r="DY14" s="454">
        <f>IF(OR('Parte Estrategica'!AN14=0,'Parte Estrategica'!AN14=""),0,IF(VLOOKUP($A14,'Matriz de Referencia'!$B$2:$CO$584,62,FALSE)=0,0,"Digite"))</f>
        <v>0</v>
      </c>
      <c r="DZ14" s="454">
        <f>IF(OR('Parte Estrategica'!AN14=0,'Parte Estrategica'!AN14=""),0,IF(VLOOKUP($A14,'Matriz de Referencia'!$B$2:$CO$584,63,FALSE)=0,0,"Digite"))</f>
        <v>0</v>
      </c>
      <c r="EA14" s="454" t="str">
        <f>IF(OR('Parte Estrategica'!AN14=0,'Parte Estrategica'!AN14=""),"",IF(VLOOKUP($A14,'Matriz de Referencia'!$B$2:$CO$584,64,FALSE)=0,"","Digite"))</f>
        <v/>
      </c>
      <c r="EB14" s="382">
        <f t="shared" si="27"/>
        <v>0</v>
      </c>
      <c r="EC14" s="382">
        <f t="shared" si="28"/>
        <v>0</v>
      </c>
      <c r="ED14" s="453">
        <f>IF(OR('Parte Estrategica'!AO14=0,'Parte Estrategica'!AO14=""),0,IF(VLOOKUP($A14,'Matriz de Referencia'!$B$2:$CO$584,53,FALSE)=0,0,"Digite"))</f>
        <v>0</v>
      </c>
      <c r="EE14" s="454">
        <f>IF(OR('Parte Estrategica'!AO14=0,'Parte Estrategica'!AO14=""),0,IF(VLOOKUP($A14,'Matriz de Referencia'!$B$2:$CO$584,54,FALSE)=0,0,"Digite"))</f>
        <v>0</v>
      </c>
      <c r="EF14" s="454">
        <f>IF(OR('Parte Estrategica'!AO14=0,'Parte Estrategica'!AO14=""),0,IF(VLOOKUP($A14,'Matriz de Referencia'!$B$2:$CO$584,55,FALSE)=0,0,"Digite"))</f>
        <v>0</v>
      </c>
      <c r="EG14" s="454">
        <f>IF(OR('Parte Estrategica'!AO14=0,'Parte Estrategica'!AO14=""),0,IF(VLOOKUP($A14,'Matriz de Referencia'!$B$2:$CO$584,56,FALSE)=0,0,"Digite"))</f>
        <v>0</v>
      </c>
      <c r="EH14" s="454">
        <f>IF(OR('Parte Estrategica'!AO14=0,'Parte Estrategica'!AO14=""),0,IF(VLOOKUP($A14,'Matriz de Referencia'!$B$2:$CO$584,57,FALSE)=0,0,"Digite"))</f>
        <v>0</v>
      </c>
      <c r="EI14" s="454">
        <f>IF(OR('Parte Estrategica'!AO14=0,'Parte Estrategica'!AO14=""),0,IF(VLOOKUP($A14,'Matriz de Referencia'!$B$2:$CO$584,58,FALSE)=0,0,"Digite"))</f>
        <v>0</v>
      </c>
      <c r="EJ14" s="454">
        <f>IF(OR('Parte Estrategica'!AO14=0,'Parte Estrategica'!AO14=""),0,IF(VLOOKUP($A14,'Matriz de Referencia'!$B$2:$CO$584,59,FALSE)=0,0,"Digite"))</f>
        <v>0</v>
      </c>
      <c r="EK14" s="454">
        <f>IF(OR('Parte Estrategica'!AO14=0,'Parte Estrategica'!AO14=""),0,IF(VLOOKUP($A14,'Matriz de Referencia'!$B$2:$CO$584,60,FALSE)=0,0,"Digite"))</f>
        <v>0</v>
      </c>
      <c r="EL14" s="382">
        <f t="shared" si="29"/>
        <v>0</v>
      </c>
      <c r="EM14" s="454">
        <f>IF(OR('Parte Estrategica'!AO14=0,'Parte Estrategica'!AO14=""),0,IF(VLOOKUP($A14,'Matriz de Referencia'!$B$2:$CO$584,62,FALSE)=0,0,"Digite"))</f>
        <v>0</v>
      </c>
      <c r="EN14" s="454">
        <f>IF(OR('Parte Estrategica'!AO14=0,'Parte Estrategica'!AO14=""),0,IF(VLOOKUP($A14,'Matriz de Referencia'!$B$2:$CO$584,63,FALSE)=0,0,"Digite"))</f>
        <v>0</v>
      </c>
      <c r="EO14" s="454">
        <f>IF(OR('Parte Estrategica'!AO14=0,'Parte Estrategica'!AO14=""),0,IF(VLOOKUP($A14,'Matriz de Referencia'!$B$2:$CO$584,64,FALSE)=0,0,"Digite"))</f>
        <v>0</v>
      </c>
      <c r="EP14" s="382">
        <f t="shared" si="30"/>
        <v>0</v>
      </c>
      <c r="EQ14" s="382">
        <f t="shared" si="31"/>
        <v>0</v>
      </c>
      <c r="ER14" s="453">
        <f>IF(OR('Parte Estrategica'!AP14=0,'Parte Estrategica'!AP14=""),0,IF(VLOOKUP($A14,'Matriz de Referencia'!$B$2:$CO$584,53,FALSE)=0,0,"Digite"))</f>
        <v>0</v>
      </c>
      <c r="ES14" s="454">
        <f>IF(OR('Parte Estrategica'!AP14=0,'Parte Estrategica'!AP14=""),0,IF(VLOOKUP($A14,'Matriz de Referencia'!$B$2:$CO$584,54,FALSE)=0,0,"Digite"))</f>
        <v>0</v>
      </c>
      <c r="ET14" s="454">
        <f>IF(OR('Parte Estrategica'!AP14=0,'Parte Estrategica'!AP14=""),0,IF(VLOOKUP($A14,'Matriz de Referencia'!$B$2:$CO$584,55,FALSE)=0,0,"Digite"))</f>
        <v>0</v>
      </c>
      <c r="EU14" s="454">
        <f>IF(OR('Parte Estrategica'!AP14=0,'Parte Estrategica'!AP14=""),0,IF(VLOOKUP($A14,'Matriz de Referencia'!$B$2:$CO$584,56,FALSE)=0,0,"Digite"))</f>
        <v>0</v>
      </c>
      <c r="EV14" s="454">
        <f>IF(OR('Parte Estrategica'!AP14=0,'Parte Estrategica'!AP14=""),0,IF(VLOOKUP($A14,'Matriz de Referencia'!$B$2:$CO$584,57,FALSE)=0,0,"Digite"))</f>
        <v>0</v>
      </c>
      <c r="EW14" s="454">
        <f>IF(OR('Parte Estrategica'!AP14=0,'Parte Estrategica'!AP14=""),0,IF(VLOOKUP($A14,'Matriz de Referencia'!$B$2:$CO$584,58,FALSE)=0,0,"Digite"))</f>
        <v>0</v>
      </c>
      <c r="EX14" s="454">
        <f>IF(OR('Parte Estrategica'!AP14=0,'Parte Estrategica'!AP14=""),0,IF(VLOOKUP($A14,'Matriz de Referencia'!$B$2:$CO$584,59,FALSE)=0,0,"Digite"))</f>
        <v>0</v>
      </c>
      <c r="EY14" s="454">
        <f>IF(OR('Parte Estrategica'!AP14=0,'Parte Estrategica'!AP14=""),0,IF(VLOOKUP($A14,'Matriz de Referencia'!$B$2:$CO$584,60,FALSE)=0,0,"Digite"))</f>
        <v>0</v>
      </c>
      <c r="EZ14" s="382">
        <f t="shared" si="32"/>
        <v>0</v>
      </c>
      <c r="FA14" s="454">
        <f>IF(OR('Parte Estrategica'!AP14=0,'Parte Estrategica'!AP14=""),0,IF(VLOOKUP($A14,'Matriz de Referencia'!$B$2:$CO$584,62,FALSE)=0,0,"Digite"))</f>
        <v>0</v>
      </c>
      <c r="FB14" s="454">
        <f>IF(OR('Parte Estrategica'!AP14=0,'Parte Estrategica'!AP14=""),0,IF(VLOOKUP($A14,'Matriz de Referencia'!$B$2:$CO$584,63,FALSE)=0,0,"Digite"))</f>
        <v>0</v>
      </c>
      <c r="FC14" s="454">
        <f>IF(OR('Parte Estrategica'!AP14=0,'Parte Estrategica'!AP14=""),0,IF(VLOOKUP($A14,'Matriz de Referencia'!$B$2:$CO$584,64,FALSE)=0,0,"Digite"))</f>
        <v>0</v>
      </c>
      <c r="FD14" s="382">
        <f t="shared" si="33"/>
        <v>0</v>
      </c>
      <c r="FE14" s="382">
        <f t="shared" si="34"/>
        <v>0</v>
      </c>
      <c r="FF14" s="453">
        <f>IF(OR('Parte Estrategica'!AQ14=0,'Parte Estrategica'!AQ14=""),0,IF(VLOOKUP($A14,'Matriz de Referencia'!$B$2:$CO$584,53,FALSE)=0,0,"Digite"))</f>
        <v>0</v>
      </c>
      <c r="FG14" s="454">
        <f>IF(OR('Parte Estrategica'!AQ14=0,'Parte Estrategica'!AQ14=""),0,IF(VLOOKUP($A14,'Matriz de Referencia'!$B$2:$CO$584,54,FALSE)=0,0,"Digite"))</f>
        <v>0</v>
      </c>
      <c r="FH14" s="454">
        <f>IF(OR('Parte Estrategica'!AQ14=0,'Parte Estrategica'!AQ14=""),0,IF(VLOOKUP($A14,'Matriz de Referencia'!$B$2:$CO$584,55,FALSE)=0,0,"Digite"))</f>
        <v>0</v>
      </c>
      <c r="FI14" s="454">
        <f>IF(OR('Parte Estrategica'!AQ14=0,'Parte Estrategica'!AQ14=""),0,IF(VLOOKUP($A14,'Matriz de Referencia'!$B$2:$CO$584,56,FALSE)=0,0,"Digite"))</f>
        <v>0</v>
      </c>
      <c r="FJ14" s="454">
        <f>IF(OR('Parte Estrategica'!AQ14=0,'Parte Estrategica'!AQ14=""),0,IF(VLOOKUP($A14,'Matriz de Referencia'!$B$2:$CO$584,57,FALSE)=0,0,"Digite"))</f>
        <v>0</v>
      </c>
      <c r="FK14" s="454">
        <f>IF(OR('Parte Estrategica'!AQ14=0,'Parte Estrategica'!AQ14=""),0,IF(VLOOKUP($A14,'Matriz de Referencia'!$B$2:$CO$584,58,FALSE)=0,0,"Digite"))</f>
        <v>0</v>
      </c>
      <c r="FL14" s="454">
        <f>IF(OR('Parte Estrategica'!AQ14=0,'Parte Estrategica'!AQ14=""),0,IF(VLOOKUP($A14,'Matriz de Referencia'!$B$2:$CO$584,59,FALSE)=0,0,"Digite"))</f>
        <v>0</v>
      </c>
      <c r="FM14" s="454">
        <f>IF(OR('Parte Estrategica'!AQ14=0,'Parte Estrategica'!AQ14=""),0,IF(VLOOKUP($A14,'Matriz de Referencia'!$B$2:$CO$584,60,FALSE)=0,0,"Digite"))</f>
        <v>0</v>
      </c>
      <c r="FN14" s="382">
        <f t="shared" si="35"/>
        <v>0</v>
      </c>
      <c r="FO14" s="454">
        <f>IF(OR('Parte Estrategica'!AQ14=0,'Parte Estrategica'!AQ14=""),0,IF(VLOOKUP($A14,'Matriz de Referencia'!$B$2:$CO$584,62,FALSE)=0,0,"Digite"))</f>
        <v>0</v>
      </c>
      <c r="FP14" s="454">
        <f>IF(OR('Parte Estrategica'!AQ14=0,'Parte Estrategica'!AQ14=""),0,IF(VLOOKUP($A14,'Matriz de Referencia'!$B$2:$CO$584,63,FALSE)=0,0,"Digite"))</f>
        <v>0</v>
      </c>
      <c r="FQ14" s="454">
        <f>IF(OR('Parte Estrategica'!AQ14=0,'Parte Estrategica'!AQ14=""),0,IF(VLOOKUP($A14,'Matriz de Referencia'!$B$2:$CO$584,64,FALSE)=0,0,"Digite"))</f>
        <v>0</v>
      </c>
      <c r="FR14" s="382">
        <f t="shared" si="36"/>
        <v>0</v>
      </c>
      <c r="FS14" s="382">
        <f t="shared" si="37"/>
        <v>0</v>
      </c>
      <c r="FT14" s="382">
        <f t="shared" si="38"/>
        <v>0</v>
      </c>
      <c r="FU14" s="101" t="str">
        <f>IFERROR(IF(FT14=0,"",IF(VLOOKUP($A14,'Matriz de Referencia'!$B$2:$CO$584,66,FALSE)=FT14,"Techos ok, cotinue","Debe revisar el valor programado")),"")</f>
        <v/>
      </c>
      <c r="FV14" s="453">
        <f>IF(OR('Parte Estrategica'!AT14=0,'Parte Estrategica'!AT14=""),0,IF(VLOOKUP($A14,'Matriz de Referencia'!$B$2:$CO$584,67,FALSE)=0,0,"Digite"))</f>
        <v>0</v>
      </c>
      <c r="FW14" s="454">
        <f>IF(OR('Parte Estrategica'!AT14=0,'Parte Estrategica'!AT14=""),0,IF(VLOOKUP($A14,'Matriz de Referencia'!$B$2:$CO$584,68,FALSE)=0,0,"Digite"))</f>
        <v>0</v>
      </c>
      <c r="FX14" s="454">
        <f>IF(OR('Parte Estrategica'!AT14=0,'Parte Estrategica'!AT14=""),0,IF(VLOOKUP($A14,'Matriz de Referencia'!$B$2:$CO$584,69,FALSE)=0,0,"Digite"))</f>
        <v>0</v>
      </c>
      <c r="FY14" s="454">
        <f>IF(OR('Parte Estrategica'!AT14=0,'Parte Estrategica'!AT14=""),0,IF(VLOOKUP($A14,'Matriz de Referencia'!$B$2:$CO$584,70,FALSE)=0,0,"Digite"))</f>
        <v>0</v>
      </c>
      <c r="FZ14" s="454">
        <f>IF(OR('Parte Estrategica'!AT14=0,'Parte Estrategica'!AT14=""),0,IF(VLOOKUP($A14,'Matriz de Referencia'!$B$2:$CO$584,71,FALSE)=0,0,"Digite"))</f>
        <v>0</v>
      </c>
      <c r="GA14" s="454">
        <f>IF(OR('Parte Estrategica'!AT14=0,'Parte Estrategica'!AT14=""),0,IF(VLOOKUP($A14,'Matriz de Referencia'!$B$2:$CO$584,72,FALSE)=0,0,"Digite"))</f>
        <v>0</v>
      </c>
      <c r="GB14" s="454">
        <f>IF(OR('Parte Estrategica'!AT14=0,'Parte Estrategica'!AT14=""),0,IF(VLOOKUP($A14,'Matriz de Referencia'!$B$2:$CO$584,73,FALSE)=0,0,"Digite"))</f>
        <v>0</v>
      </c>
      <c r="GC14" s="454">
        <f>IF(OR('Parte Estrategica'!AT14=0,'Parte Estrategica'!AT14=""),0,IF(VLOOKUP($A14,'Matriz de Referencia'!$B$2:$CO$584,74,FALSE)=0,0,"Digite"))</f>
        <v>0</v>
      </c>
      <c r="GD14" s="382">
        <f t="shared" si="39"/>
        <v>0</v>
      </c>
      <c r="GE14" s="454">
        <f>IF(OR('Parte Estrategica'!AT14=0,'Parte Estrategica'!AT14=""),0,IF(VLOOKUP($A14,'Matriz de Referencia'!$B$2:$CO$584,76,FALSE)=0,0,"Digite"))</f>
        <v>0</v>
      </c>
      <c r="GF14" s="454">
        <f>IF(OR('Parte Estrategica'!AT14=0,'Parte Estrategica'!AT14=""),0,IF(VLOOKUP($A14,'Matriz de Referencia'!$B$2:$CO$584,77,FALSE)=0,0,"Digite"))</f>
        <v>0</v>
      </c>
      <c r="GG14" s="454">
        <f>IF(OR('Parte Estrategica'!AT14=0,'Parte Estrategica'!AT14=""),0,IF(VLOOKUP($A14,'Matriz de Referencia'!$B$2:$CO$584,78,FALSE)=0,0,"Digite"))</f>
        <v>0</v>
      </c>
      <c r="GH14" s="382">
        <f t="shared" si="40"/>
        <v>0</v>
      </c>
      <c r="GI14" s="382">
        <f t="shared" si="41"/>
        <v>0</v>
      </c>
      <c r="GJ14" s="453">
        <f>IF(OR('Parte Estrategica'!AU14=0,'Parte Estrategica'!AU14=""),0,IF(VLOOKUP($A14,'Matriz de Referencia'!$B$2:$CO$584,67,FALSE)=0,0,"Digite"))</f>
        <v>0</v>
      </c>
      <c r="GK14" s="454">
        <f>IF(OR('Parte Estrategica'!AU14=0,'Parte Estrategica'!AU14=""),0,IF(VLOOKUP($A14,'Matriz de Referencia'!$B$2:$CO$584,68,FALSE)=0,0,"Digite"))</f>
        <v>0</v>
      </c>
      <c r="GL14" s="454">
        <f>IF(OR('Parte Estrategica'!AU14=0,'Parte Estrategica'!AU14=""),0,IF(VLOOKUP($A14,'Matriz de Referencia'!$B$2:$CO$584,69,FALSE)=0,0,"Digite"))</f>
        <v>0</v>
      </c>
      <c r="GM14" s="454">
        <f>IF(OR('Parte Estrategica'!AU14=0,'Parte Estrategica'!AU14=""),0,IF(VLOOKUP($A14,'Matriz de Referencia'!$B$2:$CO$584,70,FALSE)=0,0,"Digite"))</f>
        <v>0</v>
      </c>
      <c r="GN14" s="454">
        <f>IF(OR('Parte Estrategica'!AU14=0,'Parte Estrategica'!AU14=""),0,IF(VLOOKUP($A14,'Matriz de Referencia'!$B$2:$CO$584,71,FALSE)=0,0,"Digite"))</f>
        <v>0</v>
      </c>
      <c r="GO14" s="454">
        <f>IF(OR('Parte Estrategica'!AU14=0,'Parte Estrategica'!AU14=""),0,IF(VLOOKUP($A14,'Matriz de Referencia'!$B$2:$CO$584,72,FALSE)=0,0,"Digite"))</f>
        <v>0</v>
      </c>
      <c r="GP14" s="454">
        <f>IF(OR('Parte Estrategica'!AU14=0,'Parte Estrategica'!AU14=""),0,IF(VLOOKUP($A14,'Matriz de Referencia'!$B$2:$CO$584,73,FALSE)=0,0,"Digite"))</f>
        <v>0</v>
      </c>
      <c r="GQ14" s="454">
        <f>IF(OR('Parte Estrategica'!AU14=0,'Parte Estrategica'!AU14=""),0,IF(VLOOKUP($A14,'Matriz de Referencia'!$B$2:$CO$584,74,FALSE)=0,0,"Digite"))</f>
        <v>0</v>
      </c>
      <c r="GR14" s="382">
        <f t="shared" si="42"/>
        <v>0</v>
      </c>
      <c r="GS14" s="454">
        <f>IF(OR('Parte Estrategica'!AU14=0,'Parte Estrategica'!AU14=""),0,IF(VLOOKUP($A14,'Matriz de Referencia'!$B$2:$CO$584,76,FALSE)=0,0,"Digite"))</f>
        <v>0</v>
      </c>
      <c r="GT14" s="454">
        <f>IF(OR('Parte Estrategica'!AU14=0,'Parte Estrategica'!AU14=""),0,IF(VLOOKUP($A14,'Matriz de Referencia'!$B$2:$CO$584,77,FALSE)=0,0,"Digite"))</f>
        <v>0</v>
      </c>
      <c r="GU14" s="454">
        <f>IF(OR('Parte Estrategica'!AU14=0,'Parte Estrategica'!AU14=""),0,IF(VLOOKUP($A14,'Matriz de Referencia'!$B$2:$CO$584,78,FALSE)=0,0,"Digite"))</f>
        <v>0</v>
      </c>
      <c r="GV14" s="382">
        <f t="shared" si="43"/>
        <v>0</v>
      </c>
      <c r="GW14" s="382">
        <f t="shared" si="44"/>
        <v>0</v>
      </c>
      <c r="GX14" s="453">
        <f>IF(OR('Parte Estrategica'!AV14=0,'Parte Estrategica'!AV14=""),0,IF(VLOOKUP($A14,'Matriz de Referencia'!$B$2:$CO$584,67,FALSE)=0,0,"Digite"))</f>
        <v>0</v>
      </c>
      <c r="GY14" s="454">
        <f>IF(OR('Parte Estrategica'!AV14=0,'Parte Estrategica'!AV14=""),0,IF(VLOOKUP($A14,'Matriz de Referencia'!$B$2:$CO$584,68,FALSE)=0,0,"Digite"))</f>
        <v>0</v>
      </c>
      <c r="GZ14" s="454">
        <f>IF(OR('Parte Estrategica'!AV14=0,'Parte Estrategica'!AV14=""),0,IF(VLOOKUP($A14,'Matriz de Referencia'!$B$2:$CO$584,69,FALSE)=0,0,"Digite"))</f>
        <v>0</v>
      </c>
      <c r="HA14" s="454">
        <f>IF(OR('Parte Estrategica'!AV14=0,'Parte Estrategica'!AV14=""),0,IF(VLOOKUP($A14,'Matriz de Referencia'!$B$2:$CO$584,70,FALSE)=0,0,"Digite"))</f>
        <v>0</v>
      </c>
      <c r="HB14" s="454">
        <f>IF(OR('Parte Estrategica'!AV14=0,'Parte Estrategica'!AV14=""),0,IF(VLOOKUP($A14,'Matriz de Referencia'!$B$2:$CO$584,71,FALSE)=0,0,"Digite"))</f>
        <v>0</v>
      </c>
      <c r="HC14" s="454">
        <f>IF(OR('Parte Estrategica'!AV14=0,'Parte Estrategica'!AV14=""),0,IF(VLOOKUP($A14,'Matriz de Referencia'!$B$2:$CO$584,72,FALSE)=0,0,"Digite"))</f>
        <v>0</v>
      </c>
      <c r="HD14" s="454">
        <f>IF(OR('Parte Estrategica'!AV14=0,'Parte Estrategica'!AV14=""),0,IF(VLOOKUP($A14,'Matriz de Referencia'!$B$2:$CO$584,73,FALSE)=0,0,"Digite"))</f>
        <v>0</v>
      </c>
      <c r="HE14" s="454">
        <f>IF(OR('Parte Estrategica'!AV14=0,'Parte Estrategica'!AV14=""),0,IF(VLOOKUP($A14,'Matriz de Referencia'!$B$2:$CO$584,74,FALSE)=0,0,"Digite"))</f>
        <v>0</v>
      </c>
      <c r="HF14" s="382">
        <f t="shared" si="45"/>
        <v>0</v>
      </c>
      <c r="HG14" s="454">
        <f>IF(OR('Parte Estrategica'!AV14=0,'Parte Estrategica'!AV14=""),0,IF(VLOOKUP($A14,'Matriz de Referencia'!$B$2:$CO$584,76,FALSE)=0,0,"Digite"))</f>
        <v>0</v>
      </c>
      <c r="HH14" s="454">
        <f>IF(OR('Parte Estrategica'!AV14=0,'Parte Estrategica'!AV14=""),0,IF(VLOOKUP($A14,'Matriz de Referencia'!$B$2:$CO$584,77,FALSE)=0,0,"Digite"))</f>
        <v>0</v>
      </c>
      <c r="HI14" s="454">
        <f>IF(OR('Parte Estrategica'!AV14=0,'Parte Estrategica'!AV14=""),0,IF(VLOOKUP($A14,'Matriz de Referencia'!$B$2:$CO$584,78,FALSE)=0,0,"Digite"))</f>
        <v>0</v>
      </c>
      <c r="HJ14" s="382">
        <f t="shared" si="46"/>
        <v>0</v>
      </c>
      <c r="HK14" s="382">
        <f t="shared" si="47"/>
        <v>0</v>
      </c>
      <c r="HL14" s="453">
        <f>IF(OR('Parte Estrategica'!AW14=0,'Parte Estrategica'!AW14=""),0,IF(VLOOKUP($A14,'Matriz de Referencia'!$B$2:$CO$584,67,FALSE)=0,0,"Digite"))</f>
        <v>0</v>
      </c>
      <c r="HM14" s="454">
        <f>IF(OR('Parte Estrategica'!AW14=0,'Parte Estrategica'!AW14=""),0,IF(VLOOKUP($A14,'Matriz de Referencia'!$B$2:$CO$584,68,FALSE)=0,0,"Digite"))</f>
        <v>0</v>
      </c>
      <c r="HN14" s="454">
        <f>IF(OR('Parte Estrategica'!AW14=0,'Parte Estrategica'!AW14=""),0,IF(VLOOKUP($A14,'Matriz de Referencia'!$B$2:$CO$584,69,FALSE)=0,0,"Digite"))</f>
        <v>0</v>
      </c>
      <c r="HO14" s="454">
        <f>IF(OR('Parte Estrategica'!AW14=0,'Parte Estrategica'!AW14=""),0,IF(VLOOKUP($A14,'Matriz de Referencia'!$B$2:$CO$584,70,FALSE)=0,0,"Digite"))</f>
        <v>0</v>
      </c>
      <c r="HP14" s="454">
        <f>IF(OR('Parte Estrategica'!AW14=0,'Parte Estrategica'!AW14=""),0,IF(VLOOKUP($A14,'Matriz de Referencia'!$B$2:$CO$584,71,FALSE)=0,0,"Digite"))</f>
        <v>0</v>
      </c>
      <c r="HQ14" s="454">
        <f>IF(OR('Parte Estrategica'!AW14=0,'Parte Estrategica'!AW14=""),0,IF(VLOOKUP($A14,'Matriz de Referencia'!$B$2:$CO$584,72,FALSE)=0,0,"Digite"))</f>
        <v>0</v>
      </c>
      <c r="HR14" s="454">
        <f>IF(OR('Parte Estrategica'!AW14=0,'Parte Estrategica'!AW14=""),0,IF(VLOOKUP($A14,'Matriz de Referencia'!$B$2:$CO$584,73,FALSE)=0,0,"Digite"))</f>
        <v>0</v>
      </c>
      <c r="HS14" s="454">
        <f>IF(OR('Parte Estrategica'!AW14=0,'Parte Estrategica'!AW14=""),0,IF(VLOOKUP($A14,'Matriz de Referencia'!$B$2:$CO$584,74,FALSE)=0,0,"Digite"))</f>
        <v>0</v>
      </c>
      <c r="HT14" s="382">
        <f t="shared" si="48"/>
        <v>0</v>
      </c>
      <c r="HU14" s="454">
        <f>IF(OR('Parte Estrategica'!AW14=0,'Parte Estrategica'!AW14=""),0,IF(VLOOKUP($A14,'Matriz de Referencia'!$B$2:$CO$584,76,FALSE)=0,0,"Digite"))</f>
        <v>0</v>
      </c>
      <c r="HV14" s="454">
        <f>IF(OR('Parte Estrategica'!AW14=0,'Parte Estrategica'!AW14=""),0,IF(VLOOKUP($A14,'Matriz de Referencia'!$B$2:$CO$584,77,FALSE)=0,0,"Digite"))</f>
        <v>0</v>
      </c>
      <c r="HW14" s="454">
        <f>IF(OR('Parte Estrategica'!AW14=0,'Parte Estrategica'!AW14=""),0,IF(VLOOKUP($A14,'Matriz de Referencia'!$B$2:$CO$584,78,FALSE)=0,0,"Digite"))</f>
        <v>0</v>
      </c>
      <c r="HX14" s="382">
        <f t="shared" si="49"/>
        <v>0</v>
      </c>
      <c r="HY14" s="382">
        <f t="shared" si="50"/>
        <v>0</v>
      </c>
      <c r="HZ14" s="382">
        <f t="shared" si="51"/>
        <v>0</v>
      </c>
      <c r="IA14" s="101" t="str">
        <f>IFERROR(IF(HZ14=0,"",IF(VLOOKUP($A14,'Matriz de Referencia'!$B$2:$CO$584,80,FALSE)=HZ14,"Techos ok, cotinue","Debe revisar el valor programado")),"")</f>
        <v/>
      </c>
      <c r="IB14" s="383">
        <f t="shared" si="52"/>
        <v>0</v>
      </c>
    </row>
    <row r="15" spans="1:236">
      <c r="A15" s="550" t="str">
        <f>IF('Parte Estrategica'!B15=0,"",'Parte Estrategica'!B15)</f>
        <v/>
      </c>
      <c r="B15" s="551" t="str">
        <f>IFERROR(VLOOKUP(A15,'Matriz de Referencia'!$B$2:$P$578,'Matriz de Referencia'!L$1,FALSE),"")</f>
        <v/>
      </c>
      <c r="C15" s="551" t="str">
        <f>IFERROR(VLOOKUP(A15,'Matriz de Referencia'!$B$2:$P$584,'Matriz de Referencia'!M$1,FALSE),"")</f>
        <v/>
      </c>
      <c r="D15" s="455" t="str">
        <f>IF(OR('Parte Estrategica'!AB15=0,'Parte Estrategica'!AB15=""),"",IF(VLOOKUP($A15,'Matriz de Referencia'!$B$2:$CO$584,'Matriz de Referencia'!Z$1,FALSE)=0,"","Digite"))</f>
        <v/>
      </c>
      <c r="E15" s="456">
        <f>IF(OR('Parte Estrategica'!AB15=0,'Parte Estrategica'!AB15=""),0,IF(VLOOKUP($A15,'Matriz de Referencia'!$B$2:$CO$584,26,FALSE)=0,0,"Digite"))</f>
        <v>0</v>
      </c>
      <c r="F15" s="456">
        <f>IF(OR('Parte Estrategica'!AB15=0,'Parte Estrategica'!AB15=""),0,IF(VLOOKUP($A15,'Matriz de Referencia'!$B$2:$CO$584,27,FALSE)=0,0,"Digite"))</f>
        <v>0</v>
      </c>
      <c r="G15" s="456">
        <f>IF(OR('Parte Estrategica'!AB15=0,'Parte Estrategica'!AB15=""),0,IF(VLOOKUP($A15,'Matriz de Referencia'!$B$2:$CO$584,28,FALSE)=0,0,"Digite"))</f>
        <v>0</v>
      </c>
      <c r="H15" s="456">
        <f>IF(OR('Parte Estrategica'!AB15=0,'Parte Estrategica'!AB15=""),0,IF(VLOOKUP($A15,'Matriz de Referencia'!$B$2:$CO$584,29,FALSE)=0,0,"Digite"))</f>
        <v>0</v>
      </c>
      <c r="I15" s="456">
        <f>IF(OR('Parte Estrategica'!AB15=0,'Parte Estrategica'!AB15=""),0,IF(VLOOKUP($A15,'Matriz de Referencia'!$B$2:$CO$584,30,FALSE)=0,0,"Digite"))</f>
        <v>0</v>
      </c>
      <c r="J15" s="456">
        <f>IF(OR('Parte Estrategica'!AB15=0,'Parte Estrategica'!AB15=""),0,IF(VLOOKUP($A15,'Matriz de Referencia'!$B$2:$CO$584,31,FALSE)=0,0,"Digite"))</f>
        <v>0</v>
      </c>
      <c r="K15" s="456">
        <f>IF(OR('Parte Estrategica'!AB15=0,'Parte Estrategica'!AB15=""),0,IF(VLOOKUP($A15,'Matriz de Referencia'!$B$2:$CO$584,32,FALSE)=0,0,"Digite"))</f>
        <v>0</v>
      </c>
      <c r="L15" s="460">
        <f t="shared" si="0"/>
        <v>0</v>
      </c>
      <c r="M15" s="456">
        <f>IF(OR('Parte Estrategica'!AB15=0,'Parte Estrategica'!AB15=""),0,IF(VLOOKUP($A15,'Matriz de Referencia'!$B$2:$CO$584,34,FALSE)=0,0,"Digite"))</f>
        <v>0</v>
      </c>
      <c r="N15" s="456">
        <f>IF(OR('Parte Estrategica'!AB15=0,'Parte Estrategica'!AB15=""),0,IF(VLOOKUP($A15,'Matriz de Referencia'!$B$2:$CO$584,35,FALSE)=0,0,"Digite"))</f>
        <v>0</v>
      </c>
      <c r="O15" s="456">
        <f>IF(OR('Parte Estrategica'!AB15=0,'Parte Estrategica'!AB15=""),0,IF(VLOOKUP($A15,'Matriz de Referencia'!$B$2:$CO$584,36,FALSE)=0,0,"Digite"))</f>
        <v>0</v>
      </c>
      <c r="P15" s="457">
        <f t="shared" si="1"/>
        <v>0</v>
      </c>
      <c r="Q15" s="457">
        <f t="shared" si="2"/>
        <v>0</v>
      </c>
      <c r="R15" s="455">
        <f>IF(OR('Parte Estrategica'!AC15=0,'Parte Estrategica'!AC15=""),0,IF(VLOOKUP($A15,'Matriz de Referencia'!$B$2:$CO$584,25,FALSE)=0,0,"Digite"))</f>
        <v>0</v>
      </c>
      <c r="S15" s="456">
        <f>IF(OR('Parte Estrategica'!AC15=0,'Parte Estrategica'!AC15=""),0,IF(VLOOKUP($A15,'Matriz de Referencia'!$B$2:$CO$584,26,FALSE)=0,0,"Digite"))</f>
        <v>0</v>
      </c>
      <c r="T15" s="456">
        <f>IF(OR('Parte Estrategica'!AC15=0,'Parte Estrategica'!AC15=""),0,IF(VLOOKUP($A15,'Matriz de Referencia'!$B$2:$CO$584,27,FALSE)=0,0,"Digite"))</f>
        <v>0</v>
      </c>
      <c r="U15" s="456">
        <f>IF(OR('Parte Estrategica'!AC15=0,'Parte Estrategica'!AC15=""),0,IF(VLOOKUP($A15,'Matriz de Referencia'!$B$2:$CO$584,28,FALSE)=0,0,"Digite"))</f>
        <v>0</v>
      </c>
      <c r="V15" s="456">
        <f>IF(OR('Parte Estrategica'!AC15=0,'Parte Estrategica'!AC15=""),0,IF(VLOOKUP($A15,'Matriz de Referencia'!$B$2:$CO$584,29,FALSE)=0,0,"Digite"))</f>
        <v>0</v>
      </c>
      <c r="W15" s="456">
        <f>IF(OR('Parte Estrategica'!AC15=0,'Parte Estrategica'!AC15=""),0,IF(VLOOKUP($A15,'Matriz de Referencia'!$B$2:$CO$584,30,FALSE)=0,0,"Digite"))</f>
        <v>0</v>
      </c>
      <c r="X15" s="456">
        <f>IF(OR('Parte Estrategica'!AC15=0,'Parte Estrategica'!AC15=""),0,IF(VLOOKUP($A15,'Matriz de Referencia'!$B$2:$CO$584,31,FALSE)=0,0,"Digite"))</f>
        <v>0</v>
      </c>
      <c r="Y15" s="456">
        <f>IF(OR('Parte Estrategica'!AC15=0,'Parte Estrategica'!AC15=""),0,IF(VLOOKUP($A15,'Matriz de Referencia'!$B$2:$CO$584,32,FALSE)=0,0,"Digite"))</f>
        <v>0</v>
      </c>
      <c r="Z15" s="457">
        <f t="shared" si="3"/>
        <v>0</v>
      </c>
      <c r="AA15" s="456">
        <f>IF(OR('Parte Estrategica'!AC15=0,'Parte Estrategica'!AC15=""),0,IF(VLOOKUP($A15,'Matriz de Referencia'!$B$2:$CO$584,34,FALSE)=0,0,"Digite"))</f>
        <v>0</v>
      </c>
      <c r="AB15" s="456">
        <f>IF(OR('Parte Estrategica'!AC15=0,'Parte Estrategica'!AC15=""),0,IF(VLOOKUP($A15,'Matriz de Referencia'!$B$2:$CO$584,35,FALSE)=0,0,"Digite"))</f>
        <v>0</v>
      </c>
      <c r="AC15" s="456">
        <f>IF(OR('Parte Estrategica'!AC15=0,'Parte Estrategica'!AC15=""),0,IF(VLOOKUP($A15,'Matriz de Referencia'!$B$2:$CO$584,36,FALSE)=0,0,"Digite"))</f>
        <v>0</v>
      </c>
      <c r="AD15" s="457">
        <f t="shared" si="4"/>
        <v>0</v>
      </c>
      <c r="AE15" s="457">
        <f t="shared" si="5"/>
        <v>0</v>
      </c>
      <c r="AF15" s="455">
        <f>IF(OR('Parte Estrategica'!AD15=0,'Parte Estrategica'!AD15=""),0,IF(VLOOKUP($A15,'Matriz de Referencia'!$B$2:$CO$584,25,FALSE)=0,0,"Digite"))</f>
        <v>0</v>
      </c>
      <c r="AG15" s="456">
        <f>IF(OR('Parte Estrategica'!AD15=0,'Parte Estrategica'!AD15=""),0,IF(VLOOKUP($A15,'Matriz de Referencia'!$B$2:$CO$584,26,FALSE)=0,0,"Digite"))</f>
        <v>0</v>
      </c>
      <c r="AH15" s="456">
        <f>IF(OR('Parte Estrategica'!AD15=0,'Parte Estrategica'!AD15=""),0,IF(VLOOKUP($A15,'Matriz de Referencia'!$B$2:$CO$584,27,FALSE)=0,0,"Digite"))</f>
        <v>0</v>
      </c>
      <c r="AI15" s="456">
        <f>IF(OR('Parte Estrategica'!AD15=0,'Parte Estrategica'!AD15=""),0,IF(VLOOKUP($A15,'Matriz de Referencia'!$B$2:$CO$584,28,FALSE)=0,0,"Digite"))</f>
        <v>0</v>
      </c>
      <c r="AJ15" s="456">
        <f>IF(OR('Parte Estrategica'!AD15=0,'Parte Estrategica'!AD15=""),0,IF(VLOOKUP($A15,'Matriz de Referencia'!$B$2:$CO$584,29,FALSE)=0,0,"Digite"))</f>
        <v>0</v>
      </c>
      <c r="AK15" s="456">
        <f>IF(OR('Parte Estrategica'!AD15=0,'Parte Estrategica'!AD15=""),0,IF(VLOOKUP($A15,'Matriz de Referencia'!$B$2:$CO$584,30,FALSE)=0,0,"Digite"))</f>
        <v>0</v>
      </c>
      <c r="AL15" s="456">
        <f>IF(OR('Parte Estrategica'!AD15=0,'Parte Estrategica'!AD15=""),0,IF(VLOOKUP($A15,'Matriz de Referencia'!$B$2:$CO$584,31,FALSE)=0,0,"Digite"))</f>
        <v>0</v>
      </c>
      <c r="AM15" s="456">
        <f>IF(OR('Parte Estrategica'!AD15=0,'Parte Estrategica'!AD15=""),0,IF(VLOOKUP($A15,'Matriz de Referencia'!$B$2:$CO$584,32,FALSE)=0,0,"Digite"))</f>
        <v>0</v>
      </c>
      <c r="AN15" s="457">
        <f t="shared" si="6"/>
        <v>0</v>
      </c>
      <c r="AO15" s="456">
        <f>IF(OR('Parte Estrategica'!AD15=0,'Parte Estrategica'!AD15=""),0,IF(VLOOKUP($A15,'Matriz de Referencia'!$B$2:$CO$584,34,FALSE)=0,0,"Digite"))</f>
        <v>0</v>
      </c>
      <c r="AP15" s="456">
        <f>IF(OR('Parte Estrategica'!AD15=0,'Parte Estrategica'!AD15=""),0,IF(VLOOKUP($A15,'Matriz de Referencia'!$B$2:$CO$584,35,FALSE)=0,0,"Digite"))</f>
        <v>0</v>
      </c>
      <c r="AQ15" s="456">
        <f>IF(OR('Parte Estrategica'!AD15=0,'Parte Estrategica'!AD15=""),0,IF(VLOOKUP($A15,'Matriz de Referencia'!$B$2:$CO$584,36,FALSE)=0,0,"Digite"))</f>
        <v>0</v>
      </c>
      <c r="AR15" s="457">
        <f t="shared" si="7"/>
        <v>0</v>
      </c>
      <c r="AS15" s="457">
        <f t="shared" si="8"/>
        <v>0</v>
      </c>
      <c r="AT15" s="455">
        <f>IF(OR('Parte Estrategica'!AE15=0,'Parte Estrategica'!AE15=""),0,IF(VLOOKUP($A15,'Matriz de Referencia'!$B$2:$CO$584,25,FALSE)=0,0,"Digite"))</f>
        <v>0</v>
      </c>
      <c r="AU15" s="456">
        <f>IF(OR('Parte Estrategica'!AE15=0,'Parte Estrategica'!AE15=""),0,IF(VLOOKUP($A15,'Matriz de Referencia'!$B$2:$CO$584,26,FALSE)=0,0,"Digite"))</f>
        <v>0</v>
      </c>
      <c r="AV15" s="456">
        <f>IF(OR('Parte Estrategica'!AE15=0,'Parte Estrategica'!AE15=""),0,IF(VLOOKUP($A15,'Matriz de Referencia'!$B$2:$CO$584,27,FALSE)=0,0,"Digite"))</f>
        <v>0</v>
      </c>
      <c r="AW15" s="456">
        <f>IF(OR('Parte Estrategica'!AE15=0,'Parte Estrategica'!AE15=""),0,IF(VLOOKUP($A15,'Matriz de Referencia'!$B$2:$CO$584,28,FALSE)=0,0,"Digite"))</f>
        <v>0</v>
      </c>
      <c r="AX15" s="456">
        <f>IF(OR('Parte Estrategica'!AE15=0,'Parte Estrategica'!AE15=""),0,IF(VLOOKUP($A15,'Matriz de Referencia'!$B$2:$CO$584,29,FALSE)=0,0,"Digite"))</f>
        <v>0</v>
      </c>
      <c r="AY15" s="456">
        <f>IF(OR('Parte Estrategica'!AE15=0,'Parte Estrategica'!AE15=""),0,IF(VLOOKUP($A15,'Matriz de Referencia'!$B$2:$CO$584,30,FALSE)=0,0,"Digite"))</f>
        <v>0</v>
      </c>
      <c r="AZ15" s="456">
        <f>IF(OR('Parte Estrategica'!AE15=0,'Parte Estrategica'!AE15=""),0,IF(VLOOKUP($A15,'Matriz de Referencia'!$B$2:$CO$584,31,FALSE)=0,0,"Digite"))</f>
        <v>0</v>
      </c>
      <c r="BA15" s="456">
        <f>IF(OR('Parte Estrategica'!AE15=0,'Parte Estrategica'!AE15=""),0,IF(VLOOKUP($A15,'Matriz de Referencia'!$B$2:$CO$584,32,FALSE)=0,0,"Digite"))</f>
        <v>0</v>
      </c>
      <c r="BB15" s="457">
        <f t="shared" si="9"/>
        <v>0</v>
      </c>
      <c r="BC15" s="456">
        <f>IF(OR('Parte Estrategica'!AE15=0,'Parte Estrategica'!AE15=""),0,IF(VLOOKUP($A15,'Matriz de Referencia'!$B$2:$CO$584,34,FALSE)=0,0,"Digite"))</f>
        <v>0</v>
      </c>
      <c r="BD15" s="456">
        <f>IF(OR('Parte Estrategica'!AE15=0,'Parte Estrategica'!AE15=""),0,IF(VLOOKUP($A15,'Matriz de Referencia'!$B$2:$CO$584,35,FALSE)=0,0,"Digite"))</f>
        <v>0</v>
      </c>
      <c r="BE15" s="456">
        <f>IF(OR('Parte Estrategica'!AE15=0,'Parte Estrategica'!AE15=""),0,IF(VLOOKUP($A15,'Matriz de Referencia'!$B$2:$CO$584,36,FALSE)=0,0,"Digite"))</f>
        <v>0</v>
      </c>
      <c r="BF15" s="457">
        <f t="shared" si="10"/>
        <v>0</v>
      </c>
      <c r="BG15" s="457">
        <f t="shared" si="11"/>
        <v>0</v>
      </c>
      <c r="BH15" s="457">
        <f t="shared" si="12"/>
        <v>0</v>
      </c>
      <c r="BI15" s="101" t="str">
        <f>IFERROR(IF(BH15=0,"",IF(VLOOKUP($A15,'Matriz de Referencia'!$B$2:$CO$584,'Matriz de Referencia'!AM$1,FALSE)=BH15,"Techos ok, cotinue","Debe revisar el valor programado")),"")</f>
        <v/>
      </c>
      <c r="BJ15" s="453">
        <f>IF(OR('Parte Estrategica'!AH15=0,'Parte Estrategica'!AH15=""),0,IF(VLOOKUP($A15,'Matriz de Referencia'!$B$2:$CO$584,39,FALSE)=0,0,"Digite"))</f>
        <v>0</v>
      </c>
      <c r="BK15" s="454">
        <f>IF(OR('Parte Estrategica'!AH15=0,'Parte Estrategica'!AH15=""),0,IF(VLOOKUP($A15,'Matriz de Referencia'!$B$2:$CO$584,40,FALSE)=0,0,"Digite"))</f>
        <v>0</v>
      </c>
      <c r="BL15" s="454">
        <f>IF(OR('Parte Estrategica'!AH15=0,'Parte Estrategica'!AH15=""),0,IF(VLOOKUP($A15,'Matriz de Referencia'!$B$2:$CO$584,41,FALSE)=0,0,"Digite"))</f>
        <v>0</v>
      </c>
      <c r="BM15" s="454">
        <f>IF(OR('Parte Estrategica'!AH15=0,'Parte Estrategica'!AH15=""),0,IF(VLOOKUP($A15,'Matriz de Referencia'!$B$2:$CO$584,42,FALSE)=0,0,"Digite"))</f>
        <v>0</v>
      </c>
      <c r="BN15" s="454">
        <f>IF(OR('Parte Estrategica'!AH15=0,'Parte Estrategica'!AH15=""),0,IF(VLOOKUP($A15,'Matriz de Referencia'!$B$2:$CO$584,43,FALSE)=0,0,"Digite"))</f>
        <v>0</v>
      </c>
      <c r="BO15" s="454">
        <f>IF(OR('Parte Estrategica'!AH15=0,'Parte Estrategica'!AH15=""),0,IF(VLOOKUP($A15,'Matriz de Referencia'!$B$2:$CO$584,44,FALSE)=0,0,"Digite"))</f>
        <v>0</v>
      </c>
      <c r="BP15" s="454">
        <f>IF(OR('Parte Estrategica'!AH15=0,'Parte Estrategica'!AH15=""),0,IF(VLOOKUP($A15,'Matriz de Referencia'!$B$2:$CO$584,45,FALSE)=0,0,"Digite"))</f>
        <v>0</v>
      </c>
      <c r="BQ15" s="454">
        <f>IF(OR('Parte Estrategica'!AH15=0,'Parte Estrategica'!AH15=""),0,IF(VLOOKUP($A15,'Matriz de Referencia'!$B$2:$CO$584,46,FALSE)=0,0,"Digite"))</f>
        <v>0</v>
      </c>
      <c r="BR15" s="382">
        <f t="shared" si="13"/>
        <v>0</v>
      </c>
      <c r="BS15" s="454">
        <f>IF(OR('Parte Estrategica'!CL15=0,'Parte Estrategica'!CL15=""),0,IF(VLOOKUP($A15,'Matriz de Referencia'!$B$2:$CO$584,48,FALSE)=0,0,"Digite"))</f>
        <v>0</v>
      </c>
      <c r="BT15" s="454">
        <f>IF(OR('Parte Estrategica'!CL15=0,'Parte Estrategica'!CL15=""),0,IF(VLOOKUP($A15,'Matriz de Referencia'!$B$2:$CO$584,49,FALSE)=0,0,"Digite"))</f>
        <v>0</v>
      </c>
      <c r="BU15" s="454">
        <f>IF(OR('Parte Estrategica'!CL15=0,'Parte Estrategica'!CL15=""),0,IF(VLOOKUP($A15,'Matriz de Referencia'!$B$2:$CO$584,50,FALSE)=0,0,"Digite"))</f>
        <v>0</v>
      </c>
      <c r="BV15" s="382">
        <f t="shared" si="14"/>
        <v>0</v>
      </c>
      <c r="BW15" s="382">
        <f t="shared" si="15"/>
        <v>0</v>
      </c>
      <c r="BX15" s="453">
        <f>IF(OR('Parte Estrategica'!AI15=0,'Parte Estrategica'!AI15=""),0,IF(VLOOKUP($A15,'Matriz de Referencia'!$B$2:$CO$584,39,FALSE)=0,0,"Digite"))</f>
        <v>0</v>
      </c>
      <c r="BY15" s="454">
        <f>IF(OR('Parte Estrategica'!AI15=0,'Parte Estrategica'!AI15=""),0,IF(VLOOKUP($A15,'Matriz de Referencia'!$B$2:$CO$584,40,FALSE)=0,0,"Digite"))</f>
        <v>0</v>
      </c>
      <c r="BZ15" s="454">
        <f>IF(OR('Parte Estrategica'!AI15=0,'Parte Estrategica'!AI15=""),0,IF(VLOOKUP($A15,'Matriz de Referencia'!$B$2:$CO$584,41,FALSE)=0,0,"Digite"))</f>
        <v>0</v>
      </c>
      <c r="CA15" s="454">
        <f>IF(OR('Parte Estrategica'!AI15=0,'Parte Estrategica'!AI15=""),0,IF(VLOOKUP($A15,'Matriz de Referencia'!$B$2:$CO$584,42,FALSE)=0,0,"Digite"))</f>
        <v>0</v>
      </c>
      <c r="CB15" s="454">
        <f>IF(OR('Parte Estrategica'!AI15=0,'Parte Estrategica'!AI15=""),0,IF(VLOOKUP($A15,'Matriz de Referencia'!$B$2:$CO$584,43,FALSE)=0,0,"Digite"))</f>
        <v>0</v>
      </c>
      <c r="CC15" s="454">
        <f>IF(OR('Parte Estrategica'!AI15=0,'Parte Estrategica'!AI15=""),0,IF(VLOOKUP($A15,'Matriz de Referencia'!$B$2:$CO$584,44,FALSE)=0,0,"Digite"))</f>
        <v>0</v>
      </c>
      <c r="CD15" s="454">
        <f>IF(OR('Parte Estrategica'!AI15=0,'Parte Estrategica'!AI15=""),0,IF(VLOOKUP($A15,'Matriz de Referencia'!$B$2:$CO$584,45,FALSE)=0,0,"Digite"))</f>
        <v>0</v>
      </c>
      <c r="CE15" s="454">
        <f>IF(OR('Parte Estrategica'!AI15=0,'Parte Estrategica'!AI15=""),0,IF(VLOOKUP($A15,'Matriz de Referencia'!$B$2:$CO$584,46,FALSE)=0,0,"Digite"))</f>
        <v>0</v>
      </c>
      <c r="CF15" s="382">
        <f t="shared" si="16"/>
        <v>0</v>
      </c>
      <c r="CG15" s="454">
        <f>IF(OR('Parte Estrategica'!AI15=0,'Parte Estrategica'!AI15=""),0,IF(VLOOKUP($A15,'Matriz de Referencia'!$B$2:$CO$584,48,FALSE)=0,0,"Digite"))</f>
        <v>0</v>
      </c>
      <c r="CH15" s="454">
        <f>IF(OR('Parte Estrategica'!AI15=0,'Parte Estrategica'!AI15=""),0,IF(VLOOKUP($A15,'Matriz de Referencia'!$B$2:$CO$584,49,FALSE)=0,0,"Digite"))</f>
        <v>0</v>
      </c>
      <c r="CI15" s="454">
        <f>IF(OR('Parte Estrategica'!AI15=0,'Parte Estrategica'!AI15=""),0,IF(VLOOKUP($A15,'Matriz de Referencia'!$B$2:$CO$584,50,FALSE)=0,0,"Digite"))</f>
        <v>0</v>
      </c>
      <c r="CJ15" s="382">
        <f t="shared" si="17"/>
        <v>0</v>
      </c>
      <c r="CK15" s="382">
        <f t="shared" si="18"/>
        <v>0</v>
      </c>
      <c r="CL15" s="453">
        <f>IF(OR('Parte Estrategica'!AJ15=0,'Parte Estrategica'!AJ15=""),0,IF(VLOOKUP($A15,'Matriz de Referencia'!$B$2:$CO$584,39,FALSE)=0,0,"Digite"))</f>
        <v>0</v>
      </c>
      <c r="CM15" s="454">
        <f>IF(OR('Parte Estrategica'!AJ15=0,'Parte Estrategica'!AJ15=""),0,IF(VLOOKUP($A15,'Matriz de Referencia'!$B$2:$CO$584,40,FALSE)=0,0,"Digite"))</f>
        <v>0</v>
      </c>
      <c r="CN15" s="454">
        <f>IF(OR('Parte Estrategica'!AJ15=0,'Parte Estrategica'!AJ15=""),0,IF(VLOOKUP($A15,'Matriz de Referencia'!$B$2:$CO$584,41,FALSE)=0,0,"Digite"))</f>
        <v>0</v>
      </c>
      <c r="CO15" s="454">
        <f>IF(OR('Parte Estrategica'!AJ15=0,'Parte Estrategica'!AJ15=""),0,IF(VLOOKUP($A15,'Matriz de Referencia'!$B$2:$CO$584,42,FALSE)=0,0,"Digite"))</f>
        <v>0</v>
      </c>
      <c r="CP15" s="454">
        <f>IF(OR('Parte Estrategica'!AJ15=0,'Parte Estrategica'!AJ15=""),0,IF(VLOOKUP($A15,'Matriz de Referencia'!$B$2:$CO$584,43,FALSE)=0,0,"Digite"))</f>
        <v>0</v>
      </c>
      <c r="CQ15" s="454">
        <f>IF(OR('Parte Estrategica'!AJ15=0,'Parte Estrategica'!AJ15=""),0,IF(VLOOKUP($A15,'Matriz de Referencia'!$B$2:$CO$584,44,FALSE)=0,0,"Digite"))</f>
        <v>0</v>
      </c>
      <c r="CR15" s="454">
        <f>IF(OR('Parte Estrategica'!AJ15=0,'Parte Estrategica'!AJ15=""),0,IF(VLOOKUP($A15,'Matriz de Referencia'!$B$2:$CO$584,45,FALSE)=0,0,"Digite"))</f>
        <v>0</v>
      </c>
      <c r="CS15" s="454">
        <f>IF(OR('Parte Estrategica'!AJ15=0,'Parte Estrategica'!AJ15=""),0,IF(VLOOKUP($A15,'Matriz de Referencia'!$B$2:$CO$584,46,FALSE)=0,0,"Digite"))</f>
        <v>0</v>
      </c>
      <c r="CT15" s="382">
        <f t="shared" si="19"/>
        <v>0</v>
      </c>
      <c r="CU15" s="454">
        <f>IF(OR('Parte Estrategica'!AJ15=0,'Parte Estrategica'!AJ15=""),0,IF(VLOOKUP($A15,'Matriz de Referencia'!$B$2:$CO$584,48,FALSE)=0,0,"Digite"))</f>
        <v>0</v>
      </c>
      <c r="CV15" s="454">
        <f>IF(OR('Parte Estrategica'!AJ15=0,'Parte Estrategica'!AJ15=""),0,IF(VLOOKUP($A15,'Matriz de Referencia'!$B$2:$CO$584,49,FALSE)=0,0,"Digite"))</f>
        <v>0</v>
      </c>
      <c r="CW15" s="454">
        <f>IF(OR('Parte Estrategica'!AJ15=0,'Parte Estrategica'!AJ15=""),0,IF(VLOOKUP($A15,'Matriz de Referencia'!$B$2:$CO$584,50,FALSE)=0,0,"Digite"))</f>
        <v>0</v>
      </c>
      <c r="CX15" s="382">
        <f t="shared" si="20"/>
        <v>0</v>
      </c>
      <c r="CY15" s="382">
        <f t="shared" si="21"/>
        <v>0</v>
      </c>
      <c r="CZ15" s="453">
        <f>IF(OR('Parte Estrategica'!AK15=0,'Parte Estrategica'!AK15=""),0,IF(VLOOKUP($A15,'Matriz de Referencia'!$B$2:$CO$584,39,FALSE)=0,0,"Digite"))</f>
        <v>0</v>
      </c>
      <c r="DA15" s="454">
        <f>IF(OR('Parte Estrategica'!AK15=0,'Parte Estrategica'!AK15=""),0,IF(VLOOKUP($A15,'Matriz de Referencia'!$B$2:$CO$584,40,FALSE)=0,0,"Digite"))</f>
        <v>0</v>
      </c>
      <c r="DB15" s="454">
        <f>IF(OR('Parte Estrategica'!AK15=0,'Parte Estrategica'!AK15=""),0,IF(VLOOKUP($A15,'Matriz de Referencia'!$B$2:$CO$584,41,FALSE)=0,0,"Digite"))</f>
        <v>0</v>
      </c>
      <c r="DC15" s="454">
        <f>IF(OR('Parte Estrategica'!AK15=0,'Parte Estrategica'!AK15=""),0,IF(VLOOKUP($A15,'Matriz de Referencia'!$B$2:$CO$584,42,FALSE)=0,0,"Digite"))</f>
        <v>0</v>
      </c>
      <c r="DD15" s="454">
        <f>IF(OR('Parte Estrategica'!AK15=0,'Parte Estrategica'!AK15=""),0,IF(VLOOKUP($A15,'Matriz de Referencia'!$B$2:$CO$584,43,FALSE)=0,0,"Digite"))</f>
        <v>0</v>
      </c>
      <c r="DE15" s="454">
        <f>IF(OR('Parte Estrategica'!AK15=0,'Parte Estrategica'!AK15=""),0,IF(VLOOKUP($A15,'Matriz de Referencia'!$B$2:$CO$584,44,FALSE)=0,0,"Digite"))</f>
        <v>0</v>
      </c>
      <c r="DF15" s="454">
        <f>IF(OR('Parte Estrategica'!AK15=0,'Parte Estrategica'!AK15=""),0,IF(VLOOKUP($A15,'Matriz de Referencia'!$B$2:$CO$584,45,FALSE)=0,0,"Digite"))</f>
        <v>0</v>
      </c>
      <c r="DG15" s="454">
        <f>IF(OR('Parte Estrategica'!AK15=0,'Parte Estrategica'!AK15=""),0,IF(VLOOKUP($A15,'Matriz de Referencia'!$B$2:$CO$584,46,FALSE)=0,0,"Digite"))</f>
        <v>0</v>
      </c>
      <c r="DH15" s="382">
        <f t="shared" si="22"/>
        <v>0</v>
      </c>
      <c r="DI15" s="454">
        <f>IF(OR('Parte Estrategica'!AK15=0,'Parte Estrategica'!AK15=""),0,IF(VLOOKUP($A15,'Matriz de Referencia'!$B$2:$CO$584,48,FALSE)=0,0,"Digite"))</f>
        <v>0</v>
      </c>
      <c r="DJ15" s="454">
        <f>IF(OR('Parte Estrategica'!AK15=0,'Parte Estrategica'!AK15=""),0,IF(VLOOKUP($A15,'Matriz de Referencia'!$B$2:$CO$584,49,FALSE)=0,0,"Digite"))</f>
        <v>0</v>
      </c>
      <c r="DK15" s="454">
        <f>IF(OR('Parte Estrategica'!AK15=0,'Parte Estrategica'!AK15=""),0,IF(VLOOKUP($A15,'Matriz de Referencia'!$B$2:$CO$584,50,FALSE)=0,0,"Digite"))</f>
        <v>0</v>
      </c>
      <c r="DL15" s="382">
        <f t="shared" si="23"/>
        <v>0</v>
      </c>
      <c r="DM15" s="382">
        <f t="shared" si="24"/>
        <v>0</v>
      </c>
      <c r="DN15" s="382">
        <f t="shared" si="25"/>
        <v>0</v>
      </c>
      <c r="DO15" s="101" t="str">
        <f>IFERROR(IF(DN15=0,"",IF(VLOOKUP($A15,'Matriz de Referencia'!$B$2:$CO$584,52,FALSE)=DN15,"Techos ok, cotinue","Debe revisar el valor programado")),"")</f>
        <v/>
      </c>
      <c r="DP15" s="453">
        <f>IF(OR('Parte Estrategica'!AN15=0,'Parte Estrategica'!AN15=""),0,IF(VLOOKUP($A15,'Matriz de Referencia'!$B$2:$CO$584,53,FALSE)=0,0,"Digite"))</f>
        <v>0</v>
      </c>
      <c r="DQ15" s="454">
        <f>IF(OR('Parte Estrategica'!AN15=0,'Parte Estrategica'!AN15=""),0,IF(VLOOKUP($A15,'Matriz de Referencia'!$B$2:$CO$584,54,FALSE)=0,0,"Digite"))</f>
        <v>0</v>
      </c>
      <c r="DR15" s="454">
        <f>IF(OR('Parte Estrategica'!AN15=0,'Parte Estrategica'!AN15=""),0,IF(VLOOKUP($A15,'Matriz de Referencia'!$B$2:$CO$584,55,FALSE)=0,0,"Digite"))</f>
        <v>0</v>
      </c>
      <c r="DS15" s="454">
        <f>IF(OR('Parte Estrategica'!AN15=0,'Parte Estrategica'!AN15=""),0,IF(VLOOKUP($A15,'Matriz de Referencia'!$B$2:$CO$584,56,FALSE)=0,0,"Digite"))</f>
        <v>0</v>
      </c>
      <c r="DT15" s="454">
        <f>IF(OR('Parte Estrategica'!AN15=0,'Parte Estrategica'!AN15=""),0,IF(VLOOKUP($A15,'Matriz de Referencia'!$B$2:$CO$584,57,FALSE)=0,0,"Digite"))</f>
        <v>0</v>
      </c>
      <c r="DU15" s="454">
        <f>IF(OR('Parte Estrategica'!AN15=0,'Parte Estrategica'!AN15=""),0,IF(VLOOKUP($A15,'Matriz de Referencia'!$B$2:$CO$584,58,FALSE)=0,0,"Digite"))</f>
        <v>0</v>
      </c>
      <c r="DV15" s="454">
        <f>IF(OR('Parte Estrategica'!AN15=0,'Parte Estrategica'!AN15=""),0,IF(VLOOKUP($A15,'Matriz de Referencia'!$B$2:$CO$584,59,FALSE)=0,0,"Digite"))</f>
        <v>0</v>
      </c>
      <c r="DW15" s="454">
        <f>IF(OR('Parte Estrategica'!AN15=0,'Parte Estrategica'!AN15=""),0,IF(VLOOKUP($A15,'Matriz de Referencia'!$B$2:$CO$584,60,FALSE)=0,0,"Digite"))</f>
        <v>0</v>
      </c>
      <c r="DX15" s="382">
        <f t="shared" si="26"/>
        <v>0</v>
      </c>
      <c r="DY15" s="454">
        <f>IF(OR('Parte Estrategica'!AN15=0,'Parte Estrategica'!AN15=""),0,IF(VLOOKUP($A15,'Matriz de Referencia'!$B$2:$CO$584,62,FALSE)=0,0,"Digite"))</f>
        <v>0</v>
      </c>
      <c r="DZ15" s="454">
        <f>IF(OR('Parte Estrategica'!AN15=0,'Parte Estrategica'!AN15=""),0,IF(VLOOKUP($A15,'Matriz de Referencia'!$B$2:$CO$584,63,FALSE)=0,0,"Digite"))</f>
        <v>0</v>
      </c>
      <c r="EA15" s="454" t="str">
        <f>IF(OR('Parte Estrategica'!AN15=0,'Parte Estrategica'!AN15=""),"",IF(VLOOKUP($A15,'Matriz de Referencia'!$B$2:$CO$584,64,FALSE)=0,"","Digite"))</f>
        <v/>
      </c>
      <c r="EB15" s="382">
        <f t="shared" si="27"/>
        <v>0</v>
      </c>
      <c r="EC15" s="382">
        <f t="shared" si="28"/>
        <v>0</v>
      </c>
      <c r="ED15" s="453">
        <f>IF(OR('Parte Estrategica'!AO15=0,'Parte Estrategica'!AO15=""),0,IF(VLOOKUP($A15,'Matriz de Referencia'!$B$2:$CO$584,53,FALSE)=0,0,"Digite"))</f>
        <v>0</v>
      </c>
      <c r="EE15" s="454">
        <f>IF(OR('Parte Estrategica'!AO15=0,'Parte Estrategica'!AO15=""),0,IF(VLOOKUP($A15,'Matriz de Referencia'!$B$2:$CO$584,54,FALSE)=0,0,"Digite"))</f>
        <v>0</v>
      </c>
      <c r="EF15" s="454">
        <f>IF(OR('Parte Estrategica'!AO15=0,'Parte Estrategica'!AO15=""),0,IF(VLOOKUP($A15,'Matriz de Referencia'!$B$2:$CO$584,55,FALSE)=0,0,"Digite"))</f>
        <v>0</v>
      </c>
      <c r="EG15" s="454">
        <f>IF(OR('Parte Estrategica'!AO15=0,'Parte Estrategica'!AO15=""),0,IF(VLOOKUP($A15,'Matriz de Referencia'!$B$2:$CO$584,56,FALSE)=0,0,"Digite"))</f>
        <v>0</v>
      </c>
      <c r="EH15" s="454">
        <f>IF(OR('Parte Estrategica'!AO15=0,'Parte Estrategica'!AO15=""),0,IF(VLOOKUP($A15,'Matriz de Referencia'!$B$2:$CO$584,57,FALSE)=0,0,"Digite"))</f>
        <v>0</v>
      </c>
      <c r="EI15" s="454">
        <f>IF(OR('Parte Estrategica'!AO15=0,'Parte Estrategica'!AO15=""),0,IF(VLOOKUP($A15,'Matriz de Referencia'!$B$2:$CO$584,58,FALSE)=0,0,"Digite"))</f>
        <v>0</v>
      </c>
      <c r="EJ15" s="454">
        <f>IF(OR('Parte Estrategica'!AO15=0,'Parte Estrategica'!AO15=""),0,IF(VLOOKUP($A15,'Matriz de Referencia'!$B$2:$CO$584,59,FALSE)=0,0,"Digite"))</f>
        <v>0</v>
      </c>
      <c r="EK15" s="454">
        <f>IF(OR('Parte Estrategica'!AO15=0,'Parte Estrategica'!AO15=""),0,IF(VLOOKUP($A15,'Matriz de Referencia'!$B$2:$CO$584,60,FALSE)=0,0,"Digite"))</f>
        <v>0</v>
      </c>
      <c r="EL15" s="382">
        <f t="shared" si="29"/>
        <v>0</v>
      </c>
      <c r="EM15" s="454">
        <f>IF(OR('Parte Estrategica'!AO15=0,'Parte Estrategica'!AO15=""),0,IF(VLOOKUP($A15,'Matriz de Referencia'!$B$2:$CO$584,62,FALSE)=0,0,"Digite"))</f>
        <v>0</v>
      </c>
      <c r="EN15" s="454">
        <f>IF(OR('Parte Estrategica'!AO15=0,'Parte Estrategica'!AO15=""),0,IF(VLOOKUP($A15,'Matriz de Referencia'!$B$2:$CO$584,63,FALSE)=0,0,"Digite"))</f>
        <v>0</v>
      </c>
      <c r="EO15" s="454">
        <f>IF(OR('Parte Estrategica'!AO15=0,'Parte Estrategica'!AO15=""),0,IF(VLOOKUP($A15,'Matriz de Referencia'!$B$2:$CO$584,64,FALSE)=0,0,"Digite"))</f>
        <v>0</v>
      </c>
      <c r="EP15" s="382">
        <f t="shared" si="30"/>
        <v>0</v>
      </c>
      <c r="EQ15" s="382">
        <f t="shared" si="31"/>
        <v>0</v>
      </c>
      <c r="ER15" s="453">
        <f>IF(OR('Parte Estrategica'!AP15=0,'Parte Estrategica'!AP15=""),0,IF(VLOOKUP($A15,'Matriz de Referencia'!$B$2:$CO$584,53,FALSE)=0,0,"Digite"))</f>
        <v>0</v>
      </c>
      <c r="ES15" s="454">
        <f>IF(OR('Parte Estrategica'!AP15=0,'Parte Estrategica'!AP15=""),0,IF(VLOOKUP($A15,'Matriz de Referencia'!$B$2:$CO$584,54,FALSE)=0,0,"Digite"))</f>
        <v>0</v>
      </c>
      <c r="ET15" s="454">
        <f>IF(OR('Parte Estrategica'!AP15=0,'Parte Estrategica'!AP15=""),0,IF(VLOOKUP($A15,'Matriz de Referencia'!$B$2:$CO$584,55,FALSE)=0,0,"Digite"))</f>
        <v>0</v>
      </c>
      <c r="EU15" s="454">
        <f>IF(OR('Parte Estrategica'!AP15=0,'Parte Estrategica'!AP15=""),0,IF(VLOOKUP($A15,'Matriz de Referencia'!$B$2:$CO$584,56,FALSE)=0,0,"Digite"))</f>
        <v>0</v>
      </c>
      <c r="EV15" s="454">
        <f>IF(OR('Parte Estrategica'!AP15=0,'Parte Estrategica'!AP15=""),0,IF(VLOOKUP($A15,'Matriz de Referencia'!$B$2:$CO$584,57,FALSE)=0,0,"Digite"))</f>
        <v>0</v>
      </c>
      <c r="EW15" s="454">
        <f>IF(OR('Parte Estrategica'!AP15=0,'Parte Estrategica'!AP15=""),0,IF(VLOOKUP($A15,'Matriz de Referencia'!$B$2:$CO$584,58,FALSE)=0,0,"Digite"))</f>
        <v>0</v>
      </c>
      <c r="EX15" s="454">
        <f>IF(OR('Parte Estrategica'!AP15=0,'Parte Estrategica'!AP15=""),0,IF(VLOOKUP($A15,'Matriz de Referencia'!$B$2:$CO$584,59,FALSE)=0,0,"Digite"))</f>
        <v>0</v>
      </c>
      <c r="EY15" s="454">
        <f>IF(OR('Parte Estrategica'!AP15=0,'Parte Estrategica'!AP15=""),0,IF(VLOOKUP($A15,'Matriz de Referencia'!$B$2:$CO$584,60,FALSE)=0,0,"Digite"))</f>
        <v>0</v>
      </c>
      <c r="EZ15" s="382">
        <f t="shared" si="32"/>
        <v>0</v>
      </c>
      <c r="FA15" s="454">
        <f>IF(OR('Parte Estrategica'!AP15=0,'Parte Estrategica'!AP15=""),0,IF(VLOOKUP($A15,'Matriz de Referencia'!$B$2:$CO$584,62,FALSE)=0,0,"Digite"))</f>
        <v>0</v>
      </c>
      <c r="FB15" s="454">
        <f>IF(OR('Parte Estrategica'!AP15=0,'Parte Estrategica'!AP15=""),0,IF(VLOOKUP($A15,'Matriz de Referencia'!$B$2:$CO$584,63,FALSE)=0,0,"Digite"))</f>
        <v>0</v>
      </c>
      <c r="FC15" s="454">
        <f>IF(OR('Parte Estrategica'!AP15=0,'Parte Estrategica'!AP15=""),0,IF(VLOOKUP($A15,'Matriz de Referencia'!$B$2:$CO$584,64,FALSE)=0,0,"Digite"))</f>
        <v>0</v>
      </c>
      <c r="FD15" s="382">
        <f t="shared" si="33"/>
        <v>0</v>
      </c>
      <c r="FE15" s="382">
        <f t="shared" si="34"/>
        <v>0</v>
      </c>
      <c r="FF15" s="453">
        <f>IF(OR('Parte Estrategica'!AQ15=0,'Parte Estrategica'!AQ15=""),0,IF(VLOOKUP($A15,'Matriz de Referencia'!$B$2:$CO$584,53,FALSE)=0,0,"Digite"))</f>
        <v>0</v>
      </c>
      <c r="FG15" s="454">
        <f>IF(OR('Parte Estrategica'!AQ15=0,'Parte Estrategica'!AQ15=""),0,IF(VLOOKUP($A15,'Matriz de Referencia'!$B$2:$CO$584,54,FALSE)=0,0,"Digite"))</f>
        <v>0</v>
      </c>
      <c r="FH15" s="454">
        <f>IF(OR('Parte Estrategica'!AQ15=0,'Parte Estrategica'!AQ15=""),0,IF(VLOOKUP($A15,'Matriz de Referencia'!$B$2:$CO$584,55,FALSE)=0,0,"Digite"))</f>
        <v>0</v>
      </c>
      <c r="FI15" s="454">
        <f>IF(OR('Parte Estrategica'!AQ15=0,'Parte Estrategica'!AQ15=""),0,IF(VLOOKUP($A15,'Matriz de Referencia'!$B$2:$CO$584,56,FALSE)=0,0,"Digite"))</f>
        <v>0</v>
      </c>
      <c r="FJ15" s="454">
        <f>IF(OR('Parte Estrategica'!AQ15=0,'Parte Estrategica'!AQ15=""),0,IF(VLOOKUP($A15,'Matriz de Referencia'!$B$2:$CO$584,57,FALSE)=0,0,"Digite"))</f>
        <v>0</v>
      </c>
      <c r="FK15" s="454">
        <f>IF(OR('Parte Estrategica'!AQ15=0,'Parte Estrategica'!AQ15=""),0,IF(VLOOKUP($A15,'Matriz de Referencia'!$B$2:$CO$584,58,FALSE)=0,0,"Digite"))</f>
        <v>0</v>
      </c>
      <c r="FL15" s="454">
        <f>IF(OR('Parte Estrategica'!AQ15=0,'Parte Estrategica'!AQ15=""),0,IF(VLOOKUP($A15,'Matriz de Referencia'!$B$2:$CO$584,59,FALSE)=0,0,"Digite"))</f>
        <v>0</v>
      </c>
      <c r="FM15" s="454">
        <f>IF(OR('Parte Estrategica'!AQ15=0,'Parte Estrategica'!AQ15=""),0,IF(VLOOKUP($A15,'Matriz de Referencia'!$B$2:$CO$584,60,FALSE)=0,0,"Digite"))</f>
        <v>0</v>
      </c>
      <c r="FN15" s="382">
        <f t="shared" si="35"/>
        <v>0</v>
      </c>
      <c r="FO15" s="454">
        <f>IF(OR('Parte Estrategica'!AQ15=0,'Parte Estrategica'!AQ15=""),0,IF(VLOOKUP($A15,'Matriz de Referencia'!$B$2:$CO$584,62,FALSE)=0,0,"Digite"))</f>
        <v>0</v>
      </c>
      <c r="FP15" s="454">
        <f>IF(OR('Parte Estrategica'!AQ15=0,'Parte Estrategica'!AQ15=""),0,IF(VLOOKUP($A15,'Matriz de Referencia'!$B$2:$CO$584,63,FALSE)=0,0,"Digite"))</f>
        <v>0</v>
      </c>
      <c r="FQ15" s="454">
        <f>IF(OR('Parte Estrategica'!AQ15=0,'Parte Estrategica'!AQ15=""),0,IF(VLOOKUP($A15,'Matriz de Referencia'!$B$2:$CO$584,64,FALSE)=0,0,"Digite"))</f>
        <v>0</v>
      </c>
      <c r="FR15" s="382">
        <f t="shared" si="36"/>
        <v>0</v>
      </c>
      <c r="FS15" s="382">
        <f t="shared" si="37"/>
        <v>0</v>
      </c>
      <c r="FT15" s="382">
        <f t="shared" si="38"/>
        <v>0</v>
      </c>
      <c r="FU15" s="101" t="str">
        <f>IFERROR(IF(FT15=0,"",IF(VLOOKUP($A15,'Matriz de Referencia'!$B$2:$CO$584,66,FALSE)=FT15,"Techos ok, cotinue","Debe revisar el valor programado")),"")</f>
        <v/>
      </c>
      <c r="FV15" s="453">
        <f>IF(OR('Parte Estrategica'!AT15=0,'Parte Estrategica'!AT15=""),0,IF(VLOOKUP($A15,'Matriz de Referencia'!$B$2:$CO$584,67,FALSE)=0,0,"Digite"))</f>
        <v>0</v>
      </c>
      <c r="FW15" s="454">
        <f>IF(OR('Parte Estrategica'!AT15=0,'Parte Estrategica'!AT15=""),0,IF(VLOOKUP($A15,'Matriz de Referencia'!$B$2:$CO$584,68,FALSE)=0,0,"Digite"))</f>
        <v>0</v>
      </c>
      <c r="FX15" s="454">
        <f>IF(OR('Parte Estrategica'!AT15=0,'Parte Estrategica'!AT15=""),0,IF(VLOOKUP($A15,'Matriz de Referencia'!$B$2:$CO$584,69,FALSE)=0,0,"Digite"))</f>
        <v>0</v>
      </c>
      <c r="FY15" s="454">
        <f>IF(OR('Parte Estrategica'!AT15=0,'Parte Estrategica'!AT15=""),0,IF(VLOOKUP($A15,'Matriz de Referencia'!$B$2:$CO$584,70,FALSE)=0,0,"Digite"))</f>
        <v>0</v>
      </c>
      <c r="FZ15" s="454">
        <f>IF(OR('Parte Estrategica'!AT15=0,'Parte Estrategica'!AT15=""),0,IF(VLOOKUP($A15,'Matriz de Referencia'!$B$2:$CO$584,71,FALSE)=0,0,"Digite"))</f>
        <v>0</v>
      </c>
      <c r="GA15" s="454">
        <f>IF(OR('Parte Estrategica'!AT15=0,'Parte Estrategica'!AT15=""),0,IF(VLOOKUP($A15,'Matriz de Referencia'!$B$2:$CO$584,72,FALSE)=0,0,"Digite"))</f>
        <v>0</v>
      </c>
      <c r="GB15" s="454">
        <f>IF(OR('Parte Estrategica'!AT15=0,'Parte Estrategica'!AT15=""),0,IF(VLOOKUP($A15,'Matriz de Referencia'!$B$2:$CO$584,73,FALSE)=0,0,"Digite"))</f>
        <v>0</v>
      </c>
      <c r="GC15" s="454">
        <f>IF(OR('Parte Estrategica'!AT15=0,'Parte Estrategica'!AT15=""),0,IF(VLOOKUP($A15,'Matriz de Referencia'!$B$2:$CO$584,74,FALSE)=0,0,"Digite"))</f>
        <v>0</v>
      </c>
      <c r="GD15" s="382">
        <f t="shared" si="39"/>
        <v>0</v>
      </c>
      <c r="GE15" s="454">
        <f>IF(OR('Parte Estrategica'!AT15=0,'Parte Estrategica'!AT15=""),0,IF(VLOOKUP($A15,'Matriz de Referencia'!$B$2:$CO$584,76,FALSE)=0,0,"Digite"))</f>
        <v>0</v>
      </c>
      <c r="GF15" s="454">
        <f>IF(OR('Parte Estrategica'!AT15=0,'Parte Estrategica'!AT15=""),0,IF(VLOOKUP($A15,'Matriz de Referencia'!$B$2:$CO$584,77,FALSE)=0,0,"Digite"))</f>
        <v>0</v>
      </c>
      <c r="GG15" s="454">
        <f>IF(OR('Parte Estrategica'!AT15=0,'Parte Estrategica'!AT15=""),0,IF(VLOOKUP($A15,'Matriz de Referencia'!$B$2:$CO$584,78,FALSE)=0,0,"Digite"))</f>
        <v>0</v>
      </c>
      <c r="GH15" s="382">
        <f t="shared" si="40"/>
        <v>0</v>
      </c>
      <c r="GI15" s="382">
        <f t="shared" si="41"/>
        <v>0</v>
      </c>
      <c r="GJ15" s="453">
        <f>IF(OR('Parte Estrategica'!AU15=0,'Parte Estrategica'!AU15=""),0,IF(VLOOKUP($A15,'Matriz de Referencia'!$B$2:$CO$584,67,FALSE)=0,0,"Digite"))</f>
        <v>0</v>
      </c>
      <c r="GK15" s="454">
        <f>IF(OR('Parte Estrategica'!AU15=0,'Parte Estrategica'!AU15=""),0,IF(VLOOKUP($A15,'Matriz de Referencia'!$B$2:$CO$584,68,FALSE)=0,0,"Digite"))</f>
        <v>0</v>
      </c>
      <c r="GL15" s="454">
        <f>IF(OR('Parte Estrategica'!AU15=0,'Parte Estrategica'!AU15=""),0,IF(VLOOKUP($A15,'Matriz de Referencia'!$B$2:$CO$584,69,FALSE)=0,0,"Digite"))</f>
        <v>0</v>
      </c>
      <c r="GM15" s="454">
        <f>IF(OR('Parte Estrategica'!AU15=0,'Parte Estrategica'!AU15=""),0,IF(VLOOKUP($A15,'Matriz de Referencia'!$B$2:$CO$584,70,FALSE)=0,0,"Digite"))</f>
        <v>0</v>
      </c>
      <c r="GN15" s="454">
        <f>IF(OR('Parte Estrategica'!AU15=0,'Parte Estrategica'!AU15=""),0,IF(VLOOKUP($A15,'Matriz de Referencia'!$B$2:$CO$584,71,FALSE)=0,0,"Digite"))</f>
        <v>0</v>
      </c>
      <c r="GO15" s="454">
        <f>IF(OR('Parte Estrategica'!AU15=0,'Parte Estrategica'!AU15=""),0,IF(VLOOKUP($A15,'Matriz de Referencia'!$B$2:$CO$584,72,FALSE)=0,0,"Digite"))</f>
        <v>0</v>
      </c>
      <c r="GP15" s="454">
        <f>IF(OR('Parte Estrategica'!AU15=0,'Parte Estrategica'!AU15=""),0,IF(VLOOKUP($A15,'Matriz de Referencia'!$B$2:$CO$584,73,FALSE)=0,0,"Digite"))</f>
        <v>0</v>
      </c>
      <c r="GQ15" s="454">
        <f>IF(OR('Parte Estrategica'!AU15=0,'Parte Estrategica'!AU15=""),0,IF(VLOOKUP($A15,'Matriz de Referencia'!$B$2:$CO$584,74,FALSE)=0,0,"Digite"))</f>
        <v>0</v>
      </c>
      <c r="GR15" s="382">
        <f t="shared" si="42"/>
        <v>0</v>
      </c>
      <c r="GS15" s="454">
        <f>IF(OR('Parte Estrategica'!AU15=0,'Parte Estrategica'!AU15=""),0,IF(VLOOKUP($A15,'Matriz de Referencia'!$B$2:$CO$584,76,FALSE)=0,0,"Digite"))</f>
        <v>0</v>
      </c>
      <c r="GT15" s="454">
        <f>IF(OR('Parte Estrategica'!AU15=0,'Parte Estrategica'!AU15=""),0,IF(VLOOKUP($A15,'Matriz de Referencia'!$B$2:$CO$584,77,FALSE)=0,0,"Digite"))</f>
        <v>0</v>
      </c>
      <c r="GU15" s="454">
        <f>IF(OR('Parte Estrategica'!AU15=0,'Parte Estrategica'!AU15=""),0,IF(VLOOKUP($A15,'Matriz de Referencia'!$B$2:$CO$584,78,FALSE)=0,0,"Digite"))</f>
        <v>0</v>
      </c>
      <c r="GV15" s="382">
        <f t="shared" si="43"/>
        <v>0</v>
      </c>
      <c r="GW15" s="382">
        <f t="shared" si="44"/>
        <v>0</v>
      </c>
      <c r="GX15" s="453">
        <f>IF(OR('Parte Estrategica'!AV15=0,'Parte Estrategica'!AV15=""),0,IF(VLOOKUP($A15,'Matriz de Referencia'!$B$2:$CO$584,67,FALSE)=0,0,"Digite"))</f>
        <v>0</v>
      </c>
      <c r="GY15" s="454">
        <f>IF(OR('Parte Estrategica'!AV15=0,'Parte Estrategica'!AV15=""),0,IF(VLOOKUP($A15,'Matriz de Referencia'!$B$2:$CO$584,68,FALSE)=0,0,"Digite"))</f>
        <v>0</v>
      </c>
      <c r="GZ15" s="454">
        <f>IF(OR('Parte Estrategica'!AV15=0,'Parte Estrategica'!AV15=""),0,IF(VLOOKUP($A15,'Matriz de Referencia'!$B$2:$CO$584,69,FALSE)=0,0,"Digite"))</f>
        <v>0</v>
      </c>
      <c r="HA15" s="454">
        <f>IF(OR('Parte Estrategica'!AV15=0,'Parte Estrategica'!AV15=""),0,IF(VLOOKUP($A15,'Matriz de Referencia'!$B$2:$CO$584,70,FALSE)=0,0,"Digite"))</f>
        <v>0</v>
      </c>
      <c r="HB15" s="454">
        <f>IF(OR('Parte Estrategica'!AV15=0,'Parte Estrategica'!AV15=""),0,IF(VLOOKUP($A15,'Matriz de Referencia'!$B$2:$CO$584,71,FALSE)=0,0,"Digite"))</f>
        <v>0</v>
      </c>
      <c r="HC15" s="454">
        <f>IF(OR('Parte Estrategica'!AV15=0,'Parte Estrategica'!AV15=""),0,IF(VLOOKUP($A15,'Matriz de Referencia'!$B$2:$CO$584,72,FALSE)=0,0,"Digite"))</f>
        <v>0</v>
      </c>
      <c r="HD15" s="454">
        <f>IF(OR('Parte Estrategica'!AV15=0,'Parte Estrategica'!AV15=""),0,IF(VLOOKUP($A15,'Matriz de Referencia'!$B$2:$CO$584,73,FALSE)=0,0,"Digite"))</f>
        <v>0</v>
      </c>
      <c r="HE15" s="454">
        <f>IF(OR('Parte Estrategica'!AV15=0,'Parte Estrategica'!AV15=""),0,IF(VLOOKUP($A15,'Matriz de Referencia'!$B$2:$CO$584,74,FALSE)=0,0,"Digite"))</f>
        <v>0</v>
      </c>
      <c r="HF15" s="382">
        <f t="shared" si="45"/>
        <v>0</v>
      </c>
      <c r="HG15" s="454">
        <f>IF(OR('Parte Estrategica'!AV15=0,'Parte Estrategica'!AV15=""),0,IF(VLOOKUP($A15,'Matriz de Referencia'!$B$2:$CO$584,76,FALSE)=0,0,"Digite"))</f>
        <v>0</v>
      </c>
      <c r="HH15" s="454">
        <f>IF(OR('Parte Estrategica'!AV15=0,'Parte Estrategica'!AV15=""),0,IF(VLOOKUP($A15,'Matriz de Referencia'!$B$2:$CO$584,77,FALSE)=0,0,"Digite"))</f>
        <v>0</v>
      </c>
      <c r="HI15" s="454">
        <f>IF(OR('Parte Estrategica'!AV15=0,'Parte Estrategica'!AV15=""),0,IF(VLOOKUP($A15,'Matriz de Referencia'!$B$2:$CO$584,78,FALSE)=0,0,"Digite"))</f>
        <v>0</v>
      </c>
      <c r="HJ15" s="382">
        <f t="shared" si="46"/>
        <v>0</v>
      </c>
      <c r="HK15" s="382">
        <f t="shared" si="47"/>
        <v>0</v>
      </c>
      <c r="HL15" s="453">
        <f>IF(OR('Parte Estrategica'!AW15=0,'Parte Estrategica'!AW15=""),0,IF(VLOOKUP($A15,'Matriz de Referencia'!$B$2:$CO$584,67,FALSE)=0,0,"Digite"))</f>
        <v>0</v>
      </c>
      <c r="HM15" s="454">
        <f>IF(OR('Parte Estrategica'!AW15=0,'Parte Estrategica'!AW15=""),0,IF(VLOOKUP($A15,'Matriz de Referencia'!$B$2:$CO$584,68,FALSE)=0,0,"Digite"))</f>
        <v>0</v>
      </c>
      <c r="HN15" s="454">
        <f>IF(OR('Parte Estrategica'!AW15=0,'Parte Estrategica'!AW15=""),0,IF(VLOOKUP($A15,'Matriz de Referencia'!$B$2:$CO$584,69,FALSE)=0,0,"Digite"))</f>
        <v>0</v>
      </c>
      <c r="HO15" s="454">
        <f>IF(OR('Parte Estrategica'!AW15=0,'Parte Estrategica'!AW15=""),0,IF(VLOOKUP($A15,'Matriz de Referencia'!$B$2:$CO$584,70,FALSE)=0,0,"Digite"))</f>
        <v>0</v>
      </c>
      <c r="HP15" s="454">
        <f>IF(OR('Parte Estrategica'!AW15=0,'Parte Estrategica'!AW15=""),0,IF(VLOOKUP($A15,'Matriz de Referencia'!$B$2:$CO$584,71,FALSE)=0,0,"Digite"))</f>
        <v>0</v>
      </c>
      <c r="HQ15" s="454">
        <f>IF(OR('Parte Estrategica'!AW15=0,'Parte Estrategica'!AW15=""),0,IF(VLOOKUP($A15,'Matriz de Referencia'!$B$2:$CO$584,72,FALSE)=0,0,"Digite"))</f>
        <v>0</v>
      </c>
      <c r="HR15" s="454">
        <f>IF(OR('Parte Estrategica'!AW15=0,'Parte Estrategica'!AW15=""),0,IF(VLOOKUP($A15,'Matriz de Referencia'!$B$2:$CO$584,73,FALSE)=0,0,"Digite"))</f>
        <v>0</v>
      </c>
      <c r="HS15" s="454">
        <f>IF(OR('Parte Estrategica'!AW15=0,'Parte Estrategica'!AW15=""),0,IF(VLOOKUP($A15,'Matriz de Referencia'!$B$2:$CO$584,74,FALSE)=0,0,"Digite"))</f>
        <v>0</v>
      </c>
      <c r="HT15" s="382">
        <f t="shared" si="48"/>
        <v>0</v>
      </c>
      <c r="HU15" s="454">
        <f>IF(OR('Parte Estrategica'!AW15=0,'Parte Estrategica'!AW15=""),0,IF(VLOOKUP($A15,'Matriz de Referencia'!$B$2:$CO$584,76,FALSE)=0,0,"Digite"))</f>
        <v>0</v>
      </c>
      <c r="HV15" s="454">
        <f>IF(OR('Parte Estrategica'!AW15=0,'Parte Estrategica'!AW15=""),0,IF(VLOOKUP($A15,'Matriz de Referencia'!$B$2:$CO$584,77,FALSE)=0,0,"Digite"))</f>
        <v>0</v>
      </c>
      <c r="HW15" s="454">
        <f>IF(OR('Parte Estrategica'!AW15=0,'Parte Estrategica'!AW15=""),0,IF(VLOOKUP($A15,'Matriz de Referencia'!$B$2:$CO$584,78,FALSE)=0,0,"Digite"))</f>
        <v>0</v>
      </c>
      <c r="HX15" s="382">
        <f t="shared" si="49"/>
        <v>0</v>
      </c>
      <c r="HY15" s="382">
        <f t="shared" si="50"/>
        <v>0</v>
      </c>
      <c r="HZ15" s="382">
        <f t="shared" si="51"/>
        <v>0</v>
      </c>
      <c r="IA15" s="101" t="str">
        <f>IFERROR(IF(HZ15=0,"",IF(VLOOKUP($A15,'Matriz de Referencia'!$B$2:$CO$584,80,FALSE)=HZ15,"Techos ok, cotinue","Debe revisar el valor programado")),"")</f>
        <v/>
      </c>
      <c r="IB15" s="383">
        <f t="shared" si="52"/>
        <v>0</v>
      </c>
    </row>
    <row r="16" spans="1:236">
      <c r="A16" s="550" t="str">
        <f>IF('Parte Estrategica'!B16=0,"",'Parte Estrategica'!B16)</f>
        <v/>
      </c>
      <c r="B16" s="551" t="str">
        <f>IFERROR(VLOOKUP(A16,'Matriz de Referencia'!$B$2:$P$578,'Matriz de Referencia'!L$1,FALSE),"")</f>
        <v/>
      </c>
      <c r="C16" s="551" t="str">
        <f>IFERROR(VLOOKUP(A16,'Matriz de Referencia'!$B$2:$P$584,'Matriz de Referencia'!M$1,FALSE),"")</f>
        <v/>
      </c>
      <c r="D16" s="455" t="str">
        <f>IF(OR('Parte Estrategica'!AB16=0,'Parte Estrategica'!AB16=""),"",IF(VLOOKUP($A16,'Matriz de Referencia'!$B$2:$CO$584,'Matriz de Referencia'!Z$1,FALSE)=0,"","Digite"))</f>
        <v/>
      </c>
      <c r="E16" s="456">
        <f>IF(OR('Parte Estrategica'!AB16=0,'Parte Estrategica'!AB16=""),0,IF(VLOOKUP($A16,'Matriz de Referencia'!$B$2:$CO$584,26,FALSE)=0,0,"Digite"))</f>
        <v>0</v>
      </c>
      <c r="F16" s="456">
        <f>IF(OR('Parte Estrategica'!AB16=0,'Parte Estrategica'!AB16=""),0,IF(VLOOKUP($A16,'Matriz de Referencia'!$B$2:$CO$584,27,FALSE)=0,0,"Digite"))</f>
        <v>0</v>
      </c>
      <c r="G16" s="456">
        <f>IF(OR('Parte Estrategica'!AB16=0,'Parte Estrategica'!AB16=""),0,IF(VLOOKUP($A16,'Matriz de Referencia'!$B$2:$CO$584,28,FALSE)=0,0,"Digite"))</f>
        <v>0</v>
      </c>
      <c r="H16" s="456">
        <f>IF(OR('Parte Estrategica'!AB16=0,'Parte Estrategica'!AB16=""),0,IF(VLOOKUP($A16,'Matriz de Referencia'!$B$2:$CO$584,29,FALSE)=0,0,"Digite"))</f>
        <v>0</v>
      </c>
      <c r="I16" s="456">
        <f>IF(OR('Parte Estrategica'!AB16=0,'Parte Estrategica'!AB16=""),0,IF(VLOOKUP($A16,'Matriz de Referencia'!$B$2:$CO$584,30,FALSE)=0,0,"Digite"))</f>
        <v>0</v>
      </c>
      <c r="J16" s="456">
        <f>IF(OR('Parte Estrategica'!AB16=0,'Parte Estrategica'!AB16=""),0,IF(VLOOKUP($A16,'Matriz de Referencia'!$B$2:$CO$584,31,FALSE)=0,0,"Digite"))</f>
        <v>0</v>
      </c>
      <c r="K16" s="456">
        <f>IF(OR('Parte Estrategica'!AB16=0,'Parte Estrategica'!AB16=""),0,IF(VLOOKUP($A16,'Matriz de Referencia'!$B$2:$CO$584,32,FALSE)=0,0,"Digite"))</f>
        <v>0</v>
      </c>
      <c r="L16" s="460">
        <f t="shared" si="0"/>
        <v>0</v>
      </c>
      <c r="M16" s="456">
        <f>IF(OR('Parte Estrategica'!AB16=0,'Parte Estrategica'!AB16=""),0,IF(VLOOKUP($A16,'Matriz de Referencia'!$B$2:$CO$584,34,FALSE)=0,0,"Digite"))</f>
        <v>0</v>
      </c>
      <c r="N16" s="456">
        <f>IF(OR('Parte Estrategica'!AB16=0,'Parte Estrategica'!AB16=""),0,IF(VLOOKUP($A16,'Matriz de Referencia'!$B$2:$CO$584,35,FALSE)=0,0,"Digite"))</f>
        <v>0</v>
      </c>
      <c r="O16" s="456">
        <f>IF(OR('Parte Estrategica'!AB16=0,'Parte Estrategica'!AB16=""),0,IF(VLOOKUP($A16,'Matriz de Referencia'!$B$2:$CO$584,36,FALSE)=0,0,"Digite"))</f>
        <v>0</v>
      </c>
      <c r="P16" s="457">
        <f t="shared" si="1"/>
        <v>0</v>
      </c>
      <c r="Q16" s="457">
        <f t="shared" si="2"/>
        <v>0</v>
      </c>
      <c r="R16" s="455">
        <f>IF(OR('Parte Estrategica'!AC16=0,'Parte Estrategica'!AC16=""),0,IF(VLOOKUP($A16,'Matriz de Referencia'!$B$2:$CO$584,25,FALSE)=0,0,"Digite"))</f>
        <v>0</v>
      </c>
      <c r="S16" s="456">
        <f>IF(OR('Parte Estrategica'!AC16=0,'Parte Estrategica'!AC16=""),0,IF(VLOOKUP($A16,'Matriz de Referencia'!$B$2:$CO$584,26,FALSE)=0,0,"Digite"))</f>
        <v>0</v>
      </c>
      <c r="T16" s="456">
        <f>IF(OR('Parte Estrategica'!AC16=0,'Parte Estrategica'!AC16=""),0,IF(VLOOKUP($A16,'Matriz de Referencia'!$B$2:$CO$584,27,FALSE)=0,0,"Digite"))</f>
        <v>0</v>
      </c>
      <c r="U16" s="456">
        <f>IF(OR('Parte Estrategica'!AC16=0,'Parte Estrategica'!AC16=""),0,IF(VLOOKUP($A16,'Matriz de Referencia'!$B$2:$CO$584,28,FALSE)=0,0,"Digite"))</f>
        <v>0</v>
      </c>
      <c r="V16" s="456">
        <f>IF(OR('Parte Estrategica'!AC16=0,'Parte Estrategica'!AC16=""),0,IF(VLOOKUP($A16,'Matriz de Referencia'!$B$2:$CO$584,29,FALSE)=0,0,"Digite"))</f>
        <v>0</v>
      </c>
      <c r="W16" s="456">
        <f>IF(OR('Parte Estrategica'!AC16=0,'Parte Estrategica'!AC16=""),0,IF(VLOOKUP($A16,'Matriz de Referencia'!$B$2:$CO$584,30,FALSE)=0,0,"Digite"))</f>
        <v>0</v>
      </c>
      <c r="X16" s="456">
        <f>IF(OR('Parte Estrategica'!AC16=0,'Parte Estrategica'!AC16=""),0,IF(VLOOKUP($A16,'Matriz de Referencia'!$B$2:$CO$584,31,FALSE)=0,0,"Digite"))</f>
        <v>0</v>
      </c>
      <c r="Y16" s="456">
        <f>IF(OR('Parte Estrategica'!AC16=0,'Parte Estrategica'!AC16=""),0,IF(VLOOKUP($A16,'Matriz de Referencia'!$B$2:$CO$584,32,FALSE)=0,0,"Digite"))</f>
        <v>0</v>
      </c>
      <c r="Z16" s="457">
        <f t="shared" si="3"/>
        <v>0</v>
      </c>
      <c r="AA16" s="456">
        <f>IF(OR('Parte Estrategica'!AC16=0,'Parte Estrategica'!AC16=""),0,IF(VLOOKUP($A16,'Matriz de Referencia'!$B$2:$CO$584,34,FALSE)=0,0,"Digite"))</f>
        <v>0</v>
      </c>
      <c r="AB16" s="456">
        <f>IF(OR('Parte Estrategica'!AC16=0,'Parte Estrategica'!AC16=""),0,IF(VLOOKUP($A16,'Matriz de Referencia'!$B$2:$CO$584,35,FALSE)=0,0,"Digite"))</f>
        <v>0</v>
      </c>
      <c r="AC16" s="456">
        <f>IF(OR('Parte Estrategica'!AC16=0,'Parte Estrategica'!AC16=""),0,IF(VLOOKUP($A16,'Matriz de Referencia'!$B$2:$CO$584,36,FALSE)=0,0,"Digite"))</f>
        <v>0</v>
      </c>
      <c r="AD16" s="457">
        <f t="shared" si="4"/>
        <v>0</v>
      </c>
      <c r="AE16" s="457">
        <f t="shared" si="5"/>
        <v>0</v>
      </c>
      <c r="AF16" s="455">
        <f>IF(OR('Parte Estrategica'!AD16=0,'Parte Estrategica'!AD16=""),0,IF(VLOOKUP($A16,'Matriz de Referencia'!$B$2:$CO$584,25,FALSE)=0,0,"Digite"))</f>
        <v>0</v>
      </c>
      <c r="AG16" s="456">
        <f>IF(OR('Parte Estrategica'!AD16=0,'Parte Estrategica'!AD16=""),0,IF(VLOOKUP($A16,'Matriz de Referencia'!$B$2:$CO$584,26,FALSE)=0,0,"Digite"))</f>
        <v>0</v>
      </c>
      <c r="AH16" s="456">
        <f>IF(OR('Parte Estrategica'!AD16=0,'Parte Estrategica'!AD16=""),0,IF(VLOOKUP($A16,'Matriz de Referencia'!$B$2:$CO$584,27,FALSE)=0,0,"Digite"))</f>
        <v>0</v>
      </c>
      <c r="AI16" s="456">
        <f>IF(OR('Parte Estrategica'!AD16=0,'Parte Estrategica'!AD16=""),0,IF(VLOOKUP($A16,'Matriz de Referencia'!$B$2:$CO$584,28,FALSE)=0,0,"Digite"))</f>
        <v>0</v>
      </c>
      <c r="AJ16" s="456">
        <f>IF(OR('Parte Estrategica'!AD16=0,'Parte Estrategica'!AD16=""),0,IF(VLOOKUP($A16,'Matriz de Referencia'!$B$2:$CO$584,29,FALSE)=0,0,"Digite"))</f>
        <v>0</v>
      </c>
      <c r="AK16" s="456">
        <f>IF(OR('Parte Estrategica'!AD16=0,'Parte Estrategica'!AD16=""),0,IF(VLOOKUP($A16,'Matriz de Referencia'!$B$2:$CO$584,30,FALSE)=0,0,"Digite"))</f>
        <v>0</v>
      </c>
      <c r="AL16" s="456">
        <f>IF(OR('Parte Estrategica'!AD16=0,'Parte Estrategica'!AD16=""),0,IF(VLOOKUP($A16,'Matriz de Referencia'!$B$2:$CO$584,31,FALSE)=0,0,"Digite"))</f>
        <v>0</v>
      </c>
      <c r="AM16" s="456">
        <f>IF(OR('Parte Estrategica'!AD16=0,'Parte Estrategica'!AD16=""),0,IF(VLOOKUP($A16,'Matriz de Referencia'!$B$2:$CO$584,32,FALSE)=0,0,"Digite"))</f>
        <v>0</v>
      </c>
      <c r="AN16" s="457">
        <f t="shared" si="6"/>
        <v>0</v>
      </c>
      <c r="AO16" s="456">
        <f>IF(OR('Parte Estrategica'!AD16=0,'Parte Estrategica'!AD16=""),0,IF(VLOOKUP($A16,'Matriz de Referencia'!$B$2:$CO$584,34,FALSE)=0,0,"Digite"))</f>
        <v>0</v>
      </c>
      <c r="AP16" s="456">
        <f>IF(OR('Parte Estrategica'!AD16=0,'Parte Estrategica'!AD16=""),0,IF(VLOOKUP($A16,'Matriz de Referencia'!$B$2:$CO$584,35,FALSE)=0,0,"Digite"))</f>
        <v>0</v>
      </c>
      <c r="AQ16" s="456">
        <f>IF(OR('Parte Estrategica'!AD16=0,'Parte Estrategica'!AD16=""),0,IF(VLOOKUP($A16,'Matriz de Referencia'!$B$2:$CO$584,36,FALSE)=0,0,"Digite"))</f>
        <v>0</v>
      </c>
      <c r="AR16" s="457">
        <f t="shared" si="7"/>
        <v>0</v>
      </c>
      <c r="AS16" s="457">
        <f t="shared" si="8"/>
        <v>0</v>
      </c>
      <c r="AT16" s="455">
        <f>IF(OR('Parte Estrategica'!AE16=0,'Parte Estrategica'!AE16=""),0,IF(VLOOKUP($A16,'Matriz de Referencia'!$B$2:$CO$584,25,FALSE)=0,0,"Digite"))</f>
        <v>0</v>
      </c>
      <c r="AU16" s="456">
        <f>IF(OR('Parte Estrategica'!AE16=0,'Parte Estrategica'!AE16=""),0,IF(VLOOKUP($A16,'Matriz de Referencia'!$B$2:$CO$584,26,FALSE)=0,0,"Digite"))</f>
        <v>0</v>
      </c>
      <c r="AV16" s="456">
        <f>IF(OR('Parte Estrategica'!AE16=0,'Parte Estrategica'!AE16=""),0,IF(VLOOKUP($A16,'Matriz de Referencia'!$B$2:$CO$584,27,FALSE)=0,0,"Digite"))</f>
        <v>0</v>
      </c>
      <c r="AW16" s="456">
        <f>IF(OR('Parte Estrategica'!AE16=0,'Parte Estrategica'!AE16=""),0,IF(VLOOKUP($A16,'Matriz de Referencia'!$B$2:$CO$584,28,FALSE)=0,0,"Digite"))</f>
        <v>0</v>
      </c>
      <c r="AX16" s="456">
        <f>IF(OR('Parte Estrategica'!AE16=0,'Parte Estrategica'!AE16=""),0,IF(VLOOKUP($A16,'Matriz de Referencia'!$B$2:$CO$584,29,FALSE)=0,0,"Digite"))</f>
        <v>0</v>
      </c>
      <c r="AY16" s="456">
        <f>IF(OR('Parte Estrategica'!AE16=0,'Parte Estrategica'!AE16=""),0,IF(VLOOKUP($A16,'Matriz de Referencia'!$B$2:$CO$584,30,FALSE)=0,0,"Digite"))</f>
        <v>0</v>
      </c>
      <c r="AZ16" s="456">
        <f>IF(OR('Parte Estrategica'!AE16=0,'Parte Estrategica'!AE16=""),0,IF(VLOOKUP($A16,'Matriz de Referencia'!$B$2:$CO$584,31,FALSE)=0,0,"Digite"))</f>
        <v>0</v>
      </c>
      <c r="BA16" s="456">
        <f>IF(OR('Parte Estrategica'!AE16=0,'Parte Estrategica'!AE16=""),0,IF(VLOOKUP($A16,'Matriz de Referencia'!$B$2:$CO$584,32,FALSE)=0,0,"Digite"))</f>
        <v>0</v>
      </c>
      <c r="BB16" s="457">
        <f t="shared" si="9"/>
        <v>0</v>
      </c>
      <c r="BC16" s="456">
        <f>IF(OR('Parte Estrategica'!AE16=0,'Parte Estrategica'!AE16=""),0,IF(VLOOKUP($A16,'Matriz de Referencia'!$B$2:$CO$584,34,FALSE)=0,0,"Digite"))</f>
        <v>0</v>
      </c>
      <c r="BD16" s="456">
        <f>IF(OR('Parte Estrategica'!AE16=0,'Parte Estrategica'!AE16=""),0,IF(VLOOKUP($A16,'Matriz de Referencia'!$B$2:$CO$584,35,FALSE)=0,0,"Digite"))</f>
        <v>0</v>
      </c>
      <c r="BE16" s="456">
        <f>IF(OR('Parte Estrategica'!AE16=0,'Parte Estrategica'!AE16=""),0,IF(VLOOKUP($A16,'Matriz de Referencia'!$B$2:$CO$584,36,FALSE)=0,0,"Digite"))</f>
        <v>0</v>
      </c>
      <c r="BF16" s="457">
        <f t="shared" si="10"/>
        <v>0</v>
      </c>
      <c r="BG16" s="457">
        <f t="shared" si="11"/>
        <v>0</v>
      </c>
      <c r="BH16" s="457">
        <f t="shared" si="12"/>
        <v>0</v>
      </c>
      <c r="BI16" s="101" t="str">
        <f>IFERROR(IF(BH16=0,"",IF(VLOOKUP($A16,'Matriz de Referencia'!$B$2:$CO$584,'Matriz de Referencia'!AM$1,FALSE)=BH16,"Techos ok, cotinue","Debe revisar el valor programado")),"")</f>
        <v/>
      </c>
      <c r="BJ16" s="453">
        <f>IF(OR('Parte Estrategica'!AH16=0,'Parte Estrategica'!AH16=""),0,IF(VLOOKUP($A16,'Matriz de Referencia'!$B$2:$CO$584,39,FALSE)=0,0,"Digite"))</f>
        <v>0</v>
      </c>
      <c r="BK16" s="454">
        <f>IF(OR('Parte Estrategica'!AH16=0,'Parte Estrategica'!AH16=""),0,IF(VLOOKUP($A16,'Matriz de Referencia'!$B$2:$CO$584,40,FALSE)=0,0,"Digite"))</f>
        <v>0</v>
      </c>
      <c r="BL16" s="454">
        <f>IF(OR('Parte Estrategica'!AH16=0,'Parte Estrategica'!AH16=""),0,IF(VLOOKUP($A16,'Matriz de Referencia'!$B$2:$CO$584,41,FALSE)=0,0,"Digite"))</f>
        <v>0</v>
      </c>
      <c r="BM16" s="454">
        <f>IF(OR('Parte Estrategica'!AH16=0,'Parte Estrategica'!AH16=""),0,IF(VLOOKUP($A16,'Matriz de Referencia'!$B$2:$CO$584,42,FALSE)=0,0,"Digite"))</f>
        <v>0</v>
      </c>
      <c r="BN16" s="454">
        <f>IF(OR('Parte Estrategica'!AH16=0,'Parte Estrategica'!AH16=""),0,IF(VLOOKUP($A16,'Matriz de Referencia'!$B$2:$CO$584,43,FALSE)=0,0,"Digite"))</f>
        <v>0</v>
      </c>
      <c r="BO16" s="454">
        <f>IF(OR('Parte Estrategica'!AH16=0,'Parte Estrategica'!AH16=""),0,IF(VLOOKUP($A16,'Matriz de Referencia'!$B$2:$CO$584,44,FALSE)=0,0,"Digite"))</f>
        <v>0</v>
      </c>
      <c r="BP16" s="454">
        <f>IF(OR('Parte Estrategica'!AH16=0,'Parte Estrategica'!AH16=""),0,IF(VLOOKUP($A16,'Matriz de Referencia'!$B$2:$CO$584,45,FALSE)=0,0,"Digite"))</f>
        <v>0</v>
      </c>
      <c r="BQ16" s="454">
        <f>IF(OR('Parte Estrategica'!AH16=0,'Parte Estrategica'!AH16=""),0,IF(VLOOKUP($A16,'Matriz de Referencia'!$B$2:$CO$584,46,FALSE)=0,0,"Digite"))</f>
        <v>0</v>
      </c>
      <c r="BR16" s="382">
        <f t="shared" si="13"/>
        <v>0</v>
      </c>
      <c r="BS16" s="454">
        <f>IF(OR('Parte Estrategica'!CL16=0,'Parte Estrategica'!CL16=""),0,IF(VLOOKUP($A16,'Matriz de Referencia'!$B$2:$CO$584,48,FALSE)=0,0,"Digite"))</f>
        <v>0</v>
      </c>
      <c r="BT16" s="454">
        <f>IF(OR('Parte Estrategica'!CL16=0,'Parte Estrategica'!CL16=""),0,IF(VLOOKUP($A16,'Matriz de Referencia'!$B$2:$CO$584,49,FALSE)=0,0,"Digite"))</f>
        <v>0</v>
      </c>
      <c r="BU16" s="454">
        <f>IF(OR('Parte Estrategica'!CL16=0,'Parte Estrategica'!CL16=""),0,IF(VLOOKUP($A16,'Matriz de Referencia'!$B$2:$CO$584,50,FALSE)=0,0,"Digite"))</f>
        <v>0</v>
      </c>
      <c r="BV16" s="382">
        <f t="shared" si="14"/>
        <v>0</v>
      </c>
      <c r="BW16" s="382">
        <f t="shared" si="15"/>
        <v>0</v>
      </c>
      <c r="BX16" s="453">
        <f>IF(OR('Parte Estrategica'!AI16=0,'Parte Estrategica'!AI16=""),0,IF(VLOOKUP($A16,'Matriz de Referencia'!$B$2:$CO$584,39,FALSE)=0,0,"Digite"))</f>
        <v>0</v>
      </c>
      <c r="BY16" s="454">
        <f>IF(OR('Parte Estrategica'!AI16=0,'Parte Estrategica'!AI16=""),0,IF(VLOOKUP($A16,'Matriz de Referencia'!$B$2:$CO$584,40,FALSE)=0,0,"Digite"))</f>
        <v>0</v>
      </c>
      <c r="BZ16" s="454">
        <f>IF(OR('Parte Estrategica'!AI16=0,'Parte Estrategica'!AI16=""),0,IF(VLOOKUP($A16,'Matriz de Referencia'!$B$2:$CO$584,41,FALSE)=0,0,"Digite"))</f>
        <v>0</v>
      </c>
      <c r="CA16" s="454">
        <f>IF(OR('Parte Estrategica'!AI16=0,'Parte Estrategica'!AI16=""),0,IF(VLOOKUP($A16,'Matriz de Referencia'!$B$2:$CO$584,42,FALSE)=0,0,"Digite"))</f>
        <v>0</v>
      </c>
      <c r="CB16" s="454">
        <f>IF(OR('Parte Estrategica'!AI16=0,'Parte Estrategica'!AI16=""),0,IF(VLOOKUP($A16,'Matriz de Referencia'!$B$2:$CO$584,43,FALSE)=0,0,"Digite"))</f>
        <v>0</v>
      </c>
      <c r="CC16" s="454">
        <f>IF(OR('Parte Estrategica'!AI16=0,'Parte Estrategica'!AI16=""),0,IF(VLOOKUP($A16,'Matriz de Referencia'!$B$2:$CO$584,44,FALSE)=0,0,"Digite"))</f>
        <v>0</v>
      </c>
      <c r="CD16" s="454">
        <f>IF(OR('Parte Estrategica'!AI16=0,'Parte Estrategica'!AI16=""),0,IF(VLOOKUP($A16,'Matriz de Referencia'!$B$2:$CO$584,45,FALSE)=0,0,"Digite"))</f>
        <v>0</v>
      </c>
      <c r="CE16" s="454">
        <f>IF(OR('Parte Estrategica'!AI16=0,'Parte Estrategica'!AI16=""),0,IF(VLOOKUP($A16,'Matriz de Referencia'!$B$2:$CO$584,46,FALSE)=0,0,"Digite"))</f>
        <v>0</v>
      </c>
      <c r="CF16" s="382">
        <f t="shared" si="16"/>
        <v>0</v>
      </c>
      <c r="CG16" s="454">
        <f>IF(OR('Parte Estrategica'!AI16=0,'Parte Estrategica'!AI16=""),0,IF(VLOOKUP($A16,'Matriz de Referencia'!$B$2:$CO$584,48,FALSE)=0,0,"Digite"))</f>
        <v>0</v>
      </c>
      <c r="CH16" s="454">
        <f>IF(OR('Parte Estrategica'!AI16=0,'Parte Estrategica'!AI16=""),0,IF(VLOOKUP($A16,'Matriz de Referencia'!$B$2:$CO$584,49,FALSE)=0,0,"Digite"))</f>
        <v>0</v>
      </c>
      <c r="CI16" s="454">
        <f>IF(OR('Parte Estrategica'!AI16=0,'Parte Estrategica'!AI16=""),0,IF(VLOOKUP($A16,'Matriz de Referencia'!$B$2:$CO$584,50,FALSE)=0,0,"Digite"))</f>
        <v>0</v>
      </c>
      <c r="CJ16" s="382">
        <f t="shared" si="17"/>
        <v>0</v>
      </c>
      <c r="CK16" s="382">
        <f t="shared" si="18"/>
        <v>0</v>
      </c>
      <c r="CL16" s="453">
        <f>IF(OR('Parte Estrategica'!AJ16=0,'Parte Estrategica'!AJ16=""),0,IF(VLOOKUP($A16,'Matriz de Referencia'!$B$2:$CO$584,39,FALSE)=0,0,"Digite"))</f>
        <v>0</v>
      </c>
      <c r="CM16" s="454">
        <f>IF(OR('Parte Estrategica'!AJ16=0,'Parte Estrategica'!AJ16=""),0,IF(VLOOKUP($A16,'Matriz de Referencia'!$B$2:$CO$584,40,FALSE)=0,0,"Digite"))</f>
        <v>0</v>
      </c>
      <c r="CN16" s="454">
        <f>IF(OR('Parte Estrategica'!AJ16=0,'Parte Estrategica'!AJ16=""),0,IF(VLOOKUP($A16,'Matriz de Referencia'!$B$2:$CO$584,41,FALSE)=0,0,"Digite"))</f>
        <v>0</v>
      </c>
      <c r="CO16" s="454">
        <f>IF(OR('Parte Estrategica'!AJ16=0,'Parte Estrategica'!AJ16=""),0,IF(VLOOKUP($A16,'Matriz de Referencia'!$B$2:$CO$584,42,FALSE)=0,0,"Digite"))</f>
        <v>0</v>
      </c>
      <c r="CP16" s="454">
        <f>IF(OR('Parte Estrategica'!AJ16=0,'Parte Estrategica'!AJ16=""),0,IF(VLOOKUP($A16,'Matriz de Referencia'!$B$2:$CO$584,43,FALSE)=0,0,"Digite"))</f>
        <v>0</v>
      </c>
      <c r="CQ16" s="454">
        <f>IF(OR('Parte Estrategica'!AJ16=0,'Parte Estrategica'!AJ16=""),0,IF(VLOOKUP($A16,'Matriz de Referencia'!$B$2:$CO$584,44,FALSE)=0,0,"Digite"))</f>
        <v>0</v>
      </c>
      <c r="CR16" s="454">
        <f>IF(OR('Parte Estrategica'!AJ16=0,'Parte Estrategica'!AJ16=""),0,IF(VLOOKUP($A16,'Matriz de Referencia'!$B$2:$CO$584,45,FALSE)=0,0,"Digite"))</f>
        <v>0</v>
      </c>
      <c r="CS16" s="454">
        <f>IF(OR('Parte Estrategica'!AJ16=0,'Parte Estrategica'!AJ16=""),0,IF(VLOOKUP($A16,'Matriz de Referencia'!$B$2:$CO$584,46,FALSE)=0,0,"Digite"))</f>
        <v>0</v>
      </c>
      <c r="CT16" s="382">
        <f t="shared" si="19"/>
        <v>0</v>
      </c>
      <c r="CU16" s="454">
        <f>IF(OR('Parte Estrategica'!AJ16=0,'Parte Estrategica'!AJ16=""),0,IF(VLOOKUP($A16,'Matriz de Referencia'!$B$2:$CO$584,48,FALSE)=0,0,"Digite"))</f>
        <v>0</v>
      </c>
      <c r="CV16" s="454">
        <f>IF(OR('Parte Estrategica'!AJ16=0,'Parte Estrategica'!AJ16=""),0,IF(VLOOKUP($A16,'Matriz de Referencia'!$B$2:$CO$584,49,FALSE)=0,0,"Digite"))</f>
        <v>0</v>
      </c>
      <c r="CW16" s="454">
        <f>IF(OR('Parte Estrategica'!AJ16=0,'Parte Estrategica'!AJ16=""),0,IF(VLOOKUP($A16,'Matriz de Referencia'!$B$2:$CO$584,50,FALSE)=0,0,"Digite"))</f>
        <v>0</v>
      </c>
      <c r="CX16" s="382">
        <f t="shared" si="20"/>
        <v>0</v>
      </c>
      <c r="CY16" s="382">
        <f t="shared" si="21"/>
        <v>0</v>
      </c>
      <c r="CZ16" s="453">
        <f>IF(OR('Parte Estrategica'!AK16=0,'Parte Estrategica'!AK16=""),0,IF(VLOOKUP($A16,'Matriz de Referencia'!$B$2:$CO$584,39,FALSE)=0,0,"Digite"))</f>
        <v>0</v>
      </c>
      <c r="DA16" s="454">
        <f>IF(OR('Parte Estrategica'!AK16=0,'Parte Estrategica'!AK16=""),0,IF(VLOOKUP($A16,'Matriz de Referencia'!$B$2:$CO$584,40,FALSE)=0,0,"Digite"))</f>
        <v>0</v>
      </c>
      <c r="DB16" s="454">
        <f>IF(OR('Parte Estrategica'!AK16=0,'Parte Estrategica'!AK16=""),0,IF(VLOOKUP($A16,'Matriz de Referencia'!$B$2:$CO$584,41,FALSE)=0,0,"Digite"))</f>
        <v>0</v>
      </c>
      <c r="DC16" s="454">
        <f>IF(OR('Parte Estrategica'!AK16=0,'Parte Estrategica'!AK16=""),0,IF(VLOOKUP($A16,'Matriz de Referencia'!$B$2:$CO$584,42,FALSE)=0,0,"Digite"))</f>
        <v>0</v>
      </c>
      <c r="DD16" s="454">
        <f>IF(OR('Parte Estrategica'!AK16=0,'Parte Estrategica'!AK16=""),0,IF(VLOOKUP($A16,'Matriz de Referencia'!$B$2:$CO$584,43,FALSE)=0,0,"Digite"))</f>
        <v>0</v>
      </c>
      <c r="DE16" s="454">
        <f>IF(OR('Parte Estrategica'!AK16=0,'Parte Estrategica'!AK16=""),0,IF(VLOOKUP($A16,'Matriz de Referencia'!$B$2:$CO$584,44,FALSE)=0,0,"Digite"))</f>
        <v>0</v>
      </c>
      <c r="DF16" s="454">
        <f>IF(OR('Parte Estrategica'!AK16=0,'Parte Estrategica'!AK16=""),0,IF(VLOOKUP($A16,'Matriz de Referencia'!$B$2:$CO$584,45,FALSE)=0,0,"Digite"))</f>
        <v>0</v>
      </c>
      <c r="DG16" s="454">
        <f>IF(OR('Parte Estrategica'!AK16=0,'Parte Estrategica'!AK16=""),0,IF(VLOOKUP($A16,'Matriz de Referencia'!$B$2:$CO$584,46,FALSE)=0,0,"Digite"))</f>
        <v>0</v>
      </c>
      <c r="DH16" s="382">
        <f t="shared" si="22"/>
        <v>0</v>
      </c>
      <c r="DI16" s="454">
        <f>IF(OR('Parte Estrategica'!AK16=0,'Parte Estrategica'!AK16=""),0,IF(VLOOKUP($A16,'Matriz de Referencia'!$B$2:$CO$584,48,FALSE)=0,0,"Digite"))</f>
        <v>0</v>
      </c>
      <c r="DJ16" s="454">
        <f>IF(OR('Parte Estrategica'!AK16=0,'Parte Estrategica'!AK16=""),0,IF(VLOOKUP($A16,'Matriz de Referencia'!$B$2:$CO$584,49,FALSE)=0,0,"Digite"))</f>
        <v>0</v>
      </c>
      <c r="DK16" s="454">
        <f>IF(OR('Parte Estrategica'!AK16=0,'Parte Estrategica'!AK16=""),0,IF(VLOOKUP($A16,'Matriz de Referencia'!$B$2:$CO$584,50,FALSE)=0,0,"Digite"))</f>
        <v>0</v>
      </c>
      <c r="DL16" s="382">
        <f t="shared" si="23"/>
        <v>0</v>
      </c>
      <c r="DM16" s="382">
        <f t="shared" si="24"/>
        <v>0</v>
      </c>
      <c r="DN16" s="382">
        <f t="shared" si="25"/>
        <v>0</v>
      </c>
      <c r="DO16" s="101" t="str">
        <f>IFERROR(IF(DN16=0,"",IF(VLOOKUP($A16,'Matriz de Referencia'!$B$2:$CO$584,52,FALSE)=DN16,"Techos ok, cotinue","Debe revisar el valor programado")),"")</f>
        <v/>
      </c>
      <c r="DP16" s="453">
        <f>IF(OR('Parte Estrategica'!AN16=0,'Parte Estrategica'!AN16=""),0,IF(VLOOKUP($A16,'Matriz de Referencia'!$B$2:$CO$584,53,FALSE)=0,0,"Digite"))</f>
        <v>0</v>
      </c>
      <c r="DQ16" s="454">
        <f>IF(OR('Parte Estrategica'!AN16=0,'Parte Estrategica'!AN16=""),0,IF(VLOOKUP($A16,'Matriz de Referencia'!$B$2:$CO$584,54,FALSE)=0,0,"Digite"))</f>
        <v>0</v>
      </c>
      <c r="DR16" s="454">
        <f>IF(OR('Parte Estrategica'!AN16=0,'Parte Estrategica'!AN16=""),0,IF(VLOOKUP($A16,'Matriz de Referencia'!$B$2:$CO$584,55,FALSE)=0,0,"Digite"))</f>
        <v>0</v>
      </c>
      <c r="DS16" s="454">
        <f>IF(OR('Parte Estrategica'!AN16=0,'Parte Estrategica'!AN16=""),0,IF(VLOOKUP($A16,'Matriz de Referencia'!$B$2:$CO$584,56,FALSE)=0,0,"Digite"))</f>
        <v>0</v>
      </c>
      <c r="DT16" s="454">
        <f>IF(OR('Parte Estrategica'!AN16=0,'Parte Estrategica'!AN16=""),0,IF(VLOOKUP($A16,'Matriz de Referencia'!$B$2:$CO$584,57,FALSE)=0,0,"Digite"))</f>
        <v>0</v>
      </c>
      <c r="DU16" s="454">
        <f>IF(OR('Parte Estrategica'!AN16=0,'Parte Estrategica'!AN16=""),0,IF(VLOOKUP($A16,'Matriz de Referencia'!$B$2:$CO$584,58,FALSE)=0,0,"Digite"))</f>
        <v>0</v>
      </c>
      <c r="DV16" s="454">
        <f>IF(OR('Parte Estrategica'!AN16=0,'Parte Estrategica'!AN16=""),0,IF(VLOOKUP($A16,'Matriz de Referencia'!$B$2:$CO$584,59,FALSE)=0,0,"Digite"))</f>
        <v>0</v>
      </c>
      <c r="DW16" s="454">
        <f>IF(OR('Parte Estrategica'!AN16=0,'Parte Estrategica'!AN16=""),0,IF(VLOOKUP($A16,'Matriz de Referencia'!$B$2:$CO$584,60,FALSE)=0,0,"Digite"))</f>
        <v>0</v>
      </c>
      <c r="DX16" s="382">
        <f t="shared" si="26"/>
        <v>0</v>
      </c>
      <c r="DY16" s="454">
        <f>IF(OR('Parte Estrategica'!AN16=0,'Parte Estrategica'!AN16=""),0,IF(VLOOKUP($A16,'Matriz de Referencia'!$B$2:$CO$584,62,FALSE)=0,0,"Digite"))</f>
        <v>0</v>
      </c>
      <c r="DZ16" s="454">
        <f>IF(OR('Parte Estrategica'!AN16=0,'Parte Estrategica'!AN16=""),0,IF(VLOOKUP($A16,'Matriz de Referencia'!$B$2:$CO$584,63,FALSE)=0,0,"Digite"))</f>
        <v>0</v>
      </c>
      <c r="EA16" s="454" t="str">
        <f>IF(OR('Parte Estrategica'!AN16=0,'Parte Estrategica'!AN16=""),"",IF(VLOOKUP($A16,'Matriz de Referencia'!$B$2:$CO$584,64,FALSE)=0,"","Digite"))</f>
        <v/>
      </c>
      <c r="EB16" s="382">
        <f t="shared" si="27"/>
        <v>0</v>
      </c>
      <c r="EC16" s="382">
        <f t="shared" si="28"/>
        <v>0</v>
      </c>
      <c r="ED16" s="453">
        <f>IF(OR('Parte Estrategica'!AO16=0,'Parte Estrategica'!AO16=""),0,IF(VLOOKUP($A16,'Matriz de Referencia'!$B$2:$CO$584,53,FALSE)=0,0,"Digite"))</f>
        <v>0</v>
      </c>
      <c r="EE16" s="454">
        <f>IF(OR('Parte Estrategica'!AO16=0,'Parte Estrategica'!AO16=""),0,IF(VLOOKUP($A16,'Matriz de Referencia'!$B$2:$CO$584,54,FALSE)=0,0,"Digite"))</f>
        <v>0</v>
      </c>
      <c r="EF16" s="454">
        <f>IF(OR('Parte Estrategica'!AO16=0,'Parte Estrategica'!AO16=""),0,IF(VLOOKUP($A16,'Matriz de Referencia'!$B$2:$CO$584,55,FALSE)=0,0,"Digite"))</f>
        <v>0</v>
      </c>
      <c r="EG16" s="454">
        <f>IF(OR('Parte Estrategica'!AO16=0,'Parte Estrategica'!AO16=""),0,IF(VLOOKUP($A16,'Matriz de Referencia'!$B$2:$CO$584,56,FALSE)=0,0,"Digite"))</f>
        <v>0</v>
      </c>
      <c r="EH16" s="454">
        <f>IF(OR('Parte Estrategica'!AO16=0,'Parte Estrategica'!AO16=""),0,IF(VLOOKUP($A16,'Matriz de Referencia'!$B$2:$CO$584,57,FALSE)=0,0,"Digite"))</f>
        <v>0</v>
      </c>
      <c r="EI16" s="454">
        <f>IF(OR('Parte Estrategica'!AO16=0,'Parte Estrategica'!AO16=""),0,IF(VLOOKUP($A16,'Matriz de Referencia'!$B$2:$CO$584,58,FALSE)=0,0,"Digite"))</f>
        <v>0</v>
      </c>
      <c r="EJ16" s="454">
        <f>IF(OR('Parte Estrategica'!AO16=0,'Parte Estrategica'!AO16=""),0,IF(VLOOKUP($A16,'Matriz de Referencia'!$B$2:$CO$584,59,FALSE)=0,0,"Digite"))</f>
        <v>0</v>
      </c>
      <c r="EK16" s="454">
        <f>IF(OR('Parte Estrategica'!AO16=0,'Parte Estrategica'!AO16=""),0,IF(VLOOKUP($A16,'Matriz de Referencia'!$B$2:$CO$584,60,FALSE)=0,0,"Digite"))</f>
        <v>0</v>
      </c>
      <c r="EL16" s="382">
        <f t="shared" si="29"/>
        <v>0</v>
      </c>
      <c r="EM16" s="454">
        <f>IF(OR('Parte Estrategica'!AO16=0,'Parte Estrategica'!AO16=""),0,IF(VLOOKUP($A16,'Matriz de Referencia'!$B$2:$CO$584,62,FALSE)=0,0,"Digite"))</f>
        <v>0</v>
      </c>
      <c r="EN16" s="454">
        <f>IF(OR('Parte Estrategica'!AO16=0,'Parte Estrategica'!AO16=""),0,IF(VLOOKUP($A16,'Matriz de Referencia'!$B$2:$CO$584,63,FALSE)=0,0,"Digite"))</f>
        <v>0</v>
      </c>
      <c r="EO16" s="454">
        <f>IF(OR('Parte Estrategica'!AO16=0,'Parte Estrategica'!AO16=""),0,IF(VLOOKUP($A16,'Matriz de Referencia'!$B$2:$CO$584,64,FALSE)=0,0,"Digite"))</f>
        <v>0</v>
      </c>
      <c r="EP16" s="382">
        <f t="shared" si="30"/>
        <v>0</v>
      </c>
      <c r="EQ16" s="382">
        <f t="shared" si="31"/>
        <v>0</v>
      </c>
      <c r="ER16" s="453">
        <f>IF(OR('Parte Estrategica'!AP16=0,'Parte Estrategica'!AP16=""),0,IF(VLOOKUP($A16,'Matriz de Referencia'!$B$2:$CO$584,53,FALSE)=0,0,"Digite"))</f>
        <v>0</v>
      </c>
      <c r="ES16" s="454">
        <f>IF(OR('Parte Estrategica'!AP16=0,'Parte Estrategica'!AP16=""),0,IF(VLOOKUP($A16,'Matriz de Referencia'!$B$2:$CO$584,54,FALSE)=0,0,"Digite"))</f>
        <v>0</v>
      </c>
      <c r="ET16" s="454">
        <f>IF(OR('Parte Estrategica'!AP16=0,'Parte Estrategica'!AP16=""),0,IF(VLOOKUP($A16,'Matriz de Referencia'!$B$2:$CO$584,55,FALSE)=0,0,"Digite"))</f>
        <v>0</v>
      </c>
      <c r="EU16" s="454">
        <f>IF(OR('Parte Estrategica'!AP16=0,'Parte Estrategica'!AP16=""),0,IF(VLOOKUP($A16,'Matriz de Referencia'!$B$2:$CO$584,56,FALSE)=0,0,"Digite"))</f>
        <v>0</v>
      </c>
      <c r="EV16" s="454">
        <f>IF(OR('Parte Estrategica'!AP16=0,'Parte Estrategica'!AP16=""),0,IF(VLOOKUP($A16,'Matriz de Referencia'!$B$2:$CO$584,57,FALSE)=0,0,"Digite"))</f>
        <v>0</v>
      </c>
      <c r="EW16" s="454">
        <f>IF(OR('Parte Estrategica'!AP16=0,'Parte Estrategica'!AP16=""),0,IF(VLOOKUP($A16,'Matriz de Referencia'!$B$2:$CO$584,58,FALSE)=0,0,"Digite"))</f>
        <v>0</v>
      </c>
      <c r="EX16" s="454">
        <f>IF(OR('Parte Estrategica'!AP16=0,'Parte Estrategica'!AP16=""),0,IF(VLOOKUP($A16,'Matriz de Referencia'!$B$2:$CO$584,59,FALSE)=0,0,"Digite"))</f>
        <v>0</v>
      </c>
      <c r="EY16" s="454">
        <f>IF(OR('Parte Estrategica'!AP16=0,'Parte Estrategica'!AP16=""),0,IF(VLOOKUP($A16,'Matriz de Referencia'!$B$2:$CO$584,60,FALSE)=0,0,"Digite"))</f>
        <v>0</v>
      </c>
      <c r="EZ16" s="382">
        <f t="shared" si="32"/>
        <v>0</v>
      </c>
      <c r="FA16" s="454">
        <f>IF(OR('Parte Estrategica'!AP16=0,'Parte Estrategica'!AP16=""),0,IF(VLOOKUP($A16,'Matriz de Referencia'!$B$2:$CO$584,62,FALSE)=0,0,"Digite"))</f>
        <v>0</v>
      </c>
      <c r="FB16" s="454">
        <f>IF(OR('Parte Estrategica'!AP16=0,'Parte Estrategica'!AP16=""),0,IF(VLOOKUP($A16,'Matriz de Referencia'!$B$2:$CO$584,63,FALSE)=0,0,"Digite"))</f>
        <v>0</v>
      </c>
      <c r="FC16" s="454">
        <f>IF(OR('Parte Estrategica'!AP16=0,'Parte Estrategica'!AP16=""),0,IF(VLOOKUP($A16,'Matriz de Referencia'!$B$2:$CO$584,64,FALSE)=0,0,"Digite"))</f>
        <v>0</v>
      </c>
      <c r="FD16" s="382">
        <f t="shared" si="33"/>
        <v>0</v>
      </c>
      <c r="FE16" s="382">
        <f t="shared" si="34"/>
        <v>0</v>
      </c>
      <c r="FF16" s="453">
        <f>IF(OR('Parte Estrategica'!AQ16=0,'Parte Estrategica'!AQ16=""),0,IF(VLOOKUP($A16,'Matriz de Referencia'!$B$2:$CO$584,53,FALSE)=0,0,"Digite"))</f>
        <v>0</v>
      </c>
      <c r="FG16" s="454">
        <f>IF(OR('Parte Estrategica'!AQ16=0,'Parte Estrategica'!AQ16=""),0,IF(VLOOKUP($A16,'Matriz de Referencia'!$B$2:$CO$584,54,FALSE)=0,0,"Digite"))</f>
        <v>0</v>
      </c>
      <c r="FH16" s="454">
        <f>IF(OR('Parte Estrategica'!AQ16=0,'Parte Estrategica'!AQ16=""),0,IF(VLOOKUP($A16,'Matriz de Referencia'!$B$2:$CO$584,55,FALSE)=0,0,"Digite"))</f>
        <v>0</v>
      </c>
      <c r="FI16" s="454">
        <f>IF(OR('Parte Estrategica'!AQ16=0,'Parte Estrategica'!AQ16=""),0,IF(VLOOKUP($A16,'Matriz de Referencia'!$B$2:$CO$584,56,FALSE)=0,0,"Digite"))</f>
        <v>0</v>
      </c>
      <c r="FJ16" s="454">
        <f>IF(OR('Parte Estrategica'!AQ16=0,'Parte Estrategica'!AQ16=""),0,IF(VLOOKUP($A16,'Matriz de Referencia'!$B$2:$CO$584,57,FALSE)=0,0,"Digite"))</f>
        <v>0</v>
      </c>
      <c r="FK16" s="454">
        <f>IF(OR('Parte Estrategica'!AQ16=0,'Parte Estrategica'!AQ16=""),0,IF(VLOOKUP($A16,'Matriz de Referencia'!$B$2:$CO$584,58,FALSE)=0,0,"Digite"))</f>
        <v>0</v>
      </c>
      <c r="FL16" s="454">
        <f>IF(OR('Parte Estrategica'!AQ16=0,'Parte Estrategica'!AQ16=""),0,IF(VLOOKUP($A16,'Matriz de Referencia'!$B$2:$CO$584,59,FALSE)=0,0,"Digite"))</f>
        <v>0</v>
      </c>
      <c r="FM16" s="454">
        <f>IF(OR('Parte Estrategica'!AQ16=0,'Parte Estrategica'!AQ16=""),0,IF(VLOOKUP($A16,'Matriz de Referencia'!$B$2:$CO$584,60,FALSE)=0,0,"Digite"))</f>
        <v>0</v>
      </c>
      <c r="FN16" s="382">
        <f t="shared" si="35"/>
        <v>0</v>
      </c>
      <c r="FO16" s="454">
        <f>IF(OR('Parte Estrategica'!AQ16=0,'Parte Estrategica'!AQ16=""),0,IF(VLOOKUP($A16,'Matriz de Referencia'!$B$2:$CO$584,62,FALSE)=0,0,"Digite"))</f>
        <v>0</v>
      </c>
      <c r="FP16" s="454">
        <f>IF(OR('Parte Estrategica'!AQ16=0,'Parte Estrategica'!AQ16=""),0,IF(VLOOKUP($A16,'Matriz de Referencia'!$B$2:$CO$584,63,FALSE)=0,0,"Digite"))</f>
        <v>0</v>
      </c>
      <c r="FQ16" s="454">
        <f>IF(OR('Parte Estrategica'!AQ16=0,'Parte Estrategica'!AQ16=""),0,IF(VLOOKUP($A16,'Matriz de Referencia'!$B$2:$CO$584,64,FALSE)=0,0,"Digite"))</f>
        <v>0</v>
      </c>
      <c r="FR16" s="382">
        <f t="shared" si="36"/>
        <v>0</v>
      </c>
      <c r="FS16" s="382">
        <f t="shared" si="37"/>
        <v>0</v>
      </c>
      <c r="FT16" s="382">
        <f t="shared" si="38"/>
        <v>0</v>
      </c>
      <c r="FU16" s="101" t="str">
        <f>IFERROR(IF(FT16=0,"",IF(VLOOKUP($A16,'Matriz de Referencia'!$B$2:$CO$584,66,FALSE)=FT16,"Techos ok, cotinue","Debe revisar el valor programado")),"")</f>
        <v/>
      </c>
      <c r="FV16" s="453">
        <f>IF(OR('Parte Estrategica'!AT16=0,'Parte Estrategica'!AT16=""),0,IF(VLOOKUP($A16,'Matriz de Referencia'!$B$2:$CO$584,67,FALSE)=0,0,"Digite"))</f>
        <v>0</v>
      </c>
      <c r="FW16" s="454">
        <f>IF(OR('Parte Estrategica'!AT16=0,'Parte Estrategica'!AT16=""),0,IF(VLOOKUP($A16,'Matriz de Referencia'!$B$2:$CO$584,68,FALSE)=0,0,"Digite"))</f>
        <v>0</v>
      </c>
      <c r="FX16" s="454">
        <f>IF(OR('Parte Estrategica'!AT16=0,'Parte Estrategica'!AT16=""),0,IF(VLOOKUP($A16,'Matriz de Referencia'!$B$2:$CO$584,69,FALSE)=0,0,"Digite"))</f>
        <v>0</v>
      </c>
      <c r="FY16" s="454">
        <f>IF(OR('Parte Estrategica'!AT16=0,'Parte Estrategica'!AT16=""),0,IF(VLOOKUP($A16,'Matriz de Referencia'!$B$2:$CO$584,70,FALSE)=0,0,"Digite"))</f>
        <v>0</v>
      </c>
      <c r="FZ16" s="454">
        <f>IF(OR('Parte Estrategica'!AT16=0,'Parte Estrategica'!AT16=""),0,IF(VLOOKUP($A16,'Matriz de Referencia'!$B$2:$CO$584,71,FALSE)=0,0,"Digite"))</f>
        <v>0</v>
      </c>
      <c r="GA16" s="454">
        <f>IF(OR('Parte Estrategica'!AT16=0,'Parte Estrategica'!AT16=""),0,IF(VLOOKUP($A16,'Matriz de Referencia'!$B$2:$CO$584,72,FALSE)=0,0,"Digite"))</f>
        <v>0</v>
      </c>
      <c r="GB16" s="454">
        <f>IF(OR('Parte Estrategica'!AT16=0,'Parte Estrategica'!AT16=""),0,IF(VLOOKUP($A16,'Matriz de Referencia'!$B$2:$CO$584,73,FALSE)=0,0,"Digite"))</f>
        <v>0</v>
      </c>
      <c r="GC16" s="454">
        <f>IF(OR('Parte Estrategica'!AT16=0,'Parte Estrategica'!AT16=""),0,IF(VLOOKUP($A16,'Matriz de Referencia'!$B$2:$CO$584,74,FALSE)=0,0,"Digite"))</f>
        <v>0</v>
      </c>
      <c r="GD16" s="382">
        <f t="shared" si="39"/>
        <v>0</v>
      </c>
      <c r="GE16" s="454">
        <f>IF(OR('Parte Estrategica'!AT16=0,'Parte Estrategica'!AT16=""),0,IF(VLOOKUP($A16,'Matriz de Referencia'!$B$2:$CO$584,76,FALSE)=0,0,"Digite"))</f>
        <v>0</v>
      </c>
      <c r="GF16" s="454">
        <f>IF(OR('Parte Estrategica'!AT16=0,'Parte Estrategica'!AT16=""),0,IF(VLOOKUP($A16,'Matriz de Referencia'!$B$2:$CO$584,77,FALSE)=0,0,"Digite"))</f>
        <v>0</v>
      </c>
      <c r="GG16" s="454">
        <f>IF(OR('Parte Estrategica'!AT16=0,'Parte Estrategica'!AT16=""),0,IF(VLOOKUP($A16,'Matriz de Referencia'!$B$2:$CO$584,78,FALSE)=0,0,"Digite"))</f>
        <v>0</v>
      </c>
      <c r="GH16" s="382">
        <f t="shared" si="40"/>
        <v>0</v>
      </c>
      <c r="GI16" s="382">
        <f t="shared" si="41"/>
        <v>0</v>
      </c>
      <c r="GJ16" s="453">
        <f>IF(OR('Parte Estrategica'!AU16=0,'Parte Estrategica'!AU16=""),0,IF(VLOOKUP($A16,'Matriz de Referencia'!$B$2:$CO$584,67,FALSE)=0,0,"Digite"))</f>
        <v>0</v>
      </c>
      <c r="GK16" s="454">
        <f>IF(OR('Parte Estrategica'!AU16=0,'Parte Estrategica'!AU16=""),0,IF(VLOOKUP($A16,'Matriz de Referencia'!$B$2:$CO$584,68,FALSE)=0,0,"Digite"))</f>
        <v>0</v>
      </c>
      <c r="GL16" s="454">
        <f>IF(OR('Parte Estrategica'!AU16=0,'Parte Estrategica'!AU16=""),0,IF(VLOOKUP($A16,'Matriz de Referencia'!$B$2:$CO$584,69,FALSE)=0,0,"Digite"))</f>
        <v>0</v>
      </c>
      <c r="GM16" s="454">
        <f>IF(OR('Parte Estrategica'!AU16=0,'Parte Estrategica'!AU16=""),0,IF(VLOOKUP($A16,'Matriz de Referencia'!$B$2:$CO$584,70,FALSE)=0,0,"Digite"))</f>
        <v>0</v>
      </c>
      <c r="GN16" s="454">
        <f>IF(OR('Parte Estrategica'!AU16=0,'Parte Estrategica'!AU16=""),0,IF(VLOOKUP($A16,'Matriz de Referencia'!$B$2:$CO$584,71,FALSE)=0,0,"Digite"))</f>
        <v>0</v>
      </c>
      <c r="GO16" s="454">
        <f>IF(OR('Parte Estrategica'!AU16=0,'Parte Estrategica'!AU16=""),0,IF(VLOOKUP($A16,'Matriz de Referencia'!$B$2:$CO$584,72,FALSE)=0,0,"Digite"))</f>
        <v>0</v>
      </c>
      <c r="GP16" s="454">
        <f>IF(OR('Parte Estrategica'!AU16=0,'Parte Estrategica'!AU16=""),0,IF(VLOOKUP($A16,'Matriz de Referencia'!$B$2:$CO$584,73,FALSE)=0,0,"Digite"))</f>
        <v>0</v>
      </c>
      <c r="GQ16" s="454">
        <f>IF(OR('Parte Estrategica'!AU16=0,'Parte Estrategica'!AU16=""),0,IF(VLOOKUP($A16,'Matriz de Referencia'!$B$2:$CO$584,74,FALSE)=0,0,"Digite"))</f>
        <v>0</v>
      </c>
      <c r="GR16" s="382">
        <f t="shared" si="42"/>
        <v>0</v>
      </c>
      <c r="GS16" s="454">
        <f>IF(OR('Parte Estrategica'!AU16=0,'Parte Estrategica'!AU16=""),0,IF(VLOOKUP($A16,'Matriz de Referencia'!$B$2:$CO$584,76,FALSE)=0,0,"Digite"))</f>
        <v>0</v>
      </c>
      <c r="GT16" s="454">
        <f>IF(OR('Parte Estrategica'!AU16=0,'Parte Estrategica'!AU16=""),0,IF(VLOOKUP($A16,'Matriz de Referencia'!$B$2:$CO$584,77,FALSE)=0,0,"Digite"))</f>
        <v>0</v>
      </c>
      <c r="GU16" s="454">
        <f>IF(OR('Parte Estrategica'!AU16=0,'Parte Estrategica'!AU16=""),0,IF(VLOOKUP($A16,'Matriz de Referencia'!$B$2:$CO$584,78,FALSE)=0,0,"Digite"))</f>
        <v>0</v>
      </c>
      <c r="GV16" s="382">
        <f t="shared" si="43"/>
        <v>0</v>
      </c>
      <c r="GW16" s="382">
        <f t="shared" si="44"/>
        <v>0</v>
      </c>
      <c r="GX16" s="453">
        <f>IF(OR('Parte Estrategica'!AV16=0,'Parte Estrategica'!AV16=""),0,IF(VLOOKUP($A16,'Matriz de Referencia'!$B$2:$CO$584,67,FALSE)=0,0,"Digite"))</f>
        <v>0</v>
      </c>
      <c r="GY16" s="454">
        <f>IF(OR('Parte Estrategica'!AV16=0,'Parte Estrategica'!AV16=""),0,IF(VLOOKUP($A16,'Matriz de Referencia'!$B$2:$CO$584,68,FALSE)=0,0,"Digite"))</f>
        <v>0</v>
      </c>
      <c r="GZ16" s="454">
        <f>IF(OR('Parte Estrategica'!AV16=0,'Parte Estrategica'!AV16=""),0,IF(VLOOKUP($A16,'Matriz de Referencia'!$B$2:$CO$584,69,FALSE)=0,0,"Digite"))</f>
        <v>0</v>
      </c>
      <c r="HA16" s="454">
        <f>IF(OR('Parte Estrategica'!AV16=0,'Parte Estrategica'!AV16=""),0,IF(VLOOKUP($A16,'Matriz de Referencia'!$B$2:$CO$584,70,FALSE)=0,0,"Digite"))</f>
        <v>0</v>
      </c>
      <c r="HB16" s="454">
        <f>IF(OR('Parte Estrategica'!AV16=0,'Parte Estrategica'!AV16=""),0,IF(VLOOKUP($A16,'Matriz de Referencia'!$B$2:$CO$584,71,FALSE)=0,0,"Digite"))</f>
        <v>0</v>
      </c>
      <c r="HC16" s="454">
        <f>IF(OR('Parte Estrategica'!AV16=0,'Parte Estrategica'!AV16=""),0,IF(VLOOKUP($A16,'Matriz de Referencia'!$B$2:$CO$584,72,FALSE)=0,0,"Digite"))</f>
        <v>0</v>
      </c>
      <c r="HD16" s="454">
        <f>IF(OR('Parte Estrategica'!AV16=0,'Parte Estrategica'!AV16=""),0,IF(VLOOKUP($A16,'Matriz de Referencia'!$B$2:$CO$584,73,FALSE)=0,0,"Digite"))</f>
        <v>0</v>
      </c>
      <c r="HE16" s="454">
        <f>IF(OR('Parte Estrategica'!AV16=0,'Parte Estrategica'!AV16=""),0,IF(VLOOKUP($A16,'Matriz de Referencia'!$B$2:$CO$584,74,FALSE)=0,0,"Digite"))</f>
        <v>0</v>
      </c>
      <c r="HF16" s="382">
        <f t="shared" si="45"/>
        <v>0</v>
      </c>
      <c r="HG16" s="454">
        <f>IF(OR('Parte Estrategica'!AV16=0,'Parte Estrategica'!AV16=""),0,IF(VLOOKUP($A16,'Matriz de Referencia'!$B$2:$CO$584,76,FALSE)=0,0,"Digite"))</f>
        <v>0</v>
      </c>
      <c r="HH16" s="454">
        <f>IF(OR('Parte Estrategica'!AV16=0,'Parte Estrategica'!AV16=""),0,IF(VLOOKUP($A16,'Matriz de Referencia'!$B$2:$CO$584,77,FALSE)=0,0,"Digite"))</f>
        <v>0</v>
      </c>
      <c r="HI16" s="454">
        <f>IF(OR('Parte Estrategica'!AV16=0,'Parte Estrategica'!AV16=""),0,IF(VLOOKUP($A16,'Matriz de Referencia'!$B$2:$CO$584,78,FALSE)=0,0,"Digite"))</f>
        <v>0</v>
      </c>
      <c r="HJ16" s="382">
        <f t="shared" si="46"/>
        <v>0</v>
      </c>
      <c r="HK16" s="382">
        <f t="shared" si="47"/>
        <v>0</v>
      </c>
      <c r="HL16" s="453">
        <f>IF(OR('Parte Estrategica'!AW16=0,'Parte Estrategica'!AW16=""),0,IF(VLOOKUP($A16,'Matriz de Referencia'!$B$2:$CO$584,67,FALSE)=0,0,"Digite"))</f>
        <v>0</v>
      </c>
      <c r="HM16" s="454">
        <f>IF(OR('Parte Estrategica'!AW16=0,'Parte Estrategica'!AW16=""),0,IF(VLOOKUP($A16,'Matriz de Referencia'!$B$2:$CO$584,68,FALSE)=0,0,"Digite"))</f>
        <v>0</v>
      </c>
      <c r="HN16" s="454">
        <f>IF(OR('Parte Estrategica'!AW16=0,'Parte Estrategica'!AW16=""),0,IF(VLOOKUP($A16,'Matriz de Referencia'!$B$2:$CO$584,69,FALSE)=0,0,"Digite"))</f>
        <v>0</v>
      </c>
      <c r="HO16" s="454">
        <f>IF(OR('Parte Estrategica'!AW16=0,'Parte Estrategica'!AW16=""),0,IF(VLOOKUP($A16,'Matriz de Referencia'!$B$2:$CO$584,70,FALSE)=0,0,"Digite"))</f>
        <v>0</v>
      </c>
      <c r="HP16" s="454">
        <f>IF(OR('Parte Estrategica'!AW16=0,'Parte Estrategica'!AW16=""),0,IF(VLOOKUP($A16,'Matriz de Referencia'!$B$2:$CO$584,71,FALSE)=0,0,"Digite"))</f>
        <v>0</v>
      </c>
      <c r="HQ16" s="454">
        <f>IF(OR('Parte Estrategica'!AW16=0,'Parte Estrategica'!AW16=""),0,IF(VLOOKUP($A16,'Matriz de Referencia'!$B$2:$CO$584,72,FALSE)=0,0,"Digite"))</f>
        <v>0</v>
      </c>
      <c r="HR16" s="454">
        <f>IF(OR('Parte Estrategica'!AW16=0,'Parte Estrategica'!AW16=""),0,IF(VLOOKUP($A16,'Matriz de Referencia'!$B$2:$CO$584,73,FALSE)=0,0,"Digite"))</f>
        <v>0</v>
      </c>
      <c r="HS16" s="454">
        <f>IF(OR('Parte Estrategica'!AW16=0,'Parte Estrategica'!AW16=""),0,IF(VLOOKUP($A16,'Matriz de Referencia'!$B$2:$CO$584,74,FALSE)=0,0,"Digite"))</f>
        <v>0</v>
      </c>
      <c r="HT16" s="382">
        <f t="shared" si="48"/>
        <v>0</v>
      </c>
      <c r="HU16" s="454">
        <f>IF(OR('Parte Estrategica'!AW16=0,'Parte Estrategica'!AW16=""),0,IF(VLOOKUP($A16,'Matriz de Referencia'!$B$2:$CO$584,76,FALSE)=0,0,"Digite"))</f>
        <v>0</v>
      </c>
      <c r="HV16" s="454">
        <f>IF(OR('Parte Estrategica'!AW16=0,'Parte Estrategica'!AW16=""),0,IF(VLOOKUP($A16,'Matriz de Referencia'!$B$2:$CO$584,77,FALSE)=0,0,"Digite"))</f>
        <v>0</v>
      </c>
      <c r="HW16" s="454">
        <f>IF(OR('Parte Estrategica'!AW16=0,'Parte Estrategica'!AW16=""),0,IF(VLOOKUP($A16,'Matriz de Referencia'!$B$2:$CO$584,78,FALSE)=0,0,"Digite"))</f>
        <v>0</v>
      </c>
      <c r="HX16" s="382">
        <f t="shared" si="49"/>
        <v>0</v>
      </c>
      <c r="HY16" s="382">
        <f t="shared" si="50"/>
        <v>0</v>
      </c>
      <c r="HZ16" s="382">
        <f t="shared" si="51"/>
        <v>0</v>
      </c>
      <c r="IA16" s="101" t="str">
        <f>IFERROR(IF(HZ16=0,"",IF(VLOOKUP($A16,'Matriz de Referencia'!$B$2:$CO$584,80,FALSE)=HZ16,"Techos ok, cotinue","Debe revisar el valor programado")),"")</f>
        <v/>
      </c>
      <c r="IB16" s="383">
        <f t="shared" si="52"/>
        <v>0</v>
      </c>
    </row>
    <row r="17" spans="1:236">
      <c r="A17" s="550" t="str">
        <f>IF('Parte Estrategica'!B17=0,"",'Parte Estrategica'!B17)</f>
        <v/>
      </c>
      <c r="B17" s="551" t="str">
        <f>IFERROR(VLOOKUP(A17,'Matriz de Referencia'!$B$2:$P$578,'Matriz de Referencia'!L$1,FALSE),"")</f>
        <v/>
      </c>
      <c r="C17" s="551" t="str">
        <f>IFERROR(VLOOKUP(A17,'Matriz de Referencia'!$B$2:$P$584,'Matriz de Referencia'!M$1,FALSE),"")</f>
        <v/>
      </c>
      <c r="D17" s="455" t="str">
        <f>IF(OR('Parte Estrategica'!AB17=0,'Parte Estrategica'!AB17=""),"",IF(VLOOKUP($A17,'Matriz de Referencia'!$B$2:$CO$584,'Matriz de Referencia'!Z$1,FALSE)=0,"","Digite"))</f>
        <v/>
      </c>
      <c r="E17" s="456">
        <f>IF(OR('Parte Estrategica'!AB17=0,'Parte Estrategica'!AB17=""),0,IF(VLOOKUP($A17,'Matriz de Referencia'!$B$2:$CO$584,26,FALSE)=0,0,"Digite"))</f>
        <v>0</v>
      </c>
      <c r="F17" s="456">
        <f>IF(OR('Parte Estrategica'!AB17=0,'Parte Estrategica'!AB17=""),0,IF(VLOOKUP($A17,'Matriz de Referencia'!$B$2:$CO$584,27,FALSE)=0,0,"Digite"))</f>
        <v>0</v>
      </c>
      <c r="G17" s="456">
        <f>IF(OR('Parte Estrategica'!AB17=0,'Parte Estrategica'!AB17=""),0,IF(VLOOKUP($A17,'Matriz de Referencia'!$B$2:$CO$584,28,FALSE)=0,0,"Digite"))</f>
        <v>0</v>
      </c>
      <c r="H17" s="456">
        <f>IF(OR('Parte Estrategica'!AB17=0,'Parte Estrategica'!AB17=""),0,IF(VLOOKUP($A17,'Matriz de Referencia'!$B$2:$CO$584,29,FALSE)=0,0,"Digite"))</f>
        <v>0</v>
      </c>
      <c r="I17" s="456">
        <f>IF(OR('Parte Estrategica'!AB17=0,'Parte Estrategica'!AB17=""),0,IF(VLOOKUP($A17,'Matriz de Referencia'!$B$2:$CO$584,30,FALSE)=0,0,"Digite"))</f>
        <v>0</v>
      </c>
      <c r="J17" s="456">
        <f>IF(OR('Parte Estrategica'!AB17=0,'Parte Estrategica'!AB17=""),0,IF(VLOOKUP($A17,'Matriz de Referencia'!$B$2:$CO$584,31,FALSE)=0,0,"Digite"))</f>
        <v>0</v>
      </c>
      <c r="K17" s="456">
        <f>IF(OR('Parte Estrategica'!AB17=0,'Parte Estrategica'!AB17=""),0,IF(VLOOKUP($A17,'Matriz de Referencia'!$B$2:$CO$584,32,FALSE)=0,0,"Digite"))</f>
        <v>0</v>
      </c>
      <c r="L17" s="460">
        <f t="shared" si="0"/>
        <v>0</v>
      </c>
      <c r="M17" s="456">
        <f>IF(OR('Parte Estrategica'!AB17=0,'Parte Estrategica'!AB17=""),0,IF(VLOOKUP($A17,'Matriz de Referencia'!$B$2:$CO$584,34,FALSE)=0,0,"Digite"))</f>
        <v>0</v>
      </c>
      <c r="N17" s="456">
        <f>IF(OR('Parte Estrategica'!AB17=0,'Parte Estrategica'!AB17=""),0,IF(VLOOKUP($A17,'Matriz de Referencia'!$B$2:$CO$584,35,FALSE)=0,0,"Digite"))</f>
        <v>0</v>
      </c>
      <c r="O17" s="456">
        <f>IF(OR('Parte Estrategica'!AB17=0,'Parte Estrategica'!AB17=""),0,IF(VLOOKUP($A17,'Matriz de Referencia'!$B$2:$CO$584,36,FALSE)=0,0,"Digite"))</f>
        <v>0</v>
      </c>
      <c r="P17" s="457">
        <f t="shared" si="1"/>
        <v>0</v>
      </c>
      <c r="Q17" s="457">
        <f t="shared" si="2"/>
        <v>0</v>
      </c>
      <c r="R17" s="455">
        <f>IF(OR('Parte Estrategica'!AC17=0,'Parte Estrategica'!AC17=""),0,IF(VLOOKUP($A17,'Matriz de Referencia'!$B$2:$CO$584,25,FALSE)=0,0,"Digite"))</f>
        <v>0</v>
      </c>
      <c r="S17" s="456">
        <f>IF(OR('Parte Estrategica'!AC17=0,'Parte Estrategica'!AC17=""),0,IF(VLOOKUP($A17,'Matriz de Referencia'!$B$2:$CO$584,26,FALSE)=0,0,"Digite"))</f>
        <v>0</v>
      </c>
      <c r="T17" s="456">
        <f>IF(OR('Parte Estrategica'!AC17=0,'Parte Estrategica'!AC17=""),0,IF(VLOOKUP($A17,'Matriz de Referencia'!$B$2:$CO$584,27,FALSE)=0,0,"Digite"))</f>
        <v>0</v>
      </c>
      <c r="U17" s="456">
        <f>IF(OR('Parte Estrategica'!AC17=0,'Parte Estrategica'!AC17=""),0,IF(VLOOKUP($A17,'Matriz de Referencia'!$B$2:$CO$584,28,FALSE)=0,0,"Digite"))</f>
        <v>0</v>
      </c>
      <c r="V17" s="456">
        <f>IF(OR('Parte Estrategica'!AC17=0,'Parte Estrategica'!AC17=""),0,IF(VLOOKUP($A17,'Matriz de Referencia'!$B$2:$CO$584,29,FALSE)=0,0,"Digite"))</f>
        <v>0</v>
      </c>
      <c r="W17" s="456">
        <f>IF(OR('Parte Estrategica'!AC17=0,'Parte Estrategica'!AC17=""),0,IF(VLOOKUP($A17,'Matriz de Referencia'!$B$2:$CO$584,30,FALSE)=0,0,"Digite"))</f>
        <v>0</v>
      </c>
      <c r="X17" s="456">
        <f>IF(OR('Parte Estrategica'!AC17=0,'Parte Estrategica'!AC17=""),0,IF(VLOOKUP($A17,'Matriz de Referencia'!$B$2:$CO$584,31,FALSE)=0,0,"Digite"))</f>
        <v>0</v>
      </c>
      <c r="Y17" s="456">
        <f>IF(OR('Parte Estrategica'!AC17=0,'Parte Estrategica'!AC17=""),0,IF(VLOOKUP($A17,'Matriz de Referencia'!$B$2:$CO$584,32,FALSE)=0,0,"Digite"))</f>
        <v>0</v>
      </c>
      <c r="Z17" s="457">
        <f t="shared" si="3"/>
        <v>0</v>
      </c>
      <c r="AA17" s="456">
        <f>IF(OR('Parte Estrategica'!AC17=0,'Parte Estrategica'!AC17=""),0,IF(VLOOKUP($A17,'Matriz de Referencia'!$B$2:$CO$584,34,FALSE)=0,0,"Digite"))</f>
        <v>0</v>
      </c>
      <c r="AB17" s="456">
        <f>IF(OR('Parte Estrategica'!AC17=0,'Parte Estrategica'!AC17=""),0,IF(VLOOKUP($A17,'Matriz de Referencia'!$B$2:$CO$584,35,FALSE)=0,0,"Digite"))</f>
        <v>0</v>
      </c>
      <c r="AC17" s="456">
        <f>IF(OR('Parte Estrategica'!AC17=0,'Parte Estrategica'!AC17=""),0,IF(VLOOKUP($A17,'Matriz de Referencia'!$B$2:$CO$584,36,FALSE)=0,0,"Digite"))</f>
        <v>0</v>
      </c>
      <c r="AD17" s="457">
        <f t="shared" si="4"/>
        <v>0</v>
      </c>
      <c r="AE17" s="457">
        <f t="shared" si="5"/>
        <v>0</v>
      </c>
      <c r="AF17" s="455">
        <f>IF(OR('Parte Estrategica'!AD17=0,'Parte Estrategica'!AD17=""),0,IF(VLOOKUP($A17,'Matriz de Referencia'!$B$2:$CO$584,25,FALSE)=0,0,"Digite"))</f>
        <v>0</v>
      </c>
      <c r="AG17" s="456">
        <f>IF(OR('Parte Estrategica'!AD17=0,'Parte Estrategica'!AD17=""),0,IF(VLOOKUP($A17,'Matriz de Referencia'!$B$2:$CO$584,26,FALSE)=0,0,"Digite"))</f>
        <v>0</v>
      </c>
      <c r="AH17" s="456">
        <f>IF(OR('Parte Estrategica'!AD17=0,'Parte Estrategica'!AD17=""),0,IF(VLOOKUP($A17,'Matriz de Referencia'!$B$2:$CO$584,27,FALSE)=0,0,"Digite"))</f>
        <v>0</v>
      </c>
      <c r="AI17" s="456">
        <f>IF(OR('Parte Estrategica'!AD17=0,'Parte Estrategica'!AD17=""),0,IF(VLOOKUP($A17,'Matriz de Referencia'!$B$2:$CO$584,28,FALSE)=0,0,"Digite"))</f>
        <v>0</v>
      </c>
      <c r="AJ17" s="456">
        <f>IF(OR('Parte Estrategica'!AD17=0,'Parte Estrategica'!AD17=""),0,IF(VLOOKUP($A17,'Matriz de Referencia'!$B$2:$CO$584,29,FALSE)=0,0,"Digite"))</f>
        <v>0</v>
      </c>
      <c r="AK17" s="456">
        <f>IF(OR('Parte Estrategica'!AD17=0,'Parte Estrategica'!AD17=""),0,IF(VLOOKUP($A17,'Matriz de Referencia'!$B$2:$CO$584,30,FALSE)=0,0,"Digite"))</f>
        <v>0</v>
      </c>
      <c r="AL17" s="456">
        <f>IF(OR('Parte Estrategica'!AD17=0,'Parte Estrategica'!AD17=""),0,IF(VLOOKUP($A17,'Matriz de Referencia'!$B$2:$CO$584,31,FALSE)=0,0,"Digite"))</f>
        <v>0</v>
      </c>
      <c r="AM17" s="456">
        <f>IF(OR('Parte Estrategica'!AD17=0,'Parte Estrategica'!AD17=""),0,IF(VLOOKUP($A17,'Matriz de Referencia'!$B$2:$CO$584,32,FALSE)=0,0,"Digite"))</f>
        <v>0</v>
      </c>
      <c r="AN17" s="457">
        <f t="shared" si="6"/>
        <v>0</v>
      </c>
      <c r="AO17" s="456">
        <f>IF(OR('Parte Estrategica'!AD17=0,'Parte Estrategica'!AD17=""),0,IF(VLOOKUP($A17,'Matriz de Referencia'!$B$2:$CO$584,34,FALSE)=0,0,"Digite"))</f>
        <v>0</v>
      </c>
      <c r="AP17" s="456">
        <f>IF(OR('Parte Estrategica'!AD17=0,'Parte Estrategica'!AD17=""),0,IF(VLOOKUP($A17,'Matriz de Referencia'!$B$2:$CO$584,35,FALSE)=0,0,"Digite"))</f>
        <v>0</v>
      </c>
      <c r="AQ17" s="456">
        <f>IF(OR('Parte Estrategica'!AD17=0,'Parte Estrategica'!AD17=""),0,IF(VLOOKUP($A17,'Matriz de Referencia'!$B$2:$CO$584,36,FALSE)=0,0,"Digite"))</f>
        <v>0</v>
      </c>
      <c r="AR17" s="457">
        <f t="shared" si="7"/>
        <v>0</v>
      </c>
      <c r="AS17" s="457">
        <f t="shared" si="8"/>
        <v>0</v>
      </c>
      <c r="AT17" s="455">
        <f>IF(OR('Parte Estrategica'!AE17=0,'Parte Estrategica'!AE17=""),0,IF(VLOOKUP($A17,'Matriz de Referencia'!$B$2:$CO$584,25,FALSE)=0,0,"Digite"))</f>
        <v>0</v>
      </c>
      <c r="AU17" s="456">
        <f>IF(OR('Parte Estrategica'!AE17=0,'Parte Estrategica'!AE17=""),0,IF(VLOOKUP($A17,'Matriz de Referencia'!$B$2:$CO$584,26,FALSE)=0,0,"Digite"))</f>
        <v>0</v>
      </c>
      <c r="AV17" s="456">
        <f>IF(OR('Parte Estrategica'!AE17=0,'Parte Estrategica'!AE17=""),0,IF(VLOOKUP($A17,'Matriz de Referencia'!$B$2:$CO$584,27,FALSE)=0,0,"Digite"))</f>
        <v>0</v>
      </c>
      <c r="AW17" s="456">
        <f>IF(OR('Parte Estrategica'!AE17=0,'Parte Estrategica'!AE17=""),0,IF(VLOOKUP($A17,'Matriz de Referencia'!$B$2:$CO$584,28,FALSE)=0,0,"Digite"))</f>
        <v>0</v>
      </c>
      <c r="AX17" s="456">
        <f>IF(OR('Parte Estrategica'!AE17=0,'Parte Estrategica'!AE17=""),0,IF(VLOOKUP($A17,'Matriz de Referencia'!$B$2:$CO$584,29,FALSE)=0,0,"Digite"))</f>
        <v>0</v>
      </c>
      <c r="AY17" s="456">
        <f>IF(OR('Parte Estrategica'!AE17=0,'Parte Estrategica'!AE17=""),0,IF(VLOOKUP($A17,'Matriz de Referencia'!$B$2:$CO$584,30,FALSE)=0,0,"Digite"))</f>
        <v>0</v>
      </c>
      <c r="AZ17" s="456">
        <f>IF(OR('Parte Estrategica'!AE17=0,'Parte Estrategica'!AE17=""),0,IF(VLOOKUP($A17,'Matriz de Referencia'!$B$2:$CO$584,31,FALSE)=0,0,"Digite"))</f>
        <v>0</v>
      </c>
      <c r="BA17" s="456">
        <f>IF(OR('Parte Estrategica'!AE17=0,'Parte Estrategica'!AE17=""),0,IF(VLOOKUP($A17,'Matriz de Referencia'!$B$2:$CO$584,32,FALSE)=0,0,"Digite"))</f>
        <v>0</v>
      </c>
      <c r="BB17" s="457">
        <f t="shared" si="9"/>
        <v>0</v>
      </c>
      <c r="BC17" s="456">
        <f>IF(OR('Parte Estrategica'!AE17=0,'Parte Estrategica'!AE17=""),0,IF(VLOOKUP($A17,'Matriz de Referencia'!$B$2:$CO$584,34,FALSE)=0,0,"Digite"))</f>
        <v>0</v>
      </c>
      <c r="BD17" s="456">
        <f>IF(OR('Parte Estrategica'!AE17=0,'Parte Estrategica'!AE17=""),0,IF(VLOOKUP($A17,'Matriz de Referencia'!$B$2:$CO$584,35,FALSE)=0,0,"Digite"))</f>
        <v>0</v>
      </c>
      <c r="BE17" s="456">
        <f>IF(OR('Parte Estrategica'!AE17=0,'Parte Estrategica'!AE17=""),0,IF(VLOOKUP($A17,'Matriz de Referencia'!$B$2:$CO$584,36,FALSE)=0,0,"Digite"))</f>
        <v>0</v>
      </c>
      <c r="BF17" s="457">
        <f t="shared" si="10"/>
        <v>0</v>
      </c>
      <c r="BG17" s="457">
        <f t="shared" si="11"/>
        <v>0</v>
      </c>
      <c r="BH17" s="457">
        <f t="shared" si="12"/>
        <v>0</v>
      </c>
      <c r="BI17" s="101" t="str">
        <f>IFERROR(IF(BH17=0,"",IF(VLOOKUP($A17,'Matriz de Referencia'!$B$2:$CO$584,'Matriz de Referencia'!AM$1,FALSE)=BH17,"Techos ok, cotinue","Debe revisar el valor programado")),"")</f>
        <v/>
      </c>
      <c r="BJ17" s="453">
        <f>IF(OR('Parte Estrategica'!AH17=0,'Parte Estrategica'!AH17=""),0,IF(VLOOKUP($A17,'Matriz de Referencia'!$B$2:$CO$584,39,FALSE)=0,0,"Digite"))</f>
        <v>0</v>
      </c>
      <c r="BK17" s="454">
        <f>IF(OR('Parte Estrategica'!AH17=0,'Parte Estrategica'!AH17=""),0,IF(VLOOKUP($A17,'Matriz de Referencia'!$B$2:$CO$584,40,FALSE)=0,0,"Digite"))</f>
        <v>0</v>
      </c>
      <c r="BL17" s="454">
        <f>IF(OR('Parte Estrategica'!AH17=0,'Parte Estrategica'!AH17=""),0,IF(VLOOKUP($A17,'Matriz de Referencia'!$B$2:$CO$584,41,FALSE)=0,0,"Digite"))</f>
        <v>0</v>
      </c>
      <c r="BM17" s="454">
        <f>IF(OR('Parte Estrategica'!AH17=0,'Parte Estrategica'!AH17=""),0,IF(VLOOKUP($A17,'Matriz de Referencia'!$B$2:$CO$584,42,FALSE)=0,0,"Digite"))</f>
        <v>0</v>
      </c>
      <c r="BN17" s="454">
        <f>IF(OR('Parte Estrategica'!AH17=0,'Parte Estrategica'!AH17=""),0,IF(VLOOKUP($A17,'Matriz de Referencia'!$B$2:$CO$584,43,FALSE)=0,0,"Digite"))</f>
        <v>0</v>
      </c>
      <c r="BO17" s="454">
        <f>IF(OR('Parte Estrategica'!AH17=0,'Parte Estrategica'!AH17=""),0,IF(VLOOKUP($A17,'Matriz de Referencia'!$B$2:$CO$584,44,FALSE)=0,0,"Digite"))</f>
        <v>0</v>
      </c>
      <c r="BP17" s="454">
        <f>IF(OR('Parte Estrategica'!AH17=0,'Parte Estrategica'!AH17=""),0,IF(VLOOKUP($A17,'Matriz de Referencia'!$B$2:$CO$584,45,FALSE)=0,0,"Digite"))</f>
        <v>0</v>
      </c>
      <c r="BQ17" s="454">
        <f>IF(OR('Parte Estrategica'!AH17=0,'Parte Estrategica'!AH17=""),0,IF(VLOOKUP($A17,'Matriz de Referencia'!$B$2:$CO$584,46,FALSE)=0,0,"Digite"))</f>
        <v>0</v>
      </c>
      <c r="BR17" s="382">
        <f t="shared" si="13"/>
        <v>0</v>
      </c>
      <c r="BS17" s="454">
        <f>IF(OR('Parte Estrategica'!CL17=0,'Parte Estrategica'!CL17=""),0,IF(VLOOKUP($A17,'Matriz de Referencia'!$B$2:$CO$584,48,FALSE)=0,0,"Digite"))</f>
        <v>0</v>
      </c>
      <c r="BT17" s="454">
        <f>IF(OR('Parte Estrategica'!CL17=0,'Parte Estrategica'!CL17=""),0,IF(VLOOKUP($A17,'Matriz de Referencia'!$B$2:$CO$584,49,FALSE)=0,0,"Digite"))</f>
        <v>0</v>
      </c>
      <c r="BU17" s="454">
        <f>IF(OR('Parte Estrategica'!CL17=0,'Parte Estrategica'!CL17=""),0,IF(VLOOKUP($A17,'Matriz de Referencia'!$B$2:$CO$584,50,FALSE)=0,0,"Digite"))</f>
        <v>0</v>
      </c>
      <c r="BV17" s="382">
        <f t="shared" si="14"/>
        <v>0</v>
      </c>
      <c r="BW17" s="382">
        <f t="shared" si="15"/>
        <v>0</v>
      </c>
      <c r="BX17" s="453">
        <f>IF(OR('Parte Estrategica'!AI17=0,'Parte Estrategica'!AI17=""),0,IF(VLOOKUP($A17,'Matriz de Referencia'!$B$2:$CO$584,39,FALSE)=0,0,"Digite"))</f>
        <v>0</v>
      </c>
      <c r="BY17" s="454">
        <f>IF(OR('Parte Estrategica'!AI17=0,'Parte Estrategica'!AI17=""),0,IF(VLOOKUP($A17,'Matriz de Referencia'!$B$2:$CO$584,40,FALSE)=0,0,"Digite"))</f>
        <v>0</v>
      </c>
      <c r="BZ17" s="454">
        <f>IF(OR('Parte Estrategica'!AI17=0,'Parte Estrategica'!AI17=""),0,IF(VLOOKUP($A17,'Matriz de Referencia'!$B$2:$CO$584,41,FALSE)=0,0,"Digite"))</f>
        <v>0</v>
      </c>
      <c r="CA17" s="454">
        <f>IF(OR('Parte Estrategica'!AI17=0,'Parte Estrategica'!AI17=""),0,IF(VLOOKUP($A17,'Matriz de Referencia'!$B$2:$CO$584,42,FALSE)=0,0,"Digite"))</f>
        <v>0</v>
      </c>
      <c r="CB17" s="454">
        <f>IF(OR('Parte Estrategica'!AI17=0,'Parte Estrategica'!AI17=""),0,IF(VLOOKUP($A17,'Matriz de Referencia'!$B$2:$CO$584,43,FALSE)=0,0,"Digite"))</f>
        <v>0</v>
      </c>
      <c r="CC17" s="454">
        <f>IF(OR('Parte Estrategica'!AI17=0,'Parte Estrategica'!AI17=""),0,IF(VLOOKUP($A17,'Matriz de Referencia'!$B$2:$CO$584,44,FALSE)=0,0,"Digite"))</f>
        <v>0</v>
      </c>
      <c r="CD17" s="454">
        <f>IF(OR('Parte Estrategica'!AI17=0,'Parte Estrategica'!AI17=""),0,IF(VLOOKUP($A17,'Matriz de Referencia'!$B$2:$CO$584,45,FALSE)=0,0,"Digite"))</f>
        <v>0</v>
      </c>
      <c r="CE17" s="454">
        <f>IF(OR('Parte Estrategica'!AI17=0,'Parte Estrategica'!AI17=""),0,IF(VLOOKUP($A17,'Matriz de Referencia'!$B$2:$CO$584,46,FALSE)=0,0,"Digite"))</f>
        <v>0</v>
      </c>
      <c r="CF17" s="382">
        <f t="shared" si="16"/>
        <v>0</v>
      </c>
      <c r="CG17" s="454">
        <f>IF(OR('Parte Estrategica'!AI17=0,'Parte Estrategica'!AI17=""),0,IF(VLOOKUP($A17,'Matriz de Referencia'!$B$2:$CO$584,48,FALSE)=0,0,"Digite"))</f>
        <v>0</v>
      </c>
      <c r="CH17" s="454">
        <f>IF(OR('Parte Estrategica'!AI17=0,'Parte Estrategica'!AI17=""),0,IF(VLOOKUP($A17,'Matriz de Referencia'!$B$2:$CO$584,49,FALSE)=0,0,"Digite"))</f>
        <v>0</v>
      </c>
      <c r="CI17" s="454">
        <f>IF(OR('Parte Estrategica'!AI17=0,'Parte Estrategica'!AI17=""),0,IF(VLOOKUP($A17,'Matriz de Referencia'!$B$2:$CO$584,50,FALSE)=0,0,"Digite"))</f>
        <v>0</v>
      </c>
      <c r="CJ17" s="382">
        <f t="shared" si="17"/>
        <v>0</v>
      </c>
      <c r="CK17" s="382">
        <f t="shared" si="18"/>
        <v>0</v>
      </c>
      <c r="CL17" s="453">
        <f>IF(OR('Parte Estrategica'!AJ17=0,'Parte Estrategica'!AJ17=""),0,IF(VLOOKUP($A17,'Matriz de Referencia'!$B$2:$CO$584,39,FALSE)=0,0,"Digite"))</f>
        <v>0</v>
      </c>
      <c r="CM17" s="454">
        <f>IF(OR('Parte Estrategica'!AJ17=0,'Parte Estrategica'!AJ17=""),0,IF(VLOOKUP($A17,'Matriz de Referencia'!$B$2:$CO$584,40,FALSE)=0,0,"Digite"))</f>
        <v>0</v>
      </c>
      <c r="CN17" s="454">
        <f>IF(OR('Parte Estrategica'!AJ17=0,'Parte Estrategica'!AJ17=""),0,IF(VLOOKUP($A17,'Matriz de Referencia'!$B$2:$CO$584,41,FALSE)=0,0,"Digite"))</f>
        <v>0</v>
      </c>
      <c r="CO17" s="454">
        <f>IF(OR('Parte Estrategica'!AJ17=0,'Parte Estrategica'!AJ17=""),0,IF(VLOOKUP($A17,'Matriz de Referencia'!$B$2:$CO$584,42,FALSE)=0,0,"Digite"))</f>
        <v>0</v>
      </c>
      <c r="CP17" s="454">
        <f>IF(OR('Parte Estrategica'!AJ17=0,'Parte Estrategica'!AJ17=""),0,IF(VLOOKUP($A17,'Matriz de Referencia'!$B$2:$CO$584,43,FALSE)=0,0,"Digite"))</f>
        <v>0</v>
      </c>
      <c r="CQ17" s="454">
        <f>IF(OR('Parte Estrategica'!AJ17=0,'Parte Estrategica'!AJ17=""),0,IF(VLOOKUP($A17,'Matriz de Referencia'!$B$2:$CO$584,44,FALSE)=0,0,"Digite"))</f>
        <v>0</v>
      </c>
      <c r="CR17" s="454">
        <f>IF(OR('Parte Estrategica'!AJ17=0,'Parte Estrategica'!AJ17=""),0,IF(VLOOKUP($A17,'Matriz de Referencia'!$B$2:$CO$584,45,FALSE)=0,0,"Digite"))</f>
        <v>0</v>
      </c>
      <c r="CS17" s="454">
        <f>IF(OR('Parte Estrategica'!AJ17=0,'Parte Estrategica'!AJ17=""),0,IF(VLOOKUP($A17,'Matriz de Referencia'!$B$2:$CO$584,46,FALSE)=0,0,"Digite"))</f>
        <v>0</v>
      </c>
      <c r="CT17" s="382">
        <f t="shared" si="19"/>
        <v>0</v>
      </c>
      <c r="CU17" s="454">
        <f>IF(OR('Parte Estrategica'!AJ17=0,'Parte Estrategica'!AJ17=""),0,IF(VLOOKUP($A17,'Matriz de Referencia'!$B$2:$CO$584,48,FALSE)=0,0,"Digite"))</f>
        <v>0</v>
      </c>
      <c r="CV17" s="454">
        <f>IF(OR('Parte Estrategica'!AJ17=0,'Parte Estrategica'!AJ17=""),0,IF(VLOOKUP($A17,'Matriz de Referencia'!$B$2:$CO$584,49,FALSE)=0,0,"Digite"))</f>
        <v>0</v>
      </c>
      <c r="CW17" s="454">
        <f>IF(OR('Parte Estrategica'!AJ17=0,'Parte Estrategica'!AJ17=""),0,IF(VLOOKUP($A17,'Matriz de Referencia'!$B$2:$CO$584,50,FALSE)=0,0,"Digite"))</f>
        <v>0</v>
      </c>
      <c r="CX17" s="382">
        <f t="shared" si="20"/>
        <v>0</v>
      </c>
      <c r="CY17" s="382">
        <f t="shared" si="21"/>
        <v>0</v>
      </c>
      <c r="CZ17" s="453">
        <f>IF(OR('Parte Estrategica'!AK17=0,'Parte Estrategica'!AK17=""),0,IF(VLOOKUP($A17,'Matriz de Referencia'!$B$2:$CO$584,39,FALSE)=0,0,"Digite"))</f>
        <v>0</v>
      </c>
      <c r="DA17" s="454">
        <f>IF(OR('Parte Estrategica'!AK17=0,'Parte Estrategica'!AK17=""),0,IF(VLOOKUP($A17,'Matriz de Referencia'!$B$2:$CO$584,40,FALSE)=0,0,"Digite"))</f>
        <v>0</v>
      </c>
      <c r="DB17" s="454">
        <f>IF(OR('Parte Estrategica'!AK17=0,'Parte Estrategica'!AK17=""),0,IF(VLOOKUP($A17,'Matriz de Referencia'!$B$2:$CO$584,41,FALSE)=0,0,"Digite"))</f>
        <v>0</v>
      </c>
      <c r="DC17" s="454">
        <f>IF(OR('Parte Estrategica'!AK17=0,'Parte Estrategica'!AK17=""),0,IF(VLOOKUP($A17,'Matriz de Referencia'!$B$2:$CO$584,42,FALSE)=0,0,"Digite"))</f>
        <v>0</v>
      </c>
      <c r="DD17" s="454">
        <f>IF(OR('Parte Estrategica'!AK17=0,'Parte Estrategica'!AK17=""),0,IF(VLOOKUP($A17,'Matriz de Referencia'!$B$2:$CO$584,43,FALSE)=0,0,"Digite"))</f>
        <v>0</v>
      </c>
      <c r="DE17" s="454">
        <f>IF(OR('Parte Estrategica'!AK17=0,'Parte Estrategica'!AK17=""),0,IF(VLOOKUP($A17,'Matriz de Referencia'!$B$2:$CO$584,44,FALSE)=0,0,"Digite"))</f>
        <v>0</v>
      </c>
      <c r="DF17" s="454">
        <f>IF(OR('Parte Estrategica'!AK17=0,'Parte Estrategica'!AK17=""),0,IF(VLOOKUP($A17,'Matriz de Referencia'!$B$2:$CO$584,45,FALSE)=0,0,"Digite"))</f>
        <v>0</v>
      </c>
      <c r="DG17" s="454">
        <f>IF(OR('Parte Estrategica'!AK17=0,'Parte Estrategica'!AK17=""),0,IF(VLOOKUP($A17,'Matriz de Referencia'!$B$2:$CO$584,46,FALSE)=0,0,"Digite"))</f>
        <v>0</v>
      </c>
      <c r="DH17" s="382">
        <f t="shared" si="22"/>
        <v>0</v>
      </c>
      <c r="DI17" s="454">
        <f>IF(OR('Parte Estrategica'!AK17=0,'Parte Estrategica'!AK17=""),0,IF(VLOOKUP($A17,'Matriz de Referencia'!$B$2:$CO$584,48,FALSE)=0,0,"Digite"))</f>
        <v>0</v>
      </c>
      <c r="DJ17" s="454">
        <f>IF(OR('Parte Estrategica'!AK17=0,'Parte Estrategica'!AK17=""),0,IF(VLOOKUP($A17,'Matriz de Referencia'!$B$2:$CO$584,49,FALSE)=0,0,"Digite"))</f>
        <v>0</v>
      </c>
      <c r="DK17" s="454">
        <f>IF(OR('Parte Estrategica'!AK17=0,'Parte Estrategica'!AK17=""),0,IF(VLOOKUP($A17,'Matriz de Referencia'!$B$2:$CO$584,50,FALSE)=0,0,"Digite"))</f>
        <v>0</v>
      </c>
      <c r="DL17" s="382">
        <f t="shared" si="23"/>
        <v>0</v>
      </c>
      <c r="DM17" s="382">
        <f t="shared" si="24"/>
        <v>0</v>
      </c>
      <c r="DN17" s="382">
        <f t="shared" si="25"/>
        <v>0</v>
      </c>
      <c r="DO17" s="101" t="str">
        <f>IFERROR(IF(DN17=0,"",IF(VLOOKUP($A17,'Matriz de Referencia'!$B$2:$CO$584,52,FALSE)=DN17,"Techos ok, cotinue","Debe revisar el valor programado")),"")</f>
        <v/>
      </c>
      <c r="DP17" s="453">
        <f>IF(OR('Parte Estrategica'!AN17=0,'Parte Estrategica'!AN17=""),0,IF(VLOOKUP($A17,'Matriz de Referencia'!$B$2:$CO$584,53,FALSE)=0,0,"Digite"))</f>
        <v>0</v>
      </c>
      <c r="DQ17" s="454">
        <f>IF(OR('Parte Estrategica'!AN17=0,'Parte Estrategica'!AN17=""),0,IF(VLOOKUP($A17,'Matriz de Referencia'!$B$2:$CO$584,54,FALSE)=0,0,"Digite"))</f>
        <v>0</v>
      </c>
      <c r="DR17" s="454">
        <f>IF(OR('Parte Estrategica'!AN17=0,'Parte Estrategica'!AN17=""),0,IF(VLOOKUP($A17,'Matriz de Referencia'!$B$2:$CO$584,55,FALSE)=0,0,"Digite"))</f>
        <v>0</v>
      </c>
      <c r="DS17" s="454">
        <f>IF(OR('Parte Estrategica'!AN17=0,'Parte Estrategica'!AN17=""),0,IF(VLOOKUP($A17,'Matriz de Referencia'!$B$2:$CO$584,56,FALSE)=0,0,"Digite"))</f>
        <v>0</v>
      </c>
      <c r="DT17" s="454">
        <f>IF(OR('Parte Estrategica'!AN17=0,'Parte Estrategica'!AN17=""),0,IF(VLOOKUP($A17,'Matriz de Referencia'!$B$2:$CO$584,57,FALSE)=0,0,"Digite"))</f>
        <v>0</v>
      </c>
      <c r="DU17" s="454">
        <f>IF(OR('Parte Estrategica'!AN17=0,'Parte Estrategica'!AN17=""),0,IF(VLOOKUP($A17,'Matriz de Referencia'!$B$2:$CO$584,58,FALSE)=0,0,"Digite"))</f>
        <v>0</v>
      </c>
      <c r="DV17" s="454">
        <f>IF(OR('Parte Estrategica'!AN17=0,'Parte Estrategica'!AN17=""),0,IF(VLOOKUP($A17,'Matriz de Referencia'!$B$2:$CO$584,59,FALSE)=0,0,"Digite"))</f>
        <v>0</v>
      </c>
      <c r="DW17" s="454">
        <f>IF(OR('Parte Estrategica'!AN17=0,'Parte Estrategica'!AN17=""),0,IF(VLOOKUP($A17,'Matriz de Referencia'!$B$2:$CO$584,60,FALSE)=0,0,"Digite"))</f>
        <v>0</v>
      </c>
      <c r="DX17" s="382">
        <f t="shared" si="26"/>
        <v>0</v>
      </c>
      <c r="DY17" s="454">
        <f>IF(OR('Parte Estrategica'!AN17=0,'Parte Estrategica'!AN17=""),0,IF(VLOOKUP($A17,'Matriz de Referencia'!$B$2:$CO$584,62,FALSE)=0,0,"Digite"))</f>
        <v>0</v>
      </c>
      <c r="DZ17" s="454">
        <f>IF(OR('Parte Estrategica'!AN17=0,'Parte Estrategica'!AN17=""),0,IF(VLOOKUP($A17,'Matriz de Referencia'!$B$2:$CO$584,63,FALSE)=0,0,"Digite"))</f>
        <v>0</v>
      </c>
      <c r="EA17" s="454" t="str">
        <f>IF(OR('Parte Estrategica'!AN17=0,'Parte Estrategica'!AN17=""),"",IF(VLOOKUP($A17,'Matriz de Referencia'!$B$2:$CO$584,64,FALSE)=0,"","Digite"))</f>
        <v/>
      </c>
      <c r="EB17" s="382">
        <f t="shared" si="27"/>
        <v>0</v>
      </c>
      <c r="EC17" s="382">
        <f t="shared" si="28"/>
        <v>0</v>
      </c>
      <c r="ED17" s="453">
        <f>IF(OR('Parte Estrategica'!AO17=0,'Parte Estrategica'!AO17=""),0,IF(VLOOKUP($A17,'Matriz de Referencia'!$B$2:$CO$584,53,FALSE)=0,0,"Digite"))</f>
        <v>0</v>
      </c>
      <c r="EE17" s="454">
        <f>IF(OR('Parte Estrategica'!AO17=0,'Parte Estrategica'!AO17=""),0,IF(VLOOKUP($A17,'Matriz de Referencia'!$B$2:$CO$584,54,FALSE)=0,0,"Digite"))</f>
        <v>0</v>
      </c>
      <c r="EF17" s="454">
        <f>IF(OR('Parte Estrategica'!AO17=0,'Parte Estrategica'!AO17=""),0,IF(VLOOKUP($A17,'Matriz de Referencia'!$B$2:$CO$584,55,FALSE)=0,0,"Digite"))</f>
        <v>0</v>
      </c>
      <c r="EG17" s="454">
        <f>IF(OR('Parte Estrategica'!AO17=0,'Parte Estrategica'!AO17=""),0,IF(VLOOKUP($A17,'Matriz de Referencia'!$B$2:$CO$584,56,FALSE)=0,0,"Digite"))</f>
        <v>0</v>
      </c>
      <c r="EH17" s="454">
        <f>IF(OR('Parte Estrategica'!AO17=0,'Parte Estrategica'!AO17=""),0,IF(VLOOKUP($A17,'Matriz de Referencia'!$B$2:$CO$584,57,FALSE)=0,0,"Digite"))</f>
        <v>0</v>
      </c>
      <c r="EI17" s="454">
        <f>IF(OR('Parte Estrategica'!AO17=0,'Parte Estrategica'!AO17=""),0,IF(VLOOKUP($A17,'Matriz de Referencia'!$B$2:$CO$584,58,FALSE)=0,0,"Digite"))</f>
        <v>0</v>
      </c>
      <c r="EJ17" s="454">
        <f>IF(OR('Parte Estrategica'!AO17=0,'Parte Estrategica'!AO17=""),0,IF(VLOOKUP($A17,'Matriz de Referencia'!$B$2:$CO$584,59,FALSE)=0,0,"Digite"))</f>
        <v>0</v>
      </c>
      <c r="EK17" s="454">
        <f>IF(OR('Parte Estrategica'!AO17=0,'Parte Estrategica'!AO17=""),0,IF(VLOOKUP($A17,'Matriz de Referencia'!$B$2:$CO$584,60,FALSE)=0,0,"Digite"))</f>
        <v>0</v>
      </c>
      <c r="EL17" s="382">
        <f t="shared" si="29"/>
        <v>0</v>
      </c>
      <c r="EM17" s="454">
        <f>IF(OR('Parte Estrategica'!AO17=0,'Parte Estrategica'!AO17=""),0,IF(VLOOKUP($A17,'Matriz de Referencia'!$B$2:$CO$584,62,FALSE)=0,0,"Digite"))</f>
        <v>0</v>
      </c>
      <c r="EN17" s="454">
        <f>IF(OR('Parte Estrategica'!AO17=0,'Parte Estrategica'!AO17=""),0,IF(VLOOKUP($A17,'Matriz de Referencia'!$B$2:$CO$584,63,FALSE)=0,0,"Digite"))</f>
        <v>0</v>
      </c>
      <c r="EO17" s="454">
        <f>IF(OR('Parte Estrategica'!AO17=0,'Parte Estrategica'!AO17=""),0,IF(VLOOKUP($A17,'Matriz de Referencia'!$B$2:$CO$584,64,FALSE)=0,0,"Digite"))</f>
        <v>0</v>
      </c>
      <c r="EP17" s="382">
        <f t="shared" si="30"/>
        <v>0</v>
      </c>
      <c r="EQ17" s="382">
        <f t="shared" si="31"/>
        <v>0</v>
      </c>
      <c r="ER17" s="453">
        <f>IF(OR('Parte Estrategica'!AP17=0,'Parte Estrategica'!AP17=""),0,IF(VLOOKUP($A17,'Matriz de Referencia'!$B$2:$CO$584,53,FALSE)=0,0,"Digite"))</f>
        <v>0</v>
      </c>
      <c r="ES17" s="454">
        <f>IF(OR('Parte Estrategica'!AP17=0,'Parte Estrategica'!AP17=""),0,IF(VLOOKUP($A17,'Matriz de Referencia'!$B$2:$CO$584,54,FALSE)=0,0,"Digite"))</f>
        <v>0</v>
      </c>
      <c r="ET17" s="454">
        <f>IF(OR('Parte Estrategica'!AP17=0,'Parte Estrategica'!AP17=""),0,IF(VLOOKUP($A17,'Matriz de Referencia'!$B$2:$CO$584,55,FALSE)=0,0,"Digite"))</f>
        <v>0</v>
      </c>
      <c r="EU17" s="454">
        <f>IF(OR('Parte Estrategica'!AP17=0,'Parte Estrategica'!AP17=""),0,IF(VLOOKUP($A17,'Matriz de Referencia'!$B$2:$CO$584,56,FALSE)=0,0,"Digite"))</f>
        <v>0</v>
      </c>
      <c r="EV17" s="454">
        <f>IF(OR('Parte Estrategica'!AP17=0,'Parte Estrategica'!AP17=""),0,IF(VLOOKUP($A17,'Matriz de Referencia'!$B$2:$CO$584,57,FALSE)=0,0,"Digite"))</f>
        <v>0</v>
      </c>
      <c r="EW17" s="454">
        <f>IF(OR('Parte Estrategica'!AP17=0,'Parte Estrategica'!AP17=""),0,IF(VLOOKUP($A17,'Matriz de Referencia'!$B$2:$CO$584,58,FALSE)=0,0,"Digite"))</f>
        <v>0</v>
      </c>
      <c r="EX17" s="454">
        <f>IF(OR('Parte Estrategica'!AP17=0,'Parte Estrategica'!AP17=""),0,IF(VLOOKUP($A17,'Matriz de Referencia'!$B$2:$CO$584,59,FALSE)=0,0,"Digite"))</f>
        <v>0</v>
      </c>
      <c r="EY17" s="454">
        <f>IF(OR('Parte Estrategica'!AP17=0,'Parte Estrategica'!AP17=""),0,IF(VLOOKUP($A17,'Matriz de Referencia'!$B$2:$CO$584,60,FALSE)=0,0,"Digite"))</f>
        <v>0</v>
      </c>
      <c r="EZ17" s="382">
        <f t="shared" si="32"/>
        <v>0</v>
      </c>
      <c r="FA17" s="454">
        <f>IF(OR('Parte Estrategica'!AP17=0,'Parte Estrategica'!AP17=""),0,IF(VLOOKUP($A17,'Matriz de Referencia'!$B$2:$CO$584,62,FALSE)=0,0,"Digite"))</f>
        <v>0</v>
      </c>
      <c r="FB17" s="454">
        <f>IF(OR('Parte Estrategica'!AP17=0,'Parte Estrategica'!AP17=""),0,IF(VLOOKUP($A17,'Matriz de Referencia'!$B$2:$CO$584,63,FALSE)=0,0,"Digite"))</f>
        <v>0</v>
      </c>
      <c r="FC17" s="454">
        <f>IF(OR('Parte Estrategica'!AP17=0,'Parte Estrategica'!AP17=""),0,IF(VLOOKUP($A17,'Matriz de Referencia'!$B$2:$CO$584,64,FALSE)=0,0,"Digite"))</f>
        <v>0</v>
      </c>
      <c r="FD17" s="382">
        <f t="shared" si="33"/>
        <v>0</v>
      </c>
      <c r="FE17" s="382">
        <f t="shared" si="34"/>
        <v>0</v>
      </c>
      <c r="FF17" s="453">
        <f>IF(OR('Parte Estrategica'!AQ17=0,'Parte Estrategica'!AQ17=""),0,IF(VLOOKUP($A17,'Matriz de Referencia'!$B$2:$CO$584,53,FALSE)=0,0,"Digite"))</f>
        <v>0</v>
      </c>
      <c r="FG17" s="454">
        <f>IF(OR('Parte Estrategica'!AQ17=0,'Parte Estrategica'!AQ17=""),0,IF(VLOOKUP($A17,'Matriz de Referencia'!$B$2:$CO$584,54,FALSE)=0,0,"Digite"))</f>
        <v>0</v>
      </c>
      <c r="FH17" s="454">
        <f>IF(OR('Parte Estrategica'!AQ17=0,'Parte Estrategica'!AQ17=""),0,IF(VLOOKUP($A17,'Matriz de Referencia'!$B$2:$CO$584,55,FALSE)=0,0,"Digite"))</f>
        <v>0</v>
      </c>
      <c r="FI17" s="454">
        <f>IF(OR('Parte Estrategica'!AQ17=0,'Parte Estrategica'!AQ17=""),0,IF(VLOOKUP($A17,'Matriz de Referencia'!$B$2:$CO$584,56,FALSE)=0,0,"Digite"))</f>
        <v>0</v>
      </c>
      <c r="FJ17" s="454">
        <f>IF(OR('Parte Estrategica'!AQ17=0,'Parte Estrategica'!AQ17=""),0,IF(VLOOKUP($A17,'Matriz de Referencia'!$B$2:$CO$584,57,FALSE)=0,0,"Digite"))</f>
        <v>0</v>
      </c>
      <c r="FK17" s="454">
        <f>IF(OR('Parte Estrategica'!AQ17=0,'Parte Estrategica'!AQ17=""),0,IF(VLOOKUP($A17,'Matriz de Referencia'!$B$2:$CO$584,58,FALSE)=0,0,"Digite"))</f>
        <v>0</v>
      </c>
      <c r="FL17" s="454">
        <f>IF(OR('Parte Estrategica'!AQ17=0,'Parte Estrategica'!AQ17=""),0,IF(VLOOKUP($A17,'Matriz de Referencia'!$B$2:$CO$584,59,FALSE)=0,0,"Digite"))</f>
        <v>0</v>
      </c>
      <c r="FM17" s="454">
        <f>IF(OR('Parte Estrategica'!AQ17=0,'Parte Estrategica'!AQ17=""),0,IF(VLOOKUP($A17,'Matriz de Referencia'!$B$2:$CO$584,60,FALSE)=0,0,"Digite"))</f>
        <v>0</v>
      </c>
      <c r="FN17" s="382">
        <f t="shared" si="35"/>
        <v>0</v>
      </c>
      <c r="FO17" s="454">
        <f>IF(OR('Parte Estrategica'!AQ17=0,'Parte Estrategica'!AQ17=""),0,IF(VLOOKUP($A17,'Matriz de Referencia'!$B$2:$CO$584,62,FALSE)=0,0,"Digite"))</f>
        <v>0</v>
      </c>
      <c r="FP17" s="454">
        <f>IF(OR('Parte Estrategica'!AQ17=0,'Parte Estrategica'!AQ17=""),0,IF(VLOOKUP($A17,'Matriz de Referencia'!$B$2:$CO$584,63,FALSE)=0,0,"Digite"))</f>
        <v>0</v>
      </c>
      <c r="FQ17" s="454">
        <f>IF(OR('Parte Estrategica'!AQ17=0,'Parte Estrategica'!AQ17=""),0,IF(VLOOKUP($A17,'Matriz de Referencia'!$B$2:$CO$584,64,FALSE)=0,0,"Digite"))</f>
        <v>0</v>
      </c>
      <c r="FR17" s="382">
        <f t="shared" si="36"/>
        <v>0</v>
      </c>
      <c r="FS17" s="382">
        <f t="shared" si="37"/>
        <v>0</v>
      </c>
      <c r="FT17" s="382">
        <f t="shared" si="38"/>
        <v>0</v>
      </c>
      <c r="FU17" s="101" t="str">
        <f>IFERROR(IF(FT17=0,"",IF(VLOOKUP($A17,'Matriz de Referencia'!$B$2:$CO$584,66,FALSE)=FT17,"Techos ok, cotinue","Debe revisar el valor programado")),"")</f>
        <v/>
      </c>
      <c r="FV17" s="453">
        <f>IF(OR('Parte Estrategica'!AT17=0,'Parte Estrategica'!AT17=""),0,IF(VLOOKUP($A17,'Matriz de Referencia'!$B$2:$CO$584,67,FALSE)=0,0,"Digite"))</f>
        <v>0</v>
      </c>
      <c r="FW17" s="454">
        <f>IF(OR('Parte Estrategica'!AT17=0,'Parte Estrategica'!AT17=""),0,IF(VLOOKUP($A17,'Matriz de Referencia'!$B$2:$CO$584,68,FALSE)=0,0,"Digite"))</f>
        <v>0</v>
      </c>
      <c r="FX17" s="454">
        <f>IF(OR('Parte Estrategica'!AT17=0,'Parte Estrategica'!AT17=""),0,IF(VLOOKUP($A17,'Matriz de Referencia'!$B$2:$CO$584,69,FALSE)=0,0,"Digite"))</f>
        <v>0</v>
      </c>
      <c r="FY17" s="454">
        <f>IF(OR('Parte Estrategica'!AT17=0,'Parte Estrategica'!AT17=""),0,IF(VLOOKUP($A17,'Matriz de Referencia'!$B$2:$CO$584,70,FALSE)=0,0,"Digite"))</f>
        <v>0</v>
      </c>
      <c r="FZ17" s="454">
        <f>IF(OR('Parte Estrategica'!AT17=0,'Parte Estrategica'!AT17=""),0,IF(VLOOKUP($A17,'Matriz de Referencia'!$B$2:$CO$584,71,FALSE)=0,0,"Digite"))</f>
        <v>0</v>
      </c>
      <c r="GA17" s="454">
        <f>IF(OR('Parte Estrategica'!AT17=0,'Parte Estrategica'!AT17=""),0,IF(VLOOKUP($A17,'Matriz de Referencia'!$B$2:$CO$584,72,FALSE)=0,0,"Digite"))</f>
        <v>0</v>
      </c>
      <c r="GB17" s="454">
        <f>IF(OR('Parte Estrategica'!AT17=0,'Parte Estrategica'!AT17=""),0,IF(VLOOKUP($A17,'Matriz de Referencia'!$B$2:$CO$584,73,FALSE)=0,0,"Digite"))</f>
        <v>0</v>
      </c>
      <c r="GC17" s="454">
        <f>IF(OR('Parte Estrategica'!AT17=0,'Parte Estrategica'!AT17=""),0,IF(VLOOKUP($A17,'Matriz de Referencia'!$B$2:$CO$584,74,FALSE)=0,0,"Digite"))</f>
        <v>0</v>
      </c>
      <c r="GD17" s="382">
        <f t="shared" si="39"/>
        <v>0</v>
      </c>
      <c r="GE17" s="454">
        <f>IF(OR('Parte Estrategica'!AT17=0,'Parte Estrategica'!AT17=""),0,IF(VLOOKUP($A17,'Matriz de Referencia'!$B$2:$CO$584,76,FALSE)=0,0,"Digite"))</f>
        <v>0</v>
      </c>
      <c r="GF17" s="454">
        <f>IF(OR('Parte Estrategica'!AT17=0,'Parte Estrategica'!AT17=""),0,IF(VLOOKUP($A17,'Matriz de Referencia'!$B$2:$CO$584,77,FALSE)=0,0,"Digite"))</f>
        <v>0</v>
      </c>
      <c r="GG17" s="454">
        <f>IF(OR('Parte Estrategica'!AT17=0,'Parte Estrategica'!AT17=""),0,IF(VLOOKUP($A17,'Matriz de Referencia'!$B$2:$CO$584,78,FALSE)=0,0,"Digite"))</f>
        <v>0</v>
      </c>
      <c r="GH17" s="382">
        <f t="shared" si="40"/>
        <v>0</v>
      </c>
      <c r="GI17" s="382">
        <f t="shared" si="41"/>
        <v>0</v>
      </c>
      <c r="GJ17" s="453">
        <f>IF(OR('Parte Estrategica'!AU17=0,'Parte Estrategica'!AU17=""),0,IF(VLOOKUP($A17,'Matriz de Referencia'!$B$2:$CO$584,67,FALSE)=0,0,"Digite"))</f>
        <v>0</v>
      </c>
      <c r="GK17" s="454">
        <f>IF(OR('Parte Estrategica'!AU17=0,'Parte Estrategica'!AU17=""),0,IF(VLOOKUP($A17,'Matriz de Referencia'!$B$2:$CO$584,68,FALSE)=0,0,"Digite"))</f>
        <v>0</v>
      </c>
      <c r="GL17" s="454">
        <f>IF(OR('Parte Estrategica'!AU17=0,'Parte Estrategica'!AU17=""),0,IF(VLOOKUP($A17,'Matriz de Referencia'!$B$2:$CO$584,69,FALSE)=0,0,"Digite"))</f>
        <v>0</v>
      </c>
      <c r="GM17" s="454">
        <f>IF(OR('Parte Estrategica'!AU17=0,'Parte Estrategica'!AU17=""),0,IF(VLOOKUP($A17,'Matriz de Referencia'!$B$2:$CO$584,70,FALSE)=0,0,"Digite"))</f>
        <v>0</v>
      </c>
      <c r="GN17" s="454">
        <f>IF(OR('Parte Estrategica'!AU17=0,'Parte Estrategica'!AU17=""),0,IF(VLOOKUP($A17,'Matriz de Referencia'!$B$2:$CO$584,71,FALSE)=0,0,"Digite"))</f>
        <v>0</v>
      </c>
      <c r="GO17" s="454">
        <f>IF(OR('Parte Estrategica'!AU17=0,'Parte Estrategica'!AU17=""),0,IF(VLOOKUP($A17,'Matriz de Referencia'!$B$2:$CO$584,72,FALSE)=0,0,"Digite"))</f>
        <v>0</v>
      </c>
      <c r="GP17" s="454">
        <f>IF(OR('Parte Estrategica'!AU17=0,'Parte Estrategica'!AU17=""),0,IF(VLOOKUP($A17,'Matriz de Referencia'!$B$2:$CO$584,73,FALSE)=0,0,"Digite"))</f>
        <v>0</v>
      </c>
      <c r="GQ17" s="454">
        <f>IF(OR('Parte Estrategica'!AU17=0,'Parte Estrategica'!AU17=""),0,IF(VLOOKUP($A17,'Matriz de Referencia'!$B$2:$CO$584,74,FALSE)=0,0,"Digite"))</f>
        <v>0</v>
      </c>
      <c r="GR17" s="382">
        <f t="shared" si="42"/>
        <v>0</v>
      </c>
      <c r="GS17" s="454">
        <f>IF(OR('Parte Estrategica'!AU17=0,'Parte Estrategica'!AU17=""),0,IF(VLOOKUP($A17,'Matriz de Referencia'!$B$2:$CO$584,76,FALSE)=0,0,"Digite"))</f>
        <v>0</v>
      </c>
      <c r="GT17" s="454">
        <f>IF(OR('Parte Estrategica'!AU17=0,'Parte Estrategica'!AU17=""),0,IF(VLOOKUP($A17,'Matriz de Referencia'!$B$2:$CO$584,77,FALSE)=0,0,"Digite"))</f>
        <v>0</v>
      </c>
      <c r="GU17" s="454">
        <f>IF(OR('Parte Estrategica'!AU17=0,'Parte Estrategica'!AU17=""),0,IF(VLOOKUP($A17,'Matriz de Referencia'!$B$2:$CO$584,78,FALSE)=0,0,"Digite"))</f>
        <v>0</v>
      </c>
      <c r="GV17" s="382">
        <f t="shared" si="43"/>
        <v>0</v>
      </c>
      <c r="GW17" s="382">
        <f t="shared" si="44"/>
        <v>0</v>
      </c>
      <c r="GX17" s="453">
        <f>IF(OR('Parte Estrategica'!AV17=0,'Parte Estrategica'!AV17=""),0,IF(VLOOKUP($A17,'Matriz de Referencia'!$B$2:$CO$584,67,FALSE)=0,0,"Digite"))</f>
        <v>0</v>
      </c>
      <c r="GY17" s="454">
        <f>IF(OR('Parte Estrategica'!AV17=0,'Parte Estrategica'!AV17=""),0,IF(VLOOKUP($A17,'Matriz de Referencia'!$B$2:$CO$584,68,FALSE)=0,0,"Digite"))</f>
        <v>0</v>
      </c>
      <c r="GZ17" s="454">
        <f>IF(OR('Parte Estrategica'!AV17=0,'Parte Estrategica'!AV17=""),0,IF(VLOOKUP($A17,'Matriz de Referencia'!$B$2:$CO$584,69,FALSE)=0,0,"Digite"))</f>
        <v>0</v>
      </c>
      <c r="HA17" s="454">
        <f>IF(OR('Parte Estrategica'!AV17=0,'Parte Estrategica'!AV17=""),0,IF(VLOOKUP($A17,'Matriz de Referencia'!$B$2:$CO$584,70,FALSE)=0,0,"Digite"))</f>
        <v>0</v>
      </c>
      <c r="HB17" s="454">
        <f>IF(OR('Parte Estrategica'!AV17=0,'Parte Estrategica'!AV17=""),0,IF(VLOOKUP($A17,'Matriz de Referencia'!$B$2:$CO$584,71,FALSE)=0,0,"Digite"))</f>
        <v>0</v>
      </c>
      <c r="HC17" s="454">
        <f>IF(OR('Parte Estrategica'!AV17=0,'Parte Estrategica'!AV17=""),0,IF(VLOOKUP($A17,'Matriz de Referencia'!$B$2:$CO$584,72,FALSE)=0,0,"Digite"))</f>
        <v>0</v>
      </c>
      <c r="HD17" s="454">
        <f>IF(OR('Parte Estrategica'!AV17=0,'Parte Estrategica'!AV17=""),0,IF(VLOOKUP($A17,'Matriz de Referencia'!$B$2:$CO$584,73,FALSE)=0,0,"Digite"))</f>
        <v>0</v>
      </c>
      <c r="HE17" s="454">
        <f>IF(OR('Parte Estrategica'!AV17=0,'Parte Estrategica'!AV17=""),0,IF(VLOOKUP($A17,'Matriz de Referencia'!$B$2:$CO$584,74,FALSE)=0,0,"Digite"))</f>
        <v>0</v>
      </c>
      <c r="HF17" s="382">
        <f t="shared" si="45"/>
        <v>0</v>
      </c>
      <c r="HG17" s="454">
        <f>IF(OR('Parte Estrategica'!AV17=0,'Parte Estrategica'!AV17=""),0,IF(VLOOKUP($A17,'Matriz de Referencia'!$B$2:$CO$584,76,FALSE)=0,0,"Digite"))</f>
        <v>0</v>
      </c>
      <c r="HH17" s="454">
        <f>IF(OR('Parte Estrategica'!AV17=0,'Parte Estrategica'!AV17=""),0,IF(VLOOKUP($A17,'Matriz de Referencia'!$B$2:$CO$584,77,FALSE)=0,0,"Digite"))</f>
        <v>0</v>
      </c>
      <c r="HI17" s="454">
        <f>IF(OR('Parte Estrategica'!AV17=0,'Parte Estrategica'!AV17=""),0,IF(VLOOKUP($A17,'Matriz de Referencia'!$B$2:$CO$584,78,FALSE)=0,0,"Digite"))</f>
        <v>0</v>
      </c>
      <c r="HJ17" s="382">
        <f t="shared" si="46"/>
        <v>0</v>
      </c>
      <c r="HK17" s="382">
        <f t="shared" si="47"/>
        <v>0</v>
      </c>
      <c r="HL17" s="453">
        <f>IF(OR('Parte Estrategica'!AW17=0,'Parte Estrategica'!AW17=""),0,IF(VLOOKUP($A17,'Matriz de Referencia'!$B$2:$CO$584,67,FALSE)=0,0,"Digite"))</f>
        <v>0</v>
      </c>
      <c r="HM17" s="454">
        <f>IF(OR('Parte Estrategica'!AW17=0,'Parte Estrategica'!AW17=""),0,IF(VLOOKUP($A17,'Matriz de Referencia'!$B$2:$CO$584,68,FALSE)=0,0,"Digite"))</f>
        <v>0</v>
      </c>
      <c r="HN17" s="454">
        <f>IF(OR('Parte Estrategica'!AW17=0,'Parte Estrategica'!AW17=""),0,IF(VLOOKUP($A17,'Matriz de Referencia'!$B$2:$CO$584,69,FALSE)=0,0,"Digite"))</f>
        <v>0</v>
      </c>
      <c r="HO17" s="454">
        <f>IF(OR('Parte Estrategica'!AW17=0,'Parte Estrategica'!AW17=""),0,IF(VLOOKUP($A17,'Matriz de Referencia'!$B$2:$CO$584,70,FALSE)=0,0,"Digite"))</f>
        <v>0</v>
      </c>
      <c r="HP17" s="454">
        <f>IF(OR('Parte Estrategica'!AW17=0,'Parte Estrategica'!AW17=""),0,IF(VLOOKUP($A17,'Matriz de Referencia'!$B$2:$CO$584,71,FALSE)=0,0,"Digite"))</f>
        <v>0</v>
      </c>
      <c r="HQ17" s="454">
        <f>IF(OR('Parte Estrategica'!AW17=0,'Parte Estrategica'!AW17=""),0,IF(VLOOKUP($A17,'Matriz de Referencia'!$B$2:$CO$584,72,FALSE)=0,0,"Digite"))</f>
        <v>0</v>
      </c>
      <c r="HR17" s="454">
        <f>IF(OR('Parte Estrategica'!AW17=0,'Parte Estrategica'!AW17=""),0,IF(VLOOKUP($A17,'Matriz de Referencia'!$B$2:$CO$584,73,FALSE)=0,0,"Digite"))</f>
        <v>0</v>
      </c>
      <c r="HS17" s="454">
        <f>IF(OR('Parte Estrategica'!AW17=0,'Parte Estrategica'!AW17=""),0,IF(VLOOKUP($A17,'Matriz de Referencia'!$B$2:$CO$584,74,FALSE)=0,0,"Digite"))</f>
        <v>0</v>
      </c>
      <c r="HT17" s="382">
        <f t="shared" si="48"/>
        <v>0</v>
      </c>
      <c r="HU17" s="454">
        <f>IF(OR('Parte Estrategica'!AW17=0,'Parte Estrategica'!AW17=""),0,IF(VLOOKUP($A17,'Matriz de Referencia'!$B$2:$CO$584,76,FALSE)=0,0,"Digite"))</f>
        <v>0</v>
      </c>
      <c r="HV17" s="454">
        <f>IF(OR('Parte Estrategica'!AW17=0,'Parte Estrategica'!AW17=""),0,IF(VLOOKUP($A17,'Matriz de Referencia'!$B$2:$CO$584,77,FALSE)=0,0,"Digite"))</f>
        <v>0</v>
      </c>
      <c r="HW17" s="454">
        <f>IF(OR('Parte Estrategica'!AW17=0,'Parte Estrategica'!AW17=""),0,IF(VLOOKUP($A17,'Matriz de Referencia'!$B$2:$CO$584,78,FALSE)=0,0,"Digite"))</f>
        <v>0</v>
      </c>
      <c r="HX17" s="382">
        <f t="shared" si="49"/>
        <v>0</v>
      </c>
      <c r="HY17" s="382">
        <f t="shared" si="50"/>
        <v>0</v>
      </c>
      <c r="HZ17" s="382">
        <f t="shared" si="51"/>
        <v>0</v>
      </c>
      <c r="IA17" s="101" t="str">
        <f>IFERROR(IF(HZ17=0,"",IF(VLOOKUP($A17,'Matriz de Referencia'!$B$2:$CO$584,80,FALSE)=HZ17,"Techos ok, cotinue","Debe revisar el valor programado")),"")</f>
        <v/>
      </c>
      <c r="IB17" s="383">
        <f t="shared" si="52"/>
        <v>0</v>
      </c>
    </row>
    <row r="18" spans="1:236">
      <c r="A18" s="550" t="str">
        <f>IF('Parte Estrategica'!B18=0,"",'Parte Estrategica'!B18)</f>
        <v/>
      </c>
      <c r="B18" s="551" t="str">
        <f>IFERROR(VLOOKUP(A18,'Matriz de Referencia'!$B$2:$P$578,'Matriz de Referencia'!L$1,FALSE),"")</f>
        <v/>
      </c>
      <c r="C18" s="551" t="str">
        <f>IFERROR(VLOOKUP(A18,'Matriz de Referencia'!$B$2:$P$584,'Matriz de Referencia'!M$1,FALSE),"")</f>
        <v/>
      </c>
      <c r="D18" s="455" t="str">
        <f>IF(OR('Parte Estrategica'!AB18=0,'Parte Estrategica'!AB18=""),"",IF(VLOOKUP($A18,'Matriz de Referencia'!$B$2:$CO$584,'Matriz de Referencia'!Z$1,FALSE)=0,"","Digite"))</f>
        <v/>
      </c>
      <c r="E18" s="456">
        <f>IF(OR('Parte Estrategica'!AB18=0,'Parte Estrategica'!AB18=""),0,IF(VLOOKUP($A18,'Matriz de Referencia'!$B$2:$CO$584,26,FALSE)=0,0,"Digite"))</f>
        <v>0</v>
      </c>
      <c r="F18" s="456">
        <f>IF(OR('Parte Estrategica'!AB18=0,'Parte Estrategica'!AB18=""),0,IF(VLOOKUP($A18,'Matriz de Referencia'!$B$2:$CO$584,27,FALSE)=0,0,"Digite"))</f>
        <v>0</v>
      </c>
      <c r="G18" s="456">
        <f>IF(OR('Parte Estrategica'!AB18=0,'Parte Estrategica'!AB18=""),0,IF(VLOOKUP($A18,'Matriz de Referencia'!$B$2:$CO$584,28,FALSE)=0,0,"Digite"))</f>
        <v>0</v>
      </c>
      <c r="H18" s="456">
        <f>IF(OR('Parte Estrategica'!AB18=0,'Parte Estrategica'!AB18=""),0,IF(VLOOKUP($A18,'Matriz de Referencia'!$B$2:$CO$584,29,FALSE)=0,0,"Digite"))</f>
        <v>0</v>
      </c>
      <c r="I18" s="456">
        <f>IF(OR('Parte Estrategica'!AB18=0,'Parte Estrategica'!AB18=""),0,IF(VLOOKUP($A18,'Matriz de Referencia'!$B$2:$CO$584,30,FALSE)=0,0,"Digite"))</f>
        <v>0</v>
      </c>
      <c r="J18" s="456">
        <f>IF(OR('Parte Estrategica'!AB18=0,'Parte Estrategica'!AB18=""),0,IF(VLOOKUP($A18,'Matriz de Referencia'!$B$2:$CO$584,31,FALSE)=0,0,"Digite"))</f>
        <v>0</v>
      </c>
      <c r="K18" s="456">
        <f>IF(OR('Parte Estrategica'!AB18=0,'Parte Estrategica'!AB18=""),0,IF(VLOOKUP($A18,'Matriz de Referencia'!$B$2:$CO$584,32,FALSE)=0,0,"Digite"))</f>
        <v>0</v>
      </c>
      <c r="L18" s="460">
        <f t="shared" si="0"/>
        <v>0</v>
      </c>
      <c r="M18" s="456">
        <f>IF(OR('Parte Estrategica'!AB18=0,'Parte Estrategica'!AB18=""),0,IF(VLOOKUP($A18,'Matriz de Referencia'!$B$2:$CO$584,34,FALSE)=0,0,"Digite"))</f>
        <v>0</v>
      </c>
      <c r="N18" s="456">
        <f>IF(OR('Parte Estrategica'!AB18=0,'Parte Estrategica'!AB18=""),0,IF(VLOOKUP($A18,'Matriz de Referencia'!$B$2:$CO$584,35,FALSE)=0,0,"Digite"))</f>
        <v>0</v>
      </c>
      <c r="O18" s="456">
        <f>IF(OR('Parte Estrategica'!AB18=0,'Parte Estrategica'!AB18=""),0,IF(VLOOKUP($A18,'Matriz de Referencia'!$B$2:$CO$584,36,FALSE)=0,0,"Digite"))</f>
        <v>0</v>
      </c>
      <c r="P18" s="457">
        <f t="shared" si="1"/>
        <v>0</v>
      </c>
      <c r="Q18" s="457">
        <f t="shared" si="2"/>
        <v>0</v>
      </c>
      <c r="R18" s="455">
        <f>IF(OR('Parte Estrategica'!AC18=0,'Parte Estrategica'!AC18=""),0,IF(VLOOKUP($A18,'Matriz de Referencia'!$B$2:$CO$584,25,FALSE)=0,0,"Digite"))</f>
        <v>0</v>
      </c>
      <c r="S18" s="456">
        <f>IF(OR('Parte Estrategica'!AC18=0,'Parte Estrategica'!AC18=""),0,IF(VLOOKUP($A18,'Matriz de Referencia'!$B$2:$CO$584,26,FALSE)=0,0,"Digite"))</f>
        <v>0</v>
      </c>
      <c r="T18" s="456">
        <f>IF(OR('Parte Estrategica'!AC18=0,'Parte Estrategica'!AC18=""),0,IF(VLOOKUP($A18,'Matriz de Referencia'!$B$2:$CO$584,27,FALSE)=0,0,"Digite"))</f>
        <v>0</v>
      </c>
      <c r="U18" s="456">
        <f>IF(OR('Parte Estrategica'!AC18=0,'Parte Estrategica'!AC18=""),0,IF(VLOOKUP($A18,'Matriz de Referencia'!$B$2:$CO$584,28,FALSE)=0,0,"Digite"))</f>
        <v>0</v>
      </c>
      <c r="V18" s="456">
        <f>IF(OR('Parte Estrategica'!AC18=0,'Parte Estrategica'!AC18=""),0,IF(VLOOKUP($A18,'Matriz de Referencia'!$B$2:$CO$584,29,FALSE)=0,0,"Digite"))</f>
        <v>0</v>
      </c>
      <c r="W18" s="456">
        <f>IF(OR('Parte Estrategica'!AC18=0,'Parte Estrategica'!AC18=""),0,IF(VLOOKUP($A18,'Matriz de Referencia'!$B$2:$CO$584,30,FALSE)=0,0,"Digite"))</f>
        <v>0</v>
      </c>
      <c r="X18" s="456">
        <f>IF(OR('Parte Estrategica'!AC18=0,'Parte Estrategica'!AC18=""),0,IF(VLOOKUP($A18,'Matriz de Referencia'!$B$2:$CO$584,31,FALSE)=0,0,"Digite"))</f>
        <v>0</v>
      </c>
      <c r="Y18" s="456">
        <f>IF(OR('Parte Estrategica'!AC18=0,'Parte Estrategica'!AC18=""),0,IF(VLOOKUP($A18,'Matriz de Referencia'!$B$2:$CO$584,32,FALSE)=0,0,"Digite"))</f>
        <v>0</v>
      </c>
      <c r="Z18" s="457">
        <f t="shared" si="3"/>
        <v>0</v>
      </c>
      <c r="AA18" s="456">
        <f>IF(OR('Parte Estrategica'!AC18=0,'Parte Estrategica'!AC18=""),0,IF(VLOOKUP($A18,'Matriz de Referencia'!$B$2:$CO$584,34,FALSE)=0,0,"Digite"))</f>
        <v>0</v>
      </c>
      <c r="AB18" s="456">
        <f>IF(OR('Parte Estrategica'!AC18=0,'Parte Estrategica'!AC18=""),0,IF(VLOOKUP($A18,'Matriz de Referencia'!$B$2:$CO$584,35,FALSE)=0,0,"Digite"))</f>
        <v>0</v>
      </c>
      <c r="AC18" s="456">
        <f>IF(OR('Parte Estrategica'!AC18=0,'Parte Estrategica'!AC18=""),0,IF(VLOOKUP($A18,'Matriz de Referencia'!$B$2:$CO$584,36,FALSE)=0,0,"Digite"))</f>
        <v>0</v>
      </c>
      <c r="AD18" s="457">
        <f t="shared" si="4"/>
        <v>0</v>
      </c>
      <c r="AE18" s="457">
        <f t="shared" si="5"/>
        <v>0</v>
      </c>
      <c r="AF18" s="455">
        <f>IF(OR('Parte Estrategica'!AD18=0,'Parte Estrategica'!AD18=""),0,IF(VLOOKUP($A18,'Matriz de Referencia'!$B$2:$CO$584,25,FALSE)=0,0,"Digite"))</f>
        <v>0</v>
      </c>
      <c r="AG18" s="456">
        <f>IF(OR('Parte Estrategica'!AD18=0,'Parte Estrategica'!AD18=""),0,IF(VLOOKUP($A18,'Matriz de Referencia'!$B$2:$CO$584,26,FALSE)=0,0,"Digite"))</f>
        <v>0</v>
      </c>
      <c r="AH18" s="456">
        <f>IF(OR('Parte Estrategica'!AD18=0,'Parte Estrategica'!AD18=""),0,IF(VLOOKUP($A18,'Matriz de Referencia'!$B$2:$CO$584,27,FALSE)=0,0,"Digite"))</f>
        <v>0</v>
      </c>
      <c r="AI18" s="456">
        <f>IF(OR('Parte Estrategica'!AD18=0,'Parte Estrategica'!AD18=""),0,IF(VLOOKUP($A18,'Matriz de Referencia'!$B$2:$CO$584,28,FALSE)=0,0,"Digite"))</f>
        <v>0</v>
      </c>
      <c r="AJ18" s="456">
        <f>IF(OR('Parte Estrategica'!AD18=0,'Parte Estrategica'!AD18=""),0,IF(VLOOKUP($A18,'Matriz de Referencia'!$B$2:$CO$584,29,FALSE)=0,0,"Digite"))</f>
        <v>0</v>
      </c>
      <c r="AK18" s="456">
        <f>IF(OR('Parte Estrategica'!AD18=0,'Parte Estrategica'!AD18=""),0,IF(VLOOKUP($A18,'Matriz de Referencia'!$B$2:$CO$584,30,FALSE)=0,0,"Digite"))</f>
        <v>0</v>
      </c>
      <c r="AL18" s="456">
        <f>IF(OR('Parte Estrategica'!AD18=0,'Parte Estrategica'!AD18=""),0,IF(VLOOKUP($A18,'Matriz de Referencia'!$B$2:$CO$584,31,FALSE)=0,0,"Digite"))</f>
        <v>0</v>
      </c>
      <c r="AM18" s="456">
        <f>IF(OR('Parte Estrategica'!AD18=0,'Parte Estrategica'!AD18=""),0,IF(VLOOKUP($A18,'Matriz de Referencia'!$B$2:$CO$584,32,FALSE)=0,0,"Digite"))</f>
        <v>0</v>
      </c>
      <c r="AN18" s="457">
        <f t="shared" si="6"/>
        <v>0</v>
      </c>
      <c r="AO18" s="456">
        <f>IF(OR('Parte Estrategica'!AD18=0,'Parte Estrategica'!AD18=""),0,IF(VLOOKUP($A18,'Matriz de Referencia'!$B$2:$CO$584,34,FALSE)=0,0,"Digite"))</f>
        <v>0</v>
      </c>
      <c r="AP18" s="456">
        <f>IF(OR('Parte Estrategica'!AD18=0,'Parte Estrategica'!AD18=""),0,IF(VLOOKUP($A18,'Matriz de Referencia'!$B$2:$CO$584,35,FALSE)=0,0,"Digite"))</f>
        <v>0</v>
      </c>
      <c r="AQ18" s="456">
        <f>IF(OR('Parte Estrategica'!AD18=0,'Parte Estrategica'!AD18=""),0,IF(VLOOKUP($A18,'Matriz de Referencia'!$B$2:$CO$584,36,FALSE)=0,0,"Digite"))</f>
        <v>0</v>
      </c>
      <c r="AR18" s="457">
        <f t="shared" si="7"/>
        <v>0</v>
      </c>
      <c r="AS18" s="457">
        <f t="shared" si="8"/>
        <v>0</v>
      </c>
      <c r="AT18" s="455">
        <f>IF(OR('Parte Estrategica'!AE18=0,'Parte Estrategica'!AE18=""),0,IF(VLOOKUP($A18,'Matriz de Referencia'!$B$2:$CO$584,25,FALSE)=0,0,"Digite"))</f>
        <v>0</v>
      </c>
      <c r="AU18" s="456">
        <f>IF(OR('Parte Estrategica'!AE18=0,'Parte Estrategica'!AE18=""),0,IF(VLOOKUP($A18,'Matriz de Referencia'!$B$2:$CO$584,26,FALSE)=0,0,"Digite"))</f>
        <v>0</v>
      </c>
      <c r="AV18" s="456">
        <f>IF(OR('Parte Estrategica'!AE18=0,'Parte Estrategica'!AE18=""),0,IF(VLOOKUP($A18,'Matriz de Referencia'!$B$2:$CO$584,27,FALSE)=0,0,"Digite"))</f>
        <v>0</v>
      </c>
      <c r="AW18" s="456">
        <f>IF(OR('Parte Estrategica'!AE18=0,'Parte Estrategica'!AE18=""),0,IF(VLOOKUP($A18,'Matriz de Referencia'!$B$2:$CO$584,28,FALSE)=0,0,"Digite"))</f>
        <v>0</v>
      </c>
      <c r="AX18" s="456">
        <f>IF(OR('Parte Estrategica'!AE18=0,'Parte Estrategica'!AE18=""),0,IF(VLOOKUP($A18,'Matriz de Referencia'!$B$2:$CO$584,29,FALSE)=0,0,"Digite"))</f>
        <v>0</v>
      </c>
      <c r="AY18" s="456">
        <f>IF(OR('Parte Estrategica'!AE18=0,'Parte Estrategica'!AE18=""),0,IF(VLOOKUP($A18,'Matriz de Referencia'!$B$2:$CO$584,30,FALSE)=0,0,"Digite"))</f>
        <v>0</v>
      </c>
      <c r="AZ18" s="456">
        <f>IF(OR('Parte Estrategica'!AE18=0,'Parte Estrategica'!AE18=""),0,IF(VLOOKUP($A18,'Matriz de Referencia'!$B$2:$CO$584,31,FALSE)=0,0,"Digite"))</f>
        <v>0</v>
      </c>
      <c r="BA18" s="456">
        <f>IF(OR('Parte Estrategica'!AE18=0,'Parte Estrategica'!AE18=""),0,IF(VLOOKUP($A18,'Matriz de Referencia'!$B$2:$CO$584,32,FALSE)=0,0,"Digite"))</f>
        <v>0</v>
      </c>
      <c r="BB18" s="457">
        <f t="shared" si="9"/>
        <v>0</v>
      </c>
      <c r="BC18" s="456">
        <f>IF(OR('Parte Estrategica'!AE18=0,'Parte Estrategica'!AE18=""),0,IF(VLOOKUP($A18,'Matriz de Referencia'!$B$2:$CO$584,34,FALSE)=0,0,"Digite"))</f>
        <v>0</v>
      </c>
      <c r="BD18" s="456">
        <f>IF(OR('Parte Estrategica'!AE18=0,'Parte Estrategica'!AE18=""),0,IF(VLOOKUP($A18,'Matriz de Referencia'!$B$2:$CO$584,35,FALSE)=0,0,"Digite"))</f>
        <v>0</v>
      </c>
      <c r="BE18" s="456">
        <f>IF(OR('Parte Estrategica'!AE18=0,'Parte Estrategica'!AE18=""),0,IF(VLOOKUP($A18,'Matriz de Referencia'!$B$2:$CO$584,36,FALSE)=0,0,"Digite"))</f>
        <v>0</v>
      </c>
      <c r="BF18" s="457">
        <f t="shared" si="10"/>
        <v>0</v>
      </c>
      <c r="BG18" s="457">
        <f t="shared" si="11"/>
        <v>0</v>
      </c>
      <c r="BH18" s="457">
        <f t="shared" si="12"/>
        <v>0</v>
      </c>
      <c r="BI18" s="101" t="str">
        <f>IFERROR(IF(BH18=0,"",IF(VLOOKUP($A18,'Matriz de Referencia'!$B$2:$CO$584,'Matriz de Referencia'!AM$1,FALSE)=BH18,"Techos ok, cotinue","Debe revisar el valor programado")),"")</f>
        <v/>
      </c>
      <c r="BJ18" s="453">
        <f>IF(OR('Parte Estrategica'!AH18=0,'Parte Estrategica'!AH18=""),0,IF(VLOOKUP($A18,'Matriz de Referencia'!$B$2:$CO$584,39,FALSE)=0,0,"Digite"))</f>
        <v>0</v>
      </c>
      <c r="BK18" s="454">
        <f>IF(OR('Parte Estrategica'!AH18=0,'Parte Estrategica'!AH18=""),0,IF(VLOOKUP($A18,'Matriz de Referencia'!$B$2:$CO$584,40,FALSE)=0,0,"Digite"))</f>
        <v>0</v>
      </c>
      <c r="BL18" s="454">
        <f>IF(OR('Parte Estrategica'!AH18=0,'Parte Estrategica'!AH18=""),0,IF(VLOOKUP($A18,'Matriz de Referencia'!$B$2:$CO$584,41,FALSE)=0,0,"Digite"))</f>
        <v>0</v>
      </c>
      <c r="BM18" s="454">
        <f>IF(OR('Parte Estrategica'!AH18=0,'Parte Estrategica'!AH18=""),0,IF(VLOOKUP($A18,'Matriz de Referencia'!$B$2:$CO$584,42,FALSE)=0,0,"Digite"))</f>
        <v>0</v>
      </c>
      <c r="BN18" s="454">
        <f>IF(OR('Parte Estrategica'!AH18=0,'Parte Estrategica'!AH18=""),0,IF(VLOOKUP($A18,'Matriz de Referencia'!$B$2:$CO$584,43,FALSE)=0,0,"Digite"))</f>
        <v>0</v>
      </c>
      <c r="BO18" s="454">
        <f>IF(OR('Parte Estrategica'!AH18=0,'Parte Estrategica'!AH18=""),0,IF(VLOOKUP($A18,'Matriz de Referencia'!$B$2:$CO$584,44,FALSE)=0,0,"Digite"))</f>
        <v>0</v>
      </c>
      <c r="BP18" s="454">
        <f>IF(OR('Parte Estrategica'!AH18=0,'Parte Estrategica'!AH18=""),0,IF(VLOOKUP($A18,'Matriz de Referencia'!$B$2:$CO$584,45,FALSE)=0,0,"Digite"))</f>
        <v>0</v>
      </c>
      <c r="BQ18" s="454">
        <f>IF(OR('Parte Estrategica'!AH18=0,'Parte Estrategica'!AH18=""),0,IF(VLOOKUP($A18,'Matriz de Referencia'!$B$2:$CO$584,46,FALSE)=0,0,"Digite"))</f>
        <v>0</v>
      </c>
      <c r="BR18" s="382">
        <f t="shared" si="13"/>
        <v>0</v>
      </c>
      <c r="BS18" s="454">
        <f>IF(OR('Parte Estrategica'!CL18=0,'Parte Estrategica'!CL18=""),0,IF(VLOOKUP($A18,'Matriz de Referencia'!$B$2:$CO$584,48,FALSE)=0,0,"Digite"))</f>
        <v>0</v>
      </c>
      <c r="BT18" s="454">
        <f>IF(OR('Parte Estrategica'!CL18=0,'Parte Estrategica'!CL18=""),0,IF(VLOOKUP($A18,'Matriz de Referencia'!$B$2:$CO$584,49,FALSE)=0,0,"Digite"))</f>
        <v>0</v>
      </c>
      <c r="BU18" s="454">
        <f>IF(OR('Parte Estrategica'!CL18=0,'Parte Estrategica'!CL18=""),0,IF(VLOOKUP($A18,'Matriz de Referencia'!$B$2:$CO$584,50,FALSE)=0,0,"Digite"))</f>
        <v>0</v>
      </c>
      <c r="BV18" s="382">
        <f t="shared" si="14"/>
        <v>0</v>
      </c>
      <c r="BW18" s="382">
        <f t="shared" si="15"/>
        <v>0</v>
      </c>
      <c r="BX18" s="453">
        <f>IF(OR('Parte Estrategica'!AI18=0,'Parte Estrategica'!AI18=""),0,IF(VLOOKUP($A18,'Matriz de Referencia'!$B$2:$CO$584,39,FALSE)=0,0,"Digite"))</f>
        <v>0</v>
      </c>
      <c r="BY18" s="454">
        <f>IF(OR('Parte Estrategica'!AI18=0,'Parte Estrategica'!AI18=""),0,IF(VLOOKUP($A18,'Matriz de Referencia'!$B$2:$CO$584,40,FALSE)=0,0,"Digite"))</f>
        <v>0</v>
      </c>
      <c r="BZ18" s="454">
        <f>IF(OR('Parte Estrategica'!AI18=0,'Parte Estrategica'!AI18=""),0,IF(VLOOKUP($A18,'Matriz de Referencia'!$B$2:$CO$584,41,FALSE)=0,0,"Digite"))</f>
        <v>0</v>
      </c>
      <c r="CA18" s="454">
        <f>IF(OR('Parte Estrategica'!AI18=0,'Parte Estrategica'!AI18=""),0,IF(VLOOKUP($A18,'Matriz de Referencia'!$B$2:$CO$584,42,FALSE)=0,0,"Digite"))</f>
        <v>0</v>
      </c>
      <c r="CB18" s="454">
        <f>IF(OR('Parte Estrategica'!AI18=0,'Parte Estrategica'!AI18=""),0,IF(VLOOKUP($A18,'Matriz de Referencia'!$B$2:$CO$584,43,FALSE)=0,0,"Digite"))</f>
        <v>0</v>
      </c>
      <c r="CC18" s="454">
        <f>IF(OR('Parte Estrategica'!AI18=0,'Parte Estrategica'!AI18=""),0,IF(VLOOKUP($A18,'Matriz de Referencia'!$B$2:$CO$584,44,FALSE)=0,0,"Digite"))</f>
        <v>0</v>
      </c>
      <c r="CD18" s="454">
        <f>IF(OR('Parte Estrategica'!AI18=0,'Parte Estrategica'!AI18=""),0,IF(VLOOKUP($A18,'Matriz de Referencia'!$B$2:$CO$584,45,FALSE)=0,0,"Digite"))</f>
        <v>0</v>
      </c>
      <c r="CE18" s="454">
        <f>IF(OR('Parte Estrategica'!AI18=0,'Parte Estrategica'!AI18=""),0,IF(VLOOKUP($A18,'Matriz de Referencia'!$B$2:$CO$584,46,FALSE)=0,0,"Digite"))</f>
        <v>0</v>
      </c>
      <c r="CF18" s="382">
        <f t="shared" si="16"/>
        <v>0</v>
      </c>
      <c r="CG18" s="454">
        <f>IF(OR('Parte Estrategica'!AI18=0,'Parte Estrategica'!AI18=""),0,IF(VLOOKUP($A18,'Matriz de Referencia'!$B$2:$CO$584,48,FALSE)=0,0,"Digite"))</f>
        <v>0</v>
      </c>
      <c r="CH18" s="454">
        <f>IF(OR('Parte Estrategica'!AI18=0,'Parte Estrategica'!AI18=""),0,IF(VLOOKUP($A18,'Matriz de Referencia'!$B$2:$CO$584,49,FALSE)=0,0,"Digite"))</f>
        <v>0</v>
      </c>
      <c r="CI18" s="454">
        <f>IF(OR('Parte Estrategica'!AI18=0,'Parte Estrategica'!AI18=""),0,IF(VLOOKUP($A18,'Matriz de Referencia'!$B$2:$CO$584,50,FALSE)=0,0,"Digite"))</f>
        <v>0</v>
      </c>
      <c r="CJ18" s="382">
        <f t="shared" si="17"/>
        <v>0</v>
      </c>
      <c r="CK18" s="382">
        <f t="shared" si="18"/>
        <v>0</v>
      </c>
      <c r="CL18" s="453">
        <f>IF(OR('Parte Estrategica'!AJ18=0,'Parte Estrategica'!AJ18=""),0,IF(VLOOKUP($A18,'Matriz de Referencia'!$B$2:$CO$584,39,FALSE)=0,0,"Digite"))</f>
        <v>0</v>
      </c>
      <c r="CM18" s="454">
        <f>IF(OR('Parte Estrategica'!AJ18=0,'Parte Estrategica'!AJ18=""),0,IF(VLOOKUP($A18,'Matriz de Referencia'!$B$2:$CO$584,40,FALSE)=0,0,"Digite"))</f>
        <v>0</v>
      </c>
      <c r="CN18" s="454">
        <f>IF(OR('Parte Estrategica'!AJ18=0,'Parte Estrategica'!AJ18=""),0,IF(VLOOKUP($A18,'Matriz de Referencia'!$B$2:$CO$584,41,FALSE)=0,0,"Digite"))</f>
        <v>0</v>
      </c>
      <c r="CO18" s="454">
        <f>IF(OR('Parte Estrategica'!AJ18=0,'Parte Estrategica'!AJ18=""),0,IF(VLOOKUP($A18,'Matriz de Referencia'!$B$2:$CO$584,42,FALSE)=0,0,"Digite"))</f>
        <v>0</v>
      </c>
      <c r="CP18" s="454">
        <f>IF(OR('Parte Estrategica'!AJ18=0,'Parte Estrategica'!AJ18=""),0,IF(VLOOKUP($A18,'Matriz de Referencia'!$B$2:$CO$584,43,FALSE)=0,0,"Digite"))</f>
        <v>0</v>
      </c>
      <c r="CQ18" s="454">
        <f>IF(OR('Parte Estrategica'!AJ18=0,'Parte Estrategica'!AJ18=""),0,IF(VLOOKUP($A18,'Matriz de Referencia'!$B$2:$CO$584,44,FALSE)=0,0,"Digite"))</f>
        <v>0</v>
      </c>
      <c r="CR18" s="454">
        <f>IF(OR('Parte Estrategica'!AJ18=0,'Parte Estrategica'!AJ18=""),0,IF(VLOOKUP($A18,'Matriz de Referencia'!$B$2:$CO$584,45,FALSE)=0,0,"Digite"))</f>
        <v>0</v>
      </c>
      <c r="CS18" s="454">
        <f>IF(OR('Parte Estrategica'!AJ18=0,'Parte Estrategica'!AJ18=""),0,IF(VLOOKUP($A18,'Matriz de Referencia'!$B$2:$CO$584,46,FALSE)=0,0,"Digite"))</f>
        <v>0</v>
      </c>
      <c r="CT18" s="382">
        <f t="shared" si="19"/>
        <v>0</v>
      </c>
      <c r="CU18" s="454">
        <f>IF(OR('Parte Estrategica'!AJ18=0,'Parte Estrategica'!AJ18=""),0,IF(VLOOKUP($A18,'Matriz de Referencia'!$B$2:$CO$584,48,FALSE)=0,0,"Digite"))</f>
        <v>0</v>
      </c>
      <c r="CV18" s="454">
        <f>IF(OR('Parte Estrategica'!AJ18=0,'Parte Estrategica'!AJ18=""),0,IF(VLOOKUP($A18,'Matriz de Referencia'!$B$2:$CO$584,49,FALSE)=0,0,"Digite"))</f>
        <v>0</v>
      </c>
      <c r="CW18" s="454">
        <f>IF(OR('Parte Estrategica'!AJ18=0,'Parte Estrategica'!AJ18=""),0,IF(VLOOKUP($A18,'Matriz de Referencia'!$B$2:$CO$584,50,FALSE)=0,0,"Digite"))</f>
        <v>0</v>
      </c>
      <c r="CX18" s="382">
        <f t="shared" si="20"/>
        <v>0</v>
      </c>
      <c r="CY18" s="382">
        <f t="shared" si="21"/>
        <v>0</v>
      </c>
      <c r="CZ18" s="453">
        <f>IF(OR('Parte Estrategica'!AK18=0,'Parte Estrategica'!AK18=""),0,IF(VLOOKUP($A18,'Matriz de Referencia'!$B$2:$CO$584,39,FALSE)=0,0,"Digite"))</f>
        <v>0</v>
      </c>
      <c r="DA18" s="454">
        <f>IF(OR('Parte Estrategica'!AK18=0,'Parte Estrategica'!AK18=""),0,IF(VLOOKUP($A18,'Matriz de Referencia'!$B$2:$CO$584,40,FALSE)=0,0,"Digite"))</f>
        <v>0</v>
      </c>
      <c r="DB18" s="454">
        <f>IF(OR('Parte Estrategica'!AK18=0,'Parte Estrategica'!AK18=""),0,IF(VLOOKUP($A18,'Matriz de Referencia'!$B$2:$CO$584,41,FALSE)=0,0,"Digite"))</f>
        <v>0</v>
      </c>
      <c r="DC18" s="454">
        <f>IF(OR('Parte Estrategica'!AK18=0,'Parte Estrategica'!AK18=""),0,IF(VLOOKUP($A18,'Matriz de Referencia'!$B$2:$CO$584,42,FALSE)=0,0,"Digite"))</f>
        <v>0</v>
      </c>
      <c r="DD18" s="454">
        <f>IF(OR('Parte Estrategica'!AK18=0,'Parte Estrategica'!AK18=""),0,IF(VLOOKUP($A18,'Matriz de Referencia'!$B$2:$CO$584,43,FALSE)=0,0,"Digite"))</f>
        <v>0</v>
      </c>
      <c r="DE18" s="454">
        <f>IF(OR('Parte Estrategica'!AK18=0,'Parte Estrategica'!AK18=""),0,IF(VLOOKUP($A18,'Matriz de Referencia'!$B$2:$CO$584,44,FALSE)=0,0,"Digite"))</f>
        <v>0</v>
      </c>
      <c r="DF18" s="454">
        <f>IF(OR('Parte Estrategica'!AK18=0,'Parte Estrategica'!AK18=""),0,IF(VLOOKUP($A18,'Matriz de Referencia'!$B$2:$CO$584,45,FALSE)=0,0,"Digite"))</f>
        <v>0</v>
      </c>
      <c r="DG18" s="454">
        <f>IF(OR('Parte Estrategica'!AK18=0,'Parte Estrategica'!AK18=""),0,IF(VLOOKUP($A18,'Matriz de Referencia'!$B$2:$CO$584,46,FALSE)=0,0,"Digite"))</f>
        <v>0</v>
      </c>
      <c r="DH18" s="382">
        <f t="shared" si="22"/>
        <v>0</v>
      </c>
      <c r="DI18" s="454">
        <f>IF(OR('Parte Estrategica'!AK18=0,'Parte Estrategica'!AK18=""),0,IF(VLOOKUP($A18,'Matriz de Referencia'!$B$2:$CO$584,48,FALSE)=0,0,"Digite"))</f>
        <v>0</v>
      </c>
      <c r="DJ18" s="454">
        <f>IF(OR('Parte Estrategica'!AK18=0,'Parte Estrategica'!AK18=""),0,IF(VLOOKUP($A18,'Matriz de Referencia'!$B$2:$CO$584,49,FALSE)=0,0,"Digite"))</f>
        <v>0</v>
      </c>
      <c r="DK18" s="454">
        <f>IF(OR('Parte Estrategica'!AK18=0,'Parte Estrategica'!AK18=""),0,IF(VLOOKUP($A18,'Matriz de Referencia'!$B$2:$CO$584,50,FALSE)=0,0,"Digite"))</f>
        <v>0</v>
      </c>
      <c r="DL18" s="382">
        <f t="shared" si="23"/>
        <v>0</v>
      </c>
      <c r="DM18" s="382">
        <f t="shared" si="24"/>
        <v>0</v>
      </c>
      <c r="DN18" s="382">
        <f t="shared" si="25"/>
        <v>0</v>
      </c>
      <c r="DO18" s="101" t="str">
        <f>IFERROR(IF(DN18=0,"",IF(VLOOKUP($A18,'Matriz de Referencia'!$B$2:$CO$584,52,FALSE)=DN18,"Techos ok, cotinue","Debe revisar el valor programado")),"")</f>
        <v/>
      </c>
      <c r="DP18" s="453">
        <f>IF(OR('Parte Estrategica'!AN18=0,'Parte Estrategica'!AN18=""),0,IF(VLOOKUP($A18,'Matriz de Referencia'!$B$2:$CO$584,53,FALSE)=0,0,"Digite"))</f>
        <v>0</v>
      </c>
      <c r="DQ18" s="454">
        <f>IF(OR('Parte Estrategica'!AN18=0,'Parte Estrategica'!AN18=""),0,IF(VLOOKUP($A18,'Matriz de Referencia'!$B$2:$CO$584,54,FALSE)=0,0,"Digite"))</f>
        <v>0</v>
      </c>
      <c r="DR18" s="454">
        <f>IF(OR('Parte Estrategica'!AN18=0,'Parte Estrategica'!AN18=""),0,IF(VLOOKUP($A18,'Matriz de Referencia'!$B$2:$CO$584,55,FALSE)=0,0,"Digite"))</f>
        <v>0</v>
      </c>
      <c r="DS18" s="454">
        <f>IF(OR('Parte Estrategica'!AN18=0,'Parte Estrategica'!AN18=""),0,IF(VLOOKUP($A18,'Matriz de Referencia'!$B$2:$CO$584,56,FALSE)=0,0,"Digite"))</f>
        <v>0</v>
      </c>
      <c r="DT18" s="454">
        <f>IF(OR('Parte Estrategica'!AN18=0,'Parte Estrategica'!AN18=""),0,IF(VLOOKUP($A18,'Matriz de Referencia'!$B$2:$CO$584,57,FALSE)=0,0,"Digite"))</f>
        <v>0</v>
      </c>
      <c r="DU18" s="454">
        <f>IF(OR('Parte Estrategica'!AN18=0,'Parte Estrategica'!AN18=""),0,IF(VLOOKUP($A18,'Matriz de Referencia'!$B$2:$CO$584,58,FALSE)=0,0,"Digite"))</f>
        <v>0</v>
      </c>
      <c r="DV18" s="454">
        <f>IF(OR('Parte Estrategica'!AN18=0,'Parte Estrategica'!AN18=""),0,IF(VLOOKUP($A18,'Matriz de Referencia'!$B$2:$CO$584,59,FALSE)=0,0,"Digite"))</f>
        <v>0</v>
      </c>
      <c r="DW18" s="454">
        <f>IF(OR('Parte Estrategica'!AN18=0,'Parte Estrategica'!AN18=""),0,IF(VLOOKUP($A18,'Matriz de Referencia'!$B$2:$CO$584,60,FALSE)=0,0,"Digite"))</f>
        <v>0</v>
      </c>
      <c r="DX18" s="382">
        <f t="shared" si="26"/>
        <v>0</v>
      </c>
      <c r="DY18" s="454">
        <f>IF(OR('Parte Estrategica'!AN18=0,'Parte Estrategica'!AN18=""),0,IF(VLOOKUP($A18,'Matriz de Referencia'!$B$2:$CO$584,62,FALSE)=0,0,"Digite"))</f>
        <v>0</v>
      </c>
      <c r="DZ18" s="454">
        <f>IF(OR('Parte Estrategica'!AN18=0,'Parte Estrategica'!AN18=""),0,IF(VLOOKUP($A18,'Matriz de Referencia'!$B$2:$CO$584,63,FALSE)=0,0,"Digite"))</f>
        <v>0</v>
      </c>
      <c r="EA18" s="454" t="str">
        <f>IF(OR('Parte Estrategica'!AN18=0,'Parte Estrategica'!AN18=""),"",IF(VLOOKUP($A18,'Matriz de Referencia'!$B$2:$CO$584,64,FALSE)=0,"","Digite"))</f>
        <v/>
      </c>
      <c r="EB18" s="382">
        <f t="shared" si="27"/>
        <v>0</v>
      </c>
      <c r="EC18" s="382">
        <f t="shared" si="28"/>
        <v>0</v>
      </c>
      <c r="ED18" s="453">
        <f>IF(OR('Parte Estrategica'!AO18=0,'Parte Estrategica'!AO18=""),0,IF(VLOOKUP($A18,'Matriz de Referencia'!$B$2:$CO$584,53,FALSE)=0,0,"Digite"))</f>
        <v>0</v>
      </c>
      <c r="EE18" s="454">
        <f>IF(OR('Parte Estrategica'!AO18=0,'Parte Estrategica'!AO18=""),0,IF(VLOOKUP($A18,'Matriz de Referencia'!$B$2:$CO$584,54,FALSE)=0,0,"Digite"))</f>
        <v>0</v>
      </c>
      <c r="EF18" s="454">
        <f>IF(OR('Parte Estrategica'!AO18=0,'Parte Estrategica'!AO18=""),0,IF(VLOOKUP($A18,'Matriz de Referencia'!$B$2:$CO$584,55,FALSE)=0,0,"Digite"))</f>
        <v>0</v>
      </c>
      <c r="EG18" s="454">
        <f>IF(OR('Parte Estrategica'!AO18=0,'Parte Estrategica'!AO18=""),0,IF(VLOOKUP($A18,'Matriz de Referencia'!$B$2:$CO$584,56,FALSE)=0,0,"Digite"))</f>
        <v>0</v>
      </c>
      <c r="EH18" s="454">
        <f>IF(OR('Parte Estrategica'!AO18=0,'Parte Estrategica'!AO18=""),0,IF(VLOOKUP($A18,'Matriz de Referencia'!$B$2:$CO$584,57,FALSE)=0,0,"Digite"))</f>
        <v>0</v>
      </c>
      <c r="EI18" s="454">
        <f>IF(OR('Parte Estrategica'!AO18=0,'Parte Estrategica'!AO18=""),0,IF(VLOOKUP($A18,'Matriz de Referencia'!$B$2:$CO$584,58,FALSE)=0,0,"Digite"))</f>
        <v>0</v>
      </c>
      <c r="EJ18" s="454">
        <f>IF(OR('Parte Estrategica'!AO18=0,'Parte Estrategica'!AO18=""),0,IF(VLOOKUP($A18,'Matriz de Referencia'!$B$2:$CO$584,59,FALSE)=0,0,"Digite"))</f>
        <v>0</v>
      </c>
      <c r="EK18" s="454">
        <f>IF(OR('Parte Estrategica'!AO18=0,'Parte Estrategica'!AO18=""),0,IF(VLOOKUP($A18,'Matriz de Referencia'!$B$2:$CO$584,60,FALSE)=0,0,"Digite"))</f>
        <v>0</v>
      </c>
      <c r="EL18" s="382">
        <f t="shared" si="29"/>
        <v>0</v>
      </c>
      <c r="EM18" s="454">
        <f>IF(OR('Parte Estrategica'!AO18=0,'Parte Estrategica'!AO18=""),0,IF(VLOOKUP($A18,'Matriz de Referencia'!$B$2:$CO$584,62,FALSE)=0,0,"Digite"))</f>
        <v>0</v>
      </c>
      <c r="EN18" s="454">
        <f>IF(OR('Parte Estrategica'!AO18=0,'Parte Estrategica'!AO18=""),0,IF(VLOOKUP($A18,'Matriz de Referencia'!$B$2:$CO$584,63,FALSE)=0,0,"Digite"))</f>
        <v>0</v>
      </c>
      <c r="EO18" s="454">
        <f>IF(OR('Parte Estrategica'!AO18=0,'Parte Estrategica'!AO18=""),0,IF(VLOOKUP($A18,'Matriz de Referencia'!$B$2:$CO$584,64,FALSE)=0,0,"Digite"))</f>
        <v>0</v>
      </c>
      <c r="EP18" s="382">
        <f t="shared" si="30"/>
        <v>0</v>
      </c>
      <c r="EQ18" s="382">
        <f t="shared" si="31"/>
        <v>0</v>
      </c>
      <c r="ER18" s="453">
        <f>IF(OR('Parte Estrategica'!AP18=0,'Parte Estrategica'!AP18=""),0,IF(VLOOKUP($A18,'Matriz de Referencia'!$B$2:$CO$584,53,FALSE)=0,0,"Digite"))</f>
        <v>0</v>
      </c>
      <c r="ES18" s="454">
        <f>IF(OR('Parte Estrategica'!AP18=0,'Parte Estrategica'!AP18=""),0,IF(VLOOKUP($A18,'Matriz de Referencia'!$B$2:$CO$584,54,FALSE)=0,0,"Digite"))</f>
        <v>0</v>
      </c>
      <c r="ET18" s="454">
        <f>IF(OR('Parte Estrategica'!AP18=0,'Parte Estrategica'!AP18=""),0,IF(VLOOKUP($A18,'Matriz de Referencia'!$B$2:$CO$584,55,FALSE)=0,0,"Digite"))</f>
        <v>0</v>
      </c>
      <c r="EU18" s="454">
        <f>IF(OR('Parte Estrategica'!AP18=0,'Parte Estrategica'!AP18=""),0,IF(VLOOKUP($A18,'Matriz de Referencia'!$B$2:$CO$584,56,FALSE)=0,0,"Digite"))</f>
        <v>0</v>
      </c>
      <c r="EV18" s="454">
        <f>IF(OR('Parte Estrategica'!AP18=0,'Parte Estrategica'!AP18=""),0,IF(VLOOKUP($A18,'Matriz de Referencia'!$B$2:$CO$584,57,FALSE)=0,0,"Digite"))</f>
        <v>0</v>
      </c>
      <c r="EW18" s="454">
        <f>IF(OR('Parte Estrategica'!AP18=0,'Parte Estrategica'!AP18=""),0,IF(VLOOKUP($A18,'Matriz de Referencia'!$B$2:$CO$584,58,FALSE)=0,0,"Digite"))</f>
        <v>0</v>
      </c>
      <c r="EX18" s="454">
        <f>IF(OR('Parte Estrategica'!AP18=0,'Parte Estrategica'!AP18=""),0,IF(VLOOKUP($A18,'Matriz de Referencia'!$B$2:$CO$584,59,FALSE)=0,0,"Digite"))</f>
        <v>0</v>
      </c>
      <c r="EY18" s="454">
        <f>IF(OR('Parte Estrategica'!AP18=0,'Parte Estrategica'!AP18=""),0,IF(VLOOKUP($A18,'Matriz de Referencia'!$B$2:$CO$584,60,FALSE)=0,0,"Digite"))</f>
        <v>0</v>
      </c>
      <c r="EZ18" s="382">
        <f t="shared" si="32"/>
        <v>0</v>
      </c>
      <c r="FA18" s="454">
        <f>IF(OR('Parte Estrategica'!AP18=0,'Parte Estrategica'!AP18=""),0,IF(VLOOKUP($A18,'Matriz de Referencia'!$B$2:$CO$584,62,FALSE)=0,0,"Digite"))</f>
        <v>0</v>
      </c>
      <c r="FB18" s="454">
        <f>IF(OR('Parte Estrategica'!AP18=0,'Parte Estrategica'!AP18=""),0,IF(VLOOKUP($A18,'Matriz de Referencia'!$B$2:$CO$584,63,FALSE)=0,0,"Digite"))</f>
        <v>0</v>
      </c>
      <c r="FC18" s="454">
        <f>IF(OR('Parte Estrategica'!AP18=0,'Parte Estrategica'!AP18=""),0,IF(VLOOKUP($A18,'Matriz de Referencia'!$B$2:$CO$584,64,FALSE)=0,0,"Digite"))</f>
        <v>0</v>
      </c>
      <c r="FD18" s="382">
        <f t="shared" si="33"/>
        <v>0</v>
      </c>
      <c r="FE18" s="382">
        <f t="shared" si="34"/>
        <v>0</v>
      </c>
      <c r="FF18" s="453">
        <f>IF(OR('Parte Estrategica'!AQ18=0,'Parte Estrategica'!AQ18=""),0,IF(VLOOKUP($A18,'Matriz de Referencia'!$B$2:$CO$584,53,FALSE)=0,0,"Digite"))</f>
        <v>0</v>
      </c>
      <c r="FG18" s="454">
        <f>IF(OR('Parte Estrategica'!AQ18=0,'Parte Estrategica'!AQ18=""),0,IF(VLOOKUP($A18,'Matriz de Referencia'!$B$2:$CO$584,54,FALSE)=0,0,"Digite"))</f>
        <v>0</v>
      </c>
      <c r="FH18" s="454">
        <f>IF(OR('Parte Estrategica'!AQ18=0,'Parte Estrategica'!AQ18=""),0,IF(VLOOKUP($A18,'Matriz de Referencia'!$B$2:$CO$584,55,FALSE)=0,0,"Digite"))</f>
        <v>0</v>
      </c>
      <c r="FI18" s="454">
        <f>IF(OR('Parte Estrategica'!AQ18=0,'Parte Estrategica'!AQ18=""),0,IF(VLOOKUP($A18,'Matriz de Referencia'!$B$2:$CO$584,56,FALSE)=0,0,"Digite"))</f>
        <v>0</v>
      </c>
      <c r="FJ18" s="454">
        <f>IF(OR('Parte Estrategica'!AQ18=0,'Parte Estrategica'!AQ18=""),0,IF(VLOOKUP($A18,'Matriz de Referencia'!$B$2:$CO$584,57,FALSE)=0,0,"Digite"))</f>
        <v>0</v>
      </c>
      <c r="FK18" s="454">
        <f>IF(OR('Parte Estrategica'!AQ18=0,'Parte Estrategica'!AQ18=""),0,IF(VLOOKUP($A18,'Matriz de Referencia'!$B$2:$CO$584,58,FALSE)=0,0,"Digite"))</f>
        <v>0</v>
      </c>
      <c r="FL18" s="454">
        <f>IF(OR('Parte Estrategica'!AQ18=0,'Parte Estrategica'!AQ18=""),0,IF(VLOOKUP($A18,'Matriz de Referencia'!$B$2:$CO$584,59,FALSE)=0,0,"Digite"))</f>
        <v>0</v>
      </c>
      <c r="FM18" s="454">
        <f>IF(OR('Parte Estrategica'!AQ18=0,'Parte Estrategica'!AQ18=""),0,IF(VLOOKUP($A18,'Matriz de Referencia'!$B$2:$CO$584,60,FALSE)=0,0,"Digite"))</f>
        <v>0</v>
      </c>
      <c r="FN18" s="382">
        <f t="shared" si="35"/>
        <v>0</v>
      </c>
      <c r="FO18" s="454">
        <f>IF(OR('Parte Estrategica'!AQ18=0,'Parte Estrategica'!AQ18=""),0,IF(VLOOKUP($A18,'Matriz de Referencia'!$B$2:$CO$584,62,FALSE)=0,0,"Digite"))</f>
        <v>0</v>
      </c>
      <c r="FP18" s="454">
        <f>IF(OR('Parte Estrategica'!AQ18=0,'Parte Estrategica'!AQ18=""),0,IF(VLOOKUP($A18,'Matriz de Referencia'!$B$2:$CO$584,63,FALSE)=0,0,"Digite"))</f>
        <v>0</v>
      </c>
      <c r="FQ18" s="454">
        <f>IF(OR('Parte Estrategica'!AQ18=0,'Parte Estrategica'!AQ18=""),0,IF(VLOOKUP($A18,'Matriz de Referencia'!$B$2:$CO$584,64,FALSE)=0,0,"Digite"))</f>
        <v>0</v>
      </c>
      <c r="FR18" s="382">
        <f t="shared" si="36"/>
        <v>0</v>
      </c>
      <c r="FS18" s="382">
        <f t="shared" si="37"/>
        <v>0</v>
      </c>
      <c r="FT18" s="382">
        <f t="shared" si="38"/>
        <v>0</v>
      </c>
      <c r="FU18" s="101" t="str">
        <f>IFERROR(IF(FT18=0,"",IF(VLOOKUP($A18,'Matriz de Referencia'!$B$2:$CO$584,66,FALSE)=FT18,"Techos ok, cotinue","Debe revisar el valor programado")),"")</f>
        <v/>
      </c>
      <c r="FV18" s="453">
        <f>IF(OR('Parte Estrategica'!AT18=0,'Parte Estrategica'!AT18=""),0,IF(VLOOKUP($A18,'Matriz de Referencia'!$B$2:$CO$584,67,FALSE)=0,0,"Digite"))</f>
        <v>0</v>
      </c>
      <c r="FW18" s="454">
        <f>IF(OR('Parte Estrategica'!AT18=0,'Parte Estrategica'!AT18=""),0,IF(VLOOKUP($A18,'Matriz de Referencia'!$B$2:$CO$584,68,FALSE)=0,0,"Digite"))</f>
        <v>0</v>
      </c>
      <c r="FX18" s="454">
        <f>IF(OR('Parte Estrategica'!AT18=0,'Parte Estrategica'!AT18=""),0,IF(VLOOKUP($A18,'Matriz de Referencia'!$B$2:$CO$584,69,FALSE)=0,0,"Digite"))</f>
        <v>0</v>
      </c>
      <c r="FY18" s="454">
        <f>IF(OR('Parte Estrategica'!AT18=0,'Parte Estrategica'!AT18=""),0,IF(VLOOKUP($A18,'Matriz de Referencia'!$B$2:$CO$584,70,FALSE)=0,0,"Digite"))</f>
        <v>0</v>
      </c>
      <c r="FZ18" s="454">
        <f>IF(OR('Parte Estrategica'!AT18=0,'Parte Estrategica'!AT18=""),0,IF(VLOOKUP($A18,'Matriz de Referencia'!$B$2:$CO$584,71,FALSE)=0,0,"Digite"))</f>
        <v>0</v>
      </c>
      <c r="GA18" s="454">
        <f>IF(OR('Parte Estrategica'!AT18=0,'Parte Estrategica'!AT18=""),0,IF(VLOOKUP($A18,'Matriz de Referencia'!$B$2:$CO$584,72,FALSE)=0,0,"Digite"))</f>
        <v>0</v>
      </c>
      <c r="GB18" s="454">
        <f>IF(OR('Parte Estrategica'!AT18=0,'Parte Estrategica'!AT18=""),0,IF(VLOOKUP($A18,'Matriz de Referencia'!$B$2:$CO$584,73,FALSE)=0,0,"Digite"))</f>
        <v>0</v>
      </c>
      <c r="GC18" s="454">
        <f>IF(OR('Parte Estrategica'!AT18=0,'Parte Estrategica'!AT18=""),0,IF(VLOOKUP($A18,'Matriz de Referencia'!$B$2:$CO$584,74,FALSE)=0,0,"Digite"))</f>
        <v>0</v>
      </c>
      <c r="GD18" s="382">
        <f t="shared" si="39"/>
        <v>0</v>
      </c>
      <c r="GE18" s="454">
        <f>IF(OR('Parte Estrategica'!AT18=0,'Parte Estrategica'!AT18=""),0,IF(VLOOKUP($A18,'Matriz de Referencia'!$B$2:$CO$584,76,FALSE)=0,0,"Digite"))</f>
        <v>0</v>
      </c>
      <c r="GF18" s="454">
        <f>IF(OR('Parte Estrategica'!AT18=0,'Parte Estrategica'!AT18=""),0,IF(VLOOKUP($A18,'Matriz de Referencia'!$B$2:$CO$584,77,FALSE)=0,0,"Digite"))</f>
        <v>0</v>
      </c>
      <c r="GG18" s="454">
        <f>IF(OR('Parte Estrategica'!AT18=0,'Parte Estrategica'!AT18=""),0,IF(VLOOKUP($A18,'Matriz de Referencia'!$B$2:$CO$584,78,FALSE)=0,0,"Digite"))</f>
        <v>0</v>
      </c>
      <c r="GH18" s="382">
        <f t="shared" si="40"/>
        <v>0</v>
      </c>
      <c r="GI18" s="382">
        <f t="shared" si="41"/>
        <v>0</v>
      </c>
      <c r="GJ18" s="453">
        <f>IF(OR('Parte Estrategica'!AU18=0,'Parte Estrategica'!AU18=""),0,IF(VLOOKUP($A18,'Matriz de Referencia'!$B$2:$CO$584,67,FALSE)=0,0,"Digite"))</f>
        <v>0</v>
      </c>
      <c r="GK18" s="454">
        <f>IF(OR('Parte Estrategica'!AU18=0,'Parte Estrategica'!AU18=""),0,IF(VLOOKUP($A18,'Matriz de Referencia'!$B$2:$CO$584,68,FALSE)=0,0,"Digite"))</f>
        <v>0</v>
      </c>
      <c r="GL18" s="454">
        <f>IF(OR('Parte Estrategica'!AU18=0,'Parte Estrategica'!AU18=""),0,IF(VLOOKUP($A18,'Matriz de Referencia'!$B$2:$CO$584,69,FALSE)=0,0,"Digite"))</f>
        <v>0</v>
      </c>
      <c r="GM18" s="454">
        <f>IF(OR('Parte Estrategica'!AU18=0,'Parte Estrategica'!AU18=""),0,IF(VLOOKUP($A18,'Matriz de Referencia'!$B$2:$CO$584,70,FALSE)=0,0,"Digite"))</f>
        <v>0</v>
      </c>
      <c r="GN18" s="454">
        <f>IF(OR('Parte Estrategica'!AU18=0,'Parte Estrategica'!AU18=""),0,IF(VLOOKUP($A18,'Matriz de Referencia'!$B$2:$CO$584,71,FALSE)=0,0,"Digite"))</f>
        <v>0</v>
      </c>
      <c r="GO18" s="454">
        <f>IF(OR('Parte Estrategica'!AU18=0,'Parte Estrategica'!AU18=""),0,IF(VLOOKUP($A18,'Matriz de Referencia'!$B$2:$CO$584,72,FALSE)=0,0,"Digite"))</f>
        <v>0</v>
      </c>
      <c r="GP18" s="454">
        <f>IF(OR('Parte Estrategica'!AU18=0,'Parte Estrategica'!AU18=""),0,IF(VLOOKUP($A18,'Matriz de Referencia'!$B$2:$CO$584,73,FALSE)=0,0,"Digite"))</f>
        <v>0</v>
      </c>
      <c r="GQ18" s="454">
        <f>IF(OR('Parte Estrategica'!AU18=0,'Parte Estrategica'!AU18=""),0,IF(VLOOKUP($A18,'Matriz de Referencia'!$B$2:$CO$584,74,FALSE)=0,0,"Digite"))</f>
        <v>0</v>
      </c>
      <c r="GR18" s="382">
        <f t="shared" si="42"/>
        <v>0</v>
      </c>
      <c r="GS18" s="454">
        <f>IF(OR('Parte Estrategica'!AU18=0,'Parte Estrategica'!AU18=""),0,IF(VLOOKUP($A18,'Matriz de Referencia'!$B$2:$CO$584,76,FALSE)=0,0,"Digite"))</f>
        <v>0</v>
      </c>
      <c r="GT18" s="454">
        <f>IF(OR('Parte Estrategica'!AU18=0,'Parte Estrategica'!AU18=""),0,IF(VLOOKUP($A18,'Matriz de Referencia'!$B$2:$CO$584,77,FALSE)=0,0,"Digite"))</f>
        <v>0</v>
      </c>
      <c r="GU18" s="454">
        <f>IF(OR('Parte Estrategica'!AU18=0,'Parte Estrategica'!AU18=""),0,IF(VLOOKUP($A18,'Matriz de Referencia'!$B$2:$CO$584,78,FALSE)=0,0,"Digite"))</f>
        <v>0</v>
      </c>
      <c r="GV18" s="382">
        <f t="shared" si="43"/>
        <v>0</v>
      </c>
      <c r="GW18" s="382">
        <f t="shared" si="44"/>
        <v>0</v>
      </c>
      <c r="GX18" s="453">
        <f>IF(OR('Parte Estrategica'!AV18=0,'Parte Estrategica'!AV18=""),0,IF(VLOOKUP($A18,'Matriz de Referencia'!$B$2:$CO$584,67,FALSE)=0,0,"Digite"))</f>
        <v>0</v>
      </c>
      <c r="GY18" s="454">
        <f>IF(OR('Parte Estrategica'!AV18=0,'Parte Estrategica'!AV18=""),0,IF(VLOOKUP($A18,'Matriz de Referencia'!$B$2:$CO$584,68,FALSE)=0,0,"Digite"))</f>
        <v>0</v>
      </c>
      <c r="GZ18" s="454">
        <f>IF(OR('Parte Estrategica'!AV18=0,'Parte Estrategica'!AV18=""),0,IF(VLOOKUP($A18,'Matriz de Referencia'!$B$2:$CO$584,69,FALSE)=0,0,"Digite"))</f>
        <v>0</v>
      </c>
      <c r="HA18" s="454">
        <f>IF(OR('Parte Estrategica'!AV18=0,'Parte Estrategica'!AV18=""),0,IF(VLOOKUP($A18,'Matriz de Referencia'!$B$2:$CO$584,70,FALSE)=0,0,"Digite"))</f>
        <v>0</v>
      </c>
      <c r="HB18" s="454">
        <f>IF(OR('Parte Estrategica'!AV18=0,'Parte Estrategica'!AV18=""),0,IF(VLOOKUP($A18,'Matriz de Referencia'!$B$2:$CO$584,71,FALSE)=0,0,"Digite"))</f>
        <v>0</v>
      </c>
      <c r="HC18" s="454">
        <f>IF(OR('Parte Estrategica'!AV18=0,'Parte Estrategica'!AV18=""),0,IF(VLOOKUP($A18,'Matriz de Referencia'!$B$2:$CO$584,72,FALSE)=0,0,"Digite"))</f>
        <v>0</v>
      </c>
      <c r="HD18" s="454">
        <f>IF(OR('Parte Estrategica'!AV18=0,'Parte Estrategica'!AV18=""),0,IF(VLOOKUP($A18,'Matriz de Referencia'!$B$2:$CO$584,73,FALSE)=0,0,"Digite"))</f>
        <v>0</v>
      </c>
      <c r="HE18" s="454">
        <f>IF(OR('Parte Estrategica'!AV18=0,'Parte Estrategica'!AV18=""),0,IF(VLOOKUP($A18,'Matriz de Referencia'!$B$2:$CO$584,74,FALSE)=0,0,"Digite"))</f>
        <v>0</v>
      </c>
      <c r="HF18" s="382">
        <f t="shared" si="45"/>
        <v>0</v>
      </c>
      <c r="HG18" s="454">
        <f>IF(OR('Parte Estrategica'!AV18=0,'Parte Estrategica'!AV18=""),0,IF(VLOOKUP($A18,'Matriz de Referencia'!$B$2:$CO$584,76,FALSE)=0,0,"Digite"))</f>
        <v>0</v>
      </c>
      <c r="HH18" s="454">
        <f>IF(OR('Parte Estrategica'!AV18=0,'Parte Estrategica'!AV18=""),0,IF(VLOOKUP($A18,'Matriz de Referencia'!$B$2:$CO$584,77,FALSE)=0,0,"Digite"))</f>
        <v>0</v>
      </c>
      <c r="HI18" s="454">
        <f>IF(OR('Parte Estrategica'!AV18=0,'Parte Estrategica'!AV18=""),0,IF(VLOOKUP($A18,'Matriz de Referencia'!$B$2:$CO$584,78,FALSE)=0,0,"Digite"))</f>
        <v>0</v>
      </c>
      <c r="HJ18" s="382">
        <f t="shared" si="46"/>
        <v>0</v>
      </c>
      <c r="HK18" s="382">
        <f t="shared" si="47"/>
        <v>0</v>
      </c>
      <c r="HL18" s="453">
        <f>IF(OR('Parte Estrategica'!AW18=0,'Parte Estrategica'!AW18=""),0,IF(VLOOKUP($A18,'Matriz de Referencia'!$B$2:$CO$584,67,FALSE)=0,0,"Digite"))</f>
        <v>0</v>
      </c>
      <c r="HM18" s="454">
        <f>IF(OR('Parte Estrategica'!AW18=0,'Parte Estrategica'!AW18=""),0,IF(VLOOKUP($A18,'Matriz de Referencia'!$B$2:$CO$584,68,FALSE)=0,0,"Digite"))</f>
        <v>0</v>
      </c>
      <c r="HN18" s="454">
        <f>IF(OR('Parte Estrategica'!AW18=0,'Parte Estrategica'!AW18=""),0,IF(VLOOKUP($A18,'Matriz de Referencia'!$B$2:$CO$584,69,FALSE)=0,0,"Digite"))</f>
        <v>0</v>
      </c>
      <c r="HO18" s="454">
        <f>IF(OR('Parte Estrategica'!AW18=0,'Parte Estrategica'!AW18=""),0,IF(VLOOKUP($A18,'Matriz de Referencia'!$B$2:$CO$584,70,FALSE)=0,0,"Digite"))</f>
        <v>0</v>
      </c>
      <c r="HP18" s="454">
        <f>IF(OR('Parte Estrategica'!AW18=0,'Parte Estrategica'!AW18=""),0,IF(VLOOKUP($A18,'Matriz de Referencia'!$B$2:$CO$584,71,FALSE)=0,0,"Digite"))</f>
        <v>0</v>
      </c>
      <c r="HQ18" s="454">
        <f>IF(OR('Parte Estrategica'!AW18=0,'Parte Estrategica'!AW18=""),0,IF(VLOOKUP($A18,'Matriz de Referencia'!$B$2:$CO$584,72,FALSE)=0,0,"Digite"))</f>
        <v>0</v>
      </c>
      <c r="HR18" s="454">
        <f>IF(OR('Parte Estrategica'!AW18=0,'Parte Estrategica'!AW18=""),0,IF(VLOOKUP($A18,'Matriz de Referencia'!$B$2:$CO$584,73,FALSE)=0,0,"Digite"))</f>
        <v>0</v>
      </c>
      <c r="HS18" s="454">
        <f>IF(OR('Parte Estrategica'!AW18=0,'Parte Estrategica'!AW18=""),0,IF(VLOOKUP($A18,'Matriz de Referencia'!$B$2:$CO$584,74,FALSE)=0,0,"Digite"))</f>
        <v>0</v>
      </c>
      <c r="HT18" s="382">
        <f t="shared" si="48"/>
        <v>0</v>
      </c>
      <c r="HU18" s="454">
        <f>IF(OR('Parte Estrategica'!AW18=0,'Parte Estrategica'!AW18=""),0,IF(VLOOKUP($A18,'Matriz de Referencia'!$B$2:$CO$584,76,FALSE)=0,0,"Digite"))</f>
        <v>0</v>
      </c>
      <c r="HV18" s="454">
        <f>IF(OR('Parte Estrategica'!AW18=0,'Parte Estrategica'!AW18=""),0,IF(VLOOKUP($A18,'Matriz de Referencia'!$B$2:$CO$584,77,FALSE)=0,0,"Digite"))</f>
        <v>0</v>
      </c>
      <c r="HW18" s="454">
        <f>IF(OR('Parte Estrategica'!AW18=0,'Parte Estrategica'!AW18=""),0,IF(VLOOKUP($A18,'Matriz de Referencia'!$B$2:$CO$584,78,FALSE)=0,0,"Digite"))</f>
        <v>0</v>
      </c>
      <c r="HX18" s="382">
        <f t="shared" si="49"/>
        <v>0</v>
      </c>
      <c r="HY18" s="382">
        <f t="shared" si="50"/>
        <v>0</v>
      </c>
      <c r="HZ18" s="382">
        <f t="shared" si="51"/>
        <v>0</v>
      </c>
      <c r="IA18" s="101" t="str">
        <f>IFERROR(IF(HZ18=0,"",IF(VLOOKUP($A18,'Matriz de Referencia'!$B$2:$CO$584,80,FALSE)=HZ18,"Techos ok, cotinue","Debe revisar el valor programado")),"")</f>
        <v/>
      </c>
      <c r="IB18" s="383">
        <f t="shared" si="52"/>
        <v>0</v>
      </c>
    </row>
    <row r="19" spans="1:236">
      <c r="A19" s="550" t="str">
        <f>IF('Parte Estrategica'!B19=0,"",'Parte Estrategica'!B19)</f>
        <v/>
      </c>
      <c r="B19" s="551" t="str">
        <f>IFERROR(VLOOKUP(A19,'Matriz de Referencia'!$B$2:$P$578,'Matriz de Referencia'!L$1,FALSE),"")</f>
        <v/>
      </c>
      <c r="C19" s="551" t="str">
        <f>IFERROR(VLOOKUP(A19,'Matriz de Referencia'!$B$2:$P$584,'Matriz de Referencia'!M$1,FALSE),"")</f>
        <v/>
      </c>
      <c r="D19" s="455" t="str">
        <f>IF(OR('Parte Estrategica'!AB19=0,'Parte Estrategica'!AB19=""),"",IF(VLOOKUP($A19,'Matriz de Referencia'!$B$2:$CO$584,'Matriz de Referencia'!Z$1,FALSE)=0,"","Digite"))</f>
        <v/>
      </c>
      <c r="E19" s="456">
        <f>IF(OR('Parte Estrategica'!AB19=0,'Parte Estrategica'!AB19=""),0,IF(VLOOKUP($A19,'Matriz de Referencia'!$B$2:$CO$584,26,FALSE)=0,0,"Digite"))</f>
        <v>0</v>
      </c>
      <c r="F19" s="456">
        <f>IF(OR('Parte Estrategica'!AB19=0,'Parte Estrategica'!AB19=""),0,IF(VLOOKUP($A19,'Matriz de Referencia'!$B$2:$CO$584,27,FALSE)=0,0,"Digite"))</f>
        <v>0</v>
      </c>
      <c r="G19" s="456">
        <f>IF(OR('Parte Estrategica'!AB19=0,'Parte Estrategica'!AB19=""),0,IF(VLOOKUP($A19,'Matriz de Referencia'!$B$2:$CO$584,28,FALSE)=0,0,"Digite"))</f>
        <v>0</v>
      </c>
      <c r="H19" s="456">
        <f>IF(OR('Parte Estrategica'!AB19=0,'Parte Estrategica'!AB19=""),0,IF(VLOOKUP($A19,'Matriz de Referencia'!$B$2:$CO$584,29,FALSE)=0,0,"Digite"))</f>
        <v>0</v>
      </c>
      <c r="I19" s="456">
        <f>IF(OR('Parte Estrategica'!AB19=0,'Parte Estrategica'!AB19=""),0,IF(VLOOKUP($A19,'Matriz de Referencia'!$B$2:$CO$584,30,FALSE)=0,0,"Digite"))</f>
        <v>0</v>
      </c>
      <c r="J19" s="456">
        <f>IF(OR('Parte Estrategica'!AB19=0,'Parte Estrategica'!AB19=""),0,IF(VLOOKUP($A19,'Matriz de Referencia'!$B$2:$CO$584,31,FALSE)=0,0,"Digite"))</f>
        <v>0</v>
      </c>
      <c r="K19" s="456">
        <f>IF(OR('Parte Estrategica'!AB19=0,'Parte Estrategica'!AB19=""),0,IF(VLOOKUP($A19,'Matriz de Referencia'!$B$2:$CO$584,32,FALSE)=0,0,"Digite"))</f>
        <v>0</v>
      </c>
      <c r="L19" s="460">
        <f t="shared" si="0"/>
        <v>0</v>
      </c>
      <c r="M19" s="456">
        <f>IF(OR('Parte Estrategica'!AB19=0,'Parte Estrategica'!AB19=""),0,IF(VLOOKUP($A19,'Matriz de Referencia'!$B$2:$CO$584,34,FALSE)=0,0,"Digite"))</f>
        <v>0</v>
      </c>
      <c r="N19" s="456">
        <f>IF(OR('Parte Estrategica'!AB19=0,'Parte Estrategica'!AB19=""),0,IF(VLOOKUP($A19,'Matriz de Referencia'!$B$2:$CO$584,35,FALSE)=0,0,"Digite"))</f>
        <v>0</v>
      </c>
      <c r="O19" s="456">
        <f>IF(OR('Parte Estrategica'!AB19=0,'Parte Estrategica'!AB19=""),0,IF(VLOOKUP($A19,'Matriz de Referencia'!$B$2:$CO$584,36,FALSE)=0,0,"Digite"))</f>
        <v>0</v>
      </c>
      <c r="P19" s="457">
        <f t="shared" si="1"/>
        <v>0</v>
      </c>
      <c r="Q19" s="457">
        <f t="shared" si="2"/>
        <v>0</v>
      </c>
      <c r="R19" s="455">
        <f>IF(OR('Parte Estrategica'!AC19=0,'Parte Estrategica'!AC19=""),0,IF(VLOOKUP($A19,'Matriz de Referencia'!$B$2:$CO$584,25,FALSE)=0,0,"Digite"))</f>
        <v>0</v>
      </c>
      <c r="S19" s="456">
        <f>IF(OR('Parte Estrategica'!AC19=0,'Parte Estrategica'!AC19=""),0,IF(VLOOKUP($A19,'Matriz de Referencia'!$B$2:$CO$584,26,FALSE)=0,0,"Digite"))</f>
        <v>0</v>
      </c>
      <c r="T19" s="456">
        <f>IF(OR('Parte Estrategica'!AC19=0,'Parte Estrategica'!AC19=""),0,IF(VLOOKUP($A19,'Matriz de Referencia'!$B$2:$CO$584,27,FALSE)=0,0,"Digite"))</f>
        <v>0</v>
      </c>
      <c r="U19" s="456">
        <f>IF(OR('Parte Estrategica'!AC19=0,'Parte Estrategica'!AC19=""),0,IF(VLOOKUP($A19,'Matriz de Referencia'!$B$2:$CO$584,28,FALSE)=0,0,"Digite"))</f>
        <v>0</v>
      </c>
      <c r="V19" s="456">
        <f>IF(OR('Parte Estrategica'!AC19=0,'Parte Estrategica'!AC19=""),0,IF(VLOOKUP($A19,'Matriz de Referencia'!$B$2:$CO$584,29,FALSE)=0,0,"Digite"))</f>
        <v>0</v>
      </c>
      <c r="W19" s="456">
        <f>IF(OR('Parte Estrategica'!AC19=0,'Parte Estrategica'!AC19=""),0,IF(VLOOKUP($A19,'Matriz de Referencia'!$B$2:$CO$584,30,FALSE)=0,0,"Digite"))</f>
        <v>0</v>
      </c>
      <c r="X19" s="456">
        <f>IF(OR('Parte Estrategica'!AC19=0,'Parte Estrategica'!AC19=""),0,IF(VLOOKUP($A19,'Matriz de Referencia'!$B$2:$CO$584,31,FALSE)=0,0,"Digite"))</f>
        <v>0</v>
      </c>
      <c r="Y19" s="456">
        <f>IF(OR('Parte Estrategica'!AC19=0,'Parte Estrategica'!AC19=""),0,IF(VLOOKUP($A19,'Matriz de Referencia'!$B$2:$CO$584,32,FALSE)=0,0,"Digite"))</f>
        <v>0</v>
      </c>
      <c r="Z19" s="457">
        <f t="shared" si="3"/>
        <v>0</v>
      </c>
      <c r="AA19" s="456">
        <f>IF(OR('Parte Estrategica'!AC19=0,'Parte Estrategica'!AC19=""),0,IF(VLOOKUP($A19,'Matriz de Referencia'!$B$2:$CO$584,34,FALSE)=0,0,"Digite"))</f>
        <v>0</v>
      </c>
      <c r="AB19" s="456">
        <f>IF(OR('Parte Estrategica'!AC19=0,'Parte Estrategica'!AC19=""),0,IF(VLOOKUP($A19,'Matriz de Referencia'!$B$2:$CO$584,35,FALSE)=0,0,"Digite"))</f>
        <v>0</v>
      </c>
      <c r="AC19" s="456">
        <f>IF(OR('Parte Estrategica'!AC19=0,'Parte Estrategica'!AC19=""),0,IF(VLOOKUP($A19,'Matriz de Referencia'!$B$2:$CO$584,36,FALSE)=0,0,"Digite"))</f>
        <v>0</v>
      </c>
      <c r="AD19" s="457">
        <f t="shared" si="4"/>
        <v>0</v>
      </c>
      <c r="AE19" s="457">
        <f t="shared" si="5"/>
        <v>0</v>
      </c>
      <c r="AF19" s="455">
        <f>IF(OR('Parte Estrategica'!AD19=0,'Parte Estrategica'!AD19=""),0,IF(VLOOKUP($A19,'Matriz de Referencia'!$B$2:$CO$584,25,FALSE)=0,0,"Digite"))</f>
        <v>0</v>
      </c>
      <c r="AG19" s="456">
        <f>IF(OR('Parte Estrategica'!AD19=0,'Parte Estrategica'!AD19=""),0,IF(VLOOKUP($A19,'Matriz de Referencia'!$B$2:$CO$584,26,FALSE)=0,0,"Digite"))</f>
        <v>0</v>
      </c>
      <c r="AH19" s="456">
        <f>IF(OR('Parte Estrategica'!AD19=0,'Parte Estrategica'!AD19=""),0,IF(VLOOKUP($A19,'Matriz de Referencia'!$B$2:$CO$584,27,FALSE)=0,0,"Digite"))</f>
        <v>0</v>
      </c>
      <c r="AI19" s="456">
        <f>IF(OR('Parte Estrategica'!AD19=0,'Parte Estrategica'!AD19=""),0,IF(VLOOKUP($A19,'Matriz de Referencia'!$B$2:$CO$584,28,FALSE)=0,0,"Digite"))</f>
        <v>0</v>
      </c>
      <c r="AJ19" s="456">
        <f>IF(OR('Parte Estrategica'!AD19=0,'Parte Estrategica'!AD19=""),0,IF(VLOOKUP($A19,'Matriz de Referencia'!$B$2:$CO$584,29,FALSE)=0,0,"Digite"))</f>
        <v>0</v>
      </c>
      <c r="AK19" s="456">
        <f>IF(OR('Parte Estrategica'!AD19=0,'Parte Estrategica'!AD19=""),0,IF(VLOOKUP($A19,'Matriz de Referencia'!$B$2:$CO$584,30,FALSE)=0,0,"Digite"))</f>
        <v>0</v>
      </c>
      <c r="AL19" s="456">
        <f>IF(OR('Parte Estrategica'!AD19=0,'Parte Estrategica'!AD19=""),0,IF(VLOOKUP($A19,'Matriz de Referencia'!$B$2:$CO$584,31,FALSE)=0,0,"Digite"))</f>
        <v>0</v>
      </c>
      <c r="AM19" s="456">
        <f>IF(OR('Parte Estrategica'!AD19=0,'Parte Estrategica'!AD19=""),0,IF(VLOOKUP($A19,'Matriz de Referencia'!$B$2:$CO$584,32,FALSE)=0,0,"Digite"))</f>
        <v>0</v>
      </c>
      <c r="AN19" s="457">
        <f t="shared" si="6"/>
        <v>0</v>
      </c>
      <c r="AO19" s="456">
        <f>IF(OR('Parte Estrategica'!AD19=0,'Parte Estrategica'!AD19=""),0,IF(VLOOKUP($A19,'Matriz de Referencia'!$B$2:$CO$584,34,FALSE)=0,0,"Digite"))</f>
        <v>0</v>
      </c>
      <c r="AP19" s="456">
        <f>IF(OR('Parte Estrategica'!AD19=0,'Parte Estrategica'!AD19=""),0,IF(VLOOKUP($A19,'Matriz de Referencia'!$B$2:$CO$584,35,FALSE)=0,0,"Digite"))</f>
        <v>0</v>
      </c>
      <c r="AQ19" s="456">
        <f>IF(OR('Parte Estrategica'!AD19=0,'Parte Estrategica'!AD19=""),0,IF(VLOOKUP($A19,'Matriz de Referencia'!$B$2:$CO$584,36,FALSE)=0,0,"Digite"))</f>
        <v>0</v>
      </c>
      <c r="AR19" s="457">
        <f t="shared" si="7"/>
        <v>0</v>
      </c>
      <c r="AS19" s="457">
        <f t="shared" si="8"/>
        <v>0</v>
      </c>
      <c r="AT19" s="455">
        <f>IF(OR('Parte Estrategica'!AE19=0,'Parte Estrategica'!AE19=""),0,IF(VLOOKUP($A19,'Matriz de Referencia'!$B$2:$CO$584,25,FALSE)=0,0,"Digite"))</f>
        <v>0</v>
      </c>
      <c r="AU19" s="456">
        <f>IF(OR('Parte Estrategica'!AE19=0,'Parte Estrategica'!AE19=""),0,IF(VLOOKUP($A19,'Matriz de Referencia'!$B$2:$CO$584,26,FALSE)=0,0,"Digite"))</f>
        <v>0</v>
      </c>
      <c r="AV19" s="456">
        <f>IF(OR('Parte Estrategica'!AE19=0,'Parte Estrategica'!AE19=""),0,IF(VLOOKUP($A19,'Matriz de Referencia'!$B$2:$CO$584,27,FALSE)=0,0,"Digite"))</f>
        <v>0</v>
      </c>
      <c r="AW19" s="456">
        <f>IF(OR('Parte Estrategica'!AE19=0,'Parte Estrategica'!AE19=""),0,IF(VLOOKUP($A19,'Matriz de Referencia'!$B$2:$CO$584,28,FALSE)=0,0,"Digite"))</f>
        <v>0</v>
      </c>
      <c r="AX19" s="456">
        <f>IF(OR('Parte Estrategica'!AE19=0,'Parte Estrategica'!AE19=""),0,IF(VLOOKUP($A19,'Matriz de Referencia'!$B$2:$CO$584,29,FALSE)=0,0,"Digite"))</f>
        <v>0</v>
      </c>
      <c r="AY19" s="456">
        <f>IF(OR('Parte Estrategica'!AE19=0,'Parte Estrategica'!AE19=""),0,IF(VLOOKUP($A19,'Matriz de Referencia'!$B$2:$CO$584,30,FALSE)=0,0,"Digite"))</f>
        <v>0</v>
      </c>
      <c r="AZ19" s="456">
        <f>IF(OR('Parte Estrategica'!AE19=0,'Parte Estrategica'!AE19=""),0,IF(VLOOKUP($A19,'Matriz de Referencia'!$B$2:$CO$584,31,FALSE)=0,0,"Digite"))</f>
        <v>0</v>
      </c>
      <c r="BA19" s="456">
        <f>IF(OR('Parte Estrategica'!AE19=0,'Parte Estrategica'!AE19=""),0,IF(VLOOKUP($A19,'Matriz de Referencia'!$B$2:$CO$584,32,FALSE)=0,0,"Digite"))</f>
        <v>0</v>
      </c>
      <c r="BB19" s="457">
        <f t="shared" si="9"/>
        <v>0</v>
      </c>
      <c r="BC19" s="456">
        <f>IF(OR('Parte Estrategica'!AE19=0,'Parte Estrategica'!AE19=""),0,IF(VLOOKUP($A19,'Matriz de Referencia'!$B$2:$CO$584,34,FALSE)=0,0,"Digite"))</f>
        <v>0</v>
      </c>
      <c r="BD19" s="456">
        <f>IF(OR('Parte Estrategica'!AE19=0,'Parte Estrategica'!AE19=""),0,IF(VLOOKUP($A19,'Matriz de Referencia'!$B$2:$CO$584,35,FALSE)=0,0,"Digite"))</f>
        <v>0</v>
      </c>
      <c r="BE19" s="456">
        <f>IF(OR('Parte Estrategica'!AE19=0,'Parte Estrategica'!AE19=""),0,IF(VLOOKUP($A19,'Matriz de Referencia'!$B$2:$CO$584,36,FALSE)=0,0,"Digite"))</f>
        <v>0</v>
      </c>
      <c r="BF19" s="457">
        <f t="shared" si="10"/>
        <v>0</v>
      </c>
      <c r="BG19" s="457">
        <f t="shared" si="11"/>
        <v>0</v>
      </c>
      <c r="BH19" s="457">
        <f t="shared" si="12"/>
        <v>0</v>
      </c>
      <c r="BI19" s="101" t="str">
        <f>IFERROR(IF(BH19=0,"",IF(VLOOKUP($A19,'Matriz de Referencia'!$B$2:$CO$584,'Matriz de Referencia'!AM$1,FALSE)=BH19,"Techos ok, cotinue","Debe revisar el valor programado")),"")</f>
        <v/>
      </c>
      <c r="BJ19" s="453">
        <f>IF(OR('Parte Estrategica'!AH19=0,'Parte Estrategica'!AH19=""),0,IF(VLOOKUP($A19,'Matriz de Referencia'!$B$2:$CO$584,39,FALSE)=0,0,"Digite"))</f>
        <v>0</v>
      </c>
      <c r="BK19" s="454">
        <f>IF(OR('Parte Estrategica'!AH19=0,'Parte Estrategica'!AH19=""),0,IF(VLOOKUP($A19,'Matriz de Referencia'!$B$2:$CO$584,40,FALSE)=0,0,"Digite"))</f>
        <v>0</v>
      </c>
      <c r="BL19" s="454">
        <f>IF(OR('Parte Estrategica'!AH19=0,'Parte Estrategica'!AH19=""),0,IF(VLOOKUP($A19,'Matriz de Referencia'!$B$2:$CO$584,41,FALSE)=0,0,"Digite"))</f>
        <v>0</v>
      </c>
      <c r="BM19" s="454">
        <f>IF(OR('Parte Estrategica'!AH19=0,'Parte Estrategica'!AH19=""),0,IF(VLOOKUP($A19,'Matriz de Referencia'!$B$2:$CO$584,42,FALSE)=0,0,"Digite"))</f>
        <v>0</v>
      </c>
      <c r="BN19" s="454">
        <f>IF(OR('Parte Estrategica'!AH19=0,'Parte Estrategica'!AH19=""),0,IF(VLOOKUP($A19,'Matriz de Referencia'!$B$2:$CO$584,43,FALSE)=0,0,"Digite"))</f>
        <v>0</v>
      </c>
      <c r="BO19" s="454">
        <f>IF(OR('Parte Estrategica'!AH19=0,'Parte Estrategica'!AH19=""),0,IF(VLOOKUP($A19,'Matriz de Referencia'!$B$2:$CO$584,44,FALSE)=0,0,"Digite"))</f>
        <v>0</v>
      </c>
      <c r="BP19" s="454">
        <f>IF(OR('Parte Estrategica'!AH19=0,'Parte Estrategica'!AH19=""),0,IF(VLOOKUP($A19,'Matriz de Referencia'!$B$2:$CO$584,45,FALSE)=0,0,"Digite"))</f>
        <v>0</v>
      </c>
      <c r="BQ19" s="454">
        <f>IF(OR('Parte Estrategica'!AH19=0,'Parte Estrategica'!AH19=""),0,IF(VLOOKUP($A19,'Matriz de Referencia'!$B$2:$CO$584,46,FALSE)=0,0,"Digite"))</f>
        <v>0</v>
      </c>
      <c r="BR19" s="382">
        <f t="shared" si="13"/>
        <v>0</v>
      </c>
      <c r="BS19" s="454">
        <f>IF(OR('Parte Estrategica'!CL19=0,'Parte Estrategica'!CL19=""),0,IF(VLOOKUP($A19,'Matriz de Referencia'!$B$2:$CO$584,48,FALSE)=0,0,"Digite"))</f>
        <v>0</v>
      </c>
      <c r="BT19" s="454">
        <f>IF(OR('Parte Estrategica'!CL19=0,'Parte Estrategica'!CL19=""),0,IF(VLOOKUP($A19,'Matriz de Referencia'!$B$2:$CO$584,49,FALSE)=0,0,"Digite"))</f>
        <v>0</v>
      </c>
      <c r="BU19" s="454">
        <f>IF(OR('Parte Estrategica'!CL19=0,'Parte Estrategica'!CL19=""),0,IF(VLOOKUP($A19,'Matriz de Referencia'!$B$2:$CO$584,50,FALSE)=0,0,"Digite"))</f>
        <v>0</v>
      </c>
      <c r="BV19" s="382">
        <f t="shared" si="14"/>
        <v>0</v>
      </c>
      <c r="BW19" s="382">
        <f t="shared" si="15"/>
        <v>0</v>
      </c>
      <c r="BX19" s="453">
        <f>IF(OR('Parte Estrategica'!AI19=0,'Parte Estrategica'!AI19=""),0,IF(VLOOKUP($A19,'Matriz de Referencia'!$B$2:$CO$584,39,FALSE)=0,0,"Digite"))</f>
        <v>0</v>
      </c>
      <c r="BY19" s="454">
        <f>IF(OR('Parte Estrategica'!AI19=0,'Parte Estrategica'!AI19=""),0,IF(VLOOKUP($A19,'Matriz de Referencia'!$B$2:$CO$584,40,FALSE)=0,0,"Digite"))</f>
        <v>0</v>
      </c>
      <c r="BZ19" s="454">
        <f>IF(OR('Parte Estrategica'!AI19=0,'Parte Estrategica'!AI19=""),0,IF(VLOOKUP($A19,'Matriz de Referencia'!$B$2:$CO$584,41,FALSE)=0,0,"Digite"))</f>
        <v>0</v>
      </c>
      <c r="CA19" s="454">
        <f>IF(OR('Parte Estrategica'!AI19=0,'Parte Estrategica'!AI19=""),0,IF(VLOOKUP($A19,'Matriz de Referencia'!$B$2:$CO$584,42,FALSE)=0,0,"Digite"))</f>
        <v>0</v>
      </c>
      <c r="CB19" s="454">
        <f>IF(OR('Parte Estrategica'!AI19=0,'Parte Estrategica'!AI19=""),0,IF(VLOOKUP($A19,'Matriz de Referencia'!$B$2:$CO$584,43,FALSE)=0,0,"Digite"))</f>
        <v>0</v>
      </c>
      <c r="CC19" s="454">
        <f>IF(OR('Parte Estrategica'!AI19=0,'Parte Estrategica'!AI19=""),0,IF(VLOOKUP($A19,'Matriz de Referencia'!$B$2:$CO$584,44,FALSE)=0,0,"Digite"))</f>
        <v>0</v>
      </c>
      <c r="CD19" s="454">
        <f>IF(OR('Parte Estrategica'!AI19=0,'Parte Estrategica'!AI19=""),0,IF(VLOOKUP($A19,'Matriz de Referencia'!$B$2:$CO$584,45,FALSE)=0,0,"Digite"))</f>
        <v>0</v>
      </c>
      <c r="CE19" s="454">
        <f>IF(OR('Parte Estrategica'!AI19=0,'Parte Estrategica'!AI19=""),0,IF(VLOOKUP($A19,'Matriz de Referencia'!$B$2:$CO$584,46,FALSE)=0,0,"Digite"))</f>
        <v>0</v>
      </c>
      <c r="CF19" s="382">
        <f t="shared" si="16"/>
        <v>0</v>
      </c>
      <c r="CG19" s="454">
        <f>IF(OR('Parte Estrategica'!AI19=0,'Parte Estrategica'!AI19=""),0,IF(VLOOKUP($A19,'Matriz de Referencia'!$B$2:$CO$584,48,FALSE)=0,0,"Digite"))</f>
        <v>0</v>
      </c>
      <c r="CH19" s="454">
        <f>IF(OR('Parte Estrategica'!AI19=0,'Parte Estrategica'!AI19=""),0,IF(VLOOKUP($A19,'Matriz de Referencia'!$B$2:$CO$584,49,FALSE)=0,0,"Digite"))</f>
        <v>0</v>
      </c>
      <c r="CI19" s="454">
        <f>IF(OR('Parte Estrategica'!AI19=0,'Parte Estrategica'!AI19=""),0,IF(VLOOKUP($A19,'Matriz de Referencia'!$B$2:$CO$584,50,FALSE)=0,0,"Digite"))</f>
        <v>0</v>
      </c>
      <c r="CJ19" s="382">
        <f t="shared" si="17"/>
        <v>0</v>
      </c>
      <c r="CK19" s="382">
        <f t="shared" si="18"/>
        <v>0</v>
      </c>
      <c r="CL19" s="453">
        <f>IF(OR('Parte Estrategica'!AJ19=0,'Parte Estrategica'!AJ19=""),0,IF(VLOOKUP($A19,'Matriz de Referencia'!$B$2:$CO$584,39,FALSE)=0,0,"Digite"))</f>
        <v>0</v>
      </c>
      <c r="CM19" s="454">
        <f>IF(OR('Parte Estrategica'!AJ19=0,'Parte Estrategica'!AJ19=""),0,IF(VLOOKUP($A19,'Matriz de Referencia'!$B$2:$CO$584,40,FALSE)=0,0,"Digite"))</f>
        <v>0</v>
      </c>
      <c r="CN19" s="454">
        <f>IF(OR('Parte Estrategica'!AJ19=0,'Parte Estrategica'!AJ19=""),0,IF(VLOOKUP($A19,'Matriz de Referencia'!$B$2:$CO$584,41,FALSE)=0,0,"Digite"))</f>
        <v>0</v>
      </c>
      <c r="CO19" s="454">
        <f>IF(OR('Parte Estrategica'!AJ19=0,'Parte Estrategica'!AJ19=""),0,IF(VLOOKUP($A19,'Matriz de Referencia'!$B$2:$CO$584,42,FALSE)=0,0,"Digite"))</f>
        <v>0</v>
      </c>
      <c r="CP19" s="454">
        <f>IF(OR('Parte Estrategica'!AJ19=0,'Parte Estrategica'!AJ19=""),0,IF(VLOOKUP($A19,'Matriz de Referencia'!$B$2:$CO$584,43,FALSE)=0,0,"Digite"))</f>
        <v>0</v>
      </c>
      <c r="CQ19" s="454">
        <f>IF(OR('Parte Estrategica'!AJ19=0,'Parte Estrategica'!AJ19=""),0,IF(VLOOKUP($A19,'Matriz de Referencia'!$B$2:$CO$584,44,FALSE)=0,0,"Digite"))</f>
        <v>0</v>
      </c>
      <c r="CR19" s="454">
        <f>IF(OR('Parte Estrategica'!AJ19=0,'Parte Estrategica'!AJ19=""),0,IF(VLOOKUP($A19,'Matriz de Referencia'!$B$2:$CO$584,45,FALSE)=0,0,"Digite"))</f>
        <v>0</v>
      </c>
      <c r="CS19" s="454">
        <f>IF(OR('Parte Estrategica'!AJ19=0,'Parte Estrategica'!AJ19=""),0,IF(VLOOKUP($A19,'Matriz de Referencia'!$B$2:$CO$584,46,FALSE)=0,0,"Digite"))</f>
        <v>0</v>
      </c>
      <c r="CT19" s="382">
        <f t="shared" si="19"/>
        <v>0</v>
      </c>
      <c r="CU19" s="454">
        <f>IF(OR('Parte Estrategica'!AJ19=0,'Parte Estrategica'!AJ19=""),0,IF(VLOOKUP($A19,'Matriz de Referencia'!$B$2:$CO$584,48,FALSE)=0,0,"Digite"))</f>
        <v>0</v>
      </c>
      <c r="CV19" s="454">
        <f>IF(OR('Parte Estrategica'!AJ19=0,'Parte Estrategica'!AJ19=""),0,IF(VLOOKUP($A19,'Matriz de Referencia'!$B$2:$CO$584,49,FALSE)=0,0,"Digite"))</f>
        <v>0</v>
      </c>
      <c r="CW19" s="454">
        <f>IF(OR('Parte Estrategica'!AJ19=0,'Parte Estrategica'!AJ19=""),0,IF(VLOOKUP($A19,'Matriz de Referencia'!$B$2:$CO$584,50,FALSE)=0,0,"Digite"))</f>
        <v>0</v>
      </c>
      <c r="CX19" s="382">
        <f t="shared" si="20"/>
        <v>0</v>
      </c>
      <c r="CY19" s="382">
        <f t="shared" si="21"/>
        <v>0</v>
      </c>
      <c r="CZ19" s="453">
        <f>IF(OR('Parte Estrategica'!AK19=0,'Parte Estrategica'!AK19=""),0,IF(VLOOKUP($A19,'Matriz de Referencia'!$B$2:$CO$584,39,FALSE)=0,0,"Digite"))</f>
        <v>0</v>
      </c>
      <c r="DA19" s="454">
        <f>IF(OR('Parte Estrategica'!AK19=0,'Parte Estrategica'!AK19=""),0,IF(VLOOKUP($A19,'Matriz de Referencia'!$B$2:$CO$584,40,FALSE)=0,0,"Digite"))</f>
        <v>0</v>
      </c>
      <c r="DB19" s="454">
        <f>IF(OR('Parte Estrategica'!AK19=0,'Parte Estrategica'!AK19=""),0,IF(VLOOKUP($A19,'Matriz de Referencia'!$B$2:$CO$584,41,FALSE)=0,0,"Digite"))</f>
        <v>0</v>
      </c>
      <c r="DC19" s="454">
        <f>IF(OR('Parte Estrategica'!AK19=0,'Parte Estrategica'!AK19=""),0,IF(VLOOKUP($A19,'Matriz de Referencia'!$B$2:$CO$584,42,FALSE)=0,0,"Digite"))</f>
        <v>0</v>
      </c>
      <c r="DD19" s="454">
        <f>IF(OR('Parte Estrategica'!AK19=0,'Parte Estrategica'!AK19=""),0,IF(VLOOKUP($A19,'Matriz de Referencia'!$B$2:$CO$584,43,FALSE)=0,0,"Digite"))</f>
        <v>0</v>
      </c>
      <c r="DE19" s="454">
        <f>IF(OR('Parte Estrategica'!AK19=0,'Parte Estrategica'!AK19=""),0,IF(VLOOKUP($A19,'Matriz de Referencia'!$B$2:$CO$584,44,FALSE)=0,0,"Digite"))</f>
        <v>0</v>
      </c>
      <c r="DF19" s="454">
        <f>IF(OR('Parte Estrategica'!AK19=0,'Parte Estrategica'!AK19=""),0,IF(VLOOKUP($A19,'Matriz de Referencia'!$B$2:$CO$584,45,FALSE)=0,0,"Digite"))</f>
        <v>0</v>
      </c>
      <c r="DG19" s="454">
        <f>IF(OR('Parte Estrategica'!AK19=0,'Parte Estrategica'!AK19=""),0,IF(VLOOKUP($A19,'Matriz de Referencia'!$B$2:$CO$584,46,FALSE)=0,0,"Digite"))</f>
        <v>0</v>
      </c>
      <c r="DH19" s="382">
        <f t="shared" si="22"/>
        <v>0</v>
      </c>
      <c r="DI19" s="454">
        <f>IF(OR('Parte Estrategica'!AK19=0,'Parte Estrategica'!AK19=""),0,IF(VLOOKUP($A19,'Matriz de Referencia'!$B$2:$CO$584,48,FALSE)=0,0,"Digite"))</f>
        <v>0</v>
      </c>
      <c r="DJ19" s="454">
        <f>IF(OR('Parte Estrategica'!AK19=0,'Parte Estrategica'!AK19=""),0,IF(VLOOKUP($A19,'Matriz de Referencia'!$B$2:$CO$584,49,FALSE)=0,0,"Digite"))</f>
        <v>0</v>
      </c>
      <c r="DK19" s="454">
        <f>IF(OR('Parte Estrategica'!AK19=0,'Parte Estrategica'!AK19=""),0,IF(VLOOKUP($A19,'Matriz de Referencia'!$B$2:$CO$584,50,FALSE)=0,0,"Digite"))</f>
        <v>0</v>
      </c>
      <c r="DL19" s="382">
        <f t="shared" si="23"/>
        <v>0</v>
      </c>
      <c r="DM19" s="382">
        <f t="shared" si="24"/>
        <v>0</v>
      </c>
      <c r="DN19" s="382">
        <f t="shared" si="25"/>
        <v>0</v>
      </c>
      <c r="DO19" s="101" t="str">
        <f>IFERROR(IF(DN19=0,"",IF(VLOOKUP($A19,'Matriz de Referencia'!$B$2:$CO$584,52,FALSE)=DN19,"Techos ok, cotinue","Debe revisar el valor programado")),"")</f>
        <v/>
      </c>
      <c r="DP19" s="453">
        <f>IF(OR('Parte Estrategica'!AN19=0,'Parte Estrategica'!AN19=""),0,IF(VLOOKUP($A19,'Matriz de Referencia'!$B$2:$CO$584,53,FALSE)=0,0,"Digite"))</f>
        <v>0</v>
      </c>
      <c r="DQ19" s="454">
        <f>IF(OR('Parte Estrategica'!AN19=0,'Parte Estrategica'!AN19=""),0,IF(VLOOKUP($A19,'Matriz de Referencia'!$B$2:$CO$584,54,FALSE)=0,0,"Digite"))</f>
        <v>0</v>
      </c>
      <c r="DR19" s="454">
        <f>IF(OR('Parte Estrategica'!AN19=0,'Parte Estrategica'!AN19=""),0,IF(VLOOKUP($A19,'Matriz de Referencia'!$B$2:$CO$584,55,FALSE)=0,0,"Digite"))</f>
        <v>0</v>
      </c>
      <c r="DS19" s="454">
        <f>IF(OR('Parte Estrategica'!AN19=0,'Parte Estrategica'!AN19=""),0,IF(VLOOKUP($A19,'Matriz de Referencia'!$B$2:$CO$584,56,FALSE)=0,0,"Digite"))</f>
        <v>0</v>
      </c>
      <c r="DT19" s="454">
        <f>IF(OR('Parte Estrategica'!AN19=0,'Parte Estrategica'!AN19=""),0,IF(VLOOKUP($A19,'Matriz de Referencia'!$B$2:$CO$584,57,FALSE)=0,0,"Digite"))</f>
        <v>0</v>
      </c>
      <c r="DU19" s="454">
        <f>IF(OR('Parte Estrategica'!AN19=0,'Parte Estrategica'!AN19=""),0,IF(VLOOKUP($A19,'Matriz de Referencia'!$B$2:$CO$584,58,FALSE)=0,0,"Digite"))</f>
        <v>0</v>
      </c>
      <c r="DV19" s="454">
        <f>IF(OR('Parte Estrategica'!AN19=0,'Parte Estrategica'!AN19=""),0,IF(VLOOKUP($A19,'Matriz de Referencia'!$B$2:$CO$584,59,FALSE)=0,0,"Digite"))</f>
        <v>0</v>
      </c>
      <c r="DW19" s="454">
        <f>IF(OR('Parte Estrategica'!AN19=0,'Parte Estrategica'!AN19=""),0,IF(VLOOKUP($A19,'Matriz de Referencia'!$B$2:$CO$584,60,FALSE)=0,0,"Digite"))</f>
        <v>0</v>
      </c>
      <c r="DX19" s="382">
        <f t="shared" si="26"/>
        <v>0</v>
      </c>
      <c r="DY19" s="454">
        <f>IF(OR('Parte Estrategica'!AN19=0,'Parte Estrategica'!AN19=""),0,IF(VLOOKUP($A19,'Matriz de Referencia'!$B$2:$CO$584,62,FALSE)=0,0,"Digite"))</f>
        <v>0</v>
      </c>
      <c r="DZ19" s="454">
        <f>IF(OR('Parte Estrategica'!AN19=0,'Parte Estrategica'!AN19=""),0,IF(VLOOKUP($A19,'Matriz de Referencia'!$B$2:$CO$584,63,FALSE)=0,0,"Digite"))</f>
        <v>0</v>
      </c>
      <c r="EA19" s="454" t="str">
        <f>IF(OR('Parte Estrategica'!AN19=0,'Parte Estrategica'!AN19=""),"",IF(VLOOKUP($A19,'Matriz de Referencia'!$B$2:$CO$584,64,FALSE)=0,"","Digite"))</f>
        <v/>
      </c>
      <c r="EB19" s="382">
        <f t="shared" si="27"/>
        <v>0</v>
      </c>
      <c r="EC19" s="382">
        <f t="shared" si="28"/>
        <v>0</v>
      </c>
      <c r="ED19" s="453">
        <f>IF(OR('Parte Estrategica'!AO19=0,'Parte Estrategica'!AO19=""),0,IF(VLOOKUP($A19,'Matriz de Referencia'!$B$2:$CO$584,53,FALSE)=0,0,"Digite"))</f>
        <v>0</v>
      </c>
      <c r="EE19" s="454">
        <f>IF(OR('Parte Estrategica'!AO19=0,'Parte Estrategica'!AO19=""),0,IF(VLOOKUP($A19,'Matriz de Referencia'!$B$2:$CO$584,54,FALSE)=0,0,"Digite"))</f>
        <v>0</v>
      </c>
      <c r="EF19" s="454">
        <f>IF(OR('Parte Estrategica'!AO19=0,'Parte Estrategica'!AO19=""),0,IF(VLOOKUP($A19,'Matriz de Referencia'!$B$2:$CO$584,55,FALSE)=0,0,"Digite"))</f>
        <v>0</v>
      </c>
      <c r="EG19" s="454">
        <f>IF(OR('Parte Estrategica'!AO19=0,'Parte Estrategica'!AO19=""),0,IF(VLOOKUP($A19,'Matriz de Referencia'!$B$2:$CO$584,56,FALSE)=0,0,"Digite"))</f>
        <v>0</v>
      </c>
      <c r="EH19" s="454">
        <f>IF(OR('Parte Estrategica'!AO19=0,'Parte Estrategica'!AO19=""),0,IF(VLOOKUP($A19,'Matriz de Referencia'!$B$2:$CO$584,57,FALSE)=0,0,"Digite"))</f>
        <v>0</v>
      </c>
      <c r="EI19" s="454">
        <f>IF(OR('Parte Estrategica'!AO19=0,'Parte Estrategica'!AO19=""),0,IF(VLOOKUP($A19,'Matriz de Referencia'!$B$2:$CO$584,58,FALSE)=0,0,"Digite"))</f>
        <v>0</v>
      </c>
      <c r="EJ19" s="454">
        <f>IF(OR('Parte Estrategica'!AO19=0,'Parte Estrategica'!AO19=""),0,IF(VLOOKUP($A19,'Matriz de Referencia'!$B$2:$CO$584,59,FALSE)=0,0,"Digite"))</f>
        <v>0</v>
      </c>
      <c r="EK19" s="454">
        <f>IF(OR('Parte Estrategica'!AO19=0,'Parte Estrategica'!AO19=""),0,IF(VLOOKUP($A19,'Matriz de Referencia'!$B$2:$CO$584,60,FALSE)=0,0,"Digite"))</f>
        <v>0</v>
      </c>
      <c r="EL19" s="382">
        <f t="shared" si="29"/>
        <v>0</v>
      </c>
      <c r="EM19" s="454">
        <f>IF(OR('Parte Estrategica'!AO19=0,'Parte Estrategica'!AO19=""),0,IF(VLOOKUP($A19,'Matriz de Referencia'!$B$2:$CO$584,62,FALSE)=0,0,"Digite"))</f>
        <v>0</v>
      </c>
      <c r="EN19" s="454">
        <f>IF(OR('Parte Estrategica'!AO19=0,'Parte Estrategica'!AO19=""),0,IF(VLOOKUP($A19,'Matriz de Referencia'!$B$2:$CO$584,63,FALSE)=0,0,"Digite"))</f>
        <v>0</v>
      </c>
      <c r="EO19" s="454">
        <f>IF(OR('Parte Estrategica'!AO19=0,'Parte Estrategica'!AO19=""),0,IF(VLOOKUP($A19,'Matriz de Referencia'!$B$2:$CO$584,64,FALSE)=0,0,"Digite"))</f>
        <v>0</v>
      </c>
      <c r="EP19" s="382">
        <f t="shared" si="30"/>
        <v>0</v>
      </c>
      <c r="EQ19" s="382">
        <f t="shared" si="31"/>
        <v>0</v>
      </c>
      <c r="ER19" s="453">
        <f>IF(OR('Parte Estrategica'!AP19=0,'Parte Estrategica'!AP19=""),0,IF(VLOOKUP($A19,'Matriz de Referencia'!$B$2:$CO$584,53,FALSE)=0,0,"Digite"))</f>
        <v>0</v>
      </c>
      <c r="ES19" s="454">
        <f>IF(OR('Parte Estrategica'!AP19=0,'Parte Estrategica'!AP19=""),0,IF(VLOOKUP($A19,'Matriz de Referencia'!$B$2:$CO$584,54,FALSE)=0,0,"Digite"))</f>
        <v>0</v>
      </c>
      <c r="ET19" s="454">
        <f>IF(OR('Parte Estrategica'!AP19=0,'Parte Estrategica'!AP19=""),0,IF(VLOOKUP($A19,'Matriz de Referencia'!$B$2:$CO$584,55,FALSE)=0,0,"Digite"))</f>
        <v>0</v>
      </c>
      <c r="EU19" s="454">
        <f>IF(OR('Parte Estrategica'!AP19=0,'Parte Estrategica'!AP19=""),0,IF(VLOOKUP($A19,'Matriz de Referencia'!$B$2:$CO$584,56,FALSE)=0,0,"Digite"))</f>
        <v>0</v>
      </c>
      <c r="EV19" s="454">
        <f>IF(OR('Parte Estrategica'!AP19=0,'Parte Estrategica'!AP19=""),0,IF(VLOOKUP($A19,'Matriz de Referencia'!$B$2:$CO$584,57,FALSE)=0,0,"Digite"))</f>
        <v>0</v>
      </c>
      <c r="EW19" s="454">
        <f>IF(OR('Parte Estrategica'!AP19=0,'Parte Estrategica'!AP19=""),0,IF(VLOOKUP($A19,'Matriz de Referencia'!$B$2:$CO$584,58,FALSE)=0,0,"Digite"))</f>
        <v>0</v>
      </c>
      <c r="EX19" s="454">
        <f>IF(OR('Parte Estrategica'!AP19=0,'Parte Estrategica'!AP19=""),0,IF(VLOOKUP($A19,'Matriz de Referencia'!$B$2:$CO$584,59,FALSE)=0,0,"Digite"))</f>
        <v>0</v>
      </c>
      <c r="EY19" s="454">
        <f>IF(OR('Parte Estrategica'!AP19=0,'Parte Estrategica'!AP19=""),0,IF(VLOOKUP($A19,'Matriz de Referencia'!$B$2:$CO$584,60,FALSE)=0,0,"Digite"))</f>
        <v>0</v>
      </c>
      <c r="EZ19" s="382">
        <f t="shared" si="32"/>
        <v>0</v>
      </c>
      <c r="FA19" s="454">
        <f>IF(OR('Parte Estrategica'!AP19=0,'Parte Estrategica'!AP19=""),0,IF(VLOOKUP($A19,'Matriz de Referencia'!$B$2:$CO$584,62,FALSE)=0,0,"Digite"))</f>
        <v>0</v>
      </c>
      <c r="FB19" s="454">
        <f>IF(OR('Parte Estrategica'!AP19=0,'Parte Estrategica'!AP19=""),0,IF(VLOOKUP($A19,'Matriz de Referencia'!$B$2:$CO$584,63,FALSE)=0,0,"Digite"))</f>
        <v>0</v>
      </c>
      <c r="FC19" s="454">
        <f>IF(OR('Parte Estrategica'!AP19=0,'Parte Estrategica'!AP19=""),0,IF(VLOOKUP($A19,'Matriz de Referencia'!$B$2:$CO$584,64,FALSE)=0,0,"Digite"))</f>
        <v>0</v>
      </c>
      <c r="FD19" s="382">
        <f t="shared" si="33"/>
        <v>0</v>
      </c>
      <c r="FE19" s="382">
        <f t="shared" si="34"/>
        <v>0</v>
      </c>
      <c r="FF19" s="453">
        <f>IF(OR('Parte Estrategica'!AQ19=0,'Parte Estrategica'!AQ19=""),0,IF(VLOOKUP($A19,'Matriz de Referencia'!$B$2:$CO$584,53,FALSE)=0,0,"Digite"))</f>
        <v>0</v>
      </c>
      <c r="FG19" s="454">
        <f>IF(OR('Parte Estrategica'!AQ19=0,'Parte Estrategica'!AQ19=""),0,IF(VLOOKUP($A19,'Matriz de Referencia'!$B$2:$CO$584,54,FALSE)=0,0,"Digite"))</f>
        <v>0</v>
      </c>
      <c r="FH19" s="454">
        <f>IF(OR('Parte Estrategica'!AQ19=0,'Parte Estrategica'!AQ19=""),0,IF(VLOOKUP($A19,'Matriz de Referencia'!$B$2:$CO$584,55,FALSE)=0,0,"Digite"))</f>
        <v>0</v>
      </c>
      <c r="FI19" s="454">
        <f>IF(OR('Parte Estrategica'!AQ19=0,'Parte Estrategica'!AQ19=""),0,IF(VLOOKUP($A19,'Matriz de Referencia'!$B$2:$CO$584,56,FALSE)=0,0,"Digite"))</f>
        <v>0</v>
      </c>
      <c r="FJ19" s="454">
        <f>IF(OR('Parte Estrategica'!AQ19=0,'Parte Estrategica'!AQ19=""),0,IF(VLOOKUP($A19,'Matriz de Referencia'!$B$2:$CO$584,57,FALSE)=0,0,"Digite"))</f>
        <v>0</v>
      </c>
      <c r="FK19" s="454">
        <f>IF(OR('Parte Estrategica'!AQ19=0,'Parte Estrategica'!AQ19=""),0,IF(VLOOKUP($A19,'Matriz de Referencia'!$B$2:$CO$584,58,FALSE)=0,0,"Digite"))</f>
        <v>0</v>
      </c>
      <c r="FL19" s="454">
        <f>IF(OR('Parte Estrategica'!AQ19=0,'Parte Estrategica'!AQ19=""),0,IF(VLOOKUP($A19,'Matriz de Referencia'!$B$2:$CO$584,59,FALSE)=0,0,"Digite"))</f>
        <v>0</v>
      </c>
      <c r="FM19" s="454">
        <f>IF(OR('Parte Estrategica'!AQ19=0,'Parte Estrategica'!AQ19=""),0,IF(VLOOKUP($A19,'Matriz de Referencia'!$B$2:$CO$584,60,FALSE)=0,0,"Digite"))</f>
        <v>0</v>
      </c>
      <c r="FN19" s="382">
        <f t="shared" si="35"/>
        <v>0</v>
      </c>
      <c r="FO19" s="454">
        <f>IF(OR('Parte Estrategica'!AQ19=0,'Parte Estrategica'!AQ19=""),0,IF(VLOOKUP($A19,'Matriz de Referencia'!$B$2:$CO$584,62,FALSE)=0,0,"Digite"))</f>
        <v>0</v>
      </c>
      <c r="FP19" s="454">
        <f>IF(OR('Parte Estrategica'!AQ19=0,'Parte Estrategica'!AQ19=""),0,IF(VLOOKUP($A19,'Matriz de Referencia'!$B$2:$CO$584,63,FALSE)=0,0,"Digite"))</f>
        <v>0</v>
      </c>
      <c r="FQ19" s="454">
        <f>IF(OR('Parte Estrategica'!AQ19=0,'Parte Estrategica'!AQ19=""),0,IF(VLOOKUP($A19,'Matriz de Referencia'!$B$2:$CO$584,64,FALSE)=0,0,"Digite"))</f>
        <v>0</v>
      </c>
      <c r="FR19" s="382">
        <f t="shared" si="36"/>
        <v>0</v>
      </c>
      <c r="FS19" s="382">
        <f t="shared" si="37"/>
        <v>0</v>
      </c>
      <c r="FT19" s="382">
        <f t="shared" si="38"/>
        <v>0</v>
      </c>
      <c r="FU19" s="101" t="str">
        <f>IFERROR(IF(FT19=0,"",IF(VLOOKUP($A19,'Matriz de Referencia'!$B$2:$CO$584,66,FALSE)=FT19,"Techos ok, cotinue","Debe revisar el valor programado")),"")</f>
        <v/>
      </c>
      <c r="FV19" s="453">
        <f>IF(OR('Parte Estrategica'!AT19=0,'Parte Estrategica'!AT19=""),0,IF(VLOOKUP($A19,'Matriz de Referencia'!$B$2:$CO$584,67,FALSE)=0,0,"Digite"))</f>
        <v>0</v>
      </c>
      <c r="FW19" s="454">
        <f>IF(OR('Parte Estrategica'!AT19=0,'Parte Estrategica'!AT19=""),0,IF(VLOOKUP($A19,'Matriz de Referencia'!$B$2:$CO$584,68,FALSE)=0,0,"Digite"))</f>
        <v>0</v>
      </c>
      <c r="FX19" s="454">
        <f>IF(OR('Parte Estrategica'!AT19=0,'Parte Estrategica'!AT19=""),0,IF(VLOOKUP($A19,'Matriz de Referencia'!$B$2:$CO$584,69,FALSE)=0,0,"Digite"))</f>
        <v>0</v>
      </c>
      <c r="FY19" s="454">
        <f>IF(OR('Parte Estrategica'!AT19=0,'Parte Estrategica'!AT19=""),0,IF(VLOOKUP($A19,'Matriz de Referencia'!$B$2:$CO$584,70,FALSE)=0,0,"Digite"))</f>
        <v>0</v>
      </c>
      <c r="FZ19" s="454">
        <f>IF(OR('Parte Estrategica'!AT19=0,'Parte Estrategica'!AT19=""),0,IF(VLOOKUP($A19,'Matriz de Referencia'!$B$2:$CO$584,71,FALSE)=0,0,"Digite"))</f>
        <v>0</v>
      </c>
      <c r="GA19" s="454">
        <f>IF(OR('Parte Estrategica'!AT19=0,'Parte Estrategica'!AT19=""),0,IF(VLOOKUP($A19,'Matriz de Referencia'!$B$2:$CO$584,72,FALSE)=0,0,"Digite"))</f>
        <v>0</v>
      </c>
      <c r="GB19" s="454">
        <f>IF(OR('Parte Estrategica'!AT19=0,'Parte Estrategica'!AT19=""),0,IF(VLOOKUP($A19,'Matriz de Referencia'!$B$2:$CO$584,73,FALSE)=0,0,"Digite"))</f>
        <v>0</v>
      </c>
      <c r="GC19" s="454">
        <f>IF(OR('Parte Estrategica'!AT19=0,'Parte Estrategica'!AT19=""),0,IF(VLOOKUP($A19,'Matriz de Referencia'!$B$2:$CO$584,74,FALSE)=0,0,"Digite"))</f>
        <v>0</v>
      </c>
      <c r="GD19" s="382">
        <f t="shared" si="39"/>
        <v>0</v>
      </c>
      <c r="GE19" s="454">
        <f>IF(OR('Parte Estrategica'!AT19=0,'Parte Estrategica'!AT19=""),0,IF(VLOOKUP($A19,'Matriz de Referencia'!$B$2:$CO$584,76,FALSE)=0,0,"Digite"))</f>
        <v>0</v>
      </c>
      <c r="GF19" s="454">
        <f>IF(OR('Parte Estrategica'!AT19=0,'Parte Estrategica'!AT19=""),0,IF(VLOOKUP($A19,'Matriz de Referencia'!$B$2:$CO$584,77,FALSE)=0,0,"Digite"))</f>
        <v>0</v>
      </c>
      <c r="GG19" s="454">
        <f>IF(OR('Parte Estrategica'!AT19=0,'Parte Estrategica'!AT19=""),0,IF(VLOOKUP($A19,'Matriz de Referencia'!$B$2:$CO$584,78,FALSE)=0,0,"Digite"))</f>
        <v>0</v>
      </c>
      <c r="GH19" s="382">
        <f t="shared" si="40"/>
        <v>0</v>
      </c>
      <c r="GI19" s="382">
        <f t="shared" si="41"/>
        <v>0</v>
      </c>
      <c r="GJ19" s="453">
        <f>IF(OR('Parte Estrategica'!AU19=0,'Parte Estrategica'!AU19=""),0,IF(VLOOKUP($A19,'Matriz de Referencia'!$B$2:$CO$584,67,FALSE)=0,0,"Digite"))</f>
        <v>0</v>
      </c>
      <c r="GK19" s="454">
        <f>IF(OR('Parte Estrategica'!AU19=0,'Parte Estrategica'!AU19=""),0,IF(VLOOKUP($A19,'Matriz de Referencia'!$B$2:$CO$584,68,FALSE)=0,0,"Digite"))</f>
        <v>0</v>
      </c>
      <c r="GL19" s="454">
        <f>IF(OR('Parte Estrategica'!AU19=0,'Parte Estrategica'!AU19=""),0,IF(VLOOKUP($A19,'Matriz de Referencia'!$B$2:$CO$584,69,FALSE)=0,0,"Digite"))</f>
        <v>0</v>
      </c>
      <c r="GM19" s="454">
        <f>IF(OR('Parte Estrategica'!AU19=0,'Parte Estrategica'!AU19=""),0,IF(VLOOKUP($A19,'Matriz de Referencia'!$B$2:$CO$584,70,FALSE)=0,0,"Digite"))</f>
        <v>0</v>
      </c>
      <c r="GN19" s="454">
        <f>IF(OR('Parte Estrategica'!AU19=0,'Parte Estrategica'!AU19=""),0,IF(VLOOKUP($A19,'Matriz de Referencia'!$B$2:$CO$584,71,FALSE)=0,0,"Digite"))</f>
        <v>0</v>
      </c>
      <c r="GO19" s="454">
        <f>IF(OR('Parte Estrategica'!AU19=0,'Parte Estrategica'!AU19=""),0,IF(VLOOKUP($A19,'Matriz de Referencia'!$B$2:$CO$584,72,FALSE)=0,0,"Digite"))</f>
        <v>0</v>
      </c>
      <c r="GP19" s="454">
        <f>IF(OR('Parte Estrategica'!AU19=0,'Parte Estrategica'!AU19=""),0,IF(VLOOKUP($A19,'Matriz de Referencia'!$B$2:$CO$584,73,FALSE)=0,0,"Digite"))</f>
        <v>0</v>
      </c>
      <c r="GQ19" s="454">
        <f>IF(OR('Parte Estrategica'!AU19=0,'Parte Estrategica'!AU19=""),0,IF(VLOOKUP($A19,'Matriz de Referencia'!$B$2:$CO$584,74,FALSE)=0,0,"Digite"))</f>
        <v>0</v>
      </c>
      <c r="GR19" s="382">
        <f t="shared" si="42"/>
        <v>0</v>
      </c>
      <c r="GS19" s="454">
        <f>IF(OR('Parte Estrategica'!AU19=0,'Parte Estrategica'!AU19=""),0,IF(VLOOKUP($A19,'Matriz de Referencia'!$B$2:$CO$584,76,FALSE)=0,0,"Digite"))</f>
        <v>0</v>
      </c>
      <c r="GT19" s="454">
        <f>IF(OR('Parte Estrategica'!AU19=0,'Parte Estrategica'!AU19=""),0,IF(VLOOKUP($A19,'Matriz de Referencia'!$B$2:$CO$584,77,FALSE)=0,0,"Digite"))</f>
        <v>0</v>
      </c>
      <c r="GU19" s="454">
        <f>IF(OR('Parte Estrategica'!AU19=0,'Parte Estrategica'!AU19=""),0,IF(VLOOKUP($A19,'Matriz de Referencia'!$B$2:$CO$584,78,FALSE)=0,0,"Digite"))</f>
        <v>0</v>
      </c>
      <c r="GV19" s="382">
        <f t="shared" si="43"/>
        <v>0</v>
      </c>
      <c r="GW19" s="382">
        <f t="shared" si="44"/>
        <v>0</v>
      </c>
      <c r="GX19" s="453">
        <f>IF(OR('Parte Estrategica'!AV19=0,'Parte Estrategica'!AV19=""),0,IF(VLOOKUP($A19,'Matriz de Referencia'!$B$2:$CO$584,67,FALSE)=0,0,"Digite"))</f>
        <v>0</v>
      </c>
      <c r="GY19" s="454">
        <f>IF(OR('Parte Estrategica'!AV19=0,'Parte Estrategica'!AV19=""),0,IF(VLOOKUP($A19,'Matriz de Referencia'!$B$2:$CO$584,68,FALSE)=0,0,"Digite"))</f>
        <v>0</v>
      </c>
      <c r="GZ19" s="454">
        <f>IF(OR('Parte Estrategica'!AV19=0,'Parte Estrategica'!AV19=""),0,IF(VLOOKUP($A19,'Matriz de Referencia'!$B$2:$CO$584,69,FALSE)=0,0,"Digite"))</f>
        <v>0</v>
      </c>
      <c r="HA19" s="454">
        <f>IF(OR('Parte Estrategica'!AV19=0,'Parte Estrategica'!AV19=""),0,IF(VLOOKUP($A19,'Matriz de Referencia'!$B$2:$CO$584,70,FALSE)=0,0,"Digite"))</f>
        <v>0</v>
      </c>
      <c r="HB19" s="454">
        <f>IF(OR('Parte Estrategica'!AV19=0,'Parte Estrategica'!AV19=""),0,IF(VLOOKUP($A19,'Matriz de Referencia'!$B$2:$CO$584,71,FALSE)=0,0,"Digite"))</f>
        <v>0</v>
      </c>
      <c r="HC19" s="454">
        <f>IF(OR('Parte Estrategica'!AV19=0,'Parte Estrategica'!AV19=""),0,IF(VLOOKUP($A19,'Matriz de Referencia'!$B$2:$CO$584,72,FALSE)=0,0,"Digite"))</f>
        <v>0</v>
      </c>
      <c r="HD19" s="454">
        <f>IF(OR('Parte Estrategica'!AV19=0,'Parte Estrategica'!AV19=""),0,IF(VLOOKUP($A19,'Matriz de Referencia'!$B$2:$CO$584,73,FALSE)=0,0,"Digite"))</f>
        <v>0</v>
      </c>
      <c r="HE19" s="454">
        <f>IF(OR('Parte Estrategica'!AV19=0,'Parte Estrategica'!AV19=""),0,IF(VLOOKUP($A19,'Matriz de Referencia'!$B$2:$CO$584,74,FALSE)=0,0,"Digite"))</f>
        <v>0</v>
      </c>
      <c r="HF19" s="382">
        <f t="shared" si="45"/>
        <v>0</v>
      </c>
      <c r="HG19" s="454">
        <f>IF(OR('Parte Estrategica'!AV19=0,'Parte Estrategica'!AV19=""),0,IF(VLOOKUP($A19,'Matriz de Referencia'!$B$2:$CO$584,76,FALSE)=0,0,"Digite"))</f>
        <v>0</v>
      </c>
      <c r="HH19" s="454">
        <f>IF(OR('Parte Estrategica'!AV19=0,'Parte Estrategica'!AV19=""),0,IF(VLOOKUP($A19,'Matriz de Referencia'!$B$2:$CO$584,77,FALSE)=0,0,"Digite"))</f>
        <v>0</v>
      </c>
      <c r="HI19" s="454">
        <f>IF(OR('Parte Estrategica'!AV19=0,'Parte Estrategica'!AV19=""),0,IF(VLOOKUP($A19,'Matriz de Referencia'!$B$2:$CO$584,78,FALSE)=0,0,"Digite"))</f>
        <v>0</v>
      </c>
      <c r="HJ19" s="382">
        <f t="shared" si="46"/>
        <v>0</v>
      </c>
      <c r="HK19" s="382">
        <f t="shared" si="47"/>
        <v>0</v>
      </c>
      <c r="HL19" s="453">
        <f>IF(OR('Parte Estrategica'!AW19=0,'Parte Estrategica'!AW19=""),0,IF(VLOOKUP($A19,'Matriz de Referencia'!$B$2:$CO$584,67,FALSE)=0,0,"Digite"))</f>
        <v>0</v>
      </c>
      <c r="HM19" s="454">
        <f>IF(OR('Parte Estrategica'!AW19=0,'Parte Estrategica'!AW19=""),0,IF(VLOOKUP($A19,'Matriz de Referencia'!$B$2:$CO$584,68,FALSE)=0,0,"Digite"))</f>
        <v>0</v>
      </c>
      <c r="HN19" s="454">
        <f>IF(OR('Parte Estrategica'!AW19=0,'Parte Estrategica'!AW19=""),0,IF(VLOOKUP($A19,'Matriz de Referencia'!$B$2:$CO$584,69,FALSE)=0,0,"Digite"))</f>
        <v>0</v>
      </c>
      <c r="HO19" s="454">
        <f>IF(OR('Parte Estrategica'!AW19=0,'Parte Estrategica'!AW19=""),0,IF(VLOOKUP($A19,'Matriz de Referencia'!$B$2:$CO$584,70,FALSE)=0,0,"Digite"))</f>
        <v>0</v>
      </c>
      <c r="HP19" s="454">
        <f>IF(OR('Parte Estrategica'!AW19=0,'Parte Estrategica'!AW19=""),0,IF(VLOOKUP($A19,'Matriz de Referencia'!$B$2:$CO$584,71,FALSE)=0,0,"Digite"))</f>
        <v>0</v>
      </c>
      <c r="HQ19" s="454">
        <f>IF(OR('Parte Estrategica'!AW19=0,'Parte Estrategica'!AW19=""),0,IF(VLOOKUP($A19,'Matriz de Referencia'!$B$2:$CO$584,72,FALSE)=0,0,"Digite"))</f>
        <v>0</v>
      </c>
      <c r="HR19" s="454">
        <f>IF(OR('Parte Estrategica'!AW19=0,'Parte Estrategica'!AW19=""),0,IF(VLOOKUP($A19,'Matriz de Referencia'!$B$2:$CO$584,73,FALSE)=0,0,"Digite"))</f>
        <v>0</v>
      </c>
      <c r="HS19" s="454">
        <f>IF(OR('Parte Estrategica'!AW19=0,'Parte Estrategica'!AW19=""),0,IF(VLOOKUP($A19,'Matriz de Referencia'!$B$2:$CO$584,74,FALSE)=0,0,"Digite"))</f>
        <v>0</v>
      </c>
      <c r="HT19" s="382">
        <f t="shared" si="48"/>
        <v>0</v>
      </c>
      <c r="HU19" s="454">
        <f>IF(OR('Parte Estrategica'!AW19=0,'Parte Estrategica'!AW19=""),0,IF(VLOOKUP($A19,'Matriz de Referencia'!$B$2:$CO$584,76,FALSE)=0,0,"Digite"))</f>
        <v>0</v>
      </c>
      <c r="HV19" s="454">
        <f>IF(OR('Parte Estrategica'!AW19=0,'Parte Estrategica'!AW19=""),0,IF(VLOOKUP($A19,'Matriz de Referencia'!$B$2:$CO$584,77,FALSE)=0,0,"Digite"))</f>
        <v>0</v>
      </c>
      <c r="HW19" s="454">
        <f>IF(OR('Parte Estrategica'!AW19=0,'Parte Estrategica'!AW19=""),0,IF(VLOOKUP($A19,'Matriz de Referencia'!$B$2:$CO$584,78,FALSE)=0,0,"Digite"))</f>
        <v>0</v>
      </c>
      <c r="HX19" s="382">
        <f t="shared" si="49"/>
        <v>0</v>
      </c>
      <c r="HY19" s="382">
        <f t="shared" si="50"/>
        <v>0</v>
      </c>
      <c r="HZ19" s="382">
        <f t="shared" si="51"/>
        <v>0</v>
      </c>
      <c r="IA19" s="101" t="str">
        <f>IFERROR(IF(HZ19=0,"",IF(VLOOKUP($A19,'Matriz de Referencia'!$B$2:$CO$584,80,FALSE)=HZ19,"Techos ok, cotinue","Debe revisar el valor programado")),"")</f>
        <v/>
      </c>
      <c r="IB19" s="383">
        <f t="shared" si="52"/>
        <v>0</v>
      </c>
    </row>
    <row r="20" spans="1:236">
      <c r="A20" s="550" t="str">
        <f>IF('Parte Estrategica'!B20=0,"",'Parte Estrategica'!B20)</f>
        <v/>
      </c>
      <c r="B20" s="551" t="str">
        <f>IFERROR(VLOOKUP(A20,'Matriz de Referencia'!$B$2:$P$578,'Matriz de Referencia'!L$1,FALSE),"")</f>
        <v/>
      </c>
      <c r="C20" s="551" t="str">
        <f>IFERROR(VLOOKUP(A20,'Matriz de Referencia'!$B$2:$P$584,'Matriz de Referencia'!M$1,FALSE),"")</f>
        <v/>
      </c>
      <c r="D20" s="455" t="str">
        <f>IF(OR('Parte Estrategica'!AB20=0,'Parte Estrategica'!AB20=""),"",IF(VLOOKUP($A20,'Matriz de Referencia'!$B$2:$CO$584,'Matriz de Referencia'!Z$1,FALSE)=0,"","Digite"))</f>
        <v/>
      </c>
      <c r="E20" s="456">
        <f>IF(OR('Parte Estrategica'!AB20=0,'Parte Estrategica'!AB20=""),0,IF(VLOOKUP($A20,'Matriz de Referencia'!$B$2:$CO$584,26,FALSE)=0,0,"Digite"))</f>
        <v>0</v>
      </c>
      <c r="F20" s="456">
        <f>IF(OR('Parte Estrategica'!AB20=0,'Parte Estrategica'!AB20=""),0,IF(VLOOKUP($A20,'Matriz de Referencia'!$B$2:$CO$584,27,FALSE)=0,0,"Digite"))</f>
        <v>0</v>
      </c>
      <c r="G20" s="456">
        <f>IF(OR('Parte Estrategica'!AB20=0,'Parte Estrategica'!AB20=""),0,IF(VLOOKUP($A20,'Matriz de Referencia'!$B$2:$CO$584,28,FALSE)=0,0,"Digite"))</f>
        <v>0</v>
      </c>
      <c r="H20" s="456">
        <f>IF(OR('Parte Estrategica'!AB20=0,'Parte Estrategica'!AB20=""),0,IF(VLOOKUP($A20,'Matriz de Referencia'!$B$2:$CO$584,29,FALSE)=0,0,"Digite"))</f>
        <v>0</v>
      </c>
      <c r="I20" s="456">
        <f>IF(OR('Parte Estrategica'!AB20=0,'Parte Estrategica'!AB20=""),0,IF(VLOOKUP($A20,'Matriz de Referencia'!$B$2:$CO$584,30,FALSE)=0,0,"Digite"))</f>
        <v>0</v>
      </c>
      <c r="J20" s="456">
        <f>IF(OR('Parte Estrategica'!AB20=0,'Parte Estrategica'!AB20=""),0,IF(VLOOKUP($A20,'Matriz de Referencia'!$B$2:$CO$584,31,FALSE)=0,0,"Digite"))</f>
        <v>0</v>
      </c>
      <c r="K20" s="456">
        <f>IF(OR('Parte Estrategica'!AB20=0,'Parte Estrategica'!AB20=""),0,IF(VLOOKUP($A20,'Matriz de Referencia'!$B$2:$CO$584,32,FALSE)=0,0,"Digite"))</f>
        <v>0</v>
      </c>
      <c r="L20" s="460">
        <f t="shared" si="0"/>
        <v>0</v>
      </c>
      <c r="M20" s="456">
        <f>IF(OR('Parte Estrategica'!AB20=0,'Parte Estrategica'!AB20=""),0,IF(VLOOKUP($A20,'Matriz de Referencia'!$B$2:$CO$584,34,FALSE)=0,0,"Digite"))</f>
        <v>0</v>
      </c>
      <c r="N20" s="456">
        <f>IF(OR('Parte Estrategica'!AB20=0,'Parte Estrategica'!AB20=""),0,IF(VLOOKUP($A20,'Matriz de Referencia'!$B$2:$CO$584,35,FALSE)=0,0,"Digite"))</f>
        <v>0</v>
      </c>
      <c r="O20" s="456">
        <f>IF(OR('Parte Estrategica'!AB20=0,'Parte Estrategica'!AB20=""),0,IF(VLOOKUP($A20,'Matriz de Referencia'!$B$2:$CO$584,36,FALSE)=0,0,"Digite"))</f>
        <v>0</v>
      </c>
      <c r="P20" s="457">
        <f t="shared" si="1"/>
        <v>0</v>
      </c>
      <c r="Q20" s="457">
        <f t="shared" si="2"/>
        <v>0</v>
      </c>
      <c r="R20" s="455">
        <f>IF(OR('Parte Estrategica'!AC20=0,'Parte Estrategica'!AC20=""),0,IF(VLOOKUP($A20,'Matriz de Referencia'!$B$2:$CO$584,25,FALSE)=0,0,"Digite"))</f>
        <v>0</v>
      </c>
      <c r="S20" s="456">
        <f>IF(OR('Parte Estrategica'!AC20=0,'Parte Estrategica'!AC20=""),0,IF(VLOOKUP($A20,'Matriz de Referencia'!$B$2:$CO$584,26,FALSE)=0,0,"Digite"))</f>
        <v>0</v>
      </c>
      <c r="T20" s="456">
        <f>IF(OR('Parte Estrategica'!AC20=0,'Parte Estrategica'!AC20=""),0,IF(VLOOKUP($A20,'Matriz de Referencia'!$B$2:$CO$584,27,FALSE)=0,0,"Digite"))</f>
        <v>0</v>
      </c>
      <c r="U20" s="456">
        <f>IF(OR('Parte Estrategica'!AC20=0,'Parte Estrategica'!AC20=""),0,IF(VLOOKUP($A20,'Matriz de Referencia'!$B$2:$CO$584,28,FALSE)=0,0,"Digite"))</f>
        <v>0</v>
      </c>
      <c r="V20" s="456">
        <f>IF(OR('Parte Estrategica'!AC20=0,'Parte Estrategica'!AC20=""),0,IF(VLOOKUP($A20,'Matriz de Referencia'!$B$2:$CO$584,29,FALSE)=0,0,"Digite"))</f>
        <v>0</v>
      </c>
      <c r="W20" s="456">
        <f>IF(OR('Parte Estrategica'!AC20=0,'Parte Estrategica'!AC20=""),0,IF(VLOOKUP($A20,'Matriz de Referencia'!$B$2:$CO$584,30,FALSE)=0,0,"Digite"))</f>
        <v>0</v>
      </c>
      <c r="X20" s="456">
        <f>IF(OR('Parte Estrategica'!AC20=0,'Parte Estrategica'!AC20=""),0,IF(VLOOKUP($A20,'Matriz de Referencia'!$B$2:$CO$584,31,FALSE)=0,0,"Digite"))</f>
        <v>0</v>
      </c>
      <c r="Y20" s="456">
        <f>IF(OR('Parte Estrategica'!AC20=0,'Parte Estrategica'!AC20=""),0,IF(VLOOKUP($A20,'Matriz de Referencia'!$B$2:$CO$584,32,FALSE)=0,0,"Digite"))</f>
        <v>0</v>
      </c>
      <c r="Z20" s="457">
        <f t="shared" si="3"/>
        <v>0</v>
      </c>
      <c r="AA20" s="456">
        <f>IF(OR('Parte Estrategica'!AC20=0,'Parte Estrategica'!AC20=""),0,IF(VLOOKUP($A20,'Matriz de Referencia'!$B$2:$CO$584,34,FALSE)=0,0,"Digite"))</f>
        <v>0</v>
      </c>
      <c r="AB20" s="456">
        <f>IF(OR('Parte Estrategica'!AC20=0,'Parte Estrategica'!AC20=""),0,IF(VLOOKUP($A20,'Matriz de Referencia'!$B$2:$CO$584,35,FALSE)=0,0,"Digite"))</f>
        <v>0</v>
      </c>
      <c r="AC20" s="456">
        <f>IF(OR('Parte Estrategica'!AC20=0,'Parte Estrategica'!AC20=""),0,IF(VLOOKUP($A20,'Matriz de Referencia'!$B$2:$CO$584,36,FALSE)=0,0,"Digite"))</f>
        <v>0</v>
      </c>
      <c r="AD20" s="457">
        <f t="shared" si="4"/>
        <v>0</v>
      </c>
      <c r="AE20" s="457">
        <f t="shared" si="5"/>
        <v>0</v>
      </c>
      <c r="AF20" s="455">
        <f>IF(OR('Parte Estrategica'!AD20=0,'Parte Estrategica'!AD20=""),0,IF(VLOOKUP($A20,'Matriz de Referencia'!$B$2:$CO$584,25,FALSE)=0,0,"Digite"))</f>
        <v>0</v>
      </c>
      <c r="AG20" s="456">
        <f>IF(OR('Parte Estrategica'!AD20=0,'Parte Estrategica'!AD20=""),0,IF(VLOOKUP($A20,'Matriz de Referencia'!$B$2:$CO$584,26,FALSE)=0,0,"Digite"))</f>
        <v>0</v>
      </c>
      <c r="AH20" s="456">
        <f>IF(OR('Parte Estrategica'!AD20=0,'Parte Estrategica'!AD20=""),0,IF(VLOOKUP($A20,'Matriz de Referencia'!$B$2:$CO$584,27,FALSE)=0,0,"Digite"))</f>
        <v>0</v>
      </c>
      <c r="AI20" s="456">
        <f>IF(OR('Parte Estrategica'!AD20=0,'Parte Estrategica'!AD20=""),0,IF(VLOOKUP($A20,'Matriz de Referencia'!$B$2:$CO$584,28,FALSE)=0,0,"Digite"))</f>
        <v>0</v>
      </c>
      <c r="AJ20" s="456">
        <f>IF(OR('Parte Estrategica'!AD20=0,'Parte Estrategica'!AD20=""),0,IF(VLOOKUP($A20,'Matriz de Referencia'!$B$2:$CO$584,29,FALSE)=0,0,"Digite"))</f>
        <v>0</v>
      </c>
      <c r="AK20" s="456">
        <f>IF(OR('Parte Estrategica'!AD20=0,'Parte Estrategica'!AD20=""),0,IF(VLOOKUP($A20,'Matriz de Referencia'!$B$2:$CO$584,30,FALSE)=0,0,"Digite"))</f>
        <v>0</v>
      </c>
      <c r="AL20" s="456">
        <f>IF(OR('Parte Estrategica'!AD20=0,'Parte Estrategica'!AD20=""),0,IF(VLOOKUP($A20,'Matriz de Referencia'!$B$2:$CO$584,31,FALSE)=0,0,"Digite"))</f>
        <v>0</v>
      </c>
      <c r="AM20" s="456">
        <f>IF(OR('Parte Estrategica'!AD20=0,'Parte Estrategica'!AD20=""),0,IF(VLOOKUP($A20,'Matriz de Referencia'!$B$2:$CO$584,32,FALSE)=0,0,"Digite"))</f>
        <v>0</v>
      </c>
      <c r="AN20" s="457">
        <f t="shared" si="6"/>
        <v>0</v>
      </c>
      <c r="AO20" s="456">
        <f>IF(OR('Parte Estrategica'!AD20=0,'Parte Estrategica'!AD20=""),0,IF(VLOOKUP($A20,'Matriz de Referencia'!$B$2:$CO$584,34,FALSE)=0,0,"Digite"))</f>
        <v>0</v>
      </c>
      <c r="AP20" s="456">
        <f>IF(OR('Parte Estrategica'!AD20=0,'Parte Estrategica'!AD20=""),0,IF(VLOOKUP($A20,'Matriz de Referencia'!$B$2:$CO$584,35,FALSE)=0,0,"Digite"))</f>
        <v>0</v>
      </c>
      <c r="AQ20" s="456">
        <f>IF(OR('Parte Estrategica'!AD20=0,'Parte Estrategica'!AD20=""),0,IF(VLOOKUP($A20,'Matriz de Referencia'!$B$2:$CO$584,36,FALSE)=0,0,"Digite"))</f>
        <v>0</v>
      </c>
      <c r="AR20" s="457">
        <f t="shared" si="7"/>
        <v>0</v>
      </c>
      <c r="AS20" s="457">
        <f t="shared" si="8"/>
        <v>0</v>
      </c>
      <c r="AT20" s="455">
        <f>IF(OR('Parte Estrategica'!AE20=0,'Parte Estrategica'!AE20=""),0,IF(VLOOKUP($A20,'Matriz de Referencia'!$B$2:$CO$584,25,FALSE)=0,0,"Digite"))</f>
        <v>0</v>
      </c>
      <c r="AU20" s="456">
        <f>IF(OR('Parte Estrategica'!AE20=0,'Parte Estrategica'!AE20=""),0,IF(VLOOKUP($A20,'Matriz de Referencia'!$B$2:$CO$584,26,FALSE)=0,0,"Digite"))</f>
        <v>0</v>
      </c>
      <c r="AV20" s="456">
        <f>IF(OR('Parte Estrategica'!AE20=0,'Parte Estrategica'!AE20=""),0,IF(VLOOKUP($A20,'Matriz de Referencia'!$B$2:$CO$584,27,FALSE)=0,0,"Digite"))</f>
        <v>0</v>
      </c>
      <c r="AW20" s="456">
        <f>IF(OR('Parte Estrategica'!AE20=0,'Parte Estrategica'!AE20=""),0,IF(VLOOKUP($A20,'Matriz de Referencia'!$B$2:$CO$584,28,FALSE)=0,0,"Digite"))</f>
        <v>0</v>
      </c>
      <c r="AX20" s="456">
        <f>IF(OR('Parte Estrategica'!AE20=0,'Parte Estrategica'!AE20=""),0,IF(VLOOKUP($A20,'Matriz de Referencia'!$B$2:$CO$584,29,FALSE)=0,0,"Digite"))</f>
        <v>0</v>
      </c>
      <c r="AY20" s="456">
        <f>IF(OR('Parte Estrategica'!AE20=0,'Parte Estrategica'!AE20=""),0,IF(VLOOKUP($A20,'Matriz de Referencia'!$B$2:$CO$584,30,FALSE)=0,0,"Digite"))</f>
        <v>0</v>
      </c>
      <c r="AZ20" s="456">
        <f>IF(OR('Parte Estrategica'!AE20=0,'Parte Estrategica'!AE20=""),0,IF(VLOOKUP($A20,'Matriz de Referencia'!$B$2:$CO$584,31,FALSE)=0,0,"Digite"))</f>
        <v>0</v>
      </c>
      <c r="BA20" s="456">
        <f>IF(OR('Parte Estrategica'!AE20=0,'Parte Estrategica'!AE20=""),0,IF(VLOOKUP($A20,'Matriz de Referencia'!$B$2:$CO$584,32,FALSE)=0,0,"Digite"))</f>
        <v>0</v>
      </c>
      <c r="BB20" s="457">
        <f t="shared" si="9"/>
        <v>0</v>
      </c>
      <c r="BC20" s="456">
        <f>IF(OR('Parte Estrategica'!AE20=0,'Parte Estrategica'!AE20=""),0,IF(VLOOKUP($A20,'Matriz de Referencia'!$B$2:$CO$584,34,FALSE)=0,0,"Digite"))</f>
        <v>0</v>
      </c>
      <c r="BD20" s="456">
        <f>IF(OR('Parte Estrategica'!AE20=0,'Parte Estrategica'!AE20=""),0,IF(VLOOKUP($A20,'Matriz de Referencia'!$B$2:$CO$584,35,FALSE)=0,0,"Digite"))</f>
        <v>0</v>
      </c>
      <c r="BE20" s="456">
        <f>IF(OR('Parte Estrategica'!AE20=0,'Parte Estrategica'!AE20=""),0,IF(VLOOKUP($A20,'Matriz de Referencia'!$B$2:$CO$584,36,FALSE)=0,0,"Digite"))</f>
        <v>0</v>
      </c>
      <c r="BF20" s="457">
        <f t="shared" si="10"/>
        <v>0</v>
      </c>
      <c r="BG20" s="457">
        <f t="shared" si="11"/>
        <v>0</v>
      </c>
      <c r="BH20" s="457">
        <f t="shared" si="12"/>
        <v>0</v>
      </c>
      <c r="BI20" s="101" t="str">
        <f>IFERROR(IF(BH20=0,"",IF(VLOOKUP($A20,'Matriz de Referencia'!$B$2:$CO$584,'Matriz de Referencia'!AM$1,FALSE)=BH20,"Techos ok, cotinue","Debe revisar el valor programado")),"")</f>
        <v/>
      </c>
      <c r="BJ20" s="453">
        <f>IF(OR('Parte Estrategica'!AH20=0,'Parte Estrategica'!AH20=""),0,IF(VLOOKUP($A20,'Matriz de Referencia'!$B$2:$CO$584,39,FALSE)=0,0,"Digite"))</f>
        <v>0</v>
      </c>
      <c r="BK20" s="454">
        <f>IF(OR('Parte Estrategica'!AH20=0,'Parte Estrategica'!AH20=""),0,IF(VLOOKUP($A20,'Matriz de Referencia'!$B$2:$CO$584,40,FALSE)=0,0,"Digite"))</f>
        <v>0</v>
      </c>
      <c r="BL20" s="454">
        <f>IF(OR('Parte Estrategica'!AH20=0,'Parte Estrategica'!AH20=""),0,IF(VLOOKUP($A20,'Matriz de Referencia'!$B$2:$CO$584,41,FALSE)=0,0,"Digite"))</f>
        <v>0</v>
      </c>
      <c r="BM20" s="454">
        <f>IF(OR('Parte Estrategica'!AH20=0,'Parte Estrategica'!AH20=""),0,IF(VLOOKUP($A20,'Matriz de Referencia'!$B$2:$CO$584,42,FALSE)=0,0,"Digite"))</f>
        <v>0</v>
      </c>
      <c r="BN20" s="454">
        <f>IF(OR('Parte Estrategica'!AH20=0,'Parte Estrategica'!AH20=""),0,IF(VLOOKUP($A20,'Matriz de Referencia'!$B$2:$CO$584,43,FALSE)=0,0,"Digite"))</f>
        <v>0</v>
      </c>
      <c r="BO20" s="454">
        <f>IF(OR('Parte Estrategica'!AH20=0,'Parte Estrategica'!AH20=""),0,IF(VLOOKUP($A20,'Matriz de Referencia'!$B$2:$CO$584,44,FALSE)=0,0,"Digite"))</f>
        <v>0</v>
      </c>
      <c r="BP20" s="454">
        <f>IF(OR('Parte Estrategica'!AH20=0,'Parte Estrategica'!AH20=""),0,IF(VLOOKUP($A20,'Matriz de Referencia'!$B$2:$CO$584,45,FALSE)=0,0,"Digite"))</f>
        <v>0</v>
      </c>
      <c r="BQ20" s="454">
        <f>IF(OR('Parte Estrategica'!AH20=0,'Parte Estrategica'!AH20=""),0,IF(VLOOKUP($A20,'Matriz de Referencia'!$B$2:$CO$584,46,FALSE)=0,0,"Digite"))</f>
        <v>0</v>
      </c>
      <c r="BR20" s="382">
        <f t="shared" si="13"/>
        <v>0</v>
      </c>
      <c r="BS20" s="454">
        <f>IF(OR('Parte Estrategica'!CL20=0,'Parte Estrategica'!CL20=""),0,IF(VLOOKUP($A20,'Matriz de Referencia'!$B$2:$CO$584,48,FALSE)=0,0,"Digite"))</f>
        <v>0</v>
      </c>
      <c r="BT20" s="454">
        <f>IF(OR('Parte Estrategica'!CL20=0,'Parte Estrategica'!CL20=""),0,IF(VLOOKUP($A20,'Matriz de Referencia'!$B$2:$CO$584,49,FALSE)=0,0,"Digite"))</f>
        <v>0</v>
      </c>
      <c r="BU20" s="454">
        <f>IF(OR('Parte Estrategica'!CL20=0,'Parte Estrategica'!CL20=""),0,IF(VLOOKUP($A20,'Matriz de Referencia'!$B$2:$CO$584,50,FALSE)=0,0,"Digite"))</f>
        <v>0</v>
      </c>
      <c r="BV20" s="382">
        <f t="shared" si="14"/>
        <v>0</v>
      </c>
      <c r="BW20" s="382">
        <f t="shared" si="15"/>
        <v>0</v>
      </c>
      <c r="BX20" s="453">
        <f>IF(OR('Parte Estrategica'!AI20=0,'Parte Estrategica'!AI20=""),0,IF(VLOOKUP($A20,'Matriz de Referencia'!$B$2:$CO$584,39,FALSE)=0,0,"Digite"))</f>
        <v>0</v>
      </c>
      <c r="BY20" s="454">
        <f>IF(OR('Parte Estrategica'!AI20=0,'Parte Estrategica'!AI20=""),0,IF(VLOOKUP($A20,'Matriz de Referencia'!$B$2:$CO$584,40,FALSE)=0,0,"Digite"))</f>
        <v>0</v>
      </c>
      <c r="BZ20" s="454">
        <f>IF(OR('Parte Estrategica'!AI20=0,'Parte Estrategica'!AI20=""),0,IF(VLOOKUP($A20,'Matriz de Referencia'!$B$2:$CO$584,41,FALSE)=0,0,"Digite"))</f>
        <v>0</v>
      </c>
      <c r="CA20" s="454">
        <f>IF(OR('Parte Estrategica'!AI20=0,'Parte Estrategica'!AI20=""),0,IF(VLOOKUP($A20,'Matriz de Referencia'!$B$2:$CO$584,42,FALSE)=0,0,"Digite"))</f>
        <v>0</v>
      </c>
      <c r="CB20" s="454">
        <f>IF(OR('Parte Estrategica'!AI20=0,'Parte Estrategica'!AI20=""),0,IF(VLOOKUP($A20,'Matriz de Referencia'!$B$2:$CO$584,43,FALSE)=0,0,"Digite"))</f>
        <v>0</v>
      </c>
      <c r="CC20" s="454">
        <f>IF(OR('Parte Estrategica'!AI20=0,'Parte Estrategica'!AI20=""),0,IF(VLOOKUP($A20,'Matriz de Referencia'!$B$2:$CO$584,44,FALSE)=0,0,"Digite"))</f>
        <v>0</v>
      </c>
      <c r="CD20" s="454">
        <f>IF(OR('Parte Estrategica'!AI20=0,'Parte Estrategica'!AI20=""),0,IF(VLOOKUP($A20,'Matriz de Referencia'!$B$2:$CO$584,45,FALSE)=0,0,"Digite"))</f>
        <v>0</v>
      </c>
      <c r="CE20" s="454">
        <f>IF(OR('Parte Estrategica'!AI20=0,'Parte Estrategica'!AI20=""),0,IF(VLOOKUP($A20,'Matriz de Referencia'!$B$2:$CO$584,46,FALSE)=0,0,"Digite"))</f>
        <v>0</v>
      </c>
      <c r="CF20" s="382">
        <f t="shared" si="16"/>
        <v>0</v>
      </c>
      <c r="CG20" s="454">
        <f>IF(OR('Parte Estrategica'!AI20=0,'Parte Estrategica'!AI20=""),0,IF(VLOOKUP($A20,'Matriz de Referencia'!$B$2:$CO$584,48,FALSE)=0,0,"Digite"))</f>
        <v>0</v>
      </c>
      <c r="CH20" s="454">
        <f>IF(OR('Parte Estrategica'!AI20=0,'Parte Estrategica'!AI20=""),0,IF(VLOOKUP($A20,'Matriz de Referencia'!$B$2:$CO$584,49,FALSE)=0,0,"Digite"))</f>
        <v>0</v>
      </c>
      <c r="CI20" s="454">
        <f>IF(OR('Parte Estrategica'!AI20=0,'Parte Estrategica'!AI20=""),0,IF(VLOOKUP($A20,'Matriz de Referencia'!$B$2:$CO$584,50,FALSE)=0,0,"Digite"))</f>
        <v>0</v>
      </c>
      <c r="CJ20" s="382">
        <f t="shared" si="17"/>
        <v>0</v>
      </c>
      <c r="CK20" s="382">
        <f t="shared" si="18"/>
        <v>0</v>
      </c>
      <c r="CL20" s="453">
        <f>IF(OR('Parte Estrategica'!AJ20=0,'Parte Estrategica'!AJ20=""),0,IF(VLOOKUP($A20,'Matriz de Referencia'!$B$2:$CO$584,39,FALSE)=0,0,"Digite"))</f>
        <v>0</v>
      </c>
      <c r="CM20" s="454">
        <f>IF(OR('Parte Estrategica'!AJ20=0,'Parte Estrategica'!AJ20=""),0,IF(VLOOKUP($A20,'Matriz de Referencia'!$B$2:$CO$584,40,FALSE)=0,0,"Digite"))</f>
        <v>0</v>
      </c>
      <c r="CN20" s="454">
        <f>IF(OR('Parte Estrategica'!AJ20=0,'Parte Estrategica'!AJ20=""),0,IF(VLOOKUP($A20,'Matriz de Referencia'!$B$2:$CO$584,41,FALSE)=0,0,"Digite"))</f>
        <v>0</v>
      </c>
      <c r="CO20" s="454">
        <f>IF(OR('Parte Estrategica'!AJ20=0,'Parte Estrategica'!AJ20=""),0,IF(VLOOKUP($A20,'Matriz de Referencia'!$B$2:$CO$584,42,FALSE)=0,0,"Digite"))</f>
        <v>0</v>
      </c>
      <c r="CP20" s="454">
        <f>IF(OR('Parte Estrategica'!AJ20=0,'Parte Estrategica'!AJ20=""),0,IF(VLOOKUP($A20,'Matriz de Referencia'!$B$2:$CO$584,43,FALSE)=0,0,"Digite"))</f>
        <v>0</v>
      </c>
      <c r="CQ20" s="454">
        <f>IF(OR('Parte Estrategica'!AJ20=0,'Parte Estrategica'!AJ20=""),0,IF(VLOOKUP($A20,'Matriz de Referencia'!$B$2:$CO$584,44,FALSE)=0,0,"Digite"))</f>
        <v>0</v>
      </c>
      <c r="CR20" s="454">
        <f>IF(OR('Parte Estrategica'!AJ20=0,'Parte Estrategica'!AJ20=""),0,IF(VLOOKUP($A20,'Matriz de Referencia'!$B$2:$CO$584,45,FALSE)=0,0,"Digite"))</f>
        <v>0</v>
      </c>
      <c r="CS20" s="454">
        <f>IF(OR('Parte Estrategica'!AJ20=0,'Parte Estrategica'!AJ20=""),0,IF(VLOOKUP($A20,'Matriz de Referencia'!$B$2:$CO$584,46,FALSE)=0,0,"Digite"))</f>
        <v>0</v>
      </c>
      <c r="CT20" s="382">
        <f t="shared" si="19"/>
        <v>0</v>
      </c>
      <c r="CU20" s="454">
        <f>IF(OR('Parte Estrategica'!AJ20=0,'Parte Estrategica'!AJ20=""),0,IF(VLOOKUP($A20,'Matriz de Referencia'!$B$2:$CO$584,48,FALSE)=0,0,"Digite"))</f>
        <v>0</v>
      </c>
      <c r="CV20" s="454">
        <f>IF(OR('Parte Estrategica'!AJ20=0,'Parte Estrategica'!AJ20=""),0,IF(VLOOKUP($A20,'Matriz de Referencia'!$B$2:$CO$584,49,FALSE)=0,0,"Digite"))</f>
        <v>0</v>
      </c>
      <c r="CW20" s="454">
        <f>IF(OR('Parte Estrategica'!AJ20=0,'Parte Estrategica'!AJ20=""),0,IF(VLOOKUP($A20,'Matriz de Referencia'!$B$2:$CO$584,50,FALSE)=0,0,"Digite"))</f>
        <v>0</v>
      </c>
      <c r="CX20" s="382">
        <f t="shared" si="20"/>
        <v>0</v>
      </c>
      <c r="CY20" s="382">
        <f t="shared" si="21"/>
        <v>0</v>
      </c>
      <c r="CZ20" s="453">
        <f>IF(OR('Parte Estrategica'!AK20=0,'Parte Estrategica'!AK20=""),0,IF(VLOOKUP($A20,'Matriz de Referencia'!$B$2:$CO$584,39,FALSE)=0,0,"Digite"))</f>
        <v>0</v>
      </c>
      <c r="DA20" s="454">
        <f>IF(OR('Parte Estrategica'!AK20=0,'Parte Estrategica'!AK20=""),0,IF(VLOOKUP($A20,'Matriz de Referencia'!$B$2:$CO$584,40,FALSE)=0,0,"Digite"))</f>
        <v>0</v>
      </c>
      <c r="DB20" s="454">
        <f>IF(OR('Parte Estrategica'!AK20=0,'Parte Estrategica'!AK20=""),0,IF(VLOOKUP($A20,'Matriz de Referencia'!$B$2:$CO$584,41,FALSE)=0,0,"Digite"))</f>
        <v>0</v>
      </c>
      <c r="DC20" s="454">
        <f>IF(OR('Parte Estrategica'!AK20=0,'Parte Estrategica'!AK20=""),0,IF(VLOOKUP($A20,'Matriz de Referencia'!$B$2:$CO$584,42,FALSE)=0,0,"Digite"))</f>
        <v>0</v>
      </c>
      <c r="DD20" s="454">
        <f>IF(OR('Parte Estrategica'!AK20=0,'Parte Estrategica'!AK20=""),0,IF(VLOOKUP($A20,'Matriz de Referencia'!$B$2:$CO$584,43,FALSE)=0,0,"Digite"))</f>
        <v>0</v>
      </c>
      <c r="DE20" s="454">
        <f>IF(OR('Parte Estrategica'!AK20=0,'Parte Estrategica'!AK20=""),0,IF(VLOOKUP($A20,'Matriz de Referencia'!$B$2:$CO$584,44,FALSE)=0,0,"Digite"))</f>
        <v>0</v>
      </c>
      <c r="DF20" s="454">
        <f>IF(OR('Parte Estrategica'!AK20=0,'Parte Estrategica'!AK20=""),0,IF(VLOOKUP($A20,'Matriz de Referencia'!$B$2:$CO$584,45,FALSE)=0,0,"Digite"))</f>
        <v>0</v>
      </c>
      <c r="DG20" s="454">
        <f>IF(OR('Parte Estrategica'!AK20=0,'Parte Estrategica'!AK20=""),0,IF(VLOOKUP($A20,'Matriz de Referencia'!$B$2:$CO$584,46,FALSE)=0,0,"Digite"))</f>
        <v>0</v>
      </c>
      <c r="DH20" s="382">
        <f t="shared" si="22"/>
        <v>0</v>
      </c>
      <c r="DI20" s="454">
        <f>IF(OR('Parte Estrategica'!AK20=0,'Parte Estrategica'!AK20=""),0,IF(VLOOKUP($A20,'Matriz de Referencia'!$B$2:$CO$584,48,FALSE)=0,0,"Digite"))</f>
        <v>0</v>
      </c>
      <c r="DJ20" s="454">
        <f>IF(OR('Parte Estrategica'!AK20=0,'Parte Estrategica'!AK20=""),0,IF(VLOOKUP($A20,'Matriz de Referencia'!$B$2:$CO$584,49,FALSE)=0,0,"Digite"))</f>
        <v>0</v>
      </c>
      <c r="DK20" s="454">
        <f>IF(OR('Parte Estrategica'!AK20=0,'Parte Estrategica'!AK20=""),0,IF(VLOOKUP($A20,'Matriz de Referencia'!$B$2:$CO$584,50,FALSE)=0,0,"Digite"))</f>
        <v>0</v>
      </c>
      <c r="DL20" s="382">
        <f t="shared" si="23"/>
        <v>0</v>
      </c>
      <c r="DM20" s="382">
        <f t="shared" si="24"/>
        <v>0</v>
      </c>
      <c r="DN20" s="382">
        <f t="shared" si="25"/>
        <v>0</v>
      </c>
      <c r="DO20" s="101" t="str">
        <f>IFERROR(IF(DN20=0,"",IF(VLOOKUP($A20,'Matriz de Referencia'!$B$2:$CO$584,52,FALSE)=DN20,"Techos ok, cotinue","Debe revisar el valor programado")),"")</f>
        <v/>
      </c>
      <c r="DP20" s="453">
        <f>IF(OR('Parte Estrategica'!AN20=0,'Parte Estrategica'!AN20=""),0,IF(VLOOKUP($A20,'Matriz de Referencia'!$B$2:$CO$584,53,FALSE)=0,0,"Digite"))</f>
        <v>0</v>
      </c>
      <c r="DQ20" s="454">
        <f>IF(OR('Parte Estrategica'!AN20=0,'Parte Estrategica'!AN20=""),0,IF(VLOOKUP($A20,'Matriz de Referencia'!$B$2:$CO$584,54,FALSE)=0,0,"Digite"))</f>
        <v>0</v>
      </c>
      <c r="DR20" s="454">
        <f>IF(OR('Parte Estrategica'!AN20=0,'Parte Estrategica'!AN20=""),0,IF(VLOOKUP($A20,'Matriz de Referencia'!$B$2:$CO$584,55,FALSE)=0,0,"Digite"))</f>
        <v>0</v>
      </c>
      <c r="DS20" s="454">
        <f>IF(OR('Parte Estrategica'!AN20=0,'Parte Estrategica'!AN20=""),0,IF(VLOOKUP($A20,'Matriz de Referencia'!$B$2:$CO$584,56,FALSE)=0,0,"Digite"))</f>
        <v>0</v>
      </c>
      <c r="DT20" s="454">
        <f>IF(OR('Parte Estrategica'!AN20=0,'Parte Estrategica'!AN20=""),0,IF(VLOOKUP($A20,'Matriz de Referencia'!$B$2:$CO$584,57,FALSE)=0,0,"Digite"))</f>
        <v>0</v>
      </c>
      <c r="DU20" s="454">
        <f>IF(OR('Parte Estrategica'!AN20=0,'Parte Estrategica'!AN20=""),0,IF(VLOOKUP($A20,'Matriz de Referencia'!$B$2:$CO$584,58,FALSE)=0,0,"Digite"))</f>
        <v>0</v>
      </c>
      <c r="DV20" s="454">
        <f>IF(OR('Parte Estrategica'!AN20=0,'Parte Estrategica'!AN20=""),0,IF(VLOOKUP($A20,'Matriz de Referencia'!$B$2:$CO$584,59,FALSE)=0,0,"Digite"))</f>
        <v>0</v>
      </c>
      <c r="DW20" s="454">
        <f>IF(OR('Parte Estrategica'!AN20=0,'Parte Estrategica'!AN20=""),0,IF(VLOOKUP($A20,'Matriz de Referencia'!$B$2:$CO$584,60,FALSE)=0,0,"Digite"))</f>
        <v>0</v>
      </c>
      <c r="DX20" s="382">
        <f t="shared" si="26"/>
        <v>0</v>
      </c>
      <c r="DY20" s="454">
        <f>IF(OR('Parte Estrategica'!AN20=0,'Parte Estrategica'!AN20=""),0,IF(VLOOKUP($A20,'Matriz de Referencia'!$B$2:$CO$584,62,FALSE)=0,0,"Digite"))</f>
        <v>0</v>
      </c>
      <c r="DZ20" s="454">
        <f>IF(OR('Parte Estrategica'!AN20=0,'Parte Estrategica'!AN20=""),0,IF(VLOOKUP($A20,'Matriz de Referencia'!$B$2:$CO$584,63,FALSE)=0,0,"Digite"))</f>
        <v>0</v>
      </c>
      <c r="EA20" s="454" t="str">
        <f>IF(OR('Parte Estrategica'!AN20=0,'Parte Estrategica'!AN20=""),"",IF(VLOOKUP($A20,'Matriz de Referencia'!$B$2:$CO$584,64,FALSE)=0,"","Digite"))</f>
        <v/>
      </c>
      <c r="EB20" s="382">
        <f t="shared" si="27"/>
        <v>0</v>
      </c>
      <c r="EC20" s="382">
        <f t="shared" si="28"/>
        <v>0</v>
      </c>
      <c r="ED20" s="453">
        <f>IF(OR('Parte Estrategica'!AO20=0,'Parte Estrategica'!AO20=""),0,IF(VLOOKUP($A20,'Matriz de Referencia'!$B$2:$CO$584,53,FALSE)=0,0,"Digite"))</f>
        <v>0</v>
      </c>
      <c r="EE20" s="454">
        <f>IF(OR('Parte Estrategica'!AO20=0,'Parte Estrategica'!AO20=""),0,IF(VLOOKUP($A20,'Matriz de Referencia'!$B$2:$CO$584,54,FALSE)=0,0,"Digite"))</f>
        <v>0</v>
      </c>
      <c r="EF20" s="454">
        <f>IF(OR('Parte Estrategica'!AO20=0,'Parte Estrategica'!AO20=""),0,IF(VLOOKUP($A20,'Matriz de Referencia'!$B$2:$CO$584,55,FALSE)=0,0,"Digite"))</f>
        <v>0</v>
      </c>
      <c r="EG20" s="454">
        <f>IF(OR('Parte Estrategica'!AO20=0,'Parte Estrategica'!AO20=""),0,IF(VLOOKUP($A20,'Matriz de Referencia'!$B$2:$CO$584,56,FALSE)=0,0,"Digite"))</f>
        <v>0</v>
      </c>
      <c r="EH20" s="454">
        <f>IF(OR('Parte Estrategica'!AO20=0,'Parte Estrategica'!AO20=""),0,IF(VLOOKUP($A20,'Matriz de Referencia'!$B$2:$CO$584,57,FALSE)=0,0,"Digite"))</f>
        <v>0</v>
      </c>
      <c r="EI20" s="454">
        <f>IF(OR('Parte Estrategica'!AO20=0,'Parte Estrategica'!AO20=""),0,IF(VLOOKUP($A20,'Matriz de Referencia'!$B$2:$CO$584,58,FALSE)=0,0,"Digite"))</f>
        <v>0</v>
      </c>
      <c r="EJ20" s="454">
        <f>IF(OR('Parte Estrategica'!AO20=0,'Parte Estrategica'!AO20=""),0,IF(VLOOKUP($A20,'Matriz de Referencia'!$B$2:$CO$584,59,FALSE)=0,0,"Digite"))</f>
        <v>0</v>
      </c>
      <c r="EK20" s="454">
        <f>IF(OR('Parte Estrategica'!AO20=0,'Parte Estrategica'!AO20=""),0,IF(VLOOKUP($A20,'Matriz de Referencia'!$B$2:$CO$584,60,FALSE)=0,0,"Digite"))</f>
        <v>0</v>
      </c>
      <c r="EL20" s="382">
        <f t="shared" si="29"/>
        <v>0</v>
      </c>
      <c r="EM20" s="454">
        <f>IF(OR('Parte Estrategica'!AO20=0,'Parte Estrategica'!AO20=""),0,IF(VLOOKUP($A20,'Matriz de Referencia'!$B$2:$CO$584,62,FALSE)=0,0,"Digite"))</f>
        <v>0</v>
      </c>
      <c r="EN20" s="454">
        <f>IF(OR('Parte Estrategica'!AO20=0,'Parte Estrategica'!AO20=""),0,IF(VLOOKUP($A20,'Matriz de Referencia'!$B$2:$CO$584,63,FALSE)=0,0,"Digite"))</f>
        <v>0</v>
      </c>
      <c r="EO20" s="454">
        <f>IF(OR('Parte Estrategica'!AO20=0,'Parte Estrategica'!AO20=""),0,IF(VLOOKUP($A20,'Matriz de Referencia'!$B$2:$CO$584,64,FALSE)=0,0,"Digite"))</f>
        <v>0</v>
      </c>
      <c r="EP20" s="382">
        <f t="shared" si="30"/>
        <v>0</v>
      </c>
      <c r="EQ20" s="382">
        <f t="shared" si="31"/>
        <v>0</v>
      </c>
      <c r="ER20" s="453">
        <f>IF(OR('Parte Estrategica'!AP20=0,'Parte Estrategica'!AP20=""),0,IF(VLOOKUP($A20,'Matriz de Referencia'!$B$2:$CO$584,53,FALSE)=0,0,"Digite"))</f>
        <v>0</v>
      </c>
      <c r="ES20" s="454">
        <f>IF(OR('Parte Estrategica'!AP20=0,'Parte Estrategica'!AP20=""),0,IF(VLOOKUP($A20,'Matriz de Referencia'!$B$2:$CO$584,54,FALSE)=0,0,"Digite"))</f>
        <v>0</v>
      </c>
      <c r="ET20" s="454">
        <f>IF(OR('Parte Estrategica'!AP20=0,'Parte Estrategica'!AP20=""),0,IF(VLOOKUP($A20,'Matriz de Referencia'!$B$2:$CO$584,55,FALSE)=0,0,"Digite"))</f>
        <v>0</v>
      </c>
      <c r="EU20" s="454">
        <f>IF(OR('Parte Estrategica'!AP20=0,'Parte Estrategica'!AP20=""),0,IF(VLOOKUP($A20,'Matriz de Referencia'!$B$2:$CO$584,56,FALSE)=0,0,"Digite"))</f>
        <v>0</v>
      </c>
      <c r="EV20" s="454">
        <f>IF(OR('Parte Estrategica'!AP20=0,'Parte Estrategica'!AP20=""),0,IF(VLOOKUP($A20,'Matriz de Referencia'!$B$2:$CO$584,57,FALSE)=0,0,"Digite"))</f>
        <v>0</v>
      </c>
      <c r="EW20" s="454">
        <f>IF(OR('Parte Estrategica'!AP20=0,'Parte Estrategica'!AP20=""),0,IF(VLOOKUP($A20,'Matriz de Referencia'!$B$2:$CO$584,58,FALSE)=0,0,"Digite"))</f>
        <v>0</v>
      </c>
      <c r="EX20" s="454">
        <f>IF(OR('Parte Estrategica'!AP20=0,'Parte Estrategica'!AP20=""),0,IF(VLOOKUP($A20,'Matriz de Referencia'!$B$2:$CO$584,59,FALSE)=0,0,"Digite"))</f>
        <v>0</v>
      </c>
      <c r="EY20" s="454">
        <f>IF(OR('Parte Estrategica'!AP20=0,'Parte Estrategica'!AP20=""),0,IF(VLOOKUP($A20,'Matriz de Referencia'!$B$2:$CO$584,60,FALSE)=0,0,"Digite"))</f>
        <v>0</v>
      </c>
      <c r="EZ20" s="382">
        <f t="shared" si="32"/>
        <v>0</v>
      </c>
      <c r="FA20" s="454">
        <f>IF(OR('Parte Estrategica'!AP20=0,'Parte Estrategica'!AP20=""),0,IF(VLOOKUP($A20,'Matriz de Referencia'!$B$2:$CO$584,62,FALSE)=0,0,"Digite"))</f>
        <v>0</v>
      </c>
      <c r="FB20" s="454">
        <f>IF(OR('Parte Estrategica'!AP20=0,'Parte Estrategica'!AP20=""),0,IF(VLOOKUP($A20,'Matriz de Referencia'!$B$2:$CO$584,63,FALSE)=0,0,"Digite"))</f>
        <v>0</v>
      </c>
      <c r="FC20" s="454">
        <f>IF(OR('Parte Estrategica'!AP20=0,'Parte Estrategica'!AP20=""),0,IF(VLOOKUP($A20,'Matriz de Referencia'!$B$2:$CO$584,64,FALSE)=0,0,"Digite"))</f>
        <v>0</v>
      </c>
      <c r="FD20" s="382">
        <f t="shared" si="33"/>
        <v>0</v>
      </c>
      <c r="FE20" s="382">
        <f t="shared" si="34"/>
        <v>0</v>
      </c>
      <c r="FF20" s="453">
        <f>IF(OR('Parte Estrategica'!AQ20=0,'Parte Estrategica'!AQ20=""),0,IF(VLOOKUP($A20,'Matriz de Referencia'!$B$2:$CO$584,53,FALSE)=0,0,"Digite"))</f>
        <v>0</v>
      </c>
      <c r="FG20" s="454">
        <f>IF(OR('Parte Estrategica'!AQ20=0,'Parte Estrategica'!AQ20=""),0,IF(VLOOKUP($A20,'Matriz de Referencia'!$B$2:$CO$584,54,FALSE)=0,0,"Digite"))</f>
        <v>0</v>
      </c>
      <c r="FH20" s="454">
        <f>IF(OR('Parte Estrategica'!AQ20=0,'Parte Estrategica'!AQ20=""),0,IF(VLOOKUP($A20,'Matriz de Referencia'!$B$2:$CO$584,55,FALSE)=0,0,"Digite"))</f>
        <v>0</v>
      </c>
      <c r="FI20" s="454">
        <f>IF(OR('Parte Estrategica'!AQ20=0,'Parte Estrategica'!AQ20=""),0,IF(VLOOKUP($A20,'Matriz de Referencia'!$B$2:$CO$584,56,FALSE)=0,0,"Digite"))</f>
        <v>0</v>
      </c>
      <c r="FJ20" s="454">
        <f>IF(OR('Parte Estrategica'!AQ20=0,'Parte Estrategica'!AQ20=""),0,IF(VLOOKUP($A20,'Matriz de Referencia'!$B$2:$CO$584,57,FALSE)=0,0,"Digite"))</f>
        <v>0</v>
      </c>
      <c r="FK20" s="454">
        <f>IF(OR('Parte Estrategica'!AQ20=0,'Parte Estrategica'!AQ20=""),0,IF(VLOOKUP($A20,'Matriz de Referencia'!$B$2:$CO$584,58,FALSE)=0,0,"Digite"))</f>
        <v>0</v>
      </c>
      <c r="FL20" s="454">
        <f>IF(OR('Parte Estrategica'!AQ20=0,'Parte Estrategica'!AQ20=""),0,IF(VLOOKUP($A20,'Matriz de Referencia'!$B$2:$CO$584,59,FALSE)=0,0,"Digite"))</f>
        <v>0</v>
      </c>
      <c r="FM20" s="454">
        <f>IF(OR('Parte Estrategica'!AQ20=0,'Parte Estrategica'!AQ20=""),0,IF(VLOOKUP($A20,'Matriz de Referencia'!$B$2:$CO$584,60,FALSE)=0,0,"Digite"))</f>
        <v>0</v>
      </c>
      <c r="FN20" s="382">
        <f t="shared" si="35"/>
        <v>0</v>
      </c>
      <c r="FO20" s="454">
        <f>IF(OR('Parte Estrategica'!AQ20=0,'Parte Estrategica'!AQ20=""),0,IF(VLOOKUP($A20,'Matriz de Referencia'!$B$2:$CO$584,62,FALSE)=0,0,"Digite"))</f>
        <v>0</v>
      </c>
      <c r="FP20" s="454">
        <f>IF(OR('Parte Estrategica'!AQ20=0,'Parte Estrategica'!AQ20=""),0,IF(VLOOKUP($A20,'Matriz de Referencia'!$B$2:$CO$584,63,FALSE)=0,0,"Digite"))</f>
        <v>0</v>
      </c>
      <c r="FQ20" s="454">
        <f>IF(OR('Parte Estrategica'!AQ20=0,'Parte Estrategica'!AQ20=""),0,IF(VLOOKUP($A20,'Matriz de Referencia'!$B$2:$CO$584,64,FALSE)=0,0,"Digite"))</f>
        <v>0</v>
      </c>
      <c r="FR20" s="382">
        <f t="shared" si="36"/>
        <v>0</v>
      </c>
      <c r="FS20" s="382">
        <f t="shared" si="37"/>
        <v>0</v>
      </c>
      <c r="FT20" s="382">
        <f t="shared" si="38"/>
        <v>0</v>
      </c>
      <c r="FU20" s="101" t="str">
        <f>IFERROR(IF(FT20=0,"",IF(VLOOKUP($A20,'Matriz de Referencia'!$B$2:$CO$584,66,FALSE)=FT20,"Techos ok, cotinue","Debe revisar el valor programado")),"")</f>
        <v/>
      </c>
      <c r="FV20" s="453">
        <f>IF(OR('Parte Estrategica'!AT20=0,'Parte Estrategica'!AT20=""),0,IF(VLOOKUP($A20,'Matriz de Referencia'!$B$2:$CO$584,67,FALSE)=0,0,"Digite"))</f>
        <v>0</v>
      </c>
      <c r="FW20" s="454">
        <f>IF(OR('Parte Estrategica'!AT20=0,'Parte Estrategica'!AT20=""),0,IF(VLOOKUP($A20,'Matriz de Referencia'!$B$2:$CO$584,68,FALSE)=0,0,"Digite"))</f>
        <v>0</v>
      </c>
      <c r="FX20" s="454">
        <f>IF(OR('Parte Estrategica'!AT20=0,'Parte Estrategica'!AT20=""),0,IF(VLOOKUP($A20,'Matriz de Referencia'!$B$2:$CO$584,69,FALSE)=0,0,"Digite"))</f>
        <v>0</v>
      </c>
      <c r="FY20" s="454">
        <f>IF(OR('Parte Estrategica'!AT20=0,'Parte Estrategica'!AT20=""),0,IF(VLOOKUP($A20,'Matriz de Referencia'!$B$2:$CO$584,70,FALSE)=0,0,"Digite"))</f>
        <v>0</v>
      </c>
      <c r="FZ20" s="454">
        <f>IF(OR('Parte Estrategica'!AT20=0,'Parte Estrategica'!AT20=""),0,IF(VLOOKUP($A20,'Matriz de Referencia'!$B$2:$CO$584,71,FALSE)=0,0,"Digite"))</f>
        <v>0</v>
      </c>
      <c r="GA20" s="454">
        <f>IF(OR('Parte Estrategica'!AT20=0,'Parte Estrategica'!AT20=""),0,IF(VLOOKUP($A20,'Matriz de Referencia'!$B$2:$CO$584,72,FALSE)=0,0,"Digite"))</f>
        <v>0</v>
      </c>
      <c r="GB20" s="454">
        <f>IF(OR('Parte Estrategica'!AT20=0,'Parte Estrategica'!AT20=""),0,IF(VLOOKUP($A20,'Matriz de Referencia'!$B$2:$CO$584,73,FALSE)=0,0,"Digite"))</f>
        <v>0</v>
      </c>
      <c r="GC20" s="454">
        <f>IF(OR('Parte Estrategica'!AT20=0,'Parte Estrategica'!AT20=""),0,IF(VLOOKUP($A20,'Matriz de Referencia'!$B$2:$CO$584,74,FALSE)=0,0,"Digite"))</f>
        <v>0</v>
      </c>
      <c r="GD20" s="382">
        <f t="shared" si="39"/>
        <v>0</v>
      </c>
      <c r="GE20" s="454">
        <f>IF(OR('Parte Estrategica'!AT20=0,'Parte Estrategica'!AT20=""),0,IF(VLOOKUP($A20,'Matriz de Referencia'!$B$2:$CO$584,76,FALSE)=0,0,"Digite"))</f>
        <v>0</v>
      </c>
      <c r="GF20" s="454">
        <f>IF(OR('Parte Estrategica'!AT20=0,'Parte Estrategica'!AT20=""),0,IF(VLOOKUP($A20,'Matriz de Referencia'!$B$2:$CO$584,77,FALSE)=0,0,"Digite"))</f>
        <v>0</v>
      </c>
      <c r="GG20" s="454">
        <f>IF(OR('Parte Estrategica'!AT20=0,'Parte Estrategica'!AT20=""),0,IF(VLOOKUP($A20,'Matriz de Referencia'!$B$2:$CO$584,78,FALSE)=0,0,"Digite"))</f>
        <v>0</v>
      </c>
      <c r="GH20" s="382">
        <f t="shared" si="40"/>
        <v>0</v>
      </c>
      <c r="GI20" s="382">
        <f t="shared" si="41"/>
        <v>0</v>
      </c>
      <c r="GJ20" s="453">
        <f>IF(OR('Parte Estrategica'!AU20=0,'Parte Estrategica'!AU20=""),0,IF(VLOOKUP($A20,'Matriz de Referencia'!$B$2:$CO$584,67,FALSE)=0,0,"Digite"))</f>
        <v>0</v>
      </c>
      <c r="GK20" s="454">
        <f>IF(OR('Parte Estrategica'!AU20=0,'Parte Estrategica'!AU20=""),0,IF(VLOOKUP($A20,'Matriz de Referencia'!$B$2:$CO$584,68,FALSE)=0,0,"Digite"))</f>
        <v>0</v>
      </c>
      <c r="GL20" s="454">
        <f>IF(OR('Parte Estrategica'!AU20=0,'Parte Estrategica'!AU20=""),0,IF(VLOOKUP($A20,'Matriz de Referencia'!$B$2:$CO$584,69,FALSE)=0,0,"Digite"))</f>
        <v>0</v>
      </c>
      <c r="GM20" s="454">
        <f>IF(OR('Parte Estrategica'!AU20=0,'Parte Estrategica'!AU20=""),0,IF(VLOOKUP($A20,'Matriz de Referencia'!$B$2:$CO$584,70,FALSE)=0,0,"Digite"))</f>
        <v>0</v>
      </c>
      <c r="GN20" s="454">
        <f>IF(OR('Parte Estrategica'!AU20=0,'Parte Estrategica'!AU20=""),0,IF(VLOOKUP($A20,'Matriz de Referencia'!$B$2:$CO$584,71,FALSE)=0,0,"Digite"))</f>
        <v>0</v>
      </c>
      <c r="GO20" s="454">
        <f>IF(OR('Parte Estrategica'!AU20=0,'Parte Estrategica'!AU20=""),0,IF(VLOOKUP($A20,'Matriz de Referencia'!$B$2:$CO$584,72,FALSE)=0,0,"Digite"))</f>
        <v>0</v>
      </c>
      <c r="GP20" s="454">
        <f>IF(OR('Parte Estrategica'!AU20=0,'Parte Estrategica'!AU20=""),0,IF(VLOOKUP($A20,'Matriz de Referencia'!$B$2:$CO$584,73,FALSE)=0,0,"Digite"))</f>
        <v>0</v>
      </c>
      <c r="GQ20" s="454">
        <f>IF(OR('Parte Estrategica'!AU20=0,'Parte Estrategica'!AU20=""),0,IF(VLOOKUP($A20,'Matriz de Referencia'!$B$2:$CO$584,74,FALSE)=0,0,"Digite"))</f>
        <v>0</v>
      </c>
      <c r="GR20" s="382">
        <f t="shared" si="42"/>
        <v>0</v>
      </c>
      <c r="GS20" s="454">
        <f>IF(OR('Parte Estrategica'!AU20=0,'Parte Estrategica'!AU20=""),0,IF(VLOOKUP($A20,'Matriz de Referencia'!$B$2:$CO$584,76,FALSE)=0,0,"Digite"))</f>
        <v>0</v>
      </c>
      <c r="GT20" s="454">
        <f>IF(OR('Parte Estrategica'!AU20=0,'Parte Estrategica'!AU20=""),0,IF(VLOOKUP($A20,'Matriz de Referencia'!$B$2:$CO$584,77,FALSE)=0,0,"Digite"))</f>
        <v>0</v>
      </c>
      <c r="GU20" s="454">
        <f>IF(OR('Parte Estrategica'!AU20=0,'Parte Estrategica'!AU20=""),0,IF(VLOOKUP($A20,'Matriz de Referencia'!$B$2:$CO$584,78,FALSE)=0,0,"Digite"))</f>
        <v>0</v>
      </c>
      <c r="GV20" s="382">
        <f t="shared" si="43"/>
        <v>0</v>
      </c>
      <c r="GW20" s="382">
        <f t="shared" si="44"/>
        <v>0</v>
      </c>
      <c r="GX20" s="453">
        <f>IF(OR('Parte Estrategica'!AV20=0,'Parte Estrategica'!AV20=""),0,IF(VLOOKUP($A20,'Matriz de Referencia'!$B$2:$CO$584,67,FALSE)=0,0,"Digite"))</f>
        <v>0</v>
      </c>
      <c r="GY20" s="454">
        <f>IF(OR('Parte Estrategica'!AV20=0,'Parte Estrategica'!AV20=""),0,IF(VLOOKUP($A20,'Matriz de Referencia'!$B$2:$CO$584,68,FALSE)=0,0,"Digite"))</f>
        <v>0</v>
      </c>
      <c r="GZ20" s="454">
        <f>IF(OR('Parte Estrategica'!AV20=0,'Parte Estrategica'!AV20=""),0,IF(VLOOKUP($A20,'Matriz de Referencia'!$B$2:$CO$584,69,FALSE)=0,0,"Digite"))</f>
        <v>0</v>
      </c>
      <c r="HA20" s="454">
        <f>IF(OR('Parte Estrategica'!AV20=0,'Parte Estrategica'!AV20=""),0,IF(VLOOKUP($A20,'Matriz de Referencia'!$B$2:$CO$584,70,FALSE)=0,0,"Digite"))</f>
        <v>0</v>
      </c>
      <c r="HB20" s="454">
        <f>IF(OR('Parte Estrategica'!AV20=0,'Parte Estrategica'!AV20=""),0,IF(VLOOKUP($A20,'Matriz de Referencia'!$B$2:$CO$584,71,FALSE)=0,0,"Digite"))</f>
        <v>0</v>
      </c>
      <c r="HC20" s="454">
        <f>IF(OR('Parte Estrategica'!AV20=0,'Parte Estrategica'!AV20=""),0,IF(VLOOKUP($A20,'Matriz de Referencia'!$B$2:$CO$584,72,FALSE)=0,0,"Digite"))</f>
        <v>0</v>
      </c>
      <c r="HD20" s="454">
        <f>IF(OR('Parte Estrategica'!AV20=0,'Parte Estrategica'!AV20=""),0,IF(VLOOKUP($A20,'Matriz de Referencia'!$B$2:$CO$584,73,FALSE)=0,0,"Digite"))</f>
        <v>0</v>
      </c>
      <c r="HE20" s="454">
        <f>IF(OR('Parte Estrategica'!AV20=0,'Parte Estrategica'!AV20=""),0,IF(VLOOKUP($A20,'Matriz de Referencia'!$B$2:$CO$584,74,FALSE)=0,0,"Digite"))</f>
        <v>0</v>
      </c>
      <c r="HF20" s="382">
        <f t="shared" si="45"/>
        <v>0</v>
      </c>
      <c r="HG20" s="454">
        <f>IF(OR('Parte Estrategica'!AV20=0,'Parte Estrategica'!AV20=""),0,IF(VLOOKUP($A20,'Matriz de Referencia'!$B$2:$CO$584,76,FALSE)=0,0,"Digite"))</f>
        <v>0</v>
      </c>
      <c r="HH20" s="454">
        <f>IF(OR('Parte Estrategica'!AV20=0,'Parte Estrategica'!AV20=""),0,IF(VLOOKUP($A20,'Matriz de Referencia'!$B$2:$CO$584,77,FALSE)=0,0,"Digite"))</f>
        <v>0</v>
      </c>
      <c r="HI20" s="454">
        <f>IF(OR('Parte Estrategica'!AV20=0,'Parte Estrategica'!AV20=""),0,IF(VLOOKUP($A20,'Matriz de Referencia'!$B$2:$CO$584,78,FALSE)=0,0,"Digite"))</f>
        <v>0</v>
      </c>
      <c r="HJ20" s="382">
        <f t="shared" si="46"/>
        <v>0</v>
      </c>
      <c r="HK20" s="382">
        <f t="shared" si="47"/>
        <v>0</v>
      </c>
      <c r="HL20" s="453">
        <f>IF(OR('Parte Estrategica'!AW20=0,'Parte Estrategica'!AW20=""),0,IF(VLOOKUP($A20,'Matriz de Referencia'!$B$2:$CO$584,67,FALSE)=0,0,"Digite"))</f>
        <v>0</v>
      </c>
      <c r="HM20" s="454">
        <f>IF(OR('Parte Estrategica'!AW20=0,'Parte Estrategica'!AW20=""),0,IF(VLOOKUP($A20,'Matriz de Referencia'!$B$2:$CO$584,68,FALSE)=0,0,"Digite"))</f>
        <v>0</v>
      </c>
      <c r="HN20" s="454">
        <f>IF(OR('Parte Estrategica'!AW20=0,'Parte Estrategica'!AW20=""),0,IF(VLOOKUP($A20,'Matriz de Referencia'!$B$2:$CO$584,69,FALSE)=0,0,"Digite"))</f>
        <v>0</v>
      </c>
      <c r="HO20" s="454">
        <f>IF(OR('Parte Estrategica'!AW20=0,'Parte Estrategica'!AW20=""),0,IF(VLOOKUP($A20,'Matriz de Referencia'!$B$2:$CO$584,70,FALSE)=0,0,"Digite"))</f>
        <v>0</v>
      </c>
      <c r="HP20" s="454">
        <f>IF(OR('Parte Estrategica'!AW20=0,'Parte Estrategica'!AW20=""),0,IF(VLOOKUP($A20,'Matriz de Referencia'!$B$2:$CO$584,71,FALSE)=0,0,"Digite"))</f>
        <v>0</v>
      </c>
      <c r="HQ20" s="454">
        <f>IF(OR('Parte Estrategica'!AW20=0,'Parte Estrategica'!AW20=""),0,IF(VLOOKUP($A20,'Matriz de Referencia'!$B$2:$CO$584,72,FALSE)=0,0,"Digite"))</f>
        <v>0</v>
      </c>
      <c r="HR20" s="454">
        <f>IF(OR('Parte Estrategica'!AW20=0,'Parte Estrategica'!AW20=""),0,IF(VLOOKUP($A20,'Matriz de Referencia'!$B$2:$CO$584,73,FALSE)=0,0,"Digite"))</f>
        <v>0</v>
      </c>
      <c r="HS20" s="454">
        <f>IF(OR('Parte Estrategica'!AW20=0,'Parte Estrategica'!AW20=""),0,IF(VLOOKUP($A20,'Matriz de Referencia'!$B$2:$CO$584,74,FALSE)=0,0,"Digite"))</f>
        <v>0</v>
      </c>
      <c r="HT20" s="382">
        <f t="shared" si="48"/>
        <v>0</v>
      </c>
      <c r="HU20" s="454">
        <f>IF(OR('Parte Estrategica'!AW20=0,'Parte Estrategica'!AW20=""),0,IF(VLOOKUP($A20,'Matriz de Referencia'!$B$2:$CO$584,76,FALSE)=0,0,"Digite"))</f>
        <v>0</v>
      </c>
      <c r="HV20" s="454">
        <f>IF(OR('Parte Estrategica'!AW20=0,'Parte Estrategica'!AW20=""),0,IF(VLOOKUP($A20,'Matriz de Referencia'!$B$2:$CO$584,77,FALSE)=0,0,"Digite"))</f>
        <v>0</v>
      </c>
      <c r="HW20" s="454">
        <f>IF(OR('Parte Estrategica'!AW20=0,'Parte Estrategica'!AW20=""),0,IF(VLOOKUP($A20,'Matriz de Referencia'!$B$2:$CO$584,78,FALSE)=0,0,"Digite"))</f>
        <v>0</v>
      </c>
      <c r="HX20" s="382">
        <f t="shared" si="49"/>
        <v>0</v>
      </c>
      <c r="HY20" s="382">
        <f t="shared" si="50"/>
        <v>0</v>
      </c>
      <c r="HZ20" s="382">
        <f t="shared" si="51"/>
        <v>0</v>
      </c>
      <c r="IA20" s="101" t="str">
        <f>IFERROR(IF(HZ20=0,"",IF(VLOOKUP($A20,'Matriz de Referencia'!$B$2:$CO$584,80,FALSE)=HZ20,"Techos ok, cotinue","Debe revisar el valor programado")),"")</f>
        <v/>
      </c>
      <c r="IB20" s="383">
        <f t="shared" si="52"/>
        <v>0</v>
      </c>
    </row>
    <row r="21" spans="1:236">
      <c r="A21" s="550" t="str">
        <f>IF('Parte Estrategica'!B21=0,"",'Parte Estrategica'!B21)</f>
        <v/>
      </c>
      <c r="B21" s="551" t="str">
        <f>IFERROR(VLOOKUP(A21,'Matriz de Referencia'!$B$2:$P$578,'Matriz de Referencia'!L$1,FALSE),"")</f>
        <v/>
      </c>
      <c r="C21" s="551" t="str">
        <f>IFERROR(VLOOKUP(A21,'Matriz de Referencia'!$B$2:$P$584,'Matriz de Referencia'!M$1,FALSE),"")</f>
        <v/>
      </c>
      <c r="D21" s="455" t="str">
        <f>IF(OR('Parte Estrategica'!AB21=0,'Parte Estrategica'!AB21=""),"",IF(VLOOKUP($A21,'Matriz de Referencia'!$B$2:$CO$584,'Matriz de Referencia'!Z$1,FALSE)=0,"","Digite"))</f>
        <v/>
      </c>
      <c r="E21" s="456">
        <f>IF(OR('Parte Estrategica'!AB21=0,'Parte Estrategica'!AB21=""),0,IF(VLOOKUP($A21,'Matriz de Referencia'!$B$2:$CO$584,26,FALSE)=0,0,"Digite"))</f>
        <v>0</v>
      </c>
      <c r="F21" s="456">
        <f>IF(OR('Parte Estrategica'!AB21=0,'Parte Estrategica'!AB21=""),0,IF(VLOOKUP($A21,'Matriz de Referencia'!$B$2:$CO$584,27,FALSE)=0,0,"Digite"))</f>
        <v>0</v>
      </c>
      <c r="G21" s="456">
        <f>IF(OR('Parte Estrategica'!AB21=0,'Parte Estrategica'!AB21=""),0,IF(VLOOKUP($A21,'Matriz de Referencia'!$B$2:$CO$584,28,FALSE)=0,0,"Digite"))</f>
        <v>0</v>
      </c>
      <c r="H21" s="456">
        <f>IF(OR('Parte Estrategica'!AB21=0,'Parte Estrategica'!AB21=""),0,IF(VLOOKUP($A21,'Matriz de Referencia'!$B$2:$CO$584,29,FALSE)=0,0,"Digite"))</f>
        <v>0</v>
      </c>
      <c r="I21" s="456">
        <f>IF(OR('Parte Estrategica'!AB21=0,'Parte Estrategica'!AB21=""),0,IF(VLOOKUP($A21,'Matriz de Referencia'!$B$2:$CO$584,30,FALSE)=0,0,"Digite"))</f>
        <v>0</v>
      </c>
      <c r="J21" s="456">
        <f>IF(OR('Parte Estrategica'!AB21=0,'Parte Estrategica'!AB21=""),0,IF(VLOOKUP($A21,'Matriz de Referencia'!$B$2:$CO$584,31,FALSE)=0,0,"Digite"))</f>
        <v>0</v>
      </c>
      <c r="K21" s="456">
        <f>IF(OR('Parte Estrategica'!AB21=0,'Parte Estrategica'!AB21=""),0,IF(VLOOKUP($A21,'Matriz de Referencia'!$B$2:$CO$584,32,FALSE)=0,0,"Digite"))</f>
        <v>0</v>
      </c>
      <c r="L21" s="460">
        <f t="shared" si="0"/>
        <v>0</v>
      </c>
      <c r="M21" s="456">
        <f>IF(OR('Parte Estrategica'!AB21=0,'Parte Estrategica'!AB21=""),0,IF(VLOOKUP($A21,'Matriz de Referencia'!$B$2:$CO$584,34,FALSE)=0,0,"Digite"))</f>
        <v>0</v>
      </c>
      <c r="N21" s="456">
        <f>IF(OR('Parte Estrategica'!AB21=0,'Parte Estrategica'!AB21=""),0,IF(VLOOKUP($A21,'Matriz de Referencia'!$B$2:$CO$584,35,FALSE)=0,0,"Digite"))</f>
        <v>0</v>
      </c>
      <c r="O21" s="456">
        <f>IF(OR('Parte Estrategica'!AB21=0,'Parte Estrategica'!AB21=""),0,IF(VLOOKUP($A21,'Matriz de Referencia'!$B$2:$CO$584,36,FALSE)=0,0,"Digite"))</f>
        <v>0</v>
      </c>
      <c r="P21" s="457">
        <f t="shared" si="1"/>
        <v>0</v>
      </c>
      <c r="Q21" s="457">
        <f t="shared" si="2"/>
        <v>0</v>
      </c>
      <c r="R21" s="455">
        <f>IF(OR('Parte Estrategica'!AC21=0,'Parte Estrategica'!AC21=""),0,IF(VLOOKUP($A21,'Matriz de Referencia'!$B$2:$CO$584,25,FALSE)=0,0,"Digite"))</f>
        <v>0</v>
      </c>
      <c r="S21" s="456">
        <f>IF(OR('Parte Estrategica'!AC21=0,'Parte Estrategica'!AC21=""),0,IF(VLOOKUP($A21,'Matriz de Referencia'!$B$2:$CO$584,26,FALSE)=0,0,"Digite"))</f>
        <v>0</v>
      </c>
      <c r="T21" s="456">
        <f>IF(OR('Parte Estrategica'!AC21=0,'Parte Estrategica'!AC21=""),0,IF(VLOOKUP($A21,'Matriz de Referencia'!$B$2:$CO$584,27,FALSE)=0,0,"Digite"))</f>
        <v>0</v>
      </c>
      <c r="U21" s="456">
        <f>IF(OR('Parte Estrategica'!AC21=0,'Parte Estrategica'!AC21=""),0,IF(VLOOKUP($A21,'Matriz de Referencia'!$B$2:$CO$584,28,FALSE)=0,0,"Digite"))</f>
        <v>0</v>
      </c>
      <c r="V21" s="456">
        <f>IF(OR('Parte Estrategica'!AC21=0,'Parte Estrategica'!AC21=""),0,IF(VLOOKUP($A21,'Matriz de Referencia'!$B$2:$CO$584,29,FALSE)=0,0,"Digite"))</f>
        <v>0</v>
      </c>
      <c r="W21" s="456">
        <f>IF(OR('Parte Estrategica'!AC21=0,'Parte Estrategica'!AC21=""),0,IF(VLOOKUP($A21,'Matriz de Referencia'!$B$2:$CO$584,30,FALSE)=0,0,"Digite"))</f>
        <v>0</v>
      </c>
      <c r="X21" s="456">
        <f>IF(OR('Parte Estrategica'!AC21=0,'Parte Estrategica'!AC21=""),0,IF(VLOOKUP($A21,'Matriz de Referencia'!$B$2:$CO$584,31,FALSE)=0,0,"Digite"))</f>
        <v>0</v>
      </c>
      <c r="Y21" s="456">
        <f>IF(OR('Parte Estrategica'!AC21=0,'Parte Estrategica'!AC21=""),0,IF(VLOOKUP($A21,'Matriz de Referencia'!$B$2:$CO$584,32,FALSE)=0,0,"Digite"))</f>
        <v>0</v>
      </c>
      <c r="Z21" s="457">
        <f t="shared" si="3"/>
        <v>0</v>
      </c>
      <c r="AA21" s="456">
        <f>IF(OR('Parte Estrategica'!AC21=0,'Parte Estrategica'!AC21=""),0,IF(VLOOKUP($A21,'Matriz de Referencia'!$B$2:$CO$584,34,FALSE)=0,0,"Digite"))</f>
        <v>0</v>
      </c>
      <c r="AB21" s="456">
        <f>IF(OR('Parte Estrategica'!AC21=0,'Parte Estrategica'!AC21=""),0,IF(VLOOKUP($A21,'Matriz de Referencia'!$B$2:$CO$584,35,FALSE)=0,0,"Digite"))</f>
        <v>0</v>
      </c>
      <c r="AC21" s="456">
        <f>IF(OR('Parte Estrategica'!AC21=0,'Parte Estrategica'!AC21=""),0,IF(VLOOKUP($A21,'Matriz de Referencia'!$B$2:$CO$584,36,FALSE)=0,0,"Digite"))</f>
        <v>0</v>
      </c>
      <c r="AD21" s="457">
        <f t="shared" si="4"/>
        <v>0</v>
      </c>
      <c r="AE21" s="457">
        <f t="shared" si="5"/>
        <v>0</v>
      </c>
      <c r="AF21" s="455">
        <f>IF(OR('Parte Estrategica'!AD21=0,'Parte Estrategica'!AD21=""),0,IF(VLOOKUP($A21,'Matriz de Referencia'!$B$2:$CO$584,25,FALSE)=0,0,"Digite"))</f>
        <v>0</v>
      </c>
      <c r="AG21" s="456">
        <f>IF(OR('Parte Estrategica'!AD21=0,'Parte Estrategica'!AD21=""),0,IF(VLOOKUP($A21,'Matriz de Referencia'!$B$2:$CO$584,26,FALSE)=0,0,"Digite"))</f>
        <v>0</v>
      </c>
      <c r="AH21" s="456">
        <f>IF(OR('Parte Estrategica'!AD21=0,'Parte Estrategica'!AD21=""),0,IF(VLOOKUP($A21,'Matriz de Referencia'!$B$2:$CO$584,27,FALSE)=0,0,"Digite"))</f>
        <v>0</v>
      </c>
      <c r="AI21" s="456">
        <f>IF(OR('Parte Estrategica'!AD21=0,'Parte Estrategica'!AD21=""),0,IF(VLOOKUP($A21,'Matriz de Referencia'!$B$2:$CO$584,28,FALSE)=0,0,"Digite"))</f>
        <v>0</v>
      </c>
      <c r="AJ21" s="456">
        <f>IF(OR('Parte Estrategica'!AD21=0,'Parte Estrategica'!AD21=""),0,IF(VLOOKUP($A21,'Matriz de Referencia'!$B$2:$CO$584,29,FALSE)=0,0,"Digite"))</f>
        <v>0</v>
      </c>
      <c r="AK21" s="456">
        <f>IF(OR('Parte Estrategica'!AD21=0,'Parte Estrategica'!AD21=""),0,IF(VLOOKUP($A21,'Matriz de Referencia'!$B$2:$CO$584,30,FALSE)=0,0,"Digite"))</f>
        <v>0</v>
      </c>
      <c r="AL21" s="456">
        <f>IF(OR('Parte Estrategica'!AD21=0,'Parte Estrategica'!AD21=""),0,IF(VLOOKUP($A21,'Matriz de Referencia'!$B$2:$CO$584,31,FALSE)=0,0,"Digite"))</f>
        <v>0</v>
      </c>
      <c r="AM21" s="456">
        <f>IF(OR('Parte Estrategica'!AD21=0,'Parte Estrategica'!AD21=""),0,IF(VLOOKUP($A21,'Matriz de Referencia'!$B$2:$CO$584,32,FALSE)=0,0,"Digite"))</f>
        <v>0</v>
      </c>
      <c r="AN21" s="457">
        <f t="shared" si="6"/>
        <v>0</v>
      </c>
      <c r="AO21" s="456">
        <f>IF(OR('Parte Estrategica'!AD21=0,'Parte Estrategica'!AD21=""),0,IF(VLOOKUP($A21,'Matriz de Referencia'!$B$2:$CO$584,34,FALSE)=0,0,"Digite"))</f>
        <v>0</v>
      </c>
      <c r="AP21" s="456">
        <f>IF(OR('Parte Estrategica'!AD21=0,'Parte Estrategica'!AD21=""),0,IF(VLOOKUP($A21,'Matriz de Referencia'!$B$2:$CO$584,35,FALSE)=0,0,"Digite"))</f>
        <v>0</v>
      </c>
      <c r="AQ21" s="456">
        <f>IF(OR('Parte Estrategica'!AD21=0,'Parte Estrategica'!AD21=""),0,IF(VLOOKUP($A21,'Matriz de Referencia'!$B$2:$CO$584,36,FALSE)=0,0,"Digite"))</f>
        <v>0</v>
      </c>
      <c r="AR21" s="457">
        <f t="shared" si="7"/>
        <v>0</v>
      </c>
      <c r="AS21" s="457">
        <f t="shared" si="8"/>
        <v>0</v>
      </c>
      <c r="AT21" s="455">
        <f>IF(OR('Parte Estrategica'!AE21=0,'Parte Estrategica'!AE21=""),0,IF(VLOOKUP($A21,'Matriz de Referencia'!$B$2:$CO$584,25,FALSE)=0,0,"Digite"))</f>
        <v>0</v>
      </c>
      <c r="AU21" s="456">
        <f>IF(OR('Parte Estrategica'!AE21=0,'Parte Estrategica'!AE21=""),0,IF(VLOOKUP($A21,'Matriz de Referencia'!$B$2:$CO$584,26,FALSE)=0,0,"Digite"))</f>
        <v>0</v>
      </c>
      <c r="AV21" s="456">
        <f>IF(OR('Parte Estrategica'!AE21=0,'Parte Estrategica'!AE21=""),0,IF(VLOOKUP($A21,'Matriz de Referencia'!$B$2:$CO$584,27,FALSE)=0,0,"Digite"))</f>
        <v>0</v>
      </c>
      <c r="AW21" s="456">
        <f>IF(OR('Parte Estrategica'!AE21=0,'Parte Estrategica'!AE21=""),0,IF(VLOOKUP($A21,'Matriz de Referencia'!$B$2:$CO$584,28,FALSE)=0,0,"Digite"))</f>
        <v>0</v>
      </c>
      <c r="AX21" s="456">
        <f>IF(OR('Parte Estrategica'!AE21=0,'Parte Estrategica'!AE21=""),0,IF(VLOOKUP($A21,'Matriz de Referencia'!$B$2:$CO$584,29,FALSE)=0,0,"Digite"))</f>
        <v>0</v>
      </c>
      <c r="AY21" s="456">
        <f>IF(OR('Parte Estrategica'!AE21=0,'Parte Estrategica'!AE21=""),0,IF(VLOOKUP($A21,'Matriz de Referencia'!$B$2:$CO$584,30,FALSE)=0,0,"Digite"))</f>
        <v>0</v>
      </c>
      <c r="AZ21" s="456">
        <f>IF(OR('Parte Estrategica'!AE21=0,'Parte Estrategica'!AE21=""),0,IF(VLOOKUP($A21,'Matriz de Referencia'!$B$2:$CO$584,31,FALSE)=0,0,"Digite"))</f>
        <v>0</v>
      </c>
      <c r="BA21" s="456">
        <f>IF(OR('Parte Estrategica'!AE21=0,'Parte Estrategica'!AE21=""),0,IF(VLOOKUP($A21,'Matriz de Referencia'!$B$2:$CO$584,32,FALSE)=0,0,"Digite"))</f>
        <v>0</v>
      </c>
      <c r="BB21" s="457">
        <f t="shared" si="9"/>
        <v>0</v>
      </c>
      <c r="BC21" s="456">
        <f>IF(OR('Parte Estrategica'!AE21=0,'Parte Estrategica'!AE21=""),0,IF(VLOOKUP($A21,'Matriz de Referencia'!$B$2:$CO$584,34,FALSE)=0,0,"Digite"))</f>
        <v>0</v>
      </c>
      <c r="BD21" s="456">
        <f>IF(OR('Parte Estrategica'!AE21=0,'Parte Estrategica'!AE21=""),0,IF(VLOOKUP($A21,'Matriz de Referencia'!$B$2:$CO$584,35,FALSE)=0,0,"Digite"))</f>
        <v>0</v>
      </c>
      <c r="BE21" s="456">
        <f>IF(OR('Parte Estrategica'!AE21=0,'Parte Estrategica'!AE21=""),0,IF(VLOOKUP($A21,'Matriz de Referencia'!$B$2:$CO$584,36,FALSE)=0,0,"Digite"))</f>
        <v>0</v>
      </c>
      <c r="BF21" s="457">
        <f t="shared" si="10"/>
        <v>0</v>
      </c>
      <c r="BG21" s="457">
        <f t="shared" si="11"/>
        <v>0</v>
      </c>
      <c r="BH21" s="457">
        <f t="shared" si="12"/>
        <v>0</v>
      </c>
      <c r="BI21" s="101" t="str">
        <f>IFERROR(IF(BH21=0,"",IF(VLOOKUP($A21,'Matriz de Referencia'!$B$2:$CO$584,'Matriz de Referencia'!AM$1,FALSE)=BH21,"Techos ok, cotinue","Debe revisar el valor programado")),"")</f>
        <v/>
      </c>
      <c r="BJ21" s="453">
        <f>IF(OR('Parte Estrategica'!AH21=0,'Parte Estrategica'!AH21=""),0,IF(VLOOKUP($A21,'Matriz de Referencia'!$B$2:$CO$584,39,FALSE)=0,0,"Digite"))</f>
        <v>0</v>
      </c>
      <c r="BK21" s="454">
        <f>IF(OR('Parte Estrategica'!AH21=0,'Parte Estrategica'!AH21=""),0,IF(VLOOKUP($A21,'Matriz de Referencia'!$B$2:$CO$584,40,FALSE)=0,0,"Digite"))</f>
        <v>0</v>
      </c>
      <c r="BL21" s="454">
        <f>IF(OR('Parte Estrategica'!AH21=0,'Parte Estrategica'!AH21=""),0,IF(VLOOKUP($A21,'Matriz de Referencia'!$B$2:$CO$584,41,FALSE)=0,0,"Digite"))</f>
        <v>0</v>
      </c>
      <c r="BM21" s="454">
        <f>IF(OR('Parte Estrategica'!AH21=0,'Parte Estrategica'!AH21=""),0,IF(VLOOKUP($A21,'Matriz de Referencia'!$B$2:$CO$584,42,FALSE)=0,0,"Digite"))</f>
        <v>0</v>
      </c>
      <c r="BN21" s="454">
        <f>IF(OR('Parte Estrategica'!AH21=0,'Parte Estrategica'!AH21=""),0,IF(VLOOKUP($A21,'Matriz de Referencia'!$B$2:$CO$584,43,FALSE)=0,0,"Digite"))</f>
        <v>0</v>
      </c>
      <c r="BO21" s="454">
        <f>IF(OR('Parte Estrategica'!AH21=0,'Parte Estrategica'!AH21=""),0,IF(VLOOKUP($A21,'Matriz de Referencia'!$B$2:$CO$584,44,FALSE)=0,0,"Digite"))</f>
        <v>0</v>
      </c>
      <c r="BP21" s="454">
        <f>IF(OR('Parte Estrategica'!AH21=0,'Parte Estrategica'!AH21=""),0,IF(VLOOKUP($A21,'Matriz de Referencia'!$B$2:$CO$584,45,FALSE)=0,0,"Digite"))</f>
        <v>0</v>
      </c>
      <c r="BQ21" s="454">
        <f>IF(OR('Parte Estrategica'!AH21=0,'Parte Estrategica'!AH21=""),0,IF(VLOOKUP($A21,'Matriz de Referencia'!$B$2:$CO$584,46,FALSE)=0,0,"Digite"))</f>
        <v>0</v>
      </c>
      <c r="BR21" s="382">
        <f t="shared" si="13"/>
        <v>0</v>
      </c>
      <c r="BS21" s="454">
        <f>IF(OR('Parte Estrategica'!CL21=0,'Parte Estrategica'!CL21=""),0,IF(VLOOKUP($A21,'Matriz de Referencia'!$B$2:$CO$584,48,FALSE)=0,0,"Digite"))</f>
        <v>0</v>
      </c>
      <c r="BT21" s="454">
        <f>IF(OR('Parte Estrategica'!CL21=0,'Parte Estrategica'!CL21=""),0,IF(VLOOKUP($A21,'Matriz de Referencia'!$B$2:$CO$584,49,FALSE)=0,0,"Digite"))</f>
        <v>0</v>
      </c>
      <c r="BU21" s="454">
        <f>IF(OR('Parte Estrategica'!CL21=0,'Parte Estrategica'!CL21=""),0,IF(VLOOKUP($A21,'Matriz de Referencia'!$B$2:$CO$584,50,FALSE)=0,0,"Digite"))</f>
        <v>0</v>
      </c>
      <c r="BV21" s="382">
        <f t="shared" si="14"/>
        <v>0</v>
      </c>
      <c r="BW21" s="382">
        <f t="shared" si="15"/>
        <v>0</v>
      </c>
      <c r="BX21" s="453">
        <f>IF(OR('Parte Estrategica'!AI21=0,'Parte Estrategica'!AI21=""),0,IF(VLOOKUP($A21,'Matriz de Referencia'!$B$2:$CO$584,39,FALSE)=0,0,"Digite"))</f>
        <v>0</v>
      </c>
      <c r="BY21" s="454">
        <f>IF(OR('Parte Estrategica'!AI21=0,'Parte Estrategica'!AI21=""),0,IF(VLOOKUP($A21,'Matriz de Referencia'!$B$2:$CO$584,40,FALSE)=0,0,"Digite"))</f>
        <v>0</v>
      </c>
      <c r="BZ21" s="454">
        <f>IF(OR('Parte Estrategica'!AI21=0,'Parte Estrategica'!AI21=""),0,IF(VLOOKUP($A21,'Matriz de Referencia'!$B$2:$CO$584,41,FALSE)=0,0,"Digite"))</f>
        <v>0</v>
      </c>
      <c r="CA21" s="454">
        <f>IF(OR('Parte Estrategica'!AI21=0,'Parte Estrategica'!AI21=""),0,IF(VLOOKUP($A21,'Matriz de Referencia'!$B$2:$CO$584,42,FALSE)=0,0,"Digite"))</f>
        <v>0</v>
      </c>
      <c r="CB21" s="454">
        <f>IF(OR('Parte Estrategica'!AI21=0,'Parte Estrategica'!AI21=""),0,IF(VLOOKUP($A21,'Matriz de Referencia'!$B$2:$CO$584,43,FALSE)=0,0,"Digite"))</f>
        <v>0</v>
      </c>
      <c r="CC21" s="454">
        <f>IF(OR('Parte Estrategica'!AI21=0,'Parte Estrategica'!AI21=""),0,IF(VLOOKUP($A21,'Matriz de Referencia'!$B$2:$CO$584,44,FALSE)=0,0,"Digite"))</f>
        <v>0</v>
      </c>
      <c r="CD21" s="454">
        <f>IF(OR('Parte Estrategica'!AI21=0,'Parte Estrategica'!AI21=""),0,IF(VLOOKUP($A21,'Matriz de Referencia'!$B$2:$CO$584,45,FALSE)=0,0,"Digite"))</f>
        <v>0</v>
      </c>
      <c r="CE21" s="454">
        <f>IF(OR('Parte Estrategica'!AI21=0,'Parte Estrategica'!AI21=""),0,IF(VLOOKUP($A21,'Matriz de Referencia'!$B$2:$CO$584,46,FALSE)=0,0,"Digite"))</f>
        <v>0</v>
      </c>
      <c r="CF21" s="382">
        <f t="shared" si="16"/>
        <v>0</v>
      </c>
      <c r="CG21" s="454">
        <f>IF(OR('Parte Estrategica'!AI21=0,'Parte Estrategica'!AI21=""),0,IF(VLOOKUP($A21,'Matriz de Referencia'!$B$2:$CO$584,48,FALSE)=0,0,"Digite"))</f>
        <v>0</v>
      </c>
      <c r="CH21" s="454">
        <f>IF(OR('Parte Estrategica'!AI21=0,'Parte Estrategica'!AI21=""),0,IF(VLOOKUP($A21,'Matriz de Referencia'!$B$2:$CO$584,49,FALSE)=0,0,"Digite"))</f>
        <v>0</v>
      </c>
      <c r="CI21" s="454">
        <f>IF(OR('Parte Estrategica'!AI21=0,'Parte Estrategica'!AI21=""),0,IF(VLOOKUP($A21,'Matriz de Referencia'!$B$2:$CO$584,50,FALSE)=0,0,"Digite"))</f>
        <v>0</v>
      </c>
      <c r="CJ21" s="382">
        <f t="shared" si="17"/>
        <v>0</v>
      </c>
      <c r="CK21" s="382">
        <f t="shared" si="18"/>
        <v>0</v>
      </c>
      <c r="CL21" s="453">
        <f>IF(OR('Parte Estrategica'!AJ21=0,'Parte Estrategica'!AJ21=""),0,IF(VLOOKUP($A21,'Matriz de Referencia'!$B$2:$CO$584,39,FALSE)=0,0,"Digite"))</f>
        <v>0</v>
      </c>
      <c r="CM21" s="454">
        <f>IF(OR('Parte Estrategica'!AJ21=0,'Parte Estrategica'!AJ21=""),0,IF(VLOOKUP($A21,'Matriz de Referencia'!$B$2:$CO$584,40,FALSE)=0,0,"Digite"))</f>
        <v>0</v>
      </c>
      <c r="CN21" s="454">
        <f>IF(OR('Parte Estrategica'!AJ21=0,'Parte Estrategica'!AJ21=""),0,IF(VLOOKUP($A21,'Matriz de Referencia'!$B$2:$CO$584,41,FALSE)=0,0,"Digite"))</f>
        <v>0</v>
      </c>
      <c r="CO21" s="454">
        <f>IF(OR('Parte Estrategica'!AJ21=0,'Parte Estrategica'!AJ21=""),0,IF(VLOOKUP($A21,'Matriz de Referencia'!$B$2:$CO$584,42,FALSE)=0,0,"Digite"))</f>
        <v>0</v>
      </c>
      <c r="CP21" s="454">
        <f>IF(OR('Parte Estrategica'!AJ21=0,'Parte Estrategica'!AJ21=""),0,IF(VLOOKUP($A21,'Matriz de Referencia'!$B$2:$CO$584,43,FALSE)=0,0,"Digite"))</f>
        <v>0</v>
      </c>
      <c r="CQ21" s="454">
        <f>IF(OR('Parte Estrategica'!AJ21=0,'Parte Estrategica'!AJ21=""),0,IF(VLOOKUP($A21,'Matriz de Referencia'!$B$2:$CO$584,44,FALSE)=0,0,"Digite"))</f>
        <v>0</v>
      </c>
      <c r="CR21" s="454">
        <f>IF(OR('Parte Estrategica'!AJ21=0,'Parte Estrategica'!AJ21=""),0,IF(VLOOKUP($A21,'Matriz de Referencia'!$B$2:$CO$584,45,FALSE)=0,0,"Digite"))</f>
        <v>0</v>
      </c>
      <c r="CS21" s="454">
        <f>IF(OR('Parte Estrategica'!AJ21=0,'Parte Estrategica'!AJ21=""),0,IF(VLOOKUP($A21,'Matriz de Referencia'!$B$2:$CO$584,46,FALSE)=0,0,"Digite"))</f>
        <v>0</v>
      </c>
      <c r="CT21" s="382">
        <f t="shared" si="19"/>
        <v>0</v>
      </c>
      <c r="CU21" s="454">
        <f>IF(OR('Parte Estrategica'!AJ21=0,'Parte Estrategica'!AJ21=""),0,IF(VLOOKUP($A21,'Matriz de Referencia'!$B$2:$CO$584,48,FALSE)=0,0,"Digite"))</f>
        <v>0</v>
      </c>
      <c r="CV21" s="454">
        <f>IF(OR('Parte Estrategica'!AJ21=0,'Parte Estrategica'!AJ21=""),0,IF(VLOOKUP($A21,'Matriz de Referencia'!$B$2:$CO$584,49,FALSE)=0,0,"Digite"))</f>
        <v>0</v>
      </c>
      <c r="CW21" s="454">
        <f>IF(OR('Parte Estrategica'!AJ21=0,'Parte Estrategica'!AJ21=""),0,IF(VLOOKUP($A21,'Matriz de Referencia'!$B$2:$CO$584,50,FALSE)=0,0,"Digite"))</f>
        <v>0</v>
      </c>
      <c r="CX21" s="382">
        <f t="shared" si="20"/>
        <v>0</v>
      </c>
      <c r="CY21" s="382">
        <f t="shared" si="21"/>
        <v>0</v>
      </c>
      <c r="CZ21" s="453">
        <f>IF(OR('Parte Estrategica'!AK21=0,'Parte Estrategica'!AK21=""),0,IF(VLOOKUP($A21,'Matriz de Referencia'!$B$2:$CO$584,39,FALSE)=0,0,"Digite"))</f>
        <v>0</v>
      </c>
      <c r="DA21" s="454">
        <f>IF(OR('Parte Estrategica'!AK21=0,'Parte Estrategica'!AK21=""),0,IF(VLOOKUP($A21,'Matriz de Referencia'!$B$2:$CO$584,40,FALSE)=0,0,"Digite"))</f>
        <v>0</v>
      </c>
      <c r="DB21" s="454">
        <f>IF(OR('Parte Estrategica'!AK21=0,'Parte Estrategica'!AK21=""),0,IF(VLOOKUP($A21,'Matriz de Referencia'!$B$2:$CO$584,41,FALSE)=0,0,"Digite"))</f>
        <v>0</v>
      </c>
      <c r="DC21" s="454">
        <f>IF(OR('Parte Estrategica'!AK21=0,'Parte Estrategica'!AK21=""),0,IF(VLOOKUP($A21,'Matriz de Referencia'!$B$2:$CO$584,42,FALSE)=0,0,"Digite"))</f>
        <v>0</v>
      </c>
      <c r="DD21" s="454">
        <f>IF(OR('Parte Estrategica'!AK21=0,'Parte Estrategica'!AK21=""),0,IF(VLOOKUP($A21,'Matriz de Referencia'!$B$2:$CO$584,43,FALSE)=0,0,"Digite"))</f>
        <v>0</v>
      </c>
      <c r="DE21" s="454">
        <f>IF(OR('Parte Estrategica'!AK21=0,'Parte Estrategica'!AK21=""),0,IF(VLOOKUP($A21,'Matriz de Referencia'!$B$2:$CO$584,44,FALSE)=0,0,"Digite"))</f>
        <v>0</v>
      </c>
      <c r="DF21" s="454">
        <f>IF(OR('Parte Estrategica'!AK21=0,'Parte Estrategica'!AK21=""),0,IF(VLOOKUP($A21,'Matriz de Referencia'!$B$2:$CO$584,45,FALSE)=0,0,"Digite"))</f>
        <v>0</v>
      </c>
      <c r="DG21" s="454">
        <f>IF(OR('Parte Estrategica'!AK21=0,'Parte Estrategica'!AK21=""),0,IF(VLOOKUP($A21,'Matriz de Referencia'!$B$2:$CO$584,46,FALSE)=0,0,"Digite"))</f>
        <v>0</v>
      </c>
      <c r="DH21" s="382">
        <f t="shared" si="22"/>
        <v>0</v>
      </c>
      <c r="DI21" s="454">
        <f>IF(OR('Parte Estrategica'!AK21=0,'Parte Estrategica'!AK21=""),0,IF(VLOOKUP($A21,'Matriz de Referencia'!$B$2:$CO$584,48,FALSE)=0,0,"Digite"))</f>
        <v>0</v>
      </c>
      <c r="DJ21" s="454">
        <f>IF(OR('Parte Estrategica'!AK21=0,'Parte Estrategica'!AK21=""),0,IF(VLOOKUP($A21,'Matriz de Referencia'!$B$2:$CO$584,49,FALSE)=0,0,"Digite"))</f>
        <v>0</v>
      </c>
      <c r="DK21" s="454">
        <f>IF(OR('Parte Estrategica'!AK21=0,'Parte Estrategica'!AK21=""),0,IF(VLOOKUP($A21,'Matriz de Referencia'!$B$2:$CO$584,50,FALSE)=0,0,"Digite"))</f>
        <v>0</v>
      </c>
      <c r="DL21" s="382">
        <f t="shared" si="23"/>
        <v>0</v>
      </c>
      <c r="DM21" s="382">
        <f t="shared" si="24"/>
        <v>0</v>
      </c>
      <c r="DN21" s="382">
        <f t="shared" si="25"/>
        <v>0</v>
      </c>
      <c r="DO21" s="101" t="str">
        <f>IFERROR(IF(DN21=0,"",IF(VLOOKUP($A21,'Matriz de Referencia'!$B$2:$CO$584,52,FALSE)=DN21,"Techos ok, cotinue","Debe revisar el valor programado")),"")</f>
        <v/>
      </c>
      <c r="DP21" s="453">
        <f>IF(OR('Parte Estrategica'!AN21=0,'Parte Estrategica'!AN21=""),0,IF(VLOOKUP($A21,'Matriz de Referencia'!$B$2:$CO$584,53,FALSE)=0,0,"Digite"))</f>
        <v>0</v>
      </c>
      <c r="DQ21" s="454">
        <f>IF(OR('Parte Estrategica'!AN21=0,'Parte Estrategica'!AN21=""),0,IF(VLOOKUP($A21,'Matriz de Referencia'!$B$2:$CO$584,54,FALSE)=0,0,"Digite"))</f>
        <v>0</v>
      </c>
      <c r="DR21" s="454">
        <f>IF(OR('Parte Estrategica'!AN21=0,'Parte Estrategica'!AN21=""),0,IF(VLOOKUP($A21,'Matriz de Referencia'!$B$2:$CO$584,55,FALSE)=0,0,"Digite"))</f>
        <v>0</v>
      </c>
      <c r="DS21" s="454">
        <f>IF(OR('Parte Estrategica'!AN21=0,'Parte Estrategica'!AN21=""),0,IF(VLOOKUP($A21,'Matriz de Referencia'!$B$2:$CO$584,56,FALSE)=0,0,"Digite"))</f>
        <v>0</v>
      </c>
      <c r="DT21" s="454">
        <f>IF(OR('Parte Estrategica'!AN21=0,'Parte Estrategica'!AN21=""),0,IF(VLOOKUP($A21,'Matriz de Referencia'!$B$2:$CO$584,57,FALSE)=0,0,"Digite"))</f>
        <v>0</v>
      </c>
      <c r="DU21" s="454">
        <f>IF(OR('Parte Estrategica'!AN21=0,'Parte Estrategica'!AN21=""),0,IF(VLOOKUP($A21,'Matriz de Referencia'!$B$2:$CO$584,58,FALSE)=0,0,"Digite"))</f>
        <v>0</v>
      </c>
      <c r="DV21" s="454">
        <f>IF(OR('Parte Estrategica'!AN21=0,'Parte Estrategica'!AN21=""),0,IF(VLOOKUP($A21,'Matriz de Referencia'!$B$2:$CO$584,59,FALSE)=0,0,"Digite"))</f>
        <v>0</v>
      </c>
      <c r="DW21" s="454">
        <f>IF(OR('Parte Estrategica'!AN21=0,'Parte Estrategica'!AN21=""),0,IF(VLOOKUP($A21,'Matriz de Referencia'!$B$2:$CO$584,60,FALSE)=0,0,"Digite"))</f>
        <v>0</v>
      </c>
      <c r="DX21" s="382">
        <f t="shared" si="26"/>
        <v>0</v>
      </c>
      <c r="DY21" s="454">
        <f>IF(OR('Parte Estrategica'!AN21=0,'Parte Estrategica'!AN21=""),0,IF(VLOOKUP($A21,'Matriz de Referencia'!$B$2:$CO$584,62,FALSE)=0,0,"Digite"))</f>
        <v>0</v>
      </c>
      <c r="DZ21" s="454">
        <f>IF(OR('Parte Estrategica'!AN21=0,'Parte Estrategica'!AN21=""),0,IF(VLOOKUP($A21,'Matriz de Referencia'!$B$2:$CO$584,63,FALSE)=0,0,"Digite"))</f>
        <v>0</v>
      </c>
      <c r="EA21" s="454" t="str">
        <f>IF(OR('Parte Estrategica'!AN21=0,'Parte Estrategica'!AN21=""),"",IF(VLOOKUP($A21,'Matriz de Referencia'!$B$2:$CO$584,64,FALSE)=0,"","Digite"))</f>
        <v/>
      </c>
      <c r="EB21" s="382">
        <f t="shared" si="27"/>
        <v>0</v>
      </c>
      <c r="EC21" s="382">
        <f t="shared" si="28"/>
        <v>0</v>
      </c>
      <c r="ED21" s="453">
        <f>IF(OR('Parte Estrategica'!AO21=0,'Parte Estrategica'!AO21=""),0,IF(VLOOKUP($A21,'Matriz de Referencia'!$B$2:$CO$584,53,FALSE)=0,0,"Digite"))</f>
        <v>0</v>
      </c>
      <c r="EE21" s="454">
        <f>IF(OR('Parte Estrategica'!AO21=0,'Parte Estrategica'!AO21=""),0,IF(VLOOKUP($A21,'Matriz de Referencia'!$B$2:$CO$584,54,FALSE)=0,0,"Digite"))</f>
        <v>0</v>
      </c>
      <c r="EF21" s="454">
        <f>IF(OR('Parte Estrategica'!AO21=0,'Parte Estrategica'!AO21=""),0,IF(VLOOKUP($A21,'Matriz de Referencia'!$B$2:$CO$584,55,FALSE)=0,0,"Digite"))</f>
        <v>0</v>
      </c>
      <c r="EG21" s="454">
        <f>IF(OR('Parte Estrategica'!AO21=0,'Parte Estrategica'!AO21=""),0,IF(VLOOKUP($A21,'Matriz de Referencia'!$B$2:$CO$584,56,FALSE)=0,0,"Digite"))</f>
        <v>0</v>
      </c>
      <c r="EH21" s="454">
        <f>IF(OR('Parte Estrategica'!AO21=0,'Parte Estrategica'!AO21=""),0,IF(VLOOKUP($A21,'Matriz de Referencia'!$B$2:$CO$584,57,FALSE)=0,0,"Digite"))</f>
        <v>0</v>
      </c>
      <c r="EI21" s="454">
        <f>IF(OR('Parte Estrategica'!AO21=0,'Parte Estrategica'!AO21=""),0,IF(VLOOKUP($A21,'Matriz de Referencia'!$B$2:$CO$584,58,FALSE)=0,0,"Digite"))</f>
        <v>0</v>
      </c>
      <c r="EJ21" s="454">
        <f>IF(OR('Parte Estrategica'!AO21=0,'Parte Estrategica'!AO21=""),0,IF(VLOOKUP($A21,'Matriz de Referencia'!$B$2:$CO$584,59,FALSE)=0,0,"Digite"))</f>
        <v>0</v>
      </c>
      <c r="EK21" s="454">
        <f>IF(OR('Parte Estrategica'!AO21=0,'Parte Estrategica'!AO21=""),0,IF(VLOOKUP($A21,'Matriz de Referencia'!$B$2:$CO$584,60,FALSE)=0,0,"Digite"))</f>
        <v>0</v>
      </c>
      <c r="EL21" s="382">
        <f t="shared" si="29"/>
        <v>0</v>
      </c>
      <c r="EM21" s="454">
        <f>IF(OR('Parte Estrategica'!AO21=0,'Parte Estrategica'!AO21=""),0,IF(VLOOKUP($A21,'Matriz de Referencia'!$B$2:$CO$584,62,FALSE)=0,0,"Digite"))</f>
        <v>0</v>
      </c>
      <c r="EN21" s="454">
        <f>IF(OR('Parte Estrategica'!AO21=0,'Parte Estrategica'!AO21=""),0,IF(VLOOKUP($A21,'Matriz de Referencia'!$B$2:$CO$584,63,FALSE)=0,0,"Digite"))</f>
        <v>0</v>
      </c>
      <c r="EO21" s="454">
        <f>IF(OR('Parte Estrategica'!AO21=0,'Parte Estrategica'!AO21=""),0,IF(VLOOKUP($A21,'Matriz de Referencia'!$B$2:$CO$584,64,FALSE)=0,0,"Digite"))</f>
        <v>0</v>
      </c>
      <c r="EP21" s="382">
        <f t="shared" si="30"/>
        <v>0</v>
      </c>
      <c r="EQ21" s="382">
        <f t="shared" si="31"/>
        <v>0</v>
      </c>
      <c r="ER21" s="453">
        <f>IF(OR('Parte Estrategica'!AP21=0,'Parte Estrategica'!AP21=""),0,IF(VLOOKUP($A21,'Matriz de Referencia'!$B$2:$CO$584,53,FALSE)=0,0,"Digite"))</f>
        <v>0</v>
      </c>
      <c r="ES21" s="454">
        <f>IF(OR('Parte Estrategica'!AP21=0,'Parte Estrategica'!AP21=""),0,IF(VLOOKUP($A21,'Matriz de Referencia'!$B$2:$CO$584,54,FALSE)=0,0,"Digite"))</f>
        <v>0</v>
      </c>
      <c r="ET21" s="454">
        <f>IF(OR('Parte Estrategica'!AP21=0,'Parte Estrategica'!AP21=""),0,IF(VLOOKUP($A21,'Matriz de Referencia'!$B$2:$CO$584,55,FALSE)=0,0,"Digite"))</f>
        <v>0</v>
      </c>
      <c r="EU21" s="454">
        <f>IF(OR('Parte Estrategica'!AP21=0,'Parte Estrategica'!AP21=""),0,IF(VLOOKUP($A21,'Matriz de Referencia'!$B$2:$CO$584,56,FALSE)=0,0,"Digite"))</f>
        <v>0</v>
      </c>
      <c r="EV21" s="454">
        <f>IF(OR('Parte Estrategica'!AP21=0,'Parte Estrategica'!AP21=""),0,IF(VLOOKUP($A21,'Matriz de Referencia'!$B$2:$CO$584,57,FALSE)=0,0,"Digite"))</f>
        <v>0</v>
      </c>
      <c r="EW21" s="454">
        <f>IF(OR('Parte Estrategica'!AP21=0,'Parte Estrategica'!AP21=""),0,IF(VLOOKUP($A21,'Matriz de Referencia'!$B$2:$CO$584,58,FALSE)=0,0,"Digite"))</f>
        <v>0</v>
      </c>
      <c r="EX21" s="454">
        <f>IF(OR('Parte Estrategica'!AP21=0,'Parte Estrategica'!AP21=""),0,IF(VLOOKUP($A21,'Matriz de Referencia'!$B$2:$CO$584,59,FALSE)=0,0,"Digite"))</f>
        <v>0</v>
      </c>
      <c r="EY21" s="454">
        <f>IF(OR('Parte Estrategica'!AP21=0,'Parte Estrategica'!AP21=""),0,IF(VLOOKUP($A21,'Matriz de Referencia'!$B$2:$CO$584,60,FALSE)=0,0,"Digite"))</f>
        <v>0</v>
      </c>
      <c r="EZ21" s="382">
        <f t="shared" si="32"/>
        <v>0</v>
      </c>
      <c r="FA21" s="454">
        <f>IF(OR('Parte Estrategica'!AP21=0,'Parte Estrategica'!AP21=""),0,IF(VLOOKUP($A21,'Matriz de Referencia'!$B$2:$CO$584,62,FALSE)=0,0,"Digite"))</f>
        <v>0</v>
      </c>
      <c r="FB21" s="454">
        <f>IF(OR('Parte Estrategica'!AP21=0,'Parte Estrategica'!AP21=""),0,IF(VLOOKUP($A21,'Matriz de Referencia'!$B$2:$CO$584,63,FALSE)=0,0,"Digite"))</f>
        <v>0</v>
      </c>
      <c r="FC21" s="454">
        <f>IF(OR('Parte Estrategica'!AP21=0,'Parte Estrategica'!AP21=""),0,IF(VLOOKUP($A21,'Matriz de Referencia'!$B$2:$CO$584,64,FALSE)=0,0,"Digite"))</f>
        <v>0</v>
      </c>
      <c r="FD21" s="382">
        <f t="shared" si="33"/>
        <v>0</v>
      </c>
      <c r="FE21" s="382">
        <f t="shared" si="34"/>
        <v>0</v>
      </c>
      <c r="FF21" s="453">
        <f>IF(OR('Parte Estrategica'!AQ21=0,'Parte Estrategica'!AQ21=""),0,IF(VLOOKUP($A21,'Matriz de Referencia'!$B$2:$CO$584,53,FALSE)=0,0,"Digite"))</f>
        <v>0</v>
      </c>
      <c r="FG21" s="454">
        <f>IF(OR('Parte Estrategica'!AQ21=0,'Parte Estrategica'!AQ21=""),0,IF(VLOOKUP($A21,'Matriz de Referencia'!$B$2:$CO$584,54,FALSE)=0,0,"Digite"))</f>
        <v>0</v>
      </c>
      <c r="FH21" s="454">
        <f>IF(OR('Parte Estrategica'!AQ21=0,'Parte Estrategica'!AQ21=""),0,IF(VLOOKUP($A21,'Matriz de Referencia'!$B$2:$CO$584,55,FALSE)=0,0,"Digite"))</f>
        <v>0</v>
      </c>
      <c r="FI21" s="454">
        <f>IF(OR('Parte Estrategica'!AQ21=0,'Parte Estrategica'!AQ21=""),0,IF(VLOOKUP($A21,'Matriz de Referencia'!$B$2:$CO$584,56,FALSE)=0,0,"Digite"))</f>
        <v>0</v>
      </c>
      <c r="FJ21" s="454">
        <f>IF(OR('Parte Estrategica'!AQ21=0,'Parte Estrategica'!AQ21=""),0,IF(VLOOKUP($A21,'Matriz de Referencia'!$B$2:$CO$584,57,FALSE)=0,0,"Digite"))</f>
        <v>0</v>
      </c>
      <c r="FK21" s="454">
        <f>IF(OR('Parte Estrategica'!AQ21=0,'Parte Estrategica'!AQ21=""),0,IF(VLOOKUP($A21,'Matriz de Referencia'!$B$2:$CO$584,58,FALSE)=0,0,"Digite"))</f>
        <v>0</v>
      </c>
      <c r="FL21" s="454">
        <f>IF(OR('Parte Estrategica'!AQ21=0,'Parte Estrategica'!AQ21=""),0,IF(VLOOKUP($A21,'Matriz de Referencia'!$B$2:$CO$584,59,FALSE)=0,0,"Digite"))</f>
        <v>0</v>
      </c>
      <c r="FM21" s="454">
        <f>IF(OR('Parte Estrategica'!AQ21=0,'Parte Estrategica'!AQ21=""),0,IF(VLOOKUP($A21,'Matriz de Referencia'!$B$2:$CO$584,60,FALSE)=0,0,"Digite"))</f>
        <v>0</v>
      </c>
      <c r="FN21" s="382">
        <f t="shared" si="35"/>
        <v>0</v>
      </c>
      <c r="FO21" s="454">
        <f>IF(OR('Parte Estrategica'!AQ21=0,'Parte Estrategica'!AQ21=""),0,IF(VLOOKUP($A21,'Matriz de Referencia'!$B$2:$CO$584,62,FALSE)=0,0,"Digite"))</f>
        <v>0</v>
      </c>
      <c r="FP21" s="454">
        <f>IF(OR('Parte Estrategica'!AQ21=0,'Parte Estrategica'!AQ21=""),0,IF(VLOOKUP($A21,'Matriz de Referencia'!$B$2:$CO$584,63,FALSE)=0,0,"Digite"))</f>
        <v>0</v>
      </c>
      <c r="FQ21" s="454">
        <f>IF(OR('Parte Estrategica'!AQ21=0,'Parte Estrategica'!AQ21=""),0,IF(VLOOKUP($A21,'Matriz de Referencia'!$B$2:$CO$584,64,FALSE)=0,0,"Digite"))</f>
        <v>0</v>
      </c>
      <c r="FR21" s="382">
        <f t="shared" si="36"/>
        <v>0</v>
      </c>
      <c r="FS21" s="382">
        <f t="shared" si="37"/>
        <v>0</v>
      </c>
      <c r="FT21" s="382">
        <f t="shared" si="38"/>
        <v>0</v>
      </c>
      <c r="FU21" s="101" t="str">
        <f>IFERROR(IF(FT21=0,"",IF(VLOOKUP($A21,'Matriz de Referencia'!$B$2:$CO$584,66,FALSE)=FT21,"Techos ok, cotinue","Debe revisar el valor programado")),"")</f>
        <v/>
      </c>
      <c r="FV21" s="453">
        <f>IF(OR('Parte Estrategica'!AT21=0,'Parte Estrategica'!AT21=""),0,IF(VLOOKUP($A21,'Matriz de Referencia'!$B$2:$CO$584,67,FALSE)=0,0,"Digite"))</f>
        <v>0</v>
      </c>
      <c r="FW21" s="454">
        <f>IF(OR('Parte Estrategica'!AT21=0,'Parte Estrategica'!AT21=""),0,IF(VLOOKUP($A21,'Matriz de Referencia'!$B$2:$CO$584,68,FALSE)=0,0,"Digite"))</f>
        <v>0</v>
      </c>
      <c r="FX21" s="454">
        <f>IF(OR('Parte Estrategica'!AT21=0,'Parte Estrategica'!AT21=""),0,IF(VLOOKUP($A21,'Matriz de Referencia'!$B$2:$CO$584,69,FALSE)=0,0,"Digite"))</f>
        <v>0</v>
      </c>
      <c r="FY21" s="454">
        <f>IF(OR('Parte Estrategica'!AT21=0,'Parte Estrategica'!AT21=""),0,IF(VLOOKUP($A21,'Matriz de Referencia'!$B$2:$CO$584,70,FALSE)=0,0,"Digite"))</f>
        <v>0</v>
      </c>
      <c r="FZ21" s="454">
        <f>IF(OR('Parte Estrategica'!AT21=0,'Parte Estrategica'!AT21=""),0,IF(VLOOKUP($A21,'Matriz de Referencia'!$B$2:$CO$584,71,FALSE)=0,0,"Digite"))</f>
        <v>0</v>
      </c>
      <c r="GA21" s="454">
        <f>IF(OR('Parte Estrategica'!AT21=0,'Parte Estrategica'!AT21=""),0,IF(VLOOKUP($A21,'Matriz de Referencia'!$B$2:$CO$584,72,FALSE)=0,0,"Digite"))</f>
        <v>0</v>
      </c>
      <c r="GB21" s="454">
        <f>IF(OR('Parte Estrategica'!AT21=0,'Parte Estrategica'!AT21=""),0,IF(VLOOKUP($A21,'Matriz de Referencia'!$B$2:$CO$584,73,FALSE)=0,0,"Digite"))</f>
        <v>0</v>
      </c>
      <c r="GC21" s="454">
        <f>IF(OR('Parte Estrategica'!AT21=0,'Parte Estrategica'!AT21=""),0,IF(VLOOKUP($A21,'Matriz de Referencia'!$B$2:$CO$584,74,FALSE)=0,0,"Digite"))</f>
        <v>0</v>
      </c>
      <c r="GD21" s="382">
        <f t="shared" si="39"/>
        <v>0</v>
      </c>
      <c r="GE21" s="454">
        <f>IF(OR('Parte Estrategica'!AT21=0,'Parte Estrategica'!AT21=""),0,IF(VLOOKUP($A21,'Matriz de Referencia'!$B$2:$CO$584,76,FALSE)=0,0,"Digite"))</f>
        <v>0</v>
      </c>
      <c r="GF21" s="454">
        <f>IF(OR('Parte Estrategica'!AT21=0,'Parte Estrategica'!AT21=""),0,IF(VLOOKUP($A21,'Matriz de Referencia'!$B$2:$CO$584,77,FALSE)=0,0,"Digite"))</f>
        <v>0</v>
      </c>
      <c r="GG21" s="454">
        <f>IF(OR('Parte Estrategica'!AT21=0,'Parte Estrategica'!AT21=""),0,IF(VLOOKUP($A21,'Matriz de Referencia'!$B$2:$CO$584,78,FALSE)=0,0,"Digite"))</f>
        <v>0</v>
      </c>
      <c r="GH21" s="382">
        <f t="shared" si="40"/>
        <v>0</v>
      </c>
      <c r="GI21" s="382">
        <f t="shared" si="41"/>
        <v>0</v>
      </c>
      <c r="GJ21" s="453">
        <f>IF(OR('Parte Estrategica'!AU21=0,'Parte Estrategica'!AU21=""),0,IF(VLOOKUP($A21,'Matriz de Referencia'!$B$2:$CO$584,67,FALSE)=0,0,"Digite"))</f>
        <v>0</v>
      </c>
      <c r="GK21" s="454">
        <f>IF(OR('Parte Estrategica'!AU21=0,'Parte Estrategica'!AU21=""),0,IF(VLOOKUP($A21,'Matriz de Referencia'!$B$2:$CO$584,68,FALSE)=0,0,"Digite"))</f>
        <v>0</v>
      </c>
      <c r="GL21" s="454">
        <f>IF(OR('Parte Estrategica'!AU21=0,'Parte Estrategica'!AU21=""),0,IF(VLOOKUP($A21,'Matriz de Referencia'!$B$2:$CO$584,69,FALSE)=0,0,"Digite"))</f>
        <v>0</v>
      </c>
      <c r="GM21" s="454">
        <f>IF(OR('Parte Estrategica'!AU21=0,'Parte Estrategica'!AU21=""),0,IF(VLOOKUP($A21,'Matriz de Referencia'!$B$2:$CO$584,70,FALSE)=0,0,"Digite"))</f>
        <v>0</v>
      </c>
      <c r="GN21" s="454">
        <f>IF(OR('Parte Estrategica'!AU21=0,'Parte Estrategica'!AU21=""),0,IF(VLOOKUP($A21,'Matriz de Referencia'!$B$2:$CO$584,71,FALSE)=0,0,"Digite"))</f>
        <v>0</v>
      </c>
      <c r="GO21" s="454">
        <f>IF(OR('Parte Estrategica'!AU21=0,'Parte Estrategica'!AU21=""),0,IF(VLOOKUP($A21,'Matriz de Referencia'!$B$2:$CO$584,72,FALSE)=0,0,"Digite"))</f>
        <v>0</v>
      </c>
      <c r="GP21" s="454">
        <f>IF(OR('Parte Estrategica'!AU21=0,'Parte Estrategica'!AU21=""),0,IF(VLOOKUP($A21,'Matriz de Referencia'!$B$2:$CO$584,73,FALSE)=0,0,"Digite"))</f>
        <v>0</v>
      </c>
      <c r="GQ21" s="454">
        <f>IF(OR('Parte Estrategica'!AU21=0,'Parte Estrategica'!AU21=""),0,IF(VLOOKUP($A21,'Matriz de Referencia'!$B$2:$CO$584,74,FALSE)=0,0,"Digite"))</f>
        <v>0</v>
      </c>
      <c r="GR21" s="382">
        <f t="shared" si="42"/>
        <v>0</v>
      </c>
      <c r="GS21" s="454">
        <f>IF(OR('Parte Estrategica'!AU21=0,'Parte Estrategica'!AU21=""),0,IF(VLOOKUP($A21,'Matriz de Referencia'!$B$2:$CO$584,76,FALSE)=0,0,"Digite"))</f>
        <v>0</v>
      </c>
      <c r="GT21" s="454">
        <f>IF(OR('Parte Estrategica'!AU21=0,'Parte Estrategica'!AU21=""),0,IF(VLOOKUP($A21,'Matriz de Referencia'!$B$2:$CO$584,77,FALSE)=0,0,"Digite"))</f>
        <v>0</v>
      </c>
      <c r="GU21" s="454">
        <f>IF(OR('Parte Estrategica'!AU21=0,'Parte Estrategica'!AU21=""),0,IF(VLOOKUP($A21,'Matriz de Referencia'!$B$2:$CO$584,78,FALSE)=0,0,"Digite"))</f>
        <v>0</v>
      </c>
      <c r="GV21" s="382">
        <f t="shared" si="43"/>
        <v>0</v>
      </c>
      <c r="GW21" s="382">
        <f t="shared" si="44"/>
        <v>0</v>
      </c>
      <c r="GX21" s="453">
        <f>IF(OR('Parte Estrategica'!AV21=0,'Parte Estrategica'!AV21=""),0,IF(VLOOKUP($A21,'Matriz de Referencia'!$B$2:$CO$584,67,FALSE)=0,0,"Digite"))</f>
        <v>0</v>
      </c>
      <c r="GY21" s="454">
        <f>IF(OR('Parte Estrategica'!AV21=0,'Parte Estrategica'!AV21=""),0,IF(VLOOKUP($A21,'Matriz de Referencia'!$B$2:$CO$584,68,FALSE)=0,0,"Digite"))</f>
        <v>0</v>
      </c>
      <c r="GZ21" s="454">
        <f>IF(OR('Parte Estrategica'!AV21=0,'Parte Estrategica'!AV21=""),0,IF(VLOOKUP($A21,'Matriz de Referencia'!$B$2:$CO$584,69,FALSE)=0,0,"Digite"))</f>
        <v>0</v>
      </c>
      <c r="HA21" s="454">
        <f>IF(OR('Parte Estrategica'!AV21=0,'Parte Estrategica'!AV21=""),0,IF(VLOOKUP($A21,'Matriz de Referencia'!$B$2:$CO$584,70,FALSE)=0,0,"Digite"))</f>
        <v>0</v>
      </c>
      <c r="HB21" s="454">
        <f>IF(OR('Parte Estrategica'!AV21=0,'Parte Estrategica'!AV21=""),0,IF(VLOOKUP($A21,'Matriz de Referencia'!$B$2:$CO$584,71,FALSE)=0,0,"Digite"))</f>
        <v>0</v>
      </c>
      <c r="HC21" s="454">
        <f>IF(OR('Parte Estrategica'!AV21=0,'Parte Estrategica'!AV21=""),0,IF(VLOOKUP($A21,'Matriz de Referencia'!$B$2:$CO$584,72,FALSE)=0,0,"Digite"))</f>
        <v>0</v>
      </c>
      <c r="HD21" s="454">
        <f>IF(OR('Parte Estrategica'!AV21=0,'Parte Estrategica'!AV21=""),0,IF(VLOOKUP($A21,'Matriz de Referencia'!$B$2:$CO$584,73,FALSE)=0,0,"Digite"))</f>
        <v>0</v>
      </c>
      <c r="HE21" s="454">
        <f>IF(OR('Parte Estrategica'!AV21=0,'Parte Estrategica'!AV21=""),0,IF(VLOOKUP($A21,'Matriz de Referencia'!$B$2:$CO$584,74,FALSE)=0,0,"Digite"))</f>
        <v>0</v>
      </c>
      <c r="HF21" s="382">
        <f t="shared" si="45"/>
        <v>0</v>
      </c>
      <c r="HG21" s="454">
        <f>IF(OR('Parte Estrategica'!AV21=0,'Parte Estrategica'!AV21=""),0,IF(VLOOKUP($A21,'Matriz de Referencia'!$B$2:$CO$584,76,FALSE)=0,0,"Digite"))</f>
        <v>0</v>
      </c>
      <c r="HH21" s="454">
        <f>IF(OR('Parte Estrategica'!AV21=0,'Parte Estrategica'!AV21=""),0,IF(VLOOKUP($A21,'Matriz de Referencia'!$B$2:$CO$584,77,FALSE)=0,0,"Digite"))</f>
        <v>0</v>
      </c>
      <c r="HI21" s="454">
        <f>IF(OR('Parte Estrategica'!AV21=0,'Parte Estrategica'!AV21=""),0,IF(VLOOKUP($A21,'Matriz de Referencia'!$B$2:$CO$584,78,FALSE)=0,0,"Digite"))</f>
        <v>0</v>
      </c>
      <c r="HJ21" s="382">
        <f t="shared" si="46"/>
        <v>0</v>
      </c>
      <c r="HK21" s="382">
        <f t="shared" si="47"/>
        <v>0</v>
      </c>
      <c r="HL21" s="453">
        <f>IF(OR('Parte Estrategica'!AW21=0,'Parte Estrategica'!AW21=""),0,IF(VLOOKUP($A21,'Matriz de Referencia'!$B$2:$CO$584,67,FALSE)=0,0,"Digite"))</f>
        <v>0</v>
      </c>
      <c r="HM21" s="454">
        <f>IF(OR('Parte Estrategica'!AW21=0,'Parte Estrategica'!AW21=""),0,IF(VLOOKUP($A21,'Matriz de Referencia'!$B$2:$CO$584,68,FALSE)=0,0,"Digite"))</f>
        <v>0</v>
      </c>
      <c r="HN21" s="454">
        <f>IF(OR('Parte Estrategica'!AW21=0,'Parte Estrategica'!AW21=""),0,IF(VLOOKUP($A21,'Matriz de Referencia'!$B$2:$CO$584,69,FALSE)=0,0,"Digite"))</f>
        <v>0</v>
      </c>
      <c r="HO21" s="454">
        <f>IF(OR('Parte Estrategica'!AW21=0,'Parte Estrategica'!AW21=""),0,IF(VLOOKUP($A21,'Matriz de Referencia'!$B$2:$CO$584,70,FALSE)=0,0,"Digite"))</f>
        <v>0</v>
      </c>
      <c r="HP21" s="454">
        <f>IF(OR('Parte Estrategica'!AW21=0,'Parte Estrategica'!AW21=""),0,IF(VLOOKUP($A21,'Matriz de Referencia'!$B$2:$CO$584,71,FALSE)=0,0,"Digite"))</f>
        <v>0</v>
      </c>
      <c r="HQ21" s="454">
        <f>IF(OR('Parte Estrategica'!AW21=0,'Parte Estrategica'!AW21=""),0,IF(VLOOKUP($A21,'Matriz de Referencia'!$B$2:$CO$584,72,FALSE)=0,0,"Digite"))</f>
        <v>0</v>
      </c>
      <c r="HR21" s="454">
        <f>IF(OR('Parte Estrategica'!AW21=0,'Parte Estrategica'!AW21=""),0,IF(VLOOKUP($A21,'Matriz de Referencia'!$B$2:$CO$584,73,FALSE)=0,0,"Digite"))</f>
        <v>0</v>
      </c>
      <c r="HS21" s="454">
        <f>IF(OR('Parte Estrategica'!AW21=0,'Parte Estrategica'!AW21=""),0,IF(VLOOKUP($A21,'Matriz de Referencia'!$B$2:$CO$584,74,FALSE)=0,0,"Digite"))</f>
        <v>0</v>
      </c>
      <c r="HT21" s="382">
        <f t="shared" si="48"/>
        <v>0</v>
      </c>
      <c r="HU21" s="454">
        <f>IF(OR('Parte Estrategica'!AW21=0,'Parte Estrategica'!AW21=""),0,IF(VLOOKUP($A21,'Matriz de Referencia'!$B$2:$CO$584,76,FALSE)=0,0,"Digite"))</f>
        <v>0</v>
      </c>
      <c r="HV21" s="454">
        <f>IF(OR('Parte Estrategica'!AW21=0,'Parte Estrategica'!AW21=""),0,IF(VLOOKUP($A21,'Matriz de Referencia'!$B$2:$CO$584,77,FALSE)=0,0,"Digite"))</f>
        <v>0</v>
      </c>
      <c r="HW21" s="454">
        <f>IF(OR('Parte Estrategica'!AW21=0,'Parte Estrategica'!AW21=""),0,IF(VLOOKUP($A21,'Matriz de Referencia'!$B$2:$CO$584,78,FALSE)=0,0,"Digite"))</f>
        <v>0</v>
      </c>
      <c r="HX21" s="382">
        <f t="shared" si="49"/>
        <v>0</v>
      </c>
      <c r="HY21" s="382">
        <f t="shared" si="50"/>
        <v>0</v>
      </c>
      <c r="HZ21" s="382">
        <f t="shared" si="51"/>
        <v>0</v>
      </c>
      <c r="IA21" s="101" t="str">
        <f>IFERROR(IF(HZ21=0,"",IF(VLOOKUP($A21,'Matriz de Referencia'!$B$2:$CO$584,80,FALSE)=HZ21,"Techos ok, cotinue","Debe revisar el valor programado")),"")</f>
        <v/>
      </c>
      <c r="IB21" s="383">
        <f t="shared" si="52"/>
        <v>0</v>
      </c>
    </row>
    <row r="22" spans="1:236">
      <c r="A22" s="550" t="str">
        <f>IF('Parte Estrategica'!B22=0,"",'Parte Estrategica'!B22)</f>
        <v/>
      </c>
      <c r="B22" s="551" t="str">
        <f>IFERROR(VLOOKUP(A22,'Matriz de Referencia'!$B$2:$P$578,'Matriz de Referencia'!L$1,FALSE),"")</f>
        <v/>
      </c>
      <c r="C22" s="551" t="str">
        <f>IFERROR(VLOOKUP(A22,'Matriz de Referencia'!$B$2:$P$584,'Matriz de Referencia'!M$1,FALSE),"")</f>
        <v/>
      </c>
      <c r="D22" s="455" t="str">
        <f>IF(OR('Parte Estrategica'!AB22=0,'Parte Estrategica'!AB22=""),"",IF(VLOOKUP($A22,'Matriz de Referencia'!$B$2:$CO$584,'Matriz de Referencia'!Z$1,FALSE)=0,"","Digite"))</f>
        <v/>
      </c>
      <c r="E22" s="456">
        <f>IF(OR('Parte Estrategica'!AB22=0,'Parte Estrategica'!AB22=""),0,IF(VLOOKUP($A22,'Matriz de Referencia'!$B$2:$CO$584,26,FALSE)=0,0,"Digite"))</f>
        <v>0</v>
      </c>
      <c r="F22" s="456">
        <f>IF(OR('Parte Estrategica'!AB22=0,'Parte Estrategica'!AB22=""),0,IF(VLOOKUP($A22,'Matriz de Referencia'!$B$2:$CO$584,27,FALSE)=0,0,"Digite"))</f>
        <v>0</v>
      </c>
      <c r="G22" s="456">
        <f>IF(OR('Parte Estrategica'!AB22=0,'Parte Estrategica'!AB22=""),0,IF(VLOOKUP($A22,'Matriz de Referencia'!$B$2:$CO$584,28,FALSE)=0,0,"Digite"))</f>
        <v>0</v>
      </c>
      <c r="H22" s="456">
        <f>IF(OR('Parte Estrategica'!AB22=0,'Parte Estrategica'!AB22=""),0,IF(VLOOKUP($A22,'Matriz de Referencia'!$B$2:$CO$584,29,FALSE)=0,0,"Digite"))</f>
        <v>0</v>
      </c>
      <c r="I22" s="456">
        <f>IF(OR('Parte Estrategica'!AB22=0,'Parte Estrategica'!AB22=""),0,IF(VLOOKUP($A22,'Matriz de Referencia'!$B$2:$CO$584,30,FALSE)=0,0,"Digite"))</f>
        <v>0</v>
      </c>
      <c r="J22" s="456">
        <f>IF(OR('Parte Estrategica'!AB22=0,'Parte Estrategica'!AB22=""),0,IF(VLOOKUP($A22,'Matriz de Referencia'!$B$2:$CO$584,31,FALSE)=0,0,"Digite"))</f>
        <v>0</v>
      </c>
      <c r="K22" s="456">
        <f>IF(OR('Parte Estrategica'!AB22=0,'Parte Estrategica'!AB22=""),0,IF(VLOOKUP($A22,'Matriz de Referencia'!$B$2:$CO$584,32,FALSE)=0,0,"Digite"))</f>
        <v>0</v>
      </c>
      <c r="L22" s="460">
        <f t="shared" si="0"/>
        <v>0</v>
      </c>
      <c r="M22" s="456">
        <f>IF(OR('Parte Estrategica'!AB22=0,'Parte Estrategica'!AB22=""),0,IF(VLOOKUP($A22,'Matriz de Referencia'!$B$2:$CO$584,34,FALSE)=0,0,"Digite"))</f>
        <v>0</v>
      </c>
      <c r="N22" s="456">
        <f>IF(OR('Parte Estrategica'!AB22=0,'Parte Estrategica'!AB22=""),0,IF(VLOOKUP($A22,'Matriz de Referencia'!$B$2:$CO$584,35,FALSE)=0,0,"Digite"))</f>
        <v>0</v>
      </c>
      <c r="O22" s="456">
        <f>IF(OR('Parte Estrategica'!AB22=0,'Parte Estrategica'!AB22=""),0,IF(VLOOKUP($A22,'Matriz de Referencia'!$B$2:$CO$584,36,FALSE)=0,0,"Digite"))</f>
        <v>0</v>
      </c>
      <c r="P22" s="457">
        <f t="shared" si="1"/>
        <v>0</v>
      </c>
      <c r="Q22" s="457">
        <f t="shared" si="2"/>
        <v>0</v>
      </c>
      <c r="R22" s="455">
        <f>IF(OR('Parte Estrategica'!AC22=0,'Parte Estrategica'!AC22=""),0,IF(VLOOKUP($A22,'Matriz de Referencia'!$B$2:$CO$584,25,FALSE)=0,0,"Digite"))</f>
        <v>0</v>
      </c>
      <c r="S22" s="456">
        <f>IF(OR('Parte Estrategica'!AC22=0,'Parte Estrategica'!AC22=""),0,IF(VLOOKUP($A22,'Matriz de Referencia'!$B$2:$CO$584,26,FALSE)=0,0,"Digite"))</f>
        <v>0</v>
      </c>
      <c r="T22" s="456">
        <f>IF(OR('Parte Estrategica'!AC22=0,'Parte Estrategica'!AC22=""),0,IF(VLOOKUP($A22,'Matriz de Referencia'!$B$2:$CO$584,27,FALSE)=0,0,"Digite"))</f>
        <v>0</v>
      </c>
      <c r="U22" s="456">
        <f>IF(OR('Parte Estrategica'!AC22=0,'Parte Estrategica'!AC22=""),0,IF(VLOOKUP($A22,'Matriz de Referencia'!$B$2:$CO$584,28,FALSE)=0,0,"Digite"))</f>
        <v>0</v>
      </c>
      <c r="V22" s="456">
        <f>IF(OR('Parte Estrategica'!AC22=0,'Parte Estrategica'!AC22=""),0,IF(VLOOKUP($A22,'Matriz de Referencia'!$B$2:$CO$584,29,FALSE)=0,0,"Digite"))</f>
        <v>0</v>
      </c>
      <c r="W22" s="456">
        <f>IF(OR('Parte Estrategica'!AC22=0,'Parte Estrategica'!AC22=""),0,IF(VLOOKUP($A22,'Matriz de Referencia'!$B$2:$CO$584,30,FALSE)=0,0,"Digite"))</f>
        <v>0</v>
      </c>
      <c r="X22" s="456">
        <f>IF(OR('Parte Estrategica'!AC22=0,'Parte Estrategica'!AC22=""),0,IF(VLOOKUP($A22,'Matriz de Referencia'!$B$2:$CO$584,31,FALSE)=0,0,"Digite"))</f>
        <v>0</v>
      </c>
      <c r="Y22" s="456">
        <f>IF(OR('Parte Estrategica'!AC22=0,'Parte Estrategica'!AC22=""),0,IF(VLOOKUP($A22,'Matriz de Referencia'!$B$2:$CO$584,32,FALSE)=0,0,"Digite"))</f>
        <v>0</v>
      </c>
      <c r="Z22" s="457">
        <f t="shared" si="3"/>
        <v>0</v>
      </c>
      <c r="AA22" s="456">
        <f>IF(OR('Parte Estrategica'!AC22=0,'Parte Estrategica'!AC22=""),0,IF(VLOOKUP($A22,'Matriz de Referencia'!$B$2:$CO$584,34,FALSE)=0,0,"Digite"))</f>
        <v>0</v>
      </c>
      <c r="AB22" s="456">
        <f>IF(OR('Parte Estrategica'!AC22=0,'Parte Estrategica'!AC22=""),0,IF(VLOOKUP($A22,'Matriz de Referencia'!$B$2:$CO$584,35,FALSE)=0,0,"Digite"))</f>
        <v>0</v>
      </c>
      <c r="AC22" s="456">
        <f>IF(OR('Parte Estrategica'!AC22=0,'Parte Estrategica'!AC22=""),0,IF(VLOOKUP($A22,'Matriz de Referencia'!$B$2:$CO$584,36,FALSE)=0,0,"Digite"))</f>
        <v>0</v>
      </c>
      <c r="AD22" s="457">
        <f t="shared" si="4"/>
        <v>0</v>
      </c>
      <c r="AE22" s="457">
        <f t="shared" si="5"/>
        <v>0</v>
      </c>
      <c r="AF22" s="455">
        <f>IF(OR('Parte Estrategica'!AD22=0,'Parte Estrategica'!AD22=""),0,IF(VLOOKUP($A22,'Matriz de Referencia'!$B$2:$CO$584,25,FALSE)=0,0,"Digite"))</f>
        <v>0</v>
      </c>
      <c r="AG22" s="456">
        <f>IF(OR('Parte Estrategica'!AD22=0,'Parte Estrategica'!AD22=""),0,IF(VLOOKUP($A22,'Matriz de Referencia'!$B$2:$CO$584,26,FALSE)=0,0,"Digite"))</f>
        <v>0</v>
      </c>
      <c r="AH22" s="456">
        <f>IF(OR('Parte Estrategica'!AD22=0,'Parte Estrategica'!AD22=""),0,IF(VLOOKUP($A22,'Matriz de Referencia'!$B$2:$CO$584,27,FALSE)=0,0,"Digite"))</f>
        <v>0</v>
      </c>
      <c r="AI22" s="456">
        <f>IF(OR('Parte Estrategica'!AD22=0,'Parte Estrategica'!AD22=""),0,IF(VLOOKUP($A22,'Matriz de Referencia'!$B$2:$CO$584,28,FALSE)=0,0,"Digite"))</f>
        <v>0</v>
      </c>
      <c r="AJ22" s="456">
        <f>IF(OR('Parte Estrategica'!AD22=0,'Parte Estrategica'!AD22=""),0,IF(VLOOKUP($A22,'Matriz de Referencia'!$B$2:$CO$584,29,FALSE)=0,0,"Digite"))</f>
        <v>0</v>
      </c>
      <c r="AK22" s="456">
        <f>IF(OR('Parte Estrategica'!AD22=0,'Parte Estrategica'!AD22=""),0,IF(VLOOKUP($A22,'Matriz de Referencia'!$B$2:$CO$584,30,FALSE)=0,0,"Digite"))</f>
        <v>0</v>
      </c>
      <c r="AL22" s="456">
        <f>IF(OR('Parte Estrategica'!AD22=0,'Parte Estrategica'!AD22=""),0,IF(VLOOKUP($A22,'Matriz de Referencia'!$B$2:$CO$584,31,FALSE)=0,0,"Digite"))</f>
        <v>0</v>
      </c>
      <c r="AM22" s="456">
        <f>IF(OR('Parte Estrategica'!AD22=0,'Parte Estrategica'!AD22=""),0,IF(VLOOKUP($A22,'Matriz de Referencia'!$B$2:$CO$584,32,FALSE)=0,0,"Digite"))</f>
        <v>0</v>
      </c>
      <c r="AN22" s="457">
        <f t="shared" si="6"/>
        <v>0</v>
      </c>
      <c r="AO22" s="456">
        <f>IF(OR('Parte Estrategica'!AD22=0,'Parte Estrategica'!AD22=""),0,IF(VLOOKUP($A22,'Matriz de Referencia'!$B$2:$CO$584,34,FALSE)=0,0,"Digite"))</f>
        <v>0</v>
      </c>
      <c r="AP22" s="456">
        <f>IF(OR('Parte Estrategica'!AD22=0,'Parte Estrategica'!AD22=""),0,IF(VLOOKUP($A22,'Matriz de Referencia'!$B$2:$CO$584,35,FALSE)=0,0,"Digite"))</f>
        <v>0</v>
      </c>
      <c r="AQ22" s="456">
        <f>IF(OR('Parte Estrategica'!AD22=0,'Parte Estrategica'!AD22=""),0,IF(VLOOKUP($A22,'Matriz de Referencia'!$B$2:$CO$584,36,FALSE)=0,0,"Digite"))</f>
        <v>0</v>
      </c>
      <c r="AR22" s="457">
        <f t="shared" si="7"/>
        <v>0</v>
      </c>
      <c r="AS22" s="457">
        <f t="shared" si="8"/>
        <v>0</v>
      </c>
      <c r="AT22" s="455">
        <f>IF(OR('Parte Estrategica'!AE22=0,'Parte Estrategica'!AE22=""),0,IF(VLOOKUP($A22,'Matriz de Referencia'!$B$2:$CO$584,25,FALSE)=0,0,"Digite"))</f>
        <v>0</v>
      </c>
      <c r="AU22" s="456">
        <f>IF(OR('Parte Estrategica'!AE22=0,'Parte Estrategica'!AE22=""),0,IF(VLOOKUP($A22,'Matriz de Referencia'!$B$2:$CO$584,26,FALSE)=0,0,"Digite"))</f>
        <v>0</v>
      </c>
      <c r="AV22" s="456">
        <f>IF(OR('Parte Estrategica'!AE22=0,'Parte Estrategica'!AE22=""),0,IF(VLOOKUP($A22,'Matriz de Referencia'!$B$2:$CO$584,27,FALSE)=0,0,"Digite"))</f>
        <v>0</v>
      </c>
      <c r="AW22" s="456">
        <f>IF(OR('Parte Estrategica'!AE22=0,'Parte Estrategica'!AE22=""),0,IF(VLOOKUP($A22,'Matriz de Referencia'!$B$2:$CO$584,28,FALSE)=0,0,"Digite"))</f>
        <v>0</v>
      </c>
      <c r="AX22" s="456">
        <f>IF(OR('Parte Estrategica'!AE22=0,'Parte Estrategica'!AE22=""),0,IF(VLOOKUP($A22,'Matriz de Referencia'!$B$2:$CO$584,29,FALSE)=0,0,"Digite"))</f>
        <v>0</v>
      </c>
      <c r="AY22" s="456">
        <f>IF(OR('Parte Estrategica'!AE22=0,'Parte Estrategica'!AE22=""),0,IF(VLOOKUP($A22,'Matriz de Referencia'!$B$2:$CO$584,30,FALSE)=0,0,"Digite"))</f>
        <v>0</v>
      </c>
      <c r="AZ22" s="456">
        <f>IF(OR('Parte Estrategica'!AE22=0,'Parte Estrategica'!AE22=""),0,IF(VLOOKUP($A22,'Matriz de Referencia'!$B$2:$CO$584,31,FALSE)=0,0,"Digite"))</f>
        <v>0</v>
      </c>
      <c r="BA22" s="456">
        <f>IF(OR('Parte Estrategica'!AE22=0,'Parte Estrategica'!AE22=""),0,IF(VLOOKUP($A22,'Matriz de Referencia'!$B$2:$CO$584,32,FALSE)=0,0,"Digite"))</f>
        <v>0</v>
      </c>
      <c r="BB22" s="457">
        <f t="shared" si="9"/>
        <v>0</v>
      </c>
      <c r="BC22" s="456">
        <f>IF(OR('Parte Estrategica'!AE22=0,'Parte Estrategica'!AE22=""),0,IF(VLOOKUP($A22,'Matriz de Referencia'!$B$2:$CO$584,34,FALSE)=0,0,"Digite"))</f>
        <v>0</v>
      </c>
      <c r="BD22" s="456">
        <f>IF(OR('Parte Estrategica'!AE22=0,'Parte Estrategica'!AE22=""),0,IF(VLOOKUP($A22,'Matriz de Referencia'!$B$2:$CO$584,35,FALSE)=0,0,"Digite"))</f>
        <v>0</v>
      </c>
      <c r="BE22" s="456">
        <f>IF(OR('Parte Estrategica'!AE22=0,'Parte Estrategica'!AE22=""),0,IF(VLOOKUP($A22,'Matriz de Referencia'!$B$2:$CO$584,36,FALSE)=0,0,"Digite"))</f>
        <v>0</v>
      </c>
      <c r="BF22" s="457">
        <f t="shared" si="10"/>
        <v>0</v>
      </c>
      <c r="BG22" s="457">
        <f t="shared" si="11"/>
        <v>0</v>
      </c>
      <c r="BH22" s="457">
        <f t="shared" si="12"/>
        <v>0</v>
      </c>
      <c r="BI22" s="101" t="str">
        <f>IFERROR(IF(BH22=0,"",IF(VLOOKUP($A22,'Matriz de Referencia'!$B$2:$CO$584,'Matriz de Referencia'!AM$1,FALSE)=BH22,"Techos ok, cotinue","Debe revisar el valor programado")),"")</f>
        <v/>
      </c>
      <c r="BJ22" s="453">
        <f>IF(OR('Parte Estrategica'!AH22=0,'Parte Estrategica'!AH22=""),0,IF(VLOOKUP($A22,'Matriz de Referencia'!$B$2:$CO$584,39,FALSE)=0,0,"Digite"))</f>
        <v>0</v>
      </c>
      <c r="BK22" s="454">
        <f>IF(OR('Parte Estrategica'!AH22=0,'Parte Estrategica'!AH22=""),0,IF(VLOOKUP($A22,'Matriz de Referencia'!$B$2:$CO$584,40,FALSE)=0,0,"Digite"))</f>
        <v>0</v>
      </c>
      <c r="BL22" s="454">
        <f>IF(OR('Parte Estrategica'!AH22=0,'Parte Estrategica'!AH22=""),0,IF(VLOOKUP($A22,'Matriz de Referencia'!$B$2:$CO$584,41,FALSE)=0,0,"Digite"))</f>
        <v>0</v>
      </c>
      <c r="BM22" s="454">
        <f>IF(OR('Parte Estrategica'!AH22=0,'Parte Estrategica'!AH22=""),0,IF(VLOOKUP($A22,'Matriz de Referencia'!$B$2:$CO$584,42,FALSE)=0,0,"Digite"))</f>
        <v>0</v>
      </c>
      <c r="BN22" s="454">
        <f>IF(OR('Parte Estrategica'!AH22=0,'Parte Estrategica'!AH22=""),0,IF(VLOOKUP($A22,'Matriz de Referencia'!$B$2:$CO$584,43,FALSE)=0,0,"Digite"))</f>
        <v>0</v>
      </c>
      <c r="BO22" s="454">
        <f>IF(OR('Parte Estrategica'!AH22=0,'Parte Estrategica'!AH22=""),0,IF(VLOOKUP($A22,'Matriz de Referencia'!$B$2:$CO$584,44,FALSE)=0,0,"Digite"))</f>
        <v>0</v>
      </c>
      <c r="BP22" s="454">
        <f>IF(OR('Parte Estrategica'!AH22=0,'Parte Estrategica'!AH22=""),0,IF(VLOOKUP($A22,'Matriz de Referencia'!$B$2:$CO$584,45,FALSE)=0,0,"Digite"))</f>
        <v>0</v>
      </c>
      <c r="BQ22" s="454">
        <f>IF(OR('Parte Estrategica'!AH22=0,'Parte Estrategica'!AH22=""),0,IF(VLOOKUP($A22,'Matriz de Referencia'!$B$2:$CO$584,46,FALSE)=0,0,"Digite"))</f>
        <v>0</v>
      </c>
      <c r="BR22" s="382">
        <f t="shared" si="13"/>
        <v>0</v>
      </c>
      <c r="BS22" s="454">
        <f>IF(OR('Parte Estrategica'!CL22=0,'Parte Estrategica'!CL22=""),0,IF(VLOOKUP($A22,'Matriz de Referencia'!$B$2:$CO$584,48,FALSE)=0,0,"Digite"))</f>
        <v>0</v>
      </c>
      <c r="BT22" s="454">
        <f>IF(OR('Parte Estrategica'!CL22=0,'Parte Estrategica'!CL22=""),0,IF(VLOOKUP($A22,'Matriz de Referencia'!$B$2:$CO$584,49,FALSE)=0,0,"Digite"))</f>
        <v>0</v>
      </c>
      <c r="BU22" s="454">
        <f>IF(OR('Parte Estrategica'!CL22=0,'Parte Estrategica'!CL22=""),0,IF(VLOOKUP($A22,'Matriz de Referencia'!$B$2:$CO$584,50,FALSE)=0,0,"Digite"))</f>
        <v>0</v>
      </c>
      <c r="BV22" s="382">
        <f t="shared" si="14"/>
        <v>0</v>
      </c>
      <c r="BW22" s="382">
        <f t="shared" si="15"/>
        <v>0</v>
      </c>
      <c r="BX22" s="453">
        <f>IF(OR('Parte Estrategica'!AI22=0,'Parte Estrategica'!AI22=""),0,IF(VLOOKUP($A22,'Matriz de Referencia'!$B$2:$CO$584,39,FALSE)=0,0,"Digite"))</f>
        <v>0</v>
      </c>
      <c r="BY22" s="454">
        <f>IF(OR('Parte Estrategica'!AI22=0,'Parte Estrategica'!AI22=""),0,IF(VLOOKUP($A22,'Matriz de Referencia'!$B$2:$CO$584,40,FALSE)=0,0,"Digite"))</f>
        <v>0</v>
      </c>
      <c r="BZ22" s="454">
        <f>IF(OR('Parte Estrategica'!AI22=0,'Parte Estrategica'!AI22=""),0,IF(VLOOKUP($A22,'Matriz de Referencia'!$B$2:$CO$584,41,FALSE)=0,0,"Digite"))</f>
        <v>0</v>
      </c>
      <c r="CA22" s="454">
        <f>IF(OR('Parte Estrategica'!AI22=0,'Parte Estrategica'!AI22=""),0,IF(VLOOKUP($A22,'Matriz de Referencia'!$B$2:$CO$584,42,FALSE)=0,0,"Digite"))</f>
        <v>0</v>
      </c>
      <c r="CB22" s="454">
        <f>IF(OR('Parte Estrategica'!AI22=0,'Parte Estrategica'!AI22=""),0,IF(VLOOKUP($A22,'Matriz de Referencia'!$B$2:$CO$584,43,FALSE)=0,0,"Digite"))</f>
        <v>0</v>
      </c>
      <c r="CC22" s="454">
        <f>IF(OR('Parte Estrategica'!AI22=0,'Parte Estrategica'!AI22=""),0,IF(VLOOKUP($A22,'Matriz de Referencia'!$B$2:$CO$584,44,FALSE)=0,0,"Digite"))</f>
        <v>0</v>
      </c>
      <c r="CD22" s="454">
        <f>IF(OR('Parte Estrategica'!AI22=0,'Parte Estrategica'!AI22=""),0,IF(VLOOKUP($A22,'Matriz de Referencia'!$B$2:$CO$584,45,FALSE)=0,0,"Digite"))</f>
        <v>0</v>
      </c>
      <c r="CE22" s="454">
        <f>IF(OR('Parte Estrategica'!AI22=0,'Parte Estrategica'!AI22=""),0,IF(VLOOKUP($A22,'Matriz de Referencia'!$B$2:$CO$584,46,FALSE)=0,0,"Digite"))</f>
        <v>0</v>
      </c>
      <c r="CF22" s="382">
        <f t="shared" si="16"/>
        <v>0</v>
      </c>
      <c r="CG22" s="454">
        <f>IF(OR('Parte Estrategica'!AI22=0,'Parte Estrategica'!AI22=""),0,IF(VLOOKUP($A22,'Matriz de Referencia'!$B$2:$CO$584,48,FALSE)=0,0,"Digite"))</f>
        <v>0</v>
      </c>
      <c r="CH22" s="454">
        <f>IF(OR('Parte Estrategica'!AI22=0,'Parte Estrategica'!AI22=""),0,IF(VLOOKUP($A22,'Matriz de Referencia'!$B$2:$CO$584,49,FALSE)=0,0,"Digite"))</f>
        <v>0</v>
      </c>
      <c r="CI22" s="454">
        <f>IF(OR('Parte Estrategica'!AI22=0,'Parte Estrategica'!AI22=""),0,IF(VLOOKUP($A22,'Matriz de Referencia'!$B$2:$CO$584,50,FALSE)=0,0,"Digite"))</f>
        <v>0</v>
      </c>
      <c r="CJ22" s="382">
        <f t="shared" si="17"/>
        <v>0</v>
      </c>
      <c r="CK22" s="382">
        <f t="shared" si="18"/>
        <v>0</v>
      </c>
      <c r="CL22" s="453">
        <f>IF(OR('Parte Estrategica'!AJ22=0,'Parte Estrategica'!AJ22=""),0,IF(VLOOKUP($A22,'Matriz de Referencia'!$B$2:$CO$584,39,FALSE)=0,0,"Digite"))</f>
        <v>0</v>
      </c>
      <c r="CM22" s="454">
        <f>IF(OR('Parte Estrategica'!AJ22=0,'Parte Estrategica'!AJ22=""),0,IF(VLOOKUP($A22,'Matriz de Referencia'!$B$2:$CO$584,40,FALSE)=0,0,"Digite"))</f>
        <v>0</v>
      </c>
      <c r="CN22" s="454">
        <f>IF(OR('Parte Estrategica'!AJ22=0,'Parte Estrategica'!AJ22=""),0,IF(VLOOKUP($A22,'Matriz de Referencia'!$B$2:$CO$584,41,FALSE)=0,0,"Digite"))</f>
        <v>0</v>
      </c>
      <c r="CO22" s="454">
        <f>IF(OR('Parte Estrategica'!AJ22=0,'Parte Estrategica'!AJ22=""),0,IF(VLOOKUP($A22,'Matriz de Referencia'!$B$2:$CO$584,42,FALSE)=0,0,"Digite"))</f>
        <v>0</v>
      </c>
      <c r="CP22" s="454">
        <f>IF(OR('Parte Estrategica'!AJ22=0,'Parte Estrategica'!AJ22=""),0,IF(VLOOKUP($A22,'Matriz de Referencia'!$B$2:$CO$584,43,FALSE)=0,0,"Digite"))</f>
        <v>0</v>
      </c>
      <c r="CQ22" s="454">
        <f>IF(OR('Parte Estrategica'!AJ22=0,'Parte Estrategica'!AJ22=""),0,IF(VLOOKUP($A22,'Matriz de Referencia'!$B$2:$CO$584,44,FALSE)=0,0,"Digite"))</f>
        <v>0</v>
      </c>
      <c r="CR22" s="454">
        <f>IF(OR('Parte Estrategica'!AJ22=0,'Parte Estrategica'!AJ22=""),0,IF(VLOOKUP($A22,'Matriz de Referencia'!$B$2:$CO$584,45,FALSE)=0,0,"Digite"))</f>
        <v>0</v>
      </c>
      <c r="CS22" s="454">
        <f>IF(OR('Parte Estrategica'!AJ22=0,'Parte Estrategica'!AJ22=""),0,IF(VLOOKUP($A22,'Matriz de Referencia'!$B$2:$CO$584,46,FALSE)=0,0,"Digite"))</f>
        <v>0</v>
      </c>
      <c r="CT22" s="382">
        <f t="shared" si="19"/>
        <v>0</v>
      </c>
      <c r="CU22" s="454">
        <f>IF(OR('Parte Estrategica'!AJ22=0,'Parte Estrategica'!AJ22=""),0,IF(VLOOKUP($A22,'Matriz de Referencia'!$B$2:$CO$584,48,FALSE)=0,0,"Digite"))</f>
        <v>0</v>
      </c>
      <c r="CV22" s="454">
        <f>IF(OR('Parte Estrategica'!AJ22=0,'Parte Estrategica'!AJ22=""),0,IF(VLOOKUP($A22,'Matriz de Referencia'!$B$2:$CO$584,49,FALSE)=0,0,"Digite"))</f>
        <v>0</v>
      </c>
      <c r="CW22" s="454">
        <f>IF(OR('Parte Estrategica'!AJ22=0,'Parte Estrategica'!AJ22=""),0,IF(VLOOKUP($A22,'Matriz de Referencia'!$B$2:$CO$584,50,FALSE)=0,0,"Digite"))</f>
        <v>0</v>
      </c>
      <c r="CX22" s="382">
        <f t="shared" si="20"/>
        <v>0</v>
      </c>
      <c r="CY22" s="382">
        <f t="shared" si="21"/>
        <v>0</v>
      </c>
      <c r="CZ22" s="453">
        <f>IF(OR('Parte Estrategica'!AK22=0,'Parte Estrategica'!AK22=""),0,IF(VLOOKUP($A22,'Matriz de Referencia'!$B$2:$CO$584,39,FALSE)=0,0,"Digite"))</f>
        <v>0</v>
      </c>
      <c r="DA22" s="454">
        <f>IF(OR('Parte Estrategica'!AK22=0,'Parte Estrategica'!AK22=""),0,IF(VLOOKUP($A22,'Matriz de Referencia'!$B$2:$CO$584,40,FALSE)=0,0,"Digite"))</f>
        <v>0</v>
      </c>
      <c r="DB22" s="454">
        <f>IF(OR('Parte Estrategica'!AK22=0,'Parte Estrategica'!AK22=""),0,IF(VLOOKUP($A22,'Matriz de Referencia'!$B$2:$CO$584,41,FALSE)=0,0,"Digite"))</f>
        <v>0</v>
      </c>
      <c r="DC22" s="454">
        <f>IF(OR('Parte Estrategica'!AK22=0,'Parte Estrategica'!AK22=""),0,IF(VLOOKUP($A22,'Matriz de Referencia'!$B$2:$CO$584,42,FALSE)=0,0,"Digite"))</f>
        <v>0</v>
      </c>
      <c r="DD22" s="454">
        <f>IF(OR('Parte Estrategica'!AK22=0,'Parte Estrategica'!AK22=""),0,IF(VLOOKUP($A22,'Matriz de Referencia'!$B$2:$CO$584,43,FALSE)=0,0,"Digite"))</f>
        <v>0</v>
      </c>
      <c r="DE22" s="454">
        <f>IF(OR('Parte Estrategica'!AK22=0,'Parte Estrategica'!AK22=""),0,IF(VLOOKUP($A22,'Matriz de Referencia'!$B$2:$CO$584,44,FALSE)=0,0,"Digite"))</f>
        <v>0</v>
      </c>
      <c r="DF22" s="454">
        <f>IF(OR('Parte Estrategica'!AK22=0,'Parte Estrategica'!AK22=""),0,IF(VLOOKUP($A22,'Matriz de Referencia'!$B$2:$CO$584,45,FALSE)=0,0,"Digite"))</f>
        <v>0</v>
      </c>
      <c r="DG22" s="454">
        <f>IF(OR('Parte Estrategica'!AK22=0,'Parte Estrategica'!AK22=""),0,IF(VLOOKUP($A22,'Matriz de Referencia'!$B$2:$CO$584,46,FALSE)=0,0,"Digite"))</f>
        <v>0</v>
      </c>
      <c r="DH22" s="382">
        <f t="shared" si="22"/>
        <v>0</v>
      </c>
      <c r="DI22" s="454">
        <f>IF(OR('Parte Estrategica'!AK22=0,'Parte Estrategica'!AK22=""),0,IF(VLOOKUP($A22,'Matriz de Referencia'!$B$2:$CO$584,48,FALSE)=0,0,"Digite"))</f>
        <v>0</v>
      </c>
      <c r="DJ22" s="454">
        <f>IF(OR('Parte Estrategica'!AK22=0,'Parte Estrategica'!AK22=""),0,IF(VLOOKUP($A22,'Matriz de Referencia'!$B$2:$CO$584,49,FALSE)=0,0,"Digite"))</f>
        <v>0</v>
      </c>
      <c r="DK22" s="454">
        <f>IF(OR('Parte Estrategica'!AK22=0,'Parte Estrategica'!AK22=""),0,IF(VLOOKUP($A22,'Matriz de Referencia'!$B$2:$CO$584,50,FALSE)=0,0,"Digite"))</f>
        <v>0</v>
      </c>
      <c r="DL22" s="382">
        <f t="shared" si="23"/>
        <v>0</v>
      </c>
      <c r="DM22" s="382">
        <f t="shared" si="24"/>
        <v>0</v>
      </c>
      <c r="DN22" s="382">
        <f t="shared" si="25"/>
        <v>0</v>
      </c>
      <c r="DO22" s="101" t="str">
        <f>IFERROR(IF(DN22=0,"",IF(VLOOKUP($A22,'Matriz de Referencia'!$B$2:$CO$584,52,FALSE)=DN22,"Techos ok, cotinue","Debe revisar el valor programado")),"")</f>
        <v/>
      </c>
      <c r="DP22" s="453">
        <f>IF(OR('Parte Estrategica'!AN22=0,'Parte Estrategica'!AN22=""),0,IF(VLOOKUP($A22,'Matriz de Referencia'!$B$2:$CO$584,53,FALSE)=0,0,"Digite"))</f>
        <v>0</v>
      </c>
      <c r="DQ22" s="454">
        <f>IF(OR('Parte Estrategica'!AN22=0,'Parte Estrategica'!AN22=""),0,IF(VLOOKUP($A22,'Matriz de Referencia'!$B$2:$CO$584,54,FALSE)=0,0,"Digite"))</f>
        <v>0</v>
      </c>
      <c r="DR22" s="454">
        <f>IF(OR('Parte Estrategica'!AN22=0,'Parte Estrategica'!AN22=""),0,IF(VLOOKUP($A22,'Matriz de Referencia'!$B$2:$CO$584,55,FALSE)=0,0,"Digite"))</f>
        <v>0</v>
      </c>
      <c r="DS22" s="454">
        <f>IF(OR('Parte Estrategica'!AN22=0,'Parte Estrategica'!AN22=""),0,IF(VLOOKUP($A22,'Matriz de Referencia'!$B$2:$CO$584,56,FALSE)=0,0,"Digite"))</f>
        <v>0</v>
      </c>
      <c r="DT22" s="454">
        <f>IF(OR('Parte Estrategica'!AN22=0,'Parte Estrategica'!AN22=""),0,IF(VLOOKUP($A22,'Matriz de Referencia'!$B$2:$CO$584,57,FALSE)=0,0,"Digite"))</f>
        <v>0</v>
      </c>
      <c r="DU22" s="454">
        <f>IF(OR('Parte Estrategica'!AN22=0,'Parte Estrategica'!AN22=""),0,IF(VLOOKUP($A22,'Matriz de Referencia'!$B$2:$CO$584,58,FALSE)=0,0,"Digite"))</f>
        <v>0</v>
      </c>
      <c r="DV22" s="454">
        <f>IF(OR('Parte Estrategica'!AN22=0,'Parte Estrategica'!AN22=""),0,IF(VLOOKUP($A22,'Matriz de Referencia'!$B$2:$CO$584,59,FALSE)=0,0,"Digite"))</f>
        <v>0</v>
      </c>
      <c r="DW22" s="454">
        <f>IF(OR('Parte Estrategica'!AN22=0,'Parte Estrategica'!AN22=""),0,IF(VLOOKUP($A22,'Matriz de Referencia'!$B$2:$CO$584,60,FALSE)=0,0,"Digite"))</f>
        <v>0</v>
      </c>
      <c r="DX22" s="382">
        <f t="shared" si="26"/>
        <v>0</v>
      </c>
      <c r="DY22" s="454">
        <f>IF(OR('Parte Estrategica'!AN22=0,'Parte Estrategica'!AN22=""),0,IF(VLOOKUP($A22,'Matriz de Referencia'!$B$2:$CO$584,62,FALSE)=0,0,"Digite"))</f>
        <v>0</v>
      </c>
      <c r="DZ22" s="454">
        <f>IF(OR('Parte Estrategica'!AN22=0,'Parte Estrategica'!AN22=""),0,IF(VLOOKUP($A22,'Matriz de Referencia'!$B$2:$CO$584,63,FALSE)=0,0,"Digite"))</f>
        <v>0</v>
      </c>
      <c r="EA22" s="454" t="str">
        <f>IF(OR('Parte Estrategica'!AN22=0,'Parte Estrategica'!AN22=""),"",IF(VLOOKUP($A22,'Matriz de Referencia'!$B$2:$CO$584,64,FALSE)=0,"","Digite"))</f>
        <v/>
      </c>
      <c r="EB22" s="382">
        <f t="shared" si="27"/>
        <v>0</v>
      </c>
      <c r="EC22" s="382">
        <f t="shared" si="28"/>
        <v>0</v>
      </c>
      <c r="ED22" s="453">
        <f>IF(OR('Parte Estrategica'!AO22=0,'Parte Estrategica'!AO22=""),0,IF(VLOOKUP($A22,'Matriz de Referencia'!$B$2:$CO$584,53,FALSE)=0,0,"Digite"))</f>
        <v>0</v>
      </c>
      <c r="EE22" s="454">
        <f>IF(OR('Parte Estrategica'!AO22=0,'Parte Estrategica'!AO22=""),0,IF(VLOOKUP($A22,'Matriz de Referencia'!$B$2:$CO$584,54,FALSE)=0,0,"Digite"))</f>
        <v>0</v>
      </c>
      <c r="EF22" s="454">
        <f>IF(OR('Parte Estrategica'!AO22=0,'Parte Estrategica'!AO22=""),0,IF(VLOOKUP($A22,'Matriz de Referencia'!$B$2:$CO$584,55,FALSE)=0,0,"Digite"))</f>
        <v>0</v>
      </c>
      <c r="EG22" s="454">
        <f>IF(OR('Parte Estrategica'!AO22=0,'Parte Estrategica'!AO22=""),0,IF(VLOOKUP($A22,'Matriz de Referencia'!$B$2:$CO$584,56,FALSE)=0,0,"Digite"))</f>
        <v>0</v>
      </c>
      <c r="EH22" s="454">
        <f>IF(OR('Parte Estrategica'!AO22=0,'Parte Estrategica'!AO22=""),0,IF(VLOOKUP($A22,'Matriz de Referencia'!$B$2:$CO$584,57,FALSE)=0,0,"Digite"))</f>
        <v>0</v>
      </c>
      <c r="EI22" s="454">
        <f>IF(OR('Parte Estrategica'!AO22=0,'Parte Estrategica'!AO22=""),0,IF(VLOOKUP($A22,'Matriz de Referencia'!$B$2:$CO$584,58,FALSE)=0,0,"Digite"))</f>
        <v>0</v>
      </c>
      <c r="EJ22" s="454">
        <f>IF(OR('Parte Estrategica'!AO22=0,'Parte Estrategica'!AO22=""),0,IF(VLOOKUP($A22,'Matriz de Referencia'!$B$2:$CO$584,59,FALSE)=0,0,"Digite"))</f>
        <v>0</v>
      </c>
      <c r="EK22" s="454">
        <f>IF(OR('Parte Estrategica'!AO22=0,'Parte Estrategica'!AO22=""),0,IF(VLOOKUP($A22,'Matriz de Referencia'!$B$2:$CO$584,60,FALSE)=0,0,"Digite"))</f>
        <v>0</v>
      </c>
      <c r="EL22" s="382">
        <f t="shared" si="29"/>
        <v>0</v>
      </c>
      <c r="EM22" s="454">
        <f>IF(OR('Parte Estrategica'!AO22=0,'Parte Estrategica'!AO22=""),0,IF(VLOOKUP($A22,'Matriz de Referencia'!$B$2:$CO$584,62,FALSE)=0,0,"Digite"))</f>
        <v>0</v>
      </c>
      <c r="EN22" s="454">
        <f>IF(OR('Parte Estrategica'!AO22=0,'Parte Estrategica'!AO22=""),0,IF(VLOOKUP($A22,'Matriz de Referencia'!$B$2:$CO$584,63,FALSE)=0,0,"Digite"))</f>
        <v>0</v>
      </c>
      <c r="EO22" s="454">
        <f>IF(OR('Parte Estrategica'!AO22=0,'Parte Estrategica'!AO22=""),0,IF(VLOOKUP($A22,'Matriz de Referencia'!$B$2:$CO$584,64,FALSE)=0,0,"Digite"))</f>
        <v>0</v>
      </c>
      <c r="EP22" s="382">
        <f t="shared" si="30"/>
        <v>0</v>
      </c>
      <c r="EQ22" s="382">
        <f t="shared" si="31"/>
        <v>0</v>
      </c>
      <c r="ER22" s="453">
        <f>IF(OR('Parte Estrategica'!AP22=0,'Parte Estrategica'!AP22=""),0,IF(VLOOKUP($A22,'Matriz de Referencia'!$B$2:$CO$584,53,FALSE)=0,0,"Digite"))</f>
        <v>0</v>
      </c>
      <c r="ES22" s="454">
        <f>IF(OR('Parte Estrategica'!AP22=0,'Parte Estrategica'!AP22=""),0,IF(VLOOKUP($A22,'Matriz de Referencia'!$B$2:$CO$584,54,FALSE)=0,0,"Digite"))</f>
        <v>0</v>
      </c>
      <c r="ET22" s="454">
        <f>IF(OR('Parte Estrategica'!AP22=0,'Parte Estrategica'!AP22=""),0,IF(VLOOKUP($A22,'Matriz de Referencia'!$B$2:$CO$584,55,FALSE)=0,0,"Digite"))</f>
        <v>0</v>
      </c>
      <c r="EU22" s="454">
        <f>IF(OR('Parte Estrategica'!AP22=0,'Parte Estrategica'!AP22=""),0,IF(VLOOKUP($A22,'Matriz de Referencia'!$B$2:$CO$584,56,FALSE)=0,0,"Digite"))</f>
        <v>0</v>
      </c>
      <c r="EV22" s="454">
        <f>IF(OR('Parte Estrategica'!AP22=0,'Parte Estrategica'!AP22=""),0,IF(VLOOKUP($A22,'Matriz de Referencia'!$B$2:$CO$584,57,FALSE)=0,0,"Digite"))</f>
        <v>0</v>
      </c>
      <c r="EW22" s="454">
        <f>IF(OR('Parte Estrategica'!AP22=0,'Parte Estrategica'!AP22=""),0,IF(VLOOKUP($A22,'Matriz de Referencia'!$B$2:$CO$584,58,FALSE)=0,0,"Digite"))</f>
        <v>0</v>
      </c>
      <c r="EX22" s="454">
        <f>IF(OR('Parte Estrategica'!AP22=0,'Parte Estrategica'!AP22=""),0,IF(VLOOKUP($A22,'Matriz de Referencia'!$B$2:$CO$584,59,FALSE)=0,0,"Digite"))</f>
        <v>0</v>
      </c>
      <c r="EY22" s="454">
        <f>IF(OR('Parte Estrategica'!AP22=0,'Parte Estrategica'!AP22=""),0,IF(VLOOKUP($A22,'Matriz de Referencia'!$B$2:$CO$584,60,FALSE)=0,0,"Digite"))</f>
        <v>0</v>
      </c>
      <c r="EZ22" s="382">
        <f t="shared" si="32"/>
        <v>0</v>
      </c>
      <c r="FA22" s="454">
        <f>IF(OR('Parte Estrategica'!AP22=0,'Parte Estrategica'!AP22=""),0,IF(VLOOKUP($A22,'Matriz de Referencia'!$B$2:$CO$584,62,FALSE)=0,0,"Digite"))</f>
        <v>0</v>
      </c>
      <c r="FB22" s="454">
        <f>IF(OR('Parte Estrategica'!AP22=0,'Parte Estrategica'!AP22=""),0,IF(VLOOKUP($A22,'Matriz de Referencia'!$B$2:$CO$584,63,FALSE)=0,0,"Digite"))</f>
        <v>0</v>
      </c>
      <c r="FC22" s="454">
        <f>IF(OR('Parte Estrategica'!AP22=0,'Parte Estrategica'!AP22=""),0,IF(VLOOKUP($A22,'Matriz de Referencia'!$B$2:$CO$584,64,FALSE)=0,0,"Digite"))</f>
        <v>0</v>
      </c>
      <c r="FD22" s="382">
        <f t="shared" si="33"/>
        <v>0</v>
      </c>
      <c r="FE22" s="382">
        <f t="shared" si="34"/>
        <v>0</v>
      </c>
      <c r="FF22" s="453">
        <f>IF(OR('Parte Estrategica'!AQ22=0,'Parte Estrategica'!AQ22=""),0,IF(VLOOKUP($A22,'Matriz de Referencia'!$B$2:$CO$584,53,FALSE)=0,0,"Digite"))</f>
        <v>0</v>
      </c>
      <c r="FG22" s="454">
        <f>IF(OR('Parte Estrategica'!AQ22=0,'Parte Estrategica'!AQ22=""),0,IF(VLOOKUP($A22,'Matriz de Referencia'!$B$2:$CO$584,54,FALSE)=0,0,"Digite"))</f>
        <v>0</v>
      </c>
      <c r="FH22" s="454">
        <f>IF(OR('Parte Estrategica'!AQ22=0,'Parte Estrategica'!AQ22=""),0,IF(VLOOKUP($A22,'Matriz de Referencia'!$B$2:$CO$584,55,FALSE)=0,0,"Digite"))</f>
        <v>0</v>
      </c>
      <c r="FI22" s="454">
        <f>IF(OR('Parte Estrategica'!AQ22=0,'Parte Estrategica'!AQ22=""),0,IF(VLOOKUP($A22,'Matriz de Referencia'!$B$2:$CO$584,56,FALSE)=0,0,"Digite"))</f>
        <v>0</v>
      </c>
      <c r="FJ22" s="454">
        <f>IF(OR('Parte Estrategica'!AQ22=0,'Parte Estrategica'!AQ22=""),0,IF(VLOOKUP($A22,'Matriz de Referencia'!$B$2:$CO$584,57,FALSE)=0,0,"Digite"))</f>
        <v>0</v>
      </c>
      <c r="FK22" s="454">
        <f>IF(OR('Parte Estrategica'!AQ22=0,'Parte Estrategica'!AQ22=""),0,IF(VLOOKUP($A22,'Matriz de Referencia'!$B$2:$CO$584,58,FALSE)=0,0,"Digite"))</f>
        <v>0</v>
      </c>
      <c r="FL22" s="454">
        <f>IF(OR('Parte Estrategica'!AQ22=0,'Parte Estrategica'!AQ22=""),0,IF(VLOOKUP($A22,'Matriz de Referencia'!$B$2:$CO$584,59,FALSE)=0,0,"Digite"))</f>
        <v>0</v>
      </c>
      <c r="FM22" s="454">
        <f>IF(OR('Parte Estrategica'!AQ22=0,'Parte Estrategica'!AQ22=""),0,IF(VLOOKUP($A22,'Matriz de Referencia'!$B$2:$CO$584,60,FALSE)=0,0,"Digite"))</f>
        <v>0</v>
      </c>
      <c r="FN22" s="382">
        <f t="shared" si="35"/>
        <v>0</v>
      </c>
      <c r="FO22" s="454">
        <f>IF(OR('Parte Estrategica'!AQ22=0,'Parte Estrategica'!AQ22=""),0,IF(VLOOKUP($A22,'Matriz de Referencia'!$B$2:$CO$584,62,FALSE)=0,0,"Digite"))</f>
        <v>0</v>
      </c>
      <c r="FP22" s="454">
        <f>IF(OR('Parte Estrategica'!AQ22=0,'Parte Estrategica'!AQ22=""),0,IF(VLOOKUP($A22,'Matriz de Referencia'!$B$2:$CO$584,63,FALSE)=0,0,"Digite"))</f>
        <v>0</v>
      </c>
      <c r="FQ22" s="454">
        <f>IF(OR('Parte Estrategica'!AQ22=0,'Parte Estrategica'!AQ22=""),0,IF(VLOOKUP($A22,'Matriz de Referencia'!$B$2:$CO$584,64,FALSE)=0,0,"Digite"))</f>
        <v>0</v>
      </c>
      <c r="FR22" s="382">
        <f t="shared" si="36"/>
        <v>0</v>
      </c>
      <c r="FS22" s="382">
        <f t="shared" si="37"/>
        <v>0</v>
      </c>
      <c r="FT22" s="382">
        <f t="shared" si="38"/>
        <v>0</v>
      </c>
      <c r="FU22" s="101" t="str">
        <f>IFERROR(IF(FT22=0,"",IF(VLOOKUP($A22,'Matriz de Referencia'!$B$2:$CO$584,66,FALSE)=FT22,"Techos ok, cotinue","Debe revisar el valor programado")),"")</f>
        <v/>
      </c>
      <c r="FV22" s="453">
        <f>IF(OR('Parte Estrategica'!AT22=0,'Parte Estrategica'!AT22=""),0,IF(VLOOKUP($A22,'Matriz de Referencia'!$B$2:$CO$584,67,FALSE)=0,0,"Digite"))</f>
        <v>0</v>
      </c>
      <c r="FW22" s="454">
        <f>IF(OR('Parte Estrategica'!AT22=0,'Parte Estrategica'!AT22=""),0,IF(VLOOKUP($A22,'Matriz de Referencia'!$B$2:$CO$584,68,FALSE)=0,0,"Digite"))</f>
        <v>0</v>
      </c>
      <c r="FX22" s="454">
        <f>IF(OR('Parte Estrategica'!AT22=0,'Parte Estrategica'!AT22=""),0,IF(VLOOKUP($A22,'Matriz de Referencia'!$B$2:$CO$584,69,FALSE)=0,0,"Digite"))</f>
        <v>0</v>
      </c>
      <c r="FY22" s="454">
        <f>IF(OR('Parte Estrategica'!AT22=0,'Parte Estrategica'!AT22=""),0,IF(VLOOKUP($A22,'Matriz de Referencia'!$B$2:$CO$584,70,FALSE)=0,0,"Digite"))</f>
        <v>0</v>
      </c>
      <c r="FZ22" s="454">
        <f>IF(OR('Parte Estrategica'!AT22=0,'Parte Estrategica'!AT22=""),0,IF(VLOOKUP($A22,'Matriz de Referencia'!$B$2:$CO$584,71,FALSE)=0,0,"Digite"))</f>
        <v>0</v>
      </c>
      <c r="GA22" s="454">
        <f>IF(OR('Parte Estrategica'!AT22=0,'Parte Estrategica'!AT22=""),0,IF(VLOOKUP($A22,'Matriz de Referencia'!$B$2:$CO$584,72,FALSE)=0,0,"Digite"))</f>
        <v>0</v>
      </c>
      <c r="GB22" s="454">
        <f>IF(OR('Parte Estrategica'!AT22=0,'Parte Estrategica'!AT22=""),0,IF(VLOOKUP($A22,'Matriz de Referencia'!$B$2:$CO$584,73,FALSE)=0,0,"Digite"))</f>
        <v>0</v>
      </c>
      <c r="GC22" s="454">
        <f>IF(OR('Parte Estrategica'!AT22=0,'Parte Estrategica'!AT22=""),0,IF(VLOOKUP($A22,'Matriz de Referencia'!$B$2:$CO$584,74,FALSE)=0,0,"Digite"))</f>
        <v>0</v>
      </c>
      <c r="GD22" s="382">
        <f t="shared" si="39"/>
        <v>0</v>
      </c>
      <c r="GE22" s="454">
        <f>IF(OR('Parte Estrategica'!AT22=0,'Parte Estrategica'!AT22=""),0,IF(VLOOKUP($A22,'Matriz de Referencia'!$B$2:$CO$584,76,FALSE)=0,0,"Digite"))</f>
        <v>0</v>
      </c>
      <c r="GF22" s="454">
        <f>IF(OR('Parte Estrategica'!AT22=0,'Parte Estrategica'!AT22=""),0,IF(VLOOKUP($A22,'Matriz de Referencia'!$B$2:$CO$584,77,FALSE)=0,0,"Digite"))</f>
        <v>0</v>
      </c>
      <c r="GG22" s="454">
        <f>IF(OR('Parte Estrategica'!AT22=0,'Parte Estrategica'!AT22=""),0,IF(VLOOKUP($A22,'Matriz de Referencia'!$B$2:$CO$584,78,FALSE)=0,0,"Digite"))</f>
        <v>0</v>
      </c>
      <c r="GH22" s="382">
        <f t="shared" si="40"/>
        <v>0</v>
      </c>
      <c r="GI22" s="382">
        <f t="shared" si="41"/>
        <v>0</v>
      </c>
      <c r="GJ22" s="453">
        <f>IF(OR('Parte Estrategica'!AU22=0,'Parte Estrategica'!AU22=""),0,IF(VLOOKUP($A22,'Matriz de Referencia'!$B$2:$CO$584,67,FALSE)=0,0,"Digite"))</f>
        <v>0</v>
      </c>
      <c r="GK22" s="454">
        <f>IF(OR('Parte Estrategica'!AU22=0,'Parte Estrategica'!AU22=""),0,IF(VLOOKUP($A22,'Matriz de Referencia'!$B$2:$CO$584,68,FALSE)=0,0,"Digite"))</f>
        <v>0</v>
      </c>
      <c r="GL22" s="454">
        <f>IF(OR('Parte Estrategica'!AU22=0,'Parte Estrategica'!AU22=""),0,IF(VLOOKUP($A22,'Matriz de Referencia'!$B$2:$CO$584,69,FALSE)=0,0,"Digite"))</f>
        <v>0</v>
      </c>
      <c r="GM22" s="454">
        <f>IF(OR('Parte Estrategica'!AU22=0,'Parte Estrategica'!AU22=""),0,IF(VLOOKUP($A22,'Matriz de Referencia'!$B$2:$CO$584,70,FALSE)=0,0,"Digite"))</f>
        <v>0</v>
      </c>
      <c r="GN22" s="454">
        <f>IF(OR('Parte Estrategica'!AU22=0,'Parte Estrategica'!AU22=""),0,IF(VLOOKUP($A22,'Matriz de Referencia'!$B$2:$CO$584,71,FALSE)=0,0,"Digite"))</f>
        <v>0</v>
      </c>
      <c r="GO22" s="454">
        <f>IF(OR('Parte Estrategica'!AU22=0,'Parte Estrategica'!AU22=""),0,IF(VLOOKUP($A22,'Matriz de Referencia'!$B$2:$CO$584,72,FALSE)=0,0,"Digite"))</f>
        <v>0</v>
      </c>
      <c r="GP22" s="454">
        <f>IF(OR('Parte Estrategica'!AU22=0,'Parte Estrategica'!AU22=""),0,IF(VLOOKUP($A22,'Matriz de Referencia'!$B$2:$CO$584,73,FALSE)=0,0,"Digite"))</f>
        <v>0</v>
      </c>
      <c r="GQ22" s="454">
        <f>IF(OR('Parte Estrategica'!AU22=0,'Parte Estrategica'!AU22=""),0,IF(VLOOKUP($A22,'Matriz de Referencia'!$B$2:$CO$584,74,FALSE)=0,0,"Digite"))</f>
        <v>0</v>
      </c>
      <c r="GR22" s="382">
        <f t="shared" si="42"/>
        <v>0</v>
      </c>
      <c r="GS22" s="454">
        <f>IF(OR('Parte Estrategica'!AU22=0,'Parte Estrategica'!AU22=""),0,IF(VLOOKUP($A22,'Matriz de Referencia'!$B$2:$CO$584,76,FALSE)=0,0,"Digite"))</f>
        <v>0</v>
      </c>
      <c r="GT22" s="454">
        <f>IF(OR('Parte Estrategica'!AU22=0,'Parte Estrategica'!AU22=""),0,IF(VLOOKUP($A22,'Matriz de Referencia'!$B$2:$CO$584,77,FALSE)=0,0,"Digite"))</f>
        <v>0</v>
      </c>
      <c r="GU22" s="454">
        <f>IF(OR('Parte Estrategica'!AU22=0,'Parte Estrategica'!AU22=""),0,IF(VLOOKUP($A22,'Matriz de Referencia'!$B$2:$CO$584,78,FALSE)=0,0,"Digite"))</f>
        <v>0</v>
      </c>
      <c r="GV22" s="382">
        <f t="shared" si="43"/>
        <v>0</v>
      </c>
      <c r="GW22" s="382">
        <f t="shared" si="44"/>
        <v>0</v>
      </c>
      <c r="GX22" s="453">
        <f>IF(OR('Parte Estrategica'!AV22=0,'Parte Estrategica'!AV22=""),0,IF(VLOOKUP($A22,'Matriz de Referencia'!$B$2:$CO$584,67,FALSE)=0,0,"Digite"))</f>
        <v>0</v>
      </c>
      <c r="GY22" s="454">
        <f>IF(OR('Parte Estrategica'!AV22=0,'Parte Estrategica'!AV22=""),0,IF(VLOOKUP($A22,'Matriz de Referencia'!$B$2:$CO$584,68,FALSE)=0,0,"Digite"))</f>
        <v>0</v>
      </c>
      <c r="GZ22" s="454">
        <f>IF(OR('Parte Estrategica'!AV22=0,'Parte Estrategica'!AV22=""),0,IF(VLOOKUP($A22,'Matriz de Referencia'!$B$2:$CO$584,69,FALSE)=0,0,"Digite"))</f>
        <v>0</v>
      </c>
      <c r="HA22" s="454">
        <f>IF(OR('Parte Estrategica'!AV22=0,'Parte Estrategica'!AV22=""),0,IF(VLOOKUP($A22,'Matriz de Referencia'!$B$2:$CO$584,70,FALSE)=0,0,"Digite"))</f>
        <v>0</v>
      </c>
      <c r="HB22" s="454">
        <f>IF(OR('Parte Estrategica'!AV22=0,'Parte Estrategica'!AV22=""),0,IF(VLOOKUP($A22,'Matriz de Referencia'!$B$2:$CO$584,71,FALSE)=0,0,"Digite"))</f>
        <v>0</v>
      </c>
      <c r="HC22" s="454">
        <f>IF(OR('Parte Estrategica'!AV22=0,'Parte Estrategica'!AV22=""),0,IF(VLOOKUP($A22,'Matriz de Referencia'!$B$2:$CO$584,72,FALSE)=0,0,"Digite"))</f>
        <v>0</v>
      </c>
      <c r="HD22" s="454">
        <f>IF(OR('Parte Estrategica'!AV22=0,'Parte Estrategica'!AV22=""),0,IF(VLOOKUP($A22,'Matriz de Referencia'!$B$2:$CO$584,73,FALSE)=0,0,"Digite"))</f>
        <v>0</v>
      </c>
      <c r="HE22" s="454">
        <f>IF(OR('Parte Estrategica'!AV22=0,'Parte Estrategica'!AV22=""),0,IF(VLOOKUP($A22,'Matriz de Referencia'!$B$2:$CO$584,74,FALSE)=0,0,"Digite"))</f>
        <v>0</v>
      </c>
      <c r="HF22" s="382">
        <f t="shared" si="45"/>
        <v>0</v>
      </c>
      <c r="HG22" s="454">
        <f>IF(OR('Parte Estrategica'!AV22=0,'Parte Estrategica'!AV22=""),0,IF(VLOOKUP($A22,'Matriz de Referencia'!$B$2:$CO$584,76,FALSE)=0,0,"Digite"))</f>
        <v>0</v>
      </c>
      <c r="HH22" s="454">
        <f>IF(OR('Parte Estrategica'!AV22=0,'Parte Estrategica'!AV22=""),0,IF(VLOOKUP($A22,'Matriz de Referencia'!$B$2:$CO$584,77,FALSE)=0,0,"Digite"))</f>
        <v>0</v>
      </c>
      <c r="HI22" s="454">
        <f>IF(OR('Parte Estrategica'!AV22=0,'Parte Estrategica'!AV22=""),0,IF(VLOOKUP($A22,'Matriz de Referencia'!$B$2:$CO$584,78,FALSE)=0,0,"Digite"))</f>
        <v>0</v>
      </c>
      <c r="HJ22" s="382">
        <f t="shared" si="46"/>
        <v>0</v>
      </c>
      <c r="HK22" s="382">
        <f t="shared" si="47"/>
        <v>0</v>
      </c>
      <c r="HL22" s="453">
        <f>IF(OR('Parte Estrategica'!AW22=0,'Parte Estrategica'!AW22=""),0,IF(VLOOKUP($A22,'Matriz de Referencia'!$B$2:$CO$584,67,FALSE)=0,0,"Digite"))</f>
        <v>0</v>
      </c>
      <c r="HM22" s="454">
        <f>IF(OR('Parte Estrategica'!AW22=0,'Parte Estrategica'!AW22=""),0,IF(VLOOKUP($A22,'Matriz de Referencia'!$B$2:$CO$584,68,FALSE)=0,0,"Digite"))</f>
        <v>0</v>
      </c>
      <c r="HN22" s="454">
        <f>IF(OR('Parte Estrategica'!AW22=0,'Parte Estrategica'!AW22=""),0,IF(VLOOKUP($A22,'Matriz de Referencia'!$B$2:$CO$584,69,FALSE)=0,0,"Digite"))</f>
        <v>0</v>
      </c>
      <c r="HO22" s="454">
        <f>IF(OR('Parte Estrategica'!AW22=0,'Parte Estrategica'!AW22=""),0,IF(VLOOKUP($A22,'Matriz de Referencia'!$B$2:$CO$584,70,FALSE)=0,0,"Digite"))</f>
        <v>0</v>
      </c>
      <c r="HP22" s="454">
        <f>IF(OR('Parte Estrategica'!AW22=0,'Parte Estrategica'!AW22=""),0,IF(VLOOKUP($A22,'Matriz de Referencia'!$B$2:$CO$584,71,FALSE)=0,0,"Digite"))</f>
        <v>0</v>
      </c>
      <c r="HQ22" s="454">
        <f>IF(OR('Parte Estrategica'!AW22=0,'Parte Estrategica'!AW22=""),0,IF(VLOOKUP($A22,'Matriz de Referencia'!$B$2:$CO$584,72,FALSE)=0,0,"Digite"))</f>
        <v>0</v>
      </c>
      <c r="HR22" s="454">
        <f>IF(OR('Parte Estrategica'!AW22=0,'Parte Estrategica'!AW22=""),0,IF(VLOOKUP($A22,'Matriz de Referencia'!$B$2:$CO$584,73,FALSE)=0,0,"Digite"))</f>
        <v>0</v>
      </c>
      <c r="HS22" s="454">
        <f>IF(OR('Parte Estrategica'!AW22=0,'Parte Estrategica'!AW22=""),0,IF(VLOOKUP($A22,'Matriz de Referencia'!$B$2:$CO$584,74,FALSE)=0,0,"Digite"))</f>
        <v>0</v>
      </c>
      <c r="HT22" s="382">
        <f t="shared" si="48"/>
        <v>0</v>
      </c>
      <c r="HU22" s="454">
        <f>IF(OR('Parte Estrategica'!AW22=0,'Parte Estrategica'!AW22=""),0,IF(VLOOKUP($A22,'Matriz de Referencia'!$B$2:$CO$584,76,FALSE)=0,0,"Digite"))</f>
        <v>0</v>
      </c>
      <c r="HV22" s="454">
        <f>IF(OR('Parte Estrategica'!AW22=0,'Parte Estrategica'!AW22=""),0,IF(VLOOKUP($A22,'Matriz de Referencia'!$B$2:$CO$584,77,FALSE)=0,0,"Digite"))</f>
        <v>0</v>
      </c>
      <c r="HW22" s="454">
        <f>IF(OR('Parte Estrategica'!AW22=0,'Parte Estrategica'!AW22=""),0,IF(VLOOKUP($A22,'Matriz de Referencia'!$B$2:$CO$584,78,FALSE)=0,0,"Digite"))</f>
        <v>0</v>
      </c>
      <c r="HX22" s="382">
        <f t="shared" si="49"/>
        <v>0</v>
      </c>
      <c r="HY22" s="382">
        <f t="shared" si="50"/>
        <v>0</v>
      </c>
      <c r="HZ22" s="382">
        <f t="shared" si="51"/>
        <v>0</v>
      </c>
      <c r="IA22" s="101" t="str">
        <f>IFERROR(IF(HZ22=0,"",IF(VLOOKUP($A22,'Matriz de Referencia'!$B$2:$CO$584,80,FALSE)=HZ22,"Techos ok, cotinue","Debe revisar el valor programado")),"")</f>
        <v/>
      </c>
      <c r="IB22" s="383">
        <f t="shared" si="52"/>
        <v>0</v>
      </c>
    </row>
    <row r="23" spans="1:236">
      <c r="A23" s="550" t="str">
        <f>IF('Parte Estrategica'!B23=0,"",'Parte Estrategica'!B23)</f>
        <v/>
      </c>
      <c r="B23" s="551" t="str">
        <f>IFERROR(VLOOKUP(A23,'Matriz de Referencia'!$B$2:$P$578,'Matriz de Referencia'!L$1,FALSE),"")</f>
        <v/>
      </c>
      <c r="C23" s="551" t="str">
        <f>IFERROR(VLOOKUP(A23,'Matriz de Referencia'!$B$2:$P$584,'Matriz de Referencia'!M$1,FALSE),"")</f>
        <v/>
      </c>
      <c r="D23" s="455" t="str">
        <f>IF(OR('Parte Estrategica'!AB23=0,'Parte Estrategica'!AB23=""),"",IF(VLOOKUP($A23,'Matriz de Referencia'!$B$2:$CO$584,'Matriz de Referencia'!Z$1,FALSE)=0,"","Digite"))</f>
        <v/>
      </c>
      <c r="E23" s="456">
        <f>IF(OR('Parte Estrategica'!AB23=0,'Parte Estrategica'!AB23=""),0,IF(VLOOKUP($A23,'Matriz de Referencia'!$B$2:$CO$584,26,FALSE)=0,0,"Digite"))</f>
        <v>0</v>
      </c>
      <c r="F23" s="456">
        <f>IF(OR('Parte Estrategica'!AB23=0,'Parte Estrategica'!AB23=""),0,IF(VLOOKUP($A23,'Matriz de Referencia'!$B$2:$CO$584,27,FALSE)=0,0,"Digite"))</f>
        <v>0</v>
      </c>
      <c r="G23" s="456">
        <f>IF(OR('Parte Estrategica'!AB23=0,'Parte Estrategica'!AB23=""),0,IF(VLOOKUP($A23,'Matriz de Referencia'!$B$2:$CO$584,28,FALSE)=0,0,"Digite"))</f>
        <v>0</v>
      </c>
      <c r="H23" s="456">
        <f>IF(OR('Parte Estrategica'!AB23=0,'Parte Estrategica'!AB23=""),0,IF(VLOOKUP($A23,'Matriz de Referencia'!$B$2:$CO$584,29,FALSE)=0,0,"Digite"))</f>
        <v>0</v>
      </c>
      <c r="I23" s="456">
        <f>IF(OR('Parte Estrategica'!AB23=0,'Parte Estrategica'!AB23=""),0,IF(VLOOKUP($A23,'Matriz de Referencia'!$B$2:$CO$584,30,FALSE)=0,0,"Digite"))</f>
        <v>0</v>
      </c>
      <c r="J23" s="456">
        <f>IF(OR('Parte Estrategica'!AB23=0,'Parte Estrategica'!AB23=""),0,IF(VLOOKUP($A23,'Matriz de Referencia'!$B$2:$CO$584,31,FALSE)=0,0,"Digite"))</f>
        <v>0</v>
      </c>
      <c r="K23" s="456">
        <f>IF(OR('Parte Estrategica'!AB23=0,'Parte Estrategica'!AB23=""),0,IF(VLOOKUP($A23,'Matriz de Referencia'!$B$2:$CO$584,32,FALSE)=0,0,"Digite"))</f>
        <v>0</v>
      </c>
      <c r="L23" s="460">
        <f t="shared" si="0"/>
        <v>0</v>
      </c>
      <c r="M23" s="456">
        <f>IF(OR('Parte Estrategica'!AB23=0,'Parte Estrategica'!AB23=""),0,IF(VLOOKUP($A23,'Matriz de Referencia'!$B$2:$CO$584,34,FALSE)=0,0,"Digite"))</f>
        <v>0</v>
      </c>
      <c r="N23" s="456">
        <f>IF(OR('Parte Estrategica'!AB23=0,'Parte Estrategica'!AB23=""),0,IF(VLOOKUP($A23,'Matriz de Referencia'!$B$2:$CO$584,35,FALSE)=0,0,"Digite"))</f>
        <v>0</v>
      </c>
      <c r="O23" s="456">
        <f>IF(OR('Parte Estrategica'!AB23=0,'Parte Estrategica'!AB23=""),0,IF(VLOOKUP($A23,'Matriz de Referencia'!$B$2:$CO$584,36,FALSE)=0,0,"Digite"))</f>
        <v>0</v>
      </c>
      <c r="P23" s="457">
        <f t="shared" si="1"/>
        <v>0</v>
      </c>
      <c r="Q23" s="457">
        <f t="shared" si="2"/>
        <v>0</v>
      </c>
      <c r="R23" s="455">
        <f>IF(OR('Parte Estrategica'!AC23=0,'Parte Estrategica'!AC23=""),0,IF(VLOOKUP($A23,'Matriz de Referencia'!$B$2:$CO$584,25,FALSE)=0,0,"Digite"))</f>
        <v>0</v>
      </c>
      <c r="S23" s="456">
        <f>IF(OR('Parte Estrategica'!AC23=0,'Parte Estrategica'!AC23=""),0,IF(VLOOKUP($A23,'Matriz de Referencia'!$B$2:$CO$584,26,FALSE)=0,0,"Digite"))</f>
        <v>0</v>
      </c>
      <c r="T23" s="456">
        <f>IF(OR('Parte Estrategica'!AC23=0,'Parte Estrategica'!AC23=""),0,IF(VLOOKUP($A23,'Matriz de Referencia'!$B$2:$CO$584,27,FALSE)=0,0,"Digite"))</f>
        <v>0</v>
      </c>
      <c r="U23" s="456">
        <f>IF(OR('Parte Estrategica'!AC23=0,'Parte Estrategica'!AC23=""),0,IF(VLOOKUP($A23,'Matriz de Referencia'!$B$2:$CO$584,28,FALSE)=0,0,"Digite"))</f>
        <v>0</v>
      </c>
      <c r="V23" s="456">
        <f>IF(OR('Parte Estrategica'!AC23=0,'Parte Estrategica'!AC23=""),0,IF(VLOOKUP($A23,'Matriz de Referencia'!$B$2:$CO$584,29,FALSE)=0,0,"Digite"))</f>
        <v>0</v>
      </c>
      <c r="W23" s="456">
        <f>IF(OR('Parte Estrategica'!AC23=0,'Parte Estrategica'!AC23=""),0,IF(VLOOKUP($A23,'Matriz de Referencia'!$B$2:$CO$584,30,FALSE)=0,0,"Digite"))</f>
        <v>0</v>
      </c>
      <c r="X23" s="456">
        <f>IF(OR('Parte Estrategica'!AC23=0,'Parte Estrategica'!AC23=""),0,IF(VLOOKUP($A23,'Matriz de Referencia'!$B$2:$CO$584,31,FALSE)=0,0,"Digite"))</f>
        <v>0</v>
      </c>
      <c r="Y23" s="456">
        <f>IF(OR('Parte Estrategica'!AC23=0,'Parte Estrategica'!AC23=""),0,IF(VLOOKUP($A23,'Matriz de Referencia'!$B$2:$CO$584,32,FALSE)=0,0,"Digite"))</f>
        <v>0</v>
      </c>
      <c r="Z23" s="457">
        <f t="shared" si="3"/>
        <v>0</v>
      </c>
      <c r="AA23" s="456">
        <f>IF(OR('Parte Estrategica'!AC23=0,'Parte Estrategica'!AC23=""),0,IF(VLOOKUP($A23,'Matriz de Referencia'!$B$2:$CO$584,34,FALSE)=0,0,"Digite"))</f>
        <v>0</v>
      </c>
      <c r="AB23" s="456">
        <f>IF(OR('Parte Estrategica'!AC23=0,'Parte Estrategica'!AC23=""),0,IF(VLOOKUP($A23,'Matriz de Referencia'!$B$2:$CO$584,35,FALSE)=0,0,"Digite"))</f>
        <v>0</v>
      </c>
      <c r="AC23" s="456">
        <f>IF(OR('Parte Estrategica'!AC23=0,'Parte Estrategica'!AC23=""),0,IF(VLOOKUP($A23,'Matriz de Referencia'!$B$2:$CO$584,36,FALSE)=0,0,"Digite"))</f>
        <v>0</v>
      </c>
      <c r="AD23" s="457">
        <f t="shared" si="4"/>
        <v>0</v>
      </c>
      <c r="AE23" s="457">
        <f t="shared" si="5"/>
        <v>0</v>
      </c>
      <c r="AF23" s="455">
        <f>IF(OR('Parte Estrategica'!AD23=0,'Parte Estrategica'!AD23=""),0,IF(VLOOKUP($A23,'Matriz de Referencia'!$B$2:$CO$584,25,FALSE)=0,0,"Digite"))</f>
        <v>0</v>
      </c>
      <c r="AG23" s="456">
        <f>IF(OR('Parte Estrategica'!AD23=0,'Parte Estrategica'!AD23=""),0,IF(VLOOKUP($A23,'Matriz de Referencia'!$B$2:$CO$584,26,FALSE)=0,0,"Digite"))</f>
        <v>0</v>
      </c>
      <c r="AH23" s="456">
        <f>IF(OR('Parte Estrategica'!AD23=0,'Parte Estrategica'!AD23=""),0,IF(VLOOKUP($A23,'Matriz de Referencia'!$B$2:$CO$584,27,FALSE)=0,0,"Digite"))</f>
        <v>0</v>
      </c>
      <c r="AI23" s="456">
        <f>IF(OR('Parte Estrategica'!AD23=0,'Parte Estrategica'!AD23=""),0,IF(VLOOKUP($A23,'Matriz de Referencia'!$B$2:$CO$584,28,FALSE)=0,0,"Digite"))</f>
        <v>0</v>
      </c>
      <c r="AJ23" s="456">
        <f>IF(OR('Parte Estrategica'!AD23=0,'Parte Estrategica'!AD23=""),0,IF(VLOOKUP($A23,'Matriz de Referencia'!$B$2:$CO$584,29,FALSE)=0,0,"Digite"))</f>
        <v>0</v>
      </c>
      <c r="AK23" s="456">
        <f>IF(OR('Parte Estrategica'!AD23=0,'Parte Estrategica'!AD23=""),0,IF(VLOOKUP($A23,'Matriz de Referencia'!$B$2:$CO$584,30,FALSE)=0,0,"Digite"))</f>
        <v>0</v>
      </c>
      <c r="AL23" s="456">
        <f>IF(OR('Parte Estrategica'!AD23=0,'Parte Estrategica'!AD23=""),0,IF(VLOOKUP($A23,'Matriz de Referencia'!$B$2:$CO$584,31,FALSE)=0,0,"Digite"))</f>
        <v>0</v>
      </c>
      <c r="AM23" s="456">
        <f>IF(OR('Parte Estrategica'!AD23=0,'Parte Estrategica'!AD23=""),0,IF(VLOOKUP($A23,'Matriz de Referencia'!$B$2:$CO$584,32,FALSE)=0,0,"Digite"))</f>
        <v>0</v>
      </c>
      <c r="AN23" s="457">
        <f t="shared" si="6"/>
        <v>0</v>
      </c>
      <c r="AO23" s="456">
        <f>IF(OR('Parte Estrategica'!AD23=0,'Parte Estrategica'!AD23=""),0,IF(VLOOKUP($A23,'Matriz de Referencia'!$B$2:$CO$584,34,FALSE)=0,0,"Digite"))</f>
        <v>0</v>
      </c>
      <c r="AP23" s="456">
        <f>IF(OR('Parte Estrategica'!AD23=0,'Parte Estrategica'!AD23=""),0,IF(VLOOKUP($A23,'Matriz de Referencia'!$B$2:$CO$584,35,FALSE)=0,0,"Digite"))</f>
        <v>0</v>
      </c>
      <c r="AQ23" s="456">
        <f>IF(OR('Parte Estrategica'!AD23=0,'Parte Estrategica'!AD23=""),0,IF(VLOOKUP($A23,'Matriz de Referencia'!$B$2:$CO$584,36,FALSE)=0,0,"Digite"))</f>
        <v>0</v>
      </c>
      <c r="AR23" s="457">
        <f t="shared" si="7"/>
        <v>0</v>
      </c>
      <c r="AS23" s="457">
        <f t="shared" si="8"/>
        <v>0</v>
      </c>
      <c r="AT23" s="455">
        <f>IF(OR('Parte Estrategica'!AE23=0,'Parte Estrategica'!AE23=""),0,IF(VLOOKUP($A23,'Matriz de Referencia'!$B$2:$CO$584,25,FALSE)=0,0,"Digite"))</f>
        <v>0</v>
      </c>
      <c r="AU23" s="456">
        <f>IF(OR('Parte Estrategica'!AE23=0,'Parte Estrategica'!AE23=""),0,IF(VLOOKUP($A23,'Matriz de Referencia'!$B$2:$CO$584,26,FALSE)=0,0,"Digite"))</f>
        <v>0</v>
      </c>
      <c r="AV23" s="456">
        <f>IF(OR('Parte Estrategica'!AE23=0,'Parte Estrategica'!AE23=""),0,IF(VLOOKUP($A23,'Matriz de Referencia'!$B$2:$CO$584,27,FALSE)=0,0,"Digite"))</f>
        <v>0</v>
      </c>
      <c r="AW23" s="456">
        <f>IF(OR('Parte Estrategica'!AE23=0,'Parte Estrategica'!AE23=""),0,IF(VLOOKUP($A23,'Matriz de Referencia'!$B$2:$CO$584,28,FALSE)=0,0,"Digite"))</f>
        <v>0</v>
      </c>
      <c r="AX23" s="456">
        <f>IF(OR('Parte Estrategica'!AE23=0,'Parte Estrategica'!AE23=""),0,IF(VLOOKUP($A23,'Matriz de Referencia'!$B$2:$CO$584,29,FALSE)=0,0,"Digite"))</f>
        <v>0</v>
      </c>
      <c r="AY23" s="456">
        <f>IF(OR('Parte Estrategica'!AE23=0,'Parte Estrategica'!AE23=""),0,IF(VLOOKUP($A23,'Matriz de Referencia'!$B$2:$CO$584,30,FALSE)=0,0,"Digite"))</f>
        <v>0</v>
      </c>
      <c r="AZ23" s="456">
        <f>IF(OR('Parte Estrategica'!AE23=0,'Parte Estrategica'!AE23=""),0,IF(VLOOKUP($A23,'Matriz de Referencia'!$B$2:$CO$584,31,FALSE)=0,0,"Digite"))</f>
        <v>0</v>
      </c>
      <c r="BA23" s="456">
        <f>IF(OR('Parte Estrategica'!AE23=0,'Parte Estrategica'!AE23=""),0,IF(VLOOKUP($A23,'Matriz de Referencia'!$B$2:$CO$584,32,FALSE)=0,0,"Digite"))</f>
        <v>0</v>
      </c>
      <c r="BB23" s="457">
        <f t="shared" si="9"/>
        <v>0</v>
      </c>
      <c r="BC23" s="456">
        <f>IF(OR('Parte Estrategica'!AE23=0,'Parte Estrategica'!AE23=""),0,IF(VLOOKUP($A23,'Matriz de Referencia'!$B$2:$CO$584,34,FALSE)=0,0,"Digite"))</f>
        <v>0</v>
      </c>
      <c r="BD23" s="456">
        <f>IF(OR('Parte Estrategica'!AE23=0,'Parte Estrategica'!AE23=""),0,IF(VLOOKUP($A23,'Matriz de Referencia'!$B$2:$CO$584,35,FALSE)=0,0,"Digite"))</f>
        <v>0</v>
      </c>
      <c r="BE23" s="456">
        <f>IF(OR('Parte Estrategica'!AE23=0,'Parte Estrategica'!AE23=""),0,IF(VLOOKUP($A23,'Matriz de Referencia'!$B$2:$CO$584,36,FALSE)=0,0,"Digite"))</f>
        <v>0</v>
      </c>
      <c r="BF23" s="457">
        <f t="shared" si="10"/>
        <v>0</v>
      </c>
      <c r="BG23" s="457">
        <f t="shared" si="11"/>
        <v>0</v>
      </c>
      <c r="BH23" s="457">
        <f t="shared" si="12"/>
        <v>0</v>
      </c>
      <c r="BI23" s="101" t="str">
        <f>IFERROR(IF(BH23=0,"",IF(VLOOKUP($A23,'Matriz de Referencia'!$B$2:$CO$584,'Matriz de Referencia'!AM$1,FALSE)=BH23,"Techos ok, cotinue","Debe revisar el valor programado")),"")</f>
        <v/>
      </c>
      <c r="BJ23" s="453">
        <f>IF(OR('Parte Estrategica'!AH23=0,'Parte Estrategica'!AH23=""),0,IF(VLOOKUP($A23,'Matriz de Referencia'!$B$2:$CO$584,39,FALSE)=0,0,"Digite"))</f>
        <v>0</v>
      </c>
      <c r="BK23" s="454">
        <f>IF(OR('Parte Estrategica'!AH23=0,'Parte Estrategica'!AH23=""),0,IF(VLOOKUP($A23,'Matriz de Referencia'!$B$2:$CO$584,40,FALSE)=0,0,"Digite"))</f>
        <v>0</v>
      </c>
      <c r="BL23" s="454">
        <f>IF(OR('Parte Estrategica'!AH23=0,'Parte Estrategica'!AH23=""),0,IF(VLOOKUP($A23,'Matriz de Referencia'!$B$2:$CO$584,41,FALSE)=0,0,"Digite"))</f>
        <v>0</v>
      </c>
      <c r="BM23" s="454">
        <f>IF(OR('Parte Estrategica'!AH23=0,'Parte Estrategica'!AH23=""),0,IF(VLOOKUP($A23,'Matriz de Referencia'!$B$2:$CO$584,42,FALSE)=0,0,"Digite"))</f>
        <v>0</v>
      </c>
      <c r="BN23" s="454">
        <f>IF(OR('Parte Estrategica'!AH23=0,'Parte Estrategica'!AH23=""),0,IF(VLOOKUP($A23,'Matriz de Referencia'!$B$2:$CO$584,43,FALSE)=0,0,"Digite"))</f>
        <v>0</v>
      </c>
      <c r="BO23" s="454">
        <f>IF(OR('Parte Estrategica'!AH23=0,'Parte Estrategica'!AH23=""),0,IF(VLOOKUP($A23,'Matriz de Referencia'!$B$2:$CO$584,44,FALSE)=0,0,"Digite"))</f>
        <v>0</v>
      </c>
      <c r="BP23" s="454">
        <f>IF(OR('Parte Estrategica'!AH23=0,'Parte Estrategica'!AH23=""),0,IF(VLOOKUP($A23,'Matriz de Referencia'!$B$2:$CO$584,45,FALSE)=0,0,"Digite"))</f>
        <v>0</v>
      </c>
      <c r="BQ23" s="454">
        <f>IF(OR('Parte Estrategica'!AH23=0,'Parte Estrategica'!AH23=""),0,IF(VLOOKUP($A23,'Matriz de Referencia'!$B$2:$CO$584,46,FALSE)=0,0,"Digite"))</f>
        <v>0</v>
      </c>
      <c r="BR23" s="382">
        <f t="shared" si="13"/>
        <v>0</v>
      </c>
      <c r="BS23" s="454">
        <f>IF(OR('Parte Estrategica'!CL23=0,'Parte Estrategica'!CL23=""),0,IF(VLOOKUP($A23,'Matriz de Referencia'!$B$2:$CO$584,48,FALSE)=0,0,"Digite"))</f>
        <v>0</v>
      </c>
      <c r="BT23" s="454">
        <f>IF(OR('Parte Estrategica'!CL23=0,'Parte Estrategica'!CL23=""),0,IF(VLOOKUP($A23,'Matriz de Referencia'!$B$2:$CO$584,49,FALSE)=0,0,"Digite"))</f>
        <v>0</v>
      </c>
      <c r="BU23" s="454">
        <f>IF(OR('Parte Estrategica'!CL23=0,'Parte Estrategica'!CL23=""),0,IF(VLOOKUP($A23,'Matriz de Referencia'!$B$2:$CO$584,50,FALSE)=0,0,"Digite"))</f>
        <v>0</v>
      </c>
      <c r="BV23" s="382">
        <f t="shared" si="14"/>
        <v>0</v>
      </c>
      <c r="BW23" s="382">
        <f t="shared" si="15"/>
        <v>0</v>
      </c>
      <c r="BX23" s="453">
        <f>IF(OR('Parte Estrategica'!AI23=0,'Parte Estrategica'!AI23=""),0,IF(VLOOKUP($A23,'Matriz de Referencia'!$B$2:$CO$584,39,FALSE)=0,0,"Digite"))</f>
        <v>0</v>
      </c>
      <c r="BY23" s="454">
        <f>IF(OR('Parte Estrategica'!AI23=0,'Parte Estrategica'!AI23=""),0,IF(VLOOKUP($A23,'Matriz de Referencia'!$B$2:$CO$584,40,FALSE)=0,0,"Digite"))</f>
        <v>0</v>
      </c>
      <c r="BZ23" s="454">
        <f>IF(OR('Parte Estrategica'!AI23=0,'Parte Estrategica'!AI23=""),0,IF(VLOOKUP($A23,'Matriz de Referencia'!$B$2:$CO$584,41,FALSE)=0,0,"Digite"))</f>
        <v>0</v>
      </c>
      <c r="CA23" s="454">
        <f>IF(OR('Parte Estrategica'!AI23=0,'Parte Estrategica'!AI23=""),0,IF(VLOOKUP($A23,'Matriz de Referencia'!$B$2:$CO$584,42,FALSE)=0,0,"Digite"))</f>
        <v>0</v>
      </c>
      <c r="CB23" s="454">
        <f>IF(OR('Parte Estrategica'!AI23=0,'Parte Estrategica'!AI23=""),0,IF(VLOOKUP($A23,'Matriz de Referencia'!$B$2:$CO$584,43,FALSE)=0,0,"Digite"))</f>
        <v>0</v>
      </c>
      <c r="CC23" s="454">
        <f>IF(OR('Parte Estrategica'!AI23=0,'Parte Estrategica'!AI23=""),0,IF(VLOOKUP($A23,'Matriz de Referencia'!$B$2:$CO$584,44,FALSE)=0,0,"Digite"))</f>
        <v>0</v>
      </c>
      <c r="CD23" s="454">
        <f>IF(OR('Parte Estrategica'!AI23=0,'Parte Estrategica'!AI23=""),0,IF(VLOOKUP($A23,'Matriz de Referencia'!$B$2:$CO$584,45,FALSE)=0,0,"Digite"))</f>
        <v>0</v>
      </c>
      <c r="CE23" s="454">
        <f>IF(OR('Parte Estrategica'!AI23=0,'Parte Estrategica'!AI23=""),0,IF(VLOOKUP($A23,'Matriz de Referencia'!$B$2:$CO$584,46,FALSE)=0,0,"Digite"))</f>
        <v>0</v>
      </c>
      <c r="CF23" s="382">
        <f t="shared" si="16"/>
        <v>0</v>
      </c>
      <c r="CG23" s="454">
        <f>IF(OR('Parte Estrategica'!AI23=0,'Parte Estrategica'!AI23=""),0,IF(VLOOKUP($A23,'Matriz de Referencia'!$B$2:$CO$584,48,FALSE)=0,0,"Digite"))</f>
        <v>0</v>
      </c>
      <c r="CH23" s="454">
        <f>IF(OR('Parte Estrategica'!AI23=0,'Parte Estrategica'!AI23=""),0,IF(VLOOKUP($A23,'Matriz de Referencia'!$B$2:$CO$584,49,FALSE)=0,0,"Digite"))</f>
        <v>0</v>
      </c>
      <c r="CI23" s="454">
        <f>IF(OR('Parte Estrategica'!AI23=0,'Parte Estrategica'!AI23=""),0,IF(VLOOKUP($A23,'Matriz de Referencia'!$B$2:$CO$584,50,FALSE)=0,0,"Digite"))</f>
        <v>0</v>
      </c>
      <c r="CJ23" s="382">
        <f t="shared" si="17"/>
        <v>0</v>
      </c>
      <c r="CK23" s="382">
        <f t="shared" si="18"/>
        <v>0</v>
      </c>
      <c r="CL23" s="453">
        <f>IF(OR('Parte Estrategica'!AJ23=0,'Parte Estrategica'!AJ23=""),0,IF(VLOOKUP($A23,'Matriz de Referencia'!$B$2:$CO$584,39,FALSE)=0,0,"Digite"))</f>
        <v>0</v>
      </c>
      <c r="CM23" s="454">
        <f>IF(OR('Parte Estrategica'!AJ23=0,'Parte Estrategica'!AJ23=""),0,IF(VLOOKUP($A23,'Matriz de Referencia'!$B$2:$CO$584,40,FALSE)=0,0,"Digite"))</f>
        <v>0</v>
      </c>
      <c r="CN23" s="454">
        <f>IF(OR('Parte Estrategica'!AJ23=0,'Parte Estrategica'!AJ23=""),0,IF(VLOOKUP($A23,'Matriz de Referencia'!$B$2:$CO$584,41,FALSE)=0,0,"Digite"))</f>
        <v>0</v>
      </c>
      <c r="CO23" s="454">
        <f>IF(OR('Parte Estrategica'!AJ23=0,'Parte Estrategica'!AJ23=""),0,IF(VLOOKUP($A23,'Matriz de Referencia'!$B$2:$CO$584,42,FALSE)=0,0,"Digite"))</f>
        <v>0</v>
      </c>
      <c r="CP23" s="454">
        <f>IF(OR('Parte Estrategica'!AJ23=0,'Parte Estrategica'!AJ23=""),0,IF(VLOOKUP($A23,'Matriz de Referencia'!$B$2:$CO$584,43,FALSE)=0,0,"Digite"))</f>
        <v>0</v>
      </c>
      <c r="CQ23" s="454">
        <f>IF(OR('Parte Estrategica'!AJ23=0,'Parte Estrategica'!AJ23=""),0,IF(VLOOKUP($A23,'Matriz de Referencia'!$B$2:$CO$584,44,FALSE)=0,0,"Digite"))</f>
        <v>0</v>
      </c>
      <c r="CR23" s="454">
        <f>IF(OR('Parte Estrategica'!AJ23=0,'Parte Estrategica'!AJ23=""),0,IF(VLOOKUP($A23,'Matriz de Referencia'!$B$2:$CO$584,45,FALSE)=0,0,"Digite"))</f>
        <v>0</v>
      </c>
      <c r="CS23" s="454">
        <f>IF(OR('Parte Estrategica'!AJ23=0,'Parte Estrategica'!AJ23=""),0,IF(VLOOKUP($A23,'Matriz de Referencia'!$B$2:$CO$584,46,FALSE)=0,0,"Digite"))</f>
        <v>0</v>
      </c>
      <c r="CT23" s="382">
        <f t="shared" si="19"/>
        <v>0</v>
      </c>
      <c r="CU23" s="454">
        <f>IF(OR('Parte Estrategica'!AJ23=0,'Parte Estrategica'!AJ23=""),0,IF(VLOOKUP($A23,'Matriz de Referencia'!$B$2:$CO$584,48,FALSE)=0,0,"Digite"))</f>
        <v>0</v>
      </c>
      <c r="CV23" s="454">
        <f>IF(OR('Parte Estrategica'!AJ23=0,'Parte Estrategica'!AJ23=""),0,IF(VLOOKUP($A23,'Matriz de Referencia'!$B$2:$CO$584,49,FALSE)=0,0,"Digite"))</f>
        <v>0</v>
      </c>
      <c r="CW23" s="454">
        <f>IF(OR('Parte Estrategica'!AJ23=0,'Parte Estrategica'!AJ23=""),0,IF(VLOOKUP($A23,'Matriz de Referencia'!$B$2:$CO$584,50,FALSE)=0,0,"Digite"))</f>
        <v>0</v>
      </c>
      <c r="CX23" s="382">
        <f t="shared" si="20"/>
        <v>0</v>
      </c>
      <c r="CY23" s="382">
        <f t="shared" si="21"/>
        <v>0</v>
      </c>
      <c r="CZ23" s="453">
        <f>IF(OR('Parte Estrategica'!AK23=0,'Parte Estrategica'!AK23=""),0,IF(VLOOKUP($A23,'Matriz de Referencia'!$B$2:$CO$584,39,FALSE)=0,0,"Digite"))</f>
        <v>0</v>
      </c>
      <c r="DA23" s="454">
        <f>IF(OR('Parte Estrategica'!AK23=0,'Parte Estrategica'!AK23=""),0,IF(VLOOKUP($A23,'Matriz de Referencia'!$B$2:$CO$584,40,FALSE)=0,0,"Digite"))</f>
        <v>0</v>
      </c>
      <c r="DB23" s="454">
        <f>IF(OR('Parte Estrategica'!AK23=0,'Parte Estrategica'!AK23=""),0,IF(VLOOKUP($A23,'Matriz de Referencia'!$B$2:$CO$584,41,FALSE)=0,0,"Digite"))</f>
        <v>0</v>
      </c>
      <c r="DC23" s="454">
        <f>IF(OR('Parte Estrategica'!AK23=0,'Parte Estrategica'!AK23=""),0,IF(VLOOKUP($A23,'Matriz de Referencia'!$B$2:$CO$584,42,FALSE)=0,0,"Digite"))</f>
        <v>0</v>
      </c>
      <c r="DD23" s="454">
        <f>IF(OR('Parte Estrategica'!AK23=0,'Parte Estrategica'!AK23=""),0,IF(VLOOKUP($A23,'Matriz de Referencia'!$B$2:$CO$584,43,FALSE)=0,0,"Digite"))</f>
        <v>0</v>
      </c>
      <c r="DE23" s="454">
        <f>IF(OR('Parte Estrategica'!AK23=0,'Parte Estrategica'!AK23=""),0,IF(VLOOKUP($A23,'Matriz de Referencia'!$B$2:$CO$584,44,FALSE)=0,0,"Digite"))</f>
        <v>0</v>
      </c>
      <c r="DF23" s="454">
        <f>IF(OR('Parte Estrategica'!AK23=0,'Parte Estrategica'!AK23=""),0,IF(VLOOKUP($A23,'Matriz de Referencia'!$B$2:$CO$584,45,FALSE)=0,0,"Digite"))</f>
        <v>0</v>
      </c>
      <c r="DG23" s="454">
        <f>IF(OR('Parte Estrategica'!AK23=0,'Parte Estrategica'!AK23=""),0,IF(VLOOKUP($A23,'Matriz de Referencia'!$B$2:$CO$584,46,FALSE)=0,0,"Digite"))</f>
        <v>0</v>
      </c>
      <c r="DH23" s="382">
        <f t="shared" si="22"/>
        <v>0</v>
      </c>
      <c r="DI23" s="454">
        <f>IF(OR('Parte Estrategica'!AK23=0,'Parte Estrategica'!AK23=""),0,IF(VLOOKUP($A23,'Matriz de Referencia'!$B$2:$CO$584,48,FALSE)=0,0,"Digite"))</f>
        <v>0</v>
      </c>
      <c r="DJ23" s="454">
        <f>IF(OR('Parte Estrategica'!AK23=0,'Parte Estrategica'!AK23=""),0,IF(VLOOKUP($A23,'Matriz de Referencia'!$B$2:$CO$584,49,FALSE)=0,0,"Digite"))</f>
        <v>0</v>
      </c>
      <c r="DK23" s="454">
        <f>IF(OR('Parte Estrategica'!AK23=0,'Parte Estrategica'!AK23=""),0,IF(VLOOKUP($A23,'Matriz de Referencia'!$B$2:$CO$584,50,FALSE)=0,0,"Digite"))</f>
        <v>0</v>
      </c>
      <c r="DL23" s="382">
        <f t="shared" si="23"/>
        <v>0</v>
      </c>
      <c r="DM23" s="382">
        <f t="shared" si="24"/>
        <v>0</v>
      </c>
      <c r="DN23" s="382">
        <f t="shared" si="25"/>
        <v>0</v>
      </c>
      <c r="DO23" s="101" t="str">
        <f>IFERROR(IF(DN23=0,"",IF(VLOOKUP($A23,'Matriz de Referencia'!$B$2:$CO$584,52,FALSE)=DN23,"Techos ok, cotinue","Debe revisar el valor programado")),"")</f>
        <v/>
      </c>
      <c r="DP23" s="453">
        <f>IF(OR('Parte Estrategica'!AN23=0,'Parte Estrategica'!AN23=""),0,IF(VLOOKUP($A23,'Matriz de Referencia'!$B$2:$CO$584,53,FALSE)=0,0,"Digite"))</f>
        <v>0</v>
      </c>
      <c r="DQ23" s="454">
        <f>IF(OR('Parte Estrategica'!AN23=0,'Parte Estrategica'!AN23=""),0,IF(VLOOKUP($A23,'Matriz de Referencia'!$B$2:$CO$584,54,FALSE)=0,0,"Digite"))</f>
        <v>0</v>
      </c>
      <c r="DR23" s="454">
        <f>IF(OR('Parte Estrategica'!AN23=0,'Parte Estrategica'!AN23=""),0,IF(VLOOKUP($A23,'Matriz de Referencia'!$B$2:$CO$584,55,FALSE)=0,0,"Digite"))</f>
        <v>0</v>
      </c>
      <c r="DS23" s="454">
        <f>IF(OR('Parte Estrategica'!AN23=0,'Parte Estrategica'!AN23=""),0,IF(VLOOKUP($A23,'Matriz de Referencia'!$B$2:$CO$584,56,FALSE)=0,0,"Digite"))</f>
        <v>0</v>
      </c>
      <c r="DT23" s="454">
        <f>IF(OR('Parte Estrategica'!AN23=0,'Parte Estrategica'!AN23=""),0,IF(VLOOKUP($A23,'Matriz de Referencia'!$B$2:$CO$584,57,FALSE)=0,0,"Digite"))</f>
        <v>0</v>
      </c>
      <c r="DU23" s="454">
        <f>IF(OR('Parte Estrategica'!AN23=0,'Parte Estrategica'!AN23=""),0,IF(VLOOKUP($A23,'Matriz de Referencia'!$B$2:$CO$584,58,FALSE)=0,0,"Digite"))</f>
        <v>0</v>
      </c>
      <c r="DV23" s="454">
        <f>IF(OR('Parte Estrategica'!AN23=0,'Parte Estrategica'!AN23=""),0,IF(VLOOKUP($A23,'Matriz de Referencia'!$B$2:$CO$584,59,FALSE)=0,0,"Digite"))</f>
        <v>0</v>
      </c>
      <c r="DW23" s="454">
        <f>IF(OR('Parte Estrategica'!AN23=0,'Parte Estrategica'!AN23=""),0,IF(VLOOKUP($A23,'Matriz de Referencia'!$B$2:$CO$584,60,FALSE)=0,0,"Digite"))</f>
        <v>0</v>
      </c>
      <c r="DX23" s="382">
        <f t="shared" si="26"/>
        <v>0</v>
      </c>
      <c r="DY23" s="454">
        <f>IF(OR('Parte Estrategica'!AN23=0,'Parte Estrategica'!AN23=""),0,IF(VLOOKUP($A23,'Matriz de Referencia'!$B$2:$CO$584,62,FALSE)=0,0,"Digite"))</f>
        <v>0</v>
      </c>
      <c r="DZ23" s="454">
        <f>IF(OR('Parte Estrategica'!AN23=0,'Parte Estrategica'!AN23=""),0,IF(VLOOKUP($A23,'Matriz de Referencia'!$B$2:$CO$584,63,FALSE)=0,0,"Digite"))</f>
        <v>0</v>
      </c>
      <c r="EA23" s="454" t="str">
        <f>IF(OR('Parte Estrategica'!AN23=0,'Parte Estrategica'!AN23=""),"",IF(VLOOKUP($A23,'Matriz de Referencia'!$B$2:$CO$584,64,FALSE)=0,"","Digite"))</f>
        <v/>
      </c>
      <c r="EB23" s="382">
        <f t="shared" si="27"/>
        <v>0</v>
      </c>
      <c r="EC23" s="382">
        <f t="shared" si="28"/>
        <v>0</v>
      </c>
      <c r="ED23" s="453">
        <f>IF(OR('Parte Estrategica'!AO23=0,'Parte Estrategica'!AO23=""),0,IF(VLOOKUP($A23,'Matriz de Referencia'!$B$2:$CO$584,53,FALSE)=0,0,"Digite"))</f>
        <v>0</v>
      </c>
      <c r="EE23" s="454">
        <f>IF(OR('Parte Estrategica'!AO23=0,'Parte Estrategica'!AO23=""),0,IF(VLOOKUP($A23,'Matriz de Referencia'!$B$2:$CO$584,54,FALSE)=0,0,"Digite"))</f>
        <v>0</v>
      </c>
      <c r="EF23" s="454">
        <f>IF(OR('Parte Estrategica'!AO23=0,'Parte Estrategica'!AO23=""),0,IF(VLOOKUP($A23,'Matriz de Referencia'!$B$2:$CO$584,55,FALSE)=0,0,"Digite"))</f>
        <v>0</v>
      </c>
      <c r="EG23" s="454">
        <f>IF(OR('Parte Estrategica'!AO23=0,'Parte Estrategica'!AO23=""),0,IF(VLOOKUP($A23,'Matriz de Referencia'!$B$2:$CO$584,56,FALSE)=0,0,"Digite"))</f>
        <v>0</v>
      </c>
      <c r="EH23" s="454">
        <f>IF(OR('Parte Estrategica'!AO23=0,'Parte Estrategica'!AO23=""),0,IF(VLOOKUP($A23,'Matriz de Referencia'!$B$2:$CO$584,57,FALSE)=0,0,"Digite"))</f>
        <v>0</v>
      </c>
      <c r="EI23" s="454">
        <f>IF(OR('Parte Estrategica'!AO23=0,'Parte Estrategica'!AO23=""),0,IF(VLOOKUP($A23,'Matriz de Referencia'!$B$2:$CO$584,58,FALSE)=0,0,"Digite"))</f>
        <v>0</v>
      </c>
      <c r="EJ23" s="454">
        <f>IF(OR('Parte Estrategica'!AO23=0,'Parte Estrategica'!AO23=""),0,IF(VLOOKUP($A23,'Matriz de Referencia'!$B$2:$CO$584,59,FALSE)=0,0,"Digite"))</f>
        <v>0</v>
      </c>
      <c r="EK23" s="454">
        <f>IF(OR('Parte Estrategica'!AO23=0,'Parte Estrategica'!AO23=""),0,IF(VLOOKUP($A23,'Matriz de Referencia'!$B$2:$CO$584,60,FALSE)=0,0,"Digite"))</f>
        <v>0</v>
      </c>
      <c r="EL23" s="382">
        <f t="shared" si="29"/>
        <v>0</v>
      </c>
      <c r="EM23" s="454">
        <f>IF(OR('Parte Estrategica'!AO23=0,'Parte Estrategica'!AO23=""),0,IF(VLOOKUP($A23,'Matriz de Referencia'!$B$2:$CO$584,62,FALSE)=0,0,"Digite"))</f>
        <v>0</v>
      </c>
      <c r="EN23" s="454">
        <f>IF(OR('Parte Estrategica'!AO23=0,'Parte Estrategica'!AO23=""),0,IF(VLOOKUP($A23,'Matriz de Referencia'!$B$2:$CO$584,63,FALSE)=0,0,"Digite"))</f>
        <v>0</v>
      </c>
      <c r="EO23" s="454">
        <f>IF(OR('Parte Estrategica'!AO23=0,'Parte Estrategica'!AO23=""),0,IF(VLOOKUP($A23,'Matriz de Referencia'!$B$2:$CO$584,64,FALSE)=0,0,"Digite"))</f>
        <v>0</v>
      </c>
      <c r="EP23" s="382">
        <f t="shared" si="30"/>
        <v>0</v>
      </c>
      <c r="EQ23" s="382">
        <f t="shared" si="31"/>
        <v>0</v>
      </c>
      <c r="ER23" s="453">
        <f>IF(OR('Parte Estrategica'!AP23=0,'Parte Estrategica'!AP23=""),0,IF(VLOOKUP($A23,'Matriz de Referencia'!$B$2:$CO$584,53,FALSE)=0,0,"Digite"))</f>
        <v>0</v>
      </c>
      <c r="ES23" s="454">
        <f>IF(OR('Parte Estrategica'!AP23=0,'Parte Estrategica'!AP23=""),0,IF(VLOOKUP($A23,'Matriz de Referencia'!$B$2:$CO$584,54,FALSE)=0,0,"Digite"))</f>
        <v>0</v>
      </c>
      <c r="ET23" s="454">
        <f>IF(OR('Parte Estrategica'!AP23=0,'Parte Estrategica'!AP23=""),0,IF(VLOOKUP($A23,'Matriz de Referencia'!$B$2:$CO$584,55,FALSE)=0,0,"Digite"))</f>
        <v>0</v>
      </c>
      <c r="EU23" s="454">
        <f>IF(OR('Parte Estrategica'!AP23=0,'Parte Estrategica'!AP23=""),0,IF(VLOOKUP($A23,'Matriz de Referencia'!$B$2:$CO$584,56,FALSE)=0,0,"Digite"))</f>
        <v>0</v>
      </c>
      <c r="EV23" s="454">
        <f>IF(OR('Parte Estrategica'!AP23=0,'Parte Estrategica'!AP23=""),0,IF(VLOOKUP($A23,'Matriz de Referencia'!$B$2:$CO$584,57,FALSE)=0,0,"Digite"))</f>
        <v>0</v>
      </c>
      <c r="EW23" s="454">
        <f>IF(OR('Parte Estrategica'!AP23=0,'Parte Estrategica'!AP23=""),0,IF(VLOOKUP($A23,'Matriz de Referencia'!$B$2:$CO$584,58,FALSE)=0,0,"Digite"))</f>
        <v>0</v>
      </c>
      <c r="EX23" s="454">
        <f>IF(OR('Parte Estrategica'!AP23=0,'Parte Estrategica'!AP23=""),0,IF(VLOOKUP($A23,'Matriz de Referencia'!$B$2:$CO$584,59,FALSE)=0,0,"Digite"))</f>
        <v>0</v>
      </c>
      <c r="EY23" s="454">
        <f>IF(OR('Parte Estrategica'!AP23=0,'Parte Estrategica'!AP23=""),0,IF(VLOOKUP($A23,'Matriz de Referencia'!$B$2:$CO$584,60,FALSE)=0,0,"Digite"))</f>
        <v>0</v>
      </c>
      <c r="EZ23" s="382">
        <f t="shared" si="32"/>
        <v>0</v>
      </c>
      <c r="FA23" s="454">
        <f>IF(OR('Parte Estrategica'!AP23=0,'Parte Estrategica'!AP23=""),0,IF(VLOOKUP($A23,'Matriz de Referencia'!$B$2:$CO$584,62,FALSE)=0,0,"Digite"))</f>
        <v>0</v>
      </c>
      <c r="FB23" s="454">
        <f>IF(OR('Parte Estrategica'!AP23=0,'Parte Estrategica'!AP23=""),0,IF(VLOOKUP($A23,'Matriz de Referencia'!$B$2:$CO$584,63,FALSE)=0,0,"Digite"))</f>
        <v>0</v>
      </c>
      <c r="FC23" s="454">
        <f>IF(OR('Parte Estrategica'!AP23=0,'Parte Estrategica'!AP23=""),0,IF(VLOOKUP($A23,'Matriz de Referencia'!$B$2:$CO$584,64,FALSE)=0,0,"Digite"))</f>
        <v>0</v>
      </c>
      <c r="FD23" s="382">
        <f t="shared" si="33"/>
        <v>0</v>
      </c>
      <c r="FE23" s="382">
        <f t="shared" si="34"/>
        <v>0</v>
      </c>
      <c r="FF23" s="453">
        <f>IF(OR('Parte Estrategica'!AQ23=0,'Parte Estrategica'!AQ23=""),0,IF(VLOOKUP($A23,'Matriz de Referencia'!$B$2:$CO$584,53,FALSE)=0,0,"Digite"))</f>
        <v>0</v>
      </c>
      <c r="FG23" s="454">
        <f>IF(OR('Parte Estrategica'!AQ23=0,'Parte Estrategica'!AQ23=""),0,IF(VLOOKUP($A23,'Matriz de Referencia'!$B$2:$CO$584,54,FALSE)=0,0,"Digite"))</f>
        <v>0</v>
      </c>
      <c r="FH23" s="454">
        <f>IF(OR('Parte Estrategica'!AQ23=0,'Parte Estrategica'!AQ23=""),0,IF(VLOOKUP($A23,'Matriz de Referencia'!$B$2:$CO$584,55,FALSE)=0,0,"Digite"))</f>
        <v>0</v>
      </c>
      <c r="FI23" s="454">
        <f>IF(OR('Parte Estrategica'!AQ23=0,'Parte Estrategica'!AQ23=""),0,IF(VLOOKUP($A23,'Matriz de Referencia'!$B$2:$CO$584,56,FALSE)=0,0,"Digite"))</f>
        <v>0</v>
      </c>
      <c r="FJ23" s="454">
        <f>IF(OR('Parte Estrategica'!AQ23=0,'Parte Estrategica'!AQ23=""),0,IF(VLOOKUP($A23,'Matriz de Referencia'!$B$2:$CO$584,57,FALSE)=0,0,"Digite"))</f>
        <v>0</v>
      </c>
      <c r="FK23" s="454">
        <f>IF(OR('Parte Estrategica'!AQ23=0,'Parte Estrategica'!AQ23=""),0,IF(VLOOKUP($A23,'Matriz de Referencia'!$B$2:$CO$584,58,FALSE)=0,0,"Digite"))</f>
        <v>0</v>
      </c>
      <c r="FL23" s="454">
        <f>IF(OR('Parte Estrategica'!AQ23=0,'Parte Estrategica'!AQ23=""),0,IF(VLOOKUP($A23,'Matriz de Referencia'!$B$2:$CO$584,59,FALSE)=0,0,"Digite"))</f>
        <v>0</v>
      </c>
      <c r="FM23" s="454">
        <f>IF(OR('Parte Estrategica'!AQ23=0,'Parte Estrategica'!AQ23=""),0,IF(VLOOKUP($A23,'Matriz de Referencia'!$B$2:$CO$584,60,FALSE)=0,0,"Digite"))</f>
        <v>0</v>
      </c>
      <c r="FN23" s="382">
        <f t="shared" si="35"/>
        <v>0</v>
      </c>
      <c r="FO23" s="454">
        <f>IF(OR('Parte Estrategica'!AQ23=0,'Parte Estrategica'!AQ23=""),0,IF(VLOOKUP($A23,'Matriz de Referencia'!$B$2:$CO$584,62,FALSE)=0,0,"Digite"))</f>
        <v>0</v>
      </c>
      <c r="FP23" s="454">
        <f>IF(OR('Parte Estrategica'!AQ23=0,'Parte Estrategica'!AQ23=""),0,IF(VLOOKUP($A23,'Matriz de Referencia'!$B$2:$CO$584,63,FALSE)=0,0,"Digite"))</f>
        <v>0</v>
      </c>
      <c r="FQ23" s="454">
        <f>IF(OR('Parte Estrategica'!AQ23=0,'Parte Estrategica'!AQ23=""),0,IF(VLOOKUP($A23,'Matriz de Referencia'!$B$2:$CO$584,64,FALSE)=0,0,"Digite"))</f>
        <v>0</v>
      </c>
      <c r="FR23" s="382">
        <f t="shared" si="36"/>
        <v>0</v>
      </c>
      <c r="FS23" s="382">
        <f t="shared" si="37"/>
        <v>0</v>
      </c>
      <c r="FT23" s="382">
        <f t="shared" si="38"/>
        <v>0</v>
      </c>
      <c r="FU23" s="101" t="str">
        <f>IFERROR(IF(FT23=0,"",IF(VLOOKUP($A23,'Matriz de Referencia'!$B$2:$CO$584,66,FALSE)=FT23,"Techos ok, cotinue","Debe revisar el valor programado")),"")</f>
        <v/>
      </c>
      <c r="FV23" s="453">
        <f>IF(OR('Parte Estrategica'!AT23=0,'Parte Estrategica'!AT23=""),0,IF(VLOOKUP($A23,'Matriz de Referencia'!$B$2:$CO$584,67,FALSE)=0,0,"Digite"))</f>
        <v>0</v>
      </c>
      <c r="FW23" s="454">
        <f>IF(OR('Parte Estrategica'!AT23=0,'Parte Estrategica'!AT23=""),0,IF(VLOOKUP($A23,'Matriz de Referencia'!$B$2:$CO$584,68,FALSE)=0,0,"Digite"))</f>
        <v>0</v>
      </c>
      <c r="FX23" s="454">
        <f>IF(OR('Parte Estrategica'!AT23=0,'Parte Estrategica'!AT23=""),0,IF(VLOOKUP($A23,'Matriz de Referencia'!$B$2:$CO$584,69,FALSE)=0,0,"Digite"))</f>
        <v>0</v>
      </c>
      <c r="FY23" s="454">
        <f>IF(OR('Parte Estrategica'!AT23=0,'Parte Estrategica'!AT23=""),0,IF(VLOOKUP($A23,'Matriz de Referencia'!$B$2:$CO$584,70,FALSE)=0,0,"Digite"))</f>
        <v>0</v>
      </c>
      <c r="FZ23" s="454">
        <f>IF(OR('Parte Estrategica'!AT23=0,'Parte Estrategica'!AT23=""),0,IF(VLOOKUP($A23,'Matriz de Referencia'!$B$2:$CO$584,71,FALSE)=0,0,"Digite"))</f>
        <v>0</v>
      </c>
      <c r="GA23" s="454">
        <f>IF(OR('Parte Estrategica'!AT23=0,'Parte Estrategica'!AT23=""),0,IF(VLOOKUP($A23,'Matriz de Referencia'!$B$2:$CO$584,72,FALSE)=0,0,"Digite"))</f>
        <v>0</v>
      </c>
      <c r="GB23" s="454">
        <f>IF(OR('Parte Estrategica'!AT23=0,'Parte Estrategica'!AT23=""),0,IF(VLOOKUP($A23,'Matriz de Referencia'!$B$2:$CO$584,73,FALSE)=0,0,"Digite"))</f>
        <v>0</v>
      </c>
      <c r="GC23" s="454">
        <f>IF(OR('Parte Estrategica'!AT23=0,'Parte Estrategica'!AT23=""),0,IF(VLOOKUP($A23,'Matriz de Referencia'!$B$2:$CO$584,74,FALSE)=0,0,"Digite"))</f>
        <v>0</v>
      </c>
      <c r="GD23" s="382">
        <f t="shared" si="39"/>
        <v>0</v>
      </c>
      <c r="GE23" s="454">
        <f>IF(OR('Parte Estrategica'!AT23=0,'Parte Estrategica'!AT23=""),0,IF(VLOOKUP($A23,'Matriz de Referencia'!$B$2:$CO$584,76,FALSE)=0,0,"Digite"))</f>
        <v>0</v>
      </c>
      <c r="GF23" s="454">
        <f>IF(OR('Parte Estrategica'!AT23=0,'Parte Estrategica'!AT23=""),0,IF(VLOOKUP($A23,'Matriz de Referencia'!$B$2:$CO$584,77,FALSE)=0,0,"Digite"))</f>
        <v>0</v>
      </c>
      <c r="GG23" s="454">
        <f>IF(OR('Parte Estrategica'!AT23=0,'Parte Estrategica'!AT23=""),0,IF(VLOOKUP($A23,'Matriz de Referencia'!$B$2:$CO$584,78,FALSE)=0,0,"Digite"))</f>
        <v>0</v>
      </c>
      <c r="GH23" s="382">
        <f t="shared" si="40"/>
        <v>0</v>
      </c>
      <c r="GI23" s="382">
        <f t="shared" si="41"/>
        <v>0</v>
      </c>
      <c r="GJ23" s="453">
        <f>IF(OR('Parte Estrategica'!AU23=0,'Parte Estrategica'!AU23=""),0,IF(VLOOKUP($A23,'Matriz de Referencia'!$B$2:$CO$584,67,FALSE)=0,0,"Digite"))</f>
        <v>0</v>
      </c>
      <c r="GK23" s="454">
        <f>IF(OR('Parte Estrategica'!AU23=0,'Parte Estrategica'!AU23=""),0,IF(VLOOKUP($A23,'Matriz de Referencia'!$B$2:$CO$584,68,FALSE)=0,0,"Digite"))</f>
        <v>0</v>
      </c>
      <c r="GL23" s="454">
        <f>IF(OR('Parte Estrategica'!AU23=0,'Parte Estrategica'!AU23=""),0,IF(VLOOKUP($A23,'Matriz de Referencia'!$B$2:$CO$584,69,FALSE)=0,0,"Digite"))</f>
        <v>0</v>
      </c>
      <c r="GM23" s="454">
        <f>IF(OR('Parte Estrategica'!AU23=0,'Parte Estrategica'!AU23=""),0,IF(VLOOKUP($A23,'Matriz de Referencia'!$B$2:$CO$584,70,FALSE)=0,0,"Digite"))</f>
        <v>0</v>
      </c>
      <c r="GN23" s="454">
        <f>IF(OR('Parte Estrategica'!AU23=0,'Parte Estrategica'!AU23=""),0,IF(VLOOKUP($A23,'Matriz de Referencia'!$B$2:$CO$584,71,FALSE)=0,0,"Digite"))</f>
        <v>0</v>
      </c>
      <c r="GO23" s="454">
        <f>IF(OR('Parte Estrategica'!AU23=0,'Parte Estrategica'!AU23=""),0,IF(VLOOKUP($A23,'Matriz de Referencia'!$B$2:$CO$584,72,FALSE)=0,0,"Digite"))</f>
        <v>0</v>
      </c>
      <c r="GP23" s="454">
        <f>IF(OR('Parte Estrategica'!AU23=0,'Parte Estrategica'!AU23=""),0,IF(VLOOKUP($A23,'Matriz de Referencia'!$B$2:$CO$584,73,FALSE)=0,0,"Digite"))</f>
        <v>0</v>
      </c>
      <c r="GQ23" s="454">
        <f>IF(OR('Parte Estrategica'!AU23=0,'Parte Estrategica'!AU23=""),0,IF(VLOOKUP($A23,'Matriz de Referencia'!$B$2:$CO$584,74,FALSE)=0,0,"Digite"))</f>
        <v>0</v>
      </c>
      <c r="GR23" s="382">
        <f t="shared" si="42"/>
        <v>0</v>
      </c>
      <c r="GS23" s="454">
        <f>IF(OR('Parte Estrategica'!AU23=0,'Parte Estrategica'!AU23=""),0,IF(VLOOKUP($A23,'Matriz de Referencia'!$B$2:$CO$584,76,FALSE)=0,0,"Digite"))</f>
        <v>0</v>
      </c>
      <c r="GT23" s="454">
        <f>IF(OR('Parte Estrategica'!AU23=0,'Parte Estrategica'!AU23=""),0,IF(VLOOKUP($A23,'Matriz de Referencia'!$B$2:$CO$584,77,FALSE)=0,0,"Digite"))</f>
        <v>0</v>
      </c>
      <c r="GU23" s="454">
        <f>IF(OR('Parte Estrategica'!AU23=0,'Parte Estrategica'!AU23=""),0,IF(VLOOKUP($A23,'Matriz de Referencia'!$B$2:$CO$584,78,FALSE)=0,0,"Digite"))</f>
        <v>0</v>
      </c>
      <c r="GV23" s="382">
        <f t="shared" si="43"/>
        <v>0</v>
      </c>
      <c r="GW23" s="382">
        <f t="shared" si="44"/>
        <v>0</v>
      </c>
      <c r="GX23" s="453">
        <f>IF(OR('Parte Estrategica'!AV23=0,'Parte Estrategica'!AV23=""),0,IF(VLOOKUP($A23,'Matriz de Referencia'!$B$2:$CO$584,67,FALSE)=0,0,"Digite"))</f>
        <v>0</v>
      </c>
      <c r="GY23" s="454">
        <f>IF(OR('Parte Estrategica'!AV23=0,'Parte Estrategica'!AV23=""),0,IF(VLOOKUP($A23,'Matriz de Referencia'!$B$2:$CO$584,68,FALSE)=0,0,"Digite"))</f>
        <v>0</v>
      </c>
      <c r="GZ23" s="454">
        <f>IF(OR('Parte Estrategica'!AV23=0,'Parte Estrategica'!AV23=""),0,IF(VLOOKUP($A23,'Matriz de Referencia'!$B$2:$CO$584,69,FALSE)=0,0,"Digite"))</f>
        <v>0</v>
      </c>
      <c r="HA23" s="454">
        <f>IF(OR('Parte Estrategica'!AV23=0,'Parte Estrategica'!AV23=""),0,IF(VLOOKUP($A23,'Matriz de Referencia'!$B$2:$CO$584,70,FALSE)=0,0,"Digite"))</f>
        <v>0</v>
      </c>
      <c r="HB23" s="454">
        <f>IF(OR('Parte Estrategica'!AV23=0,'Parte Estrategica'!AV23=""),0,IF(VLOOKUP($A23,'Matriz de Referencia'!$B$2:$CO$584,71,FALSE)=0,0,"Digite"))</f>
        <v>0</v>
      </c>
      <c r="HC23" s="454">
        <f>IF(OR('Parte Estrategica'!AV23=0,'Parte Estrategica'!AV23=""),0,IF(VLOOKUP($A23,'Matriz de Referencia'!$B$2:$CO$584,72,FALSE)=0,0,"Digite"))</f>
        <v>0</v>
      </c>
      <c r="HD23" s="454">
        <f>IF(OR('Parte Estrategica'!AV23=0,'Parte Estrategica'!AV23=""),0,IF(VLOOKUP($A23,'Matriz de Referencia'!$B$2:$CO$584,73,FALSE)=0,0,"Digite"))</f>
        <v>0</v>
      </c>
      <c r="HE23" s="454">
        <f>IF(OR('Parte Estrategica'!AV23=0,'Parte Estrategica'!AV23=""),0,IF(VLOOKUP($A23,'Matriz de Referencia'!$B$2:$CO$584,74,FALSE)=0,0,"Digite"))</f>
        <v>0</v>
      </c>
      <c r="HF23" s="382">
        <f t="shared" si="45"/>
        <v>0</v>
      </c>
      <c r="HG23" s="454">
        <f>IF(OR('Parte Estrategica'!AV23=0,'Parte Estrategica'!AV23=""),0,IF(VLOOKUP($A23,'Matriz de Referencia'!$B$2:$CO$584,76,FALSE)=0,0,"Digite"))</f>
        <v>0</v>
      </c>
      <c r="HH23" s="454">
        <f>IF(OR('Parte Estrategica'!AV23=0,'Parte Estrategica'!AV23=""),0,IF(VLOOKUP($A23,'Matriz de Referencia'!$B$2:$CO$584,77,FALSE)=0,0,"Digite"))</f>
        <v>0</v>
      </c>
      <c r="HI23" s="454">
        <f>IF(OR('Parte Estrategica'!AV23=0,'Parte Estrategica'!AV23=""),0,IF(VLOOKUP($A23,'Matriz de Referencia'!$B$2:$CO$584,78,FALSE)=0,0,"Digite"))</f>
        <v>0</v>
      </c>
      <c r="HJ23" s="382">
        <f t="shared" si="46"/>
        <v>0</v>
      </c>
      <c r="HK23" s="382">
        <f t="shared" si="47"/>
        <v>0</v>
      </c>
      <c r="HL23" s="453">
        <f>IF(OR('Parte Estrategica'!AW23=0,'Parte Estrategica'!AW23=""),0,IF(VLOOKUP($A23,'Matriz de Referencia'!$B$2:$CO$584,67,FALSE)=0,0,"Digite"))</f>
        <v>0</v>
      </c>
      <c r="HM23" s="454">
        <f>IF(OR('Parte Estrategica'!AW23=0,'Parte Estrategica'!AW23=""),0,IF(VLOOKUP($A23,'Matriz de Referencia'!$B$2:$CO$584,68,FALSE)=0,0,"Digite"))</f>
        <v>0</v>
      </c>
      <c r="HN23" s="454">
        <f>IF(OR('Parte Estrategica'!AW23=0,'Parte Estrategica'!AW23=""),0,IF(VLOOKUP($A23,'Matriz de Referencia'!$B$2:$CO$584,69,FALSE)=0,0,"Digite"))</f>
        <v>0</v>
      </c>
      <c r="HO23" s="454">
        <f>IF(OR('Parte Estrategica'!AW23=0,'Parte Estrategica'!AW23=""),0,IF(VLOOKUP($A23,'Matriz de Referencia'!$B$2:$CO$584,70,FALSE)=0,0,"Digite"))</f>
        <v>0</v>
      </c>
      <c r="HP23" s="454">
        <f>IF(OR('Parte Estrategica'!AW23=0,'Parte Estrategica'!AW23=""),0,IF(VLOOKUP($A23,'Matriz de Referencia'!$B$2:$CO$584,71,FALSE)=0,0,"Digite"))</f>
        <v>0</v>
      </c>
      <c r="HQ23" s="454">
        <f>IF(OR('Parte Estrategica'!AW23=0,'Parte Estrategica'!AW23=""),0,IF(VLOOKUP($A23,'Matriz de Referencia'!$B$2:$CO$584,72,FALSE)=0,0,"Digite"))</f>
        <v>0</v>
      </c>
      <c r="HR23" s="454">
        <f>IF(OR('Parte Estrategica'!AW23=0,'Parte Estrategica'!AW23=""),0,IF(VLOOKUP($A23,'Matriz de Referencia'!$B$2:$CO$584,73,FALSE)=0,0,"Digite"))</f>
        <v>0</v>
      </c>
      <c r="HS23" s="454">
        <f>IF(OR('Parte Estrategica'!AW23=0,'Parte Estrategica'!AW23=""),0,IF(VLOOKUP($A23,'Matriz de Referencia'!$B$2:$CO$584,74,FALSE)=0,0,"Digite"))</f>
        <v>0</v>
      </c>
      <c r="HT23" s="382">
        <f t="shared" si="48"/>
        <v>0</v>
      </c>
      <c r="HU23" s="454">
        <f>IF(OR('Parte Estrategica'!AW23=0,'Parte Estrategica'!AW23=""),0,IF(VLOOKUP($A23,'Matriz de Referencia'!$B$2:$CO$584,76,FALSE)=0,0,"Digite"))</f>
        <v>0</v>
      </c>
      <c r="HV23" s="454">
        <f>IF(OR('Parte Estrategica'!AW23=0,'Parte Estrategica'!AW23=""),0,IF(VLOOKUP($A23,'Matriz de Referencia'!$B$2:$CO$584,77,FALSE)=0,0,"Digite"))</f>
        <v>0</v>
      </c>
      <c r="HW23" s="454">
        <f>IF(OR('Parte Estrategica'!AW23=0,'Parte Estrategica'!AW23=""),0,IF(VLOOKUP($A23,'Matriz de Referencia'!$B$2:$CO$584,78,FALSE)=0,0,"Digite"))</f>
        <v>0</v>
      </c>
      <c r="HX23" s="382">
        <f t="shared" si="49"/>
        <v>0</v>
      </c>
      <c r="HY23" s="382">
        <f t="shared" si="50"/>
        <v>0</v>
      </c>
      <c r="HZ23" s="382">
        <f t="shared" si="51"/>
        <v>0</v>
      </c>
      <c r="IA23" s="101" t="str">
        <f>IFERROR(IF(HZ23=0,"",IF(VLOOKUP($A23,'Matriz de Referencia'!$B$2:$CO$584,80,FALSE)=HZ23,"Techos ok, cotinue","Debe revisar el valor programado")),"")</f>
        <v/>
      </c>
      <c r="IB23" s="383">
        <f t="shared" si="52"/>
        <v>0</v>
      </c>
    </row>
    <row r="24" spans="1:236">
      <c r="A24" s="550" t="str">
        <f>IF('Parte Estrategica'!B24=0,"",'Parte Estrategica'!B24)</f>
        <v/>
      </c>
      <c r="B24" s="551" t="str">
        <f>IFERROR(VLOOKUP(A24,'Matriz de Referencia'!$B$2:$P$578,'Matriz de Referencia'!L$1,FALSE),"")</f>
        <v/>
      </c>
      <c r="C24" s="551" t="str">
        <f>IFERROR(VLOOKUP(A24,'Matriz de Referencia'!$B$2:$P$584,'Matriz de Referencia'!M$1,FALSE),"")</f>
        <v/>
      </c>
      <c r="D24" s="455" t="str">
        <f>IF(OR('Parte Estrategica'!AB24=0,'Parte Estrategica'!AB24=""),"",IF(VLOOKUP($A24,'Matriz de Referencia'!$B$2:$CO$584,'Matriz de Referencia'!Z$1,FALSE)=0,"","Digite"))</f>
        <v/>
      </c>
      <c r="E24" s="456">
        <f>IF(OR('Parte Estrategica'!AB24=0,'Parte Estrategica'!AB24=""),0,IF(VLOOKUP($A24,'Matriz de Referencia'!$B$2:$CO$584,26,FALSE)=0,0,"Digite"))</f>
        <v>0</v>
      </c>
      <c r="F24" s="456">
        <f>IF(OR('Parte Estrategica'!AB24=0,'Parte Estrategica'!AB24=""),0,IF(VLOOKUP($A24,'Matriz de Referencia'!$B$2:$CO$584,27,FALSE)=0,0,"Digite"))</f>
        <v>0</v>
      </c>
      <c r="G24" s="456">
        <f>IF(OR('Parte Estrategica'!AB24=0,'Parte Estrategica'!AB24=""),0,IF(VLOOKUP($A24,'Matriz de Referencia'!$B$2:$CO$584,28,FALSE)=0,0,"Digite"))</f>
        <v>0</v>
      </c>
      <c r="H24" s="456">
        <f>IF(OR('Parte Estrategica'!AB24=0,'Parte Estrategica'!AB24=""),0,IF(VLOOKUP($A24,'Matriz de Referencia'!$B$2:$CO$584,29,FALSE)=0,0,"Digite"))</f>
        <v>0</v>
      </c>
      <c r="I24" s="456">
        <f>IF(OR('Parte Estrategica'!AB24=0,'Parte Estrategica'!AB24=""),0,IF(VLOOKUP($A24,'Matriz de Referencia'!$B$2:$CO$584,30,FALSE)=0,0,"Digite"))</f>
        <v>0</v>
      </c>
      <c r="J24" s="456">
        <f>IF(OR('Parte Estrategica'!AB24=0,'Parte Estrategica'!AB24=""),0,IF(VLOOKUP($A24,'Matriz de Referencia'!$B$2:$CO$584,31,FALSE)=0,0,"Digite"))</f>
        <v>0</v>
      </c>
      <c r="K24" s="456">
        <f>IF(OR('Parte Estrategica'!AB24=0,'Parte Estrategica'!AB24=""),0,IF(VLOOKUP($A24,'Matriz de Referencia'!$B$2:$CO$584,32,FALSE)=0,0,"Digite"))</f>
        <v>0</v>
      </c>
      <c r="L24" s="460">
        <f t="shared" si="0"/>
        <v>0</v>
      </c>
      <c r="M24" s="456">
        <f>IF(OR('Parte Estrategica'!AB24=0,'Parte Estrategica'!AB24=""),0,IF(VLOOKUP($A24,'Matriz de Referencia'!$B$2:$CO$584,34,FALSE)=0,0,"Digite"))</f>
        <v>0</v>
      </c>
      <c r="N24" s="456">
        <f>IF(OR('Parte Estrategica'!AB24=0,'Parte Estrategica'!AB24=""),0,IF(VLOOKUP($A24,'Matriz de Referencia'!$B$2:$CO$584,35,FALSE)=0,0,"Digite"))</f>
        <v>0</v>
      </c>
      <c r="O24" s="456">
        <f>IF(OR('Parte Estrategica'!AB24=0,'Parte Estrategica'!AB24=""),0,IF(VLOOKUP($A24,'Matriz de Referencia'!$B$2:$CO$584,36,FALSE)=0,0,"Digite"))</f>
        <v>0</v>
      </c>
      <c r="P24" s="457">
        <f t="shared" si="1"/>
        <v>0</v>
      </c>
      <c r="Q24" s="457">
        <f t="shared" si="2"/>
        <v>0</v>
      </c>
      <c r="R24" s="455">
        <f>IF(OR('Parte Estrategica'!AC24=0,'Parte Estrategica'!AC24=""),0,IF(VLOOKUP($A24,'Matriz de Referencia'!$B$2:$CO$584,25,FALSE)=0,0,"Digite"))</f>
        <v>0</v>
      </c>
      <c r="S24" s="456">
        <f>IF(OR('Parte Estrategica'!AC24=0,'Parte Estrategica'!AC24=""),0,IF(VLOOKUP($A24,'Matriz de Referencia'!$B$2:$CO$584,26,FALSE)=0,0,"Digite"))</f>
        <v>0</v>
      </c>
      <c r="T24" s="456">
        <f>IF(OR('Parte Estrategica'!AC24=0,'Parte Estrategica'!AC24=""),0,IF(VLOOKUP($A24,'Matriz de Referencia'!$B$2:$CO$584,27,FALSE)=0,0,"Digite"))</f>
        <v>0</v>
      </c>
      <c r="U24" s="456">
        <f>IF(OR('Parte Estrategica'!AC24=0,'Parte Estrategica'!AC24=""),0,IF(VLOOKUP($A24,'Matriz de Referencia'!$B$2:$CO$584,28,FALSE)=0,0,"Digite"))</f>
        <v>0</v>
      </c>
      <c r="V24" s="456">
        <f>IF(OR('Parte Estrategica'!AC24=0,'Parte Estrategica'!AC24=""),0,IF(VLOOKUP($A24,'Matriz de Referencia'!$B$2:$CO$584,29,FALSE)=0,0,"Digite"))</f>
        <v>0</v>
      </c>
      <c r="W24" s="456">
        <f>IF(OR('Parte Estrategica'!AC24=0,'Parte Estrategica'!AC24=""),0,IF(VLOOKUP($A24,'Matriz de Referencia'!$B$2:$CO$584,30,FALSE)=0,0,"Digite"))</f>
        <v>0</v>
      </c>
      <c r="X24" s="456">
        <f>IF(OR('Parte Estrategica'!AC24=0,'Parte Estrategica'!AC24=""),0,IF(VLOOKUP($A24,'Matriz de Referencia'!$B$2:$CO$584,31,FALSE)=0,0,"Digite"))</f>
        <v>0</v>
      </c>
      <c r="Y24" s="456">
        <f>IF(OR('Parte Estrategica'!AC24=0,'Parte Estrategica'!AC24=""),0,IF(VLOOKUP($A24,'Matriz de Referencia'!$B$2:$CO$584,32,FALSE)=0,0,"Digite"))</f>
        <v>0</v>
      </c>
      <c r="Z24" s="457">
        <f t="shared" si="3"/>
        <v>0</v>
      </c>
      <c r="AA24" s="456">
        <f>IF(OR('Parte Estrategica'!AC24=0,'Parte Estrategica'!AC24=""),0,IF(VLOOKUP($A24,'Matriz de Referencia'!$B$2:$CO$584,34,FALSE)=0,0,"Digite"))</f>
        <v>0</v>
      </c>
      <c r="AB24" s="456">
        <f>IF(OR('Parte Estrategica'!AC24=0,'Parte Estrategica'!AC24=""),0,IF(VLOOKUP($A24,'Matriz de Referencia'!$B$2:$CO$584,35,FALSE)=0,0,"Digite"))</f>
        <v>0</v>
      </c>
      <c r="AC24" s="456">
        <f>IF(OR('Parte Estrategica'!AC24=0,'Parte Estrategica'!AC24=""),0,IF(VLOOKUP($A24,'Matriz de Referencia'!$B$2:$CO$584,36,FALSE)=0,0,"Digite"))</f>
        <v>0</v>
      </c>
      <c r="AD24" s="457">
        <f t="shared" si="4"/>
        <v>0</v>
      </c>
      <c r="AE24" s="457">
        <f t="shared" si="5"/>
        <v>0</v>
      </c>
      <c r="AF24" s="455">
        <f>IF(OR('Parte Estrategica'!AD24=0,'Parte Estrategica'!AD24=""),0,IF(VLOOKUP($A24,'Matriz de Referencia'!$B$2:$CO$584,25,FALSE)=0,0,"Digite"))</f>
        <v>0</v>
      </c>
      <c r="AG24" s="456">
        <f>IF(OR('Parte Estrategica'!AD24=0,'Parte Estrategica'!AD24=""),0,IF(VLOOKUP($A24,'Matriz de Referencia'!$B$2:$CO$584,26,FALSE)=0,0,"Digite"))</f>
        <v>0</v>
      </c>
      <c r="AH24" s="456">
        <f>IF(OR('Parte Estrategica'!AD24=0,'Parte Estrategica'!AD24=""),0,IF(VLOOKUP($A24,'Matriz de Referencia'!$B$2:$CO$584,27,FALSE)=0,0,"Digite"))</f>
        <v>0</v>
      </c>
      <c r="AI24" s="456">
        <f>IF(OR('Parte Estrategica'!AD24=0,'Parte Estrategica'!AD24=""),0,IF(VLOOKUP($A24,'Matriz de Referencia'!$B$2:$CO$584,28,FALSE)=0,0,"Digite"))</f>
        <v>0</v>
      </c>
      <c r="AJ24" s="456">
        <f>IF(OR('Parte Estrategica'!AD24=0,'Parte Estrategica'!AD24=""),0,IF(VLOOKUP($A24,'Matriz de Referencia'!$B$2:$CO$584,29,FALSE)=0,0,"Digite"))</f>
        <v>0</v>
      </c>
      <c r="AK24" s="456">
        <f>IF(OR('Parte Estrategica'!AD24=0,'Parte Estrategica'!AD24=""),0,IF(VLOOKUP($A24,'Matriz de Referencia'!$B$2:$CO$584,30,FALSE)=0,0,"Digite"))</f>
        <v>0</v>
      </c>
      <c r="AL24" s="456">
        <f>IF(OR('Parte Estrategica'!AD24=0,'Parte Estrategica'!AD24=""),0,IF(VLOOKUP($A24,'Matriz de Referencia'!$B$2:$CO$584,31,FALSE)=0,0,"Digite"))</f>
        <v>0</v>
      </c>
      <c r="AM24" s="456">
        <f>IF(OR('Parte Estrategica'!AD24=0,'Parte Estrategica'!AD24=""),0,IF(VLOOKUP($A24,'Matriz de Referencia'!$B$2:$CO$584,32,FALSE)=0,0,"Digite"))</f>
        <v>0</v>
      </c>
      <c r="AN24" s="457">
        <f t="shared" si="6"/>
        <v>0</v>
      </c>
      <c r="AO24" s="456">
        <f>IF(OR('Parte Estrategica'!AD24=0,'Parte Estrategica'!AD24=""),0,IF(VLOOKUP($A24,'Matriz de Referencia'!$B$2:$CO$584,34,FALSE)=0,0,"Digite"))</f>
        <v>0</v>
      </c>
      <c r="AP24" s="456">
        <f>IF(OR('Parte Estrategica'!AD24=0,'Parte Estrategica'!AD24=""),0,IF(VLOOKUP($A24,'Matriz de Referencia'!$B$2:$CO$584,35,FALSE)=0,0,"Digite"))</f>
        <v>0</v>
      </c>
      <c r="AQ24" s="456">
        <f>IF(OR('Parte Estrategica'!AD24=0,'Parte Estrategica'!AD24=""),0,IF(VLOOKUP($A24,'Matriz de Referencia'!$B$2:$CO$584,36,FALSE)=0,0,"Digite"))</f>
        <v>0</v>
      </c>
      <c r="AR24" s="457">
        <f t="shared" si="7"/>
        <v>0</v>
      </c>
      <c r="AS24" s="457">
        <f t="shared" si="8"/>
        <v>0</v>
      </c>
      <c r="AT24" s="455">
        <f>IF(OR('Parte Estrategica'!AE24=0,'Parte Estrategica'!AE24=""),0,IF(VLOOKUP($A24,'Matriz de Referencia'!$B$2:$CO$584,25,FALSE)=0,0,"Digite"))</f>
        <v>0</v>
      </c>
      <c r="AU24" s="456">
        <f>IF(OR('Parte Estrategica'!AE24=0,'Parte Estrategica'!AE24=""),0,IF(VLOOKUP($A24,'Matriz de Referencia'!$B$2:$CO$584,26,FALSE)=0,0,"Digite"))</f>
        <v>0</v>
      </c>
      <c r="AV24" s="456">
        <f>IF(OR('Parte Estrategica'!AE24=0,'Parte Estrategica'!AE24=""),0,IF(VLOOKUP($A24,'Matriz de Referencia'!$B$2:$CO$584,27,FALSE)=0,0,"Digite"))</f>
        <v>0</v>
      </c>
      <c r="AW24" s="456">
        <f>IF(OR('Parte Estrategica'!AE24=0,'Parte Estrategica'!AE24=""),0,IF(VLOOKUP($A24,'Matriz de Referencia'!$B$2:$CO$584,28,FALSE)=0,0,"Digite"))</f>
        <v>0</v>
      </c>
      <c r="AX24" s="456">
        <f>IF(OR('Parte Estrategica'!AE24=0,'Parte Estrategica'!AE24=""),0,IF(VLOOKUP($A24,'Matriz de Referencia'!$B$2:$CO$584,29,FALSE)=0,0,"Digite"))</f>
        <v>0</v>
      </c>
      <c r="AY24" s="456">
        <f>IF(OR('Parte Estrategica'!AE24=0,'Parte Estrategica'!AE24=""),0,IF(VLOOKUP($A24,'Matriz de Referencia'!$B$2:$CO$584,30,FALSE)=0,0,"Digite"))</f>
        <v>0</v>
      </c>
      <c r="AZ24" s="456">
        <f>IF(OR('Parte Estrategica'!AE24=0,'Parte Estrategica'!AE24=""),0,IF(VLOOKUP($A24,'Matriz de Referencia'!$B$2:$CO$584,31,FALSE)=0,0,"Digite"))</f>
        <v>0</v>
      </c>
      <c r="BA24" s="456">
        <f>IF(OR('Parte Estrategica'!AE24=0,'Parte Estrategica'!AE24=""),0,IF(VLOOKUP($A24,'Matriz de Referencia'!$B$2:$CO$584,32,FALSE)=0,0,"Digite"))</f>
        <v>0</v>
      </c>
      <c r="BB24" s="457">
        <f t="shared" si="9"/>
        <v>0</v>
      </c>
      <c r="BC24" s="456">
        <f>IF(OR('Parte Estrategica'!AE24=0,'Parte Estrategica'!AE24=""),0,IF(VLOOKUP($A24,'Matriz de Referencia'!$B$2:$CO$584,34,FALSE)=0,0,"Digite"))</f>
        <v>0</v>
      </c>
      <c r="BD24" s="456">
        <f>IF(OR('Parte Estrategica'!AE24=0,'Parte Estrategica'!AE24=""),0,IF(VLOOKUP($A24,'Matriz de Referencia'!$B$2:$CO$584,35,FALSE)=0,0,"Digite"))</f>
        <v>0</v>
      </c>
      <c r="BE24" s="456">
        <f>IF(OR('Parte Estrategica'!AE24=0,'Parte Estrategica'!AE24=""),0,IF(VLOOKUP($A24,'Matriz de Referencia'!$B$2:$CO$584,36,FALSE)=0,0,"Digite"))</f>
        <v>0</v>
      </c>
      <c r="BF24" s="457">
        <f t="shared" si="10"/>
        <v>0</v>
      </c>
      <c r="BG24" s="457">
        <f t="shared" si="11"/>
        <v>0</v>
      </c>
      <c r="BH24" s="457">
        <f t="shared" si="12"/>
        <v>0</v>
      </c>
      <c r="BI24" s="101" t="str">
        <f>IFERROR(IF(BH24=0,"",IF(VLOOKUP($A24,'Matriz de Referencia'!$B$2:$CO$584,'Matriz de Referencia'!AM$1,FALSE)=BH24,"Techos ok, cotinue","Debe revisar el valor programado")),"")</f>
        <v/>
      </c>
      <c r="BJ24" s="453">
        <f>IF(OR('Parte Estrategica'!AH24=0,'Parte Estrategica'!AH24=""),0,IF(VLOOKUP($A24,'Matriz de Referencia'!$B$2:$CO$584,39,FALSE)=0,0,"Digite"))</f>
        <v>0</v>
      </c>
      <c r="BK24" s="454">
        <f>IF(OR('Parte Estrategica'!AH24=0,'Parte Estrategica'!AH24=""),0,IF(VLOOKUP($A24,'Matriz de Referencia'!$B$2:$CO$584,40,FALSE)=0,0,"Digite"))</f>
        <v>0</v>
      </c>
      <c r="BL24" s="454">
        <f>IF(OR('Parte Estrategica'!AH24=0,'Parte Estrategica'!AH24=""),0,IF(VLOOKUP($A24,'Matriz de Referencia'!$B$2:$CO$584,41,FALSE)=0,0,"Digite"))</f>
        <v>0</v>
      </c>
      <c r="BM24" s="454">
        <f>IF(OR('Parte Estrategica'!AH24=0,'Parte Estrategica'!AH24=""),0,IF(VLOOKUP($A24,'Matriz de Referencia'!$B$2:$CO$584,42,FALSE)=0,0,"Digite"))</f>
        <v>0</v>
      </c>
      <c r="BN24" s="454">
        <f>IF(OR('Parte Estrategica'!AH24=0,'Parte Estrategica'!AH24=""),0,IF(VLOOKUP($A24,'Matriz de Referencia'!$B$2:$CO$584,43,FALSE)=0,0,"Digite"))</f>
        <v>0</v>
      </c>
      <c r="BO24" s="454">
        <f>IF(OR('Parte Estrategica'!AH24=0,'Parte Estrategica'!AH24=""),0,IF(VLOOKUP($A24,'Matriz de Referencia'!$B$2:$CO$584,44,FALSE)=0,0,"Digite"))</f>
        <v>0</v>
      </c>
      <c r="BP24" s="454">
        <f>IF(OR('Parte Estrategica'!AH24=0,'Parte Estrategica'!AH24=""),0,IF(VLOOKUP($A24,'Matriz de Referencia'!$B$2:$CO$584,45,FALSE)=0,0,"Digite"))</f>
        <v>0</v>
      </c>
      <c r="BQ24" s="454">
        <f>IF(OR('Parte Estrategica'!AH24=0,'Parte Estrategica'!AH24=""),0,IF(VLOOKUP($A24,'Matriz de Referencia'!$B$2:$CO$584,46,FALSE)=0,0,"Digite"))</f>
        <v>0</v>
      </c>
      <c r="BR24" s="382">
        <f t="shared" si="13"/>
        <v>0</v>
      </c>
      <c r="BS24" s="454">
        <f>IF(OR('Parte Estrategica'!CL24=0,'Parte Estrategica'!CL24=""),0,IF(VLOOKUP($A24,'Matriz de Referencia'!$B$2:$CO$584,48,FALSE)=0,0,"Digite"))</f>
        <v>0</v>
      </c>
      <c r="BT24" s="454">
        <f>IF(OR('Parte Estrategica'!CL24=0,'Parte Estrategica'!CL24=""),0,IF(VLOOKUP($A24,'Matriz de Referencia'!$B$2:$CO$584,49,FALSE)=0,0,"Digite"))</f>
        <v>0</v>
      </c>
      <c r="BU24" s="454">
        <f>IF(OR('Parte Estrategica'!CL24=0,'Parte Estrategica'!CL24=""),0,IF(VLOOKUP($A24,'Matriz de Referencia'!$B$2:$CO$584,50,FALSE)=0,0,"Digite"))</f>
        <v>0</v>
      </c>
      <c r="BV24" s="382">
        <f t="shared" si="14"/>
        <v>0</v>
      </c>
      <c r="BW24" s="382">
        <f t="shared" si="15"/>
        <v>0</v>
      </c>
      <c r="BX24" s="453">
        <f>IF(OR('Parte Estrategica'!AI24=0,'Parte Estrategica'!AI24=""),0,IF(VLOOKUP($A24,'Matriz de Referencia'!$B$2:$CO$584,39,FALSE)=0,0,"Digite"))</f>
        <v>0</v>
      </c>
      <c r="BY24" s="454">
        <f>IF(OR('Parte Estrategica'!AI24=0,'Parte Estrategica'!AI24=""),0,IF(VLOOKUP($A24,'Matriz de Referencia'!$B$2:$CO$584,40,FALSE)=0,0,"Digite"))</f>
        <v>0</v>
      </c>
      <c r="BZ24" s="454">
        <f>IF(OR('Parte Estrategica'!AI24=0,'Parte Estrategica'!AI24=""),0,IF(VLOOKUP($A24,'Matriz de Referencia'!$B$2:$CO$584,41,FALSE)=0,0,"Digite"))</f>
        <v>0</v>
      </c>
      <c r="CA24" s="454">
        <f>IF(OR('Parte Estrategica'!AI24=0,'Parte Estrategica'!AI24=""),0,IF(VLOOKUP($A24,'Matriz de Referencia'!$B$2:$CO$584,42,FALSE)=0,0,"Digite"))</f>
        <v>0</v>
      </c>
      <c r="CB24" s="454">
        <f>IF(OR('Parte Estrategica'!AI24=0,'Parte Estrategica'!AI24=""),0,IF(VLOOKUP($A24,'Matriz de Referencia'!$B$2:$CO$584,43,FALSE)=0,0,"Digite"))</f>
        <v>0</v>
      </c>
      <c r="CC24" s="454">
        <f>IF(OR('Parte Estrategica'!AI24=0,'Parte Estrategica'!AI24=""),0,IF(VLOOKUP($A24,'Matriz de Referencia'!$B$2:$CO$584,44,FALSE)=0,0,"Digite"))</f>
        <v>0</v>
      </c>
      <c r="CD24" s="454">
        <f>IF(OR('Parte Estrategica'!AI24=0,'Parte Estrategica'!AI24=""),0,IF(VLOOKUP($A24,'Matriz de Referencia'!$B$2:$CO$584,45,FALSE)=0,0,"Digite"))</f>
        <v>0</v>
      </c>
      <c r="CE24" s="454">
        <f>IF(OR('Parte Estrategica'!AI24=0,'Parte Estrategica'!AI24=""),0,IF(VLOOKUP($A24,'Matriz de Referencia'!$B$2:$CO$584,46,FALSE)=0,0,"Digite"))</f>
        <v>0</v>
      </c>
      <c r="CF24" s="382">
        <f t="shared" si="16"/>
        <v>0</v>
      </c>
      <c r="CG24" s="454">
        <f>IF(OR('Parte Estrategica'!AI24=0,'Parte Estrategica'!AI24=""),0,IF(VLOOKUP($A24,'Matriz de Referencia'!$B$2:$CO$584,48,FALSE)=0,0,"Digite"))</f>
        <v>0</v>
      </c>
      <c r="CH24" s="454">
        <f>IF(OR('Parte Estrategica'!AI24=0,'Parte Estrategica'!AI24=""),0,IF(VLOOKUP($A24,'Matriz de Referencia'!$B$2:$CO$584,49,FALSE)=0,0,"Digite"))</f>
        <v>0</v>
      </c>
      <c r="CI24" s="454">
        <f>IF(OR('Parte Estrategica'!AI24=0,'Parte Estrategica'!AI24=""),0,IF(VLOOKUP($A24,'Matriz de Referencia'!$B$2:$CO$584,50,FALSE)=0,0,"Digite"))</f>
        <v>0</v>
      </c>
      <c r="CJ24" s="382">
        <f t="shared" si="17"/>
        <v>0</v>
      </c>
      <c r="CK24" s="382">
        <f t="shared" si="18"/>
        <v>0</v>
      </c>
      <c r="CL24" s="453">
        <f>IF(OR('Parte Estrategica'!AJ24=0,'Parte Estrategica'!AJ24=""),0,IF(VLOOKUP($A24,'Matriz de Referencia'!$B$2:$CO$584,39,FALSE)=0,0,"Digite"))</f>
        <v>0</v>
      </c>
      <c r="CM24" s="454">
        <f>IF(OR('Parte Estrategica'!AJ24=0,'Parte Estrategica'!AJ24=""),0,IF(VLOOKUP($A24,'Matriz de Referencia'!$B$2:$CO$584,40,FALSE)=0,0,"Digite"))</f>
        <v>0</v>
      </c>
      <c r="CN24" s="454">
        <f>IF(OR('Parte Estrategica'!AJ24=0,'Parte Estrategica'!AJ24=""),0,IF(VLOOKUP($A24,'Matriz de Referencia'!$B$2:$CO$584,41,FALSE)=0,0,"Digite"))</f>
        <v>0</v>
      </c>
      <c r="CO24" s="454">
        <f>IF(OR('Parte Estrategica'!AJ24=0,'Parte Estrategica'!AJ24=""),0,IF(VLOOKUP($A24,'Matriz de Referencia'!$B$2:$CO$584,42,FALSE)=0,0,"Digite"))</f>
        <v>0</v>
      </c>
      <c r="CP24" s="454">
        <f>IF(OR('Parte Estrategica'!AJ24=0,'Parte Estrategica'!AJ24=""),0,IF(VLOOKUP($A24,'Matriz de Referencia'!$B$2:$CO$584,43,FALSE)=0,0,"Digite"))</f>
        <v>0</v>
      </c>
      <c r="CQ24" s="454">
        <f>IF(OR('Parte Estrategica'!AJ24=0,'Parte Estrategica'!AJ24=""),0,IF(VLOOKUP($A24,'Matriz de Referencia'!$B$2:$CO$584,44,FALSE)=0,0,"Digite"))</f>
        <v>0</v>
      </c>
      <c r="CR24" s="454">
        <f>IF(OR('Parte Estrategica'!AJ24=0,'Parte Estrategica'!AJ24=""),0,IF(VLOOKUP($A24,'Matriz de Referencia'!$B$2:$CO$584,45,FALSE)=0,0,"Digite"))</f>
        <v>0</v>
      </c>
      <c r="CS24" s="454">
        <f>IF(OR('Parte Estrategica'!AJ24=0,'Parte Estrategica'!AJ24=""),0,IF(VLOOKUP($A24,'Matriz de Referencia'!$B$2:$CO$584,46,FALSE)=0,0,"Digite"))</f>
        <v>0</v>
      </c>
      <c r="CT24" s="382">
        <f t="shared" si="19"/>
        <v>0</v>
      </c>
      <c r="CU24" s="454">
        <f>IF(OR('Parte Estrategica'!AJ24=0,'Parte Estrategica'!AJ24=""),0,IF(VLOOKUP($A24,'Matriz de Referencia'!$B$2:$CO$584,48,FALSE)=0,0,"Digite"))</f>
        <v>0</v>
      </c>
      <c r="CV24" s="454">
        <f>IF(OR('Parte Estrategica'!AJ24=0,'Parte Estrategica'!AJ24=""),0,IF(VLOOKUP($A24,'Matriz de Referencia'!$B$2:$CO$584,49,FALSE)=0,0,"Digite"))</f>
        <v>0</v>
      </c>
      <c r="CW24" s="454">
        <f>IF(OR('Parte Estrategica'!AJ24=0,'Parte Estrategica'!AJ24=""),0,IF(VLOOKUP($A24,'Matriz de Referencia'!$B$2:$CO$584,50,FALSE)=0,0,"Digite"))</f>
        <v>0</v>
      </c>
      <c r="CX24" s="382">
        <f t="shared" si="20"/>
        <v>0</v>
      </c>
      <c r="CY24" s="382">
        <f t="shared" si="21"/>
        <v>0</v>
      </c>
      <c r="CZ24" s="453">
        <f>IF(OR('Parte Estrategica'!AK24=0,'Parte Estrategica'!AK24=""),0,IF(VLOOKUP($A24,'Matriz de Referencia'!$B$2:$CO$584,39,FALSE)=0,0,"Digite"))</f>
        <v>0</v>
      </c>
      <c r="DA24" s="454">
        <f>IF(OR('Parte Estrategica'!AK24=0,'Parte Estrategica'!AK24=""),0,IF(VLOOKUP($A24,'Matriz de Referencia'!$B$2:$CO$584,40,FALSE)=0,0,"Digite"))</f>
        <v>0</v>
      </c>
      <c r="DB24" s="454">
        <f>IF(OR('Parte Estrategica'!AK24=0,'Parte Estrategica'!AK24=""),0,IF(VLOOKUP($A24,'Matriz de Referencia'!$B$2:$CO$584,41,FALSE)=0,0,"Digite"))</f>
        <v>0</v>
      </c>
      <c r="DC24" s="454">
        <f>IF(OR('Parte Estrategica'!AK24=0,'Parte Estrategica'!AK24=""),0,IF(VLOOKUP($A24,'Matriz de Referencia'!$B$2:$CO$584,42,FALSE)=0,0,"Digite"))</f>
        <v>0</v>
      </c>
      <c r="DD24" s="454">
        <f>IF(OR('Parte Estrategica'!AK24=0,'Parte Estrategica'!AK24=""),0,IF(VLOOKUP($A24,'Matriz de Referencia'!$B$2:$CO$584,43,FALSE)=0,0,"Digite"))</f>
        <v>0</v>
      </c>
      <c r="DE24" s="454">
        <f>IF(OR('Parte Estrategica'!AK24=0,'Parte Estrategica'!AK24=""),0,IF(VLOOKUP($A24,'Matriz de Referencia'!$B$2:$CO$584,44,FALSE)=0,0,"Digite"))</f>
        <v>0</v>
      </c>
      <c r="DF24" s="454">
        <f>IF(OR('Parte Estrategica'!AK24=0,'Parte Estrategica'!AK24=""),0,IF(VLOOKUP($A24,'Matriz de Referencia'!$B$2:$CO$584,45,FALSE)=0,0,"Digite"))</f>
        <v>0</v>
      </c>
      <c r="DG24" s="454">
        <f>IF(OR('Parte Estrategica'!AK24=0,'Parte Estrategica'!AK24=""),0,IF(VLOOKUP($A24,'Matriz de Referencia'!$B$2:$CO$584,46,FALSE)=0,0,"Digite"))</f>
        <v>0</v>
      </c>
      <c r="DH24" s="382">
        <f t="shared" si="22"/>
        <v>0</v>
      </c>
      <c r="DI24" s="454">
        <f>IF(OR('Parte Estrategica'!AK24=0,'Parte Estrategica'!AK24=""),0,IF(VLOOKUP($A24,'Matriz de Referencia'!$B$2:$CO$584,48,FALSE)=0,0,"Digite"))</f>
        <v>0</v>
      </c>
      <c r="DJ24" s="454">
        <f>IF(OR('Parte Estrategica'!AK24=0,'Parte Estrategica'!AK24=""),0,IF(VLOOKUP($A24,'Matriz de Referencia'!$B$2:$CO$584,49,FALSE)=0,0,"Digite"))</f>
        <v>0</v>
      </c>
      <c r="DK24" s="454">
        <f>IF(OR('Parte Estrategica'!AK24=0,'Parte Estrategica'!AK24=""),0,IF(VLOOKUP($A24,'Matriz de Referencia'!$B$2:$CO$584,50,FALSE)=0,0,"Digite"))</f>
        <v>0</v>
      </c>
      <c r="DL24" s="382">
        <f t="shared" si="23"/>
        <v>0</v>
      </c>
      <c r="DM24" s="382">
        <f t="shared" si="24"/>
        <v>0</v>
      </c>
      <c r="DN24" s="382">
        <f t="shared" si="25"/>
        <v>0</v>
      </c>
      <c r="DO24" s="101" t="str">
        <f>IFERROR(IF(DN24=0,"",IF(VLOOKUP($A24,'Matriz de Referencia'!$B$2:$CO$584,52,FALSE)=DN24,"Techos ok, cotinue","Debe revisar el valor programado")),"")</f>
        <v/>
      </c>
      <c r="DP24" s="453">
        <f>IF(OR('Parte Estrategica'!AN24=0,'Parte Estrategica'!AN24=""),0,IF(VLOOKUP($A24,'Matriz de Referencia'!$B$2:$CO$584,53,FALSE)=0,0,"Digite"))</f>
        <v>0</v>
      </c>
      <c r="DQ24" s="454">
        <f>IF(OR('Parte Estrategica'!AN24=0,'Parte Estrategica'!AN24=""),0,IF(VLOOKUP($A24,'Matriz de Referencia'!$B$2:$CO$584,54,FALSE)=0,0,"Digite"))</f>
        <v>0</v>
      </c>
      <c r="DR24" s="454">
        <f>IF(OR('Parte Estrategica'!AN24=0,'Parte Estrategica'!AN24=""),0,IF(VLOOKUP($A24,'Matriz de Referencia'!$B$2:$CO$584,55,FALSE)=0,0,"Digite"))</f>
        <v>0</v>
      </c>
      <c r="DS24" s="454">
        <f>IF(OR('Parte Estrategica'!AN24=0,'Parte Estrategica'!AN24=""),0,IF(VLOOKUP($A24,'Matriz de Referencia'!$B$2:$CO$584,56,FALSE)=0,0,"Digite"))</f>
        <v>0</v>
      </c>
      <c r="DT24" s="454">
        <f>IF(OR('Parte Estrategica'!AN24=0,'Parte Estrategica'!AN24=""),0,IF(VLOOKUP($A24,'Matriz de Referencia'!$B$2:$CO$584,57,FALSE)=0,0,"Digite"))</f>
        <v>0</v>
      </c>
      <c r="DU24" s="454">
        <f>IF(OR('Parte Estrategica'!AN24=0,'Parte Estrategica'!AN24=""),0,IF(VLOOKUP($A24,'Matriz de Referencia'!$B$2:$CO$584,58,FALSE)=0,0,"Digite"))</f>
        <v>0</v>
      </c>
      <c r="DV24" s="454">
        <f>IF(OR('Parte Estrategica'!AN24=0,'Parte Estrategica'!AN24=""),0,IF(VLOOKUP($A24,'Matriz de Referencia'!$B$2:$CO$584,59,FALSE)=0,0,"Digite"))</f>
        <v>0</v>
      </c>
      <c r="DW24" s="454">
        <f>IF(OR('Parte Estrategica'!AN24=0,'Parte Estrategica'!AN24=""),0,IF(VLOOKUP($A24,'Matriz de Referencia'!$B$2:$CO$584,60,FALSE)=0,0,"Digite"))</f>
        <v>0</v>
      </c>
      <c r="DX24" s="382">
        <f t="shared" si="26"/>
        <v>0</v>
      </c>
      <c r="DY24" s="454">
        <f>IF(OR('Parte Estrategica'!AN24=0,'Parte Estrategica'!AN24=""),0,IF(VLOOKUP($A24,'Matriz de Referencia'!$B$2:$CO$584,62,FALSE)=0,0,"Digite"))</f>
        <v>0</v>
      </c>
      <c r="DZ24" s="454">
        <f>IF(OR('Parte Estrategica'!AN24=0,'Parte Estrategica'!AN24=""),0,IF(VLOOKUP($A24,'Matriz de Referencia'!$B$2:$CO$584,63,FALSE)=0,0,"Digite"))</f>
        <v>0</v>
      </c>
      <c r="EA24" s="454" t="str">
        <f>IF(OR('Parte Estrategica'!AN24=0,'Parte Estrategica'!AN24=""),"",IF(VLOOKUP($A24,'Matriz de Referencia'!$B$2:$CO$584,64,FALSE)=0,"","Digite"))</f>
        <v/>
      </c>
      <c r="EB24" s="382">
        <f t="shared" si="27"/>
        <v>0</v>
      </c>
      <c r="EC24" s="382">
        <f t="shared" si="28"/>
        <v>0</v>
      </c>
      <c r="ED24" s="453">
        <f>IF(OR('Parte Estrategica'!AO24=0,'Parte Estrategica'!AO24=""),0,IF(VLOOKUP($A24,'Matriz de Referencia'!$B$2:$CO$584,53,FALSE)=0,0,"Digite"))</f>
        <v>0</v>
      </c>
      <c r="EE24" s="454">
        <f>IF(OR('Parte Estrategica'!AO24=0,'Parte Estrategica'!AO24=""),0,IF(VLOOKUP($A24,'Matriz de Referencia'!$B$2:$CO$584,54,FALSE)=0,0,"Digite"))</f>
        <v>0</v>
      </c>
      <c r="EF24" s="454">
        <f>IF(OR('Parte Estrategica'!AO24=0,'Parte Estrategica'!AO24=""),0,IF(VLOOKUP($A24,'Matriz de Referencia'!$B$2:$CO$584,55,FALSE)=0,0,"Digite"))</f>
        <v>0</v>
      </c>
      <c r="EG24" s="454">
        <f>IF(OR('Parte Estrategica'!AO24=0,'Parte Estrategica'!AO24=""),0,IF(VLOOKUP($A24,'Matriz de Referencia'!$B$2:$CO$584,56,FALSE)=0,0,"Digite"))</f>
        <v>0</v>
      </c>
      <c r="EH24" s="454">
        <f>IF(OR('Parte Estrategica'!AO24=0,'Parte Estrategica'!AO24=""),0,IF(VLOOKUP($A24,'Matriz de Referencia'!$B$2:$CO$584,57,FALSE)=0,0,"Digite"))</f>
        <v>0</v>
      </c>
      <c r="EI24" s="454">
        <f>IF(OR('Parte Estrategica'!AO24=0,'Parte Estrategica'!AO24=""),0,IF(VLOOKUP($A24,'Matriz de Referencia'!$B$2:$CO$584,58,FALSE)=0,0,"Digite"))</f>
        <v>0</v>
      </c>
      <c r="EJ24" s="454">
        <f>IF(OR('Parte Estrategica'!AO24=0,'Parte Estrategica'!AO24=""),0,IF(VLOOKUP($A24,'Matriz de Referencia'!$B$2:$CO$584,59,FALSE)=0,0,"Digite"))</f>
        <v>0</v>
      </c>
      <c r="EK24" s="454">
        <f>IF(OR('Parte Estrategica'!AO24=0,'Parte Estrategica'!AO24=""),0,IF(VLOOKUP($A24,'Matriz de Referencia'!$B$2:$CO$584,60,FALSE)=0,0,"Digite"))</f>
        <v>0</v>
      </c>
      <c r="EL24" s="382">
        <f t="shared" si="29"/>
        <v>0</v>
      </c>
      <c r="EM24" s="454">
        <f>IF(OR('Parte Estrategica'!AO24=0,'Parte Estrategica'!AO24=""),0,IF(VLOOKUP($A24,'Matriz de Referencia'!$B$2:$CO$584,62,FALSE)=0,0,"Digite"))</f>
        <v>0</v>
      </c>
      <c r="EN24" s="454">
        <f>IF(OR('Parte Estrategica'!AO24=0,'Parte Estrategica'!AO24=""),0,IF(VLOOKUP($A24,'Matriz de Referencia'!$B$2:$CO$584,63,FALSE)=0,0,"Digite"))</f>
        <v>0</v>
      </c>
      <c r="EO24" s="454">
        <f>IF(OR('Parte Estrategica'!AO24=0,'Parte Estrategica'!AO24=""),0,IF(VLOOKUP($A24,'Matriz de Referencia'!$B$2:$CO$584,64,FALSE)=0,0,"Digite"))</f>
        <v>0</v>
      </c>
      <c r="EP24" s="382">
        <f t="shared" si="30"/>
        <v>0</v>
      </c>
      <c r="EQ24" s="382">
        <f t="shared" si="31"/>
        <v>0</v>
      </c>
      <c r="ER24" s="453">
        <f>IF(OR('Parte Estrategica'!AP24=0,'Parte Estrategica'!AP24=""),0,IF(VLOOKUP($A24,'Matriz de Referencia'!$B$2:$CO$584,53,FALSE)=0,0,"Digite"))</f>
        <v>0</v>
      </c>
      <c r="ES24" s="454">
        <f>IF(OR('Parte Estrategica'!AP24=0,'Parte Estrategica'!AP24=""),0,IF(VLOOKUP($A24,'Matriz de Referencia'!$B$2:$CO$584,54,FALSE)=0,0,"Digite"))</f>
        <v>0</v>
      </c>
      <c r="ET24" s="454">
        <f>IF(OR('Parte Estrategica'!AP24=0,'Parte Estrategica'!AP24=""),0,IF(VLOOKUP($A24,'Matriz de Referencia'!$B$2:$CO$584,55,FALSE)=0,0,"Digite"))</f>
        <v>0</v>
      </c>
      <c r="EU24" s="454">
        <f>IF(OR('Parte Estrategica'!AP24=0,'Parte Estrategica'!AP24=""),0,IF(VLOOKUP($A24,'Matriz de Referencia'!$B$2:$CO$584,56,FALSE)=0,0,"Digite"))</f>
        <v>0</v>
      </c>
      <c r="EV24" s="454">
        <f>IF(OR('Parte Estrategica'!AP24=0,'Parte Estrategica'!AP24=""),0,IF(VLOOKUP($A24,'Matriz de Referencia'!$B$2:$CO$584,57,FALSE)=0,0,"Digite"))</f>
        <v>0</v>
      </c>
      <c r="EW24" s="454">
        <f>IF(OR('Parte Estrategica'!AP24=0,'Parte Estrategica'!AP24=""),0,IF(VLOOKUP($A24,'Matriz de Referencia'!$B$2:$CO$584,58,FALSE)=0,0,"Digite"))</f>
        <v>0</v>
      </c>
      <c r="EX24" s="454">
        <f>IF(OR('Parte Estrategica'!AP24=0,'Parte Estrategica'!AP24=""),0,IF(VLOOKUP($A24,'Matriz de Referencia'!$B$2:$CO$584,59,FALSE)=0,0,"Digite"))</f>
        <v>0</v>
      </c>
      <c r="EY24" s="454">
        <f>IF(OR('Parte Estrategica'!AP24=0,'Parte Estrategica'!AP24=""),0,IF(VLOOKUP($A24,'Matriz de Referencia'!$B$2:$CO$584,60,FALSE)=0,0,"Digite"))</f>
        <v>0</v>
      </c>
      <c r="EZ24" s="382">
        <f t="shared" si="32"/>
        <v>0</v>
      </c>
      <c r="FA24" s="454">
        <f>IF(OR('Parte Estrategica'!AP24=0,'Parte Estrategica'!AP24=""),0,IF(VLOOKUP($A24,'Matriz de Referencia'!$B$2:$CO$584,62,FALSE)=0,0,"Digite"))</f>
        <v>0</v>
      </c>
      <c r="FB24" s="454">
        <f>IF(OR('Parte Estrategica'!AP24=0,'Parte Estrategica'!AP24=""),0,IF(VLOOKUP($A24,'Matriz de Referencia'!$B$2:$CO$584,63,FALSE)=0,0,"Digite"))</f>
        <v>0</v>
      </c>
      <c r="FC24" s="454">
        <f>IF(OR('Parte Estrategica'!AP24=0,'Parte Estrategica'!AP24=""),0,IF(VLOOKUP($A24,'Matriz de Referencia'!$B$2:$CO$584,64,FALSE)=0,0,"Digite"))</f>
        <v>0</v>
      </c>
      <c r="FD24" s="382">
        <f t="shared" si="33"/>
        <v>0</v>
      </c>
      <c r="FE24" s="382">
        <f t="shared" si="34"/>
        <v>0</v>
      </c>
      <c r="FF24" s="453">
        <f>IF(OR('Parte Estrategica'!AQ24=0,'Parte Estrategica'!AQ24=""),0,IF(VLOOKUP($A24,'Matriz de Referencia'!$B$2:$CO$584,53,FALSE)=0,0,"Digite"))</f>
        <v>0</v>
      </c>
      <c r="FG24" s="454">
        <f>IF(OR('Parte Estrategica'!AQ24=0,'Parte Estrategica'!AQ24=""),0,IF(VLOOKUP($A24,'Matriz de Referencia'!$B$2:$CO$584,54,FALSE)=0,0,"Digite"))</f>
        <v>0</v>
      </c>
      <c r="FH24" s="454">
        <f>IF(OR('Parte Estrategica'!AQ24=0,'Parte Estrategica'!AQ24=""),0,IF(VLOOKUP($A24,'Matriz de Referencia'!$B$2:$CO$584,55,FALSE)=0,0,"Digite"))</f>
        <v>0</v>
      </c>
      <c r="FI24" s="454">
        <f>IF(OR('Parte Estrategica'!AQ24=0,'Parte Estrategica'!AQ24=""),0,IF(VLOOKUP($A24,'Matriz de Referencia'!$B$2:$CO$584,56,FALSE)=0,0,"Digite"))</f>
        <v>0</v>
      </c>
      <c r="FJ24" s="454">
        <f>IF(OR('Parte Estrategica'!AQ24=0,'Parte Estrategica'!AQ24=""),0,IF(VLOOKUP($A24,'Matriz de Referencia'!$B$2:$CO$584,57,FALSE)=0,0,"Digite"))</f>
        <v>0</v>
      </c>
      <c r="FK24" s="454">
        <f>IF(OR('Parte Estrategica'!AQ24=0,'Parte Estrategica'!AQ24=""),0,IF(VLOOKUP($A24,'Matriz de Referencia'!$B$2:$CO$584,58,FALSE)=0,0,"Digite"))</f>
        <v>0</v>
      </c>
      <c r="FL24" s="454">
        <f>IF(OR('Parte Estrategica'!AQ24=0,'Parte Estrategica'!AQ24=""),0,IF(VLOOKUP($A24,'Matriz de Referencia'!$B$2:$CO$584,59,FALSE)=0,0,"Digite"))</f>
        <v>0</v>
      </c>
      <c r="FM24" s="454">
        <f>IF(OR('Parte Estrategica'!AQ24=0,'Parte Estrategica'!AQ24=""),0,IF(VLOOKUP($A24,'Matriz de Referencia'!$B$2:$CO$584,60,FALSE)=0,0,"Digite"))</f>
        <v>0</v>
      </c>
      <c r="FN24" s="382">
        <f t="shared" si="35"/>
        <v>0</v>
      </c>
      <c r="FO24" s="454">
        <f>IF(OR('Parte Estrategica'!AQ24=0,'Parte Estrategica'!AQ24=""),0,IF(VLOOKUP($A24,'Matriz de Referencia'!$B$2:$CO$584,62,FALSE)=0,0,"Digite"))</f>
        <v>0</v>
      </c>
      <c r="FP24" s="454">
        <f>IF(OR('Parte Estrategica'!AQ24=0,'Parte Estrategica'!AQ24=""),0,IF(VLOOKUP($A24,'Matriz de Referencia'!$B$2:$CO$584,63,FALSE)=0,0,"Digite"))</f>
        <v>0</v>
      </c>
      <c r="FQ24" s="454">
        <f>IF(OR('Parte Estrategica'!AQ24=0,'Parte Estrategica'!AQ24=""),0,IF(VLOOKUP($A24,'Matriz de Referencia'!$B$2:$CO$584,64,FALSE)=0,0,"Digite"))</f>
        <v>0</v>
      </c>
      <c r="FR24" s="382">
        <f t="shared" si="36"/>
        <v>0</v>
      </c>
      <c r="FS24" s="382">
        <f t="shared" si="37"/>
        <v>0</v>
      </c>
      <c r="FT24" s="382">
        <f t="shared" si="38"/>
        <v>0</v>
      </c>
      <c r="FU24" s="101" t="str">
        <f>IFERROR(IF(FT24=0,"",IF(VLOOKUP($A24,'Matriz de Referencia'!$B$2:$CO$584,66,FALSE)=FT24,"Techos ok, cotinue","Debe revisar el valor programado")),"")</f>
        <v/>
      </c>
      <c r="FV24" s="453">
        <f>IF(OR('Parte Estrategica'!AT24=0,'Parte Estrategica'!AT24=""),0,IF(VLOOKUP($A24,'Matriz de Referencia'!$B$2:$CO$584,67,FALSE)=0,0,"Digite"))</f>
        <v>0</v>
      </c>
      <c r="FW24" s="454">
        <f>IF(OR('Parte Estrategica'!AT24=0,'Parte Estrategica'!AT24=""),0,IF(VLOOKUP($A24,'Matriz de Referencia'!$B$2:$CO$584,68,FALSE)=0,0,"Digite"))</f>
        <v>0</v>
      </c>
      <c r="FX24" s="454">
        <f>IF(OR('Parte Estrategica'!AT24=0,'Parte Estrategica'!AT24=""),0,IF(VLOOKUP($A24,'Matriz de Referencia'!$B$2:$CO$584,69,FALSE)=0,0,"Digite"))</f>
        <v>0</v>
      </c>
      <c r="FY24" s="454">
        <f>IF(OR('Parte Estrategica'!AT24=0,'Parte Estrategica'!AT24=""),0,IF(VLOOKUP($A24,'Matriz de Referencia'!$B$2:$CO$584,70,FALSE)=0,0,"Digite"))</f>
        <v>0</v>
      </c>
      <c r="FZ24" s="454">
        <f>IF(OR('Parte Estrategica'!AT24=0,'Parte Estrategica'!AT24=""),0,IF(VLOOKUP($A24,'Matriz de Referencia'!$B$2:$CO$584,71,FALSE)=0,0,"Digite"))</f>
        <v>0</v>
      </c>
      <c r="GA24" s="454">
        <f>IF(OR('Parte Estrategica'!AT24=0,'Parte Estrategica'!AT24=""),0,IF(VLOOKUP($A24,'Matriz de Referencia'!$B$2:$CO$584,72,FALSE)=0,0,"Digite"))</f>
        <v>0</v>
      </c>
      <c r="GB24" s="454">
        <f>IF(OR('Parte Estrategica'!AT24=0,'Parte Estrategica'!AT24=""),0,IF(VLOOKUP($A24,'Matriz de Referencia'!$B$2:$CO$584,73,FALSE)=0,0,"Digite"))</f>
        <v>0</v>
      </c>
      <c r="GC24" s="454">
        <f>IF(OR('Parte Estrategica'!AT24=0,'Parte Estrategica'!AT24=""),0,IF(VLOOKUP($A24,'Matriz de Referencia'!$B$2:$CO$584,74,FALSE)=0,0,"Digite"))</f>
        <v>0</v>
      </c>
      <c r="GD24" s="382">
        <f t="shared" si="39"/>
        <v>0</v>
      </c>
      <c r="GE24" s="454">
        <f>IF(OR('Parte Estrategica'!AT24=0,'Parte Estrategica'!AT24=""),0,IF(VLOOKUP($A24,'Matriz de Referencia'!$B$2:$CO$584,76,FALSE)=0,0,"Digite"))</f>
        <v>0</v>
      </c>
      <c r="GF24" s="454">
        <f>IF(OR('Parte Estrategica'!AT24=0,'Parte Estrategica'!AT24=""),0,IF(VLOOKUP($A24,'Matriz de Referencia'!$B$2:$CO$584,77,FALSE)=0,0,"Digite"))</f>
        <v>0</v>
      </c>
      <c r="GG24" s="454">
        <f>IF(OR('Parte Estrategica'!AT24=0,'Parte Estrategica'!AT24=""),0,IF(VLOOKUP($A24,'Matriz de Referencia'!$B$2:$CO$584,78,FALSE)=0,0,"Digite"))</f>
        <v>0</v>
      </c>
      <c r="GH24" s="382">
        <f t="shared" si="40"/>
        <v>0</v>
      </c>
      <c r="GI24" s="382">
        <f t="shared" si="41"/>
        <v>0</v>
      </c>
      <c r="GJ24" s="453">
        <f>IF(OR('Parte Estrategica'!AU24=0,'Parte Estrategica'!AU24=""),0,IF(VLOOKUP($A24,'Matriz de Referencia'!$B$2:$CO$584,67,FALSE)=0,0,"Digite"))</f>
        <v>0</v>
      </c>
      <c r="GK24" s="454">
        <f>IF(OR('Parte Estrategica'!AU24=0,'Parte Estrategica'!AU24=""),0,IF(VLOOKUP($A24,'Matriz de Referencia'!$B$2:$CO$584,68,FALSE)=0,0,"Digite"))</f>
        <v>0</v>
      </c>
      <c r="GL24" s="454">
        <f>IF(OR('Parte Estrategica'!AU24=0,'Parte Estrategica'!AU24=""),0,IF(VLOOKUP($A24,'Matriz de Referencia'!$B$2:$CO$584,69,FALSE)=0,0,"Digite"))</f>
        <v>0</v>
      </c>
      <c r="GM24" s="454">
        <f>IF(OR('Parte Estrategica'!AU24=0,'Parte Estrategica'!AU24=""),0,IF(VLOOKUP($A24,'Matriz de Referencia'!$B$2:$CO$584,70,FALSE)=0,0,"Digite"))</f>
        <v>0</v>
      </c>
      <c r="GN24" s="454">
        <f>IF(OR('Parte Estrategica'!AU24=0,'Parte Estrategica'!AU24=""),0,IF(VLOOKUP($A24,'Matriz de Referencia'!$B$2:$CO$584,71,FALSE)=0,0,"Digite"))</f>
        <v>0</v>
      </c>
      <c r="GO24" s="454">
        <f>IF(OR('Parte Estrategica'!AU24=0,'Parte Estrategica'!AU24=""),0,IF(VLOOKUP($A24,'Matriz de Referencia'!$B$2:$CO$584,72,FALSE)=0,0,"Digite"))</f>
        <v>0</v>
      </c>
      <c r="GP24" s="454">
        <f>IF(OR('Parte Estrategica'!AU24=0,'Parte Estrategica'!AU24=""),0,IF(VLOOKUP($A24,'Matriz de Referencia'!$B$2:$CO$584,73,FALSE)=0,0,"Digite"))</f>
        <v>0</v>
      </c>
      <c r="GQ24" s="454">
        <f>IF(OR('Parte Estrategica'!AU24=0,'Parte Estrategica'!AU24=""),0,IF(VLOOKUP($A24,'Matriz de Referencia'!$B$2:$CO$584,74,FALSE)=0,0,"Digite"))</f>
        <v>0</v>
      </c>
      <c r="GR24" s="382">
        <f t="shared" si="42"/>
        <v>0</v>
      </c>
      <c r="GS24" s="454">
        <f>IF(OR('Parte Estrategica'!AU24=0,'Parte Estrategica'!AU24=""),0,IF(VLOOKUP($A24,'Matriz de Referencia'!$B$2:$CO$584,76,FALSE)=0,0,"Digite"))</f>
        <v>0</v>
      </c>
      <c r="GT24" s="454">
        <f>IF(OR('Parte Estrategica'!AU24=0,'Parte Estrategica'!AU24=""),0,IF(VLOOKUP($A24,'Matriz de Referencia'!$B$2:$CO$584,77,FALSE)=0,0,"Digite"))</f>
        <v>0</v>
      </c>
      <c r="GU24" s="454">
        <f>IF(OR('Parte Estrategica'!AU24=0,'Parte Estrategica'!AU24=""),0,IF(VLOOKUP($A24,'Matriz de Referencia'!$B$2:$CO$584,78,FALSE)=0,0,"Digite"))</f>
        <v>0</v>
      </c>
      <c r="GV24" s="382">
        <f t="shared" si="43"/>
        <v>0</v>
      </c>
      <c r="GW24" s="382">
        <f t="shared" si="44"/>
        <v>0</v>
      </c>
      <c r="GX24" s="453">
        <f>IF(OR('Parte Estrategica'!AV24=0,'Parte Estrategica'!AV24=""),0,IF(VLOOKUP($A24,'Matriz de Referencia'!$B$2:$CO$584,67,FALSE)=0,0,"Digite"))</f>
        <v>0</v>
      </c>
      <c r="GY24" s="454">
        <f>IF(OR('Parte Estrategica'!AV24=0,'Parte Estrategica'!AV24=""),0,IF(VLOOKUP($A24,'Matriz de Referencia'!$B$2:$CO$584,68,FALSE)=0,0,"Digite"))</f>
        <v>0</v>
      </c>
      <c r="GZ24" s="454">
        <f>IF(OR('Parte Estrategica'!AV24=0,'Parte Estrategica'!AV24=""),0,IF(VLOOKUP($A24,'Matriz de Referencia'!$B$2:$CO$584,69,FALSE)=0,0,"Digite"))</f>
        <v>0</v>
      </c>
      <c r="HA24" s="454">
        <f>IF(OR('Parte Estrategica'!AV24=0,'Parte Estrategica'!AV24=""),0,IF(VLOOKUP($A24,'Matriz de Referencia'!$B$2:$CO$584,70,FALSE)=0,0,"Digite"))</f>
        <v>0</v>
      </c>
      <c r="HB24" s="454">
        <f>IF(OR('Parte Estrategica'!AV24=0,'Parte Estrategica'!AV24=""),0,IF(VLOOKUP($A24,'Matriz de Referencia'!$B$2:$CO$584,71,FALSE)=0,0,"Digite"))</f>
        <v>0</v>
      </c>
      <c r="HC24" s="454">
        <f>IF(OR('Parte Estrategica'!AV24=0,'Parte Estrategica'!AV24=""),0,IF(VLOOKUP($A24,'Matriz de Referencia'!$B$2:$CO$584,72,FALSE)=0,0,"Digite"))</f>
        <v>0</v>
      </c>
      <c r="HD24" s="454">
        <f>IF(OR('Parte Estrategica'!AV24=0,'Parte Estrategica'!AV24=""),0,IF(VLOOKUP($A24,'Matriz de Referencia'!$B$2:$CO$584,73,FALSE)=0,0,"Digite"))</f>
        <v>0</v>
      </c>
      <c r="HE24" s="454">
        <f>IF(OR('Parte Estrategica'!AV24=0,'Parte Estrategica'!AV24=""),0,IF(VLOOKUP($A24,'Matriz de Referencia'!$B$2:$CO$584,74,FALSE)=0,0,"Digite"))</f>
        <v>0</v>
      </c>
      <c r="HF24" s="382">
        <f t="shared" si="45"/>
        <v>0</v>
      </c>
      <c r="HG24" s="454">
        <f>IF(OR('Parte Estrategica'!AV24=0,'Parte Estrategica'!AV24=""),0,IF(VLOOKUP($A24,'Matriz de Referencia'!$B$2:$CO$584,76,FALSE)=0,0,"Digite"))</f>
        <v>0</v>
      </c>
      <c r="HH24" s="454">
        <f>IF(OR('Parte Estrategica'!AV24=0,'Parte Estrategica'!AV24=""),0,IF(VLOOKUP($A24,'Matriz de Referencia'!$B$2:$CO$584,77,FALSE)=0,0,"Digite"))</f>
        <v>0</v>
      </c>
      <c r="HI24" s="454">
        <f>IF(OR('Parte Estrategica'!AV24=0,'Parte Estrategica'!AV24=""),0,IF(VLOOKUP($A24,'Matriz de Referencia'!$B$2:$CO$584,78,FALSE)=0,0,"Digite"))</f>
        <v>0</v>
      </c>
      <c r="HJ24" s="382">
        <f t="shared" si="46"/>
        <v>0</v>
      </c>
      <c r="HK24" s="382">
        <f t="shared" si="47"/>
        <v>0</v>
      </c>
      <c r="HL24" s="453">
        <f>IF(OR('Parte Estrategica'!AW24=0,'Parte Estrategica'!AW24=""),0,IF(VLOOKUP($A24,'Matriz de Referencia'!$B$2:$CO$584,67,FALSE)=0,0,"Digite"))</f>
        <v>0</v>
      </c>
      <c r="HM24" s="454">
        <f>IF(OR('Parte Estrategica'!AW24=0,'Parte Estrategica'!AW24=""),0,IF(VLOOKUP($A24,'Matriz de Referencia'!$B$2:$CO$584,68,FALSE)=0,0,"Digite"))</f>
        <v>0</v>
      </c>
      <c r="HN24" s="454">
        <f>IF(OR('Parte Estrategica'!AW24=0,'Parte Estrategica'!AW24=""),0,IF(VLOOKUP($A24,'Matriz de Referencia'!$B$2:$CO$584,69,FALSE)=0,0,"Digite"))</f>
        <v>0</v>
      </c>
      <c r="HO24" s="454">
        <f>IF(OR('Parte Estrategica'!AW24=0,'Parte Estrategica'!AW24=""),0,IF(VLOOKUP($A24,'Matriz de Referencia'!$B$2:$CO$584,70,FALSE)=0,0,"Digite"))</f>
        <v>0</v>
      </c>
      <c r="HP24" s="454">
        <f>IF(OR('Parte Estrategica'!AW24=0,'Parte Estrategica'!AW24=""),0,IF(VLOOKUP($A24,'Matriz de Referencia'!$B$2:$CO$584,71,FALSE)=0,0,"Digite"))</f>
        <v>0</v>
      </c>
      <c r="HQ24" s="454">
        <f>IF(OR('Parte Estrategica'!AW24=0,'Parte Estrategica'!AW24=""),0,IF(VLOOKUP($A24,'Matriz de Referencia'!$B$2:$CO$584,72,FALSE)=0,0,"Digite"))</f>
        <v>0</v>
      </c>
      <c r="HR24" s="454">
        <f>IF(OR('Parte Estrategica'!AW24=0,'Parte Estrategica'!AW24=""),0,IF(VLOOKUP($A24,'Matriz de Referencia'!$B$2:$CO$584,73,FALSE)=0,0,"Digite"))</f>
        <v>0</v>
      </c>
      <c r="HS24" s="454">
        <f>IF(OR('Parte Estrategica'!AW24=0,'Parte Estrategica'!AW24=""),0,IF(VLOOKUP($A24,'Matriz de Referencia'!$B$2:$CO$584,74,FALSE)=0,0,"Digite"))</f>
        <v>0</v>
      </c>
      <c r="HT24" s="382">
        <f t="shared" si="48"/>
        <v>0</v>
      </c>
      <c r="HU24" s="454">
        <f>IF(OR('Parte Estrategica'!AW24=0,'Parte Estrategica'!AW24=""),0,IF(VLOOKUP($A24,'Matriz de Referencia'!$B$2:$CO$584,76,FALSE)=0,0,"Digite"))</f>
        <v>0</v>
      </c>
      <c r="HV24" s="454">
        <f>IF(OR('Parte Estrategica'!AW24=0,'Parte Estrategica'!AW24=""),0,IF(VLOOKUP($A24,'Matriz de Referencia'!$B$2:$CO$584,77,FALSE)=0,0,"Digite"))</f>
        <v>0</v>
      </c>
      <c r="HW24" s="454">
        <f>IF(OR('Parte Estrategica'!AW24=0,'Parte Estrategica'!AW24=""),0,IF(VLOOKUP($A24,'Matriz de Referencia'!$B$2:$CO$584,78,FALSE)=0,0,"Digite"))</f>
        <v>0</v>
      </c>
      <c r="HX24" s="382">
        <f t="shared" si="49"/>
        <v>0</v>
      </c>
      <c r="HY24" s="382">
        <f t="shared" si="50"/>
        <v>0</v>
      </c>
      <c r="HZ24" s="382">
        <f t="shared" si="51"/>
        <v>0</v>
      </c>
      <c r="IA24" s="101" t="str">
        <f>IFERROR(IF(HZ24=0,"",IF(VLOOKUP($A24,'Matriz de Referencia'!$B$2:$CO$584,80,FALSE)=HZ24,"Techos ok, cotinue","Debe revisar el valor programado")),"")</f>
        <v/>
      </c>
      <c r="IB24" s="383">
        <f t="shared" si="52"/>
        <v>0</v>
      </c>
    </row>
    <row r="25" spans="1:236">
      <c r="A25" s="550" t="str">
        <f>IF('Parte Estrategica'!B25=0,"",'Parte Estrategica'!B25)</f>
        <v/>
      </c>
      <c r="B25" s="551" t="str">
        <f>IFERROR(VLOOKUP(A25,'Matriz de Referencia'!$B$2:$P$578,'Matriz de Referencia'!L$1,FALSE),"")</f>
        <v/>
      </c>
      <c r="C25" s="551" t="str">
        <f>IFERROR(VLOOKUP(A25,'Matriz de Referencia'!$B$2:$P$584,'Matriz de Referencia'!M$1,FALSE),"")</f>
        <v/>
      </c>
      <c r="D25" s="455" t="str">
        <f>IF(OR('Parte Estrategica'!AB25=0,'Parte Estrategica'!AB25=""),"",IF(VLOOKUP($A25,'Matriz de Referencia'!$B$2:$CO$584,'Matriz de Referencia'!Z$1,FALSE)=0,"","Digite"))</f>
        <v/>
      </c>
      <c r="E25" s="456">
        <f>IF(OR('Parte Estrategica'!AB25=0,'Parte Estrategica'!AB25=""),0,IF(VLOOKUP($A25,'Matriz de Referencia'!$B$2:$CO$584,26,FALSE)=0,0,"Digite"))</f>
        <v>0</v>
      </c>
      <c r="F25" s="456">
        <f>IF(OR('Parte Estrategica'!AB25=0,'Parte Estrategica'!AB25=""),0,IF(VLOOKUP($A25,'Matriz de Referencia'!$B$2:$CO$584,27,FALSE)=0,0,"Digite"))</f>
        <v>0</v>
      </c>
      <c r="G25" s="456">
        <f>IF(OR('Parte Estrategica'!AB25=0,'Parte Estrategica'!AB25=""),0,IF(VLOOKUP($A25,'Matriz de Referencia'!$B$2:$CO$584,28,FALSE)=0,0,"Digite"))</f>
        <v>0</v>
      </c>
      <c r="H25" s="456">
        <f>IF(OR('Parte Estrategica'!AB25=0,'Parte Estrategica'!AB25=""),0,IF(VLOOKUP($A25,'Matriz de Referencia'!$B$2:$CO$584,29,FALSE)=0,0,"Digite"))</f>
        <v>0</v>
      </c>
      <c r="I25" s="456">
        <f>IF(OR('Parte Estrategica'!AB25=0,'Parte Estrategica'!AB25=""),0,IF(VLOOKUP($A25,'Matriz de Referencia'!$B$2:$CO$584,30,FALSE)=0,0,"Digite"))</f>
        <v>0</v>
      </c>
      <c r="J25" s="456">
        <f>IF(OR('Parte Estrategica'!AB25=0,'Parte Estrategica'!AB25=""),0,IF(VLOOKUP($A25,'Matriz de Referencia'!$B$2:$CO$584,31,FALSE)=0,0,"Digite"))</f>
        <v>0</v>
      </c>
      <c r="K25" s="456">
        <f>IF(OR('Parte Estrategica'!AB25=0,'Parte Estrategica'!AB25=""),0,IF(VLOOKUP($A25,'Matriz de Referencia'!$B$2:$CO$584,32,FALSE)=0,0,"Digite"))</f>
        <v>0</v>
      </c>
      <c r="L25" s="460">
        <f t="shared" si="0"/>
        <v>0</v>
      </c>
      <c r="M25" s="456">
        <f>IF(OR('Parte Estrategica'!AB25=0,'Parte Estrategica'!AB25=""),0,IF(VLOOKUP($A25,'Matriz de Referencia'!$B$2:$CO$584,34,FALSE)=0,0,"Digite"))</f>
        <v>0</v>
      </c>
      <c r="N25" s="456">
        <f>IF(OR('Parte Estrategica'!AB25=0,'Parte Estrategica'!AB25=""),0,IF(VLOOKUP($A25,'Matriz de Referencia'!$B$2:$CO$584,35,FALSE)=0,0,"Digite"))</f>
        <v>0</v>
      </c>
      <c r="O25" s="456">
        <f>IF(OR('Parte Estrategica'!AB25=0,'Parte Estrategica'!AB25=""),0,IF(VLOOKUP($A25,'Matriz de Referencia'!$B$2:$CO$584,36,FALSE)=0,0,"Digite"))</f>
        <v>0</v>
      </c>
      <c r="P25" s="457">
        <f t="shared" si="1"/>
        <v>0</v>
      </c>
      <c r="Q25" s="457">
        <f t="shared" si="2"/>
        <v>0</v>
      </c>
      <c r="R25" s="455">
        <f>IF(OR('Parte Estrategica'!AC25=0,'Parte Estrategica'!AC25=""),0,IF(VLOOKUP($A25,'Matriz de Referencia'!$B$2:$CO$584,25,FALSE)=0,0,"Digite"))</f>
        <v>0</v>
      </c>
      <c r="S25" s="456">
        <f>IF(OR('Parte Estrategica'!AC25=0,'Parte Estrategica'!AC25=""),0,IF(VLOOKUP($A25,'Matriz de Referencia'!$B$2:$CO$584,26,FALSE)=0,0,"Digite"))</f>
        <v>0</v>
      </c>
      <c r="T25" s="456">
        <f>IF(OR('Parte Estrategica'!AC25=0,'Parte Estrategica'!AC25=""),0,IF(VLOOKUP($A25,'Matriz de Referencia'!$B$2:$CO$584,27,FALSE)=0,0,"Digite"))</f>
        <v>0</v>
      </c>
      <c r="U25" s="456">
        <f>IF(OR('Parte Estrategica'!AC25=0,'Parte Estrategica'!AC25=""),0,IF(VLOOKUP($A25,'Matriz de Referencia'!$B$2:$CO$584,28,FALSE)=0,0,"Digite"))</f>
        <v>0</v>
      </c>
      <c r="V25" s="456">
        <f>IF(OR('Parte Estrategica'!AC25=0,'Parte Estrategica'!AC25=""),0,IF(VLOOKUP($A25,'Matriz de Referencia'!$B$2:$CO$584,29,FALSE)=0,0,"Digite"))</f>
        <v>0</v>
      </c>
      <c r="W25" s="456">
        <f>IF(OR('Parte Estrategica'!AC25=0,'Parte Estrategica'!AC25=""),0,IF(VLOOKUP($A25,'Matriz de Referencia'!$B$2:$CO$584,30,FALSE)=0,0,"Digite"))</f>
        <v>0</v>
      </c>
      <c r="X25" s="456">
        <f>IF(OR('Parte Estrategica'!AC25=0,'Parte Estrategica'!AC25=""),0,IF(VLOOKUP($A25,'Matriz de Referencia'!$B$2:$CO$584,31,FALSE)=0,0,"Digite"))</f>
        <v>0</v>
      </c>
      <c r="Y25" s="456">
        <f>IF(OR('Parte Estrategica'!AC25=0,'Parte Estrategica'!AC25=""),0,IF(VLOOKUP($A25,'Matriz de Referencia'!$B$2:$CO$584,32,FALSE)=0,0,"Digite"))</f>
        <v>0</v>
      </c>
      <c r="Z25" s="457">
        <f t="shared" si="3"/>
        <v>0</v>
      </c>
      <c r="AA25" s="456">
        <f>IF(OR('Parte Estrategica'!AC25=0,'Parte Estrategica'!AC25=""),0,IF(VLOOKUP($A25,'Matriz de Referencia'!$B$2:$CO$584,34,FALSE)=0,0,"Digite"))</f>
        <v>0</v>
      </c>
      <c r="AB25" s="456">
        <f>IF(OR('Parte Estrategica'!AC25=0,'Parte Estrategica'!AC25=""),0,IF(VLOOKUP($A25,'Matriz de Referencia'!$B$2:$CO$584,35,FALSE)=0,0,"Digite"))</f>
        <v>0</v>
      </c>
      <c r="AC25" s="456">
        <f>IF(OR('Parte Estrategica'!AC25=0,'Parte Estrategica'!AC25=""),0,IF(VLOOKUP($A25,'Matriz de Referencia'!$B$2:$CO$584,36,FALSE)=0,0,"Digite"))</f>
        <v>0</v>
      </c>
      <c r="AD25" s="457">
        <f t="shared" si="4"/>
        <v>0</v>
      </c>
      <c r="AE25" s="457">
        <f t="shared" si="5"/>
        <v>0</v>
      </c>
      <c r="AF25" s="455">
        <f>IF(OR('Parte Estrategica'!AD25=0,'Parte Estrategica'!AD25=""),0,IF(VLOOKUP($A25,'Matriz de Referencia'!$B$2:$CO$584,25,FALSE)=0,0,"Digite"))</f>
        <v>0</v>
      </c>
      <c r="AG25" s="456">
        <f>IF(OR('Parte Estrategica'!AD25=0,'Parte Estrategica'!AD25=""),0,IF(VLOOKUP($A25,'Matriz de Referencia'!$B$2:$CO$584,26,FALSE)=0,0,"Digite"))</f>
        <v>0</v>
      </c>
      <c r="AH25" s="456">
        <f>IF(OR('Parte Estrategica'!AD25=0,'Parte Estrategica'!AD25=""),0,IF(VLOOKUP($A25,'Matriz de Referencia'!$B$2:$CO$584,27,FALSE)=0,0,"Digite"))</f>
        <v>0</v>
      </c>
      <c r="AI25" s="456">
        <f>IF(OR('Parte Estrategica'!AD25=0,'Parte Estrategica'!AD25=""),0,IF(VLOOKUP($A25,'Matriz de Referencia'!$B$2:$CO$584,28,FALSE)=0,0,"Digite"))</f>
        <v>0</v>
      </c>
      <c r="AJ25" s="456">
        <f>IF(OR('Parte Estrategica'!AD25=0,'Parte Estrategica'!AD25=""),0,IF(VLOOKUP($A25,'Matriz de Referencia'!$B$2:$CO$584,29,FALSE)=0,0,"Digite"))</f>
        <v>0</v>
      </c>
      <c r="AK25" s="456">
        <f>IF(OR('Parte Estrategica'!AD25=0,'Parte Estrategica'!AD25=""),0,IF(VLOOKUP($A25,'Matriz de Referencia'!$B$2:$CO$584,30,FALSE)=0,0,"Digite"))</f>
        <v>0</v>
      </c>
      <c r="AL25" s="456">
        <f>IF(OR('Parte Estrategica'!AD25=0,'Parte Estrategica'!AD25=""),0,IF(VLOOKUP($A25,'Matriz de Referencia'!$B$2:$CO$584,31,FALSE)=0,0,"Digite"))</f>
        <v>0</v>
      </c>
      <c r="AM25" s="456">
        <f>IF(OR('Parte Estrategica'!AD25=0,'Parte Estrategica'!AD25=""),0,IF(VLOOKUP($A25,'Matriz de Referencia'!$B$2:$CO$584,32,FALSE)=0,0,"Digite"))</f>
        <v>0</v>
      </c>
      <c r="AN25" s="457">
        <f t="shared" si="6"/>
        <v>0</v>
      </c>
      <c r="AO25" s="456">
        <f>IF(OR('Parte Estrategica'!AD25=0,'Parte Estrategica'!AD25=""),0,IF(VLOOKUP($A25,'Matriz de Referencia'!$B$2:$CO$584,34,FALSE)=0,0,"Digite"))</f>
        <v>0</v>
      </c>
      <c r="AP25" s="456">
        <f>IF(OR('Parte Estrategica'!AD25=0,'Parte Estrategica'!AD25=""),0,IF(VLOOKUP($A25,'Matriz de Referencia'!$B$2:$CO$584,35,FALSE)=0,0,"Digite"))</f>
        <v>0</v>
      </c>
      <c r="AQ25" s="456">
        <f>IF(OR('Parte Estrategica'!AD25=0,'Parte Estrategica'!AD25=""),0,IF(VLOOKUP($A25,'Matriz de Referencia'!$B$2:$CO$584,36,FALSE)=0,0,"Digite"))</f>
        <v>0</v>
      </c>
      <c r="AR25" s="457">
        <f t="shared" si="7"/>
        <v>0</v>
      </c>
      <c r="AS25" s="457">
        <f t="shared" si="8"/>
        <v>0</v>
      </c>
      <c r="AT25" s="455">
        <f>IF(OR('Parte Estrategica'!AE25=0,'Parte Estrategica'!AE25=""),0,IF(VLOOKUP($A25,'Matriz de Referencia'!$B$2:$CO$584,25,FALSE)=0,0,"Digite"))</f>
        <v>0</v>
      </c>
      <c r="AU25" s="456">
        <f>IF(OR('Parte Estrategica'!AE25=0,'Parte Estrategica'!AE25=""),0,IF(VLOOKUP($A25,'Matriz de Referencia'!$B$2:$CO$584,26,FALSE)=0,0,"Digite"))</f>
        <v>0</v>
      </c>
      <c r="AV25" s="456">
        <f>IF(OR('Parte Estrategica'!AE25=0,'Parte Estrategica'!AE25=""),0,IF(VLOOKUP($A25,'Matriz de Referencia'!$B$2:$CO$584,27,FALSE)=0,0,"Digite"))</f>
        <v>0</v>
      </c>
      <c r="AW25" s="456">
        <f>IF(OR('Parte Estrategica'!AE25=0,'Parte Estrategica'!AE25=""),0,IF(VLOOKUP($A25,'Matriz de Referencia'!$B$2:$CO$584,28,FALSE)=0,0,"Digite"))</f>
        <v>0</v>
      </c>
      <c r="AX25" s="456">
        <f>IF(OR('Parte Estrategica'!AE25=0,'Parte Estrategica'!AE25=""),0,IF(VLOOKUP($A25,'Matriz de Referencia'!$B$2:$CO$584,29,FALSE)=0,0,"Digite"))</f>
        <v>0</v>
      </c>
      <c r="AY25" s="456">
        <f>IF(OR('Parte Estrategica'!AE25=0,'Parte Estrategica'!AE25=""),0,IF(VLOOKUP($A25,'Matriz de Referencia'!$B$2:$CO$584,30,FALSE)=0,0,"Digite"))</f>
        <v>0</v>
      </c>
      <c r="AZ25" s="456">
        <f>IF(OR('Parte Estrategica'!AE25=0,'Parte Estrategica'!AE25=""),0,IF(VLOOKUP($A25,'Matriz de Referencia'!$B$2:$CO$584,31,FALSE)=0,0,"Digite"))</f>
        <v>0</v>
      </c>
      <c r="BA25" s="456">
        <f>IF(OR('Parte Estrategica'!AE25=0,'Parte Estrategica'!AE25=""),0,IF(VLOOKUP($A25,'Matriz de Referencia'!$B$2:$CO$584,32,FALSE)=0,0,"Digite"))</f>
        <v>0</v>
      </c>
      <c r="BB25" s="457">
        <f t="shared" si="9"/>
        <v>0</v>
      </c>
      <c r="BC25" s="456">
        <f>IF(OR('Parte Estrategica'!AE25=0,'Parte Estrategica'!AE25=""),0,IF(VLOOKUP($A25,'Matriz de Referencia'!$B$2:$CO$584,34,FALSE)=0,0,"Digite"))</f>
        <v>0</v>
      </c>
      <c r="BD25" s="456">
        <f>IF(OR('Parte Estrategica'!AE25=0,'Parte Estrategica'!AE25=""),0,IF(VLOOKUP($A25,'Matriz de Referencia'!$B$2:$CO$584,35,FALSE)=0,0,"Digite"))</f>
        <v>0</v>
      </c>
      <c r="BE25" s="456">
        <f>IF(OR('Parte Estrategica'!AE25=0,'Parte Estrategica'!AE25=""),0,IF(VLOOKUP($A25,'Matriz de Referencia'!$B$2:$CO$584,36,FALSE)=0,0,"Digite"))</f>
        <v>0</v>
      </c>
      <c r="BF25" s="457">
        <f t="shared" si="10"/>
        <v>0</v>
      </c>
      <c r="BG25" s="457">
        <f t="shared" si="11"/>
        <v>0</v>
      </c>
      <c r="BH25" s="457">
        <f t="shared" si="12"/>
        <v>0</v>
      </c>
      <c r="BI25" s="101" t="str">
        <f>IFERROR(IF(BH25=0,"",IF(VLOOKUP($A25,'Matriz de Referencia'!$B$2:$CO$584,'Matriz de Referencia'!AM$1,FALSE)=BH25,"Techos ok, cotinue","Debe revisar el valor programado")),"")</f>
        <v/>
      </c>
      <c r="BJ25" s="453">
        <f>IF(OR('Parte Estrategica'!AH25=0,'Parte Estrategica'!AH25=""),0,IF(VLOOKUP($A25,'Matriz de Referencia'!$B$2:$CO$584,39,FALSE)=0,0,"Digite"))</f>
        <v>0</v>
      </c>
      <c r="BK25" s="454">
        <f>IF(OR('Parte Estrategica'!AH25=0,'Parte Estrategica'!AH25=""),0,IF(VLOOKUP($A25,'Matriz de Referencia'!$B$2:$CO$584,40,FALSE)=0,0,"Digite"))</f>
        <v>0</v>
      </c>
      <c r="BL25" s="454">
        <f>IF(OR('Parte Estrategica'!AH25=0,'Parte Estrategica'!AH25=""),0,IF(VLOOKUP($A25,'Matriz de Referencia'!$B$2:$CO$584,41,FALSE)=0,0,"Digite"))</f>
        <v>0</v>
      </c>
      <c r="BM25" s="454">
        <f>IF(OR('Parte Estrategica'!AH25=0,'Parte Estrategica'!AH25=""),0,IF(VLOOKUP($A25,'Matriz de Referencia'!$B$2:$CO$584,42,FALSE)=0,0,"Digite"))</f>
        <v>0</v>
      </c>
      <c r="BN25" s="454">
        <f>IF(OR('Parte Estrategica'!AH25=0,'Parte Estrategica'!AH25=""),0,IF(VLOOKUP($A25,'Matriz de Referencia'!$B$2:$CO$584,43,FALSE)=0,0,"Digite"))</f>
        <v>0</v>
      </c>
      <c r="BO25" s="454">
        <f>IF(OR('Parte Estrategica'!AH25=0,'Parte Estrategica'!AH25=""),0,IF(VLOOKUP($A25,'Matriz de Referencia'!$B$2:$CO$584,44,FALSE)=0,0,"Digite"))</f>
        <v>0</v>
      </c>
      <c r="BP25" s="454">
        <f>IF(OR('Parte Estrategica'!AH25=0,'Parte Estrategica'!AH25=""),0,IF(VLOOKUP($A25,'Matriz de Referencia'!$B$2:$CO$584,45,FALSE)=0,0,"Digite"))</f>
        <v>0</v>
      </c>
      <c r="BQ25" s="454">
        <f>IF(OR('Parte Estrategica'!AH25=0,'Parte Estrategica'!AH25=""),0,IF(VLOOKUP($A25,'Matriz de Referencia'!$B$2:$CO$584,46,FALSE)=0,0,"Digite"))</f>
        <v>0</v>
      </c>
      <c r="BR25" s="382">
        <f t="shared" si="13"/>
        <v>0</v>
      </c>
      <c r="BS25" s="454">
        <f>IF(OR('Parte Estrategica'!CL25=0,'Parte Estrategica'!CL25=""),0,IF(VLOOKUP($A25,'Matriz de Referencia'!$B$2:$CO$584,48,FALSE)=0,0,"Digite"))</f>
        <v>0</v>
      </c>
      <c r="BT25" s="454">
        <f>IF(OR('Parte Estrategica'!CL25=0,'Parte Estrategica'!CL25=""),0,IF(VLOOKUP($A25,'Matriz de Referencia'!$B$2:$CO$584,49,FALSE)=0,0,"Digite"))</f>
        <v>0</v>
      </c>
      <c r="BU25" s="454">
        <f>IF(OR('Parte Estrategica'!CL25=0,'Parte Estrategica'!CL25=""),0,IF(VLOOKUP($A25,'Matriz de Referencia'!$B$2:$CO$584,50,FALSE)=0,0,"Digite"))</f>
        <v>0</v>
      </c>
      <c r="BV25" s="382">
        <f t="shared" si="14"/>
        <v>0</v>
      </c>
      <c r="BW25" s="382">
        <f t="shared" si="15"/>
        <v>0</v>
      </c>
      <c r="BX25" s="453">
        <f>IF(OR('Parte Estrategica'!AI25=0,'Parte Estrategica'!AI25=""),0,IF(VLOOKUP($A25,'Matriz de Referencia'!$B$2:$CO$584,39,FALSE)=0,0,"Digite"))</f>
        <v>0</v>
      </c>
      <c r="BY25" s="454">
        <f>IF(OR('Parte Estrategica'!AI25=0,'Parte Estrategica'!AI25=""),0,IF(VLOOKUP($A25,'Matriz de Referencia'!$B$2:$CO$584,40,FALSE)=0,0,"Digite"))</f>
        <v>0</v>
      </c>
      <c r="BZ25" s="454">
        <f>IF(OR('Parte Estrategica'!AI25=0,'Parte Estrategica'!AI25=""),0,IF(VLOOKUP($A25,'Matriz de Referencia'!$B$2:$CO$584,41,FALSE)=0,0,"Digite"))</f>
        <v>0</v>
      </c>
      <c r="CA25" s="454">
        <f>IF(OR('Parte Estrategica'!AI25=0,'Parte Estrategica'!AI25=""),0,IF(VLOOKUP($A25,'Matriz de Referencia'!$B$2:$CO$584,42,FALSE)=0,0,"Digite"))</f>
        <v>0</v>
      </c>
      <c r="CB25" s="454">
        <f>IF(OR('Parte Estrategica'!AI25=0,'Parte Estrategica'!AI25=""),0,IF(VLOOKUP($A25,'Matriz de Referencia'!$B$2:$CO$584,43,FALSE)=0,0,"Digite"))</f>
        <v>0</v>
      </c>
      <c r="CC25" s="454">
        <f>IF(OR('Parte Estrategica'!AI25=0,'Parte Estrategica'!AI25=""),0,IF(VLOOKUP($A25,'Matriz de Referencia'!$B$2:$CO$584,44,FALSE)=0,0,"Digite"))</f>
        <v>0</v>
      </c>
      <c r="CD25" s="454">
        <f>IF(OR('Parte Estrategica'!AI25=0,'Parte Estrategica'!AI25=""),0,IF(VLOOKUP($A25,'Matriz de Referencia'!$B$2:$CO$584,45,FALSE)=0,0,"Digite"))</f>
        <v>0</v>
      </c>
      <c r="CE25" s="454">
        <f>IF(OR('Parte Estrategica'!AI25=0,'Parte Estrategica'!AI25=""),0,IF(VLOOKUP($A25,'Matriz de Referencia'!$B$2:$CO$584,46,FALSE)=0,0,"Digite"))</f>
        <v>0</v>
      </c>
      <c r="CF25" s="382">
        <f t="shared" si="16"/>
        <v>0</v>
      </c>
      <c r="CG25" s="454">
        <f>IF(OR('Parte Estrategica'!AI25=0,'Parte Estrategica'!AI25=""),0,IF(VLOOKUP($A25,'Matriz de Referencia'!$B$2:$CO$584,48,FALSE)=0,0,"Digite"))</f>
        <v>0</v>
      </c>
      <c r="CH25" s="454">
        <f>IF(OR('Parte Estrategica'!AI25=0,'Parte Estrategica'!AI25=""),0,IF(VLOOKUP($A25,'Matriz de Referencia'!$B$2:$CO$584,49,FALSE)=0,0,"Digite"))</f>
        <v>0</v>
      </c>
      <c r="CI25" s="454">
        <f>IF(OR('Parte Estrategica'!AI25=0,'Parte Estrategica'!AI25=""),0,IF(VLOOKUP($A25,'Matriz de Referencia'!$B$2:$CO$584,50,FALSE)=0,0,"Digite"))</f>
        <v>0</v>
      </c>
      <c r="CJ25" s="382">
        <f t="shared" si="17"/>
        <v>0</v>
      </c>
      <c r="CK25" s="382">
        <f t="shared" si="18"/>
        <v>0</v>
      </c>
      <c r="CL25" s="453">
        <f>IF(OR('Parte Estrategica'!AJ25=0,'Parte Estrategica'!AJ25=""),0,IF(VLOOKUP($A25,'Matriz de Referencia'!$B$2:$CO$584,39,FALSE)=0,0,"Digite"))</f>
        <v>0</v>
      </c>
      <c r="CM25" s="454">
        <f>IF(OR('Parte Estrategica'!AJ25=0,'Parte Estrategica'!AJ25=""),0,IF(VLOOKUP($A25,'Matriz de Referencia'!$B$2:$CO$584,40,FALSE)=0,0,"Digite"))</f>
        <v>0</v>
      </c>
      <c r="CN25" s="454">
        <f>IF(OR('Parte Estrategica'!AJ25=0,'Parte Estrategica'!AJ25=""),0,IF(VLOOKUP($A25,'Matriz de Referencia'!$B$2:$CO$584,41,FALSE)=0,0,"Digite"))</f>
        <v>0</v>
      </c>
      <c r="CO25" s="454">
        <f>IF(OR('Parte Estrategica'!AJ25=0,'Parte Estrategica'!AJ25=""),0,IF(VLOOKUP($A25,'Matriz de Referencia'!$B$2:$CO$584,42,FALSE)=0,0,"Digite"))</f>
        <v>0</v>
      </c>
      <c r="CP25" s="454">
        <f>IF(OR('Parte Estrategica'!AJ25=0,'Parte Estrategica'!AJ25=""),0,IF(VLOOKUP($A25,'Matriz de Referencia'!$B$2:$CO$584,43,FALSE)=0,0,"Digite"))</f>
        <v>0</v>
      </c>
      <c r="CQ25" s="454">
        <f>IF(OR('Parte Estrategica'!AJ25=0,'Parte Estrategica'!AJ25=""),0,IF(VLOOKUP($A25,'Matriz de Referencia'!$B$2:$CO$584,44,FALSE)=0,0,"Digite"))</f>
        <v>0</v>
      </c>
      <c r="CR25" s="454">
        <f>IF(OR('Parte Estrategica'!AJ25=0,'Parte Estrategica'!AJ25=""),0,IF(VLOOKUP($A25,'Matriz de Referencia'!$B$2:$CO$584,45,FALSE)=0,0,"Digite"))</f>
        <v>0</v>
      </c>
      <c r="CS25" s="454">
        <f>IF(OR('Parte Estrategica'!AJ25=0,'Parte Estrategica'!AJ25=""),0,IF(VLOOKUP($A25,'Matriz de Referencia'!$B$2:$CO$584,46,FALSE)=0,0,"Digite"))</f>
        <v>0</v>
      </c>
      <c r="CT25" s="382">
        <f t="shared" si="19"/>
        <v>0</v>
      </c>
      <c r="CU25" s="454">
        <f>IF(OR('Parte Estrategica'!AJ25=0,'Parte Estrategica'!AJ25=""),0,IF(VLOOKUP($A25,'Matriz de Referencia'!$B$2:$CO$584,48,FALSE)=0,0,"Digite"))</f>
        <v>0</v>
      </c>
      <c r="CV25" s="454">
        <f>IF(OR('Parte Estrategica'!AJ25=0,'Parte Estrategica'!AJ25=""),0,IF(VLOOKUP($A25,'Matriz de Referencia'!$B$2:$CO$584,49,FALSE)=0,0,"Digite"))</f>
        <v>0</v>
      </c>
      <c r="CW25" s="454">
        <f>IF(OR('Parte Estrategica'!AJ25=0,'Parte Estrategica'!AJ25=""),0,IF(VLOOKUP($A25,'Matriz de Referencia'!$B$2:$CO$584,50,FALSE)=0,0,"Digite"))</f>
        <v>0</v>
      </c>
      <c r="CX25" s="382">
        <f t="shared" si="20"/>
        <v>0</v>
      </c>
      <c r="CY25" s="382">
        <f t="shared" si="21"/>
        <v>0</v>
      </c>
      <c r="CZ25" s="453">
        <f>IF(OR('Parte Estrategica'!AK25=0,'Parte Estrategica'!AK25=""),0,IF(VLOOKUP($A25,'Matriz de Referencia'!$B$2:$CO$584,39,FALSE)=0,0,"Digite"))</f>
        <v>0</v>
      </c>
      <c r="DA25" s="454">
        <f>IF(OR('Parte Estrategica'!AK25=0,'Parte Estrategica'!AK25=""),0,IF(VLOOKUP($A25,'Matriz de Referencia'!$B$2:$CO$584,40,FALSE)=0,0,"Digite"))</f>
        <v>0</v>
      </c>
      <c r="DB25" s="454">
        <f>IF(OR('Parte Estrategica'!AK25=0,'Parte Estrategica'!AK25=""),0,IF(VLOOKUP($A25,'Matriz de Referencia'!$B$2:$CO$584,41,FALSE)=0,0,"Digite"))</f>
        <v>0</v>
      </c>
      <c r="DC25" s="454">
        <f>IF(OR('Parte Estrategica'!AK25=0,'Parte Estrategica'!AK25=""),0,IF(VLOOKUP($A25,'Matriz de Referencia'!$B$2:$CO$584,42,FALSE)=0,0,"Digite"))</f>
        <v>0</v>
      </c>
      <c r="DD25" s="454">
        <f>IF(OR('Parte Estrategica'!AK25=0,'Parte Estrategica'!AK25=""),0,IF(VLOOKUP($A25,'Matriz de Referencia'!$B$2:$CO$584,43,FALSE)=0,0,"Digite"))</f>
        <v>0</v>
      </c>
      <c r="DE25" s="454">
        <f>IF(OR('Parte Estrategica'!AK25=0,'Parte Estrategica'!AK25=""),0,IF(VLOOKUP($A25,'Matriz de Referencia'!$B$2:$CO$584,44,FALSE)=0,0,"Digite"))</f>
        <v>0</v>
      </c>
      <c r="DF25" s="454">
        <f>IF(OR('Parte Estrategica'!AK25=0,'Parte Estrategica'!AK25=""),0,IF(VLOOKUP($A25,'Matriz de Referencia'!$B$2:$CO$584,45,FALSE)=0,0,"Digite"))</f>
        <v>0</v>
      </c>
      <c r="DG25" s="454">
        <f>IF(OR('Parte Estrategica'!AK25=0,'Parte Estrategica'!AK25=""),0,IF(VLOOKUP($A25,'Matriz de Referencia'!$B$2:$CO$584,46,FALSE)=0,0,"Digite"))</f>
        <v>0</v>
      </c>
      <c r="DH25" s="382">
        <f t="shared" si="22"/>
        <v>0</v>
      </c>
      <c r="DI25" s="454">
        <f>IF(OR('Parte Estrategica'!AK25=0,'Parte Estrategica'!AK25=""),0,IF(VLOOKUP($A25,'Matriz de Referencia'!$B$2:$CO$584,48,FALSE)=0,0,"Digite"))</f>
        <v>0</v>
      </c>
      <c r="DJ25" s="454">
        <f>IF(OR('Parte Estrategica'!AK25=0,'Parte Estrategica'!AK25=""),0,IF(VLOOKUP($A25,'Matriz de Referencia'!$B$2:$CO$584,49,FALSE)=0,0,"Digite"))</f>
        <v>0</v>
      </c>
      <c r="DK25" s="454">
        <f>IF(OR('Parte Estrategica'!AK25=0,'Parte Estrategica'!AK25=""),0,IF(VLOOKUP($A25,'Matriz de Referencia'!$B$2:$CO$584,50,FALSE)=0,0,"Digite"))</f>
        <v>0</v>
      </c>
      <c r="DL25" s="382">
        <f t="shared" si="23"/>
        <v>0</v>
      </c>
      <c r="DM25" s="382">
        <f t="shared" si="24"/>
        <v>0</v>
      </c>
      <c r="DN25" s="382">
        <f t="shared" si="25"/>
        <v>0</v>
      </c>
      <c r="DO25" s="101" t="str">
        <f>IFERROR(IF(DN25=0,"",IF(VLOOKUP($A25,'Matriz de Referencia'!$B$2:$CO$584,52,FALSE)=DN25,"Techos ok, cotinue","Debe revisar el valor programado")),"")</f>
        <v/>
      </c>
      <c r="DP25" s="453">
        <f>IF(OR('Parte Estrategica'!AN25=0,'Parte Estrategica'!AN25=""),0,IF(VLOOKUP($A25,'Matriz de Referencia'!$B$2:$CO$584,53,FALSE)=0,0,"Digite"))</f>
        <v>0</v>
      </c>
      <c r="DQ25" s="454">
        <f>IF(OR('Parte Estrategica'!AN25=0,'Parte Estrategica'!AN25=""),0,IF(VLOOKUP($A25,'Matriz de Referencia'!$B$2:$CO$584,54,FALSE)=0,0,"Digite"))</f>
        <v>0</v>
      </c>
      <c r="DR25" s="454">
        <f>IF(OR('Parte Estrategica'!AN25=0,'Parte Estrategica'!AN25=""),0,IF(VLOOKUP($A25,'Matriz de Referencia'!$B$2:$CO$584,55,FALSE)=0,0,"Digite"))</f>
        <v>0</v>
      </c>
      <c r="DS25" s="454">
        <f>IF(OR('Parte Estrategica'!AN25=0,'Parte Estrategica'!AN25=""),0,IF(VLOOKUP($A25,'Matriz de Referencia'!$B$2:$CO$584,56,FALSE)=0,0,"Digite"))</f>
        <v>0</v>
      </c>
      <c r="DT25" s="454">
        <f>IF(OR('Parte Estrategica'!AN25=0,'Parte Estrategica'!AN25=""),0,IF(VLOOKUP($A25,'Matriz de Referencia'!$B$2:$CO$584,57,FALSE)=0,0,"Digite"))</f>
        <v>0</v>
      </c>
      <c r="DU25" s="454">
        <f>IF(OR('Parte Estrategica'!AN25=0,'Parte Estrategica'!AN25=""),0,IF(VLOOKUP($A25,'Matriz de Referencia'!$B$2:$CO$584,58,FALSE)=0,0,"Digite"))</f>
        <v>0</v>
      </c>
      <c r="DV25" s="454">
        <f>IF(OR('Parte Estrategica'!AN25=0,'Parte Estrategica'!AN25=""),0,IF(VLOOKUP($A25,'Matriz de Referencia'!$B$2:$CO$584,59,FALSE)=0,0,"Digite"))</f>
        <v>0</v>
      </c>
      <c r="DW25" s="454">
        <f>IF(OR('Parte Estrategica'!AN25=0,'Parte Estrategica'!AN25=""),0,IF(VLOOKUP($A25,'Matriz de Referencia'!$B$2:$CO$584,60,FALSE)=0,0,"Digite"))</f>
        <v>0</v>
      </c>
      <c r="DX25" s="382">
        <f t="shared" si="26"/>
        <v>0</v>
      </c>
      <c r="DY25" s="454">
        <f>IF(OR('Parte Estrategica'!AN25=0,'Parte Estrategica'!AN25=""),0,IF(VLOOKUP($A25,'Matriz de Referencia'!$B$2:$CO$584,62,FALSE)=0,0,"Digite"))</f>
        <v>0</v>
      </c>
      <c r="DZ25" s="454">
        <f>IF(OR('Parte Estrategica'!AN25=0,'Parte Estrategica'!AN25=""),0,IF(VLOOKUP($A25,'Matriz de Referencia'!$B$2:$CO$584,63,FALSE)=0,0,"Digite"))</f>
        <v>0</v>
      </c>
      <c r="EA25" s="454" t="str">
        <f>IF(OR('Parte Estrategica'!AN25=0,'Parte Estrategica'!AN25=""),"",IF(VLOOKUP($A25,'Matriz de Referencia'!$B$2:$CO$584,64,FALSE)=0,"","Digite"))</f>
        <v/>
      </c>
      <c r="EB25" s="382">
        <f t="shared" si="27"/>
        <v>0</v>
      </c>
      <c r="EC25" s="382">
        <f t="shared" si="28"/>
        <v>0</v>
      </c>
      <c r="ED25" s="453">
        <f>IF(OR('Parte Estrategica'!AO25=0,'Parte Estrategica'!AO25=""),0,IF(VLOOKUP($A25,'Matriz de Referencia'!$B$2:$CO$584,53,FALSE)=0,0,"Digite"))</f>
        <v>0</v>
      </c>
      <c r="EE25" s="454">
        <f>IF(OR('Parte Estrategica'!AO25=0,'Parte Estrategica'!AO25=""),0,IF(VLOOKUP($A25,'Matriz de Referencia'!$B$2:$CO$584,54,FALSE)=0,0,"Digite"))</f>
        <v>0</v>
      </c>
      <c r="EF25" s="454">
        <f>IF(OR('Parte Estrategica'!AO25=0,'Parte Estrategica'!AO25=""),0,IF(VLOOKUP($A25,'Matriz de Referencia'!$B$2:$CO$584,55,FALSE)=0,0,"Digite"))</f>
        <v>0</v>
      </c>
      <c r="EG25" s="454">
        <f>IF(OR('Parte Estrategica'!AO25=0,'Parte Estrategica'!AO25=""),0,IF(VLOOKUP($A25,'Matriz de Referencia'!$B$2:$CO$584,56,FALSE)=0,0,"Digite"))</f>
        <v>0</v>
      </c>
      <c r="EH25" s="454">
        <f>IF(OR('Parte Estrategica'!AO25=0,'Parte Estrategica'!AO25=""),0,IF(VLOOKUP($A25,'Matriz de Referencia'!$B$2:$CO$584,57,FALSE)=0,0,"Digite"))</f>
        <v>0</v>
      </c>
      <c r="EI25" s="454">
        <f>IF(OR('Parte Estrategica'!AO25=0,'Parte Estrategica'!AO25=""),0,IF(VLOOKUP($A25,'Matriz de Referencia'!$B$2:$CO$584,58,FALSE)=0,0,"Digite"))</f>
        <v>0</v>
      </c>
      <c r="EJ25" s="454">
        <f>IF(OR('Parte Estrategica'!AO25=0,'Parte Estrategica'!AO25=""),0,IF(VLOOKUP($A25,'Matriz de Referencia'!$B$2:$CO$584,59,FALSE)=0,0,"Digite"))</f>
        <v>0</v>
      </c>
      <c r="EK25" s="454">
        <f>IF(OR('Parte Estrategica'!AO25=0,'Parte Estrategica'!AO25=""),0,IF(VLOOKUP($A25,'Matriz de Referencia'!$B$2:$CO$584,60,FALSE)=0,0,"Digite"))</f>
        <v>0</v>
      </c>
      <c r="EL25" s="382">
        <f t="shared" si="29"/>
        <v>0</v>
      </c>
      <c r="EM25" s="454">
        <f>IF(OR('Parte Estrategica'!AO25=0,'Parte Estrategica'!AO25=""),0,IF(VLOOKUP($A25,'Matriz de Referencia'!$B$2:$CO$584,62,FALSE)=0,0,"Digite"))</f>
        <v>0</v>
      </c>
      <c r="EN25" s="454">
        <f>IF(OR('Parte Estrategica'!AO25=0,'Parte Estrategica'!AO25=""),0,IF(VLOOKUP($A25,'Matriz de Referencia'!$B$2:$CO$584,63,FALSE)=0,0,"Digite"))</f>
        <v>0</v>
      </c>
      <c r="EO25" s="454">
        <f>IF(OR('Parte Estrategica'!AO25=0,'Parte Estrategica'!AO25=""),0,IF(VLOOKUP($A25,'Matriz de Referencia'!$B$2:$CO$584,64,FALSE)=0,0,"Digite"))</f>
        <v>0</v>
      </c>
      <c r="EP25" s="382">
        <f t="shared" si="30"/>
        <v>0</v>
      </c>
      <c r="EQ25" s="382">
        <f t="shared" si="31"/>
        <v>0</v>
      </c>
      <c r="ER25" s="453">
        <f>IF(OR('Parte Estrategica'!AP25=0,'Parte Estrategica'!AP25=""),0,IF(VLOOKUP($A25,'Matriz de Referencia'!$B$2:$CO$584,53,FALSE)=0,0,"Digite"))</f>
        <v>0</v>
      </c>
      <c r="ES25" s="454">
        <f>IF(OR('Parte Estrategica'!AP25=0,'Parte Estrategica'!AP25=""),0,IF(VLOOKUP($A25,'Matriz de Referencia'!$B$2:$CO$584,54,FALSE)=0,0,"Digite"))</f>
        <v>0</v>
      </c>
      <c r="ET25" s="454">
        <f>IF(OR('Parte Estrategica'!AP25=0,'Parte Estrategica'!AP25=""),0,IF(VLOOKUP($A25,'Matriz de Referencia'!$B$2:$CO$584,55,FALSE)=0,0,"Digite"))</f>
        <v>0</v>
      </c>
      <c r="EU25" s="454">
        <f>IF(OR('Parte Estrategica'!AP25=0,'Parte Estrategica'!AP25=""),0,IF(VLOOKUP($A25,'Matriz de Referencia'!$B$2:$CO$584,56,FALSE)=0,0,"Digite"))</f>
        <v>0</v>
      </c>
      <c r="EV25" s="454">
        <f>IF(OR('Parte Estrategica'!AP25=0,'Parte Estrategica'!AP25=""),0,IF(VLOOKUP($A25,'Matriz de Referencia'!$B$2:$CO$584,57,FALSE)=0,0,"Digite"))</f>
        <v>0</v>
      </c>
      <c r="EW25" s="454">
        <f>IF(OR('Parte Estrategica'!AP25=0,'Parte Estrategica'!AP25=""),0,IF(VLOOKUP($A25,'Matriz de Referencia'!$B$2:$CO$584,58,FALSE)=0,0,"Digite"))</f>
        <v>0</v>
      </c>
      <c r="EX25" s="454">
        <f>IF(OR('Parte Estrategica'!AP25=0,'Parte Estrategica'!AP25=""),0,IF(VLOOKUP($A25,'Matriz de Referencia'!$B$2:$CO$584,59,FALSE)=0,0,"Digite"))</f>
        <v>0</v>
      </c>
      <c r="EY25" s="454">
        <f>IF(OR('Parte Estrategica'!AP25=0,'Parte Estrategica'!AP25=""),0,IF(VLOOKUP($A25,'Matriz de Referencia'!$B$2:$CO$584,60,FALSE)=0,0,"Digite"))</f>
        <v>0</v>
      </c>
      <c r="EZ25" s="382">
        <f t="shared" si="32"/>
        <v>0</v>
      </c>
      <c r="FA25" s="454">
        <f>IF(OR('Parte Estrategica'!AP25=0,'Parte Estrategica'!AP25=""),0,IF(VLOOKUP($A25,'Matriz de Referencia'!$B$2:$CO$584,62,FALSE)=0,0,"Digite"))</f>
        <v>0</v>
      </c>
      <c r="FB25" s="454">
        <f>IF(OR('Parte Estrategica'!AP25=0,'Parte Estrategica'!AP25=""),0,IF(VLOOKUP($A25,'Matriz de Referencia'!$B$2:$CO$584,63,FALSE)=0,0,"Digite"))</f>
        <v>0</v>
      </c>
      <c r="FC25" s="454">
        <f>IF(OR('Parte Estrategica'!AP25=0,'Parte Estrategica'!AP25=""),0,IF(VLOOKUP($A25,'Matriz de Referencia'!$B$2:$CO$584,64,FALSE)=0,0,"Digite"))</f>
        <v>0</v>
      </c>
      <c r="FD25" s="382">
        <f t="shared" si="33"/>
        <v>0</v>
      </c>
      <c r="FE25" s="382">
        <f t="shared" si="34"/>
        <v>0</v>
      </c>
      <c r="FF25" s="453">
        <f>IF(OR('Parte Estrategica'!AQ25=0,'Parte Estrategica'!AQ25=""),0,IF(VLOOKUP($A25,'Matriz de Referencia'!$B$2:$CO$584,53,FALSE)=0,0,"Digite"))</f>
        <v>0</v>
      </c>
      <c r="FG25" s="454">
        <f>IF(OR('Parte Estrategica'!AQ25=0,'Parte Estrategica'!AQ25=""),0,IF(VLOOKUP($A25,'Matriz de Referencia'!$B$2:$CO$584,54,FALSE)=0,0,"Digite"))</f>
        <v>0</v>
      </c>
      <c r="FH25" s="454">
        <f>IF(OR('Parte Estrategica'!AQ25=0,'Parte Estrategica'!AQ25=""),0,IF(VLOOKUP($A25,'Matriz de Referencia'!$B$2:$CO$584,55,FALSE)=0,0,"Digite"))</f>
        <v>0</v>
      </c>
      <c r="FI25" s="454">
        <f>IF(OR('Parte Estrategica'!AQ25=0,'Parte Estrategica'!AQ25=""),0,IF(VLOOKUP($A25,'Matriz de Referencia'!$B$2:$CO$584,56,FALSE)=0,0,"Digite"))</f>
        <v>0</v>
      </c>
      <c r="FJ25" s="454">
        <f>IF(OR('Parte Estrategica'!AQ25=0,'Parte Estrategica'!AQ25=""),0,IF(VLOOKUP($A25,'Matriz de Referencia'!$B$2:$CO$584,57,FALSE)=0,0,"Digite"))</f>
        <v>0</v>
      </c>
      <c r="FK25" s="454">
        <f>IF(OR('Parte Estrategica'!AQ25=0,'Parte Estrategica'!AQ25=""),0,IF(VLOOKUP($A25,'Matriz de Referencia'!$B$2:$CO$584,58,FALSE)=0,0,"Digite"))</f>
        <v>0</v>
      </c>
      <c r="FL25" s="454">
        <f>IF(OR('Parte Estrategica'!AQ25=0,'Parte Estrategica'!AQ25=""),0,IF(VLOOKUP($A25,'Matriz de Referencia'!$B$2:$CO$584,59,FALSE)=0,0,"Digite"))</f>
        <v>0</v>
      </c>
      <c r="FM25" s="454">
        <f>IF(OR('Parte Estrategica'!AQ25=0,'Parte Estrategica'!AQ25=""),0,IF(VLOOKUP($A25,'Matriz de Referencia'!$B$2:$CO$584,60,FALSE)=0,0,"Digite"))</f>
        <v>0</v>
      </c>
      <c r="FN25" s="382">
        <f t="shared" si="35"/>
        <v>0</v>
      </c>
      <c r="FO25" s="454">
        <f>IF(OR('Parte Estrategica'!AQ25=0,'Parte Estrategica'!AQ25=""),0,IF(VLOOKUP($A25,'Matriz de Referencia'!$B$2:$CO$584,62,FALSE)=0,0,"Digite"))</f>
        <v>0</v>
      </c>
      <c r="FP25" s="454">
        <f>IF(OR('Parte Estrategica'!AQ25=0,'Parte Estrategica'!AQ25=""),0,IF(VLOOKUP($A25,'Matriz de Referencia'!$B$2:$CO$584,63,FALSE)=0,0,"Digite"))</f>
        <v>0</v>
      </c>
      <c r="FQ25" s="454">
        <f>IF(OR('Parte Estrategica'!AQ25=0,'Parte Estrategica'!AQ25=""),0,IF(VLOOKUP($A25,'Matriz de Referencia'!$B$2:$CO$584,64,FALSE)=0,0,"Digite"))</f>
        <v>0</v>
      </c>
      <c r="FR25" s="382">
        <f t="shared" si="36"/>
        <v>0</v>
      </c>
      <c r="FS25" s="382">
        <f t="shared" si="37"/>
        <v>0</v>
      </c>
      <c r="FT25" s="382">
        <f t="shared" si="38"/>
        <v>0</v>
      </c>
      <c r="FU25" s="101" t="str">
        <f>IFERROR(IF(FT25=0,"",IF(VLOOKUP($A25,'Matriz de Referencia'!$B$2:$CO$584,66,FALSE)=FT25,"Techos ok, cotinue","Debe revisar el valor programado")),"")</f>
        <v/>
      </c>
      <c r="FV25" s="453">
        <f>IF(OR('Parte Estrategica'!AT25=0,'Parte Estrategica'!AT25=""),0,IF(VLOOKUP($A25,'Matriz de Referencia'!$B$2:$CO$584,67,FALSE)=0,0,"Digite"))</f>
        <v>0</v>
      </c>
      <c r="FW25" s="454">
        <f>IF(OR('Parte Estrategica'!AT25=0,'Parte Estrategica'!AT25=""),0,IF(VLOOKUP($A25,'Matriz de Referencia'!$B$2:$CO$584,68,FALSE)=0,0,"Digite"))</f>
        <v>0</v>
      </c>
      <c r="FX25" s="454">
        <f>IF(OR('Parte Estrategica'!AT25=0,'Parte Estrategica'!AT25=""),0,IF(VLOOKUP($A25,'Matriz de Referencia'!$B$2:$CO$584,69,FALSE)=0,0,"Digite"))</f>
        <v>0</v>
      </c>
      <c r="FY25" s="454">
        <f>IF(OR('Parte Estrategica'!AT25=0,'Parte Estrategica'!AT25=""),0,IF(VLOOKUP($A25,'Matriz de Referencia'!$B$2:$CO$584,70,FALSE)=0,0,"Digite"))</f>
        <v>0</v>
      </c>
      <c r="FZ25" s="454">
        <f>IF(OR('Parte Estrategica'!AT25=0,'Parte Estrategica'!AT25=""),0,IF(VLOOKUP($A25,'Matriz de Referencia'!$B$2:$CO$584,71,FALSE)=0,0,"Digite"))</f>
        <v>0</v>
      </c>
      <c r="GA25" s="454">
        <f>IF(OR('Parte Estrategica'!AT25=0,'Parte Estrategica'!AT25=""),0,IF(VLOOKUP($A25,'Matriz de Referencia'!$B$2:$CO$584,72,FALSE)=0,0,"Digite"))</f>
        <v>0</v>
      </c>
      <c r="GB25" s="454">
        <f>IF(OR('Parte Estrategica'!AT25=0,'Parte Estrategica'!AT25=""),0,IF(VLOOKUP($A25,'Matriz de Referencia'!$B$2:$CO$584,73,FALSE)=0,0,"Digite"))</f>
        <v>0</v>
      </c>
      <c r="GC25" s="454">
        <f>IF(OR('Parte Estrategica'!AT25=0,'Parte Estrategica'!AT25=""),0,IF(VLOOKUP($A25,'Matriz de Referencia'!$B$2:$CO$584,74,FALSE)=0,0,"Digite"))</f>
        <v>0</v>
      </c>
      <c r="GD25" s="382">
        <f t="shared" si="39"/>
        <v>0</v>
      </c>
      <c r="GE25" s="454">
        <f>IF(OR('Parte Estrategica'!AT25=0,'Parte Estrategica'!AT25=""),0,IF(VLOOKUP($A25,'Matriz de Referencia'!$B$2:$CO$584,76,FALSE)=0,0,"Digite"))</f>
        <v>0</v>
      </c>
      <c r="GF25" s="454">
        <f>IF(OR('Parte Estrategica'!AT25=0,'Parte Estrategica'!AT25=""),0,IF(VLOOKUP($A25,'Matriz de Referencia'!$B$2:$CO$584,77,FALSE)=0,0,"Digite"))</f>
        <v>0</v>
      </c>
      <c r="GG25" s="454">
        <f>IF(OR('Parte Estrategica'!AT25=0,'Parte Estrategica'!AT25=""),0,IF(VLOOKUP($A25,'Matriz de Referencia'!$B$2:$CO$584,78,FALSE)=0,0,"Digite"))</f>
        <v>0</v>
      </c>
      <c r="GH25" s="382">
        <f t="shared" si="40"/>
        <v>0</v>
      </c>
      <c r="GI25" s="382">
        <f t="shared" si="41"/>
        <v>0</v>
      </c>
      <c r="GJ25" s="453">
        <f>IF(OR('Parte Estrategica'!AU25=0,'Parte Estrategica'!AU25=""),0,IF(VLOOKUP($A25,'Matriz de Referencia'!$B$2:$CO$584,67,FALSE)=0,0,"Digite"))</f>
        <v>0</v>
      </c>
      <c r="GK25" s="454">
        <f>IF(OR('Parte Estrategica'!AU25=0,'Parte Estrategica'!AU25=""),0,IF(VLOOKUP($A25,'Matriz de Referencia'!$B$2:$CO$584,68,FALSE)=0,0,"Digite"))</f>
        <v>0</v>
      </c>
      <c r="GL25" s="454">
        <f>IF(OR('Parte Estrategica'!AU25=0,'Parte Estrategica'!AU25=""),0,IF(VLOOKUP($A25,'Matriz de Referencia'!$B$2:$CO$584,69,FALSE)=0,0,"Digite"))</f>
        <v>0</v>
      </c>
      <c r="GM25" s="454">
        <f>IF(OR('Parte Estrategica'!AU25=0,'Parte Estrategica'!AU25=""),0,IF(VLOOKUP($A25,'Matriz de Referencia'!$B$2:$CO$584,70,FALSE)=0,0,"Digite"))</f>
        <v>0</v>
      </c>
      <c r="GN25" s="454">
        <f>IF(OR('Parte Estrategica'!AU25=0,'Parte Estrategica'!AU25=""),0,IF(VLOOKUP($A25,'Matriz de Referencia'!$B$2:$CO$584,71,FALSE)=0,0,"Digite"))</f>
        <v>0</v>
      </c>
      <c r="GO25" s="454">
        <f>IF(OR('Parte Estrategica'!AU25=0,'Parte Estrategica'!AU25=""),0,IF(VLOOKUP($A25,'Matriz de Referencia'!$B$2:$CO$584,72,FALSE)=0,0,"Digite"))</f>
        <v>0</v>
      </c>
      <c r="GP25" s="454">
        <f>IF(OR('Parte Estrategica'!AU25=0,'Parte Estrategica'!AU25=""),0,IF(VLOOKUP($A25,'Matriz de Referencia'!$B$2:$CO$584,73,FALSE)=0,0,"Digite"))</f>
        <v>0</v>
      </c>
      <c r="GQ25" s="454">
        <f>IF(OR('Parte Estrategica'!AU25=0,'Parte Estrategica'!AU25=""),0,IF(VLOOKUP($A25,'Matriz de Referencia'!$B$2:$CO$584,74,FALSE)=0,0,"Digite"))</f>
        <v>0</v>
      </c>
      <c r="GR25" s="382">
        <f t="shared" si="42"/>
        <v>0</v>
      </c>
      <c r="GS25" s="454">
        <f>IF(OR('Parte Estrategica'!AU25=0,'Parte Estrategica'!AU25=""),0,IF(VLOOKUP($A25,'Matriz de Referencia'!$B$2:$CO$584,76,FALSE)=0,0,"Digite"))</f>
        <v>0</v>
      </c>
      <c r="GT25" s="454">
        <f>IF(OR('Parte Estrategica'!AU25=0,'Parte Estrategica'!AU25=""),0,IF(VLOOKUP($A25,'Matriz de Referencia'!$B$2:$CO$584,77,FALSE)=0,0,"Digite"))</f>
        <v>0</v>
      </c>
      <c r="GU25" s="454">
        <f>IF(OR('Parte Estrategica'!AU25=0,'Parte Estrategica'!AU25=""),0,IF(VLOOKUP($A25,'Matriz de Referencia'!$B$2:$CO$584,78,FALSE)=0,0,"Digite"))</f>
        <v>0</v>
      </c>
      <c r="GV25" s="382">
        <f t="shared" si="43"/>
        <v>0</v>
      </c>
      <c r="GW25" s="382">
        <f t="shared" si="44"/>
        <v>0</v>
      </c>
      <c r="GX25" s="453">
        <f>IF(OR('Parte Estrategica'!AV25=0,'Parte Estrategica'!AV25=""),0,IF(VLOOKUP($A25,'Matriz de Referencia'!$B$2:$CO$584,67,FALSE)=0,0,"Digite"))</f>
        <v>0</v>
      </c>
      <c r="GY25" s="454">
        <f>IF(OR('Parte Estrategica'!AV25=0,'Parte Estrategica'!AV25=""),0,IF(VLOOKUP($A25,'Matriz de Referencia'!$B$2:$CO$584,68,FALSE)=0,0,"Digite"))</f>
        <v>0</v>
      </c>
      <c r="GZ25" s="454">
        <f>IF(OR('Parte Estrategica'!AV25=0,'Parte Estrategica'!AV25=""),0,IF(VLOOKUP($A25,'Matriz de Referencia'!$B$2:$CO$584,69,FALSE)=0,0,"Digite"))</f>
        <v>0</v>
      </c>
      <c r="HA25" s="454">
        <f>IF(OR('Parte Estrategica'!AV25=0,'Parte Estrategica'!AV25=""),0,IF(VLOOKUP($A25,'Matriz de Referencia'!$B$2:$CO$584,70,FALSE)=0,0,"Digite"))</f>
        <v>0</v>
      </c>
      <c r="HB25" s="454">
        <f>IF(OR('Parte Estrategica'!AV25=0,'Parte Estrategica'!AV25=""),0,IF(VLOOKUP($A25,'Matriz de Referencia'!$B$2:$CO$584,71,FALSE)=0,0,"Digite"))</f>
        <v>0</v>
      </c>
      <c r="HC25" s="454">
        <f>IF(OR('Parte Estrategica'!AV25=0,'Parte Estrategica'!AV25=""),0,IF(VLOOKUP($A25,'Matriz de Referencia'!$B$2:$CO$584,72,FALSE)=0,0,"Digite"))</f>
        <v>0</v>
      </c>
      <c r="HD25" s="454">
        <f>IF(OR('Parte Estrategica'!AV25=0,'Parte Estrategica'!AV25=""),0,IF(VLOOKUP($A25,'Matriz de Referencia'!$B$2:$CO$584,73,FALSE)=0,0,"Digite"))</f>
        <v>0</v>
      </c>
      <c r="HE25" s="454">
        <f>IF(OR('Parte Estrategica'!AV25=0,'Parte Estrategica'!AV25=""),0,IF(VLOOKUP($A25,'Matriz de Referencia'!$B$2:$CO$584,74,FALSE)=0,0,"Digite"))</f>
        <v>0</v>
      </c>
      <c r="HF25" s="382">
        <f t="shared" si="45"/>
        <v>0</v>
      </c>
      <c r="HG25" s="454">
        <f>IF(OR('Parte Estrategica'!AV25=0,'Parte Estrategica'!AV25=""),0,IF(VLOOKUP($A25,'Matriz de Referencia'!$B$2:$CO$584,76,FALSE)=0,0,"Digite"))</f>
        <v>0</v>
      </c>
      <c r="HH25" s="454">
        <f>IF(OR('Parte Estrategica'!AV25=0,'Parte Estrategica'!AV25=""),0,IF(VLOOKUP($A25,'Matriz de Referencia'!$B$2:$CO$584,77,FALSE)=0,0,"Digite"))</f>
        <v>0</v>
      </c>
      <c r="HI25" s="454">
        <f>IF(OR('Parte Estrategica'!AV25=0,'Parte Estrategica'!AV25=""),0,IF(VLOOKUP($A25,'Matriz de Referencia'!$B$2:$CO$584,78,FALSE)=0,0,"Digite"))</f>
        <v>0</v>
      </c>
      <c r="HJ25" s="382">
        <f t="shared" si="46"/>
        <v>0</v>
      </c>
      <c r="HK25" s="382">
        <f t="shared" si="47"/>
        <v>0</v>
      </c>
      <c r="HL25" s="453">
        <f>IF(OR('Parte Estrategica'!AW25=0,'Parte Estrategica'!AW25=""),0,IF(VLOOKUP($A25,'Matriz de Referencia'!$B$2:$CO$584,67,FALSE)=0,0,"Digite"))</f>
        <v>0</v>
      </c>
      <c r="HM25" s="454">
        <f>IF(OR('Parte Estrategica'!AW25=0,'Parte Estrategica'!AW25=""),0,IF(VLOOKUP($A25,'Matriz de Referencia'!$B$2:$CO$584,68,FALSE)=0,0,"Digite"))</f>
        <v>0</v>
      </c>
      <c r="HN25" s="454">
        <f>IF(OR('Parte Estrategica'!AW25=0,'Parte Estrategica'!AW25=""),0,IF(VLOOKUP($A25,'Matriz de Referencia'!$B$2:$CO$584,69,FALSE)=0,0,"Digite"))</f>
        <v>0</v>
      </c>
      <c r="HO25" s="454">
        <f>IF(OR('Parte Estrategica'!AW25=0,'Parte Estrategica'!AW25=""),0,IF(VLOOKUP($A25,'Matriz de Referencia'!$B$2:$CO$584,70,FALSE)=0,0,"Digite"))</f>
        <v>0</v>
      </c>
      <c r="HP25" s="454">
        <f>IF(OR('Parte Estrategica'!AW25=0,'Parte Estrategica'!AW25=""),0,IF(VLOOKUP($A25,'Matriz de Referencia'!$B$2:$CO$584,71,FALSE)=0,0,"Digite"))</f>
        <v>0</v>
      </c>
      <c r="HQ25" s="454">
        <f>IF(OR('Parte Estrategica'!AW25=0,'Parte Estrategica'!AW25=""),0,IF(VLOOKUP($A25,'Matriz de Referencia'!$B$2:$CO$584,72,FALSE)=0,0,"Digite"))</f>
        <v>0</v>
      </c>
      <c r="HR25" s="454">
        <f>IF(OR('Parte Estrategica'!AW25=0,'Parte Estrategica'!AW25=""),0,IF(VLOOKUP($A25,'Matriz de Referencia'!$B$2:$CO$584,73,FALSE)=0,0,"Digite"))</f>
        <v>0</v>
      </c>
      <c r="HS25" s="454">
        <f>IF(OR('Parte Estrategica'!AW25=0,'Parte Estrategica'!AW25=""),0,IF(VLOOKUP($A25,'Matriz de Referencia'!$B$2:$CO$584,74,FALSE)=0,0,"Digite"))</f>
        <v>0</v>
      </c>
      <c r="HT25" s="382">
        <f t="shared" si="48"/>
        <v>0</v>
      </c>
      <c r="HU25" s="454">
        <f>IF(OR('Parte Estrategica'!AW25=0,'Parte Estrategica'!AW25=""),0,IF(VLOOKUP($A25,'Matriz de Referencia'!$B$2:$CO$584,76,FALSE)=0,0,"Digite"))</f>
        <v>0</v>
      </c>
      <c r="HV25" s="454">
        <f>IF(OR('Parte Estrategica'!AW25=0,'Parte Estrategica'!AW25=""),0,IF(VLOOKUP($A25,'Matriz de Referencia'!$B$2:$CO$584,77,FALSE)=0,0,"Digite"))</f>
        <v>0</v>
      </c>
      <c r="HW25" s="454">
        <f>IF(OR('Parte Estrategica'!AW25=0,'Parte Estrategica'!AW25=""),0,IF(VLOOKUP($A25,'Matriz de Referencia'!$B$2:$CO$584,78,FALSE)=0,0,"Digite"))</f>
        <v>0</v>
      </c>
      <c r="HX25" s="382">
        <f t="shared" si="49"/>
        <v>0</v>
      </c>
      <c r="HY25" s="382">
        <f t="shared" si="50"/>
        <v>0</v>
      </c>
      <c r="HZ25" s="382">
        <f t="shared" si="51"/>
        <v>0</v>
      </c>
      <c r="IA25" s="101" t="str">
        <f>IFERROR(IF(HZ25=0,"",IF(VLOOKUP($A25,'Matriz de Referencia'!$B$2:$CO$584,80,FALSE)=HZ25,"Techos ok, cotinue","Debe revisar el valor programado")),"")</f>
        <v/>
      </c>
      <c r="IB25" s="383">
        <f t="shared" si="52"/>
        <v>0</v>
      </c>
    </row>
    <row r="26" spans="1:236">
      <c r="A26" s="550" t="str">
        <f>IF('Parte Estrategica'!B26=0,"",'Parte Estrategica'!B26)</f>
        <v/>
      </c>
      <c r="B26" s="551" t="str">
        <f>IFERROR(VLOOKUP(A26,'Matriz de Referencia'!$B$2:$P$578,'Matriz de Referencia'!L$1,FALSE),"")</f>
        <v/>
      </c>
      <c r="C26" s="551" t="str">
        <f>IFERROR(VLOOKUP(A26,'Matriz de Referencia'!$B$2:$P$584,'Matriz de Referencia'!M$1,FALSE),"")</f>
        <v/>
      </c>
      <c r="D26" s="455" t="str">
        <f>IF(OR('Parte Estrategica'!AB26=0,'Parte Estrategica'!AB26=""),"",IF(VLOOKUP($A26,'Matriz de Referencia'!$B$2:$CO$584,'Matriz de Referencia'!Z$1,FALSE)=0,"","Digite"))</f>
        <v/>
      </c>
      <c r="E26" s="456">
        <f>IF(OR('Parte Estrategica'!AB26=0,'Parte Estrategica'!AB26=""),0,IF(VLOOKUP($A26,'Matriz de Referencia'!$B$2:$CO$584,26,FALSE)=0,0,"Digite"))</f>
        <v>0</v>
      </c>
      <c r="F26" s="456">
        <f>IF(OR('Parte Estrategica'!AB26=0,'Parte Estrategica'!AB26=""),0,IF(VLOOKUP($A26,'Matriz de Referencia'!$B$2:$CO$584,27,FALSE)=0,0,"Digite"))</f>
        <v>0</v>
      </c>
      <c r="G26" s="456">
        <f>IF(OR('Parte Estrategica'!AB26=0,'Parte Estrategica'!AB26=""),0,IF(VLOOKUP($A26,'Matriz de Referencia'!$B$2:$CO$584,28,FALSE)=0,0,"Digite"))</f>
        <v>0</v>
      </c>
      <c r="H26" s="456">
        <f>IF(OR('Parte Estrategica'!AB26=0,'Parte Estrategica'!AB26=""),0,IF(VLOOKUP($A26,'Matriz de Referencia'!$B$2:$CO$584,29,FALSE)=0,0,"Digite"))</f>
        <v>0</v>
      </c>
      <c r="I26" s="456">
        <f>IF(OR('Parte Estrategica'!AB26=0,'Parte Estrategica'!AB26=""),0,IF(VLOOKUP($A26,'Matriz de Referencia'!$B$2:$CO$584,30,FALSE)=0,0,"Digite"))</f>
        <v>0</v>
      </c>
      <c r="J26" s="456">
        <f>IF(OR('Parte Estrategica'!AB26=0,'Parte Estrategica'!AB26=""),0,IF(VLOOKUP($A26,'Matriz de Referencia'!$B$2:$CO$584,31,FALSE)=0,0,"Digite"))</f>
        <v>0</v>
      </c>
      <c r="K26" s="456">
        <f>IF(OR('Parte Estrategica'!AB26=0,'Parte Estrategica'!AB26=""),0,IF(VLOOKUP($A26,'Matriz de Referencia'!$B$2:$CO$584,32,FALSE)=0,0,"Digite"))</f>
        <v>0</v>
      </c>
      <c r="L26" s="460">
        <f t="shared" si="0"/>
        <v>0</v>
      </c>
      <c r="M26" s="456">
        <f>IF(OR('Parte Estrategica'!AB26=0,'Parte Estrategica'!AB26=""),0,IF(VLOOKUP($A26,'Matriz de Referencia'!$B$2:$CO$584,34,FALSE)=0,0,"Digite"))</f>
        <v>0</v>
      </c>
      <c r="N26" s="456">
        <f>IF(OR('Parte Estrategica'!AB26=0,'Parte Estrategica'!AB26=""),0,IF(VLOOKUP($A26,'Matriz de Referencia'!$B$2:$CO$584,35,FALSE)=0,0,"Digite"))</f>
        <v>0</v>
      </c>
      <c r="O26" s="456">
        <f>IF(OR('Parte Estrategica'!AB26=0,'Parte Estrategica'!AB26=""),0,IF(VLOOKUP($A26,'Matriz de Referencia'!$B$2:$CO$584,36,FALSE)=0,0,"Digite"))</f>
        <v>0</v>
      </c>
      <c r="P26" s="457">
        <f t="shared" si="1"/>
        <v>0</v>
      </c>
      <c r="Q26" s="457">
        <f t="shared" si="2"/>
        <v>0</v>
      </c>
      <c r="R26" s="455">
        <f>IF(OR('Parte Estrategica'!AC26=0,'Parte Estrategica'!AC26=""),0,IF(VLOOKUP($A26,'Matriz de Referencia'!$B$2:$CO$584,25,FALSE)=0,0,"Digite"))</f>
        <v>0</v>
      </c>
      <c r="S26" s="456">
        <f>IF(OR('Parte Estrategica'!AC26=0,'Parte Estrategica'!AC26=""),0,IF(VLOOKUP($A26,'Matriz de Referencia'!$B$2:$CO$584,26,FALSE)=0,0,"Digite"))</f>
        <v>0</v>
      </c>
      <c r="T26" s="456">
        <f>IF(OR('Parte Estrategica'!AC26=0,'Parte Estrategica'!AC26=""),0,IF(VLOOKUP($A26,'Matriz de Referencia'!$B$2:$CO$584,27,FALSE)=0,0,"Digite"))</f>
        <v>0</v>
      </c>
      <c r="U26" s="456">
        <f>IF(OR('Parte Estrategica'!AC26=0,'Parte Estrategica'!AC26=""),0,IF(VLOOKUP($A26,'Matriz de Referencia'!$B$2:$CO$584,28,FALSE)=0,0,"Digite"))</f>
        <v>0</v>
      </c>
      <c r="V26" s="456">
        <f>IF(OR('Parte Estrategica'!AC26=0,'Parte Estrategica'!AC26=""),0,IF(VLOOKUP($A26,'Matriz de Referencia'!$B$2:$CO$584,29,FALSE)=0,0,"Digite"))</f>
        <v>0</v>
      </c>
      <c r="W26" s="456">
        <f>IF(OR('Parte Estrategica'!AC26=0,'Parte Estrategica'!AC26=""),0,IF(VLOOKUP($A26,'Matriz de Referencia'!$B$2:$CO$584,30,FALSE)=0,0,"Digite"))</f>
        <v>0</v>
      </c>
      <c r="X26" s="456">
        <f>IF(OR('Parte Estrategica'!AC26=0,'Parte Estrategica'!AC26=""),0,IF(VLOOKUP($A26,'Matriz de Referencia'!$B$2:$CO$584,31,FALSE)=0,0,"Digite"))</f>
        <v>0</v>
      </c>
      <c r="Y26" s="456">
        <f>IF(OR('Parte Estrategica'!AC26=0,'Parte Estrategica'!AC26=""),0,IF(VLOOKUP($A26,'Matriz de Referencia'!$B$2:$CO$584,32,FALSE)=0,0,"Digite"))</f>
        <v>0</v>
      </c>
      <c r="Z26" s="457">
        <f t="shared" si="3"/>
        <v>0</v>
      </c>
      <c r="AA26" s="456">
        <f>IF(OR('Parte Estrategica'!AC26=0,'Parte Estrategica'!AC26=""),0,IF(VLOOKUP($A26,'Matriz de Referencia'!$B$2:$CO$584,34,FALSE)=0,0,"Digite"))</f>
        <v>0</v>
      </c>
      <c r="AB26" s="456">
        <f>IF(OR('Parte Estrategica'!AC26=0,'Parte Estrategica'!AC26=""),0,IF(VLOOKUP($A26,'Matriz de Referencia'!$B$2:$CO$584,35,FALSE)=0,0,"Digite"))</f>
        <v>0</v>
      </c>
      <c r="AC26" s="456">
        <f>IF(OR('Parte Estrategica'!AC26=0,'Parte Estrategica'!AC26=""),0,IF(VLOOKUP($A26,'Matriz de Referencia'!$B$2:$CO$584,36,FALSE)=0,0,"Digite"))</f>
        <v>0</v>
      </c>
      <c r="AD26" s="457">
        <f t="shared" si="4"/>
        <v>0</v>
      </c>
      <c r="AE26" s="457">
        <f t="shared" si="5"/>
        <v>0</v>
      </c>
      <c r="AF26" s="455">
        <f>IF(OR('Parte Estrategica'!AD26=0,'Parte Estrategica'!AD26=""),0,IF(VLOOKUP($A26,'Matriz de Referencia'!$B$2:$CO$584,25,FALSE)=0,0,"Digite"))</f>
        <v>0</v>
      </c>
      <c r="AG26" s="456">
        <f>IF(OR('Parte Estrategica'!AD26=0,'Parte Estrategica'!AD26=""),0,IF(VLOOKUP($A26,'Matriz de Referencia'!$B$2:$CO$584,26,FALSE)=0,0,"Digite"))</f>
        <v>0</v>
      </c>
      <c r="AH26" s="456">
        <f>IF(OR('Parte Estrategica'!AD26=0,'Parte Estrategica'!AD26=""),0,IF(VLOOKUP($A26,'Matriz de Referencia'!$B$2:$CO$584,27,FALSE)=0,0,"Digite"))</f>
        <v>0</v>
      </c>
      <c r="AI26" s="456">
        <f>IF(OR('Parte Estrategica'!AD26=0,'Parte Estrategica'!AD26=""),0,IF(VLOOKUP($A26,'Matriz de Referencia'!$B$2:$CO$584,28,FALSE)=0,0,"Digite"))</f>
        <v>0</v>
      </c>
      <c r="AJ26" s="456">
        <f>IF(OR('Parte Estrategica'!AD26=0,'Parte Estrategica'!AD26=""),0,IF(VLOOKUP($A26,'Matriz de Referencia'!$B$2:$CO$584,29,FALSE)=0,0,"Digite"))</f>
        <v>0</v>
      </c>
      <c r="AK26" s="456">
        <f>IF(OR('Parte Estrategica'!AD26=0,'Parte Estrategica'!AD26=""),0,IF(VLOOKUP($A26,'Matriz de Referencia'!$B$2:$CO$584,30,FALSE)=0,0,"Digite"))</f>
        <v>0</v>
      </c>
      <c r="AL26" s="456">
        <f>IF(OR('Parte Estrategica'!AD26=0,'Parte Estrategica'!AD26=""),0,IF(VLOOKUP($A26,'Matriz de Referencia'!$B$2:$CO$584,31,FALSE)=0,0,"Digite"))</f>
        <v>0</v>
      </c>
      <c r="AM26" s="456">
        <f>IF(OR('Parte Estrategica'!AD26=0,'Parte Estrategica'!AD26=""),0,IF(VLOOKUP($A26,'Matriz de Referencia'!$B$2:$CO$584,32,FALSE)=0,0,"Digite"))</f>
        <v>0</v>
      </c>
      <c r="AN26" s="457">
        <f t="shared" si="6"/>
        <v>0</v>
      </c>
      <c r="AO26" s="456">
        <f>IF(OR('Parte Estrategica'!AD26=0,'Parte Estrategica'!AD26=""),0,IF(VLOOKUP($A26,'Matriz de Referencia'!$B$2:$CO$584,34,FALSE)=0,0,"Digite"))</f>
        <v>0</v>
      </c>
      <c r="AP26" s="456">
        <f>IF(OR('Parte Estrategica'!AD26=0,'Parte Estrategica'!AD26=""),0,IF(VLOOKUP($A26,'Matriz de Referencia'!$B$2:$CO$584,35,FALSE)=0,0,"Digite"))</f>
        <v>0</v>
      </c>
      <c r="AQ26" s="456">
        <f>IF(OR('Parte Estrategica'!AD26=0,'Parte Estrategica'!AD26=""),0,IF(VLOOKUP($A26,'Matriz de Referencia'!$B$2:$CO$584,36,FALSE)=0,0,"Digite"))</f>
        <v>0</v>
      </c>
      <c r="AR26" s="457">
        <f t="shared" si="7"/>
        <v>0</v>
      </c>
      <c r="AS26" s="457">
        <f t="shared" si="8"/>
        <v>0</v>
      </c>
      <c r="AT26" s="455">
        <f>IF(OR('Parte Estrategica'!AE26=0,'Parte Estrategica'!AE26=""),0,IF(VLOOKUP($A26,'Matriz de Referencia'!$B$2:$CO$584,25,FALSE)=0,0,"Digite"))</f>
        <v>0</v>
      </c>
      <c r="AU26" s="456">
        <f>IF(OR('Parte Estrategica'!AE26=0,'Parte Estrategica'!AE26=""),0,IF(VLOOKUP($A26,'Matriz de Referencia'!$B$2:$CO$584,26,FALSE)=0,0,"Digite"))</f>
        <v>0</v>
      </c>
      <c r="AV26" s="456">
        <f>IF(OR('Parte Estrategica'!AE26=0,'Parte Estrategica'!AE26=""),0,IF(VLOOKUP($A26,'Matriz de Referencia'!$B$2:$CO$584,27,FALSE)=0,0,"Digite"))</f>
        <v>0</v>
      </c>
      <c r="AW26" s="456">
        <f>IF(OR('Parte Estrategica'!AE26=0,'Parte Estrategica'!AE26=""),0,IF(VLOOKUP($A26,'Matriz de Referencia'!$B$2:$CO$584,28,FALSE)=0,0,"Digite"))</f>
        <v>0</v>
      </c>
      <c r="AX26" s="456">
        <f>IF(OR('Parte Estrategica'!AE26=0,'Parte Estrategica'!AE26=""),0,IF(VLOOKUP($A26,'Matriz de Referencia'!$B$2:$CO$584,29,FALSE)=0,0,"Digite"))</f>
        <v>0</v>
      </c>
      <c r="AY26" s="456">
        <f>IF(OR('Parte Estrategica'!AE26=0,'Parte Estrategica'!AE26=""),0,IF(VLOOKUP($A26,'Matriz de Referencia'!$B$2:$CO$584,30,FALSE)=0,0,"Digite"))</f>
        <v>0</v>
      </c>
      <c r="AZ26" s="456">
        <f>IF(OR('Parte Estrategica'!AE26=0,'Parte Estrategica'!AE26=""),0,IF(VLOOKUP($A26,'Matriz de Referencia'!$B$2:$CO$584,31,FALSE)=0,0,"Digite"))</f>
        <v>0</v>
      </c>
      <c r="BA26" s="456">
        <f>IF(OR('Parte Estrategica'!AE26=0,'Parte Estrategica'!AE26=""),0,IF(VLOOKUP($A26,'Matriz de Referencia'!$B$2:$CO$584,32,FALSE)=0,0,"Digite"))</f>
        <v>0</v>
      </c>
      <c r="BB26" s="457">
        <f t="shared" si="9"/>
        <v>0</v>
      </c>
      <c r="BC26" s="456">
        <f>IF(OR('Parte Estrategica'!AE26=0,'Parte Estrategica'!AE26=""),0,IF(VLOOKUP($A26,'Matriz de Referencia'!$B$2:$CO$584,34,FALSE)=0,0,"Digite"))</f>
        <v>0</v>
      </c>
      <c r="BD26" s="456">
        <f>IF(OR('Parte Estrategica'!AE26=0,'Parte Estrategica'!AE26=""),0,IF(VLOOKUP($A26,'Matriz de Referencia'!$B$2:$CO$584,35,FALSE)=0,0,"Digite"))</f>
        <v>0</v>
      </c>
      <c r="BE26" s="456">
        <f>IF(OR('Parte Estrategica'!AE26=0,'Parte Estrategica'!AE26=""),0,IF(VLOOKUP($A26,'Matriz de Referencia'!$B$2:$CO$584,36,FALSE)=0,0,"Digite"))</f>
        <v>0</v>
      </c>
      <c r="BF26" s="457">
        <f t="shared" si="10"/>
        <v>0</v>
      </c>
      <c r="BG26" s="457">
        <f t="shared" si="11"/>
        <v>0</v>
      </c>
      <c r="BH26" s="457">
        <f t="shared" si="12"/>
        <v>0</v>
      </c>
      <c r="BI26" s="101" t="str">
        <f>IFERROR(IF(BH26=0,"",IF(VLOOKUP($A26,'Matriz de Referencia'!$B$2:$CO$584,'Matriz de Referencia'!AM$1,FALSE)=BH26,"Techos ok, cotinue","Debe revisar el valor programado")),"")</f>
        <v/>
      </c>
      <c r="BJ26" s="453">
        <f>IF(OR('Parte Estrategica'!AH26=0,'Parte Estrategica'!AH26=""),0,IF(VLOOKUP($A26,'Matriz de Referencia'!$B$2:$CO$584,39,FALSE)=0,0,"Digite"))</f>
        <v>0</v>
      </c>
      <c r="BK26" s="454">
        <f>IF(OR('Parte Estrategica'!AH26=0,'Parte Estrategica'!AH26=""),0,IF(VLOOKUP($A26,'Matriz de Referencia'!$B$2:$CO$584,40,FALSE)=0,0,"Digite"))</f>
        <v>0</v>
      </c>
      <c r="BL26" s="454">
        <f>IF(OR('Parte Estrategica'!AH26=0,'Parte Estrategica'!AH26=""),0,IF(VLOOKUP($A26,'Matriz de Referencia'!$B$2:$CO$584,41,FALSE)=0,0,"Digite"))</f>
        <v>0</v>
      </c>
      <c r="BM26" s="454">
        <f>IF(OR('Parte Estrategica'!AH26=0,'Parte Estrategica'!AH26=""),0,IF(VLOOKUP($A26,'Matriz de Referencia'!$B$2:$CO$584,42,FALSE)=0,0,"Digite"))</f>
        <v>0</v>
      </c>
      <c r="BN26" s="454">
        <f>IF(OR('Parte Estrategica'!AH26=0,'Parte Estrategica'!AH26=""),0,IF(VLOOKUP($A26,'Matriz de Referencia'!$B$2:$CO$584,43,FALSE)=0,0,"Digite"))</f>
        <v>0</v>
      </c>
      <c r="BO26" s="454">
        <f>IF(OR('Parte Estrategica'!AH26=0,'Parte Estrategica'!AH26=""),0,IF(VLOOKUP($A26,'Matriz de Referencia'!$B$2:$CO$584,44,FALSE)=0,0,"Digite"))</f>
        <v>0</v>
      </c>
      <c r="BP26" s="454">
        <f>IF(OR('Parte Estrategica'!AH26=0,'Parte Estrategica'!AH26=""),0,IF(VLOOKUP($A26,'Matriz de Referencia'!$B$2:$CO$584,45,FALSE)=0,0,"Digite"))</f>
        <v>0</v>
      </c>
      <c r="BQ26" s="454">
        <f>IF(OR('Parte Estrategica'!AH26=0,'Parte Estrategica'!AH26=""),0,IF(VLOOKUP($A26,'Matriz de Referencia'!$B$2:$CO$584,46,FALSE)=0,0,"Digite"))</f>
        <v>0</v>
      </c>
      <c r="BR26" s="382">
        <f t="shared" si="13"/>
        <v>0</v>
      </c>
      <c r="BS26" s="454">
        <f>IF(OR('Parte Estrategica'!CL26=0,'Parte Estrategica'!CL26=""),0,IF(VLOOKUP($A26,'Matriz de Referencia'!$B$2:$CO$584,48,FALSE)=0,0,"Digite"))</f>
        <v>0</v>
      </c>
      <c r="BT26" s="454">
        <f>IF(OR('Parte Estrategica'!CL26=0,'Parte Estrategica'!CL26=""),0,IF(VLOOKUP($A26,'Matriz de Referencia'!$B$2:$CO$584,49,FALSE)=0,0,"Digite"))</f>
        <v>0</v>
      </c>
      <c r="BU26" s="454">
        <f>IF(OR('Parte Estrategica'!CL26=0,'Parte Estrategica'!CL26=""),0,IF(VLOOKUP($A26,'Matriz de Referencia'!$B$2:$CO$584,50,FALSE)=0,0,"Digite"))</f>
        <v>0</v>
      </c>
      <c r="BV26" s="382">
        <f t="shared" si="14"/>
        <v>0</v>
      </c>
      <c r="BW26" s="382">
        <f t="shared" si="15"/>
        <v>0</v>
      </c>
      <c r="BX26" s="453">
        <f>IF(OR('Parte Estrategica'!AI26=0,'Parte Estrategica'!AI26=""),0,IF(VLOOKUP($A26,'Matriz de Referencia'!$B$2:$CO$584,39,FALSE)=0,0,"Digite"))</f>
        <v>0</v>
      </c>
      <c r="BY26" s="454">
        <f>IF(OR('Parte Estrategica'!AI26=0,'Parte Estrategica'!AI26=""),0,IF(VLOOKUP($A26,'Matriz de Referencia'!$B$2:$CO$584,40,FALSE)=0,0,"Digite"))</f>
        <v>0</v>
      </c>
      <c r="BZ26" s="454">
        <f>IF(OR('Parte Estrategica'!AI26=0,'Parte Estrategica'!AI26=""),0,IF(VLOOKUP($A26,'Matriz de Referencia'!$B$2:$CO$584,41,FALSE)=0,0,"Digite"))</f>
        <v>0</v>
      </c>
      <c r="CA26" s="454">
        <f>IF(OR('Parte Estrategica'!AI26=0,'Parte Estrategica'!AI26=""),0,IF(VLOOKUP($A26,'Matriz de Referencia'!$B$2:$CO$584,42,FALSE)=0,0,"Digite"))</f>
        <v>0</v>
      </c>
      <c r="CB26" s="454">
        <f>IF(OR('Parte Estrategica'!AI26=0,'Parte Estrategica'!AI26=""),0,IF(VLOOKUP($A26,'Matriz de Referencia'!$B$2:$CO$584,43,FALSE)=0,0,"Digite"))</f>
        <v>0</v>
      </c>
      <c r="CC26" s="454">
        <f>IF(OR('Parte Estrategica'!AI26=0,'Parte Estrategica'!AI26=""),0,IF(VLOOKUP($A26,'Matriz de Referencia'!$B$2:$CO$584,44,FALSE)=0,0,"Digite"))</f>
        <v>0</v>
      </c>
      <c r="CD26" s="454">
        <f>IF(OR('Parte Estrategica'!AI26=0,'Parte Estrategica'!AI26=""),0,IF(VLOOKUP($A26,'Matriz de Referencia'!$B$2:$CO$584,45,FALSE)=0,0,"Digite"))</f>
        <v>0</v>
      </c>
      <c r="CE26" s="454">
        <f>IF(OR('Parte Estrategica'!AI26=0,'Parte Estrategica'!AI26=""),0,IF(VLOOKUP($A26,'Matriz de Referencia'!$B$2:$CO$584,46,FALSE)=0,0,"Digite"))</f>
        <v>0</v>
      </c>
      <c r="CF26" s="382">
        <f t="shared" si="16"/>
        <v>0</v>
      </c>
      <c r="CG26" s="454">
        <f>IF(OR('Parte Estrategica'!AI26=0,'Parte Estrategica'!AI26=""),0,IF(VLOOKUP($A26,'Matriz de Referencia'!$B$2:$CO$584,48,FALSE)=0,0,"Digite"))</f>
        <v>0</v>
      </c>
      <c r="CH26" s="454">
        <f>IF(OR('Parte Estrategica'!AI26=0,'Parte Estrategica'!AI26=""),0,IF(VLOOKUP($A26,'Matriz de Referencia'!$B$2:$CO$584,49,FALSE)=0,0,"Digite"))</f>
        <v>0</v>
      </c>
      <c r="CI26" s="454">
        <f>IF(OR('Parte Estrategica'!AI26=0,'Parte Estrategica'!AI26=""),0,IF(VLOOKUP($A26,'Matriz de Referencia'!$B$2:$CO$584,50,FALSE)=0,0,"Digite"))</f>
        <v>0</v>
      </c>
      <c r="CJ26" s="382">
        <f t="shared" si="17"/>
        <v>0</v>
      </c>
      <c r="CK26" s="382">
        <f t="shared" si="18"/>
        <v>0</v>
      </c>
      <c r="CL26" s="453">
        <f>IF(OR('Parte Estrategica'!AJ26=0,'Parte Estrategica'!AJ26=""),0,IF(VLOOKUP($A26,'Matriz de Referencia'!$B$2:$CO$584,39,FALSE)=0,0,"Digite"))</f>
        <v>0</v>
      </c>
      <c r="CM26" s="454">
        <f>IF(OR('Parte Estrategica'!AJ26=0,'Parte Estrategica'!AJ26=""),0,IF(VLOOKUP($A26,'Matriz de Referencia'!$B$2:$CO$584,40,FALSE)=0,0,"Digite"))</f>
        <v>0</v>
      </c>
      <c r="CN26" s="454">
        <f>IF(OR('Parte Estrategica'!AJ26=0,'Parte Estrategica'!AJ26=""),0,IF(VLOOKUP($A26,'Matriz de Referencia'!$B$2:$CO$584,41,FALSE)=0,0,"Digite"))</f>
        <v>0</v>
      </c>
      <c r="CO26" s="454">
        <f>IF(OR('Parte Estrategica'!AJ26=0,'Parte Estrategica'!AJ26=""),0,IF(VLOOKUP($A26,'Matriz de Referencia'!$B$2:$CO$584,42,FALSE)=0,0,"Digite"))</f>
        <v>0</v>
      </c>
      <c r="CP26" s="454">
        <f>IF(OR('Parte Estrategica'!AJ26=0,'Parte Estrategica'!AJ26=""),0,IF(VLOOKUP($A26,'Matriz de Referencia'!$B$2:$CO$584,43,FALSE)=0,0,"Digite"))</f>
        <v>0</v>
      </c>
      <c r="CQ26" s="454">
        <f>IF(OR('Parte Estrategica'!AJ26=0,'Parte Estrategica'!AJ26=""),0,IF(VLOOKUP($A26,'Matriz de Referencia'!$B$2:$CO$584,44,FALSE)=0,0,"Digite"))</f>
        <v>0</v>
      </c>
      <c r="CR26" s="454">
        <f>IF(OR('Parte Estrategica'!AJ26=0,'Parte Estrategica'!AJ26=""),0,IF(VLOOKUP($A26,'Matriz de Referencia'!$B$2:$CO$584,45,FALSE)=0,0,"Digite"))</f>
        <v>0</v>
      </c>
      <c r="CS26" s="454">
        <f>IF(OR('Parte Estrategica'!AJ26=0,'Parte Estrategica'!AJ26=""),0,IF(VLOOKUP($A26,'Matriz de Referencia'!$B$2:$CO$584,46,FALSE)=0,0,"Digite"))</f>
        <v>0</v>
      </c>
      <c r="CT26" s="382">
        <f t="shared" si="19"/>
        <v>0</v>
      </c>
      <c r="CU26" s="454">
        <f>IF(OR('Parte Estrategica'!AJ26=0,'Parte Estrategica'!AJ26=""),0,IF(VLOOKUP($A26,'Matriz de Referencia'!$B$2:$CO$584,48,FALSE)=0,0,"Digite"))</f>
        <v>0</v>
      </c>
      <c r="CV26" s="454">
        <f>IF(OR('Parte Estrategica'!AJ26=0,'Parte Estrategica'!AJ26=""),0,IF(VLOOKUP($A26,'Matriz de Referencia'!$B$2:$CO$584,49,FALSE)=0,0,"Digite"))</f>
        <v>0</v>
      </c>
      <c r="CW26" s="454">
        <f>IF(OR('Parte Estrategica'!AJ26=0,'Parte Estrategica'!AJ26=""),0,IF(VLOOKUP($A26,'Matriz de Referencia'!$B$2:$CO$584,50,FALSE)=0,0,"Digite"))</f>
        <v>0</v>
      </c>
      <c r="CX26" s="382">
        <f t="shared" si="20"/>
        <v>0</v>
      </c>
      <c r="CY26" s="382">
        <f t="shared" si="21"/>
        <v>0</v>
      </c>
      <c r="CZ26" s="453">
        <f>IF(OR('Parte Estrategica'!AK26=0,'Parte Estrategica'!AK26=""),0,IF(VLOOKUP($A26,'Matriz de Referencia'!$B$2:$CO$584,39,FALSE)=0,0,"Digite"))</f>
        <v>0</v>
      </c>
      <c r="DA26" s="454">
        <f>IF(OR('Parte Estrategica'!AK26=0,'Parte Estrategica'!AK26=""),0,IF(VLOOKUP($A26,'Matriz de Referencia'!$B$2:$CO$584,40,FALSE)=0,0,"Digite"))</f>
        <v>0</v>
      </c>
      <c r="DB26" s="454">
        <f>IF(OR('Parte Estrategica'!AK26=0,'Parte Estrategica'!AK26=""),0,IF(VLOOKUP($A26,'Matriz de Referencia'!$B$2:$CO$584,41,FALSE)=0,0,"Digite"))</f>
        <v>0</v>
      </c>
      <c r="DC26" s="454">
        <f>IF(OR('Parte Estrategica'!AK26=0,'Parte Estrategica'!AK26=""),0,IF(VLOOKUP($A26,'Matriz de Referencia'!$B$2:$CO$584,42,FALSE)=0,0,"Digite"))</f>
        <v>0</v>
      </c>
      <c r="DD26" s="454">
        <f>IF(OR('Parte Estrategica'!AK26=0,'Parte Estrategica'!AK26=""),0,IF(VLOOKUP($A26,'Matriz de Referencia'!$B$2:$CO$584,43,FALSE)=0,0,"Digite"))</f>
        <v>0</v>
      </c>
      <c r="DE26" s="454">
        <f>IF(OR('Parte Estrategica'!AK26=0,'Parte Estrategica'!AK26=""),0,IF(VLOOKUP($A26,'Matriz de Referencia'!$B$2:$CO$584,44,FALSE)=0,0,"Digite"))</f>
        <v>0</v>
      </c>
      <c r="DF26" s="454">
        <f>IF(OR('Parte Estrategica'!AK26=0,'Parte Estrategica'!AK26=""),0,IF(VLOOKUP($A26,'Matriz de Referencia'!$B$2:$CO$584,45,FALSE)=0,0,"Digite"))</f>
        <v>0</v>
      </c>
      <c r="DG26" s="454">
        <f>IF(OR('Parte Estrategica'!AK26=0,'Parte Estrategica'!AK26=""),0,IF(VLOOKUP($A26,'Matriz de Referencia'!$B$2:$CO$584,46,FALSE)=0,0,"Digite"))</f>
        <v>0</v>
      </c>
      <c r="DH26" s="382">
        <f t="shared" si="22"/>
        <v>0</v>
      </c>
      <c r="DI26" s="454">
        <f>IF(OR('Parte Estrategica'!AK26=0,'Parte Estrategica'!AK26=""),0,IF(VLOOKUP($A26,'Matriz de Referencia'!$B$2:$CO$584,48,FALSE)=0,0,"Digite"))</f>
        <v>0</v>
      </c>
      <c r="DJ26" s="454">
        <f>IF(OR('Parte Estrategica'!AK26=0,'Parte Estrategica'!AK26=""),0,IF(VLOOKUP($A26,'Matriz de Referencia'!$B$2:$CO$584,49,FALSE)=0,0,"Digite"))</f>
        <v>0</v>
      </c>
      <c r="DK26" s="454">
        <f>IF(OR('Parte Estrategica'!AK26=0,'Parte Estrategica'!AK26=""),0,IF(VLOOKUP($A26,'Matriz de Referencia'!$B$2:$CO$584,50,FALSE)=0,0,"Digite"))</f>
        <v>0</v>
      </c>
      <c r="DL26" s="382">
        <f t="shared" si="23"/>
        <v>0</v>
      </c>
      <c r="DM26" s="382">
        <f t="shared" si="24"/>
        <v>0</v>
      </c>
      <c r="DN26" s="382">
        <f t="shared" si="25"/>
        <v>0</v>
      </c>
      <c r="DO26" s="101" t="str">
        <f>IFERROR(IF(DN26=0,"",IF(VLOOKUP($A26,'Matriz de Referencia'!$B$2:$CO$584,52,FALSE)=DN26,"Techos ok, cotinue","Debe revisar el valor programado")),"")</f>
        <v/>
      </c>
      <c r="DP26" s="453">
        <f>IF(OR('Parte Estrategica'!AN26=0,'Parte Estrategica'!AN26=""),0,IF(VLOOKUP($A26,'Matriz de Referencia'!$B$2:$CO$584,53,FALSE)=0,0,"Digite"))</f>
        <v>0</v>
      </c>
      <c r="DQ26" s="454">
        <f>IF(OR('Parte Estrategica'!AN26=0,'Parte Estrategica'!AN26=""),0,IF(VLOOKUP($A26,'Matriz de Referencia'!$B$2:$CO$584,54,FALSE)=0,0,"Digite"))</f>
        <v>0</v>
      </c>
      <c r="DR26" s="454">
        <f>IF(OR('Parte Estrategica'!AN26=0,'Parte Estrategica'!AN26=""),0,IF(VLOOKUP($A26,'Matriz de Referencia'!$B$2:$CO$584,55,FALSE)=0,0,"Digite"))</f>
        <v>0</v>
      </c>
      <c r="DS26" s="454">
        <f>IF(OR('Parte Estrategica'!AN26=0,'Parte Estrategica'!AN26=""),0,IF(VLOOKUP($A26,'Matriz de Referencia'!$B$2:$CO$584,56,FALSE)=0,0,"Digite"))</f>
        <v>0</v>
      </c>
      <c r="DT26" s="454">
        <f>IF(OR('Parte Estrategica'!AN26=0,'Parte Estrategica'!AN26=""),0,IF(VLOOKUP($A26,'Matriz de Referencia'!$B$2:$CO$584,57,FALSE)=0,0,"Digite"))</f>
        <v>0</v>
      </c>
      <c r="DU26" s="454">
        <f>IF(OR('Parte Estrategica'!AN26=0,'Parte Estrategica'!AN26=""),0,IF(VLOOKUP($A26,'Matriz de Referencia'!$B$2:$CO$584,58,FALSE)=0,0,"Digite"))</f>
        <v>0</v>
      </c>
      <c r="DV26" s="454">
        <f>IF(OR('Parte Estrategica'!AN26=0,'Parte Estrategica'!AN26=""),0,IF(VLOOKUP($A26,'Matriz de Referencia'!$B$2:$CO$584,59,FALSE)=0,0,"Digite"))</f>
        <v>0</v>
      </c>
      <c r="DW26" s="454">
        <f>IF(OR('Parte Estrategica'!AN26=0,'Parte Estrategica'!AN26=""),0,IF(VLOOKUP($A26,'Matriz de Referencia'!$B$2:$CO$584,60,FALSE)=0,0,"Digite"))</f>
        <v>0</v>
      </c>
      <c r="DX26" s="382">
        <f t="shared" si="26"/>
        <v>0</v>
      </c>
      <c r="DY26" s="454">
        <f>IF(OR('Parte Estrategica'!AN26=0,'Parte Estrategica'!AN26=""),0,IF(VLOOKUP($A26,'Matriz de Referencia'!$B$2:$CO$584,62,FALSE)=0,0,"Digite"))</f>
        <v>0</v>
      </c>
      <c r="DZ26" s="454">
        <f>IF(OR('Parte Estrategica'!AN26=0,'Parte Estrategica'!AN26=""),0,IF(VLOOKUP($A26,'Matriz de Referencia'!$B$2:$CO$584,63,FALSE)=0,0,"Digite"))</f>
        <v>0</v>
      </c>
      <c r="EA26" s="454" t="str">
        <f>IF(OR('Parte Estrategica'!AN26=0,'Parte Estrategica'!AN26=""),"",IF(VLOOKUP($A26,'Matriz de Referencia'!$B$2:$CO$584,64,FALSE)=0,"","Digite"))</f>
        <v/>
      </c>
      <c r="EB26" s="382">
        <f t="shared" si="27"/>
        <v>0</v>
      </c>
      <c r="EC26" s="382">
        <f t="shared" si="28"/>
        <v>0</v>
      </c>
      <c r="ED26" s="453">
        <f>IF(OR('Parte Estrategica'!AO26=0,'Parte Estrategica'!AO26=""),0,IF(VLOOKUP($A26,'Matriz de Referencia'!$B$2:$CO$584,53,FALSE)=0,0,"Digite"))</f>
        <v>0</v>
      </c>
      <c r="EE26" s="454">
        <f>IF(OR('Parte Estrategica'!AO26=0,'Parte Estrategica'!AO26=""),0,IF(VLOOKUP($A26,'Matriz de Referencia'!$B$2:$CO$584,54,FALSE)=0,0,"Digite"))</f>
        <v>0</v>
      </c>
      <c r="EF26" s="454">
        <f>IF(OR('Parte Estrategica'!AO26=0,'Parte Estrategica'!AO26=""),0,IF(VLOOKUP($A26,'Matriz de Referencia'!$B$2:$CO$584,55,FALSE)=0,0,"Digite"))</f>
        <v>0</v>
      </c>
      <c r="EG26" s="454">
        <f>IF(OR('Parte Estrategica'!AO26=0,'Parte Estrategica'!AO26=""),0,IF(VLOOKUP($A26,'Matriz de Referencia'!$B$2:$CO$584,56,FALSE)=0,0,"Digite"))</f>
        <v>0</v>
      </c>
      <c r="EH26" s="454">
        <f>IF(OR('Parte Estrategica'!AO26=0,'Parte Estrategica'!AO26=""),0,IF(VLOOKUP($A26,'Matriz de Referencia'!$B$2:$CO$584,57,FALSE)=0,0,"Digite"))</f>
        <v>0</v>
      </c>
      <c r="EI26" s="454">
        <f>IF(OR('Parte Estrategica'!AO26=0,'Parte Estrategica'!AO26=""),0,IF(VLOOKUP($A26,'Matriz de Referencia'!$B$2:$CO$584,58,FALSE)=0,0,"Digite"))</f>
        <v>0</v>
      </c>
      <c r="EJ26" s="454">
        <f>IF(OR('Parte Estrategica'!AO26=0,'Parte Estrategica'!AO26=""),0,IF(VLOOKUP($A26,'Matriz de Referencia'!$B$2:$CO$584,59,FALSE)=0,0,"Digite"))</f>
        <v>0</v>
      </c>
      <c r="EK26" s="454">
        <f>IF(OR('Parte Estrategica'!AO26=0,'Parte Estrategica'!AO26=""),0,IF(VLOOKUP($A26,'Matriz de Referencia'!$B$2:$CO$584,60,FALSE)=0,0,"Digite"))</f>
        <v>0</v>
      </c>
      <c r="EL26" s="382">
        <f t="shared" si="29"/>
        <v>0</v>
      </c>
      <c r="EM26" s="454">
        <f>IF(OR('Parte Estrategica'!AO26=0,'Parte Estrategica'!AO26=""),0,IF(VLOOKUP($A26,'Matriz de Referencia'!$B$2:$CO$584,62,FALSE)=0,0,"Digite"))</f>
        <v>0</v>
      </c>
      <c r="EN26" s="454">
        <f>IF(OR('Parte Estrategica'!AO26=0,'Parte Estrategica'!AO26=""),0,IF(VLOOKUP($A26,'Matriz de Referencia'!$B$2:$CO$584,63,FALSE)=0,0,"Digite"))</f>
        <v>0</v>
      </c>
      <c r="EO26" s="454">
        <f>IF(OR('Parte Estrategica'!AO26=0,'Parte Estrategica'!AO26=""),0,IF(VLOOKUP($A26,'Matriz de Referencia'!$B$2:$CO$584,64,FALSE)=0,0,"Digite"))</f>
        <v>0</v>
      </c>
      <c r="EP26" s="382">
        <f t="shared" si="30"/>
        <v>0</v>
      </c>
      <c r="EQ26" s="382">
        <f t="shared" si="31"/>
        <v>0</v>
      </c>
      <c r="ER26" s="453">
        <f>IF(OR('Parte Estrategica'!AP26=0,'Parte Estrategica'!AP26=""),0,IF(VLOOKUP($A26,'Matriz de Referencia'!$B$2:$CO$584,53,FALSE)=0,0,"Digite"))</f>
        <v>0</v>
      </c>
      <c r="ES26" s="454">
        <f>IF(OR('Parte Estrategica'!AP26=0,'Parte Estrategica'!AP26=""),0,IF(VLOOKUP($A26,'Matriz de Referencia'!$B$2:$CO$584,54,FALSE)=0,0,"Digite"))</f>
        <v>0</v>
      </c>
      <c r="ET26" s="454">
        <f>IF(OR('Parte Estrategica'!AP26=0,'Parte Estrategica'!AP26=""),0,IF(VLOOKUP($A26,'Matriz de Referencia'!$B$2:$CO$584,55,FALSE)=0,0,"Digite"))</f>
        <v>0</v>
      </c>
      <c r="EU26" s="454">
        <f>IF(OR('Parte Estrategica'!AP26=0,'Parte Estrategica'!AP26=""),0,IF(VLOOKUP($A26,'Matriz de Referencia'!$B$2:$CO$584,56,FALSE)=0,0,"Digite"))</f>
        <v>0</v>
      </c>
      <c r="EV26" s="454">
        <f>IF(OR('Parte Estrategica'!AP26=0,'Parte Estrategica'!AP26=""),0,IF(VLOOKUP($A26,'Matriz de Referencia'!$B$2:$CO$584,57,FALSE)=0,0,"Digite"))</f>
        <v>0</v>
      </c>
      <c r="EW26" s="454">
        <f>IF(OR('Parte Estrategica'!AP26=0,'Parte Estrategica'!AP26=""),0,IF(VLOOKUP($A26,'Matriz de Referencia'!$B$2:$CO$584,58,FALSE)=0,0,"Digite"))</f>
        <v>0</v>
      </c>
      <c r="EX26" s="454">
        <f>IF(OR('Parte Estrategica'!AP26=0,'Parte Estrategica'!AP26=""),0,IF(VLOOKUP($A26,'Matriz de Referencia'!$B$2:$CO$584,59,FALSE)=0,0,"Digite"))</f>
        <v>0</v>
      </c>
      <c r="EY26" s="454">
        <f>IF(OR('Parte Estrategica'!AP26=0,'Parte Estrategica'!AP26=""),0,IF(VLOOKUP($A26,'Matriz de Referencia'!$B$2:$CO$584,60,FALSE)=0,0,"Digite"))</f>
        <v>0</v>
      </c>
      <c r="EZ26" s="382">
        <f t="shared" si="32"/>
        <v>0</v>
      </c>
      <c r="FA26" s="454">
        <f>IF(OR('Parte Estrategica'!AP26=0,'Parte Estrategica'!AP26=""),0,IF(VLOOKUP($A26,'Matriz de Referencia'!$B$2:$CO$584,62,FALSE)=0,0,"Digite"))</f>
        <v>0</v>
      </c>
      <c r="FB26" s="454">
        <f>IF(OR('Parte Estrategica'!AP26=0,'Parte Estrategica'!AP26=""),0,IF(VLOOKUP($A26,'Matriz de Referencia'!$B$2:$CO$584,63,FALSE)=0,0,"Digite"))</f>
        <v>0</v>
      </c>
      <c r="FC26" s="454">
        <f>IF(OR('Parte Estrategica'!AP26=0,'Parte Estrategica'!AP26=""),0,IF(VLOOKUP($A26,'Matriz de Referencia'!$B$2:$CO$584,64,FALSE)=0,0,"Digite"))</f>
        <v>0</v>
      </c>
      <c r="FD26" s="382">
        <f t="shared" si="33"/>
        <v>0</v>
      </c>
      <c r="FE26" s="382">
        <f t="shared" si="34"/>
        <v>0</v>
      </c>
      <c r="FF26" s="453">
        <f>IF(OR('Parte Estrategica'!AQ26=0,'Parte Estrategica'!AQ26=""),0,IF(VLOOKUP($A26,'Matriz de Referencia'!$B$2:$CO$584,53,FALSE)=0,0,"Digite"))</f>
        <v>0</v>
      </c>
      <c r="FG26" s="454">
        <f>IF(OR('Parte Estrategica'!AQ26=0,'Parte Estrategica'!AQ26=""),0,IF(VLOOKUP($A26,'Matriz de Referencia'!$B$2:$CO$584,54,FALSE)=0,0,"Digite"))</f>
        <v>0</v>
      </c>
      <c r="FH26" s="454">
        <f>IF(OR('Parte Estrategica'!AQ26=0,'Parte Estrategica'!AQ26=""),0,IF(VLOOKUP($A26,'Matriz de Referencia'!$B$2:$CO$584,55,FALSE)=0,0,"Digite"))</f>
        <v>0</v>
      </c>
      <c r="FI26" s="454">
        <f>IF(OR('Parte Estrategica'!AQ26=0,'Parte Estrategica'!AQ26=""),0,IF(VLOOKUP($A26,'Matriz de Referencia'!$B$2:$CO$584,56,FALSE)=0,0,"Digite"))</f>
        <v>0</v>
      </c>
      <c r="FJ26" s="454">
        <f>IF(OR('Parte Estrategica'!AQ26=0,'Parte Estrategica'!AQ26=""),0,IF(VLOOKUP($A26,'Matriz de Referencia'!$B$2:$CO$584,57,FALSE)=0,0,"Digite"))</f>
        <v>0</v>
      </c>
      <c r="FK26" s="454">
        <f>IF(OR('Parte Estrategica'!AQ26=0,'Parte Estrategica'!AQ26=""),0,IF(VLOOKUP($A26,'Matriz de Referencia'!$B$2:$CO$584,58,FALSE)=0,0,"Digite"))</f>
        <v>0</v>
      </c>
      <c r="FL26" s="454">
        <f>IF(OR('Parte Estrategica'!AQ26=0,'Parte Estrategica'!AQ26=""),0,IF(VLOOKUP($A26,'Matriz de Referencia'!$B$2:$CO$584,59,FALSE)=0,0,"Digite"))</f>
        <v>0</v>
      </c>
      <c r="FM26" s="454">
        <f>IF(OR('Parte Estrategica'!AQ26=0,'Parte Estrategica'!AQ26=""),0,IF(VLOOKUP($A26,'Matriz de Referencia'!$B$2:$CO$584,60,FALSE)=0,0,"Digite"))</f>
        <v>0</v>
      </c>
      <c r="FN26" s="382">
        <f t="shared" si="35"/>
        <v>0</v>
      </c>
      <c r="FO26" s="454">
        <f>IF(OR('Parte Estrategica'!AQ26=0,'Parte Estrategica'!AQ26=""),0,IF(VLOOKUP($A26,'Matriz de Referencia'!$B$2:$CO$584,62,FALSE)=0,0,"Digite"))</f>
        <v>0</v>
      </c>
      <c r="FP26" s="454">
        <f>IF(OR('Parte Estrategica'!AQ26=0,'Parte Estrategica'!AQ26=""),0,IF(VLOOKUP($A26,'Matriz de Referencia'!$B$2:$CO$584,63,FALSE)=0,0,"Digite"))</f>
        <v>0</v>
      </c>
      <c r="FQ26" s="454">
        <f>IF(OR('Parte Estrategica'!AQ26=0,'Parte Estrategica'!AQ26=""),0,IF(VLOOKUP($A26,'Matriz de Referencia'!$B$2:$CO$584,64,FALSE)=0,0,"Digite"))</f>
        <v>0</v>
      </c>
      <c r="FR26" s="382">
        <f t="shared" si="36"/>
        <v>0</v>
      </c>
      <c r="FS26" s="382">
        <f t="shared" si="37"/>
        <v>0</v>
      </c>
      <c r="FT26" s="382">
        <f t="shared" si="38"/>
        <v>0</v>
      </c>
      <c r="FU26" s="101" t="str">
        <f>IFERROR(IF(FT26=0,"",IF(VLOOKUP($A26,'Matriz de Referencia'!$B$2:$CO$584,66,FALSE)=FT26,"Techos ok, cotinue","Debe revisar el valor programado")),"")</f>
        <v/>
      </c>
      <c r="FV26" s="453">
        <f>IF(OR('Parte Estrategica'!AT26=0,'Parte Estrategica'!AT26=""),0,IF(VLOOKUP($A26,'Matriz de Referencia'!$B$2:$CO$584,67,FALSE)=0,0,"Digite"))</f>
        <v>0</v>
      </c>
      <c r="FW26" s="454">
        <f>IF(OR('Parte Estrategica'!AT26=0,'Parte Estrategica'!AT26=""),0,IF(VLOOKUP($A26,'Matriz de Referencia'!$B$2:$CO$584,68,FALSE)=0,0,"Digite"))</f>
        <v>0</v>
      </c>
      <c r="FX26" s="454">
        <f>IF(OR('Parte Estrategica'!AT26=0,'Parte Estrategica'!AT26=""),0,IF(VLOOKUP($A26,'Matriz de Referencia'!$B$2:$CO$584,69,FALSE)=0,0,"Digite"))</f>
        <v>0</v>
      </c>
      <c r="FY26" s="454">
        <f>IF(OR('Parte Estrategica'!AT26=0,'Parte Estrategica'!AT26=""),0,IF(VLOOKUP($A26,'Matriz de Referencia'!$B$2:$CO$584,70,FALSE)=0,0,"Digite"))</f>
        <v>0</v>
      </c>
      <c r="FZ26" s="454">
        <f>IF(OR('Parte Estrategica'!AT26=0,'Parte Estrategica'!AT26=""),0,IF(VLOOKUP($A26,'Matriz de Referencia'!$B$2:$CO$584,71,FALSE)=0,0,"Digite"))</f>
        <v>0</v>
      </c>
      <c r="GA26" s="454">
        <f>IF(OR('Parte Estrategica'!AT26=0,'Parte Estrategica'!AT26=""),0,IF(VLOOKUP($A26,'Matriz de Referencia'!$B$2:$CO$584,72,FALSE)=0,0,"Digite"))</f>
        <v>0</v>
      </c>
      <c r="GB26" s="454">
        <f>IF(OR('Parte Estrategica'!AT26=0,'Parte Estrategica'!AT26=""),0,IF(VLOOKUP($A26,'Matriz de Referencia'!$B$2:$CO$584,73,FALSE)=0,0,"Digite"))</f>
        <v>0</v>
      </c>
      <c r="GC26" s="454">
        <f>IF(OR('Parte Estrategica'!AT26=0,'Parte Estrategica'!AT26=""),0,IF(VLOOKUP($A26,'Matriz de Referencia'!$B$2:$CO$584,74,FALSE)=0,0,"Digite"))</f>
        <v>0</v>
      </c>
      <c r="GD26" s="382">
        <f t="shared" si="39"/>
        <v>0</v>
      </c>
      <c r="GE26" s="454">
        <f>IF(OR('Parte Estrategica'!AT26=0,'Parte Estrategica'!AT26=""),0,IF(VLOOKUP($A26,'Matriz de Referencia'!$B$2:$CO$584,76,FALSE)=0,0,"Digite"))</f>
        <v>0</v>
      </c>
      <c r="GF26" s="454">
        <f>IF(OR('Parte Estrategica'!AT26=0,'Parte Estrategica'!AT26=""),0,IF(VLOOKUP($A26,'Matriz de Referencia'!$B$2:$CO$584,77,FALSE)=0,0,"Digite"))</f>
        <v>0</v>
      </c>
      <c r="GG26" s="454">
        <f>IF(OR('Parte Estrategica'!AT26=0,'Parte Estrategica'!AT26=""),0,IF(VLOOKUP($A26,'Matriz de Referencia'!$B$2:$CO$584,78,FALSE)=0,0,"Digite"))</f>
        <v>0</v>
      </c>
      <c r="GH26" s="382">
        <f t="shared" si="40"/>
        <v>0</v>
      </c>
      <c r="GI26" s="382">
        <f t="shared" si="41"/>
        <v>0</v>
      </c>
      <c r="GJ26" s="453">
        <f>IF(OR('Parte Estrategica'!AU26=0,'Parte Estrategica'!AU26=""),0,IF(VLOOKUP($A26,'Matriz de Referencia'!$B$2:$CO$584,67,FALSE)=0,0,"Digite"))</f>
        <v>0</v>
      </c>
      <c r="GK26" s="454">
        <f>IF(OR('Parte Estrategica'!AU26=0,'Parte Estrategica'!AU26=""),0,IF(VLOOKUP($A26,'Matriz de Referencia'!$B$2:$CO$584,68,FALSE)=0,0,"Digite"))</f>
        <v>0</v>
      </c>
      <c r="GL26" s="454">
        <f>IF(OR('Parte Estrategica'!AU26=0,'Parte Estrategica'!AU26=""),0,IF(VLOOKUP($A26,'Matriz de Referencia'!$B$2:$CO$584,69,FALSE)=0,0,"Digite"))</f>
        <v>0</v>
      </c>
      <c r="GM26" s="454">
        <f>IF(OR('Parte Estrategica'!AU26=0,'Parte Estrategica'!AU26=""),0,IF(VLOOKUP($A26,'Matriz de Referencia'!$B$2:$CO$584,70,FALSE)=0,0,"Digite"))</f>
        <v>0</v>
      </c>
      <c r="GN26" s="454">
        <f>IF(OR('Parte Estrategica'!AU26=0,'Parte Estrategica'!AU26=""),0,IF(VLOOKUP($A26,'Matriz de Referencia'!$B$2:$CO$584,71,FALSE)=0,0,"Digite"))</f>
        <v>0</v>
      </c>
      <c r="GO26" s="454">
        <f>IF(OR('Parte Estrategica'!AU26=0,'Parte Estrategica'!AU26=""),0,IF(VLOOKUP($A26,'Matriz de Referencia'!$B$2:$CO$584,72,FALSE)=0,0,"Digite"))</f>
        <v>0</v>
      </c>
      <c r="GP26" s="454">
        <f>IF(OR('Parte Estrategica'!AU26=0,'Parte Estrategica'!AU26=""),0,IF(VLOOKUP($A26,'Matriz de Referencia'!$B$2:$CO$584,73,FALSE)=0,0,"Digite"))</f>
        <v>0</v>
      </c>
      <c r="GQ26" s="454">
        <f>IF(OR('Parte Estrategica'!AU26=0,'Parte Estrategica'!AU26=""),0,IF(VLOOKUP($A26,'Matriz de Referencia'!$B$2:$CO$584,74,FALSE)=0,0,"Digite"))</f>
        <v>0</v>
      </c>
      <c r="GR26" s="382">
        <f t="shared" si="42"/>
        <v>0</v>
      </c>
      <c r="GS26" s="454">
        <f>IF(OR('Parte Estrategica'!AU26=0,'Parte Estrategica'!AU26=""),0,IF(VLOOKUP($A26,'Matriz de Referencia'!$B$2:$CO$584,76,FALSE)=0,0,"Digite"))</f>
        <v>0</v>
      </c>
      <c r="GT26" s="454">
        <f>IF(OR('Parte Estrategica'!AU26=0,'Parte Estrategica'!AU26=""),0,IF(VLOOKUP($A26,'Matriz de Referencia'!$B$2:$CO$584,77,FALSE)=0,0,"Digite"))</f>
        <v>0</v>
      </c>
      <c r="GU26" s="454">
        <f>IF(OR('Parte Estrategica'!AU26=0,'Parte Estrategica'!AU26=""),0,IF(VLOOKUP($A26,'Matriz de Referencia'!$B$2:$CO$584,78,FALSE)=0,0,"Digite"))</f>
        <v>0</v>
      </c>
      <c r="GV26" s="382">
        <f t="shared" si="43"/>
        <v>0</v>
      </c>
      <c r="GW26" s="382">
        <f t="shared" si="44"/>
        <v>0</v>
      </c>
      <c r="GX26" s="453">
        <f>IF(OR('Parte Estrategica'!AV26=0,'Parte Estrategica'!AV26=""),0,IF(VLOOKUP($A26,'Matriz de Referencia'!$B$2:$CO$584,67,FALSE)=0,0,"Digite"))</f>
        <v>0</v>
      </c>
      <c r="GY26" s="454">
        <f>IF(OR('Parte Estrategica'!AV26=0,'Parte Estrategica'!AV26=""),0,IF(VLOOKUP($A26,'Matriz de Referencia'!$B$2:$CO$584,68,FALSE)=0,0,"Digite"))</f>
        <v>0</v>
      </c>
      <c r="GZ26" s="454">
        <f>IF(OR('Parte Estrategica'!AV26=0,'Parte Estrategica'!AV26=""),0,IF(VLOOKUP($A26,'Matriz de Referencia'!$B$2:$CO$584,69,FALSE)=0,0,"Digite"))</f>
        <v>0</v>
      </c>
      <c r="HA26" s="454">
        <f>IF(OR('Parte Estrategica'!AV26=0,'Parte Estrategica'!AV26=""),0,IF(VLOOKUP($A26,'Matriz de Referencia'!$B$2:$CO$584,70,FALSE)=0,0,"Digite"))</f>
        <v>0</v>
      </c>
      <c r="HB26" s="454">
        <f>IF(OR('Parte Estrategica'!AV26=0,'Parte Estrategica'!AV26=""),0,IF(VLOOKUP($A26,'Matriz de Referencia'!$B$2:$CO$584,71,FALSE)=0,0,"Digite"))</f>
        <v>0</v>
      </c>
      <c r="HC26" s="454">
        <f>IF(OR('Parte Estrategica'!AV26=0,'Parte Estrategica'!AV26=""),0,IF(VLOOKUP($A26,'Matriz de Referencia'!$B$2:$CO$584,72,FALSE)=0,0,"Digite"))</f>
        <v>0</v>
      </c>
      <c r="HD26" s="454">
        <f>IF(OR('Parte Estrategica'!AV26=0,'Parte Estrategica'!AV26=""),0,IF(VLOOKUP($A26,'Matriz de Referencia'!$B$2:$CO$584,73,FALSE)=0,0,"Digite"))</f>
        <v>0</v>
      </c>
      <c r="HE26" s="454">
        <f>IF(OR('Parte Estrategica'!AV26=0,'Parte Estrategica'!AV26=""),0,IF(VLOOKUP($A26,'Matriz de Referencia'!$B$2:$CO$584,74,FALSE)=0,0,"Digite"))</f>
        <v>0</v>
      </c>
      <c r="HF26" s="382">
        <f t="shared" si="45"/>
        <v>0</v>
      </c>
      <c r="HG26" s="454">
        <f>IF(OR('Parte Estrategica'!AV26=0,'Parte Estrategica'!AV26=""),0,IF(VLOOKUP($A26,'Matriz de Referencia'!$B$2:$CO$584,76,FALSE)=0,0,"Digite"))</f>
        <v>0</v>
      </c>
      <c r="HH26" s="454">
        <f>IF(OR('Parte Estrategica'!AV26=0,'Parte Estrategica'!AV26=""),0,IF(VLOOKUP($A26,'Matriz de Referencia'!$B$2:$CO$584,77,FALSE)=0,0,"Digite"))</f>
        <v>0</v>
      </c>
      <c r="HI26" s="454">
        <f>IF(OR('Parte Estrategica'!AV26=0,'Parte Estrategica'!AV26=""),0,IF(VLOOKUP($A26,'Matriz de Referencia'!$B$2:$CO$584,78,FALSE)=0,0,"Digite"))</f>
        <v>0</v>
      </c>
      <c r="HJ26" s="382">
        <f t="shared" si="46"/>
        <v>0</v>
      </c>
      <c r="HK26" s="382">
        <f t="shared" si="47"/>
        <v>0</v>
      </c>
      <c r="HL26" s="453">
        <f>IF(OR('Parte Estrategica'!AW26=0,'Parte Estrategica'!AW26=""),0,IF(VLOOKUP($A26,'Matriz de Referencia'!$B$2:$CO$584,67,FALSE)=0,0,"Digite"))</f>
        <v>0</v>
      </c>
      <c r="HM26" s="454">
        <f>IF(OR('Parte Estrategica'!AW26=0,'Parte Estrategica'!AW26=""),0,IF(VLOOKUP($A26,'Matriz de Referencia'!$B$2:$CO$584,68,FALSE)=0,0,"Digite"))</f>
        <v>0</v>
      </c>
      <c r="HN26" s="454">
        <f>IF(OR('Parte Estrategica'!AW26=0,'Parte Estrategica'!AW26=""),0,IF(VLOOKUP($A26,'Matriz de Referencia'!$B$2:$CO$584,69,FALSE)=0,0,"Digite"))</f>
        <v>0</v>
      </c>
      <c r="HO26" s="454">
        <f>IF(OR('Parte Estrategica'!AW26=0,'Parte Estrategica'!AW26=""),0,IF(VLOOKUP($A26,'Matriz de Referencia'!$B$2:$CO$584,70,FALSE)=0,0,"Digite"))</f>
        <v>0</v>
      </c>
      <c r="HP26" s="454">
        <f>IF(OR('Parte Estrategica'!AW26=0,'Parte Estrategica'!AW26=""),0,IF(VLOOKUP($A26,'Matriz de Referencia'!$B$2:$CO$584,71,FALSE)=0,0,"Digite"))</f>
        <v>0</v>
      </c>
      <c r="HQ26" s="454">
        <f>IF(OR('Parte Estrategica'!AW26=0,'Parte Estrategica'!AW26=""),0,IF(VLOOKUP($A26,'Matriz de Referencia'!$B$2:$CO$584,72,FALSE)=0,0,"Digite"))</f>
        <v>0</v>
      </c>
      <c r="HR26" s="454">
        <f>IF(OR('Parte Estrategica'!AW26=0,'Parte Estrategica'!AW26=""),0,IF(VLOOKUP($A26,'Matriz de Referencia'!$B$2:$CO$584,73,FALSE)=0,0,"Digite"))</f>
        <v>0</v>
      </c>
      <c r="HS26" s="454">
        <f>IF(OR('Parte Estrategica'!AW26=0,'Parte Estrategica'!AW26=""),0,IF(VLOOKUP($A26,'Matriz de Referencia'!$B$2:$CO$584,74,FALSE)=0,0,"Digite"))</f>
        <v>0</v>
      </c>
      <c r="HT26" s="382">
        <f t="shared" si="48"/>
        <v>0</v>
      </c>
      <c r="HU26" s="454">
        <f>IF(OR('Parte Estrategica'!AW26=0,'Parte Estrategica'!AW26=""),0,IF(VLOOKUP($A26,'Matriz de Referencia'!$B$2:$CO$584,76,FALSE)=0,0,"Digite"))</f>
        <v>0</v>
      </c>
      <c r="HV26" s="454">
        <f>IF(OR('Parte Estrategica'!AW26=0,'Parte Estrategica'!AW26=""),0,IF(VLOOKUP($A26,'Matriz de Referencia'!$B$2:$CO$584,77,FALSE)=0,0,"Digite"))</f>
        <v>0</v>
      </c>
      <c r="HW26" s="454">
        <f>IF(OR('Parte Estrategica'!AW26=0,'Parte Estrategica'!AW26=""),0,IF(VLOOKUP($A26,'Matriz de Referencia'!$B$2:$CO$584,78,FALSE)=0,0,"Digite"))</f>
        <v>0</v>
      </c>
      <c r="HX26" s="382">
        <f t="shared" si="49"/>
        <v>0</v>
      </c>
      <c r="HY26" s="382">
        <f t="shared" si="50"/>
        <v>0</v>
      </c>
      <c r="HZ26" s="382">
        <f t="shared" si="51"/>
        <v>0</v>
      </c>
      <c r="IA26" s="101" t="str">
        <f>IFERROR(IF(HZ26=0,"",IF(VLOOKUP($A26,'Matriz de Referencia'!$B$2:$CO$584,80,FALSE)=HZ26,"Techos ok, cotinue","Debe revisar el valor programado")),"")</f>
        <v/>
      </c>
      <c r="IB26" s="383">
        <f t="shared" si="52"/>
        <v>0</v>
      </c>
    </row>
    <row r="27" spans="1:236">
      <c r="A27" s="550" t="str">
        <f>IF('Parte Estrategica'!B27=0,"",'Parte Estrategica'!B27)</f>
        <v/>
      </c>
      <c r="B27" s="551" t="str">
        <f>IFERROR(VLOOKUP(A27,'Matriz de Referencia'!$B$2:$P$578,'Matriz de Referencia'!L$1,FALSE),"")</f>
        <v/>
      </c>
      <c r="C27" s="551" t="str">
        <f>IFERROR(VLOOKUP(A27,'Matriz de Referencia'!$B$2:$P$584,'Matriz de Referencia'!M$1,FALSE),"")</f>
        <v/>
      </c>
      <c r="D27" s="455" t="str">
        <f>IF(OR('Parte Estrategica'!AB27=0,'Parte Estrategica'!AB27=""),"",IF(VLOOKUP($A27,'Matriz de Referencia'!$B$2:$CO$584,'Matriz de Referencia'!Z$1,FALSE)=0,"","Digite"))</f>
        <v/>
      </c>
      <c r="E27" s="456">
        <f>IF(OR('Parte Estrategica'!AB27=0,'Parte Estrategica'!AB27=""),0,IF(VLOOKUP($A27,'Matriz de Referencia'!$B$2:$CO$584,26,FALSE)=0,0,"Digite"))</f>
        <v>0</v>
      </c>
      <c r="F27" s="456">
        <f>IF(OR('Parte Estrategica'!AB27=0,'Parte Estrategica'!AB27=""),0,IF(VLOOKUP($A27,'Matriz de Referencia'!$B$2:$CO$584,27,FALSE)=0,0,"Digite"))</f>
        <v>0</v>
      </c>
      <c r="G27" s="456">
        <f>IF(OR('Parte Estrategica'!AB27=0,'Parte Estrategica'!AB27=""),0,IF(VLOOKUP($A27,'Matriz de Referencia'!$B$2:$CO$584,28,FALSE)=0,0,"Digite"))</f>
        <v>0</v>
      </c>
      <c r="H27" s="456">
        <f>IF(OR('Parte Estrategica'!AB27=0,'Parte Estrategica'!AB27=""),0,IF(VLOOKUP($A27,'Matriz de Referencia'!$B$2:$CO$584,29,FALSE)=0,0,"Digite"))</f>
        <v>0</v>
      </c>
      <c r="I27" s="456">
        <f>IF(OR('Parte Estrategica'!AB27=0,'Parte Estrategica'!AB27=""),0,IF(VLOOKUP($A27,'Matriz de Referencia'!$B$2:$CO$584,30,FALSE)=0,0,"Digite"))</f>
        <v>0</v>
      </c>
      <c r="J27" s="456">
        <f>IF(OR('Parte Estrategica'!AB27=0,'Parte Estrategica'!AB27=""),0,IF(VLOOKUP($A27,'Matriz de Referencia'!$B$2:$CO$584,31,FALSE)=0,0,"Digite"))</f>
        <v>0</v>
      </c>
      <c r="K27" s="456">
        <f>IF(OR('Parte Estrategica'!AB27=0,'Parte Estrategica'!AB27=""),0,IF(VLOOKUP($A27,'Matriz de Referencia'!$B$2:$CO$584,32,FALSE)=0,0,"Digite"))</f>
        <v>0</v>
      </c>
      <c r="L27" s="460">
        <f t="shared" si="0"/>
        <v>0</v>
      </c>
      <c r="M27" s="456">
        <f>IF(OR('Parte Estrategica'!AB27=0,'Parte Estrategica'!AB27=""),0,IF(VLOOKUP($A27,'Matriz de Referencia'!$B$2:$CO$584,34,FALSE)=0,0,"Digite"))</f>
        <v>0</v>
      </c>
      <c r="N27" s="456">
        <f>IF(OR('Parte Estrategica'!AB27=0,'Parte Estrategica'!AB27=""),0,IF(VLOOKUP($A27,'Matriz de Referencia'!$B$2:$CO$584,35,FALSE)=0,0,"Digite"))</f>
        <v>0</v>
      </c>
      <c r="O27" s="456">
        <f>IF(OR('Parte Estrategica'!AB27=0,'Parte Estrategica'!AB27=""),0,IF(VLOOKUP($A27,'Matriz de Referencia'!$B$2:$CO$584,36,FALSE)=0,0,"Digite"))</f>
        <v>0</v>
      </c>
      <c r="P27" s="457">
        <f t="shared" si="1"/>
        <v>0</v>
      </c>
      <c r="Q27" s="457">
        <f t="shared" si="2"/>
        <v>0</v>
      </c>
      <c r="R27" s="455">
        <f>IF(OR('Parte Estrategica'!AC27=0,'Parte Estrategica'!AC27=""),0,IF(VLOOKUP($A27,'Matriz de Referencia'!$B$2:$CO$584,25,FALSE)=0,0,"Digite"))</f>
        <v>0</v>
      </c>
      <c r="S27" s="456">
        <f>IF(OR('Parte Estrategica'!AC27=0,'Parte Estrategica'!AC27=""),0,IF(VLOOKUP($A27,'Matriz de Referencia'!$B$2:$CO$584,26,FALSE)=0,0,"Digite"))</f>
        <v>0</v>
      </c>
      <c r="T27" s="456">
        <f>IF(OR('Parte Estrategica'!AC27=0,'Parte Estrategica'!AC27=""),0,IF(VLOOKUP($A27,'Matriz de Referencia'!$B$2:$CO$584,27,FALSE)=0,0,"Digite"))</f>
        <v>0</v>
      </c>
      <c r="U27" s="456">
        <f>IF(OR('Parte Estrategica'!AC27=0,'Parte Estrategica'!AC27=""),0,IF(VLOOKUP($A27,'Matriz de Referencia'!$B$2:$CO$584,28,FALSE)=0,0,"Digite"))</f>
        <v>0</v>
      </c>
      <c r="V27" s="456">
        <f>IF(OR('Parte Estrategica'!AC27=0,'Parte Estrategica'!AC27=""),0,IF(VLOOKUP($A27,'Matriz de Referencia'!$B$2:$CO$584,29,FALSE)=0,0,"Digite"))</f>
        <v>0</v>
      </c>
      <c r="W27" s="456">
        <f>IF(OR('Parte Estrategica'!AC27=0,'Parte Estrategica'!AC27=""),0,IF(VLOOKUP($A27,'Matriz de Referencia'!$B$2:$CO$584,30,FALSE)=0,0,"Digite"))</f>
        <v>0</v>
      </c>
      <c r="X27" s="456">
        <f>IF(OR('Parte Estrategica'!AC27=0,'Parte Estrategica'!AC27=""),0,IF(VLOOKUP($A27,'Matriz de Referencia'!$B$2:$CO$584,31,FALSE)=0,0,"Digite"))</f>
        <v>0</v>
      </c>
      <c r="Y27" s="456">
        <f>IF(OR('Parte Estrategica'!AC27=0,'Parte Estrategica'!AC27=""),0,IF(VLOOKUP($A27,'Matriz de Referencia'!$B$2:$CO$584,32,FALSE)=0,0,"Digite"))</f>
        <v>0</v>
      </c>
      <c r="Z27" s="457">
        <f t="shared" si="3"/>
        <v>0</v>
      </c>
      <c r="AA27" s="456">
        <f>IF(OR('Parte Estrategica'!AC27=0,'Parte Estrategica'!AC27=""),0,IF(VLOOKUP($A27,'Matriz de Referencia'!$B$2:$CO$584,34,FALSE)=0,0,"Digite"))</f>
        <v>0</v>
      </c>
      <c r="AB27" s="456">
        <f>IF(OR('Parte Estrategica'!AC27=0,'Parte Estrategica'!AC27=""),0,IF(VLOOKUP($A27,'Matriz de Referencia'!$B$2:$CO$584,35,FALSE)=0,0,"Digite"))</f>
        <v>0</v>
      </c>
      <c r="AC27" s="456">
        <f>IF(OR('Parte Estrategica'!AC27=0,'Parte Estrategica'!AC27=""),0,IF(VLOOKUP($A27,'Matriz de Referencia'!$B$2:$CO$584,36,FALSE)=0,0,"Digite"))</f>
        <v>0</v>
      </c>
      <c r="AD27" s="457">
        <f t="shared" si="4"/>
        <v>0</v>
      </c>
      <c r="AE27" s="457">
        <f t="shared" si="5"/>
        <v>0</v>
      </c>
      <c r="AF27" s="455">
        <f>IF(OR('Parte Estrategica'!AD27=0,'Parte Estrategica'!AD27=""),0,IF(VLOOKUP($A27,'Matriz de Referencia'!$B$2:$CO$584,25,FALSE)=0,0,"Digite"))</f>
        <v>0</v>
      </c>
      <c r="AG27" s="456">
        <f>IF(OR('Parte Estrategica'!AD27=0,'Parte Estrategica'!AD27=""),0,IF(VLOOKUP($A27,'Matriz de Referencia'!$B$2:$CO$584,26,FALSE)=0,0,"Digite"))</f>
        <v>0</v>
      </c>
      <c r="AH27" s="456">
        <f>IF(OR('Parte Estrategica'!AD27=0,'Parte Estrategica'!AD27=""),0,IF(VLOOKUP($A27,'Matriz de Referencia'!$B$2:$CO$584,27,FALSE)=0,0,"Digite"))</f>
        <v>0</v>
      </c>
      <c r="AI27" s="456">
        <f>IF(OR('Parte Estrategica'!AD27=0,'Parte Estrategica'!AD27=""),0,IF(VLOOKUP($A27,'Matriz de Referencia'!$B$2:$CO$584,28,FALSE)=0,0,"Digite"))</f>
        <v>0</v>
      </c>
      <c r="AJ27" s="456">
        <f>IF(OR('Parte Estrategica'!AD27=0,'Parte Estrategica'!AD27=""),0,IF(VLOOKUP($A27,'Matriz de Referencia'!$B$2:$CO$584,29,FALSE)=0,0,"Digite"))</f>
        <v>0</v>
      </c>
      <c r="AK27" s="456">
        <f>IF(OR('Parte Estrategica'!AD27=0,'Parte Estrategica'!AD27=""),0,IF(VLOOKUP($A27,'Matriz de Referencia'!$B$2:$CO$584,30,FALSE)=0,0,"Digite"))</f>
        <v>0</v>
      </c>
      <c r="AL27" s="456">
        <f>IF(OR('Parte Estrategica'!AD27=0,'Parte Estrategica'!AD27=""),0,IF(VLOOKUP($A27,'Matriz de Referencia'!$B$2:$CO$584,31,FALSE)=0,0,"Digite"))</f>
        <v>0</v>
      </c>
      <c r="AM27" s="456">
        <f>IF(OR('Parte Estrategica'!AD27=0,'Parte Estrategica'!AD27=""),0,IF(VLOOKUP($A27,'Matriz de Referencia'!$B$2:$CO$584,32,FALSE)=0,0,"Digite"))</f>
        <v>0</v>
      </c>
      <c r="AN27" s="457">
        <f t="shared" si="6"/>
        <v>0</v>
      </c>
      <c r="AO27" s="456">
        <f>IF(OR('Parte Estrategica'!AD27=0,'Parte Estrategica'!AD27=""),0,IF(VLOOKUP($A27,'Matriz de Referencia'!$B$2:$CO$584,34,FALSE)=0,0,"Digite"))</f>
        <v>0</v>
      </c>
      <c r="AP27" s="456">
        <f>IF(OR('Parte Estrategica'!AD27=0,'Parte Estrategica'!AD27=""),0,IF(VLOOKUP($A27,'Matriz de Referencia'!$B$2:$CO$584,35,FALSE)=0,0,"Digite"))</f>
        <v>0</v>
      </c>
      <c r="AQ27" s="456">
        <f>IF(OR('Parte Estrategica'!AD27=0,'Parte Estrategica'!AD27=""),0,IF(VLOOKUP($A27,'Matriz de Referencia'!$B$2:$CO$584,36,FALSE)=0,0,"Digite"))</f>
        <v>0</v>
      </c>
      <c r="AR27" s="457">
        <f t="shared" si="7"/>
        <v>0</v>
      </c>
      <c r="AS27" s="457">
        <f t="shared" si="8"/>
        <v>0</v>
      </c>
      <c r="AT27" s="455">
        <f>IF(OR('Parte Estrategica'!AE27=0,'Parte Estrategica'!AE27=""),0,IF(VLOOKUP($A27,'Matriz de Referencia'!$B$2:$CO$584,25,FALSE)=0,0,"Digite"))</f>
        <v>0</v>
      </c>
      <c r="AU27" s="456">
        <f>IF(OR('Parte Estrategica'!AE27=0,'Parte Estrategica'!AE27=""),0,IF(VLOOKUP($A27,'Matriz de Referencia'!$B$2:$CO$584,26,FALSE)=0,0,"Digite"))</f>
        <v>0</v>
      </c>
      <c r="AV27" s="456">
        <f>IF(OR('Parte Estrategica'!AE27=0,'Parte Estrategica'!AE27=""),0,IF(VLOOKUP($A27,'Matriz de Referencia'!$B$2:$CO$584,27,FALSE)=0,0,"Digite"))</f>
        <v>0</v>
      </c>
      <c r="AW27" s="456">
        <f>IF(OR('Parte Estrategica'!AE27=0,'Parte Estrategica'!AE27=""),0,IF(VLOOKUP($A27,'Matriz de Referencia'!$B$2:$CO$584,28,FALSE)=0,0,"Digite"))</f>
        <v>0</v>
      </c>
      <c r="AX27" s="456">
        <f>IF(OR('Parte Estrategica'!AE27=0,'Parte Estrategica'!AE27=""),0,IF(VLOOKUP($A27,'Matriz de Referencia'!$B$2:$CO$584,29,FALSE)=0,0,"Digite"))</f>
        <v>0</v>
      </c>
      <c r="AY27" s="456">
        <f>IF(OR('Parte Estrategica'!AE27=0,'Parte Estrategica'!AE27=""),0,IF(VLOOKUP($A27,'Matriz de Referencia'!$B$2:$CO$584,30,FALSE)=0,0,"Digite"))</f>
        <v>0</v>
      </c>
      <c r="AZ27" s="456">
        <f>IF(OR('Parte Estrategica'!AE27=0,'Parte Estrategica'!AE27=""),0,IF(VLOOKUP($A27,'Matriz de Referencia'!$B$2:$CO$584,31,FALSE)=0,0,"Digite"))</f>
        <v>0</v>
      </c>
      <c r="BA27" s="456">
        <f>IF(OR('Parte Estrategica'!AE27=0,'Parte Estrategica'!AE27=""),0,IF(VLOOKUP($A27,'Matriz de Referencia'!$B$2:$CO$584,32,FALSE)=0,0,"Digite"))</f>
        <v>0</v>
      </c>
      <c r="BB27" s="457">
        <f t="shared" si="9"/>
        <v>0</v>
      </c>
      <c r="BC27" s="456">
        <f>IF(OR('Parte Estrategica'!AE27=0,'Parte Estrategica'!AE27=""),0,IF(VLOOKUP($A27,'Matriz de Referencia'!$B$2:$CO$584,34,FALSE)=0,0,"Digite"))</f>
        <v>0</v>
      </c>
      <c r="BD27" s="456">
        <f>IF(OR('Parte Estrategica'!AE27=0,'Parte Estrategica'!AE27=""),0,IF(VLOOKUP($A27,'Matriz de Referencia'!$B$2:$CO$584,35,FALSE)=0,0,"Digite"))</f>
        <v>0</v>
      </c>
      <c r="BE27" s="456">
        <f>IF(OR('Parte Estrategica'!AE27=0,'Parte Estrategica'!AE27=""),0,IF(VLOOKUP($A27,'Matriz de Referencia'!$B$2:$CO$584,36,FALSE)=0,0,"Digite"))</f>
        <v>0</v>
      </c>
      <c r="BF27" s="457">
        <f t="shared" si="10"/>
        <v>0</v>
      </c>
      <c r="BG27" s="457">
        <f t="shared" si="11"/>
        <v>0</v>
      </c>
      <c r="BH27" s="457">
        <f t="shared" si="12"/>
        <v>0</v>
      </c>
      <c r="BI27" s="101" t="str">
        <f>IFERROR(IF(BH27=0,"",IF(VLOOKUP($A27,'Matriz de Referencia'!$B$2:$CO$584,'Matriz de Referencia'!AM$1,FALSE)=BH27,"Techos ok, cotinue","Debe revisar el valor programado")),"")</f>
        <v/>
      </c>
      <c r="BJ27" s="453">
        <f>IF(OR('Parte Estrategica'!AH27=0,'Parte Estrategica'!AH27=""),0,IF(VLOOKUP($A27,'Matriz de Referencia'!$B$2:$CO$584,39,FALSE)=0,0,"Digite"))</f>
        <v>0</v>
      </c>
      <c r="BK27" s="454">
        <f>IF(OR('Parte Estrategica'!AH27=0,'Parte Estrategica'!AH27=""),0,IF(VLOOKUP($A27,'Matriz de Referencia'!$B$2:$CO$584,40,FALSE)=0,0,"Digite"))</f>
        <v>0</v>
      </c>
      <c r="BL27" s="454">
        <f>IF(OR('Parte Estrategica'!AH27=0,'Parte Estrategica'!AH27=""),0,IF(VLOOKUP($A27,'Matriz de Referencia'!$B$2:$CO$584,41,FALSE)=0,0,"Digite"))</f>
        <v>0</v>
      </c>
      <c r="BM27" s="454">
        <f>IF(OR('Parte Estrategica'!AH27=0,'Parte Estrategica'!AH27=""),0,IF(VLOOKUP($A27,'Matriz de Referencia'!$B$2:$CO$584,42,FALSE)=0,0,"Digite"))</f>
        <v>0</v>
      </c>
      <c r="BN27" s="454">
        <f>IF(OR('Parte Estrategica'!AH27=0,'Parte Estrategica'!AH27=""),0,IF(VLOOKUP($A27,'Matriz de Referencia'!$B$2:$CO$584,43,FALSE)=0,0,"Digite"))</f>
        <v>0</v>
      </c>
      <c r="BO27" s="454">
        <f>IF(OR('Parte Estrategica'!AH27=0,'Parte Estrategica'!AH27=""),0,IF(VLOOKUP($A27,'Matriz de Referencia'!$B$2:$CO$584,44,FALSE)=0,0,"Digite"))</f>
        <v>0</v>
      </c>
      <c r="BP27" s="454">
        <f>IF(OR('Parte Estrategica'!AH27=0,'Parte Estrategica'!AH27=""),0,IF(VLOOKUP($A27,'Matriz de Referencia'!$B$2:$CO$584,45,FALSE)=0,0,"Digite"))</f>
        <v>0</v>
      </c>
      <c r="BQ27" s="454">
        <f>IF(OR('Parte Estrategica'!AH27=0,'Parte Estrategica'!AH27=""),0,IF(VLOOKUP($A27,'Matriz de Referencia'!$B$2:$CO$584,46,FALSE)=0,0,"Digite"))</f>
        <v>0</v>
      </c>
      <c r="BR27" s="382">
        <f t="shared" si="13"/>
        <v>0</v>
      </c>
      <c r="BS27" s="454">
        <f>IF(OR('Parte Estrategica'!CL27=0,'Parte Estrategica'!CL27=""),0,IF(VLOOKUP($A27,'Matriz de Referencia'!$B$2:$CO$584,48,FALSE)=0,0,"Digite"))</f>
        <v>0</v>
      </c>
      <c r="BT27" s="454">
        <f>IF(OR('Parte Estrategica'!CL27=0,'Parte Estrategica'!CL27=""),0,IF(VLOOKUP($A27,'Matriz de Referencia'!$B$2:$CO$584,49,FALSE)=0,0,"Digite"))</f>
        <v>0</v>
      </c>
      <c r="BU27" s="454">
        <f>IF(OR('Parte Estrategica'!CL27=0,'Parte Estrategica'!CL27=""),0,IF(VLOOKUP($A27,'Matriz de Referencia'!$B$2:$CO$584,50,FALSE)=0,0,"Digite"))</f>
        <v>0</v>
      </c>
      <c r="BV27" s="382">
        <f t="shared" si="14"/>
        <v>0</v>
      </c>
      <c r="BW27" s="382">
        <f t="shared" si="15"/>
        <v>0</v>
      </c>
      <c r="BX27" s="453">
        <f>IF(OR('Parte Estrategica'!AI27=0,'Parte Estrategica'!AI27=""),0,IF(VLOOKUP($A27,'Matriz de Referencia'!$B$2:$CO$584,39,FALSE)=0,0,"Digite"))</f>
        <v>0</v>
      </c>
      <c r="BY27" s="454">
        <f>IF(OR('Parte Estrategica'!AI27=0,'Parte Estrategica'!AI27=""),0,IF(VLOOKUP($A27,'Matriz de Referencia'!$B$2:$CO$584,40,FALSE)=0,0,"Digite"))</f>
        <v>0</v>
      </c>
      <c r="BZ27" s="454">
        <f>IF(OR('Parte Estrategica'!AI27=0,'Parte Estrategica'!AI27=""),0,IF(VLOOKUP($A27,'Matriz de Referencia'!$B$2:$CO$584,41,FALSE)=0,0,"Digite"))</f>
        <v>0</v>
      </c>
      <c r="CA27" s="454">
        <f>IF(OR('Parte Estrategica'!AI27=0,'Parte Estrategica'!AI27=""),0,IF(VLOOKUP($A27,'Matriz de Referencia'!$B$2:$CO$584,42,FALSE)=0,0,"Digite"))</f>
        <v>0</v>
      </c>
      <c r="CB27" s="454">
        <f>IF(OR('Parte Estrategica'!AI27=0,'Parte Estrategica'!AI27=""),0,IF(VLOOKUP($A27,'Matriz de Referencia'!$B$2:$CO$584,43,FALSE)=0,0,"Digite"))</f>
        <v>0</v>
      </c>
      <c r="CC27" s="454">
        <f>IF(OR('Parte Estrategica'!AI27=0,'Parte Estrategica'!AI27=""),0,IF(VLOOKUP($A27,'Matriz de Referencia'!$B$2:$CO$584,44,FALSE)=0,0,"Digite"))</f>
        <v>0</v>
      </c>
      <c r="CD27" s="454">
        <f>IF(OR('Parte Estrategica'!AI27=0,'Parte Estrategica'!AI27=""),0,IF(VLOOKUP($A27,'Matriz de Referencia'!$B$2:$CO$584,45,FALSE)=0,0,"Digite"))</f>
        <v>0</v>
      </c>
      <c r="CE27" s="454">
        <f>IF(OR('Parte Estrategica'!AI27=0,'Parte Estrategica'!AI27=""),0,IF(VLOOKUP($A27,'Matriz de Referencia'!$B$2:$CO$584,46,FALSE)=0,0,"Digite"))</f>
        <v>0</v>
      </c>
      <c r="CF27" s="382">
        <f t="shared" si="16"/>
        <v>0</v>
      </c>
      <c r="CG27" s="454">
        <f>IF(OR('Parte Estrategica'!AI27=0,'Parte Estrategica'!AI27=""),0,IF(VLOOKUP($A27,'Matriz de Referencia'!$B$2:$CO$584,48,FALSE)=0,0,"Digite"))</f>
        <v>0</v>
      </c>
      <c r="CH27" s="454">
        <f>IF(OR('Parte Estrategica'!AI27=0,'Parte Estrategica'!AI27=""),0,IF(VLOOKUP($A27,'Matriz de Referencia'!$B$2:$CO$584,49,FALSE)=0,0,"Digite"))</f>
        <v>0</v>
      </c>
      <c r="CI27" s="454">
        <f>IF(OR('Parte Estrategica'!AI27=0,'Parte Estrategica'!AI27=""),0,IF(VLOOKUP($A27,'Matriz de Referencia'!$B$2:$CO$584,50,FALSE)=0,0,"Digite"))</f>
        <v>0</v>
      </c>
      <c r="CJ27" s="382">
        <f t="shared" si="17"/>
        <v>0</v>
      </c>
      <c r="CK27" s="382">
        <f t="shared" si="18"/>
        <v>0</v>
      </c>
      <c r="CL27" s="453">
        <f>IF(OR('Parte Estrategica'!AJ27=0,'Parte Estrategica'!AJ27=""),0,IF(VLOOKUP($A27,'Matriz de Referencia'!$B$2:$CO$584,39,FALSE)=0,0,"Digite"))</f>
        <v>0</v>
      </c>
      <c r="CM27" s="454">
        <f>IF(OR('Parte Estrategica'!AJ27=0,'Parte Estrategica'!AJ27=""),0,IF(VLOOKUP($A27,'Matriz de Referencia'!$B$2:$CO$584,40,FALSE)=0,0,"Digite"))</f>
        <v>0</v>
      </c>
      <c r="CN27" s="454">
        <f>IF(OR('Parte Estrategica'!AJ27=0,'Parte Estrategica'!AJ27=""),0,IF(VLOOKUP($A27,'Matriz de Referencia'!$B$2:$CO$584,41,FALSE)=0,0,"Digite"))</f>
        <v>0</v>
      </c>
      <c r="CO27" s="454">
        <f>IF(OR('Parte Estrategica'!AJ27=0,'Parte Estrategica'!AJ27=""),0,IF(VLOOKUP($A27,'Matriz de Referencia'!$B$2:$CO$584,42,FALSE)=0,0,"Digite"))</f>
        <v>0</v>
      </c>
      <c r="CP27" s="454">
        <f>IF(OR('Parte Estrategica'!AJ27=0,'Parte Estrategica'!AJ27=""),0,IF(VLOOKUP($A27,'Matriz de Referencia'!$B$2:$CO$584,43,FALSE)=0,0,"Digite"))</f>
        <v>0</v>
      </c>
      <c r="CQ27" s="454">
        <f>IF(OR('Parte Estrategica'!AJ27=0,'Parte Estrategica'!AJ27=""),0,IF(VLOOKUP($A27,'Matriz de Referencia'!$B$2:$CO$584,44,FALSE)=0,0,"Digite"))</f>
        <v>0</v>
      </c>
      <c r="CR27" s="454">
        <f>IF(OR('Parte Estrategica'!AJ27=0,'Parte Estrategica'!AJ27=""),0,IF(VLOOKUP($A27,'Matriz de Referencia'!$B$2:$CO$584,45,FALSE)=0,0,"Digite"))</f>
        <v>0</v>
      </c>
      <c r="CS27" s="454">
        <f>IF(OR('Parte Estrategica'!AJ27=0,'Parte Estrategica'!AJ27=""),0,IF(VLOOKUP($A27,'Matriz de Referencia'!$B$2:$CO$584,46,FALSE)=0,0,"Digite"))</f>
        <v>0</v>
      </c>
      <c r="CT27" s="382">
        <f t="shared" si="19"/>
        <v>0</v>
      </c>
      <c r="CU27" s="454">
        <f>IF(OR('Parte Estrategica'!AJ27=0,'Parte Estrategica'!AJ27=""),0,IF(VLOOKUP($A27,'Matriz de Referencia'!$B$2:$CO$584,48,FALSE)=0,0,"Digite"))</f>
        <v>0</v>
      </c>
      <c r="CV27" s="454">
        <f>IF(OR('Parte Estrategica'!AJ27=0,'Parte Estrategica'!AJ27=""),0,IF(VLOOKUP($A27,'Matriz de Referencia'!$B$2:$CO$584,49,FALSE)=0,0,"Digite"))</f>
        <v>0</v>
      </c>
      <c r="CW27" s="454">
        <f>IF(OR('Parte Estrategica'!AJ27=0,'Parte Estrategica'!AJ27=""),0,IF(VLOOKUP($A27,'Matriz de Referencia'!$B$2:$CO$584,50,FALSE)=0,0,"Digite"))</f>
        <v>0</v>
      </c>
      <c r="CX27" s="382">
        <f t="shared" si="20"/>
        <v>0</v>
      </c>
      <c r="CY27" s="382">
        <f t="shared" si="21"/>
        <v>0</v>
      </c>
      <c r="CZ27" s="453">
        <f>IF(OR('Parte Estrategica'!AK27=0,'Parte Estrategica'!AK27=""),0,IF(VLOOKUP($A27,'Matriz de Referencia'!$B$2:$CO$584,39,FALSE)=0,0,"Digite"))</f>
        <v>0</v>
      </c>
      <c r="DA27" s="454">
        <f>IF(OR('Parte Estrategica'!AK27=0,'Parte Estrategica'!AK27=""),0,IF(VLOOKUP($A27,'Matriz de Referencia'!$B$2:$CO$584,40,FALSE)=0,0,"Digite"))</f>
        <v>0</v>
      </c>
      <c r="DB27" s="454">
        <f>IF(OR('Parte Estrategica'!AK27=0,'Parte Estrategica'!AK27=""),0,IF(VLOOKUP($A27,'Matriz de Referencia'!$B$2:$CO$584,41,FALSE)=0,0,"Digite"))</f>
        <v>0</v>
      </c>
      <c r="DC27" s="454">
        <f>IF(OR('Parte Estrategica'!AK27=0,'Parte Estrategica'!AK27=""),0,IF(VLOOKUP($A27,'Matriz de Referencia'!$B$2:$CO$584,42,FALSE)=0,0,"Digite"))</f>
        <v>0</v>
      </c>
      <c r="DD27" s="454">
        <f>IF(OR('Parte Estrategica'!AK27=0,'Parte Estrategica'!AK27=""),0,IF(VLOOKUP($A27,'Matriz de Referencia'!$B$2:$CO$584,43,FALSE)=0,0,"Digite"))</f>
        <v>0</v>
      </c>
      <c r="DE27" s="454">
        <f>IF(OR('Parte Estrategica'!AK27=0,'Parte Estrategica'!AK27=""),0,IF(VLOOKUP($A27,'Matriz de Referencia'!$B$2:$CO$584,44,FALSE)=0,0,"Digite"))</f>
        <v>0</v>
      </c>
      <c r="DF27" s="454">
        <f>IF(OR('Parte Estrategica'!AK27=0,'Parte Estrategica'!AK27=""),0,IF(VLOOKUP($A27,'Matriz de Referencia'!$B$2:$CO$584,45,FALSE)=0,0,"Digite"))</f>
        <v>0</v>
      </c>
      <c r="DG27" s="454">
        <f>IF(OR('Parte Estrategica'!AK27=0,'Parte Estrategica'!AK27=""),0,IF(VLOOKUP($A27,'Matriz de Referencia'!$B$2:$CO$584,46,FALSE)=0,0,"Digite"))</f>
        <v>0</v>
      </c>
      <c r="DH27" s="382">
        <f t="shared" si="22"/>
        <v>0</v>
      </c>
      <c r="DI27" s="454">
        <f>IF(OR('Parte Estrategica'!AK27=0,'Parte Estrategica'!AK27=""),0,IF(VLOOKUP($A27,'Matriz de Referencia'!$B$2:$CO$584,48,FALSE)=0,0,"Digite"))</f>
        <v>0</v>
      </c>
      <c r="DJ27" s="454">
        <f>IF(OR('Parte Estrategica'!AK27=0,'Parte Estrategica'!AK27=""),0,IF(VLOOKUP($A27,'Matriz de Referencia'!$B$2:$CO$584,49,FALSE)=0,0,"Digite"))</f>
        <v>0</v>
      </c>
      <c r="DK27" s="454">
        <f>IF(OR('Parte Estrategica'!AK27=0,'Parte Estrategica'!AK27=""),0,IF(VLOOKUP($A27,'Matriz de Referencia'!$B$2:$CO$584,50,FALSE)=0,0,"Digite"))</f>
        <v>0</v>
      </c>
      <c r="DL27" s="382">
        <f t="shared" si="23"/>
        <v>0</v>
      </c>
      <c r="DM27" s="382">
        <f t="shared" si="24"/>
        <v>0</v>
      </c>
      <c r="DN27" s="382">
        <f t="shared" si="25"/>
        <v>0</v>
      </c>
      <c r="DO27" s="101" t="str">
        <f>IFERROR(IF(DN27=0,"",IF(VLOOKUP($A27,'Matriz de Referencia'!$B$2:$CO$584,52,FALSE)=DN27,"Techos ok, cotinue","Debe revisar el valor programado")),"")</f>
        <v/>
      </c>
      <c r="DP27" s="453">
        <f>IF(OR('Parte Estrategica'!AN27=0,'Parte Estrategica'!AN27=""),0,IF(VLOOKUP($A27,'Matriz de Referencia'!$B$2:$CO$584,53,FALSE)=0,0,"Digite"))</f>
        <v>0</v>
      </c>
      <c r="DQ27" s="454">
        <f>IF(OR('Parte Estrategica'!AN27=0,'Parte Estrategica'!AN27=""),0,IF(VLOOKUP($A27,'Matriz de Referencia'!$B$2:$CO$584,54,FALSE)=0,0,"Digite"))</f>
        <v>0</v>
      </c>
      <c r="DR27" s="454">
        <f>IF(OR('Parte Estrategica'!AN27=0,'Parte Estrategica'!AN27=""),0,IF(VLOOKUP($A27,'Matriz de Referencia'!$B$2:$CO$584,55,FALSE)=0,0,"Digite"))</f>
        <v>0</v>
      </c>
      <c r="DS27" s="454">
        <f>IF(OR('Parte Estrategica'!AN27=0,'Parte Estrategica'!AN27=""),0,IF(VLOOKUP($A27,'Matriz de Referencia'!$B$2:$CO$584,56,FALSE)=0,0,"Digite"))</f>
        <v>0</v>
      </c>
      <c r="DT27" s="454">
        <f>IF(OR('Parte Estrategica'!AN27=0,'Parte Estrategica'!AN27=""),0,IF(VLOOKUP($A27,'Matriz de Referencia'!$B$2:$CO$584,57,FALSE)=0,0,"Digite"))</f>
        <v>0</v>
      </c>
      <c r="DU27" s="454">
        <f>IF(OR('Parte Estrategica'!AN27=0,'Parte Estrategica'!AN27=""),0,IF(VLOOKUP($A27,'Matriz de Referencia'!$B$2:$CO$584,58,FALSE)=0,0,"Digite"))</f>
        <v>0</v>
      </c>
      <c r="DV27" s="454">
        <f>IF(OR('Parte Estrategica'!AN27=0,'Parte Estrategica'!AN27=""),0,IF(VLOOKUP($A27,'Matriz de Referencia'!$B$2:$CO$584,59,FALSE)=0,0,"Digite"))</f>
        <v>0</v>
      </c>
      <c r="DW27" s="454">
        <f>IF(OR('Parte Estrategica'!AN27=0,'Parte Estrategica'!AN27=""),0,IF(VLOOKUP($A27,'Matriz de Referencia'!$B$2:$CO$584,60,FALSE)=0,0,"Digite"))</f>
        <v>0</v>
      </c>
      <c r="DX27" s="382">
        <f t="shared" si="26"/>
        <v>0</v>
      </c>
      <c r="DY27" s="454">
        <f>IF(OR('Parte Estrategica'!AN27=0,'Parte Estrategica'!AN27=""),0,IF(VLOOKUP($A27,'Matriz de Referencia'!$B$2:$CO$584,62,FALSE)=0,0,"Digite"))</f>
        <v>0</v>
      </c>
      <c r="DZ27" s="454">
        <f>IF(OR('Parte Estrategica'!AN27=0,'Parte Estrategica'!AN27=""),0,IF(VLOOKUP($A27,'Matriz de Referencia'!$B$2:$CO$584,63,FALSE)=0,0,"Digite"))</f>
        <v>0</v>
      </c>
      <c r="EA27" s="454" t="str">
        <f>IF(OR('Parte Estrategica'!AN27=0,'Parte Estrategica'!AN27=""),"",IF(VLOOKUP($A27,'Matriz de Referencia'!$B$2:$CO$584,64,FALSE)=0,"","Digite"))</f>
        <v/>
      </c>
      <c r="EB27" s="382">
        <f t="shared" si="27"/>
        <v>0</v>
      </c>
      <c r="EC27" s="382">
        <f t="shared" si="28"/>
        <v>0</v>
      </c>
      <c r="ED27" s="453">
        <f>IF(OR('Parte Estrategica'!AO27=0,'Parte Estrategica'!AO27=""),0,IF(VLOOKUP($A27,'Matriz de Referencia'!$B$2:$CO$584,53,FALSE)=0,0,"Digite"))</f>
        <v>0</v>
      </c>
      <c r="EE27" s="454">
        <f>IF(OR('Parte Estrategica'!AO27=0,'Parte Estrategica'!AO27=""),0,IF(VLOOKUP($A27,'Matriz de Referencia'!$B$2:$CO$584,54,FALSE)=0,0,"Digite"))</f>
        <v>0</v>
      </c>
      <c r="EF27" s="454">
        <f>IF(OR('Parte Estrategica'!AO27=0,'Parte Estrategica'!AO27=""),0,IF(VLOOKUP($A27,'Matriz de Referencia'!$B$2:$CO$584,55,FALSE)=0,0,"Digite"))</f>
        <v>0</v>
      </c>
      <c r="EG27" s="454">
        <f>IF(OR('Parte Estrategica'!AO27=0,'Parte Estrategica'!AO27=""),0,IF(VLOOKUP($A27,'Matriz de Referencia'!$B$2:$CO$584,56,FALSE)=0,0,"Digite"))</f>
        <v>0</v>
      </c>
      <c r="EH27" s="454">
        <f>IF(OR('Parte Estrategica'!AO27=0,'Parte Estrategica'!AO27=""),0,IF(VLOOKUP($A27,'Matriz de Referencia'!$B$2:$CO$584,57,FALSE)=0,0,"Digite"))</f>
        <v>0</v>
      </c>
      <c r="EI27" s="454">
        <f>IF(OR('Parte Estrategica'!AO27=0,'Parte Estrategica'!AO27=""),0,IF(VLOOKUP($A27,'Matriz de Referencia'!$B$2:$CO$584,58,FALSE)=0,0,"Digite"))</f>
        <v>0</v>
      </c>
      <c r="EJ27" s="454">
        <f>IF(OR('Parte Estrategica'!AO27=0,'Parte Estrategica'!AO27=""),0,IF(VLOOKUP($A27,'Matriz de Referencia'!$B$2:$CO$584,59,FALSE)=0,0,"Digite"))</f>
        <v>0</v>
      </c>
      <c r="EK27" s="454">
        <f>IF(OR('Parte Estrategica'!AO27=0,'Parte Estrategica'!AO27=""),0,IF(VLOOKUP($A27,'Matriz de Referencia'!$B$2:$CO$584,60,FALSE)=0,0,"Digite"))</f>
        <v>0</v>
      </c>
      <c r="EL27" s="382">
        <f t="shared" si="29"/>
        <v>0</v>
      </c>
      <c r="EM27" s="454">
        <f>IF(OR('Parte Estrategica'!AO27=0,'Parte Estrategica'!AO27=""),0,IF(VLOOKUP($A27,'Matriz de Referencia'!$B$2:$CO$584,62,FALSE)=0,0,"Digite"))</f>
        <v>0</v>
      </c>
      <c r="EN27" s="454">
        <f>IF(OR('Parte Estrategica'!AO27=0,'Parte Estrategica'!AO27=""),0,IF(VLOOKUP($A27,'Matriz de Referencia'!$B$2:$CO$584,63,FALSE)=0,0,"Digite"))</f>
        <v>0</v>
      </c>
      <c r="EO27" s="454">
        <f>IF(OR('Parte Estrategica'!AO27=0,'Parte Estrategica'!AO27=""),0,IF(VLOOKUP($A27,'Matriz de Referencia'!$B$2:$CO$584,64,FALSE)=0,0,"Digite"))</f>
        <v>0</v>
      </c>
      <c r="EP27" s="382">
        <f t="shared" si="30"/>
        <v>0</v>
      </c>
      <c r="EQ27" s="382">
        <f t="shared" si="31"/>
        <v>0</v>
      </c>
      <c r="ER27" s="453">
        <f>IF(OR('Parte Estrategica'!AP27=0,'Parte Estrategica'!AP27=""),0,IF(VLOOKUP($A27,'Matriz de Referencia'!$B$2:$CO$584,53,FALSE)=0,0,"Digite"))</f>
        <v>0</v>
      </c>
      <c r="ES27" s="454">
        <f>IF(OR('Parte Estrategica'!AP27=0,'Parte Estrategica'!AP27=""),0,IF(VLOOKUP($A27,'Matriz de Referencia'!$B$2:$CO$584,54,FALSE)=0,0,"Digite"))</f>
        <v>0</v>
      </c>
      <c r="ET27" s="454">
        <f>IF(OR('Parte Estrategica'!AP27=0,'Parte Estrategica'!AP27=""),0,IF(VLOOKUP($A27,'Matriz de Referencia'!$B$2:$CO$584,55,FALSE)=0,0,"Digite"))</f>
        <v>0</v>
      </c>
      <c r="EU27" s="454">
        <f>IF(OR('Parte Estrategica'!AP27=0,'Parte Estrategica'!AP27=""),0,IF(VLOOKUP($A27,'Matriz de Referencia'!$B$2:$CO$584,56,FALSE)=0,0,"Digite"))</f>
        <v>0</v>
      </c>
      <c r="EV27" s="454">
        <f>IF(OR('Parte Estrategica'!AP27=0,'Parte Estrategica'!AP27=""),0,IF(VLOOKUP($A27,'Matriz de Referencia'!$B$2:$CO$584,57,FALSE)=0,0,"Digite"))</f>
        <v>0</v>
      </c>
      <c r="EW27" s="454">
        <f>IF(OR('Parte Estrategica'!AP27=0,'Parte Estrategica'!AP27=""),0,IF(VLOOKUP($A27,'Matriz de Referencia'!$B$2:$CO$584,58,FALSE)=0,0,"Digite"))</f>
        <v>0</v>
      </c>
      <c r="EX27" s="454">
        <f>IF(OR('Parte Estrategica'!AP27=0,'Parte Estrategica'!AP27=""),0,IF(VLOOKUP($A27,'Matriz de Referencia'!$B$2:$CO$584,59,FALSE)=0,0,"Digite"))</f>
        <v>0</v>
      </c>
      <c r="EY27" s="454">
        <f>IF(OR('Parte Estrategica'!AP27=0,'Parte Estrategica'!AP27=""),0,IF(VLOOKUP($A27,'Matriz de Referencia'!$B$2:$CO$584,60,FALSE)=0,0,"Digite"))</f>
        <v>0</v>
      </c>
      <c r="EZ27" s="382">
        <f t="shared" si="32"/>
        <v>0</v>
      </c>
      <c r="FA27" s="454">
        <f>IF(OR('Parte Estrategica'!AP27=0,'Parte Estrategica'!AP27=""),0,IF(VLOOKUP($A27,'Matriz de Referencia'!$B$2:$CO$584,62,FALSE)=0,0,"Digite"))</f>
        <v>0</v>
      </c>
      <c r="FB27" s="454">
        <f>IF(OR('Parte Estrategica'!AP27=0,'Parte Estrategica'!AP27=""),0,IF(VLOOKUP($A27,'Matriz de Referencia'!$B$2:$CO$584,63,FALSE)=0,0,"Digite"))</f>
        <v>0</v>
      </c>
      <c r="FC27" s="454">
        <f>IF(OR('Parte Estrategica'!AP27=0,'Parte Estrategica'!AP27=""),0,IF(VLOOKUP($A27,'Matriz de Referencia'!$B$2:$CO$584,64,FALSE)=0,0,"Digite"))</f>
        <v>0</v>
      </c>
      <c r="FD27" s="382">
        <f t="shared" si="33"/>
        <v>0</v>
      </c>
      <c r="FE27" s="382">
        <f t="shared" si="34"/>
        <v>0</v>
      </c>
      <c r="FF27" s="453">
        <f>IF(OR('Parte Estrategica'!AQ27=0,'Parte Estrategica'!AQ27=""),0,IF(VLOOKUP($A27,'Matriz de Referencia'!$B$2:$CO$584,53,FALSE)=0,0,"Digite"))</f>
        <v>0</v>
      </c>
      <c r="FG27" s="454">
        <f>IF(OR('Parte Estrategica'!AQ27=0,'Parte Estrategica'!AQ27=""),0,IF(VLOOKUP($A27,'Matriz de Referencia'!$B$2:$CO$584,54,FALSE)=0,0,"Digite"))</f>
        <v>0</v>
      </c>
      <c r="FH27" s="454">
        <f>IF(OR('Parte Estrategica'!AQ27=0,'Parte Estrategica'!AQ27=""),0,IF(VLOOKUP($A27,'Matriz de Referencia'!$B$2:$CO$584,55,FALSE)=0,0,"Digite"))</f>
        <v>0</v>
      </c>
      <c r="FI27" s="454">
        <f>IF(OR('Parte Estrategica'!AQ27=0,'Parte Estrategica'!AQ27=""),0,IF(VLOOKUP($A27,'Matriz de Referencia'!$B$2:$CO$584,56,FALSE)=0,0,"Digite"))</f>
        <v>0</v>
      </c>
      <c r="FJ27" s="454">
        <f>IF(OR('Parte Estrategica'!AQ27=0,'Parte Estrategica'!AQ27=""),0,IF(VLOOKUP($A27,'Matriz de Referencia'!$B$2:$CO$584,57,FALSE)=0,0,"Digite"))</f>
        <v>0</v>
      </c>
      <c r="FK27" s="454">
        <f>IF(OR('Parte Estrategica'!AQ27=0,'Parte Estrategica'!AQ27=""),0,IF(VLOOKUP($A27,'Matriz de Referencia'!$B$2:$CO$584,58,FALSE)=0,0,"Digite"))</f>
        <v>0</v>
      </c>
      <c r="FL27" s="454">
        <f>IF(OR('Parte Estrategica'!AQ27=0,'Parte Estrategica'!AQ27=""),0,IF(VLOOKUP($A27,'Matriz de Referencia'!$B$2:$CO$584,59,FALSE)=0,0,"Digite"))</f>
        <v>0</v>
      </c>
      <c r="FM27" s="454">
        <f>IF(OR('Parte Estrategica'!AQ27=0,'Parte Estrategica'!AQ27=""),0,IF(VLOOKUP($A27,'Matriz de Referencia'!$B$2:$CO$584,60,FALSE)=0,0,"Digite"))</f>
        <v>0</v>
      </c>
      <c r="FN27" s="382">
        <f t="shared" si="35"/>
        <v>0</v>
      </c>
      <c r="FO27" s="454">
        <f>IF(OR('Parte Estrategica'!AQ27=0,'Parte Estrategica'!AQ27=""),0,IF(VLOOKUP($A27,'Matriz de Referencia'!$B$2:$CO$584,62,FALSE)=0,0,"Digite"))</f>
        <v>0</v>
      </c>
      <c r="FP27" s="454">
        <f>IF(OR('Parte Estrategica'!AQ27=0,'Parte Estrategica'!AQ27=""),0,IF(VLOOKUP($A27,'Matriz de Referencia'!$B$2:$CO$584,63,FALSE)=0,0,"Digite"))</f>
        <v>0</v>
      </c>
      <c r="FQ27" s="454">
        <f>IF(OR('Parte Estrategica'!AQ27=0,'Parte Estrategica'!AQ27=""),0,IF(VLOOKUP($A27,'Matriz de Referencia'!$B$2:$CO$584,64,FALSE)=0,0,"Digite"))</f>
        <v>0</v>
      </c>
      <c r="FR27" s="382">
        <f t="shared" si="36"/>
        <v>0</v>
      </c>
      <c r="FS27" s="382">
        <f t="shared" si="37"/>
        <v>0</v>
      </c>
      <c r="FT27" s="382">
        <f t="shared" si="38"/>
        <v>0</v>
      </c>
      <c r="FU27" s="101" t="str">
        <f>IFERROR(IF(FT27=0,"",IF(VLOOKUP($A27,'Matriz de Referencia'!$B$2:$CO$584,66,FALSE)=FT27,"Techos ok, cotinue","Debe revisar el valor programado")),"")</f>
        <v/>
      </c>
      <c r="FV27" s="453">
        <f>IF(OR('Parte Estrategica'!AT27=0,'Parte Estrategica'!AT27=""),0,IF(VLOOKUP($A27,'Matriz de Referencia'!$B$2:$CO$584,67,FALSE)=0,0,"Digite"))</f>
        <v>0</v>
      </c>
      <c r="FW27" s="454">
        <f>IF(OR('Parte Estrategica'!AT27=0,'Parte Estrategica'!AT27=""),0,IF(VLOOKUP($A27,'Matriz de Referencia'!$B$2:$CO$584,68,FALSE)=0,0,"Digite"))</f>
        <v>0</v>
      </c>
      <c r="FX27" s="454">
        <f>IF(OR('Parte Estrategica'!AT27=0,'Parte Estrategica'!AT27=""),0,IF(VLOOKUP($A27,'Matriz de Referencia'!$B$2:$CO$584,69,FALSE)=0,0,"Digite"))</f>
        <v>0</v>
      </c>
      <c r="FY27" s="454">
        <f>IF(OR('Parte Estrategica'!AT27=0,'Parte Estrategica'!AT27=""),0,IF(VLOOKUP($A27,'Matriz de Referencia'!$B$2:$CO$584,70,FALSE)=0,0,"Digite"))</f>
        <v>0</v>
      </c>
      <c r="FZ27" s="454">
        <f>IF(OR('Parte Estrategica'!AT27=0,'Parte Estrategica'!AT27=""),0,IF(VLOOKUP($A27,'Matriz de Referencia'!$B$2:$CO$584,71,FALSE)=0,0,"Digite"))</f>
        <v>0</v>
      </c>
      <c r="GA27" s="454">
        <f>IF(OR('Parte Estrategica'!AT27=0,'Parte Estrategica'!AT27=""),0,IF(VLOOKUP($A27,'Matriz de Referencia'!$B$2:$CO$584,72,FALSE)=0,0,"Digite"))</f>
        <v>0</v>
      </c>
      <c r="GB27" s="454">
        <f>IF(OR('Parte Estrategica'!AT27=0,'Parte Estrategica'!AT27=""),0,IF(VLOOKUP($A27,'Matriz de Referencia'!$B$2:$CO$584,73,FALSE)=0,0,"Digite"))</f>
        <v>0</v>
      </c>
      <c r="GC27" s="454">
        <f>IF(OR('Parte Estrategica'!AT27=0,'Parte Estrategica'!AT27=""),0,IF(VLOOKUP($A27,'Matriz de Referencia'!$B$2:$CO$584,74,FALSE)=0,0,"Digite"))</f>
        <v>0</v>
      </c>
      <c r="GD27" s="382">
        <f t="shared" si="39"/>
        <v>0</v>
      </c>
      <c r="GE27" s="454">
        <f>IF(OR('Parte Estrategica'!AT27=0,'Parte Estrategica'!AT27=""),0,IF(VLOOKUP($A27,'Matriz de Referencia'!$B$2:$CO$584,76,FALSE)=0,0,"Digite"))</f>
        <v>0</v>
      </c>
      <c r="GF27" s="454">
        <f>IF(OR('Parte Estrategica'!AT27=0,'Parte Estrategica'!AT27=""),0,IF(VLOOKUP($A27,'Matriz de Referencia'!$B$2:$CO$584,77,FALSE)=0,0,"Digite"))</f>
        <v>0</v>
      </c>
      <c r="GG27" s="454">
        <f>IF(OR('Parte Estrategica'!AT27=0,'Parte Estrategica'!AT27=""),0,IF(VLOOKUP($A27,'Matriz de Referencia'!$B$2:$CO$584,78,FALSE)=0,0,"Digite"))</f>
        <v>0</v>
      </c>
      <c r="GH27" s="382">
        <f t="shared" si="40"/>
        <v>0</v>
      </c>
      <c r="GI27" s="382">
        <f t="shared" si="41"/>
        <v>0</v>
      </c>
      <c r="GJ27" s="453">
        <f>IF(OR('Parte Estrategica'!AU27=0,'Parte Estrategica'!AU27=""),0,IF(VLOOKUP($A27,'Matriz de Referencia'!$B$2:$CO$584,67,FALSE)=0,0,"Digite"))</f>
        <v>0</v>
      </c>
      <c r="GK27" s="454">
        <f>IF(OR('Parte Estrategica'!AU27=0,'Parte Estrategica'!AU27=""),0,IF(VLOOKUP($A27,'Matriz de Referencia'!$B$2:$CO$584,68,FALSE)=0,0,"Digite"))</f>
        <v>0</v>
      </c>
      <c r="GL27" s="454">
        <f>IF(OR('Parte Estrategica'!AU27=0,'Parte Estrategica'!AU27=""),0,IF(VLOOKUP($A27,'Matriz de Referencia'!$B$2:$CO$584,69,FALSE)=0,0,"Digite"))</f>
        <v>0</v>
      </c>
      <c r="GM27" s="454">
        <f>IF(OR('Parte Estrategica'!AU27=0,'Parte Estrategica'!AU27=""),0,IF(VLOOKUP($A27,'Matriz de Referencia'!$B$2:$CO$584,70,FALSE)=0,0,"Digite"))</f>
        <v>0</v>
      </c>
      <c r="GN27" s="454">
        <f>IF(OR('Parte Estrategica'!AU27=0,'Parte Estrategica'!AU27=""),0,IF(VLOOKUP($A27,'Matriz de Referencia'!$B$2:$CO$584,71,FALSE)=0,0,"Digite"))</f>
        <v>0</v>
      </c>
      <c r="GO27" s="454">
        <f>IF(OR('Parte Estrategica'!AU27=0,'Parte Estrategica'!AU27=""),0,IF(VLOOKUP($A27,'Matriz de Referencia'!$B$2:$CO$584,72,FALSE)=0,0,"Digite"))</f>
        <v>0</v>
      </c>
      <c r="GP27" s="454">
        <f>IF(OR('Parte Estrategica'!AU27=0,'Parte Estrategica'!AU27=""),0,IF(VLOOKUP($A27,'Matriz de Referencia'!$B$2:$CO$584,73,FALSE)=0,0,"Digite"))</f>
        <v>0</v>
      </c>
      <c r="GQ27" s="454">
        <f>IF(OR('Parte Estrategica'!AU27=0,'Parte Estrategica'!AU27=""),0,IF(VLOOKUP($A27,'Matriz de Referencia'!$B$2:$CO$584,74,FALSE)=0,0,"Digite"))</f>
        <v>0</v>
      </c>
      <c r="GR27" s="382">
        <f t="shared" si="42"/>
        <v>0</v>
      </c>
      <c r="GS27" s="454">
        <f>IF(OR('Parte Estrategica'!AU27=0,'Parte Estrategica'!AU27=""),0,IF(VLOOKUP($A27,'Matriz de Referencia'!$B$2:$CO$584,76,FALSE)=0,0,"Digite"))</f>
        <v>0</v>
      </c>
      <c r="GT27" s="454">
        <f>IF(OR('Parte Estrategica'!AU27=0,'Parte Estrategica'!AU27=""),0,IF(VLOOKUP($A27,'Matriz de Referencia'!$B$2:$CO$584,77,FALSE)=0,0,"Digite"))</f>
        <v>0</v>
      </c>
      <c r="GU27" s="454">
        <f>IF(OR('Parte Estrategica'!AU27=0,'Parte Estrategica'!AU27=""),0,IF(VLOOKUP($A27,'Matriz de Referencia'!$B$2:$CO$584,78,FALSE)=0,0,"Digite"))</f>
        <v>0</v>
      </c>
      <c r="GV27" s="382">
        <f t="shared" si="43"/>
        <v>0</v>
      </c>
      <c r="GW27" s="382">
        <f t="shared" si="44"/>
        <v>0</v>
      </c>
      <c r="GX27" s="453">
        <f>IF(OR('Parte Estrategica'!AV27=0,'Parte Estrategica'!AV27=""),0,IF(VLOOKUP($A27,'Matriz de Referencia'!$B$2:$CO$584,67,FALSE)=0,0,"Digite"))</f>
        <v>0</v>
      </c>
      <c r="GY27" s="454">
        <f>IF(OR('Parte Estrategica'!AV27=0,'Parte Estrategica'!AV27=""),0,IF(VLOOKUP($A27,'Matriz de Referencia'!$B$2:$CO$584,68,FALSE)=0,0,"Digite"))</f>
        <v>0</v>
      </c>
      <c r="GZ27" s="454">
        <f>IF(OR('Parte Estrategica'!AV27=0,'Parte Estrategica'!AV27=""),0,IF(VLOOKUP($A27,'Matriz de Referencia'!$B$2:$CO$584,69,FALSE)=0,0,"Digite"))</f>
        <v>0</v>
      </c>
      <c r="HA27" s="454">
        <f>IF(OR('Parte Estrategica'!AV27=0,'Parte Estrategica'!AV27=""),0,IF(VLOOKUP($A27,'Matriz de Referencia'!$B$2:$CO$584,70,FALSE)=0,0,"Digite"))</f>
        <v>0</v>
      </c>
      <c r="HB27" s="454">
        <f>IF(OR('Parte Estrategica'!AV27=0,'Parte Estrategica'!AV27=""),0,IF(VLOOKUP($A27,'Matriz de Referencia'!$B$2:$CO$584,71,FALSE)=0,0,"Digite"))</f>
        <v>0</v>
      </c>
      <c r="HC27" s="454">
        <f>IF(OR('Parte Estrategica'!AV27=0,'Parte Estrategica'!AV27=""),0,IF(VLOOKUP($A27,'Matriz de Referencia'!$B$2:$CO$584,72,FALSE)=0,0,"Digite"))</f>
        <v>0</v>
      </c>
      <c r="HD27" s="454">
        <f>IF(OR('Parte Estrategica'!AV27=0,'Parte Estrategica'!AV27=""),0,IF(VLOOKUP($A27,'Matriz de Referencia'!$B$2:$CO$584,73,FALSE)=0,0,"Digite"))</f>
        <v>0</v>
      </c>
      <c r="HE27" s="454">
        <f>IF(OR('Parte Estrategica'!AV27=0,'Parte Estrategica'!AV27=""),0,IF(VLOOKUP($A27,'Matriz de Referencia'!$B$2:$CO$584,74,FALSE)=0,0,"Digite"))</f>
        <v>0</v>
      </c>
      <c r="HF27" s="382">
        <f t="shared" si="45"/>
        <v>0</v>
      </c>
      <c r="HG27" s="454">
        <f>IF(OR('Parte Estrategica'!AV27=0,'Parte Estrategica'!AV27=""),0,IF(VLOOKUP($A27,'Matriz de Referencia'!$B$2:$CO$584,76,FALSE)=0,0,"Digite"))</f>
        <v>0</v>
      </c>
      <c r="HH27" s="454">
        <f>IF(OR('Parte Estrategica'!AV27=0,'Parte Estrategica'!AV27=""),0,IF(VLOOKUP($A27,'Matriz de Referencia'!$B$2:$CO$584,77,FALSE)=0,0,"Digite"))</f>
        <v>0</v>
      </c>
      <c r="HI27" s="454">
        <f>IF(OR('Parte Estrategica'!AV27=0,'Parte Estrategica'!AV27=""),0,IF(VLOOKUP($A27,'Matriz de Referencia'!$B$2:$CO$584,78,FALSE)=0,0,"Digite"))</f>
        <v>0</v>
      </c>
      <c r="HJ27" s="382">
        <f t="shared" si="46"/>
        <v>0</v>
      </c>
      <c r="HK27" s="382">
        <f t="shared" si="47"/>
        <v>0</v>
      </c>
      <c r="HL27" s="453">
        <f>IF(OR('Parte Estrategica'!AW27=0,'Parte Estrategica'!AW27=""),0,IF(VLOOKUP($A27,'Matriz de Referencia'!$B$2:$CO$584,67,FALSE)=0,0,"Digite"))</f>
        <v>0</v>
      </c>
      <c r="HM27" s="454">
        <f>IF(OR('Parte Estrategica'!AW27=0,'Parte Estrategica'!AW27=""),0,IF(VLOOKUP($A27,'Matriz de Referencia'!$B$2:$CO$584,68,FALSE)=0,0,"Digite"))</f>
        <v>0</v>
      </c>
      <c r="HN27" s="454">
        <f>IF(OR('Parte Estrategica'!AW27=0,'Parte Estrategica'!AW27=""),0,IF(VLOOKUP($A27,'Matriz de Referencia'!$B$2:$CO$584,69,FALSE)=0,0,"Digite"))</f>
        <v>0</v>
      </c>
      <c r="HO27" s="454">
        <f>IF(OR('Parte Estrategica'!AW27=0,'Parte Estrategica'!AW27=""),0,IF(VLOOKUP($A27,'Matriz de Referencia'!$B$2:$CO$584,70,FALSE)=0,0,"Digite"))</f>
        <v>0</v>
      </c>
      <c r="HP27" s="454">
        <f>IF(OR('Parte Estrategica'!AW27=0,'Parte Estrategica'!AW27=""),0,IF(VLOOKUP($A27,'Matriz de Referencia'!$B$2:$CO$584,71,FALSE)=0,0,"Digite"))</f>
        <v>0</v>
      </c>
      <c r="HQ27" s="454">
        <f>IF(OR('Parte Estrategica'!AW27=0,'Parte Estrategica'!AW27=""),0,IF(VLOOKUP($A27,'Matriz de Referencia'!$B$2:$CO$584,72,FALSE)=0,0,"Digite"))</f>
        <v>0</v>
      </c>
      <c r="HR27" s="454">
        <f>IF(OR('Parte Estrategica'!AW27=0,'Parte Estrategica'!AW27=""),0,IF(VLOOKUP($A27,'Matriz de Referencia'!$B$2:$CO$584,73,FALSE)=0,0,"Digite"))</f>
        <v>0</v>
      </c>
      <c r="HS27" s="454">
        <f>IF(OR('Parte Estrategica'!AW27=0,'Parte Estrategica'!AW27=""),0,IF(VLOOKUP($A27,'Matriz de Referencia'!$B$2:$CO$584,74,FALSE)=0,0,"Digite"))</f>
        <v>0</v>
      </c>
      <c r="HT27" s="382">
        <f t="shared" si="48"/>
        <v>0</v>
      </c>
      <c r="HU27" s="454">
        <f>IF(OR('Parte Estrategica'!AW27=0,'Parte Estrategica'!AW27=""),0,IF(VLOOKUP($A27,'Matriz de Referencia'!$B$2:$CO$584,76,FALSE)=0,0,"Digite"))</f>
        <v>0</v>
      </c>
      <c r="HV27" s="454">
        <f>IF(OR('Parte Estrategica'!AW27=0,'Parte Estrategica'!AW27=""),0,IF(VLOOKUP($A27,'Matriz de Referencia'!$B$2:$CO$584,77,FALSE)=0,0,"Digite"))</f>
        <v>0</v>
      </c>
      <c r="HW27" s="454">
        <f>IF(OR('Parte Estrategica'!AW27=0,'Parte Estrategica'!AW27=""),0,IF(VLOOKUP($A27,'Matriz de Referencia'!$B$2:$CO$584,78,FALSE)=0,0,"Digite"))</f>
        <v>0</v>
      </c>
      <c r="HX27" s="382">
        <f t="shared" si="49"/>
        <v>0</v>
      </c>
      <c r="HY27" s="382">
        <f t="shared" si="50"/>
        <v>0</v>
      </c>
      <c r="HZ27" s="382">
        <f t="shared" si="51"/>
        <v>0</v>
      </c>
      <c r="IA27" s="101" t="str">
        <f>IFERROR(IF(HZ27=0,"",IF(VLOOKUP($A27,'Matriz de Referencia'!$B$2:$CO$584,80,FALSE)=HZ27,"Techos ok, cotinue","Debe revisar el valor programado")),"")</f>
        <v/>
      </c>
      <c r="IB27" s="383">
        <f t="shared" si="52"/>
        <v>0</v>
      </c>
    </row>
    <row r="28" spans="1:236">
      <c r="A28" s="550" t="str">
        <f>IF('Parte Estrategica'!B28=0,"",'Parte Estrategica'!B28)</f>
        <v/>
      </c>
      <c r="B28" s="551" t="str">
        <f>IFERROR(VLOOKUP(A28,'Matriz de Referencia'!$B$2:$P$578,'Matriz de Referencia'!L$1,FALSE),"")</f>
        <v/>
      </c>
      <c r="C28" s="551" t="str">
        <f>IFERROR(VLOOKUP(A28,'Matriz de Referencia'!$B$2:$P$584,'Matriz de Referencia'!M$1,FALSE),"")</f>
        <v/>
      </c>
      <c r="D28" s="455" t="str">
        <f>IF(OR('Parte Estrategica'!AB28=0,'Parte Estrategica'!AB28=""),"",IF(VLOOKUP($A28,'Matriz de Referencia'!$B$2:$CO$584,'Matriz de Referencia'!Z$1,FALSE)=0,"","Digite"))</f>
        <v/>
      </c>
      <c r="E28" s="456">
        <f>IF(OR('Parte Estrategica'!AB28=0,'Parte Estrategica'!AB28=""),0,IF(VLOOKUP($A28,'Matriz de Referencia'!$B$2:$CO$584,26,FALSE)=0,0,"Digite"))</f>
        <v>0</v>
      </c>
      <c r="F28" s="456">
        <f>IF(OR('Parte Estrategica'!AB28=0,'Parte Estrategica'!AB28=""),0,IF(VLOOKUP($A28,'Matriz de Referencia'!$B$2:$CO$584,27,FALSE)=0,0,"Digite"))</f>
        <v>0</v>
      </c>
      <c r="G28" s="456">
        <f>IF(OR('Parte Estrategica'!AB28=0,'Parte Estrategica'!AB28=""),0,IF(VLOOKUP($A28,'Matriz de Referencia'!$B$2:$CO$584,28,FALSE)=0,0,"Digite"))</f>
        <v>0</v>
      </c>
      <c r="H28" s="456">
        <f>IF(OR('Parte Estrategica'!AB28=0,'Parte Estrategica'!AB28=""),0,IF(VLOOKUP($A28,'Matriz de Referencia'!$B$2:$CO$584,29,FALSE)=0,0,"Digite"))</f>
        <v>0</v>
      </c>
      <c r="I28" s="456">
        <f>IF(OR('Parte Estrategica'!AB28=0,'Parte Estrategica'!AB28=""),0,IF(VLOOKUP($A28,'Matriz de Referencia'!$B$2:$CO$584,30,FALSE)=0,0,"Digite"))</f>
        <v>0</v>
      </c>
      <c r="J28" s="456">
        <f>IF(OR('Parte Estrategica'!AB28=0,'Parte Estrategica'!AB28=""),0,IF(VLOOKUP($A28,'Matriz de Referencia'!$B$2:$CO$584,31,FALSE)=0,0,"Digite"))</f>
        <v>0</v>
      </c>
      <c r="K28" s="456">
        <f>IF(OR('Parte Estrategica'!AB28=0,'Parte Estrategica'!AB28=""),0,IF(VLOOKUP($A28,'Matriz de Referencia'!$B$2:$CO$584,32,FALSE)=0,0,"Digite"))</f>
        <v>0</v>
      </c>
      <c r="L28" s="460">
        <f t="shared" si="0"/>
        <v>0</v>
      </c>
      <c r="M28" s="456">
        <f>IF(OR('Parte Estrategica'!AB28=0,'Parte Estrategica'!AB28=""),0,IF(VLOOKUP($A28,'Matriz de Referencia'!$B$2:$CO$584,34,FALSE)=0,0,"Digite"))</f>
        <v>0</v>
      </c>
      <c r="N28" s="456">
        <f>IF(OR('Parte Estrategica'!AB28=0,'Parte Estrategica'!AB28=""),0,IF(VLOOKUP($A28,'Matriz de Referencia'!$B$2:$CO$584,35,FALSE)=0,0,"Digite"))</f>
        <v>0</v>
      </c>
      <c r="O28" s="456">
        <f>IF(OR('Parte Estrategica'!AB28=0,'Parte Estrategica'!AB28=""),0,IF(VLOOKUP($A28,'Matriz de Referencia'!$B$2:$CO$584,36,FALSE)=0,0,"Digite"))</f>
        <v>0</v>
      </c>
      <c r="P28" s="457">
        <f t="shared" si="1"/>
        <v>0</v>
      </c>
      <c r="Q28" s="457">
        <f t="shared" si="2"/>
        <v>0</v>
      </c>
      <c r="R28" s="455">
        <f>IF(OR('Parte Estrategica'!AC28=0,'Parte Estrategica'!AC28=""),0,IF(VLOOKUP($A28,'Matriz de Referencia'!$B$2:$CO$584,25,FALSE)=0,0,"Digite"))</f>
        <v>0</v>
      </c>
      <c r="S28" s="456">
        <f>IF(OR('Parte Estrategica'!AC28=0,'Parte Estrategica'!AC28=""),0,IF(VLOOKUP($A28,'Matriz de Referencia'!$B$2:$CO$584,26,FALSE)=0,0,"Digite"))</f>
        <v>0</v>
      </c>
      <c r="T28" s="456">
        <f>IF(OR('Parte Estrategica'!AC28=0,'Parte Estrategica'!AC28=""),0,IF(VLOOKUP($A28,'Matriz de Referencia'!$B$2:$CO$584,27,FALSE)=0,0,"Digite"))</f>
        <v>0</v>
      </c>
      <c r="U28" s="456">
        <f>IF(OR('Parte Estrategica'!AC28=0,'Parte Estrategica'!AC28=""),0,IF(VLOOKUP($A28,'Matriz de Referencia'!$B$2:$CO$584,28,FALSE)=0,0,"Digite"))</f>
        <v>0</v>
      </c>
      <c r="V28" s="456">
        <f>IF(OR('Parte Estrategica'!AC28=0,'Parte Estrategica'!AC28=""),0,IF(VLOOKUP($A28,'Matriz de Referencia'!$B$2:$CO$584,29,FALSE)=0,0,"Digite"))</f>
        <v>0</v>
      </c>
      <c r="W28" s="456">
        <f>IF(OR('Parte Estrategica'!AC28=0,'Parte Estrategica'!AC28=""),0,IF(VLOOKUP($A28,'Matriz de Referencia'!$B$2:$CO$584,30,FALSE)=0,0,"Digite"))</f>
        <v>0</v>
      </c>
      <c r="X28" s="456">
        <f>IF(OR('Parte Estrategica'!AC28=0,'Parte Estrategica'!AC28=""),0,IF(VLOOKUP($A28,'Matriz de Referencia'!$B$2:$CO$584,31,FALSE)=0,0,"Digite"))</f>
        <v>0</v>
      </c>
      <c r="Y28" s="456">
        <f>IF(OR('Parte Estrategica'!AC28=0,'Parte Estrategica'!AC28=""),0,IF(VLOOKUP($A28,'Matriz de Referencia'!$B$2:$CO$584,32,FALSE)=0,0,"Digite"))</f>
        <v>0</v>
      </c>
      <c r="Z28" s="457">
        <f t="shared" si="3"/>
        <v>0</v>
      </c>
      <c r="AA28" s="456">
        <f>IF(OR('Parte Estrategica'!AC28=0,'Parte Estrategica'!AC28=""),0,IF(VLOOKUP($A28,'Matriz de Referencia'!$B$2:$CO$584,34,FALSE)=0,0,"Digite"))</f>
        <v>0</v>
      </c>
      <c r="AB28" s="456">
        <f>IF(OR('Parte Estrategica'!AC28=0,'Parte Estrategica'!AC28=""),0,IF(VLOOKUP($A28,'Matriz de Referencia'!$B$2:$CO$584,35,FALSE)=0,0,"Digite"))</f>
        <v>0</v>
      </c>
      <c r="AC28" s="456">
        <f>IF(OR('Parte Estrategica'!AC28=0,'Parte Estrategica'!AC28=""),0,IF(VLOOKUP($A28,'Matriz de Referencia'!$B$2:$CO$584,36,FALSE)=0,0,"Digite"))</f>
        <v>0</v>
      </c>
      <c r="AD28" s="457">
        <f t="shared" si="4"/>
        <v>0</v>
      </c>
      <c r="AE28" s="457">
        <f t="shared" si="5"/>
        <v>0</v>
      </c>
      <c r="AF28" s="455">
        <f>IF(OR('Parte Estrategica'!AD28=0,'Parte Estrategica'!AD28=""),0,IF(VLOOKUP($A28,'Matriz de Referencia'!$B$2:$CO$584,25,FALSE)=0,0,"Digite"))</f>
        <v>0</v>
      </c>
      <c r="AG28" s="456">
        <f>IF(OR('Parte Estrategica'!AD28=0,'Parte Estrategica'!AD28=""),0,IF(VLOOKUP($A28,'Matriz de Referencia'!$B$2:$CO$584,26,FALSE)=0,0,"Digite"))</f>
        <v>0</v>
      </c>
      <c r="AH28" s="456">
        <f>IF(OR('Parte Estrategica'!AD28=0,'Parte Estrategica'!AD28=""),0,IF(VLOOKUP($A28,'Matriz de Referencia'!$B$2:$CO$584,27,FALSE)=0,0,"Digite"))</f>
        <v>0</v>
      </c>
      <c r="AI28" s="456">
        <f>IF(OR('Parte Estrategica'!AD28=0,'Parte Estrategica'!AD28=""),0,IF(VLOOKUP($A28,'Matriz de Referencia'!$B$2:$CO$584,28,FALSE)=0,0,"Digite"))</f>
        <v>0</v>
      </c>
      <c r="AJ28" s="456">
        <f>IF(OR('Parte Estrategica'!AD28=0,'Parte Estrategica'!AD28=""),0,IF(VLOOKUP($A28,'Matriz de Referencia'!$B$2:$CO$584,29,FALSE)=0,0,"Digite"))</f>
        <v>0</v>
      </c>
      <c r="AK28" s="456">
        <f>IF(OR('Parte Estrategica'!AD28=0,'Parte Estrategica'!AD28=""),0,IF(VLOOKUP($A28,'Matriz de Referencia'!$B$2:$CO$584,30,FALSE)=0,0,"Digite"))</f>
        <v>0</v>
      </c>
      <c r="AL28" s="456">
        <f>IF(OR('Parte Estrategica'!AD28=0,'Parte Estrategica'!AD28=""),0,IF(VLOOKUP($A28,'Matriz de Referencia'!$B$2:$CO$584,31,FALSE)=0,0,"Digite"))</f>
        <v>0</v>
      </c>
      <c r="AM28" s="456">
        <f>IF(OR('Parte Estrategica'!AD28=0,'Parte Estrategica'!AD28=""),0,IF(VLOOKUP($A28,'Matriz de Referencia'!$B$2:$CO$584,32,FALSE)=0,0,"Digite"))</f>
        <v>0</v>
      </c>
      <c r="AN28" s="457">
        <f t="shared" si="6"/>
        <v>0</v>
      </c>
      <c r="AO28" s="456">
        <f>IF(OR('Parte Estrategica'!AD28=0,'Parte Estrategica'!AD28=""),0,IF(VLOOKUP($A28,'Matriz de Referencia'!$B$2:$CO$584,34,FALSE)=0,0,"Digite"))</f>
        <v>0</v>
      </c>
      <c r="AP28" s="456">
        <f>IF(OR('Parte Estrategica'!AD28=0,'Parte Estrategica'!AD28=""),0,IF(VLOOKUP($A28,'Matriz de Referencia'!$B$2:$CO$584,35,FALSE)=0,0,"Digite"))</f>
        <v>0</v>
      </c>
      <c r="AQ28" s="456">
        <f>IF(OR('Parte Estrategica'!AD28=0,'Parte Estrategica'!AD28=""),0,IF(VLOOKUP($A28,'Matriz de Referencia'!$B$2:$CO$584,36,FALSE)=0,0,"Digite"))</f>
        <v>0</v>
      </c>
      <c r="AR28" s="457">
        <f t="shared" si="7"/>
        <v>0</v>
      </c>
      <c r="AS28" s="457">
        <f t="shared" si="8"/>
        <v>0</v>
      </c>
      <c r="AT28" s="455">
        <f>IF(OR('Parte Estrategica'!AE28=0,'Parte Estrategica'!AE28=""),0,IF(VLOOKUP($A28,'Matriz de Referencia'!$B$2:$CO$584,25,FALSE)=0,0,"Digite"))</f>
        <v>0</v>
      </c>
      <c r="AU28" s="456">
        <f>IF(OR('Parte Estrategica'!AE28=0,'Parte Estrategica'!AE28=""),0,IF(VLOOKUP($A28,'Matriz de Referencia'!$B$2:$CO$584,26,FALSE)=0,0,"Digite"))</f>
        <v>0</v>
      </c>
      <c r="AV28" s="456">
        <f>IF(OR('Parte Estrategica'!AE28=0,'Parte Estrategica'!AE28=""),0,IF(VLOOKUP($A28,'Matriz de Referencia'!$B$2:$CO$584,27,FALSE)=0,0,"Digite"))</f>
        <v>0</v>
      </c>
      <c r="AW28" s="456">
        <f>IF(OR('Parte Estrategica'!AE28=0,'Parte Estrategica'!AE28=""),0,IF(VLOOKUP($A28,'Matriz de Referencia'!$B$2:$CO$584,28,FALSE)=0,0,"Digite"))</f>
        <v>0</v>
      </c>
      <c r="AX28" s="456">
        <f>IF(OR('Parte Estrategica'!AE28=0,'Parte Estrategica'!AE28=""),0,IF(VLOOKUP($A28,'Matriz de Referencia'!$B$2:$CO$584,29,FALSE)=0,0,"Digite"))</f>
        <v>0</v>
      </c>
      <c r="AY28" s="456">
        <f>IF(OR('Parte Estrategica'!AE28=0,'Parte Estrategica'!AE28=""),0,IF(VLOOKUP($A28,'Matriz de Referencia'!$B$2:$CO$584,30,FALSE)=0,0,"Digite"))</f>
        <v>0</v>
      </c>
      <c r="AZ28" s="456">
        <f>IF(OR('Parte Estrategica'!AE28=0,'Parte Estrategica'!AE28=""),0,IF(VLOOKUP($A28,'Matriz de Referencia'!$B$2:$CO$584,31,FALSE)=0,0,"Digite"))</f>
        <v>0</v>
      </c>
      <c r="BA28" s="456">
        <f>IF(OR('Parte Estrategica'!AE28=0,'Parte Estrategica'!AE28=""),0,IF(VLOOKUP($A28,'Matriz de Referencia'!$B$2:$CO$584,32,FALSE)=0,0,"Digite"))</f>
        <v>0</v>
      </c>
      <c r="BB28" s="457">
        <f t="shared" si="9"/>
        <v>0</v>
      </c>
      <c r="BC28" s="456">
        <f>IF(OR('Parte Estrategica'!AE28=0,'Parte Estrategica'!AE28=""),0,IF(VLOOKUP($A28,'Matriz de Referencia'!$B$2:$CO$584,34,FALSE)=0,0,"Digite"))</f>
        <v>0</v>
      </c>
      <c r="BD28" s="456">
        <f>IF(OR('Parte Estrategica'!AE28=0,'Parte Estrategica'!AE28=""),0,IF(VLOOKUP($A28,'Matriz de Referencia'!$B$2:$CO$584,35,FALSE)=0,0,"Digite"))</f>
        <v>0</v>
      </c>
      <c r="BE28" s="456">
        <f>IF(OR('Parte Estrategica'!AE28=0,'Parte Estrategica'!AE28=""),0,IF(VLOOKUP($A28,'Matriz de Referencia'!$B$2:$CO$584,36,FALSE)=0,0,"Digite"))</f>
        <v>0</v>
      </c>
      <c r="BF28" s="457">
        <f t="shared" si="10"/>
        <v>0</v>
      </c>
      <c r="BG28" s="457">
        <f t="shared" si="11"/>
        <v>0</v>
      </c>
      <c r="BH28" s="457">
        <f t="shared" si="12"/>
        <v>0</v>
      </c>
      <c r="BI28" s="101" t="str">
        <f>IFERROR(IF(BH28=0,"",IF(VLOOKUP($A28,'Matriz de Referencia'!$B$2:$CO$584,'Matriz de Referencia'!AM$1,FALSE)=BH28,"Techos ok, cotinue","Debe revisar el valor programado")),"")</f>
        <v/>
      </c>
      <c r="BJ28" s="453">
        <f>IF(OR('Parte Estrategica'!AH28=0,'Parte Estrategica'!AH28=""),0,IF(VLOOKUP($A28,'Matriz de Referencia'!$B$2:$CO$584,39,FALSE)=0,0,"Digite"))</f>
        <v>0</v>
      </c>
      <c r="BK28" s="454">
        <f>IF(OR('Parte Estrategica'!AH28=0,'Parte Estrategica'!AH28=""),0,IF(VLOOKUP($A28,'Matriz de Referencia'!$B$2:$CO$584,40,FALSE)=0,0,"Digite"))</f>
        <v>0</v>
      </c>
      <c r="BL28" s="454">
        <f>IF(OR('Parte Estrategica'!AH28=0,'Parte Estrategica'!AH28=""),0,IF(VLOOKUP($A28,'Matriz de Referencia'!$B$2:$CO$584,41,FALSE)=0,0,"Digite"))</f>
        <v>0</v>
      </c>
      <c r="BM28" s="454">
        <f>IF(OR('Parte Estrategica'!AH28=0,'Parte Estrategica'!AH28=""),0,IF(VLOOKUP($A28,'Matriz de Referencia'!$B$2:$CO$584,42,FALSE)=0,0,"Digite"))</f>
        <v>0</v>
      </c>
      <c r="BN28" s="454">
        <f>IF(OR('Parte Estrategica'!AH28=0,'Parte Estrategica'!AH28=""),0,IF(VLOOKUP($A28,'Matriz de Referencia'!$B$2:$CO$584,43,FALSE)=0,0,"Digite"))</f>
        <v>0</v>
      </c>
      <c r="BO28" s="454">
        <f>IF(OR('Parte Estrategica'!AH28=0,'Parte Estrategica'!AH28=""),0,IF(VLOOKUP($A28,'Matriz de Referencia'!$B$2:$CO$584,44,FALSE)=0,0,"Digite"))</f>
        <v>0</v>
      </c>
      <c r="BP28" s="454">
        <f>IF(OR('Parte Estrategica'!AH28=0,'Parte Estrategica'!AH28=""),0,IF(VLOOKUP($A28,'Matriz de Referencia'!$B$2:$CO$584,45,FALSE)=0,0,"Digite"))</f>
        <v>0</v>
      </c>
      <c r="BQ28" s="454">
        <f>IF(OR('Parte Estrategica'!AH28=0,'Parte Estrategica'!AH28=""),0,IF(VLOOKUP($A28,'Matriz de Referencia'!$B$2:$CO$584,46,FALSE)=0,0,"Digite"))</f>
        <v>0</v>
      </c>
      <c r="BR28" s="382">
        <f t="shared" si="13"/>
        <v>0</v>
      </c>
      <c r="BS28" s="454">
        <f>IF(OR('Parte Estrategica'!CL28=0,'Parte Estrategica'!CL28=""),0,IF(VLOOKUP($A28,'Matriz de Referencia'!$B$2:$CO$584,48,FALSE)=0,0,"Digite"))</f>
        <v>0</v>
      </c>
      <c r="BT28" s="454">
        <f>IF(OR('Parte Estrategica'!CL28=0,'Parte Estrategica'!CL28=""),0,IF(VLOOKUP($A28,'Matriz de Referencia'!$B$2:$CO$584,49,FALSE)=0,0,"Digite"))</f>
        <v>0</v>
      </c>
      <c r="BU28" s="454">
        <f>IF(OR('Parte Estrategica'!CL28=0,'Parte Estrategica'!CL28=""),0,IF(VLOOKUP($A28,'Matriz de Referencia'!$B$2:$CO$584,50,FALSE)=0,0,"Digite"))</f>
        <v>0</v>
      </c>
      <c r="BV28" s="382">
        <f t="shared" si="14"/>
        <v>0</v>
      </c>
      <c r="BW28" s="382">
        <f t="shared" si="15"/>
        <v>0</v>
      </c>
      <c r="BX28" s="453">
        <f>IF(OR('Parte Estrategica'!AI28=0,'Parte Estrategica'!AI28=""),0,IF(VLOOKUP($A28,'Matriz de Referencia'!$B$2:$CO$584,39,FALSE)=0,0,"Digite"))</f>
        <v>0</v>
      </c>
      <c r="BY28" s="454">
        <f>IF(OR('Parte Estrategica'!AI28=0,'Parte Estrategica'!AI28=""),0,IF(VLOOKUP($A28,'Matriz de Referencia'!$B$2:$CO$584,40,FALSE)=0,0,"Digite"))</f>
        <v>0</v>
      </c>
      <c r="BZ28" s="454">
        <f>IF(OR('Parte Estrategica'!AI28=0,'Parte Estrategica'!AI28=""),0,IF(VLOOKUP($A28,'Matriz de Referencia'!$B$2:$CO$584,41,FALSE)=0,0,"Digite"))</f>
        <v>0</v>
      </c>
      <c r="CA28" s="454">
        <f>IF(OR('Parte Estrategica'!AI28=0,'Parte Estrategica'!AI28=""),0,IF(VLOOKUP($A28,'Matriz de Referencia'!$B$2:$CO$584,42,FALSE)=0,0,"Digite"))</f>
        <v>0</v>
      </c>
      <c r="CB28" s="454">
        <f>IF(OR('Parte Estrategica'!AI28=0,'Parte Estrategica'!AI28=""),0,IF(VLOOKUP($A28,'Matriz de Referencia'!$B$2:$CO$584,43,FALSE)=0,0,"Digite"))</f>
        <v>0</v>
      </c>
      <c r="CC28" s="454">
        <f>IF(OR('Parte Estrategica'!AI28=0,'Parte Estrategica'!AI28=""),0,IF(VLOOKUP($A28,'Matriz de Referencia'!$B$2:$CO$584,44,FALSE)=0,0,"Digite"))</f>
        <v>0</v>
      </c>
      <c r="CD28" s="454">
        <f>IF(OR('Parte Estrategica'!AI28=0,'Parte Estrategica'!AI28=""),0,IF(VLOOKUP($A28,'Matriz de Referencia'!$B$2:$CO$584,45,FALSE)=0,0,"Digite"))</f>
        <v>0</v>
      </c>
      <c r="CE28" s="454">
        <f>IF(OR('Parte Estrategica'!AI28=0,'Parte Estrategica'!AI28=""),0,IF(VLOOKUP($A28,'Matriz de Referencia'!$B$2:$CO$584,46,FALSE)=0,0,"Digite"))</f>
        <v>0</v>
      </c>
      <c r="CF28" s="382">
        <f t="shared" si="16"/>
        <v>0</v>
      </c>
      <c r="CG28" s="454">
        <f>IF(OR('Parte Estrategica'!AI28=0,'Parte Estrategica'!AI28=""),0,IF(VLOOKUP($A28,'Matriz de Referencia'!$B$2:$CO$584,48,FALSE)=0,0,"Digite"))</f>
        <v>0</v>
      </c>
      <c r="CH28" s="454">
        <f>IF(OR('Parte Estrategica'!AI28=0,'Parte Estrategica'!AI28=""),0,IF(VLOOKUP($A28,'Matriz de Referencia'!$B$2:$CO$584,49,FALSE)=0,0,"Digite"))</f>
        <v>0</v>
      </c>
      <c r="CI28" s="454">
        <f>IF(OR('Parte Estrategica'!AI28=0,'Parte Estrategica'!AI28=""),0,IF(VLOOKUP($A28,'Matriz de Referencia'!$B$2:$CO$584,50,FALSE)=0,0,"Digite"))</f>
        <v>0</v>
      </c>
      <c r="CJ28" s="382">
        <f t="shared" si="17"/>
        <v>0</v>
      </c>
      <c r="CK28" s="382">
        <f t="shared" si="18"/>
        <v>0</v>
      </c>
      <c r="CL28" s="453">
        <f>IF(OR('Parte Estrategica'!AJ28=0,'Parte Estrategica'!AJ28=""),0,IF(VLOOKUP($A28,'Matriz de Referencia'!$B$2:$CO$584,39,FALSE)=0,0,"Digite"))</f>
        <v>0</v>
      </c>
      <c r="CM28" s="454">
        <f>IF(OR('Parte Estrategica'!AJ28=0,'Parte Estrategica'!AJ28=""),0,IF(VLOOKUP($A28,'Matriz de Referencia'!$B$2:$CO$584,40,FALSE)=0,0,"Digite"))</f>
        <v>0</v>
      </c>
      <c r="CN28" s="454">
        <f>IF(OR('Parte Estrategica'!AJ28=0,'Parte Estrategica'!AJ28=""),0,IF(VLOOKUP($A28,'Matriz de Referencia'!$B$2:$CO$584,41,FALSE)=0,0,"Digite"))</f>
        <v>0</v>
      </c>
      <c r="CO28" s="454">
        <f>IF(OR('Parte Estrategica'!AJ28=0,'Parte Estrategica'!AJ28=""),0,IF(VLOOKUP($A28,'Matriz de Referencia'!$B$2:$CO$584,42,FALSE)=0,0,"Digite"))</f>
        <v>0</v>
      </c>
      <c r="CP28" s="454">
        <f>IF(OR('Parte Estrategica'!AJ28=0,'Parte Estrategica'!AJ28=""),0,IF(VLOOKUP($A28,'Matriz de Referencia'!$B$2:$CO$584,43,FALSE)=0,0,"Digite"))</f>
        <v>0</v>
      </c>
      <c r="CQ28" s="454">
        <f>IF(OR('Parte Estrategica'!AJ28=0,'Parte Estrategica'!AJ28=""),0,IF(VLOOKUP($A28,'Matriz de Referencia'!$B$2:$CO$584,44,FALSE)=0,0,"Digite"))</f>
        <v>0</v>
      </c>
      <c r="CR28" s="454">
        <f>IF(OR('Parte Estrategica'!AJ28=0,'Parte Estrategica'!AJ28=""),0,IF(VLOOKUP($A28,'Matriz de Referencia'!$B$2:$CO$584,45,FALSE)=0,0,"Digite"))</f>
        <v>0</v>
      </c>
      <c r="CS28" s="454">
        <f>IF(OR('Parte Estrategica'!AJ28=0,'Parte Estrategica'!AJ28=""),0,IF(VLOOKUP($A28,'Matriz de Referencia'!$B$2:$CO$584,46,FALSE)=0,0,"Digite"))</f>
        <v>0</v>
      </c>
      <c r="CT28" s="382">
        <f t="shared" si="19"/>
        <v>0</v>
      </c>
      <c r="CU28" s="454">
        <f>IF(OR('Parte Estrategica'!AJ28=0,'Parte Estrategica'!AJ28=""),0,IF(VLOOKUP($A28,'Matriz de Referencia'!$B$2:$CO$584,48,FALSE)=0,0,"Digite"))</f>
        <v>0</v>
      </c>
      <c r="CV28" s="454">
        <f>IF(OR('Parte Estrategica'!AJ28=0,'Parte Estrategica'!AJ28=""),0,IF(VLOOKUP($A28,'Matriz de Referencia'!$B$2:$CO$584,49,FALSE)=0,0,"Digite"))</f>
        <v>0</v>
      </c>
      <c r="CW28" s="454">
        <f>IF(OR('Parte Estrategica'!AJ28=0,'Parte Estrategica'!AJ28=""),0,IF(VLOOKUP($A28,'Matriz de Referencia'!$B$2:$CO$584,50,FALSE)=0,0,"Digite"))</f>
        <v>0</v>
      </c>
      <c r="CX28" s="382">
        <f t="shared" si="20"/>
        <v>0</v>
      </c>
      <c r="CY28" s="382">
        <f t="shared" si="21"/>
        <v>0</v>
      </c>
      <c r="CZ28" s="453">
        <f>IF(OR('Parte Estrategica'!AK28=0,'Parte Estrategica'!AK28=""),0,IF(VLOOKUP($A28,'Matriz de Referencia'!$B$2:$CO$584,39,FALSE)=0,0,"Digite"))</f>
        <v>0</v>
      </c>
      <c r="DA28" s="454">
        <f>IF(OR('Parte Estrategica'!AK28=0,'Parte Estrategica'!AK28=""),0,IF(VLOOKUP($A28,'Matriz de Referencia'!$B$2:$CO$584,40,FALSE)=0,0,"Digite"))</f>
        <v>0</v>
      </c>
      <c r="DB28" s="454">
        <f>IF(OR('Parte Estrategica'!AK28=0,'Parte Estrategica'!AK28=""),0,IF(VLOOKUP($A28,'Matriz de Referencia'!$B$2:$CO$584,41,FALSE)=0,0,"Digite"))</f>
        <v>0</v>
      </c>
      <c r="DC28" s="454">
        <f>IF(OR('Parte Estrategica'!AK28=0,'Parte Estrategica'!AK28=""),0,IF(VLOOKUP($A28,'Matriz de Referencia'!$B$2:$CO$584,42,FALSE)=0,0,"Digite"))</f>
        <v>0</v>
      </c>
      <c r="DD28" s="454">
        <f>IF(OR('Parte Estrategica'!AK28=0,'Parte Estrategica'!AK28=""),0,IF(VLOOKUP($A28,'Matriz de Referencia'!$B$2:$CO$584,43,FALSE)=0,0,"Digite"))</f>
        <v>0</v>
      </c>
      <c r="DE28" s="454">
        <f>IF(OR('Parte Estrategica'!AK28=0,'Parte Estrategica'!AK28=""),0,IF(VLOOKUP($A28,'Matriz de Referencia'!$B$2:$CO$584,44,FALSE)=0,0,"Digite"))</f>
        <v>0</v>
      </c>
      <c r="DF28" s="454">
        <f>IF(OR('Parte Estrategica'!AK28=0,'Parte Estrategica'!AK28=""),0,IF(VLOOKUP($A28,'Matriz de Referencia'!$B$2:$CO$584,45,FALSE)=0,0,"Digite"))</f>
        <v>0</v>
      </c>
      <c r="DG28" s="454">
        <f>IF(OR('Parte Estrategica'!AK28=0,'Parte Estrategica'!AK28=""),0,IF(VLOOKUP($A28,'Matriz de Referencia'!$B$2:$CO$584,46,FALSE)=0,0,"Digite"))</f>
        <v>0</v>
      </c>
      <c r="DH28" s="382">
        <f t="shared" si="22"/>
        <v>0</v>
      </c>
      <c r="DI28" s="454">
        <f>IF(OR('Parte Estrategica'!AK28=0,'Parte Estrategica'!AK28=""),0,IF(VLOOKUP($A28,'Matriz de Referencia'!$B$2:$CO$584,48,FALSE)=0,0,"Digite"))</f>
        <v>0</v>
      </c>
      <c r="DJ28" s="454">
        <f>IF(OR('Parte Estrategica'!AK28=0,'Parte Estrategica'!AK28=""),0,IF(VLOOKUP($A28,'Matriz de Referencia'!$B$2:$CO$584,49,FALSE)=0,0,"Digite"))</f>
        <v>0</v>
      </c>
      <c r="DK28" s="454">
        <f>IF(OR('Parte Estrategica'!AK28=0,'Parte Estrategica'!AK28=""),0,IF(VLOOKUP($A28,'Matriz de Referencia'!$B$2:$CO$584,50,FALSE)=0,0,"Digite"))</f>
        <v>0</v>
      </c>
      <c r="DL28" s="382">
        <f t="shared" si="23"/>
        <v>0</v>
      </c>
      <c r="DM28" s="382">
        <f t="shared" si="24"/>
        <v>0</v>
      </c>
      <c r="DN28" s="382">
        <f t="shared" si="25"/>
        <v>0</v>
      </c>
      <c r="DO28" s="101" t="str">
        <f>IFERROR(IF(DN28=0,"",IF(VLOOKUP($A28,'Matriz de Referencia'!$B$2:$CO$584,52,FALSE)=DN28,"Techos ok, cotinue","Debe revisar el valor programado")),"")</f>
        <v/>
      </c>
      <c r="DP28" s="453">
        <f>IF(OR('Parte Estrategica'!AN28=0,'Parte Estrategica'!AN28=""),0,IF(VLOOKUP($A28,'Matriz de Referencia'!$B$2:$CO$584,53,FALSE)=0,0,"Digite"))</f>
        <v>0</v>
      </c>
      <c r="DQ28" s="454">
        <f>IF(OR('Parte Estrategica'!AN28=0,'Parte Estrategica'!AN28=""),0,IF(VLOOKUP($A28,'Matriz de Referencia'!$B$2:$CO$584,54,FALSE)=0,0,"Digite"))</f>
        <v>0</v>
      </c>
      <c r="DR28" s="454">
        <f>IF(OR('Parte Estrategica'!AN28=0,'Parte Estrategica'!AN28=""),0,IF(VLOOKUP($A28,'Matriz de Referencia'!$B$2:$CO$584,55,FALSE)=0,0,"Digite"))</f>
        <v>0</v>
      </c>
      <c r="DS28" s="454">
        <f>IF(OR('Parte Estrategica'!AN28=0,'Parte Estrategica'!AN28=""),0,IF(VLOOKUP($A28,'Matriz de Referencia'!$B$2:$CO$584,56,FALSE)=0,0,"Digite"))</f>
        <v>0</v>
      </c>
      <c r="DT28" s="454">
        <f>IF(OR('Parte Estrategica'!AN28=0,'Parte Estrategica'!AN28=""),0,IF(VLOOKUP($A28,'Matriz de Referencia'!$B$2:$CO$584,57,FALSE)=0,0,"Digite"))</f>
        <v>0</v>
      </c>
      <c r="DU28" s="454">
        <f>IF(OR('Parte Estrategica'!AN28=0,'Parte Estrategica'!AN28=""),0,IF(VLOOKUP($A28,'Matriz de Referencia'!$B$2:$CO$584,58,FALSE)=0,0,"Digite"))</f>
        <v>0</v>
      </c>
      <c r="DV28" s="454">
        <f>IF(OR('Parte Estrategica'!AN28=0,'Parte Estrategica'!AN28=""),0,IF(VLOOKUP($A28,'Matriz de Referencia'!$B$2:$CO$584,59,FALSE)=0,0,"Digite"))</f>
        <v>0</v>
      </c>
      <c r="DW28" s="454">
        <f>IF(OR('Parte Estrategica'!AN28=0,'Parte Estrategica'!AN28=""),0,IF(VLOOKUP($A28,'Matriz de Referencia'!$B$2:$CO$584,60,FALSE)=0,0,"Digite"))</f>
        <v>0</v>
      </c>
      <c r="DX28" s="382">
        <f t="shared" si="26"/>
        <v>0</v>
      </c>
      <c r="DY28" s="454">
        <f>IF(OR('Parte Estrategica'!AN28=0,'Parte Estrategica'!AN28=""),0,IF(VLOOKUP($A28,'Matriz de Referencia'!$B$2:$CO$584,62,FALSE)=0,0,"Digite"))</f>
        <v>0</v>
      </c>
      <c r="DZ28" s="454">
        <f>IF(OR('Parte Estrategica'!AN28=0,'Parte Estrategica'!AN28=""),0,IF(VLOOKUP($A28,'Matriz de Referencia'!$B$2:$CO$584,63,FALSE)=0,0,"Digite"))</f>
        <v>0</v>
      </c>
      <c r="EA28" s="454" t="str">
        <f>IF(OR('Parte Estrategica'!AN28=0,'Parte Estrategica'!AN28=""),"",IF(VLOOKUP($A28,'Matriz de Referencia'!$B$2:$CO$584,64,FALSE)=0,"","Digite"))</f>
        <v/>
      </c>
      <c r="EB28" s="382">
        <f t="shared" si="27"/>
        <v>0</v>
      </c>
      <c r="EC28" s="382">
        <f t="shared" si="28"/>
        <v>0</v>
      </c>
      <c r="ED28" s="453">
        <f>IF(OR('Parte Estrategica'!AO28=0,'Parte Estrategica'!AO28=""),0,IF(VLOOKUP($A28,'Matriz de Referencia'!$B$2:$CO$584,53,FALSE)=0,0,"Digite"))</f>
        <v>0</v>
      </c>
      <c r="EE28" s="454">
        <f>IF(OR('Parte Estrategica'!AO28=0,'Parte Estrategica'!AO28=""),0,IF(VLOOKUP($A28,'Matriz de Referencia'!$B$2:$CO$584,54,FALSE)=0,0,"Digite"))</f>
        <v>0</v>
      </c>
      <c r="EF28" s="454">
        <f>IF(OR('Parte Estrategica'!AO28=0,'Parte Estrategica'!AO28=""),0,IF(VLOOKUP($A28,'Matriz de Referencia'!$B$2:$CO$584,55,FALSE)=0,0,"Digite"))</f>
        <v>0</v>
      </c>
      <c r="EG28" s="454">
        <f>IF(OR('Parte Estrategica'!AO28=0,'Parte Estrategica'!AO28=""),0,IF(VLOOKUP($A28,'Matriz de Referencia'!$B$2:$CO$584,56,FALSE)=0,0,"Digite"))</f>
        <v>0</v>
      </c>
      <c r="EH28" s="454">
        <f>IF(OR('Parte Estrategica'!AO28=0,'Parte Estrategica'!AO28=""),0,IF(VLOOKUP($A28,'Matriz de Referencia'!$B$2:$CO$584,57,FALSE)=0,0,"Digite"))</f>
        <v>0</v>
      </c>
      <c r="EI28" s="454">
        <f>IF(OR('Parte Estrategica'!AO28=0,'Parte Estrategica'!AO28=""),0,IF(VLOOKUP($A28,'Matriz de Referencia'!$B$2:$CO$584,58,FALSE)=0,0,"Digite"))</f>
        <v>0</v>
      </c>
      <c r="EJ28" s="454">
        <f>IF(OR('Parte Estrategica'!AO28=0,'Parte Estrategica'!AO28=""),0,IF(VLOOKUP($A28,'Matriz de Referencia'!$B$2:$CO$584,59,FALSE)=0,0,"Digite"))</f>
        <v>0</v>
      </c>
      <c r="EK28" s="454">
        <f>IF(OR('Parte Estrategica'!AO28=0,'Parte Estrategica'!AO28=""),0,IF(VLOOKUP($A28,'Matriz de Referencia'!$B$2:$CO$584,60,FALSE)=0,0,"Digite"))</f>
        <v>0</v>
      </c>
      <c r="EL28" s="382">
        <f t="shared" si="29"/>
        <v>0</v>
      </c>
      <c r="EM28" s="454">
        <f>IF(OR('Parte Estrategica'!AO28=0,'Parte Estrategica'!AO28=""),0,IF(VLOOKUP($A28,'Matriz de Referencia'!$B$2:$CO$584,62,FALSE)=0,0,"Digite"))</f>
        <v>0</v>
      </c>
      <c r="EN28" s="454">
        <f>IF(OR('Parte Estrategica'!AO28=0,'Parte Estrategica'!AO28=""),0,IF(VLOOKUP($A28,'Matriz de Referencia'!$B$2:$CO$584,63,FALSE)=0,0,"Digite"))</f>
        <v>0</v>
      </c>
      <c r="EO28" s="454">
        <f>IF(OR('Parte Estrategica'!AO28=0,'Parte Estrategica'!AO28=""),0,IF(VLOOKUP($A28,'Matriz de Referencia'!$B$2:$CO$584,64,FALSE)=0,0,"Digite"))</f>
        <v>0</v>
      </c>
      <c r="EP28" s="382">
        <f t="shared" si="30"/>
        <v>0</v>
      </c>
      <c r="EQ28" s="382">
        <f t="shared" si="31"/>
        <v>0</v>
      </c>
      <c r="ER28" s="453">
        <f>IF(OR('Parte Estrategica'!AP28=0,'Parte Estrategica'!AP28=""),0,IF(VLOOKUP($A28,'Matriz de Referencia'!$B$2:$CO$584,53,FALSE)=0,0,"Digite"))</f>
        <v>0</v>
      </c>
      <c r="ES28" s="454">
        <f>IF(OR('Parte Estrategica'!AP28=0,'Parte Estrategica'!AP28=""),0,IF(VLOOKUP($A28,'Matriz de Referencia'!$B$2:$CO$584,54,FALSE)=0,0,"Digite"))</f>
        <v>0</v>
      </c>
      <c r="ET28" s="454">
        <f>IF(OR('Parte Estrategica'!AP28=0,'Parte Estrategica'!AP28=""),0,IF(VLOOKUP($A28,'Matriz de Referencia'!$B$2:$CO$584,55,FALSE)=0,0,"Digite"))</f>
        <v>0</v>
      </c>
      <c r="EU28" s="454">
        <f>IF(OR('Parte Estrategica'!AP28=0,'Parte Estrategica'!AP28=""),0,IF(VLOOKUP($A28,'Matriz de Referencia'!$B$2:$CO$584,56,FALSE)=0,0,"Digite"))</f>
        <v>0</v>
      </c>
      <c r="EV28" s="454">
        <f>IF(OR('Parte Estrategica'!AP28=0,'Parte Estrategica'!AP28=""),0,IF(VLOOKUP($A28,'Matriz de Referencia'!$B$2:$CO$584,57,FALSE)=0,0,"Digite"))</f>
        <v>0</v>
      </c>
      <c r="EW28" s="454">
        <f>IF(OR('Parte Estrategica'!AP28=0,'Parte Estrategica'!AP28=""),0,IF(VLOOKUP($A28,'Matriz de Referencia'!$B$2:$CO$584,58,FALSE)=0,0,"Digite"))</f>
        <v>0</v>
      </c>
      <c r="EX28" s="454">
        <f>IF(OR('Parte Estrategica'!AP28=0,'Parte Estrategica'!AP28=""),0,IF(VLOOKUP($A28,'Matriz de Referencia'!$B$2:$CO$584,59,FALSE)=0,0,"Digite"))</f>
        <v>0</v>
      </c>
      <c r="EY28" s="454">
        <f>IF(OR('Parte Estrategica'!AP28=0,'Parte Estrategica'!AP28=""),0,IF(VLOOKUP($A28,'Matriz de Referencia'!$B$2:$CO$584,60,FALSE)=0,0,"Digite"))</f>
        <v>0</v>
      </c>
      <c r="EZ28" s="382">
        <f t="shared" si="32"/>
        <v>0</v>
      </c>
      <c r="FA28" s="454">
        <f>IF(OR('Parte Estrategica'!AP28=0,'Parte Estrategica'!AP28=""),0,IF(VLOOKUP($A28,'Matriz de Referencia'!$B$2:$CO$584,62,FALSE)=0,0,"Digite"))</f>
        <v>0</v>
      </c>
      <c r="FB28" s="454">
        <f>IF(OR('Parte Estrategica'!AP28=0,'Parte Estrategica'!AP28=""),0,IF(VLOOKUP($A28,'Matriz de Referencia'!$B$2:$CO$584,63,FALSE)=0,0,"Digite"))</f>
        <v>0</v>
      </c>
      <c r="FC28" s="454">
        <f>IF(OR('Parte Estrategica'!AP28=0,'Parte Estrategica'!AP28=""),0,IF(VLOOKUP($A28,'Matriz de Referencia'!$B$2:$CO$584,64,FALSE)=0,0,"Digite"))</f>
        <v>0</v>
      </c>
      <c r="FD28" s="382">
        <f t="shared" si="33"/>
        <v>0</v>
      </c>
      <c r="FE28" s="382">
        <f t="shared" si="34"/>
        <v>0</v>
      </c>
      <c r="FF28" s="453">
        <f>IF(OR('Parte Estrategica'!AQ28=0,'Parte Estrategica'!AQ28=""),0,IF(VLOOKUP($A28,'Matriz de Referencia'!$B$2:$CO$584,53,FALSE)=0,0,"Digite"))</f>
        <v>0</v>
      </c>
      <c r="FG28" s="454">
        <f>IF(OR('Parte Estrategica'!AQ28=0,'Parte Estrategica'!AQ28=""),0,IF(VLOOKUP($A28,'Matriz de Referencia'!$B$2:$CO$584,54,FALSE)=0,0,"Digite"))</f>
        <v>0</v>
      </c>
      <c r="FH28" s="454">
        <f>IF(OR('Parte Estrategica'!AQ28=0,'Parte Estrategica'!AQ28=""),0,IF(VLOOKUP($A28,'Matriz de Referencia'!$B$2:$CO$584,55,FALSE)=0,0,"Digite"))</f>
        <v>0</v>
      </c>
      <c r="FI28" s="454">
        <f>IF(OR('Parte Estrategica'!AQ28=0,'Parte Estrategica'!AQ28=""),0,IF(VLOOKUP($A28,'Matriz de Referencia'!$B$2:$CO$584,56,FALSE)=0,0,"Digite"))</f>
        <v>0</v>
      </c>
      <c r="FJ28" s="454">
        <f>IF(OR('Parte Estrategica'!AQ28=0,'Parte Estrategica'!AQ28=""),0,IF(VLOOKUP($A28,'Matriz de Referencia'!$B$2:$CO$584,57,FALSE)=0,0,"Digite"))</f>
        <v>0</v>
      </c>
      <c r="FK28" s="454">
        <f>IF(OR('Parte Estrategica'!AQ28=0,'Parte Estrategica'!AQ28=""),0,IF(VLOOKUP($A28,'Matriz de Referencia'!$B$2:$CO$584,58,FALSE)=0,0,"Digite"))</f>
        <v>0</v>
      </c>
      <c r="FL28" s="454">
        <f>IF(OR('Parte Estrategica'!AQ28=0,'Parte Estrategica'!AQ28=""),0,IF(VLOOKUP($A28,'Matriz de Referencia'!$B$2:$CO$584,59,FALSE)=0,0,"Digite"))</f>
        <v>0</v>
      </c>
      <c r="FM28" s="454">
        <f>IF(OR('Parte Estrategica'!AQ28=0,'Parte Estrategica'!AQ28=""),0,IF(VLOOKUP($A28,'Matriz de Referencia'!$B$2:$CO$584,60,FALSE)=0,0,"Digite"))</f>
        <v>0</v>
      </c>
      <c r="FN28" s="382">
        <f t="shared" si="35"/>
        <v>0</v>
      </c>
      <c r="FO28" s="454">
        <f>IF(OR('Parte Estrategica'!AQ28=0,'Parte Estrategica'!AQ28=""),0,IF(VLOOKUP($A28,'Matriz de Referencia'!$B$2:$CO$584,62,FALSE)=0,0,"Digite"))</f>
        <v>0</v>
      </c>
      <c r="FP28" s="454">
        <f>IF(OR('Parte Estrategica'!AQ28=0,'Parte Estrategica'!AQ28=""),0,IF(VLOOKUP($A28,'Matriz de Referencia'!$B$2:$CO$584,63,FALSE)=0,0,"Digite"))</f>
        <v>0</v>
      </c>
      <c r="FQ28" s="454">
        <f>IF(OR('Parte Estrategica'!AQ28=0,'Parte Estrategica'!AQ28=""),0,IF(VLOOKUP($A28,'Matriz de Referencia'!$B$2:$CO$584,64,FALSE)=0,0,"Digite"))</f>
        <v>0</v>
      </c>
      <c r="FR28" s="382">
        <f t="shared" si="36"/>
        <v>0</v>
      </c>
      <c r="FS28" s="382">
        <f t="shared" si="37"/>
        <v>0</v>
      </c>
      <c r="FT28" s="382">
        <f t="shared" si="38"/>
        <v>0</v>
      </c>
      <c r="FU28" s="101" t="str">
        <f>IFERROR(IF(FT28=0,"",IF(VLOOKUP($A28,'Matriz de Referencia'!$B$2:$CO$584,66,FALSE)=FT28,"Techos ok, cotinue","Debe revisar el valor programado")),"")</f>
        <v/>
      </c>
      <c r="FV28" s="453">
        <f>IF(OR('Parte Estrategica'!AT28=0,'Parte Estrategica'!AT28=""),0,IF(VLOOKUP($A28,'Matriz de Referencia'!$B$2:$CO$584,67,FALSE)=0,0,"Digite"))</f>
        <v>0</v>
      </c>
      <c r="FW28" s="454">
        <f>IF(OR('Parte Estrategica'!AT28=0,'Parte Estrategica'!AT28=""),0,IF(VLOOKUP($A28,'Matriz de Referencia'!$B$2:$CO$584,68,FALSE)=0,0,"Digite"))</f>
        <v>0</v>
      </c>
      <c r="FX28" s="454">
        <f>IF(OR('Parte Estrategica'!AT28=0,'Parte Estrategica'!AT28=""),0,IF(VLOOKUP($A28,'Matriz de Referencia'!$B$2:$CO$584,69,FALSE)=0,0,"Digite"))</f>
        <v>0</v>
      </c>
      <c r="FY28" s="454">
        <f>IF(OR('Parte Estrategica'!AT28=0,'Parte Estrategica'!AT28=""),0,IF(VLOOKUP($A28,'Matriz de Referencia'!$B$2:$CO$584,70,FALSE)=0,0,"Digite"))</f>
        <v>0</v>
      </c>
      <c r="FZ28" s="454">
        <f>IF(OR('Parte Estrategica'!AT28=0,'Parte Estrategica'!AT28=""),0,IF(VLOOKUP($A28,'Matriz de Referencia'!$B$2:$CO$584,71,FALSE)=0,0,"Digite"))</f>
        <v>0</v>
      </c>
      <c r="GA28" s="454">
        <f>IF(OR('Parte Estrategica'!AT28=0,'Parte Estrategica'!AT28=""),0,IF(VLOOKUP($A28,'Matriz de Referencia'!$B$2:$CO$584,72,FALSE)=0,0,"Digite"))</f>
        <v>0</v>
      </c>
      <c r="GB28" s="454">
        <f>IF(OR('Parte Estrategica'!AT28=0,'Parte Estrategica'!AT28=""),0,IF(VLOOKUP($A28,'Matriz de Referencia'!$B$2:$CO$584,73,FALSE)=0,0,"Digite"))</f>
        <v>0</v>
      </c>
      <c r="GC28" s="454">
        <f>IF(OR('Parte Estrategica'!AT28=0,'Parte Estrategica'!AT28=""),0,IF(VLOOKUP($A28,'Matriz de Referencia'!$B$2:$CO$584,74,FALSE)=0,0,"Digite"))</f>
        <v>0</v>
      </c>
      <c r="GD28" s="382">
        <f t="shared" si="39"/>
        <v>0</v>
      </c>
      <c r="GE28" s="454">
        <f>IF(OR('Parte Estrategica'!AT28=0,'Parte Estrategica'!AT28=""),0,IF(VLOOKUP($A28,'Matriz de Referencia'!$B$2:$CO$584,76,FALSE)=0,0,"Digite"))</f>
        <v>0</v>
      </c>
      <c r="GF28" s="454">
        <f>IF(OR('Parte Estrategica'!AT28=0,'Parte Estrategica'!AT28=""),0,IF(VLOOKUP($A28,'Matriz de Referencia'!$B$2:$CO$584,77,FALSE)=0,0,"Digite"))</f>
        <v>0</v>
      </c>
      <c r="GG28" s="454">
        <f>IF(OR('Parte Estrategica'!AT28=0,'Parte Estrategica'!AT28=""),0,IF(VLOOKUP($A28,'Matriz de Referencia'!$B$2:$CO$584,78,FALSE)=0,0,"Digite"))</f>
        <v>0</v>
      </c>
      <c r="GH28" s="382">
        <f t="shared" si="40"/>
        <v>0</v>
      </c>
      <c r="GI28" s="382">
        <f t="shared" si="41"/>
        <v>0</v>
      </c>
      <c r="GJ28" s="453">
        <f>IF(OR('Parte Estrategica'!AU28=0,'Parte Estrategica'!AU28=""),0,IF(VLOOKUP($A28,'Matriz de Referencia'!$B$2:$CO$584,67,FALSE)=0,0,"Digite"))</f>
        <v>0</v>
      </c>
      <c r="GK28" s="454">
        <f>IF(OR('Parte Estrategica'!AU28=0,'Parte Estrategica'!AU28=""),0,IF(VLOOKUP($A28,'Matriz de Referencia'!$B$2:$CO$584,68,FALSE)=0,0,"Digite"))</f>
        <v>0</v>
      </c>
      <c r="GL28" s="454">
        <f>IF(OR('Parte Estrategica'!AU28=0,'Parte Estrategica'!AU28=""),0,IF(VLOOKUP($A28,'Matriz de Referencia'!$B$2:$CO$584,69,FALSE)=0,0,"Digite"))</f>
        <v>0</v>
      </c>
      <c r="GM28" s="454">
        <f>IF(OR('Parte Estrategica'!AU28=0,'Parte Estrategica'!AU28=""),0,IF(VLOOKUP($A28,'Matriz de Referencia'!$B$2:$CO$584,70,FALSE)=0,0,"Digite"))</f>
        <v>0</v>
      </c>
      <c r="GN28" s="454">
        <f>IF(OR('Parte Estrategica'!AU28=0,'Parte Estrategica'!AU28=""),0,IF(VLOOKUP($A28,'Matriz de Referencia'!$B$2:$CO$584,71,FALSE)=0,0,"Digite"))</f>
        <v>0</v>
      </c>
      <c r="GO28" s="454">
        <f>IF(OR('Parte Estrategica'!AU28=0,'Parte Estrategica'!AU28=""),0,IF(VLOOKUP($A28,'Matriz de Referencia'!$B$2:$CO$584,72,FALSE)=0,0,"Digite"))</f>
        <v>0</v>
      </c>
      <c r="GP28" s="454">
        <f>IF(OR('Parte Estrategica'!AU28=0,'Parte Estrategica'!AU28=""),0,IF(VLOOKUP($A28,'Matriz de Referencia'!$B$2:$CO$584,73,FALSE)=0,0,"Digite"))</f>
        <v>0</v>
      </c>
      <c r="GQ28" s="454">
        <f>IF(OR('Parte Estrategica'!AU28=0,'Parte Estrategica'!AU28=""),0,IF(VLOOKUP($A28,'Matriz de Referencia'!$B$2:$CO$584,74,FALSE)=0,0,"Digite"))</f>
        <v>0</v>
      </c>
      <c r="GR28" s="382">
        <f t="shared" si="42"/>
        <v>0</v>
      </c>
      <c r="GS28" s="454">
        <f>IF(OR('Parte Estrategica'!AU28=0,'Parte Estrategica'!AU28=""),0,IF(VLOOKUP($A28,'Matriz de Referencia'!$B$2:$CO$584,76,FALSE)=0,0,"Digite"))</f>
        <v>0</v>
      </c>
      <c r="GT28" s="454">
        <f>IF(OR('Parte Estrategica'!AU28=0,'Parte Estrategica'!AU28=""),0,IF(VLOOKUP($A28,'Matriz de Referencia'!$B$2:$CO$584,77,FALSE)=0,0,"Digite"))</f>
        <v>0</v>
      </c>
      <c r="GU28" s="454">
        <f>IF(OR('Parte Estrategica'!AU28=0,'Parte Estrategica'!AU28=""),0,IF(VLOOKUP($A28,'Matriz de Referencia'!$B$2:$CO$584,78,FALSE)=0,0,"Digite"))</f>
        <v>0</v>
      </c>
      <c r="GV28" s="382">
        <f t="shared" si="43"/>
        <v>0</v>
      </c>
      <c r="GW28" s="382">
        <f t="shared" si="44"/>
        <v>0</v>
      </c>
      <c r="GX28" s="453">
        <f>IF(OR('Parte Estrategica'!AV28=0,'Parte Estrategica'!AV28=""),0,IF(VLOOKUP($A28,'Matriz de Referencia'!$B$2:$CO$584,67,FALSE)=0,0,"Digite"))</f>
        <v>0</v>
      </c>
      <c r="GY28" s="454">
        <f>IF(OR('Parte Estrategica'!AV28=0,'Parte Estrategica'!AV28=""),0,IF(VLOOKUP($A28,'Matriz de Referencia'!$B$2:$CO$584,68,FALSE)=0,0,"Digite"))</f>
        <v>0</v>
      </c>
      <c r="GZ28" s="454">
        <f>IF(OR('Parte Estrategica'!AV28=0,'Parte Estrategica'!AV28=""),0,IF(VLOOKUP($A28,'Matriz de Referencia'!$B$2:$CO$584,69,FALSE)=0,0,"Digite"))</f>
        <v>0</v>
      </c>
      <c r="HA28" s="454">
        <f>IF(OR('Parte Estrategica'!AV28=0,'Parte Estrategica'!AV28=""),0,IF(VLOOKUP($A28,'Matriz de Referencia'!$B$2:$CO$584,70,FALSE)=0,0,"Digite"))</f>
        <v>0</v>
      </c>
      <c r="HB28" s="454">
        <f>IF(OR('Parte Estrategica'!AV28=0,'Parte Estrategica'!AV28=""),0,IF(VLOOKUP($A28,'Matriz de Referencia'!$B$2:$CO$584,71,FALSE)=0,0,"Digite"))</f>
        <v>0</v>
      </c>
      <c r="HC28" s="454">
        <f>IF(OR('Parte Estrategica'!AV28=0,'Parte Estrategica'!AV28=""),0,IF(VLOOKUP($A28,'Matriz de Referencia'!$B$2:$CO$584,72,FALSE)=0,0,"Digite"))</f>
        <v>0</v>
      </c>
      <c r="HD28" s="454">
        <f>IF(OR('Parte Estrategica'!AV28=0,'Parte Estrategica'!AV28=""),0,IF(VLOOKUP($A28,'Matriz de Referencia'!$B$2:$CO$584,73,FALSE)=0,0,"Digite"))</f>
        <v>0</v>
      </c>
      <c r="HE28" s="454">
        <f>IF(OR('Parte Estrategica'!AV28=0,'Parte Estrategica'!AV28=""),0,IF(VLOOKUP($A28,'Matriz de Referencia'!$B$2:$CO$584,74,FALSE)=0,0,"Digite"))</f>
        <v>0</v>
      </c>
      <c r="HF28" s="382">
        <f t="shared" si="45"/>
        <v>0</v>
      </c>
      <c r="HG28" s="454">
        <f>IF(OR('Parte Estrategica'!AV28=0,'Parte Estrategica'!AV28=""),0,IF(VLOOKUP($A28,'Matriz de Referencia'!$B$2:$CO$584,76,FALSE)=0,0,"Digite"))</f>
        <v>0</v>
      </c>
      <c r="HH28" s="454">
        <f>IF(OR('Parte Estrategica'!AV28=0,'Parte Estrategica'!AV28=""),0,IF(VLOOKUP($A28,'Matriz de Referencia'!$B$2:$CO$584,77,FALSE)=0,0,"Digite"))</f>
        <v>0</v>
      </c>
      <c r="HI28" s="454">
        <f>IF(OR('Parte Estrategica'!AV28=0,'Parte Estrategica'!AV28=""),0,IF(VLOOKUP($A28,'Matriz de Referencia'!$B$2:$CO$584,78,FALSE)=0,0,"Digite"))</f>
        <v>0</v>
      </c>
      <c r="HJ28" s="382">
        <f t="shared" si="46"/>
        <v>0</v>
      </c>
      <c r="HK28" s="382">
        <f t="shared" si="47"/>
        <v>0</v>
      </c>
      <c r="HL28" s="453">
        <f>IF(OR('Parte Estrategica'!AW28=0,'Parte Estrategica'!AW28=""),0,IF(VLOOKUP($A28,'Matriz de Referencia'!$B$2:$CO$584,67,FALSE)=0,0,"Digite"))</f>
        <v>0</v>
      </c>
      <c r="HM28" s="454">
        <f>IF(OR('Parte Estrategica'!AW28=0,'Parte Estrategica'!AW28=""),0,IF(VLOOKUP($A28,'Matriz de Referencia'!$B$2:$CO$584,68,FALSE)=0,0,"Digite"))</f>
        <v>0</v>
      </c>
      <c r="HN28" s="454">
        <f>IF(OR('Parte Estrategica'!AW28=0,'Parte Estrategica'!AW28=""),0,IF(VLOOKUP($A28,'Matriz de Referencia'!$B$2:$CO$584,69,FALSE)=0,0,"Digite"))</f>
        <v>0</v>
      </c>
      <c r="HO28" s="454">
        <f>IF(OR('Parte Estrategica'!AW28=0,'Parte Estrategica'!AW28=""),0,IF(VLOOKUP($A28,'Matriz de Referencia'!$B$2:$CO$584,70,FALSE)=0,0,"Digite"))</f>
        <v>0</v>
      </c>
      <c r="HP28" s="454">
        <f>IF(OR('Parte Estrategica'!AW28=0,'Parte Estrategica'!AW28=""),0,IF(VLOOKUP($A28,'Matriz de Referencia'!$B$2:$CO$584,71,FALSE)=0,0,"Digite"))</f>
        <v>0</v>
      </c>
      <c r="HQ28" s="454">
        <f>IF(OR('Parte Estrategica'!AW28=0,'Parte Estrategica'!AW28=""),0,IF(VLOOKUP($A28,'Matriz de Referencia'!$B$2:$CO$584,72,FALSE)=0,0,"Digite"))</f>
        <v>0</v>
      </c>
      <c r="HR28" s="454">
        <f>IF(OR('Parte Estrategica'!AW28=0,'Parte Estrategica'!AW28=""),0,IF(VLOOKUP($A28,'Matriz de Referencia'!$B$2:$CO$584,73,FALSE)=0,0,"Digite"))</f>
        <v>0</v>
      </c>
      <c r="HS28" s="454">
        <f>IF(OR('Parte Estrategica'!AW28=0,'Parte Estrategica'!AW28=""),0,IF(VLOOKUP($A28,'Matriz de Referencia'!$B$2:$CO$584,74,FALSE)=0,0,"Digite"))</f>
        <v>0</v>
      </c>
      <c r="HT28" s="382">
        <f t="shared" si="48"/>
        <v>0</v>
      </c>
      <c r="HU28" s="454">
        <f>IF(OR('Parte Estrategica'!AW28=0,'Parte Estrategica'!AW28=""),0,IF(VLOOKUP($A28,'Matriz de Referencia'!$B$2:$CO$584,76,FALSE)=0,0,"Digite"))</f>
        <v>0</v>
      </c>
      <c r="HV28" s="454">
        <f>IF(OR('Parte Estrategica'!AW28=0,'Parte Estrategica'!AW28=""),0,IF(VLOOKUP($A28,'Matriz de Referencia'!$B$2:$CO$584,77,FALSE)=0,0,"Digite"))</f>
        <v>0</v>
      </c>
      <c r="HW28" s="454">
        <f>IF(OR('Parte Estrategica'!AW28=0,'Parte Estrategica'!AW28=""),0,IF(VLOOKUP($A28,'Matriz de Referencia'!$B$2:$CO$584,78,FALSE)=0,0,"Digite"))</f>
        <v>0</v>
      </c>
      <c r="HX28" s="382">
        <f t="shared" si="49"/>
        <v>0</v>
      </c>
      <c r="HY28" s="382">
        <f t="shared" si="50"/>
        <v>0</v>
      </c>
      <c r="HZ28" s="382">
        <f t="shared" si="51"/>
        <v>0</v>
      </c>
      <c r="IA28" s="101" t="str">
        <f>IFERROR(IF(HZ28=0,"",IF(VLOOKUP($A28,'Matriz de Referencia'!$B$2:$CO$584,80,FALSE)=HZ28,"Techos ok, cotinue","Debe revisar el valor programado")),"")</f>
        <v/>
      </c>
      <c r="IB28" s="383">
        <f t="shared" si="52"/>
        <v>0</v>
      </c>
    </row>
    <row r="29" spans="1:236">
      <c r="A29" s="550" t="str">
        <f>IF('Parte Estrategica'!B29=0,"",'Parte Estrategica'!B29)</f>
        <v/>
      </c>
      <c r="B29" s="551" t="str">
        <f>IFERROR(VLOOKUP(A29,'Matriz de Referencia'!$B$2:$P$578,'Matriz de Referencia'!L$1,FALSE),"")</f>
        <v/>
      </c>
      <c r="C29" s="551" t="str">
        <f>IFERROR(VLOOKUP(A29,'Matriz de Referencia'!$B$2:$P$584,'Matriz de Referencia'!M$1,FALSE),"")</f>
        <v/>
      </c>
      <c r="D29" s="455" t="str">
        <f>IF(OR('Parte Estrategica'!AB29=0,'Parte Estrategica'!AB29=""),"",IF(VLOOKUP($A29,'Matriz de Referencia'!$B$2:$CO$584,'Matriz de Referencia'!Z$1,FALSE)=0,"","Digite"))</f>
        <v/>
      </c>
      <c r="E29" s="456">
        <f>IF(OR('Parte Estrategica'!AB29=0,'Parte Estrategica'!AB29=""),0,IF(VLOOKUP($A29,'Matriz de Referencia'!$B$2:$CO$584,26,FALSE)=0,0,"Digite"))</f>
        <v>0</v>
      </c>
      <c r="F29" s="456">
        <f>IF(OR('Parte Estrategica'!AB29=0,'Parte Estrategica'!AB29=""),0,IF(VLOOKUP($A29,'Matriz de Referencia'!$B$2:$CO$584,27,FALSE)=0,0,"Digite"))</f>
        <v>0</v>
      </c>
      <c r="G29" s="456">
        <f>IF(OR('Parte Estrategica'!AB29=0,'Parte Estrategica'!AB29=""),0,IF(VLOOKUP($A29,'Matriz de Referencia'!$B$2:$CO$584,28,FALSE)=0,0,"Digite"))</f>
        <v>0</v>
      </c>
      <c r="H29" s="456">
        <f>IF(OR('Parte Estrategica'!AB29=0,'Parte Estrategica'!AB29=""),0,IF(VLOOKUP($A29,'Matriz de Referencia'!$B$2:$CO$584,29,FALSE)=0,0,"Digite"))</f>
        <v>0</v>
      </c>
      <c r="I29" s="456">
        <f>IF(OR('Parte Estrategica'!AB29=0,'Parte Estrategica'!AB29=""),0,IF(VLOOKUP($A29,'Matriz de Referencia'!$B$2:$CO$584,30,FALSE)=0,0,"Digite"))</f>
        <v>0</v>
      </c>
      <c r="J29" s="456">
        <f>IF(OR('Parte Estrategica'!AB29=0,'Parte Estrategica'!AB29=""),0,IF(VLOOKUP($A29,'Matriz de Referencia'!$B$2:$CO$584,31,FALSE)=0,0,"Digite"))</f>
        <v>0</v>
      </c>
      <c r="K29" s="456">
        <f>IF(OR('Parte Estrategica'!AB29=0,'Parte Estrategica'!AB29=""),0,IF(VLOOKUP($A29,'Matriz de Referencia'!$B$2:$CO$584,32,FALSE)=0,0,"Digite"))</f>
        <v>0</v>
      </c>
      <c r="L29" s="460">
        <f t="shared" si="0"/>
        <v>0</v>
      </c>
      <c r="M29" s="456">
        <f>IF(OR('Parte Estrategica'!AB29=0,'Parte Estrategica'!AB29=""),0,IF(VLOOKUP($A29,'Matriz de Referencia'!$B$2:$CO$584,34,FALSE)=0,0,"Digite"))</f>
        <v>0</v>
      </c>
      <c r="N29" s="456">
        <f>IF(OR('Parte Estrategica'!AB29=0,'Parte Estrategica'!AB29=""),0,IF(VLOOKUP($A29,'Matriz de Referencia'!$B$2:$CO$584,35,FALSE)=0,0,"Digite"))</f>
        <v>0</v>
      </c>
      <c r="O29" s="456">
        <f>IF(OR('Parte Estrategica'!AB29=0,'Parte Estrategica'!AB29=""),0,IF(VLOOKUP($A29,'Matriz de Referencia'!$B$2:$CO$584,36,FALSE)=0,0,"Digite"))</f>
        <v>0</v>
      </c>
      <c r="P29" s="457">
        <f t="shared" si="1"/>
        <v>0</v>
      </c>
      <c r="Q29" s="457">
        <f t="shared" si="2"/>
        <v>0</v>
      </c>
      <c r="R29" s="455">
        <f>IF(OR('Parte Estrategica'!AC29=0,'Parte Estrategica'!AC29=""),0,IF(VLOOKUP($A29,'Matriz de Referencia'!$B$2:$CO$584,25,FALSE)=0,0,"Digite"))</f>
        <v>0</v>
      </c>
      <c r="S29" s="456">
        <f>IF(OR('Parte Estrategica'!AC29=0,'Parte Estrategica'!AC29=""),0,IF(VLOOKUP($A29,'Matriz de Referencia'!$B$2:$CO$584,26,FALSE)=0,0,"Digite"))</f>
        <v>0</v>
      </c>
      <c r="T29" s="456">
        <f>IF(OR('Parte Estrategica'!AC29=0,'Parte Estrategica'!AC29=""),0,IF(VLOOKUP($A29,'Matriz de Referencia'!$B$2:$CO$584,27,FALSE)=0,0,"Digite"))</f>
        <v>0</v>
      </c>
      <c r="U29" s="456">
        <f>IF(OR('Parte Estrategica'!AC29=0,'Parte Estrategica'!AC29=""),0,IF(VLOOKUP($A29,'Matriz de Referencia'!$B$2:$CO$584,28,FALSE)=0,0,"Digite"))</f>
        <v>0</v>
      </c>
      <c r="V29" s="456">
        <f>IF(OR('Parte Estrategica'!AC29=0,'Parte Estrategica'!AC29=""),0,IF(VLOOKUP($A29,'Matriz de Referencia'!$B$2:$CO$584,29,FALSE)=0,0,"Digite"))</f>
        <v>0</v>
      </c>
      <c r="W29" s="456">
        <f>IF(OR('Parte Estrategica'!AC29=0,'Parte Estrategica'!AC29=""),0,IF(VLOOKUP($A29,'Matriz de Referencia'!$B$2:$CO$584,30,FALSE)=0,0,"Digite"))</f>
        <v>0</v>
      </c>
      <c r="X29" s="456">
        <f>IF(OR('Parte Estrategica'!AC29=0,'Parte Estrategica'!AC29=""),0,IF(VLOOKUP($A29,'Matriz de Referencia'!$B$2:$CO$584,31,FALSE)=0,0,"Digite"))</f>
        <v>0</v>
      </c>
      <c r="Y29" s="456">
        <f>IF(OR('Parte Estrategica'!AC29=0,'Parte Estrategica'!AC29=""),0,IF(VLOOKUP($A29,'Matriz de Referencia'!$B$2:$CO$584,32,FALSE)=0,0,"Digite"))</f>
        <v>0</v>
      </c>
      <c r="Z29" s="457">
        <f t="shared" si="3"/>
        <v>0</v>
      </c>
      <c r="AA29" s="456">
        <f>IF(OR('Parte Estrategica'!AC29=0,'Parte Estrategica'!AC29=""),0,IF(VLOOKUP($A29,'Matriz de Referencia'!$B$2:$CO$584,34,FALSE)=0,0,"Digite"))</f>
        <v>0</v>
      </c>
      <c r="AB29" s="456">
        <f>IF(OR('Parte Estrategica'!AC29=0,'Parte Estrategica'!AC29=""),0,IF(VLOOKUP($A29,'Matriz de Referencia'!$B$2:$CO$584,35,FALSE)=0,0,"Digite"))</f>
        <v>0</v>
      </c>
      <c r="AC29" s="456">
        <f>IF(OR('Parte Estrategica'!AC29=0,'Parte Estrategica'!AC29=""),0,IF(VLOOKUP($A29,'Matriz de Referencia'!$B$2:$CO$584,36,FALSE)=0,0,"Digite"))</f>
        <v>0</v>
      </c>
      <c r="AD29" s="457">
        <f t="shared" si="4"/>
        <v>0</v>
      </c>
      <c r="AE29" s="457">
        <f t="shared" si="5"/>
        <v>0</v>
      </c>
      <c r="AF29" s="455">
        <f>IF(OR('Parte Estrategica'!AD29=0,'Parte Estrategica'!AD29=""),0,IF(VLOOKUP($A29,'Matriz de Referencia'!$B$2:$CO$584,25,FALSE)=0,0,"Digite"))</f>
        <v>0</v>
      </c>
      <c r="AG29" s="456">
        <f>IF(OR('Parte Estrategica'!AD29=0,'Parte Estrategica'!AD29=""),0,IF(VLOOKUP($A29,'Matriz de Referencia'!$B$2:$CO$584,26,FALSE)=0,0,"Digite"))</f>
        <v>0</v>
      </c>
      <c r="AH29" s="456">
        <f>IF(OR('Parte Estrategica'!AD29=0,'Parte Estrategica'!AD29=""),0,IF(VLOOKUP($A29,'Matriz de Referencia'!$B$2:$CO$584,27,FALSE)=0,0,"Digite"))</f>
        <v>0</v>
      </c>
      <c r="AI29" s="456">
        <f>IF(OR('Parte Estrategica'!AD29=0,'Parte Estrategica'!AD29=""),0,IF(VLOOKUP($A29,'Matriz de Referencia'!$B$2:$CO$584,28,FALSE)=0,0,"Digite"))</f>
        <v>0</v>
      </c>
      <c r="AJ29" s="456">
        <f>IF(OR('Parte Estrategica'!AD29=0,'Parte Estrategica'!AD29=""),0,IF(VLOOKUP($A29,'Matriz de Referencia'!$B$2:$CO$584,29,FALSE)=0,0,"Digite"))</f>
        <v>0</v>
      </c>
      <c r="AK29" s="456">
        <f>IF(OR('Parte Estrategica'!AD29=0,'Parte Estrategica'!AD29=""),0,IF(VLOOKUP($A29,'Matriz de Referencia'!$B$2:$CO$584,30,FALSE)=0,0,"Digite"))</f>
        <v>0</v>
      </c>
      <c r="AL29" s="456">
        <f>IF(OR('Parte Estrategica'!AD29=0,'Parte Estrategica'!AD29=""),0,IF(VLOOKUP($A29,'Matriz de Referencia'!$B$2:$CO$584,31,FALSE)=0,0,"Digite"))</f>
        <v>0</v>
      </c>
      <c r="AM29" s="456">
        <f>IF(OR('Parte Estrategica'!AD29=0,'Parte Estrategica'!AD29=""),0,IF(VLOOKUP($A29,'Matriz de Referencia'!$B$2:$CO$584,32,FALSE)=0,0,"Digite"))</f>
        <v>0</v>
      </c>
      <c r="AN29" s="457">
        <f t="shared" si="6"/>
        <v>0</v>
      </c>
      <c r="AO29" s="456">
        <f>IF(OR('Parte Estrategica'!AD29=0,'Parte Estrategica'!AD29=""),0,IF(VLOOKUP($A29,'Matriz de Referencia'!$B$2:$CO$584,34,FALSE)=0,0,"Digite"))</f>
        <v>0</v>
      </c>
      <c r="AP29" s="456">
        <f>IF(OR('Parte Estrategica'!AD29=0,'Parte Estrategica'!AD29=""),0,IF(VLOOKUP($A29,'Matriz de Referencia'!$B$2:$CO$584,35,FALSE)=0,0,"Digite"))</f>
        <v>0</v>
      </c>
      <c r="AQ29" s="456">
        <f>IF(OR('Parte Estrategica'!AD29=0,'Parte Estrategica'!AD29=""),0,IF(VLOOKUP($A29,'Matriz de Referencia'!$B$2:$CO$584,36,FALSE)=0,0,"Digite"))</f>
        <v>0</v>
      </c>
      <c r="AR29" s="457">
        <f t="shared" si="7"/>
        <v>0</v>
      </c>
      <c r="AS29" s="457">
        <f t="shared" si="8"/>
        <v>0</v>
      </c>
      <c r="AT29" s="455">
        <f>IF(OR('Parte Estrategica'!AE29=0,'Parte Estrategica'!AE29=""),0,IF(VLOOKUP($A29,'Matriz de Referencia'!$B$2:$CO$584,25,FALSE)=0,0,"Digite"))</f>
        <v>0</v>
      </c>
      <c r="AU29" s="456">
        <f>IF(OR('Parte Estrategica'!AE29=0,'Parte Estrategica'!AE29=""),0,IF(VLOOKUP($A29,'Matriz de Referencia'!$B$2:$CO$584,26,FALSE)=0,0,"Digite"))</f>
        <v>0</v>
      </c>
      <c r="AV29" s="456">
        <f>IF(OR('Parte Estrategica'!AE29=0,'Parte Estrategica'!AE29=""),0,IF(VLOOKUP($A29,'Matriz de Referencia'!$B$2:$CO$584,27,FALSE)=0,0,"Digite"))</f>
        <v>0</v>
      </c>
      <c r="AW29" s="456">
        <f>IF(OR('Parte Estrategica'!AE29=0,'Parte Estrategica'!AE29=""),0,IF(VLOOKUP($A29,'Matriz de Referencia'!$B$2:$CO$584,28,FALSE)=0,0,"Digite"))</f>
        <v>0</v>
      </c>
      <c r="AX29" s="456">
        <f>IF(OR('Parte Estrategica'!AE29=0,'Parte Estrategica'!AE29=""),0,IF(VLOOKUP($A29,'Matriz de Referencia'!$B$2:$CO$584,29,FALSE)=0,0,"Digite"))</f>
        <v>0</v>
      </c>
      <c r="AY29" s="456">
        <f>IF(OR('Parte Estrategica'!AE29=0,'Parte Estrategica'!AE29=""),0,IF(VLOOKUP($A29,'Matriz de Referencia'!$B$2:$CO$584,30,FALSE)=0,0,"Digite"))</f>
        <v>0</v>
      </c>
      <c r="AZ29" s="456">
        <f>IF(OR('Parte Estrategica'!AE29=0,'Parte Estrategica'!AE29=""),0,IF(VLOOKUP($A29,'Matriz de Referencia'!$B$2:$CO$584,31,FALSE)=0,0,"Digite"))</f>
        <v>0</v>
      </c>
      <c r="BA29" s="456">
        <f>IF(OR('Parte Estrategica'!AE29=0,'Parte Estrategica'!AE29=""),0,IF(VLOOKUP($A29,'Matriz de Referencia'!$B$2:$CO$584,32,FALSE)=0,0,"Digite"))</f>
        <v>0</v>
      </c>
      <c r="BB29" s="457">
        <f t="shared" si="9"/>
        <v>0</v>
      </c>
      <c r="BC29" s="456">
        <f>IF(OR('Parte Estrategica'!AE29=0,'Parte Estrategica'!AE29=""),0,IF(VLOOKUP($A29,'Matriz de Referencia'!$B$2:$CO$584,34,FALSE)=0,0,"Digite"))</f>
        <v>0</v>
      </c>
      <c r="BD29" s="456">
        <f>IF(OR('Parte Estrategica'!AE29=0,'Parte Estrategica'!AE29=""),0,IF(VLOOKUP($A29,'Matriz de Referencia'!$B$2:$CO$584,35,FALSE)=0,0,"Digite"))</f>
        <v>0</v>
      </c>
      <c r="BE29" s="456">
        <f>IF(OR('Parte Estrategica'!AE29=0,'Parte Estrategica'!AE29=""),0,IF(VLOOKUP($A29,'Matriz de Referencia'!$B$2:$CO$584,36,FALSE)=0,0,"Digite"))</f>
        <v>0</v>
      </c>
      <c r="BF29" s="457">
        <f t="shared" si="10"/>
        <v>0</v>
      </c>
      <c r="BG29" s="457">
        <f t="shared" si="11"/>
        <v>0</v>
      </c>
      <c r="BH29" s="457">
        <f t="shared" si="12"/>
        <v>0</v>
      </c>
      <c r="BI29" s="101" t="str">
        <f>IFERROR(IF(BH29=0,"",IF(VLOOKUP($A29,'Matriz de Referencia'!$B$2:$CO$584,'Matriz de Referencia'!AM$1,FALSE)=BH29,"Techos ok, cotinue","Debe revisar el valor programado")),"")</f>
        <v/>
      </c>
      <c r="BJ29" s="453">
        <f>IF(OR('Parte Estrategica'!AH29=0,'Parte Estrategica'!AH29=""),0,IF(VLOOKUP($A29,'Matriz de Referencia'!$B$2:$CO$584,39,FALSE)=0,0,"Digite"))</f>
        <v>0</v>
      </c>
      <c r="BK29" s="454">
        <f>IF(OR('Parte Estrategica'!AH29=0,'Parte Estrategica'!AH29=""),0,IF(VLOOKUP($A29,'Matriz de Referencia'!$B$2:$CO$584,40,FALSE)=0,0,"Digite"))</f>
        <v>0</v>
      </c>
      <c r="BL29" s="454">
        <f>IF(OR('Parte Estrategica'!AH29=0,'Parte Estrategica'!AH29=""),0,IF(VLOOKUP($A29,'Matriz de Referencia'!$B$2:$CO$584,41,FALSE)=0,0,"Digite"))</f>
        <v>0</v>
      </c>
      <c r="BM29" s="454">
        <f>IF(OR('Parte Estrategica'!AH29=0,'Parte Estrategica'!AH29=""),0,IF(VLOOKUP($A29,'Matriz de Referencia'!$B$2:$CO$584,42,FALSE)=0,0,"Digite"))</f>
        <v>0</v>
      </c>
      <c r="BN29" s="454">
        <f>IF(OR('Parte Estrategica'!AH29=0,'Parte Estrategica'!AH29=""),0,IF(VLOOKUP($A29,'Matriz de Referencia'!$B$2:$CO$584,43,FALSE)=0,0,"Digite"))</f>
        <v>0</v>
      </c>
      <c r="BO29" s="454">
        <f>IF(OR('Parte Estrategica'!AH29=0,'Parte Estrategica'!AH29=""),0,IF(VLOOKUP($A29,'Matriz de Referencia'!$B$2:$CO$584,44,FALSE)=0,0,"Digite"))</f>
        <v>0</v>
      </c>
      <c r="BP29" s="454">
        <f>IF(OR('Parte Estrategica'!AH29=0,'Parte Estrategica'!AH29=""),0,IF(VLOOKUP($A29,'Matriz de Referencia'!$B$2:$CO$584,45,FALSE)=0,0,"Digite"))</f>
        <v>0</v>
      </c>
      <c r="BQ29" s="454">
        <f>IF(OR('Parte Estrategica'!AH29=0,'Parte Estrategica'!AH29=""),0,IF(VLOOKUP($A29,'Matriz de Referencia'!$B$2:$CO$584,46,FALSE)=0,0,"Digite"))</f>
        <v>0</v>
      </c>
      <c r="BR29" s="382">
        <f t="shared" si="13"/>
        <v>0</v>
      </c>
      <c r="BS29" s="454">
        <f>IF(OR('Parte Estrategica'!CL29=0,'Parte Estrategica'!CL29=""),0,IF(VLOOKUP($A29,'Matriz de Referencia'!$B$2:$CO$584,48,FALSE)=0,0,"Digite"))</f>
        <v>0</v>
      </c>
      <c r="BT29" s="454">
        <f>IF(OR('Parte Estrategica'!CL29=0,'Parte Estrategica'!CL29=""),0,IF(VLOOKUP($A29,'Matriz de Referencia'!$B$2:$CO$584,49,FALSE)=0,0,"Digite"))</f>
        <v>0</v>
      </c>
      <c r="BU29" s="454">
        <f>IF(OR('Parte Estrategica'!CL29=0,'Parte Estrategica'!CL29=""),0,IF(VLOOKUP($A29,'Matriz de Referencia'!$B$2:$CO$584,50,FALSE)=0,0,"Digite"))</f>
        <v>0</v>
      </c>
      <c r="BV29" s="382">
        <f t="shared" si="14"/>
        <v>0</v>
      </c>
      <c r="BW29" s="382">
        <f t="shared" si="15"/>
        <v>0</v>
      </c>
      <c r="BX29" s="453">
        <f>IF(OR('Parte Estrategica'!AI29=0,'Parte Estrategica'!AI29=""),0,IF(VLOOKUP($A29,'Matriz de Referencia'!$B$2:$CO$584,39,FALSE)=0,0,"Digite"))</f>
        <v>0</v>
      </c>
      <c r="BY29" s="454">
        <f>IF(OR('Parte Estrategica'!AI29=0,'Parte Estrategica'!AI29=""),0,IF(VLOOKUP($A29,'Matriz de Referencia'!$B$2:$CO$584,40,FALSE)=0,0,"Digite"))</f>
        <v>0</v>
      </c>
      <c r="BZ29" s="454">
        <f>IF(OR('Parte Estrategica'!AI29=0,'Parte Estrategica'!AI29=""),0,IF(VLOOKUP($A29,'Matriz de Referencia'!$B$2:$CO$584,41,FALSE)=0,0,"Digite"))</f>
        <v>0</v>
      </c>
      <c r="CA29" s="454">
        <f>IF(OR('Parte Estrategica'!AI29=0,'Parte Estrategica'!AI29=""),0,IF(VLOOKUP($A29,'Matriz de Referencia'!$B$2:$CO$584,42,FALSE)=0,0,"Digite"))</f>
        <v>0</v>
      </c>
      <c r="CB29" s="454">
        <f>IF(OR('Parte Estrategica'!AI29=0,'Parte Estrategica'!AI29=""),0,IF(VLOOKUP($A29,'Matriz de Referencia'!$B$2:$CO$584,43,FALSE)=0,0,"Digite"))</f>
        <v>0</v>
      </c>
      <c r="CC29" s="454">
        <f>IF(OR('Parte Estrategica'!AI29=0,'Parte Estrategica'!AI29=""),0,IF(VLOOKUP($A29,'Matriz de Referencia'!$B$2:$CO$584,44,FALSE)=0,0,"Digite"))</f>
        <v>0</v>
      </c>
      <c r="CD29" s="454">
        <f>IF(OR('Parte Estrategica'!AI29=0,'Parte Estrategica'!AI29=""),0,IF(VLOOKUP($A29,'Matriz de Referencia'!$B$2:$CO$584,45,FALSE)=0,0,"Digite"))</f>
        <v>0</v>
      </c>
      <c r="CE29" s="454">
        <f>IF(OR('Parte Estrategica'!AI29=0,'Parte Estrategica'!AI29=""),0,IF(VLOOKUP($A29,'Matriz de Referencia'!$B$2:$CO$584,46,FALSE)=0,0,"Digite"))</f>
        <v>0</v>
      </c>
      <c r="CF29" s="382">
        <f t="shared" si="16"/>
        <v>0</v>
      </c>
      <c r="CG29" s="454">
        <f>IF(OR('Parte Estrategica'!AI29=0,'Parte Estrategica'!AI29=""),0,IF(VLOOKUP($A29,'Matriz de Referencia'!$B$2:$CO$584,48,FALSE)=0,0,"Digite"))</f>
        <v>0</v>
      </c>
      <c r="CH29" s="454">
        <f>IF(OR('Parte Estrategica'!AI29=0,'Parte Estrategica'!AI29=""),0,IF(VLOOKUP($A29,'Matriz de Referencia'!$B$2:$CO$584,49,FALSE)=0,0,"Digite"))</f>
        <v>0</v>
      </c>
      <c r="CI29" s="454">
        <f>IF(OR('Parte Estrategica'!AI29=0,'Parte Estrategica'!AI29=""),0,IF(VLOOKUP($A29,'Matriz de Referencia'!$B$2:$CO$584,50,FALSE)=0,0,"Digite"))</f>
        <v>0</v>
      </c>
      <c r="CJ29" s="382">
        <f t="shared" si="17"/>
        <v>0</v>
      </c>
      <c r="CK29" s="382">
        <f t="shared" si="18"/>
        <v>0</v>
      </c>
      <c r="CL29" s="453">
        <f>IF(OR('Parte Estrategica'!AJ29=0,'Parte Estrategica'!AJ29=""),0,IF(VLOOKUP($A29,'Matriz de Referencia'!$B$2:$CO$584,39,FALSE)=0,0,"Digite"))</f>
        <v>0</v>
      </c>
      <c r="CM29" s="454">
        <f>IF(OR('Parte Estrategica'!AJ29=0,'Parte Estrategica'!AJ29=""),0,IF(VLOOKUP($A29,'Matriz de Referencia'!$B$2:$CO$584,40,FALSE)=0,0,"Digite"))</f>
        <v>0</v>
      </c>
      <c r="CN29" s="454">
        <f>IF(OR('Parte Estrategica'!AJ29=0,'Parte Estrategica'!AJ29=""),0,IF(VLOOKUP($A29,'Matriz de Referencia'!$B$2:$CO$584,41,FALSE)=0,0,"Digite"))</f>
        <v>0</v>
      </c>
      <c r="CO29" s="454">
        <f>IF(OR('Parte Estrategica'!AJ29=0,'Parte Estrategica'!AJ29=""),0,IF(VLOOKUP($A29,'Matriz de Referencia'!$B$2:$CO$584,42,FALSE)=0,0,"Digite"))</f>
        <v>0</v>
      </c>
      <c r="CP29" s="454">
        <f>IF(OR('Parte Estrategica'!AJ29=0,'Parte Estrategica'!AJ29=""),0,IF(VLOOKUP($A29,'Matriz de Referencia'!$B$2:$CO$584,43,FALSE)=0,0,"Digite"))</f>
        <v>0</v>
      </c>
      <c r="CQ29" s="454">
        <f>IF(OR('Parte Estrategica'!AJ29=0,'Parte Estrategica'!AJ29=""),0,IF(VLOOKUP($A29,'Matriz de Referencia'!$B$2:$CO$584,44,FALSE)=0,0,"Digite"))</f>
        <v>0</v>
      </c>
      <c r="CR29" s="454">
        <f>IF(OR('Parte Estrategica'!AJ29=0,'Parte Estrategica'!AJ29=""),0,IF(VLOOKUP($A29,'Matriz de Referencia'!$B$2:$CO$584,45,FALSE)=0,0,"Digite"))</f>
        <v>0</v>
      </c>
      <c r="CS29" s="454">
        <f>IF(OR('Parte Estrategica'!AJ29=0,'Parte Estrategica'!AJ29=""),0,IF(VLOOKUP($A29,'Matriz de Referencia'!$B$2:$CO$584,46,FALSE)=0,0,"Digite"))</f>
        <v>0</v>
      </c>
      <c r="CT29" s="382">
        <f t="shared" si="19"/>
        <v>0</v>
      </c>
      <c r="CU29" s="454">
        <f>IF(OR('Parte Estrategica'!AJ29=0,'Parte Estrategica'!AJ29=""),0,IF(VLOOKUP($A29,'Matriz de Referencia'!$B$2:$CO$584,48,FALSE)=0,0,"Digite"))</f>
        <v>0</v>
      </c>
      <c r="CV29" s="454">
        <f>IF(OR('Parte Estrategica'!AJ29=0,'Parte Estrategica'!AJ29=""),0,IF(VLOOKUP($A29,'Matriz de Referencia'!$B$2:$CO$584,49,FALSE)=0,0,"Digite"))</f>
        <v>0</v>
      </c>
      <c r="CW29" s="454">
        <f>IF(OR('Parte Estrategica'!AJ29=0,'Parte Estrategica'!AJ29=""),0,IF(VLOOKUP($A29,'Matriz de Referencia'!$B$2:$CO$584,50,FALSE)=0,0,"Digite"))</f>
        <v>0</v>
      </c>
      <c r="CX29" s="382">
        <f t="shared" si="20"/>
        <v>0</v>
      </c>
      <c r="CY29" s="382">
        <f t="shared" si="21"/>
        <v>0</v>
      </c>
      <c r="CZ29" s="453">
        <f>IF(OR('Parte Estrategica'!AK29=0,'Parte Estrategica'!AK29=""),0,IF(VLOOKUP($A29,'Matriz de Referencia'!$B$2:$CO$584,39,FALSE)=0,0,"Digite"))</f>
        <v>0</v>
      </c>
      <c r="DA29" s="454">
        <f>IF(OR('Parte Estrategica'!AK29=0,'Parte Estrategica'!AK29=""),0,IF(VLOOKUP($A29,'Matriz de Referencia'!$B$2:$CO$584,40,FALSE)=0,0,"Digite"))</f>
        <v>0</v>
      </c>
      <c r="DB29" s="454">
        <f>IF(OR('Parte Estrategica'!AK29=0,'Parte Estrategica'!AK29=""),0,IF(VLOOKUP($A29,'Matriz de Referencia'!$B$2:$CO$584,41,FALSE)=0,0,"Digite"))</f>
        <v>0</v>
      </c>
      <c r="DC29" s="454">
        <f>IF(OR('Parte Estrategica'!AK29=0,'Parte Estrategica'!AK29=""),0,IF(VLOOKUP($A29,'Matriz de Referencia'!$B$2:$CO$584,42,FALSE)=0,0,"Digite"))</f>
        <v>0</v>
      </c>
      <c r="DD29" s="454">
        <f>IF(OR('Parte Estrategica'!AK29=0,'Parte Estrategica'!AK29=""),0,IF(VLOOKUP($A29,'Matriz de Referencia'!$B$2:$CO$584,43,FALSE)=0,0,"Digite"))</f>
        <v>0</v>
      </c>
      <c r="DE29" s="454">
        <f>IF(OR('Parte Estrategica'!AK29=0,'Parte Estrategica'!AK29=""),0,IF(VLOOKUP($A29,'Matriz de Referencia'!$B$2:$CO$584,44,FALSE)=0,0,"Digite"))</f>
        <v>0</v>
      </c>
      <c r="DF29" s="454">
        <f>IF(OR('Parte Estrategica'!AK29=0,'Parte Estrategica'!AK29=""),0,IF(VLOOKUP($A29,'Matriz de Referencia'!$B$2:$CO$584,45,FALSE)=0,0,"Digite"))</f>
        <v>0</v>
      </c>
      <c r="DG29" s="454">
        <f>IF(OR('Parte Estrategica'!AK29=0,'Parte Estrategica'!AK29=""),0,IF(VLOOKUP($A29,'Matriz de Referencia'!$B$2:$CO$584,46,FALSE)=0,0,"Digite"))</f>
        <v>0</v>
      </c>
      <c r="DH29" s="382">
        <f t="shared" si="22"/>
        <v>0</v>
      </c>
      <c r="DI29" s="454">
        <f>IF(OR('Parte Estrategica'!AK29=0,'Parte Estrategica'!AK29=""),0,IF(VLOOKUP($A29,'Matriz de Referencia'!$B$2:$CO$584,48,FALSE)=0,0,"Digite"))</f>
        <v>0</v>
      </c>
      <c r="DJ29" s="454">
        <f>IF(OR('Parte Estrategica'!AK29=0,'Parte Estrategica'!AK29=""),0,IF(VLOOKUP($A29,'Matriz de Referencia'!$B$2:$CO$584,49,FALSE)=0,0,"Digite"))</f>
        <v>0</v>
      </c>
      <c r="DK29" s="454">
        <f>IF(OR('Parte Estrategica'!AK29=0,'Parte Estrategica'!AK29=""),0,IF(VLOOKUP($A29,'Matriz de Referencia'!$B$2:$CO$584,50,FALSE)=0,0,"Digite"))</f>
        <v>0</v>
      </c>
      <c r="DL29" s="382">
        <f t="shared" si="23"/>
        <v>0</v>
      </c>
      <c r="DM29" s="382">
        <f t="shared" si="24"/>
        <v>0</v>
      </c>
      <c r="DN29" s="382">
        <f t="shared" si="25"/>
        <v>0</v>
      </c>
      <c r="DO29" s="101" t="str">
        <f>IFERROR(IF(DN29=0,"",IF(VLOOKUP($A29,'Matriz de Referencia'!$B$2:$CO$584,52,FALSE)=DN29,"Techos ok, cotinue","Debe revisar el valor programado")),"")</f>
        <v/>
      </c>
      <c r="DP29" s="453">
        <f>IF(OR('Parte Estrategica'!AN29=0,'Parte Estrategica'!AN29=""),0,IF(VLOOKUP($A29,'Matriz de Referencia'!$B$2:$CO$584,53,FALSE)=0,0,"Digite"))</f>
        <v>0</v>
      </c>
      <c r="DQ29" s="454">
        <f>IF(OR('Parte Estrategica'!AN29=0,'Parte Estrategica'!AN29=""),0,IF(VLOOKUP($A29,'Matriz de Referencia'!$B$2:$CO$584,54,FALSE)=0,0,"Digite"))</f>
        <v>0</v>
      </c>
      <c r="DR29" s="454">
        <f>IF(OR('Parte Estrategica'!AN29=0,'Parte Estrategica'!AN29=""),0,IF(VLOOKUP($A29,'Matriz de Referencia'!$B$2:$CO$584,55,FALSE)=0,0,"Digite"))</f>
        <v>0</v>
      </c>
      <c r="DS29" s="454">
        <f>IF(OR('Parte Estrategica'!AN29=0,'Parte Estrategica'!AN29=""),0,IF(VLOOKUP($A29,'Matriz de Referencia'!$B$2:$CO$584,56,FALSE)=0,0,"Digite"))</f>
        <v>0</v>
      </c>
      <c r="DT29" s="454">
        <f>IF(OR('Parte Estrategica'!AN29=0,'Parte Estrategica'!AN29=""),0,IF(VLOOKUP($A29,'Matriz de Referencia'!$B$2:$CO$584,57,FALSE)=0,0,"Digite"))</f>
        <v>0</v>
      </c>
      <c r="DU29" s="454">
        <f>IF(OR('Parte Estrategica'!AN29=0,'Parte Estrategica'!AN29=""),0,IF(VLOOKUP($A29,'Matriz de Referencia'!$B$2:$CO$584,58,FALSE)=0,0,"Digite"))</f>
        <v>0</v>
      </c>
      <c r="DV29" s="454">
        <f>IF(OR('Parte Estrategica'!AN29=0,'Parte Estrategica'!AN29=""),0,IF(VLOOKUP($A29,'Matriz de Referencia'!$B$2:$CO$584,59,FALSE)=0,0,"Digite"))</f>
        <v>0</v>
      </c>
      <c r="DW29" s="454">
        <f>IF(OR('Parte Estrategica'!AN29=0,'Parte Estrategica'!AN29=""),0,IF(VLOOKUP($A29,'Matriz de Referencia'!$B$2:$CO$584,60,FALSE)=0,0,"Digite"))</f>
        <v>0</v>
      </c>
      <c r="DX29" s="382">
        <f t="shared" si="26"/>
        <v>0</v>
      </c>
      <c r="DY29" s="454">
        <f>IF(OR('Parte Estrategica'!AN29=0,'Parte Estrategica'!AN29=""),0,IF(VLOOKUP($A29,'Matriz de Referencia'!$B$2:$CO$584,62,FALSE)=0,0,"Digite"))</f>
        <v>0</v>
      </c>
      <c r="DZ29" s="454">
        <f>IF(OR('Parte Estrategica'!AN29=0,'Parte Estrategica'!AN29=""),0,IF(VLOOKUP($A29,'Matriz de Referencia'!$B$2:$CO$584,63,FALSE)=0,0,"Digite"))</f>
        <v>0</v>
      </c>
      <c r="EA29" s="454" t="str">
        <f>IF(OR('Parte Estrategica'!AN29=0,'Parte Estrategica'!AN29=""),"",IF(VLOOKUP($A29,'Matriz de Referencia'!$B$2:$CO$584,64,FALSE)=0,"","Digite"))</f>
        <v/>
      </c>
      <c r="EB29" s="382">
        <f t="shared" si="27"/>
        <v>0</v>
      </c>
      <c r="EC29" s="382">
        <f t="shared" si="28"/>
        <v>0</v>
      </c>
      <c r="ED29" s="453">
        <f>IF(OR('Parte Estrategica'!AO29=0,'Parte Estrategica'!AO29=""),0,IF(VLOOKUP($A29,'Matriz de Referencia'!$B$2:$CO$584,53,FALSE)=0,0,"Digite"))</f>
        <v>0</v>
      </c>
      <c r="EE29" s="454">
        <f>IF(OR('Parte Estrategica'!AO29=0,'Parte Estrategica'!AO29=""),0,IF(VLOOKUP($A29,'Matriz de Referencia'!$B$2:$CO$584,54,FALSE)=0,0,"Digite"))</f>
        <v>0</v>
      </c>
      <c r="EF29" s="454">
        <f>IF(OR('Parte Estrategica'!AO29=0,'Parte Estrategica'!AO29=""),0,IF(VLOOKUP($A29,'Matriz de Referencia'!$B$2:$CO$584,55,FALSE)=0,0,"Digite"))</f>
        <v>0</v>
      </c>
      <c r="EG29" s="454">
        <f>IF(OR('Parte Estrategica'!AO29=0,'Parte Estrategica'!AO29=""),0,IF(VLOOKUP($A29,'Matriz de Referencia'!$B$2:$CO$584,56,FALSE)=0,0,"Digite"))</f>
        <v>0</v>
      </c>
      <c r="EH29" s="454">
        <f>IF(OR('Parte Estrategica'!AO29=0,'Parte Estrategica'!AO29=""),0,IF(VLOOKUP($A29,'Matriz de Referencia'!$B$2:$CO$584,57,FALSE)=0,0,"Digite"))</f>
        <v>0</v>
      </c>
      <c r="EI29" s="454">
        <f>IF(OR('Parte Estrategica'!AO29=0,'Parte Estrategica'!AO29=""),0,IF(VLOOKUP($A29,'Matriz de Referencia'!$B$2:$CO$584,58,FALSE)=0,0,"Digite"))</f>
        <v>0</v>
      </c>
      <c r="EJ29" s="454">
        <f>IF(OR('Parte Estrategica'!AO29=0,'Parte Estrategica'!AO29=""),0,IF(VLOOKUP($A29,'Matriz de Referencia'!$B$2:$CO$584,59,FALSE)=0,0,"Digite"))</f>
        <v>0</v>
      </c>
      <c r="EK29" s="454">
        <f>IF(OR('Parte Estrategica'!AO29=0,'Parte Estrategica'!AO29=""),0,IF(VLOOKUP($A29,'Matriz de Referencia'!$B$2:$CO$584,60,FALSE)=0,0,"Digite"))</f>
        <v>0</v>
      </c>
      <c r="EL29" s="382">
        <f t="shared" si="29"/>
        <v>0</v>
      </c>
      <c r="EM29" s="454">
        <f>IF(OR('Parte Estrategica'!AO29=0,'Parte Estrategica'!AO29=""),0,IF(VLOOKUP($A29,'Matriz de Referencia'!$B$2:$CO$584,62,FALSE)=0,0,"Digite"))</f>
        <v>0</v>
      </c>
      <c r="EN29" s="454">
        <f>IF(OR('Parte Estrategica'!AO29=0,'Parte Estrategica'!AO29=""),0,IF(VLOOKUP($A29,'Matriz de Referencia'!$B$2:$CO$584,63,FALSE)=0,0,"Digite"))</f>
        <v>0</v>
      </c>
      <c r="EO29" s="454">
        <f>IF(OR('Parte Estrategica'!AO29=0,'Parte Estrategica'!AO29=""),0,IF(VLOOKUP($A29,'Matriz de Referencia'!$B$2:$CO$584,64,FALSE)=0,0,"Digite"))</f>
        <v>0</v>
      </c>
      <c r="EP29" s="382">
        <f t="shared" si="30"/>
        <v>0</v>
      </c>
      <c r="EQ29" s="382">
        <f t="shared" si="31"/>
        <v>0</v>
      </c>
      <c r="ER29" s="453">
        <f>IF(OR('Parte Estrategica'!AP29=0,'Parte Estrategica'!AP29=""),0,IF(VLOOKUP($A29,'Matriz de Referencia'!$B$2:$CO$584,53,FALSE)=0,0,"Digite"))</f>
        <v>0</v>
      </c>
      <c r="ES29" s="454">
        <f>IF(OR('Parte Estrategica'!AP29=0,'Parte Estrategica'!AP29=""),0,IF(VLOOKUP($A29,'Matriz de Referencia'!$B$2:$CO$584,54,FALSE)=0,0,"Digite"))</f>
        <v>0</v>
      </c>
      <c r="ET29" s="454">
        <f>IF(OR('Parte Estrategica'!AP29=0,'Parte Estrategica'!AP29=""),0,IF(VLOOKUP($A29,'Matriz de Referencia'!$B$2:$CO$584,55,FALSE)=0,0,"Digite"))</f>
        <v>0</v>
      </c>
      <c r="EU29" s="454">
        <f>IF(OR('Parte Estrategica'!AP29=0,'Parte Estrategica'!AP29=""),0,IF(VLOOKUP($A29,'Matriz de Referencia'!$B$2:$CO$584,56,FALSE)=0,0,"Digite"))</f>
        <v>0</v>
      </c>
      <c r="EV29" s="454">
        <f>IF(OR('Parte Estrategica'!AP29=0,'Parte Estrategica'!AP29=""),0,IF(VLOOKUP($A29,'Matriz de Referencia'!$B$2:$CO$584,57,FALSE)=0,0,"Digite"))</f>
        <v>0</v>
      </c>
      <c r="EW29" s="454">
        <f>IF(OR('Parte Estrategica'!AP29=0,'Parte Estrategica'!AP29=""),0,IF(VLOOKUP($A29,'Matriz de Referencia'!$B$2:$CO$584,58,FALSE)=0,0,"Digite"))</f>
        <v>0</v>
      </c>
      <c r="EX29" s="454">
        <f>IF(OR('Parte Estrategica'!AP29=0,'Parte Estrategica'!AP29=""),0,IF(VLOOKUP($A29,'Matriz de Referencia'!$B$2:$CO$584,59,FALSE)=0,0,"Digite"))</f>
        <v>0</v>
      </c>
      <c r="EY29" s="454">
        <f>IF(OR('Parte Estrategica'!AP29=0,'Parte Estrategica'!AP29=""),0,IF(VLOOKUP($A29,'Matriz de Referencia'!$B$2:$CO$584,60,FALSE)=0,0,"Digite"))</f>
        <v>0</v>
      </c>
      <c r="EZ29" s="382">
        <f t="shared" si="32"/>
        <v>0</v>
      </c>
      <c r="FA29" s="454">
        <f>IF(OR('Parte Estrategica'!AP29=0,'Parte Estrategica'!AP29=""),0,IF(VLOOKUP($A29,'Matriz de Referencia'!$B$2:$CO$584,62,FALSE)=0,0,"Digite"))</f>
        <v>0</v>
      </c>
      <c r="FB29" s="454">
        <f>IF(OR('Parte Estrategica'!AP29=0,'Parte Estrategica'!AP29=""),0,IF(VLOOKUP($A29,'Matriz de Referencia'!$B$2:$CO$584,63,FALSE)=0,0,"Digite"))</f>
        <v>0</v>
      </c>
      <c r="FC29" s="454">
        <f>IF(OR('Parte Estrategica'!AP29=0,'Parte Estrategica'!AP29=""),0,IF(VLOOKUP($A29,'Matriz de Referencia'!$B$2:$CO$584,64,FALSE)=0,0,"Digite"))</f>
        <v>0</v>
      </c>
      <c r="FD29" s="382">
        <f t="shared" si="33"/>
        <v>0</v>
      </c>
      <c r="FE29" s="382">
        <f t="shared" si="34"/>
        <v>0</v>
      </c>
      <c r="FF29" s="453">
        <f>IF(OR('Parte Estrategica'!AQ29=0,'Parte Estrategica'!AQ29=""),0,IF(VLOOKUP($A29,'Matriz de Referencia'!$B$2:$CO$584,53,FALSE)=0,0,"Digite"))</f>
        <v>0</v>
      </c>
      <c r="FG29" s="454">
        <f>IF(OR('Parte Estrategica'!AQ29=0,'Parte Estrategica'!AQ29=""),0,IF(VLOOKUP($A29,'Matriz de Referencia'!$B$2:$CO$584,54,FALSE)=0,0,"Digite"))</f>
        <v>0</v>
      </c>
      <c r="FH29" s="454">
        <f>IF(OR('Parte Estrategica'!AQ29=0,'Parte Estrategica'!AQ29=""),0,IF(VLOOKUP($A29,'Matriz de Referencia'!$B$2:$CO$584,55,FALSE)=0,0,"Digite"))</f>
        <v>0</v>
      </c>
      <c r="FI29" s="454">
        <f>IF(OR('Parte Estrategica'!AQ29=0,'Parte Estrategica'!AQ29=""),0,IF(VLOOKUP($A29,'Matriz de Referencia'!$B$2:$CO$584,56,FALSE)=0,0,"Digite"))</f>
        <v>0</v>
      </c>
      <c r="FJ29" s="454">
        <f>IF(OR('Parte Estrategica'!AQ29=0,'Parte Estrategica'!AQ29=""),0,IF(VLOOKUP($A29,'Matriz de Referencia'!$B$2:$CO$584,57,FALSE)=0,0,"Digite"))</f>
        <v>0</v>
      </c>
      <c r="FK29" s="454">
        <f>IF(OR('Parte Estrategica'!AQ29=0,'Parte Estrategica'!AQ29=""),0,IF(VLOOKUP($A29,'Matriz de Referencia'!$B$2:$CO$584,58,FALSE)=0,0,"Digite"))</f>
        <v>0</v>
      </c>
      <c r="FL29" s="454">
        <f>IF(OR('Parte Estrategica'!AQ29=0,'Parte Estrategica'!AQ29=""),0,IF(VLOOKUP($A29,'Matriz de Referencia'!$B$2:$CO$584,59,FALSE)=0,0,"Digite"))</f>
        <v>0</v>
      </c>
      <c r="FM29" s="454">
        <f>IF(OR('Parte Estrategica'!AQ29=0,'Parte Estrategica'!AQ29=""),0,IF(VLOOKUP($A29,'Matriz de Referencia'!$B$2:$CO$584,60,FALSE)=0,0,"Digite"))</f>
        <v>0</v>
      </c>
      <c r="FN29" s="382">
        <f t="shared" si="35"/>
        <v>0</v>
      </c>
      <c r="FO29" s="454">
        <f>IF(OR('Parte Estrategica'!AQ29=0,'Parte Estrategica'!AQ29=""),0,IF(VLOOKUP($A29,'Matriz de Referencia'!$B$2:$CO$584,62,FALSE)=0,0,"Digite"))</f>
        <v>0</v>
      </c>
      <c r="FP29" s="454">
        <f>IF(OR('Parte Estrategica'!AQ29=0,'Parte Estrategica'!AQ29=""),0,IF(VLOOKUP($A29,'Matriz de Referencia'!$B$2:$CO$584,63,FALSE)=0,0,"Digite"))</f>
        <v>0</v>
      </c>
      <c r="FQ29" s="454">
        <f>IF(OR('Parte Estrategica'!AQ29=0,'Parte Estrategica'!AQ29=""),0,IF(VLOOKUP($A29,'Matriz de Referencia'!$B$2:$CO$584,64,FALSE)=0,0,"Digite"))</f>
        <v>0</v>
      </c>
      <c r="FR29" s="382">
        <f t="shared" si="36"/>
        <v>0</v>
      </c>
      <c r="FS29" s="382">
        <f t="shared" si="37"/>
        <v>0</v>
      </c>
      <c r="FT29" s="382">
        <f t="shared" si="38"/>
        <v>0</v>
      </c>
      <c r="FU29" s="101" t="str">
        <f>IFERROR(IF(FT29=0,"",IF(VLOOKUP($A29,'Matriz de Referencia'!$B$2:$CO$584,66,FALSE)=FT29,"Techos ok, cotinue","Debe revisar el valor programado")),"")</f>
        <v/>
      </c>
      <c r="FV29" s="453">
        <f>IF(OR('Parte Estrategica'!AT29=0,'Parte Estrategica'!AT29=""),0,IF(VLOOKUP($A29,'Matriz de Referencia'!$B$2:$CO$584,67,FALSE)=0,0,"Digite"))</f>
        <v>0</v>
      </c>
      <c r="FW29" s="454">
        <f>IF(OR('Parte Estrategica'!AT29=0,'Parte Estrategica'!AT29=""),0,IF(VLOOKUP($A29,'Matriz de Referencia'!$B$2:$CO$584,68,FALSE)=0,0,"Digite"))</f>
        <v>0</v>
      </c>
      <c r="FX29" s="454">
        <f>IF(OR('Parte Estrategica'!AT29=0,'Parte Estrategica'!AT29=""),0,IF(VLOOKUP($A29,'Matriz de Referencia'!$B$2:$CO$584,69,FALSE)=0,0,"Digite"))</f>
        <v>0</v>
      </c>
      <c r="FY29" s="454">
        <f>IF(OR('Parte Estrategica'!AT29=0,'Parte Estrategica'!AT29=""),0,IF(VLOOKUP($A29,'Matriz de Referencia'!$B$2:$CO$584,70,FALSE)=0,0,"Digite"))</f>
        <v>0</v>
      </c>
      <c r="FZ29" s="454">
        <f>IF(OR('Parte Estrategica'!AT29=0,'Parte Estrategica'!AT29=""),0,IF(VLOOKUP($A29,'Matriz de Referencia'!$B$2:$CO$584,71,FALSE)=0,0,"Digite"))</f>
        <v>0</v>
      </c>
      <c r="GA29" s="454">
        <f>IF(OR('Parte Estrategica'!AT29=0,'Parte Estrategica'!AT29=""),0,IF(VLOOKUP($A29,'Matriz de Referencia'!$B$2:$CO$584,72,FALSE)=0,0,"Digite"))</f>
        <v>0</v>
      </c>
      <c r="GB29" s="454">
        <f>IF(OR('Parte Estrategica'!AT29=0,'Parte Estrategica'!AT29=""),0,IF(VLOOKUP($A29,'Matriz de Referencia'!$B$2:$CO$584,73,FALSE)=0,0,"Digite"))</f>
        <v>0</v>
      </c>
      <c r="GC29" s="454">
        <f>IF(OR('Parte Estrategica'!AT29=0,'Parte Estrategica'!AT29=""),0,IF(VLOOKUP($A29,'Matriz de Referencia'!$B$2:$CO$584,74,FALSE)=0,0,"Digite"))</f>
        <v>0</v>
      </c>
      <c r="GD29" s="382">
        <f t="shared" si="39"/>
        <v>0</v>
      </c>
      <c r="GE29" s="454">
        <f>IF(OR('Parte Estrategica'!AT29=0,'Parte Estrategica'!AT29=""),0,IF(VLOOKUP($A29,'Matriz de Referencia'!$B$2:$CO$584,76,FALSE)=0,0,"Digite"))</f>
        <v>0</v>
      </c>
      <c r="GF29" s="454">
        <f>IF(OR('Parte Estrategica'!AT29=0,'Parte Estrategica'!AT29=""),0,IF(VLOOKUP($A29,'Matriz de Referencia'!$B$2:$CO$584,77,FALSE)=0,0,"Digite"))</f>
        <v>0</v>
      </c>
      <c r="GG29" s="454">
        <f>IF(OR('Parte Estrategica'!AT29=0,'Parte Estrategica'!AT29=""),0,IF(VLOOKUP($A29,'Matriz de Referencia'!$B$2:$CO$584,78,FALSE)=0,0,"Digite"))</f>
        <v>0</v>
      </c>
      <c r="GH29" s="382">
        <f t="shared" si="40"/>
        <v>0</v>
      </c>
      <c r="GI29" s="382">
        <f t="shared" si="41"/>
        <v>0</v>
      </c>
      <c r="GJ29" s="453">
        <f>IF(OR('Parte Estrategica'!AU29=0,'Parte Estrategica'!AU29=""),0,IF(VLOOKUP($A29,'Matriz de Referencia'!$B$2:$CO$584,67,FALSE)=0,0,"Digite"))</f>
        <v>0</v>
      </c>
      <c r="GK29" s="454">
        <f>IF(OR('Parte Estrategica'!AU29=0,'Parte Estrategica'!AU29=""),0,IF(VLOOKUP($A29,'Matriz de Referencia'!$B$2:$CO$584,68,FALSE)=0,0,"Digite"))</f>
        <v>0</v>
      </c>
      <c r="GL29" s="454">
        <f>IF(OR('Parte Estrategica'!AU29=0,'Parte Estrategica'!AU29=""),0,IF(VLOOKUP($A29,'Matriz de Referencia'!$B$2:$CO$584,69,FALSE)=0,0,"Digite"))</f>
        <v>0</v>
      </c>
      <c r="GM29" s="454">
        <f>IF(OR('Parte Estrategica'!AU29=0,'Parte Estrategica'!AU29=""),0,IF(VLOOKUP($A29,'Matriz de Referencia'!$B$2:$CO$584,70,FALSE)=0,0,"Digite"))</f>
        <v>0</v>
      </c>
      <c r="GN29" s="454">
        <f>IF(OR('Parte Estrategica'!AU29=0,'Parte Estrategica'!AU29=""),0,IF(VLOOKUP($A29,'Matriz de Referencia'!$B$2:$CO$584,71,FALSE)=0,0,"Digite"))</f>
        <v>0</v>
      </c>
      <c r="GO29" s="454">
        <f>IF(OR('Parte Estrategica'!AU29=0,'Parte Estrategica'!AU29=""),0,IF(VLOOKUP($A29,'Matriz de Referencia'!$B$2:$CO$584,72,FALSE)=0,0,"Digite"))</f>
        <v>0</v>
      </c>
      <c r="GP29" s="454">
        <f>IF(OR('Parte Estrategica'!AU29=0,'Parte Estrategica'!AU29=""),0,IF(VLOOKUP($A29,'Matriz de Referencia'!$B$2:$CO$584,73,FALSE)=0,0,"Digite"))</f>
        <v>0</v>
      </c>
      <c r="GQ29" s="454">
        <f>IF(OR('Parte Estrategica'!AU29=0,'Parte Estrategica'!AU29=""),0,IF(VLOOKUP($A29,'Matriz de Referencia'!$B$2:$CO$584,74,FALSE)=0,0,"Digite"))</f>
        <v>0</v>
      </c>
      <c r="GR29" s="382">
        <f t="shared" si="42"/>
        <v>0</v>
      </c>
      <c r="GS29" s="454">
        <f>IF(OR('Parte Estrategica'!AU29=0,'Parte Estrategica'!AU29=""),0,IF(VLOOKUP($A29,'Matriz de Referencia'!$B$2:$CO$584,76,FALSE)=0,0,"Digite"))</f>
        <v>0</v>
      </c>
      <c r="GT29" s="454">
        <f>IF(OR('Parte Estrategica'!AU29=0,'Parte Estrategica'!AU29=""),0,IF(VLOOKUP($A29,'Matriz de Referencia'!$B$2:$CO$584,77,FALSE)=0,0,"Digite"))</f>
        <v>0</v>
      </c>
      <c r="GU29" s="454">
        <f>IF(OR('Parte Estrategica'!AU29=0,'Parte Estrategica'!AU29=""),0,IF(VLOOKUP($A29,'Matriz de Referencia'!$B$2:$CO$584,78,FALSE)=0,0,"Digite"))</f>
        <v>0</v>
      </c>
      <c r="GV29" s="382">
        <f t="shared" si="43"/>
        <v>0</v>
      </c>
      <c r="GW29" s="382">
        <f t="shared" si="44"/>
        <v>0</v>
      </c>
      <c r="GX29" s="453">
        <f>IF(OR('Parte Estrategica'!AV29=0,'Parte Estrategica'!AV29=""),0,IF(VLOOKUP($A29,'Matriz de Referencia'!$B$2:$CO$584,67,FALSE)=0,0,"Digite"))</f>
        <v>0</v>
      </c>
      <c r="GY29" s="454">
        <f>IF(OR('Parte Estrategica'!AV29=0,'Parte Estrategica'!AV29=""),0,IF(VLOOKUP($A29,'Matriz de Referencia'!$B$2:$CO$584,68,FALSE)=0,0,"Digite"))</f>
        <v>0</v>
      </c>
      <c r="GZ29" s="454">
        <f>IF(OR('Parte Estrategica'!AV29=0,'Parte Estrategica'!AV29=""),0,IF(VLOOKUP($A29,'Matriz de Referencia'!$B$2:$CO$584,69,FALSE)=0,0,"Digite"))</f>
        <v>0</v>
      </c>
      <c r="HA29" s="454">
        <f>IF(OR('Parte Estrategica'!AV29=0,'Parte Estrategica'!AV29=""),0,IF(VLOOKUP($A29,'Matriz de Referencia'!$B$2:$CO$584,70,FALSE)=0,0,"Digite"))</f>
        <v>0</v>
      </c>
      <c r="HB29" s="454">
        <f>IF(OR('Parte Estrategica'!AV29=0,'Parte Estrategica'!AV29=""),0,IF(VLOOKUP($A29,'Matriz de Referencia'!$B$2:$CO$584,71,FALSE)=0,0,"Digite"))</f>
        <v>0</v>
      </c>
      <c r="HC29" s="454">
        <f>IF(OR('Parte Estrategica'!AV29=0,'Parte Estrategica'!AV29=""),0,IF(VLOOKUP($A29,'Matriz de Referencia'!$B$2:$CO$584,72,FALSE)=0,0,"Digite"))</f>
        <v>0</v>
      </c>
      <c r="HD29" s="454">
        <f>IF(OR('Parte Estrategica'!AV29=0,'Parte Estrategica'!AV29=""),0,IF(VLOOKUP($A29,'Matriz de Referencia'!$B$2:$CO$584,73,FALSE)=0,0,"Digite"))</f>
        <v>0</v>
      </c>
      <c r="HE29" s="454">
        <f>IF(OR('Parte Estrategica'!AV29=0,'Parte Estrategica'!AV29=""),0,IF(VLOOKUP($A29,'Matriz de Referencia'!$B$2:$CO$584,74,FALSE)=0,0,"Digite"))</f>
        <v>0</v>
      </c>
      <c r="HF29" s="382">
        <f t="shared" si="45"/>
        <v>0</v>
      </c>
      <c r="HG29" s="454">
        <f>IF(OR('Parte Estrategica'!AV29=0,'Parte Estrategica'!AV29=""),0,IF(VLOOKUP($A29,'Matriz de Referencia'!$B$2:$CO$584,76,FALSE)=0,0,"Digite"))</f>
        <v>0</v>
      </c>
      <c r="HH29" s="454">
        <f>IF(OR('Parte Estrategica'!AV29=0,'Parte Estrategica'!AV29=""),0,IF(VLOOKUP($A29,'Matriz de Referencia'!$B$2:$CO$584,77,FALSE)=0,0,"Digite"))</f>
        <v>0</v>
      </c>
      <c r="HI29" s="454">
        <f>IF(OR('Parte Estrategica'!AV29=0,'Parte Estrategica'!AV29=""),0,IF(VLOOKUP($A29,'Matriz de Referencia'!$B$2:$CO$584,78,FALSE)=0,0,"Digite"))</f>
        <v>0</v>
      </c>
      <c r="HJ29" s="382">
        <f t="shared" si="46"/>
        <v>0</v>
      </c>
      <c r="HK29" s="382">
        <f t="shared" si="47"/>
        <v>0</v>
      </c>
      <c r="HL29" s="453">
        <f>IF(OR('Parte Estrategica'!AW29=0,'Parte Estrategica'!AW29=""),0,IF(VLOOKUP($A29,'Matriz de Referencia'!$B$2:$CO$584,67,FALSE)=0,0,"Digite"))</f>
        <v>0</v>
      </c>
      <c r="HM29" s="454">
        <f>IF(OR('Parte Estrategica'!AW29=0,'Parte Estrategica'!AW29=""),0,IF(VLOOKUP($A29,'Matriz de Referencia'!$B$2:$CO$584,68,FALSE)=0,0,"Digite"))</f>
        <v>0</v>
      </c>
      <c r="HN29" s="454">
        <f>IF(OR('Parte Estrategica'!AW29=0,'Parte Estrategica'!AW29=""),0,IF(VLOOKUP($A29,'Matriz de Referencia'!$B$2:$CO$584,69,FALSE)=0,0,"Digite"))</f>
        <v>0</v>
      </c>
      <c r="HO29" s="454">
        <f>IF(OR('Parte Estrategica'!AW29=0,'Parte Estrategica'!AW29=""),0,IF(VLOOKUP($A29,'Matriz de Referencia'!$B$2:$CO$584,70,FALSE)=0,0,"Digite"))</f>
        <v>0</v>
      </c>
      <c r="HP29" s="454">
        <f>IF(OR('Parte Estrategica'!AW29=0,'Parte Estrategica'!AW29=""),0,IF(VLOOKUP($A29,'Matriz de Referencia'!$B$2:$CO$584,71,FALSE)=0,0,"Digite"))</f>
        <v>0</v>
      </c>
      <c r="HQ29" s="454">
        <f>IF(OR('Parte Estrategica'!AW29=0,'Parte Estrategica'!AW29=""),0,IF(VLOOKUP($A29,'Matriz de Referencia'!$B$2:$CO$584,72,FALSE)=0,0,"Digite"))</f>
        <v>0</v>
      </c>
      <c r="HR29" s="454">
        <f>IF(OR('Parte Estrategica'!AW29=0,'Parte Estrategica'!AW29=""),0,IF(VLOOKUP($A29,'Matriz de Referencia'!$B$2:$CO$584,73,FALSE)=0,0,"Digite"))</f>
        <v>0</v>
      </c>
      <c r="HS29" s="454">
        <f>IF(OR('Parte Estrategica'!AW29=0,'Parte Estrategica'!AW29=""),0,IF(VLOOKUP($A29,'Matriz de Referencia'!$B$2:$CO$584,74,FALSE)=0,0,"Digite"))</f>
        <v>0</v>
      </c>
      <c r="HT29" s="382">
        <f t="shared" si="48"/>
        <v>0</v>
      </c>
      <c r="HU29" s="454">
        <f>IF(OR('Parte Estrategica'!AW29=0,'Parte Estrategica'!AW29=""),0,IF(VLOOKUP($A29,'Matriz de Referencia'!$B$2:$CO$584,76,FALSE)=0,0,"Digite"))</f>
        <v>0</v>
      </c>
      <c r="HV29" s="454">
        <f>IF(OR('Parte Estrategica'!AW29=0,'Parte Estrategica'!AW29=""),0,IF(VLOOKUP($A29,'Matriz de Referencia'!$B$2:$CO$584,77,FALSE)=0,0,"Digite"))</f>
        <v>0</v>
      </c>
      <c r="HW29" s="454">
        <f>IF(OR('Parte Estrategica'!AW29=0,'Parte Estrategica'!AW29=""),0,IF(VLOOKUP($A29,'Matriz de Referencia'!$B$2:$CO$584,78,FALSE)=0,0,"Digite"))</f>
        <v>0</v>
      </c>
      <c r="HX29" s="382">
        <f t="shared" si="49"/>
        <v>0</v>
      </c>
      <c r="HY29" s="382">
        <f t="shared" si="50"/>
        <v>0</v>
      </c>
      <c r="HZ29" s="382">
        <f t="shared" si="51"/>
        <v>0</v>
      </c>
      <c r="IA29" s="101" t="str">
        <f>IFERROR(IF(HZ29=0,"",IF(VLOOKUP($A29,'Matriz de Referencia'!$B$2:$CO$584,80,FALSE)=HZ29,"Techos ok, cotinue","Debe revisar el valor programado")),"")</f>
        <v/>
      </c>
      <c r="IB29" s="383">
        <f t="shared" si="52"/>
        <v>0</v>
      </c>
    </row>
    <row r="30" spans="1:236">
      <c r="A30" s="550" t="str">
        <f>IF('Parte Estrategica'!B30=0,"",'Parte Estrategica'!B30)</f>
        <v/>
      </c>
      <c r="B30" s="551" t="str">
        <f>IFERROR(VLOOKUP(A30,'Matriz de Referencia'!$B$2:$P$578,'Matriz de Referencia'!L$1,FALSE),"")</f>
        <v/>
      </c>
      <c r="C30" s="551" t="str">
        <f>IFERROR(VLOOKUP(A30,'Matriz de Referencia'!$B$2:$P$584,'Matriz de Referencia'!M$1,FALSE),"")</f>
        <v/>
      </c>
      <c r="D30" s="455" t="str">
        <f>IF(OR('Parte Estrategica'!AB30=0,'Parte Estrategica'!AB30=""),"",IF(VLOOKUP($A30,'Matriz de Referencia'!$B$2:$CO$584,'Matriz de Referencia'!Z$1,FALSE)=0,"","Digite"))</f>
        <v/>
      </c>
      <c r="E30" s="456">
        <f>IF(OR('Parte Estrategica'!AB30=0,'Parte Estrategica'!AB30=""),0,IF(VLOOKUP($A30,'Matriz de Referencia'!$B$2:$CO$584,26,FALSE)=0,0,"Digite"))</f>
        <v>0</v>
      </c>
      <c r="F30" s="456">
        <f>IF(OR('Parte Estrategica'!AB30=0,'Parte Estrategica'!AB30=""),0,IF(VLOOKUP($A30,'Matriz de Referencia'!$B$2:$CO$584,27,FALSE)=0,0,"Digite"))</f>
        <v>0</v>
      </c>
      <c r="G30" s="456">
        <f>IF(OR('Parte Estrategica'!AB30=0,'Parte Estrategica'!AB30=""),0,IF(VLOOKUP($A30,'Matriz de Referencia'!$B$2:$CO$584,28,FALSE)=0,0,"Digite"))</f>
        <v>0</v>
      </c>
      <c r="H30" s="456">
        <f>IF(OR('Parte Estrategica'!AB30=0,'Parte Estrategica'!AB30=""),0,IF(VLOOKUP($A30,'Matriz de Referencia'!$B$2:$CO$584,29,FALSE)=0,0,"Digite"))</f>
        <v>0</v>
      </c>
      <c r="I30" s="456">
        <f>IF(OR('Parte Estrategica'!AB30=0,'Parte Estrategica'!AB30=""),0,IF(VLOOKUP($A30,'Matriz de Referencia'!$B$2:$CO$584,30,FALSE)=0,0,"Digite"))</f>
        <v>0</v>
      </c>
      <c r="J30" s="456">
        <f>IF(OR('Parte Estrategica'!AB30=0,'Parte Estrategica'!AB30=""),0,IF(VLOOKUP($A30,'Matriz de Referencia'!$B$2:$CO$584,31,FALSE)=0,0,"Digite"))</f>
        <v>0</v>
      </c>
      <c r="K30" s="456">
        <f>IF(OR('Parte Estrategica'!AB30=0,'Parte Estrategica'!AB30=""),0,IF(VLOOKUP($A30,'Matriz de Referencia'!$B$2:$CO$584,32,FALSE)=0,0,"Digite"))</f>
        <v>0</v>
      </c>
      <c r="L30" s="460">
        <f t="shared" si="0"/>
        <v>0</v>
      </c>
      <c r="M30" s="456">
        <f>IF(OR('Parte Estrategica'!AB30=0,'Parte Estrategica'!AB30=""),0,IF(VLOOKUP($A30,'Matriz de Referencia'!$B$2:$CO$584,34,FALSE)=0,0,"Digite"))</f>
        <v>0</v>
      </c>
      <c r="N30" s="456">
        <f>IF(OR('Parte Estrategica'!AB30=0,'Parte Estrategica'!AB30=""),0,IF(VLOOKUP($A30,'Matriz de Referencia'!$B$2:$CO$584,35,FALSE)=0,0,"Digite"))</f>
        <v>0</v>
      </c>
      <c r="O30" s="456">
        <f>IF(OR('Parte Estrategica'!AB30=0,'Parte Estrategica'!AB30=""),0,IF(VLOOKUP($A30,'Matriz de Referencia'!$B$2:$CO$584,36,FALSE)=0,0,"Digite"))</f>
        <v>0</v>
      </c>
      <c r="P30" s="457">
        <f t="shared" si="1"/>
        <v>0</v>
      </c>
      <c r="Q30" s="457">
        <f t="shared" si="2"/>
        <v>0</v>
      </c>
      <c r="R30" s="455">
        <f>IF(OR('Parte Estrategica'!AC30=0,'Parte Estrategica'!AC30=""),0,IF(VLOOKUP($A30,'Matriz de Referencia'!$B$2:$CO$584,25,FALSE)=0,0,"Digite"))</f>
        <v>0</v>
      </c>
      <c r="S30" s="456">
        <f>IF(OR('Parte Estrategica'!AC30=0,'Parte Estrategica'!AC30=""),0,IF(VLOOKUP($A30,'Matriz de Referencia'!$B$2:$CO$584,26,FALSE)=0,0,"Digite"))</f>
        <v>0</v>
      </c>
      <c r="T30" s="456">
        <f>IF(OR('Parte Estrategica'!AC30=0,'Parte Estrategica'!AC30=""),0,IF(VLOOKUP($A30,'Matriz de Referencia'!$B$2:$CO$584,27,FALSE)=0,0,"Digite"))</f>
        <v>0</v>
      </c>
      <c r="U30" s="456">
        <f>IF(OR('Parte Estrategica'!AC30=0,'Parte Estrategica'!AC30=""),0,IF(VLOOKUP($A30,'Matriz de Referencia'!$B$2:$CO$584,28,FALSE)=0,0,"Digite"))</f>
        <v>0</v>
      </c>
      <c r="V30" s="456">
        <f>IF(OR('Parte Estrategica'!AC30=0,'Parte Estrategica'!AC30=""),0,IF(VLOOKUP($A30,'Matriz de Referencia'!$B$2:$CO$584,29,FALSE)=0,0,"Digite"))</f>
        <v>0</v>
      </c>
      <c r="W30" s="456">
        <f>IF(OR('Parte Estrategica'!AC30=0,'Parte Estrategica'!AC30=""),0,IF(VLOOKUP($A30,'Matriz de Referencia'!$B$2:$CO$584,30,FALSE)=0,0,"Digite"))</f>
        <v>0</v>
      </c>
      <c r="X30" s="456">
        <f>IF(OR('Parte Estrategica'!AC30=0,'Parte Estrategica'!AC30=""),0,IF(VLOOKUP($A30,'Matriz de Referencia'!$B$2:$CO$584,31,FALSE)=0,0,"Digite"))</f>
        <v>0</v>
      </c>
      <c r="Y30" s="456">
        <f>IF(OR('Parte Estrategica'!AC30=0,'Parte Estrategica'!AC30=""),0,IF(VLOOKUP($A30,'Matriz de Referencia'!$B$2:$CO$584,32,FALSE)=0,0,"Digite"))</f>
        <v>0</v>
      </c>
      <c r="Z30" s="457">
        <f t="shared" si="3"/>
        <v>0</v>
      </c>
      <c r="AA30" s="456">
        <f>IF(OR('Parte Estrategica'!AC30=0,'Parte Estrategica'!AC30=""),0,IF(VLOOKUP($A30,'Matriz de Referencia'!$B$2:$CO$584,34,FALSE)=0,0,"Digite"))</f>
        <v>0</v>
      </c>
      <c r="AB30" s="456">
        <f>IF(OR('Parte Estrategica'!AC30=0,'Parte Estrategica'!AC30=""),0,IF(VLOOKUP($A30,'Matriz de Referencia'!$B$2:$CO$584,35,FALSE)=0,0,"Digite"))</f>
        <v>0</v>
      </c>
      <c r="AC30" s="456">
        <f>IF(OR('Parte Estrategica'!AC30=0,'Parte Estrategica'!AC30=""),0,IF(VLOOKUP($A30,'Matriz de Referencia'!$B$2:$CO$584,36,FALSE)=0,0,"Digite"))</f>
        <v>0</v>
      </c>
      <c r="AD30" s="457">
        <f t="shared" si="4"/>
        <v>0</v>
      </c>
      <c r="AE30" s="457">
        <f t="shared" si="5"/>
        <v>0</v>
      </c>
      <c r="AF30" s="455">
        <f>IF(OR('Parte Estrategica'!AD30=0,'Parte Estrategica'!AD30=""),0,IF(VLOOKUP($A30,'Matriz de Referencia'!$B$2:$CO$584,25,FALSE)=0,0,"Digite"))</f>
        <v>0</v>
      </c>
      <c r="AG30" s="456">
        <f>IF(OR('Parte Estrategica'!AD30=0,'Parte Estrategica'!AD30=""),0,IF(VLOOKUP($A30,'Matriz de Referencia'!$B$2:$CO$584,26,FALSE)=0,0,"Digite"))</f>
        <v>0</v>
      </c>
      <c r="AH30" s="456">
        <f>IF(OR('Parte Estrategica'!AD30=0,'Parte Estrategica'!AD30=""),0,IF(VLOOKUP($A30,'Matriz de Referencia'!$B$2:$CO$584,27,FALSE)=0,0,"Digite"))</f>
        <v>0</v>
      </c>
      <c r="AI30" s="456">
        <f>IF(OR('Parte Estrategica'!AD30=0,'Parte Estrategica'!AD30=""),0,IF(VLOOKUP($A30,'Matriz de Referencia'!$B$2:$CO$584,28,FALSE)=0,0,"Digite"))</f>
        <v>0</v>
      </c>
      <c r="AJ30" s="456">
        <f>IF(OR('Parte Estrategica'!AD30=0,'Parte Estrategica'!AD30=""),0,IF(VLOOKUP($A30,'Matriz de Referencia'!$B$2:$CO$584,29,FALSE)=0,0,"Digite"))</f>
        <v>0</v>
      </c>
      <c r="AK30" s="456">
        <f>IF(OR('Parte Estrategica'!AD30=0,'Parte Estrategica'!AD30=""),0,IF(VLOOKUP($A30,'Matriz de Referencia'!$B$2:$CO$584,30,FALSE)=0,0,"Digite"))</f>
        <v>0</v>
      </c>
      <c r="AL30" s="456">
        <f>IF(OR('Parte Estrategica'!AD30=0,'Parte Estrategica'!AD30=""),0,IF(VLOOKUP($A30,'Matriz de Referencia'!$B$2:$CO$584,31,FALSE)=0,0,"Digite"))</f>
        <v>0</v>
      </c>
      <c r="AM30" s="456">
        <f>IF(OR('Parte Estrategica'!AD30=0,'Parte Estrategica'!AD30=""),0,IF(VLOOKUP($A30,'Matriz de Referencia'!$B$2:$CO$584,32,FALSE)=0,0,"Digite"))</f>
        <v>0</v>
      </c>
      <c r="AN30" s="457">
        <f t="shared" si="6"/>
        <v>0</v>
      </c>
      <c r="AO30" s="456">
        <f>IF(OR('Parte Estrategica'!AD30=0,'Parte Estrategica'!AD30=""),0,IF(VLOOKUP($A30,'Matriz de Referencia'!$B$2:$CO$584,34,FALSE)=0,0,"Digite"))</f>
        <v>0</v>
      </c>
      <c r="AP30" s="456">
        <f>IF(OR('Parte Estrategica'!AD30=0,'Parte Estrategica'!AD30=""),0,IF(VLOOKUP($A30,'Matriz de Referencia'!$B$2:$CO$584,35,FALSE)=0,0,"Digite"))</f>
        <v>0</v>
      </c>
      <c r="AQ30" s="456">
        <f>IF(OR('Parte Estrategica'!AD30=0,'Parte Estrategica'!AD30=""),0,IF(VLOOKUP($A30,'Matriz de Referencia'!$B$2:$CO$584,36,FALSE)=0,0,"Digite"))</f>
        <v>0</v>
      </c>
      <c r="AR30" s="457">
        <f t="shared" si="7"/>
        <v>0</v>
      </c>
      <c r="AS30" s="457">
        <f t="shared" si="8"/>
        <v>0</v>
      </c>
      <c r="AT30" s="455">
        <f>IF(OR('Parte Estrategica'!AE30=0,'Parte Estrategica'!AE30=""),0,IF(VLOOKUP($A30,'Matriz de Referencia'!$B$2:$CO$584,25,FALSE)=0,0,"Digite"))</f>
        <v>0</v>
      </c>
      <c r="AU30" s="456">
        <f>IF(OR('Parte Estrategica'!AE30=0,'Parte Estrategica'!AE30=""),0,IF(VLOOKUP($A30,'Matriz de Referencia'!$B$2:$CO$584,26,FALSE)=0,0,"Digite"))</f>
        <v>0</v>
      </c>
      <c r="AV30" s="456">
        <f>IF(OR('Parte Estrategica'!AE30=0,'Parte Estrategica'!AE30=""),0,IF(VLOOKUP($A30,'Matriz de Referencia'!$B$2:$CO$584,27,FALSE)=0,0,"Digite"))</f>
        <v>0</v>
      </c>
      <c r="AW30" s="456">
        <f>IF(OR('Parte Estrategica'!AE30=0,'Parte Estrategica'!AE30=""),0,IF(VLOOKUP($A30,'Matriz de Referencia'!$B$2:$CO$584,28,FALSE)=0,0,"Digite"))</f>
        <v>0</v>
      </c>
      <c r="AX30" s="456">
        <f>IF(OR('Parte Estrategica'!AE30=0,'Parte Estrategica'!AE30=""),0,IF(VLOOKUP($A30,'Matriz de Referencia'!$B$2:$CO$584,29,FALSE)=0,0,"Digite"))</f>
        <v>0</v>
      </c>
      <c r="AY30" s="456">
        <f>IF(OR('Parte Estrategica'!AE30=0,'Parte Estrategica'!AE30=""),0,IF(VLOOKUP($A30,'Matriz de Referencia'!$B$2:$CO$584,30,FALSE)=0,0,"Digite"))</f>
        <v>0</v>
      </c>
      <c r="AZ30" s="456">
        <f>IF(OR('Parte Estrategica'!AE30=0,'Parte Estrategica'!AE30=""),0,IF(VLOOKUP($A30,'Matriz de Referencia'!$B$2:$CO$584,31,FALSE)=0,0,"Digite"))</f>
        <v>0</v>
      </c>
      <c r="BA30" s="456">
        <f>IF(OR('Parte Estrategica'!AE30=0,'Parte Estrategica'!AE30=""),0,IF(VLOOKUP($A30,'Matriz de Referencia'!$B$2:$CO$584,32,FALSE)=0,0,"Digite"))</f>
        <v>0</v>
      </c>
      <c r="BB30" s="457">
        <f t="shared" si="9"/>
        <v>0</v>
      </c>
      <c r="BC30" s="456">
        <f>IF(OR('Parte Estrategica'!AE30=0,'Parte Estrategica'!AE30=""),0,IF(VLOOKUP($A30,'Matriz de Referencia'!$B$2:$CO$584,34,FALSE)=0,0,"Digite"))</f>
        <v>0</v>
      </c>
      <c r="BD30" s="456">
        <f>IF(OR('Parte Estrategica'!AE30=0,'Parte Estrategica'!AE30=""),0,IF(VLOOKUP($A30,'Matriz de Referencia'!$B$2:$CO$584,35,FALSE)=0,0,"Digite"))</f>
        <v>0</v>
      </c>
      <c r="BE30" s="456">
        <f>IF(OR('Parte Estrategica'!AE30=0,'Parte Estrategica'!AE30=""),0,IF(VLOOKUP($A30,'Matriz de Referencia'!$B$2:$CO$584,36,FALSE)=0,0,"Digite"))</f>
        <v>0</v>
      </c>
      <c r="BF30" s="457">
        <f t="shared" si="10"/>
        <v>0</v>
      </c>
      <c r="BG30" s="457">
        <f t="shared" si="11"/>
        <v>0</v>
      </c>
      <c r="BH30" s="457">
        <f t="shared" si="12"/>
        <v>0</v>
      </c>
      <c r="BI30" s="101" t="str">
        <f>IFERROR(IF(BH30=0,"",IF(VLOOKUP($A30,'Matriz de Referencia'!$B$2:$CO$584,'Matriz de Referencia'!AM$1,FALSE)=BH30,"Techos ok, cotinue","Debe revisar el valor programado")),"")</f>
        <v/>
      </c>
      <c r="BJ30" s="453">
        <f>IF(OR('Parte Estrategica'!AH30=0,'Parte Estrategica'!AH30=""),0,IF(VLOOKUP($A30,'Matriz de Referencia'!$B$2:$CO$584,39,FALSE)=0,0,"Digite"))</f>
        <v>0</v>
      </c>
      <c r="BK30" s="454">
        <f>IF(OR('Parte Estrategica'!AH30=0,'Parte Estrategica'!AH30=""),0,IF(VLOOKUP($A30,'Matriz de Referencia'!$B$2:$CO$584,40,FALSE)=0,0,"Digite"))</f>
        <v>0</v>
      </c>
      <c r="BL30" s="454">
        <f>IF(OR('Parte Estrategica'!AH30=0,'Parte Estrategica'!AH30=""),0,IF(VLOOKUP($A30,'Matriz de Referencia'!$B$2:$CO$584,41,FALSE)=0,0,"Digite"))</f>
        <v>0</v>
      </c>
      <c r="BM30" s="454">
        <f>IF(OR('Parte Estrategica'!AH30=0,'Parte Estrategica'!AH30=""),0,IF(VLOOKUP($A30,'Matriz de Referencia'!$B$2:$CO$584,42,FALSE)=0,0,"Digite"))</f>
        <v>0</v>
      </c>
      <c r="BN30" s="454">
        <f>IF(OR('Parte Estrategica'!AH30=0,'Parte Estrategica'!AH30=""),0,IF(VLOOKUP($A30,'Matriz de Referencia'!$B$2:$CO$584,43,FALSE)=0,0,"Digite"))</f>
        <v>0</v>
      </c>
      <c r="BO30" s="454">
        <f>IF(OR('Parte Estrategica'!AH30=0,'Parte Estrategica'!AH30=""),0,IF(VLOOKUP($A30,'Matriz de Referencia'!$B$2:$CO$584,44,FALSE)=0,0,"Digite"))</f>
        <v>0</v>
      </c>
      <c r="BP30" s="454">
        <f>IF(OR('Parte Estrategica'!AH30=0,'Parte Estrategica'!AH30=""),0,IF(VLOOKUP($A30,'Matriz de Referencia'!$B$2:$CO$584,45,FALSE)=0,0,"Digite"))</f>
        <v>0</v>
      </c>
      <c r="BQ30" s="454">
        <f>IF(OR('Parte Estrategica'!AH30=0,'Parte Estrategica'!AH30=""),0,IF(VLOOKUP($A30,'Matriz de Referencia'!$B$2:$CO$584,46,FALSE)=0,0,"Digite"))</f>
        <v>0</v>
      </c>
      <c r="BR30" s="382">
        <f t="shared" si="13"/>
        <v>0</v>
      </c>
      <c r="BS30" s="454">
        <f>IF(OR('Parte Estrategica'!CL30=0,'Parte Estrategica'!CL30=""),0,IF(VLOOKUP($A30,'Matriz de Referencia'!$B$2:$CO$584,48,FALSE)=0,0,"Digite"))</f>
        <v>0</v>
      </c>
      <c r="BT30" s="454">
        <f>IF(OR('Parte Estrategica'!CL30=0,'Parte Estrategica'!CL30=""),0,IF(VLOOKUP($A30,'Matriz de Referencia'!$B$2:$CO$584,49,FALSE)=0,0,"Digite"))</f>
        <v>0</v>
      </c>
      <c r="BU30" s="454">
        <f>IF(OR('Parte Estrategica'!CL30=0,'Parte Estrategica'!CL30=""),0,IF(VLOOKUP($A30,'Matriz de Referencia'!$B$2:$CO$584,50,FALSE)=0,0,"Digite"))</f>
        <v>0</v>
      </c>
      <c r="BV30" s="382">
        <f t="shared" si="14"/>
        <v>0</v>
      </c>
      <c r="BW30" s="382">
        <f t="shared" si="15"/>
        <v>0</v>
      </c>
      <c r="BX30" s="453">
        <f>IF(OR('Parte Estrategica'!AI30=0,'Parte Estrategica'!AI30=""),0,IF(VLOOKUP($A30,'Matriz de Referencia'!$B$2:$CO$584,39,FALSE)=0,0,"Digite"))</f>
        <v>0</v>
      </c>
      <c r="BY30" s="454">
        <f>IF(OR('Parte Estrategica'!AI30=0,'Parte Estrategica'!AI30=""),0,IF(VLOOKUP($A30,'Matriz de Referencia'!$B$2:$CO$584,40,FALSE)=0,0,"Digite"))</f>
        <v>0</v>
      </c>
      <c r="BZ30" s="454">
        <f>IF(OR('Parte Estrategica'!AI30=0,'Parte Estrategica'!AI30=""),0,IF(VLOOKUP($A30,'Matriz de Referencia'!$B$2:$CO$584,41,FALSE)=0,0,"Digite"))</f>
        <v>0</v>
      </c>
      <c r="CA30" s="454">
        <f>IF(OR('Parte Estrategica'!AI30=0,'Parte Estrategica'!AI30=""),0,IF(VLOOKUP($A30,'Matriz de Referencia'!$B$2:$CO$584,42,FALSE)=0,0,"Digite"))</f>
        <v>0</v>
      </c>
      <c r="CB30" s="454">
        <f>IF(OR('Parte Estrategica'!AI30=0,'Parte Estrategica'!AI30=""),0,IF(VLOOKUP($A30,'Matriz de Referencia'!$B$2:$CO$584,43,FALSE)=0,0,"Digite"))</f>
        <v>0</v>
      </c>
      <c r="CC30" s="454">
        <f>IF(OR('Parte Estrategica'!AI30=0,'Parte Estrategica'!AI30=""),0,IF(VLOOKUP($A30,'Matriz de Referencia'!$B$2:$CO$584,44,FALSE)=0,0,"Digite"))</f>
        <v>0</v>
      </c>
      <c r="CD30" s="454">
        <f>IF(OR('Parte Estrategica'!AI30=0,'Parte Estrategica'!AI30=""),0,IF(VLOOKUP($A30,'Matriz de Referencia'!$B$2:$CO$584,45,FALSE)=0,0,"Digite"))</f>
        <v>0</v>
      </c>
      <c r="CE30" s="454">
        <f>IF(OR('Parte Estrategica'!AI30=0,'Parte Estrategica'!AI30=""),0,IF(VLOOKUP($A30,'Matriz de Referencia'!$B$2:$CO$584,46,FALSE)=0,0,"Digite"))</f>
        <v>0</v>
      </c>
      <c r="CF30" s="382">
        <f t="shared" si="16"/>
        <v>0</v>
      </c>
      <c r="CG30" s="454">
        <f>IF(OR('Parte Estrategica'!AI30=0,'Parte Estrategica'!AI30=""),0,IF(VLOOKUP($A30,'Matriz de Referencia'!$B$2:$CO$584,48,FALSE)=0,0,"Digite"))</f>
        <v>0</v>
      </c>
      <c r="CH30" s="454">
        <f>IF(OR('Parte Estrategica'!AI30=0,'Parte Estrategica'!AI30=""),0,IF(VLOOKUP($A30,'Matriz de Referencia'!$B$2:$CO$584,49,FALSE)=0,0,"Digite"))</f>
        <v>0</v>
      </c>
      <c r="CI30" s="454">
        <f>IF(OR('Parte Estrategica'!AI30=0,'Parte Estrategica'!AI30=""),0,IF(VLOOKUP($A30,'Matriz de Referencia'!$B$2:$CO$584,50,FALSE)=0,0,"Digite"))</f>
        <v>0</v>
      </c>
      <c r="CJ30" s="382">
        <f t="shared" si="17"/>
        <v>0</v>
      </c>
      <c r="CK30" s="382">
        <f t="shared" si="18"/>
        <v>0</v>
      </c>
      <c r="CL30" s="453">
        <f>IF(OR('Parte Estrategica'!AJ30=0,'Parte Estrategica'!AJ30=""),0,IF(VLOOKUP($A30,'Matriz de Referencia'!$B$2:$CO$584,39,FALSE)=0,0,"Digite"))</f>
        <v>0</v>
      </c>
      <c r="CM30" s="454">
        <f>IF(OR('Parte Estrategica'!AJ30=0,'Parte Estrategica'!AJ30=""),0,IF(VLOOKUP($A30,'Matriz de Referencia'!$B$2:$CO$584,40,FALSE)=0,0,"Digite"))</f>
        <v>0</v>
      </c>
      <c r="CN30" s="454">
        <f>IF(OR('Parte Estrategica'!AJ30=0,'Parte Estrategica'!AJ30=""),0,IF(VLOOKUP($A30,'Matriz de Referencia'!$B$2:$CO$584,41,FALSE)=0,0,"Digite"))</f>
        <v>0</v>
      </c>
      <c r="CO30" s="454">
        <f>IF(OR('Parte Estrategica'!AJ30=0,'Parte Estrategica'!AJ30=""),0,IF(VLOOKUP($A30,'Matriz de Referencia'!$B$2:$CO$584,42,FALSE)=0,0,"Digite"))</f>
        <v>0</v>
      </c>
      <c r="CP30" s="454">
        <f>IF(OR('Parte Estrategica'!AJ30=0,'Parte Estrategica'!AJ30=""),0,IF(VLOOKUP($A30,'Matriz de Referencia'!$B$2:$CO$584,43,FALSE)=0,0,"Digite"))</f>
        <v>0</v>
      </c>
      <c r="CQ30" s="454">
        <f>IF(OR('Parte Estrategica'!AJ30=0,'Parte Estrategica'!AJ30=""),0,IF(VLOOKUP($A30,'Matriz de Referencia'!$B$2:$CO$584,44,FALSE)=0,0,"Digite"))</f>
        <v>0</v>
      </c>
      <c r="CR30" s="454">
        <f>IF(OR('Parte Estrategica'!AJ30=0,'Parte Estrategica'!AJ30=""),0,IF(VLOOKUP($A30,'Matriz de Referencia'!$B$2:$CO$584,45,FALSE)=0,0,"Digite"))</f>
        <v>0</v>
      </c>
      <c r="CS30" s="454">
        <f>IF(OR('Parte Estrategica'!AJ30=0,'Parte Estrategica'!AJ30=""),0,IF(VLOOKUP($A30,'Matriz de Referencia'!$B$2:$CO$584,46,FALSE)=0,0,"Digite"))</f>
        <v>0</v>
      </c>
      <c r="CT30" s="382">
        <f t="shared" si="19"/>
        <v>0</v>
      </c>
      <c r="CU30" s="454">
        <f>IF(OR('Parte Estrategica'!AJ30=0,'Parte Estrategica'!AJ30=""),0,IF(VLOOKUP($A30,'Matriz de Referencia'!$B$2:$CO$584,48,FALSE)=0,0,"Digite"))</f>
        <v>0</v>
      </c>
      <c r="CV30" s="454">
        <f>IF(OR('Parte Estrategica'!AJ30=0,'Parte Estrategica'!AJ30=""),0,IF(VLOOKUP($A30,'Matriz de Referencia'!$B$2:$CO$584,49,FALSE)=0,0,"Digite"))</f>
        <v>0</v>
      </c>
      <c r="CW30" s="454">
        <f>IF(OR('Parte Estrategica'!AJ30=0,'Parte Estrategica'!AJ30=""),0,IF(VLOOKUP($A30,'Matriz de Referencia'!$B$2:$CO$584,50,FALSE)=0,0,"Digite"))</f>
        <v>0</v>
      </c>
      <c r="CX30" s="382">
        <f t="shared" si="20"/>
        <v>0</v>
      </c>
      <c r="CY30" s="382">
        <f t="shared" si="21"/>
        <v>0</v>
      </c>
      <c r="CZ30" s="453">
        <f>IF(OR('Parte Estrategica'!AK30=0,'Parte Estrategica'!AK30=""),0,IF(VLOOKUP($A30,'Matriz de Referencia'!$B$2:$CO$584,39,FALSE)=0,0,"Digite"))</f>
        <v>0</v>
      </c>
      <c r="DA30" s="454">
        <f>IF(OR('Parte Estrategica'!AK30=0,'Parte Estrategica'!AK30=""),0,IF(VLOOKUP($A30,'Matriz de Referencia'!$B$2:$CO$584,40,FALSE)=0,0,"Digite"))</f>
        <v>0</v>
      </c>
      <c r="DB30" s="454">
        <f>IF(OR('Parte Estrategica'!AK30=0,'Parte Estrategica'!AK30=""),0,IF(VLOOKUP($A30,'Matriz de Referencia'!$B$2:$CO$584,41,FALSE)=0,0,"Digite"))</f>
        <v>0</v>
      </c>
      <c r="DC30" s="454">
        <f>IF(OR('Parte Estrategica'!AK30=0,'Parte Estrategica'!AK30=""),0,IF(VLOOKUP($A30,'Matriz de Referencia'!$B$2:$CO$584,42,FALSE)=0,0,"Digite"))</f>
        <v>0</v>
      </c>
      <c r="DD30" s="454">
        <f>IF(OR('Parte Estrategica'!AK30=0,'Parte Estrategica'!AK30=""),0,IF(VLOOKUP($A30,'Matriz de Referencia'!$B$2:$CO$584,43,FALSE)=0,0,"Digite"))</f>
        <v>0</v>
      </c>
      <c r="DE30" s="454">
        <f>IF(OR('Parte Estrategica'!AK30=0,'Parte Estrategica'!AK30=""),0,IF(VLOOKUP($A30,'Matriz de Referencia'!$B$2:$CO$584,44,FALSE)=0,0,"Digite"))</f>
        <v>0</v>
      </c>
      <c r="DF30" s="454">
        <f>IF(OR('Parte Estrategica'!AK30=0,'Parte Estrategica'!AK30=""),0,IF(VLOOKUP($A30,'Matriz de Referencia'!$B$2:$CO$584,45,FALSE)=0,0,"Digite"))</f>
        <v>0</v>
      </c>
      <c r="DG30" s="454">
        <f>IF(OR('Parte Estrategica'!AK30=0,'Parte Estrategica'!AK30=""),0,IF(VLOOKUP($A30,'Matriz de Referencia'!$B$2:$CO$584,46,FALSE)=0,0,"Digite"))</f>
        <v>0</v>
      </c>
      <c r="DH30" s="382">
        <f t="shared" si="22"/>
        <v>0</v>
      </c>
      <c r="DI30" s="454">
        <f>IF(OR('Parte Estrategica'!AK30=0,'Parte Estrategica'!AK30=""),0,IF(VLOOKUP($A30,'Matriz de Referencia'!$B$2:$CO$584,48,FALSE)=0,0,"Digite"))</f>
        <v>0</v>
      </c>
      <c r="DJ30" s="454">
        <f>IF(OR('Parte Estrategica'!AK30=0,'Parte Estrategica'!AK30=""),0,IF(VLOOKUP($A30,'Matriz de Referencia'!$B$2:$CO$584,49,FALSE)=0,0,"Digite"))</f>
        <v>0</v>
      </c>
      <c r="DK30" s="454">
        <f>IF(OR('Parte Estrategica'!AK30=0,'Parte Estrategica'!AK30=""),0,IF(VLOOKUP($A30,'Matriz de Referencia'!$B$2:$CO$584,50,FALSE)=0,0,"Digite"))</f>
        <v>0</v>
      </c>
      <c r="DL30" s="382">
        <f t="shared" si="23"/>
        <v>0</v>
      </c>
      <c r="DM30" s="382">
        <f t="shared" si="24"/>
        <v>0</v>
      </c>
      <c r="DN30" s="382">
        <f t="shared" si="25"/>
        <v>0</v>
      </c>
      <c r="DO30" s="101" t="str">
        <f>IFERROR(IF(DN30=0,"",IF(VLOOKUP($A30,'Matriz de Referencia'!$B$2:$CO$584,52,FALSE)=DN30,"Techos ok, cotinue","Debe revisar el valor programado")),"")</f>
        <v/>
      </c>
      <c r="DP30" s="453">
        <f>IF(OR('Parte Estrategica'!AN30=0,'Parte Estrategica'!AN30=""),0,IF(VLOOKUP($A30,'Matriz de Referencia'!$B$2:$CO$584,53,FALSE)=0,0,"Digite"))</f>
        <v>0</v>
      </c>
      <c r="DQ30" s="454">
        <f>IF(OR('Parte Estrategica'!AN30=0,'Parte Estrategica'!AN30=""),0,IF(VLOOKUP($A30,'Matriz de Referencia'!$B$2:$CO$584,54,FALSE)=0,0,"Digite"))</f>
        <v>0</v>
      </c>
      <c r="DR30" s="454">
        <f>IF(OR('Parte Estrategica'!AN30=0,'Parte Estrategica'!AN30=""),0,IF(VLOOKUP($A30,'Matriz de Referencia'!$B$2:$CO$584,55,FALSE)=0,0,"Digite"))</f>
        <v>0</v>
      </c>
      <c r="DS30" s="454">
        <f>IF(OR('Parte Estrategica'!AN30=0,'Parte Estrategica'!AN30=""),0,IF(VLOOKUP($A30,'Matriz de Referencia'!$B$2:$CO$584,56,FALSE)=0,0,"Digite"))</f>
        <v>0</v>
      </c>
      <c r="DT30" s="454">
        <f>IF(OR('Parte Estrategica'!AN30=0,'Parte Estrategica'!AN30=""),0,IF(VLOOKUP($A30,'Matriz de Referencia'!$B$2:$CO$584,57,FALSE)=0,0,"Digite"))</f>
        <v>0</v>
      </c>
      <c r="DU30" s="454">
        <f>IF(OR('Parte Estrategica'!AN30=0,'Parte Estrategica'!AN30=""),0,IF(VLOOKUP($A30,'Matriz de Referencia'!$B$2:$CO$584,58,FALSE)=0,0,"Digite"))</f>
        <v>0</v>
      </c>
      <c r="DV30" s="454">
        <f>IF(OR('Parte Estrategica'!AN30=0,'Parte Estrategica'!AN30=""),0,IF(VLOOKUP($A30,'Matriz de Referencia'!$B$2:$CO$584,59,FALSE)=0,0,"Digite"))</f>
        <v>0</v>
      </c>
      <c r="DW30" s="454">
        <f>IF(OR('Parte Estrategica'!AN30=0,'Parte Estrategica'!AN30=""),0,IF(VLOOKUP($A30,'Matriz de Referencia'!$B$2:$CO$584,60,FALSE)=0,0,"Digite"))</f>
        <v>0</v>
      </c>
      <c r="DX30" s="382">
        <f t="shared" si="26"/>
        <v>0</v>
      </c>
      <c r="DY30" s="454">
        <f>IF(OR('Parte Estrategica'!AN30=0,'Parte Estrategica'!AN30=""),0,IF(VLOOKUP($A30,'Matriz de Referencia'!$B$2:$CO$584,62,FALSE)=0,0,"Digite"))</f>
        <v>0</v>
      </c>
      <c r="DZ30" s="454">
        <f>IF(OR('Parte Estrategica'!AN30=0,'Parte Estrategica'!AN30=""),0,IF(VLOOKUP($A30,'Matriz de Referencia'!$B$2:$CO$584,63,FALSE)=0,0,"Digite"))</f>
        <v>0</v>
      </c>
      <c r="EA30" s="454" t="str">
        <f>IF(OR('Parte Estrategica'!AN30=0,'Parte Estrategica'!AN30=""),"",IF(VLOOKUP($A30,'Matriz de Referencia'!$B$2:$CO$584,64,FALSE)=0,"","Digite"))</f>
        <v/>
      </c>
      <c r="EB30" s="382">
        <f t="shared" si="27"/>
        <v>0</v>
      </c>
      <c r="EC30" s="382">
        <f t="shared" si="28"/>
        <v>0</v>
      </c>
      <c r="ED30" s="453">
        <f>IF(OR('Parte Estrategica'!AO30=0,'Parte Estrategica'!AO30=""),0,IF(VLOOKUP($A30,'Matriz de Referencia'!$B$2:$CO$584,53,FALSE)=0,0,"Digite"))</f>
        <v>0</v>
      </c>
      <c r="EE30" s="454">
        <f>IF(OR('Parte Estrategica'!AO30=0,'Parte Estrategica'!AO30=""),0,IF(VLOOKUP($A30,'Matriz de Referencia'!$B$2:$CO$584,54,FALSE)=0,0,"Digite"))</f>
        <v>0</v>
      </c>
      <c r="EF30" s="454">
        <f>IF(OR('Parte Estrategica'!AO30=0,'Parte Estrategica'!AO30=""),0,IF(VLOOKUP($A30,'Matriz de Referencia'!$B$2:$CO$584,55,FALSE)=0,0,"Digite"))</f>
        <v>0</v>
      </c>
      <c r="EG30" s="454">
        <f>IF(OR('Parte Estrategica'!AO30=0,'Parte Estrategica'!AO30=""),0,IF(VLOOKUP($A30,'Matriz de Referencia'!$B$2:$CO$584,56,FALSE)=0,0,"Digite"))</f>
        <v>0</v>
      </c>
      <c r="EH30" s="454">
        <f>IF(OR('Parte Estrategica'!AO30=0,'Parte Estrategica'!AO30=""),0,IF(VLOOKUP($A30,'Matriz de Referencia'!$B$2:$CO$584,57,FALSE)=0,0,"Digite"))</f>
        <v>0</v>
      </c>
      <c r="EI30" s="454">
        <f>IF(OR('Parte Estrategica'!AO30=0,'Parte Estrategica'!AO30=""),0,IF(VLOOKUP($A30,'Matriz de Referencia'!$B$2:$CO$584,58,FALSE)=0,0,"Digite"))</f>
        <v>0</v>
      </c>
      <c r="EJ30" s="454">
        <f>IF(OR('Parte Estrategica'!AO30=0,'Parte Estrategica'!AO30=""),0,IF(VLOOKUP($A30,'Matriz de Referencia'!$B$2:$CO$584,59,FALSE)=0,0,"Digite"))</f>
        <v>0</v>
      </c>
      <c r="EK30" s="454">
        <f>IF(OR('Parte Estrategica'!AO30=0,'Parte Estrategica'!AO30=""),0,IF(VLOOKUP($A30,'Matriz de Referencia'!$B$2:$CO$584,60,FALSE)=0,0,"Digite"))</f>
        <v>0</v>
      </c>
      <c r="EL30" s="382">
        <f t="shared" si="29"/>
        <v>0</v>
      </c>
      <c r="EM30" s="454">
        <f>IF(OR('Parte Estrategica'!AO30=0,'Parte Estrategica'!AO30=""),0,IF(VLOOKUP($A30,'Matriz de Referencia'!$B$2:$CO$584,62,FALSE)=0,0,"Digite"))</f>
        <v>0</v>
      </c>
      <c r="EN30" s="454">
        <f>IF(OR('Parte Estrategica'!AO30=0,'Parte Estrategica'!AO30=""),0,IF(VLOOKUP($A30,'Matriz de Referencia'!$B$2:$CO$584,63,FALSE)=0,0,"Digite"))</f>
        <v>0</v>
      </c>
      <c r="EO30" s="454">
        <f>IF(OR('Parte Estrategica'!AO30=0,'Parte Estrategica'!AO30=""),0,IF(VLOOKUP($A30,'Matriz de Referencia'!$B$2:$CO$584,64,FALSE)=0,0,"Digite"))</f>
        <v>0</v>
      </c>
      <c r="EP30" s="382">
        <f t="shared" si="30"/>
        <v>0</v>
      </c>
      <c r="EQ30" s="382">
        <f t="shared" si="31"/>
        <v>0</v>
      </c>
      <c r="ER30" s="453">
        <f>IF(OR('Parte Estrategica'!AP30=0,'Parte Estrategica'!AP30=""),0,IF(VLOOKUP($A30,'Matriz de Referencia'!$B$2:$CO$584,53,FALSE)=0,0,"Digite"))</f>
        <v>0</v>
      </c>
      <c r="ES30" s="454">
        <f>IF(OR('Parte Estrategica'!AP30=0,'Parte Estrategica'!AP30=""),0,IF(VLOOKUP($A30,'Matriz de Referencia'!$B$2:$CO$584,54,FALSE)=0,0,"Digite"))</f>
        <v>0</v>
      </c>
      <c r="ET30" s="454">
        <f>IF(OR('Parte Estrategica'!AP30=0,'Parte Estrategica'!AP30=""),0,IF(VLOOKUP($A30,'Matriz de Referencia'!$B$2:$CO$584,55,FALSE)=0,0,"Digite"))</f>
        <v>0</v>
      </c>
      <c r="EU30" s="454">
        <f>IF(OR('Parte Estrategica'!AP30=0,'Parte Estrategica'!AP30=""),0,IF(VLOOKUP($A30,'Matriz de Referencia'!$B$2:$CO$584,56,FALSE)=0,0,"Digite"))</f>
        <v>0</v>
      </c>
      <c r="EV30" s="454">
        <f>IF(OR('Parte Estrategica'!AP30=0,'Parte Estrategica'!AP30=""),0,IF(VLOOKUP($A30,'Matriz de Referencia'!$B$2:$CO$584,57,FALSE)=0,0,"Digite"))</f>
        <v>0</v>
      </c>
      <c r="EW30" s="454">
        <f>IF(OR('Parte Estrategica'!AP30=0,'Parte Estrategica'!AP30=""),0,IF(VLOOKUP($A30,'Matriz de Referencia'!$B$2:$CO$584,58,FALSE)=0,0,"Digite"))</f>
        <v>0</v>
      </c>
      <c r="EX30" s="454">
        <f>IF(OR('Parte Estrategica'!AP30=0,'Parte Estrategica'!AP30=""),0,IF(VLOOKUP($A30,'Matriz de Referencia'!$B$2:$CO$584,59,FALSE)=0,0,"Digite"))</f>
        <v>0</v>
      </c>
      <c r="EY30" s="454">
        <f>IF(OR('Parte Estrategica'!AP30=0,'Parte Estrategica'!AP30=""),0,IF(VLOOKUP($A30,'Matriz de Referencia'!$B$2:$CO$584,60,FALSE)=0,0,"Digite"))</f>
        <v>0</v>
      </c>
      <c r="EZ30" s="382">
        <f t="shared" si="32"/>
        <v>0</v>
      </c>
      <c r="FA30" s="454">
        <f>IF(OR('Parte Estrategica'!AP30=0,'Parte Estrategica'!AP30=""),0,IF(VLOOKUP($A30,'Matriz de Referencia'!$B$2:$CO$584,62,FALSE)=0,0,"Digite"))</f>
        <v>0</v>
      </c>
      <c r="FB30" s="454">
        <f>IF(OR('Parte Estrategica'!AP30=0,'Parte Estrategica'!AP30=""),0,IF(VLOOKUP($A30,'Matriz de Referencia'!$B$2:$CO$584,63,FALSE)=0,0,"Digite"))</f>
        <v>0</v>
      </c>
      <c r="FC30" s="454">
        <f>IF(OR('Parte Estrategica'!AP30=0,'Parte Estrategica'!AP30=""),0,IF(VLOOKUP($A30,'Matriz de Referencia'!$B$2:$CO$584,64,FALSE)=0,0,"Digite"))</f>
        <v>0</v>
      </c>
      <c r="FD30" s="382">
        <f t="shared" si="33"/>
        <v>0</v>
      </c>
      <c r="FE30" s="382">
        <f t="shared" si="34"/>
        <v>0</v>
      </c>
      <c r="FF30" s="453">
        <f>IF(OR('Parte Estrategica'!AQ30=0,'Parte Estrategica'!AQ30=""),0,IF(VLOOKUP($A30,'Matriz de Referencia'!$B$2:$CO$584,53,FALSE)=0,0,"Digite"))</f>
        <v>0</v>
      </c>
      <c r="FG30" s="454">
        <f>IF(OR('Parte Estrategica'!AQ30=0,'Parte Estrategica'!AQ30=""),0,IF(VLOOKUP($A30,'Matriz de Referencia'!$B$2:$CO$584,54,FALSE)=0,0,"Digite"))</f>
        <v>0</v>
      </c>
      <c r="FH30" s="454">
        <f>IF(OR('Parte Estrategica'!AQ30=0,'Parte Estrategica'!AQ30=""),0,IF(VLOOKUP($A30,'Matriz de Referencia'!$B$2:$CO$584,55,FALSE)=0,0,"Digite"))</f>
        <v>0</v>
      </c>
      <c r="FI30" s="454">
        <f>IF(OR('Parte Estrategica'!AQ30=0,'Parte Estrategica'!AQ30=""),0,IF(VLOOKUP($A30,'Matriz de Referencia'!$B$2:$CO$584,56,FALSE)=0,0,"Digite"))</f>
        <v>0</v>
      </c>
      <c r="FJ30" s="454">
        <f>IF(OR('Parte Estrategica'!AQ30=0,'Parte Estrategica'!AQ30=""),0,IF(VLOOKUP($A30,'Matriz de Referencia'!$B$2:$CO$584,57,FALSE)=0,0,"Digite"))</f>
        <v>0</v>
      </c>
      <c r="FK30" s="454">
        <f>IF(OR('Parte Estrategica'!AQ30=0,'Parte Estrategica'!AQ30=""),0,IF(VLOOKUP($A30,'Matriz de Referencia'!$B$2:$CO$584,58,FALSE)=0,0,"Digite"))</f>
        <v>0</v>
      </c>
      <c r="FL30" s="454">
        <f>IF(OR('Parte Estrategica'!AQ30=0,'Parte Estrategica'!AQ30=""),0,IF(VLOOKUP($A30,'Matriz de Referencia'!$B$2:$CO$584,59,FALSE)=0,0,"Digite"))</f>
        <v>0</v>
      </c>
      <c r="FM30" s="454">
        <f>IF(OR('Parte Estrategica'!AQ30=0,'Parte Estrategica'!AQ30=""),0,IF(VLOOKUP($A30,'Matriz de Referencia'!$B$2:$CO$584,60,FALSE)=0,0,"Digite"))</f>
        <v>0</v>
      </c>
      <c r="FN30" s="382">
        <f t="shared" si="35"/>
        <v>0</v>
      </c>
      <c r="FO30" s="454">
        <f>IF(OR('Parte Estrategica'!AQ30=0,'Parte Estrategica'!AQ30=""),0,IF(VLOOKUP($A30,'Matriz de Referencia'!$B$2:$CO$584,62,FALSE)=0,0,"Digite"))</f>
        <v>0</v>
      </c>
      <c r="FP30" s="454">
        <f>IF(OR('Parte Estrategica'!AQ30=0,'Parte Estrategica'!AQ30=""),0,IF(VLOOKUP($A30,'Matriz de Referencia'!$B$2:$CO$584,63,FALSE)=0,0,"Digite"))</f>
        <v>0</v>
      </c>
      <c r="FQ30" s="454">
        <f>IF(OR('Parte Estrategica'!AQ30=0,'Parte Estrategica'!AQ30=""),0,IF(VLOOKUP($A30,'Matriz de Referencia'!$B$2:$CO$584,64,FALSE)=0,0,"Digite"))</f>
        <v>0</v>
      </c>
      <c r="FR30" s="382">
        <f t="shared" si="36"/>
        <v>0</v>
      </c>
      <c r="FS30" s="382">
        <f t="shared" si="37"/>
        <v>0</v>
      </c>
      <c r="FT30" s="382">
        <f t="shared" si="38"/>
        <v>0</v>
      </c>
      <c r="FU30" s="101" t="str">
        <f>IFERROR(IF(FT30=0,"",IF(VLOOKUP($A30,'Matriz de Referencia'!$B$2:$CO$584,66,FALSE)=FT30,"Techos ok, cotinue","Debe revisar el valor programado")),"")</f>
        <v/>
      </c>
      <c r="FV30" s="453">
        <f>IF(OR('Parte Estrategica'!AT30=0,'Parte Estrategica'!AT30=""),0,IF(VLOOKUP($A30,'Matriz de Referencia'!$B$2:$CO$584,67,FALSE)=0,0,"Digite"))</f>
        <v>0</v>
      </c>
      <c r="FW30" s="454">
        <f>IF(OR('Parte Estrategica'!AT30=0,'Parte Estrategica'!AT30=""),0,IF(VLOOKUP($A30,'Matriz de Referencia'!$B$2:$CO$584,68,FALSE)=0,0,"Digite"))</f>
        <v>0</v>
      </c>
      <c r="FX30" s="454">
        <f>IF(OR('Parte Estrategica'!AT30=0,'Parte Estrategica'!AT30=""),0,IF(VLOOKUP($A30,'Matriz de Referencia'!$B$2:$CO$584,69,FALSE)=0,0,"Digite"))</f>
        <v>0</v>
      </c>
      <c r="FY30" s="454">
        <f>IF(OR('Parte Estrategica'!AT30=0,'Parte Estrategica'!AT30=""),0,IF(VLOOKUP($A30,'Matriz de Referencia'!$B$2:$CO$584,70,FALSE)=0,0,"Digite"))</f>
        <v>0</v>
      </c>
      <c r="FZ30" s="454">
        <f>IF(OR('Parte Estrategica'!AT30=0,'Parte Estrategica'!AT30=""),0,IF(VLOOKUP($A30,'Matriz de Referencia'!$B$2:$CO$584,71,FALSE)=0,0,"Digite"))</f>
        <v>0</v>
      </c>
      <c r="GA30" s="454">
        <f>IF(OR('Parte Estrategica'!AT30=0,'Parte Estrategica'!AT30=""),0,IF(VLOOKUP($A30,'Matriz de Referencia'!$B$2:$CO$584,72,FALSE)=0,0,"Digite"))</f>
        <v>0</v>
      </c>
      <c r="GB30" s="454">
        <f>IF(OR('Parte Estrategica'!AT30=0,'Parte Estrategica'!AT30=""),0,IF(VLOOKUP($A30,'Matriz de Referencia'!$B$2:$CO$584,73,FALSE)=0,0,"Digite"))</f>
        <v>0</v>
      </c>
      <c r="GC30" s="454">
        <f>IF(OR('Parte Estrategica'!AT30=0,'Parte Estrategica'!AT30=""),0,IF(VLOOKUP($A30,'Matriz de Referencia'!$B$2:$CO$584,74,FALSE)=0,0,"Digite"))</f>
        <v>0</v>
      </c>
      <c r="GD30" s="382">
        <f t="shared" si="39"/>
        <v>0</v>
      </c>
      <c r="GE30" s="454">
        <f>IF(OR('Parte Estrategica'!AT30=0,'Parte Estrategica'!AT30=""),0,IF(VLOOKUP($A30,'Matriz de Referencia'!$B$2:$CO$584,76,FALSE)=0,0,"Digite"))</f>
        <v>0</v>
      </c>
      <c r="GF30" s="454">
        <f>IF(OR('Parte Estrategica'!AT30=0,'Parte Estrategica'!AT30=""),0,IF(VLOOKUP($A30,'Matriz de Referencia'!$B$2:$CO$584,77,FALSE)=0,0,"Digite"))</f>
        <v>0</v>
      </c>
      <c r="GG30" s="454">
        <f>IF(OR('Parte Estrategica'!AT30=0,'Parte Estrategica'!AT30=""),0,IF(VLOOKUP($A30,'Matriz de Referencia'!$B$2:$CO$584,78,FALSE)=0,0,"Digite"))</f>
        <v>0</v>
      </c>
      <c r="GH30" s="382">
        <f t="shared" si="40"/>
        <v>0</v>
      </c>
      <c r="GI30" s="382">
        <f t="shared" si="41"/>
        <v>0</v>
      </c>
      <c r="GJ30" s="453">
        <f>IF(OR('Parte Estrategica'!AU30=0,'Parte Estrategica'!AU30=""),0,IF(VLOOKUP($A30,'Matriz de Referencia'!$B$2:$CO$584,67,FALSE)=0,0,"Digite"))</f>
        <v>0</v>
      </c>
      <c r="GK30" s="454">
        <f>IF(OR('Parte Estrategica'!AU30=0,'Parte Estrategica'!AU30=""),0,IF(VLOOKUP($A30,'Matriz de Referencia'!$B$2:$CO$584,68,FALSE)=0,0,"Digite"))</f>
        <v>0</v>
      </c>
      <c r="GL30" s="454">
        <f>IF(OR('Parte Estrategica'!AU30=0,'Parte Estrategica'!AU30=""),0,IF(VLOOKUP($A30,'Matriz de Referencia'!$B$2:$CO$584,69,FALSE)=0,0,"Digite"))</f>
        <v>0</v>
      </c>
      <c r="GM30" s="454">
        <f>IF(OR('Parte Estrategica'!AU30=0,'Parte Estrategica'!AU30=""),0,IF(VLOOKUP($A30,'Matriz de Referencia'!$B$2:$CO$584,70,FALSE)=0,0,"Digite"))</f>
        <v>0</v>
      </c>
      <c r="GN30" s="454">
        <f>IF(OR('Parte Estrategica'!AU30=0,'Parte Estrategica'!AU30=""),0,IF(VLOOKUP($A30,'Matriz de Referencia'!$B$2:$CO$584,71,FALSE)=0,0,"Digite"))</f>
        <v>0</v>
      </c>
      <c r="GO30" s="454">
        <f>IF(OR('Parte Estrategica'!AU30=0,'Parte Estrategica'!AU30=""),0,IF(VLOOKUP($A30,'Matriz de Referencia'!$B$2:$CO$584,72,FALSE)=0,0,"Digite"))</f>
        <v>0</v>
      </c>
      <c r="GP30" s="454">
        <f>IF(OR('Parte Estrategica'!AU30=0,'Parte Estrategica'!AU30=""),0,IF(VLOOKUP($A30,'Matriz de Referencia'!$B$2:$CO$584,73,FALSE)=0,0,"Digite"))</f>
        <v>0</v>
      </c>
      <c r="GQ30" s="454">
        <f>IF(OR('Parte Estrategica'!AU30=0,'Parte Estrategica'!AU30=""),0,IF(VLOOKUP($A30,'Matriz de Referencia'!$B$2:$CO$584,74,FALSE)=0,0,"Digite"))</f>
        <v>0</v>
      </c>
      <c r="GR30" s="382">
        <f t="shared" si="42"/>
        <v>0</v>
      </c>
      <c r="GS30" s="454">
        <f>IF(OR('Parte Estrategica'!AU30=0,'Parte Estrategica'!AU30=""),0,IF(VLOOKUP($A30,'Matriz de Referencia'!$B$2:$CO$584,76,FALSE)=0,0,"Digite"))</f>
        <v>0</v>
      </c>
      <c r="GT30" s="454">
        <f>IF(OR('Parte Estrategica'!AU30=0,'Parte Estrategica'!AU30=""),0,IF(VLOOKUP($A30,'Matriz de Referencia'!$B$2:$CO$584,77,FALSE)=0,0,"Digite"))</f>
        <v>0</v>
      </c>
      <c r="GU30" s="454">
        <f>IF(OR('Parte Estrategica'!AU30=0,'Parte Estrategica'!AU30=""),0,IF(VLOOKUP($A30,'Matriz de Referencia'!$B$2:$CO$584,78,FALSE)=0,0,"Digite"))</f>
        <v>0</v>
      </c>
      <c r="GV30" s="382">
        <f t="shared" si="43"/>
        <v>0</v>
      </c>
      <c r="GW30" s="382">
        <f t="shared" si="44"/>
        <v>0</v>
      </c>
      <c r="GX30" s="453">
        <f>IF(OR('Parte Estrategica'!AV30=0,'Parte Estrategica'!AV30=""),0,IF(VLOOKUP($A30,'Matriz de Referencia'!$B$2:$CO$584,67,FALSE)=0,0,"Digite"))</f>
        <v>0</v>
      </c>
      <c r="GY30" s="454">
        <f>IF(OR('Parte Estrategica'!AV30=0,'Parte Estrategica'!AV30=""),0,IF(VLOOKUP($A30,'Matriz de Referencia'!$B$2:$CO$584,68,FALSE)=0,0,"Digite"))</f>
        <v>0</v>
      </c>
      <c r="GZ30" s="454">
        <f>IF(OR('Parte Estrategica'!AV30=0,'Parte Estrategica'!AV30=""),0,IF(VLOOKUP($A30,'Matriz de Referencia'!$B$2:$CO$584,69,FALSE)=0,0,"Digite"))</f>
        <v>0</v>
      </c>
      <c r="HA30" s="454">
        <f>IF(OR('Parte Estrategica'!AV30=0,'Parte Estrategica'!AV30=""),0,IF(VLOOKUP($A30,'Matriz de Referencia'!$B$2:$CO$584,70,FALSE)=0,0,"Digite"))</f>
        <v>0</v>
      </c>
      <c r="HB30" s="454">
        <f>IF(OR('Parte Estrategica'!AV30=0,'Parte Estrategica'!AV30=""),0,IF(VLOOKUP($A30,'Matriz de Referencia'!$B$2:$CO$584,71,FALSE)=0,0,"Digite"))</f>
        <v>0</v>
      </c>
      <c r="HC30" s="454">
        <f>IF(OR('Parte Estrategica'!AV30=0,'Parte Estrategica'!AV30=""),0,IF(VLOOKUP($A30,'Matriz de Referencia'!$B$2:$CO$584,72,FALSE)=0,0,"Digite"))</f>
        <v>0</v>
      </c>
      <c r="HD30" s="454">
        <f>IF(OR('Parte Estrategica'!AV30=0,'Parte Estrategica'!AV30=""),0,IF(VLOOKUP($A30,'Matriz de Referencia'!$B$2:$CO$584,73,FALSE)=0,0,"Digite"))</f>
        <v>0</v>
      </c>
      <c r="HE30" s="454">
        <f>IF(OR('Parte Estrategica'!AV30=0,'Parte Estrategica'!AV30=""),0,IF(VLOOKUP($A30,'Matriz de Referencia'!$B$2:$CO$584,74,FALSE)=0,0,"Digite"))</f>
        <v>0</v>
      </c>
      <c r="HF30" s="382">
        <f t="shared" si="45"/>
        <v>0</v>
      </c>
      <c r="HG30" s="454">
        <f>IF(OR('Parte Estrategica'!AV30=0,'Parte Estrategica'!AV30=""),0,IF(VLOOKUP($A30,'Matriz de Referencia'!$B$2:$CO$584,76,FALSE)=0,0,"Digite"))</f>
        <v>0</v>
      </c>
      <c r="HH30" s="454">
        <f>IF(OR('Parte Estrategica'!AV30=0,'Parte Estrategica'!AV30=""),0,IF(VLOOKUP($A30,'Matriz de Referencia'!$B$2:$CO$584,77,FALSE)=0,0,"Digite"))</f>
        <v>0</v>
      </c>
      <c r="HI30" s="454">
        <f>IF(OR('Parte Estrategica'!AV30=0,'Parte Estrategica'!AV30=""),0,IF(VLOOKUP($A30,'Matriz de Referencia'!$B$2:$CO$584,78,FALSE)=0,0,"Digite"))</f>
        <v>0</v>
      </c>
      <c r="HJ30" s="382">
        <f t="shared" si="46"/>
        <v>0</v>
      </c>
      <c r="HK30" s="382">
        <f t="shared" si="47"/>
        <v>0</v>
      </c>
      <c r="HL30" s="453">
        <f>IF(OR('Parte Estrategica'!AW30=0,'Parte Estrategica'!AW30=""),0,IF(VLOOKUP($A30,'Matriz de Referencia'!$B$2:$CO$584,67,FALSE)=0,0,"Digite"))</f>
        <v>0</v>
      </c>
      <c r="HM30" s="454">
        <f>IF(OR('Parte Estrategica'!AW30=0,'Parte Estrategica'!AW30=""),0,IF(VLOOKUP($A30,'Matriz de Referencia'!$B$2:$CO$584,68,FALSE)=0,0,"Digite"))</f>
        <v>0</v>
      </c>
      <c r="HN30" s="454">
        <f>IF(OR('Parte Estrategica'!AW30=0,'Parte Estrategica'!AW30=""),0,IF(VLOOKUP($A30,'Matriz de Referencia'!$B$2:$CO$584,69,FALSE)=0,0,"Digite"))</f>
        <v>0</v>
      </c>
      <c r="HO30" s="454">
        <f>IF(OR('Parte Estrategica'!AW30=0,'Parte Estrategica'!AW30=""),0,IF(VLOOKUP($A30,'Matriz de Referencia'!$B$2:$CO$584,70,FALSE)=0,0,"Digite"))</f>
        <v>0</v>
      </c>
      <c r="HP30" s="454">
        <f>IF(OR('Parte Estrategica'!AW30=0,'Parte Estrategica'!AW30=""),0,IF(VLOOKUP($A30,'Matriz de Referencia'!$B$2:$CO$584,71,FALSE)=0,0,"Digite"))</f>
        <v>0</v>
      </c>
      <c r="HQ30" s="454">
        <f>IF(OR('Parte Estrategica'!AW30=0,'Parte Estrategica'!AW30=""),0,IF(VLOOKUP($A30,'Matriz de Referencia'!$B$2:$CO$584,72,FALSE)=0,0,"Digite"))</f>
        <v>0</v>
      </c>
      <c r="HR30" s="454">
        <f>IF(OR('Parte Estrategica'!AW30=0,'Parte Estrategica'!AW30=""),0,IF(VLOOKUP($A30,'Matriz de Referencia'!$B$2:$CO$584,73,FALSE)=0,0,"Digite"))</f>
        <v>0</v>
      </c>
      <c r="HS30" s="454">
        <f>IF(OR('Parte Estrategica'!AW30=0,'Parte Estrategica'!AW30=""),0,IF(VLOOKUP($A30,'Matriz de Referencia'!$B$2:$CO$584,74,FALSE)=0,0,"Digite"))</f>
        <v>0</v>
      </c>
      <c r="HT30" s="382">
        <f t="shared" si="48"/>
        <v>0</v>
      </c>
      <c r="HU30" s="454">
        <f>IF(OR('Parte Estrategica'!AW30=0,'Parte Estrategica'!AW30=""),0,IF(VLOOKUP($A30,'Matriz de Referencia'!$B$2:$CO$584,76,FALSE)=0,0,"Digite"))</f>
        <v>0</v>
      </c>
      <c r="HV30" s="454">
        <f>IF(OR('Parte Estrategica'!AW30=0,'Parte Estrategica'!AW30=""),0,IF(VLOOKUP($A30,'Matriz de Referencia'!$B$2:$CO$584,77,FALSE)=0,0,"Digite"))</f>
        <v>0</v>
      </c>
      <c r="HW30" s="454">
        <f>IF(OR('Parte Estrategica'!AW30=0,'Parte Estrategica'!AW30=""),0,IF(VLOOKUP($A30,'Matriz de Referencia'!$B$2:$CO$584,78,FALSE)=0,0,"Digite"))</f>
        <v>0</v>
      </c>
      <c r="HX30" s="382">
        <f t="shared" si="49"/>
        <v>0</v>
      </c>
      <c r="HY30" s="382">
        <f t="shared" si="50"/>
        <v>0</v>
      </c>
      <c r="HZ30" s="382">
        <f t="shared" si="51"/>
        <v>0</v>
      </c>
      <c r="IA30" s="101" t="str">
        <f>IFERROR(IF(HZ30=0,"",IF(VLOOKUP($A30,'Matriz de Referencia'!$B$2:$CO$584,80,FALSE)=HZ30,"Techos ok, cotinue","Debe revisar el valor programado")),"")</f>
        <v/>
      </c>
      <c r="IB30" s="383">
        <f t="shared" si="52"/>
        <v>0</v>
      </c>
    </row>
    <row r="31" spans="1:236">
      <c r="A31" s="550" t="str">
        <f>IF('Parte Estrategica'!B31=0,"",'Parte Estrategica'!B31)</f>
        <v/>
      </c>
      <c r="B31" s="551" t="str">
        <f>IFERROR(VLOOKUP(A31,'Matriz de Referencia'!$B$2:$P$578,'Matriz de Referencia'!L$1,FALSE),"")</f>
        <v/>
      </c>
      <c r="C31" s="551" t="str">
        <f>IFERROR(VLOOKUP(A31,'Matriz de Referencia'!$B$2:$P$584,'Matriz de Referencia'!M$1,FALSE),"")</f>
        <v/>
      </c>
      <c r="D31" s="455" t="str">
        <f>IF(OR('Parte Estrategica'!AB31=0,'Parte Estrategica'!AB31=""),"",IF(VLOOKUP($A31,'Matriz de Referencia'!$B$2:$CO$584,'Matriz de Referencia'!Z$1,FALSE)=0,"","Digite"))</f>
        <v/>
      </c>
      <c r="E31" s="456">
        <f>IF(OR('Parte Estrategica'!AB31=0,'Parte Estrategica'!AB31=""),0,IF(VLOOKUP($A31,'Matriz de Referencia'!$B$2:$CO$584,26,FALSE)=0,0,"Digite"))</f>
        <v>0</v>
      </c>
      <c r="F31" s="456">
        <f>IF(OR('Parte Estrategica'!AB31=0,'Parte Estrategica'!AB31=""),0,IF(VLOOKUP($A31,'Matriz de Referencia'!$B$2:$CO$584,27,FALSE)=0,0,"Digite"))</f>
        <v>0</v>
      </c>
      <c r="G31" s="456">
        <f>IF(OR('Parte Estrategica'!AB31=0,'Parte Estrategica'!AB31=""),0,IF(VLOOKUP($A31,'Matriz de Referencia'!$B$2:$CO$584,28,FALSE)=0,0,"Digite"))</f>
        <v>0</v>
      </c>
      <c r="H31" s="456">
        <f>IF(OR('Parte Estrategica'!AB31=0,'Parte Estrategica'!AB31=""),0,IF(VLOOKUP($A31,'Matriz de Referencia'!$B$2:$CO$584,29,FALSE)=0,0,"Digite"))</f>
        <v>0</v>
      </c>
      <c r="I31" s="456">
        <f>IF(OR('Parte Estrategica'!AB31=0,'Parte Estrategica'!AB31=""),0,IF(VLOOKUP($A31,'Matriz de Referencia'!$B$2:$CO$584,30,FALSE)=0,0,"Digite"))</f>
        <v>0</v>
      </c>
      <c r="J31" s="456">
        <f>IF(OR('Parte Estrategica'!AB31=0,'Parte Estrategica'!AB31=""),0,IF(VLOOKUP($A31,'Matriz de Referencia'!$B$2:$CO$584,31,FALSE)=0,0,"Digite"))</f>
        <v>0</v>
      </c>
      <c r="K31" s="456">
        <f>IF(OR('Parte Estrategica'!AB31=0,'Parte Estrategica'!AB31=""),0,IF(VLOOKUP($A31,'Matriz de Referencia'!$B$2:$CO$584,32,FALSE)=0,0,"Digite"))</f>
        <v>0</v>
      </c>
      <c r="L31" s="460">
        <f t="shared" si="0"/>
        <v>0</v>
      </c>
      <c r="M31" s="456">
        <f>IF(OR('Parte Estrategica'!AB31=0,'Parte Estrategica'!AB31=""),0,IF(VLOOKUP($A31,'Matriz de Referencia'!$B$2:$CO$584,34,FALSE)=0,0,"Digite"))</f>
        <v>0</v>
      </c>
      <c r="N31" s="456">
        <f>IF(OR('Parte Estrategica'!AB31=0,'Parte Estrategica'!AB31=""),0,IF(VLOOKUP($A31,'Matriz de Referencia'!$B$2:$CO$584,35,FALSE)=0,0,"Digite"))</f>
        <v>0</v>
      </c>
      <c r="O31" s="456">
        <f>IF(OR('Parte Estrategica'!AB31=0,'Parte Estrategica'!AB31=""),0,IF(VLOOKUP($A31,'Matriz de Referencia'!$B$2:$CO$584,36,FALSE)=0,0,"Digite"))</f>
        <v>0</v>
      </c>
      <c r="P31" s="457">
        <f t="shared" si="1"/>
        <v>0</v>
      </c>
      <c r="Q31" s="457">
        <f t="shared" si="2"/>
        <v>0</v>
      </c>
      <c r="R31" s="455">
        <f>IF(OR('Parte Estrategica'!AC31=0,'Parte Estrategica'!AC31=""),0,IF(VLOOKUP($A31,'Matriz de Referencia'!$B$2:$CO$584,25,FALSE)=0,0,"Digite"))</f>
        <v>0</v>
      </c>
      <c r="S31" s="456">
        <f>IF(OR('Parte Estrategica'!AC31=0,'Parte Estrategica'!AC31=""),0,IF(VLOOKUP($A31,'Matriz de Referencia'!$B$2:$CO$584,26,FALSE)=0,0,"Digite"))</f>
        <v>0</v>
      </c>
      <c r="T31" s="456">
        <f>IF(OR('Parte Estrategica'!AC31=0,'Parte Estrategica'!AC31=""),0,IF(VLOOKUP($A31,'Matriz de Referencia'!$B$2:$CO$584,27,FALSE)=0,0,"Digite"))</f>
        <v>0</v>
      </c>
      <c r="U31" s="456">
        <f>IF(OR('Parte Estrategica'!AC31=0,'Parte Estrategica'!AC31=""),0,IF(VLOOKUP($A31,'Matriz de Referencia'!$B$2:$CO$584,28,FALSE)=0,0,"Digite"))</f>
        <v>0</v>
      </c>
      <c r="V31" s="456">
        <f>IF(OR('Parte Estrategica'!AC31=0,'Parte Estrategica'!AC31=""),0,IF(VLOOKUP($A31,'Matriz de Referencia'!$B$2:$CO$584,29,FALSE)=0,0,"Digite"))</f>
        <v>0</v>
      </c>
      <c r="W31" s="456">
        <f>IF(OR('Parte Estrategica'!AC31=0,'Parte Estrategica'!AC31=""),0,IF(VLOOKUP($A31,'Matriz de Referencia'!$B$2:$CO$584,30,FALSE)=0,0,"Digite"))</f>
        <v>0</v>
      </c>
      <c r="X31" s="456">
        <f>IF(OR('Parte Estrategica'!AC31=0,'Parte Estrategica'!AC31=""),0,IF(VLOOKUP($A31,'Matriz de Referencia'!$B$2:$CO$584,31,FALSE)=0,0,"Digite"))</f>
        <v>0</v>
      </c>
      <c r="Y31" s="456">
        <f>IF(OR('Parte Estrategica'!AC31=0,'Parte Estrategica'!AC31=""),0,IF(VLOOKUP($A31,'Matriz de Referencia'!$B$2:$CO$584,32,FALSE)=0,0,"Digite"))</f>
        <v>0</v>
      </c>
      <c r="Z31" s="457">
        <f t="shared" si="3"/>
        <v>0</v>
      </c>
      <c r="AA31" s="456">
        <f>IF(OR('Parte Estrategica'!AC31=0,'Parte Estrategica'!AC31=""),0,IF(VLOOKUP($A31,'Matriz de Referencia'!$B$2:$CO$584,34,FALSE)=0,0,"Digite"))</f>
        <v>0</v>
      </c>
      <c r="AB31" s="456">
        <f>IF(OR('Parte Estrategica'!AC31=0,'Parte Estrategica'!AC31=""),0,IF(VLOOKUP($A31,'Matriz de Referencia'!$B$2:$CO$584,35,FALSE)=0,0,"Digite"))</f>
        <v>0</v>
      </c>
      <c r="AC31" s="456">
        <f>IF(OR('Parte Estrategica'!AC31=0,'Parte Estrategica'!AC31=""),0,IF(VLOOKUP($A31,'Matriz de Referencia'!$B$2:$CO$584,36,FALSE)=0,0,"Digite"))</f>
        <v>0</v>
      </c>
      <c r="AD31" s="457">
        <f t="shared" si="4"/>
        <v>0</v>
      </c>
      <c r="AE31" s="457">
        <f t="shared" si="5"/>
        <v>0</v>
      </c>
      <c r="AF31" s="455">
        <f>IF(OR('Parte Estrategica'!AD31=0,'Parte Estrategica'!AD31=""),0,IF(VLOOKUP($A31,'Matriz de Referencia'!$B$2:$CO$584,25,FALSE)=0,0,"Digite"))</f>
        <v>0</v>
      </c>
      <c r="AG31" s="456">
        <f>IF(OR('Parte Estrategica'!AD31=0,'Parte Estrategica'!AD31=""),0,IF(VLOOKUP($A31,'Matriz de Referencia'!$B$2:$CO$584,26,FALSE)=0,0,"Digite"))</f>
        <v>0</v>
      </c>
      <c r="AH31" s="456">
        <f>IF(OR('Parte Estrategica'!AD31=0,'Parte Estrategica'!AD31=""),0,IF(VLOOKUP($A31,'Matriz de Referencia'!$B$2:$CO$584,27,FALSE)=0,0,"Digite"))</f>
        <v>0</v>
      </c>
      <c r="AI31" s="456">
        <f>IF(OR('Parte Estrategica'!AD31=0,'Parte Estrategica'!AD31=""),0,IF(VLOOKUP($A31,'Matriz de Referencia'!$B$2:$CO$584,28,FALSE)=0,0,"Digite"))</f>
        <v>0</v>
      </c>
      <c r="AJ31" s="456">
        <f>IF(OR('Parte Estrategica'!AD31=0,'Parte Estrategica'!AD31=""),0,IF(VLOOKUP($A31,'Matriz de Referencia'!$B$2:$CO$584,29,FALSE)=0,0,"Digite"))</f>
        <v>0</v>
      </c>
      <c r="AK31" s="456">
        <f>IF(OR('Parte Estrategica'!AD31=0,'Parte Estrategica'!AD31=""),0,IF(VLOOKUP($A31,'Matriz de Referencia'!$B$2:$CO$584,30,FALSE)=0,0,"Digite"))</f>
        <v>0</v>
      </c>
      <c r="AL31" s="456">
        <f>IF(OR('Parte Estrategica'!AD31=0,'Parte Estrategica'!AD31=""),0,IF(VLOOKUP($A31,'Matriz de Referencia'!$B$2:$CO$584,31,FALSE)=0,0,"Digite"))</f>
        <v>0</v>
      </c>
      <c r="AM31" s="456">
        <f>IF(OR('Parte Estrategica'!AD31=0,'Parte Estrategica'!AD31=""),0,IF(VLOOKUP($A31,'Matriz de Referencia'!$B$2:$CO$584,32,FALSE)=0,0,"Digite"))</f>
        <v>0</v>
      </c>
      <c r="AN31" s="457">
        <f t="shared" si="6"/>
        <v>0</v>
      </c>
      <c r="AO31" s="456">
        <f>IF(OR('Parte Estrategica'!AD31=0,'Parte Estrategica'!AD31=""),0,IF(VLOOKUP($A31,'Matriz de Referencia'!$B$2:$CO$584,34,FALSE)=0,0,"Digite"))</f>
        <v>0</v>
      </c>
      <c r="AP31" s="456">
        <f>IF(OR('Parte Estrategica'!AD31=0,'Parte Estrategica'!AD31=""),0,IF(VLOOKUP($A31,'Matriz de Referencia'!$B$2:$CO$584,35,FALSE)=0,0,"Digite"))</f>
        <v>0</v>
      </c>
      <c r="AQ31" s="456">
        <f>IF(OR('Parte Estrategica'!AD31=0,'Parte Estrategica'!AD31=""),0,IF(VLOOKUP($A31,'Matriz de Referencia'!$B$2:$CO$584,36,FALSE)=0,0,"Digite"))</f>
        <v>0</v>
      </c>
      <c r="AR31" s="457">
        <f t="shared" si="7"/>
        <v>0</v>
      </c>
      <c r="AS31" s="457">
        <f t="shared" si="8"/>
        <v>0</v>
      </c>
      <c r="AT31" s="455">
        <f>IF(OR('Parte Estrategica'!AE31=0,'Parte Estrategica'!AE31=""),0,IF(VLOOKUP($A31,'Matriz de Referencia'!$B$2:$CO$584,25,FALSE)=0,0,"Digite"))</f>
        <v>0</v>
      </c>
      <c r="AU31" s="456">
        <f>IF(OR('Parte Estrategica'!AE31=0,'Parte Estrategica'!AE31=""),0,IF(VLOOKUP($A31,'Matriz de Referencia'!$B$2:$CO$584,26,FALSE)=0,0,"Digite"))</f>
        <v>0</v>
      </c>
      <c r="AV31" s="456">
        <f>IF(OR('Parte Estrategica'!AE31=0,'Parte Estrategica'!AE31=""),0,IF(VLOOKUP($A31,'Matriz de Referencia'!$B$2:$CO$584,27,FALSE)=0,0,"Digite"))</f>
        <v>0</v>
      </c>
      <c r="AW31" s="456">
        <f>IF(OR('Parte Estrategica'!AE31=0,'Parte Estrategica'!AE31=""),0,IF(VLOOKUP($A31,'Matriz de Referencia'!$B$2:$CO$584,28,FALSE)=0,0,"Digite"))</f>
        <v>0</v>
      </c>
      <c r="AX31" s="456">
        <f>IF(OR('Parte Estrategica'!AE31=0,'Parte Estrategica'!AE31=""),0,IF(VLOOKUP($A31,'Matriz de Referencia'!$B$2:$CO$584,29,FALSE)=0,0,"Digite"))</f>
        <v>0</v>
      </c>
      <c r="AY31" s="456">
        <f>IF(OR('Parte Estrategica'!AE31=0,'Parte Estrategica'!AE31=""),0,IF(VLOOKUP($A31,'Matriz de Referencia'!$B$2:$CO$584,30,FALSE)=0,0,"Digite"))</f>
        <v>0</v>
      </c>
      <c r="AZ31" s="456">
        <f>IF(OR('Parte Estrategica'!AE31=0,'Parte Estrategica'!AE31=""),0,IF(VLOOKUP($A31,'Matriz de Referencia'!$B$2:$CO$584,31,FALSE)=0,0,"Digite"))</f>
        <v>0</v>
      </c>
      <c r="BA31" s="456">
        <f>IF(OR('Parte Estrategica'!AE31=0,'Parte Estrategica'!AE31=""),0,IF(VLOOKUP($A31,'Matriz de Referencia'!$B$2:$CO$584,32,FALSE)=0,0,"Digite"))</f>
        <v>0</v>
      </c>
      <c r="BB31" s="457">
        <f t="shared" si="9"/>
        <v>0</v>
      </c>
      <c r="BC31" s="456">
        <f>IF(OR('Parte Estrategica'!AE31=0,'Parte Estrategica'!AE31=""),0,IF(VLOOKUP($A31,'Matriz de Referencia'!$B$2:$CO$584,34,FALSE)=0,0,"Digite"))</f>
        <v>0</v>
      </c>
      <c r="BD31" s="456">
        <f>IF(OR('Parte Estrategica'!AE31=0,'Parte Estrategica'!AE31=""),0,IF(VLOOKUP($A31,'Matriz de Referencia'!$B$2:$CO$584,35,FALSE)=0,0,"Digite"))</f>
        <v>0</v>
      </c>
      <c r="BE31" s="456">
        <f>IF(OR('Parte Estrategica'!AE31=0,'Parte Estrategica'!AE31=""),0,IF(VLOOKUP($A31,'Matriz de Referencia'!$B$2:$CO$584,36,FALSE)=0,0,"Digite"))</f>
        <v>0</v>
      </c>
      <c r="BF31" s="457">
        <f t="shared" si="10"/>
        <v>0</v>
      </c>
      <c r="BG31" s="457">
        <f t="shared" si="11"/>
        <v>0</v>
      </c>
      <c r="BH31" s="457">
        <f t="shared" si="12"/>
        <v>0</v>
      </c>
      <c r="BI31" s="101" t="str">
        <f>IFERROR(IF(BH31=0,"",IF(VLOOKUP($A31,'Matriz de Referencia'!$B$2:$CO$584,'Matriz de Referencia'!AM$1,FALSE)=BH31,"Techos ok, cotinue","Debe revisar el valor programado")),"")</f>
        <v/>
      </c>
      <c r="BJ31" s="453">
        <f>IF(OR('Parte Estrategica'!AH31=0,'Parte Estrategica'!AH31=""),0,IF(VLOOKUP($A31,'Matriz de Referencia'!$B$2:$CO$584,39,FALSE)=0,0,"Digite"))</f>
        <v>0</v>
      </c>
      <c r="BK31" s="454">
        <f>IF(OR('Parte Estrategica'!AH31=0,'Parte Estrategica'!AH31=""),0,IF(VLOOKUP($A31,'Matriz de Referencia'!$B$2:$CO$584,40,FALSE)=0,0,"Digite"))</f>
        <v>0</v>
      </c>
      <c r="BL31" s="454">
        <f>IF(OR('Parte Estrategica'!AH31=0,'Parte Estrategica'!AH31=""),0,IF(VLOOKUP($A31,'Matriz de Referencia'!$B$2:$CO$584,41,FALSE)=0,0,"Digite"))</f>
        <v>0</v>
      </c>
      <c r="BM31" s="454">
        <f>IF(OR('Parte Estrategica'!AH31=0,'Parte Estrategica'!AH31=""),0,IF(VLOOKUP($A31,'Matriz de Referencia'!$B$2:$CO$584,42,FALSE)=0,0,"Digite"))</f>
        <v>0</v>
      </c>
      <c r="BN31" s="454">
        <f>IF(OR('Parte Estrategica'!AH31=0,'Parte Estrategica'!AH31=""),0,IF(VLOOKUP($A31,'Matriz de Referencia'!$B$2:$CO$584,43,FALSE)=0,0,"Digite"))</f>
        <v>0</v>
      </c>
      <c r="BO31" s="454">
        <f>IF(OR('Parte Estrategica'!AH31=0,'Parte Estrategica'!AH31=""),0,IF(VLOOKUP($A31,'Matriz de Referencia'!$B$2:$CO$584,44,FALSE)=0,0,"Digite"))</f>
        <v>0</v>
      </c>
      <c r="BP31" s="454">
        <f>IF(OR('Parte Estrategica'!AH31=0,'Parte Estrategica'!AH31=""),0,IF(VLOOKUP($A31,'Matriz de Referencia'!$B$2:$CO$584,45,FALSE)=0,0,"Digite"))</f>
        <v>0</v>
      </c>
      <c r="BQ31" s="454">
        <f>IF(OR('Parte Estrategica'!AH31=0,'Parte Estrategica'!AH31=""),0,IF(VLOOKUP($A31,'Matriz de Referencia'!$B$2:$CO$584,46,FALSE)=0,0,"Digite"))</f>
        <v>0</v>
      </c>
      <c r="BR31" s="382">
        <f t="shared" si="13"/>
        <v>0</v>
      </c>
      <c r="BS31" s="454">
        <f>IF(OR('Parte Estrategica'!CL31=0,'Parte Estrategica'!CL31=""),0,IF(VLOOKUP($A31,'Matriz de Referencia'!$B$2:$CO$584,48,FALSE)=0,0,"Digite"))</f>
        <v>0</v>
      </c>
      <c r="BT31" s="454">
        <f>IF(OR('Parte Estrategica'!CL31=0,'Parte Estrategica'!CL31=""),0,IF(VLOOKUP($A31,'Matriz de Referencia'!$B$2:$CO$584,49,FALSE)=0,0,"Digite"))</f>
        <v>0</v>
      </c>
      <c r="BU31" s="454">
        <f>IF(OR('Parte Estrategica'!CL31=0,'Parte Estrategica'!CL31=""),0,IF(VLOOKUP($A31,'Matriz de Referencia'!$B$2:$CO$584,50,FALSE)=0,0,"Digite"))</f>
        <v>0</v>
      </c>
      <c r="BV31" s="382">
        <f t="shared" si="14"/>
        <v>0</v>
      </c>
      <c r="BW31" s="382">
        <f t="shared" si="15"/>
        <v>0</v>
      </c>
      <c r="BX31" s="453">
        <f>IF(OR('Parte Estrategica'!AI31=0,'Parte Estrategica'!AI31=""),0,IF(VLOOKUP($A31,'Matriz de Referencia'!$B$2:$CO$584,39,FALSE)=0,0,"Digite"))</f>
        <v>0</v>
      </c>
      <c r="BY31" s="454">
        <f>IF(OR('Parte Estrategica'!AI31=0,'Parte Estrategica'!AI31=""),0,IF(VLOOKUP($A31,'Matriz de Referencia'!$B$2:$CO$584,40,FALSE)=0,0,"Digite"))</f>
        <v>0</v>
      </c>
      <c r="BZ31" s="454">
        <f>IF(OR('Parte Estrategica'!AI31=0,'Parte Estrategica'!AI31=""),0,IF(VLOOKUP($A31,'Matriz de Referencia'!$B$2:$CO$584,41,FALSE)=0,0,"Digite"))</f>
        <v>0</v>
      </c>
      <c r="CA31" s="454">
        <f>IF(OR('Parte Estrategica'!AI31=0,'Parte Estrategica'!AI31=""),0,IF(VLOOKUP($A31,'Matriz de Referencia'!$B$2:$CO$584,42,FALSE)=0,0,"Digite"))</f>
        <v>0</v>
      </c>
      <c r="CB31" s="454">
        <f>IF(OR('Parte Estrategica'!AI31=0,'Parte Estrategica'!AI31=""),0,IF(VLOOKUP($A31,'Matriz de Referencia'!$B$2:$CO$584,43,FALSE)=0,0,"Digite"))</f>
        <v>0</v>
      </c>
      <c r="CC31" s="454">
        <f>IF(OR('Parte Estrategica'!AI31=0,'Parte Estrategica'!AI31=""),0,IF(VLOOKUP($A31,'Matriz de Referencia'!$B$2:$CO$584,44,FALSE)=0,0,"Digite"))</f>
        <v>0</v>
      </c>
      <c r="CD31" s="454">
        <f>IF(OR('Parte Estrategica'!AI31=0,'Parte Estrategica'!AI31=""),0,IF(VLOOKUP($A31,'Matriz de Referencia'!$B$2:$CO$584,45,FALSE)=0,0,"Digite"))</f>
        <v>0</v>
      </c>
      <c r="CE31" s="454">
        <f>IF(OR('Parte Estrategica'!AI31=0,'Parte Estrategica'!AI31=""),0,IF(VLOOKUP($A31,'Matriz de Referencia'!$B$2:$CO$584,46,FALSE)=0,0,"Digite"))</f>
        <v>0</v>
      </c>
      <c r="CF31" s="382">
        <f t="shared" si="16"/>
        <v>0</v>
      </c>
      <c r="CG31" s="454">
        <f>IF(OR('Parte Estrategica'!AI31=0,'Parte Estrategica'!AI31=""),0,IF(VLOOKUP($A31,'Matriz de Referencia'!$B$2:$CO$584,48,FALSE)=0,0,"Digite"))</f>
        <v>0</v>
      </c>
      <c r="CH31" s="454">
        <f>IF(OR('Parte Estrategica'!AI31=0,'Parte Estrategica'!AI31=""),0,IF(VLOOKUP($A31,'Matriz de Referencia'!$B$2:$CO$584,49,FALSE)=0,0,"Digite"))</f>
        <v>0</v>
      </c>
      <c r="CI31" s="454">
        <f>IF(OR('Parte Estrategica'!AI31=0,'Parte Estrategica'!AI31=""),0,IF(VLOOKUP($A31,'Matriz de Referencia'!$B$2:$CO$584,50,FALSE)=0,0,"Digite"))</f>
        <v>0</v>
      </c>
      <c r="CJ31" s="382">
        <f t="shared" si="17"/>
        <v>0</v>
      </c>
      <c r="CK31" s="382">
        <f t="shared" si="18"/>
        <v>0</v>
      </c>
      <c r="CL31" s="453">
        <f>IF(OR('Parte Estrategica'!AJ31=0,'Parte Estrategica'!AJ31=""),0,IF(VLOOKUP($A31,'Matriz de Referencia'!$B$2:$CO$584,39,FALSE)=0,0,"Digite"))</f>
        <v>0</v>
      </c>
      <c r="CM31" s="454">
        <f>IF(OR('Parte Estrategica'!AJ31=0,'Parte Estrategica'!AJ31=""),0,IF(VLOOKUP($A31,'Matriz de Referencia'!$B$2:$CO$584,40,FALSE)=0,0,"Digite"))</f>
        <v>0</v>
      </c>
      <c r="CN31" s="454">
        <f>IF(OR('Parte Estrategica'!AJ31=0,'Parte Estrategica'!AJ31=""),0,IF(VLOOKUP($A31,'Matriz de Referencia'!$B$2:$CO$584,41,FALSE)=0,0,"Digite"))</f>
        <v>0</v>
      </c>
      <c r="CO31" s="454">
        <f>IF(OR('Parte Estrategica'!AJ31=0,'Parte Estrategica'!AJ31=""),0,IF(VLOOKUP($A31,'Matriz de Referencia'!$B$2:$CO$584,42,FALSE)=0,0,"Digite"))</f>
        <v>0</v>
      </c>
      <c r="CP31" s="454">
        <f>IF(OR('Parte Estrategica'!AJ31=0,'Parte Estrategica'!AJ31=""),0,IF(VLOOKUP($A31,'Matriz de Referencia'!$B$2:$CO$584,43,FALSE)=0,0,"Digite"))</f>
        <v>0</v>
      </c>
      <c r="CQ31" s="454">
        <f>IF(OR('Parte Estrategica'!AJ31=0,'Parte Estrategica'!AJ31=""),0,IF(VLOOKUP($A31,'Matriz de Referencia'!$B$2:$CO$584,44,FALSE)=0,0,"Digite"))</f>
        <v>0</v>
      </c>
      <c r="CR31" s="454">
        <f>IF(OR('Parte Estrategica'!AJ31=0,'Parte Estrategica'!AJ31=""),0,IF(VLOOKUP($A31,'Matriz de Referencia'!$B$2:$CO$584,45,FALSE)=0,0,"Digite"))</f>
        <v>0</v>
      </c>
      <c r="CS31" s="454">
        <f>IF(OR('Parte Estrategica'!AJ31=0,'Parte Estrategica'!AJ31=""),0,IF(VLOOKUP($A31,'Matriz de Referencia'!$B$2:$CO$584,46,FALSE)=0,0,"Digite"))</f>
        <v>0</v>
      </c>
      <c r="CT31" s="382">
        <f t="shared" si="19"/>
        <v>0</v>
      </c>
      <c r="CU31" s="454">
        <f>IF(OR('Parte Estrategica'!AJ31=0,'Parte Estrategica'!AJ31=""),0,IF(VLOOKUP($A31,'Matriz de Referencia'!$B$2:$CO$584,48,FALSE)=0,0,"Digite"))</f>
        <v>0</v>
      </c>
      <c r="CV31" s="454">
        <f>IF(OR('Parte Estrategica'!AJ31=0,'Parte Estrategica'!AJ31=""),0,IF(VLOOKUP($A31,'Matriz de Referencia'!$B$2:$CO$584,49,FALSE)=0,0,"Digite"))</f>
        <v>0</v>
      </c>
      <c r="CW31" s="454">
        <f>IF(OR('Parte Estrategica'!AJ31=0,'Parte Estrategica'!AJ31=""),0,IF(VLOOKUP($A31,'Matriz de Referencia'!$B$2:$CO$584,50,FALSE)=0,0,"Digite"))</f>
        <v>0</v>
      </c>
      <c r="CX31" s="382">
        <f t="shared" si="20"/>
        <v>0</v>
      </c>
      <c r="CY31" s="382">
        <f t="shared" si="21"/>
        <v>0</v>
      </c>
      <c r="CZ31" s="453">
        <f>IF(OR('Parte Estrategica'!AK31=0,'Parte Estrategica'!AK31=""),0,IF(VLOOKUP($A31,'Matriz de Referencia'!$B$2:$CO$584,39,FALSE)=0,0,"Digite"))</f>
        <v>0</v>
      </c>
      <c r="DA31" s="454">
        <f>IF(OR('Parte Estrategica'!AK31=0,'Parte Estrategica'!AK31=""),0,IF(VLOOKUP($A31,'Matriz de Referencia'!$B$2:$CO$584,40,FALSE)=0,0,"Digite"))</f>
        <v>0</v>
      </c>
      <c r="DB31" s="454">
        <f>IF(OR('Parte Estrategica'!AK31=0,'Parte Estrategica'!AK31=""),0,IF(VLOOKUP($A31,'Matriz de Referencia'!$B$2:$CO$584,41,FALSE)=0,0,"Digite"))</f>
        <v>0</v>
      </c>
      <c r="DC31" s="454">
        <f>IF(OR('Parte Estrategica'!AK31=0,'Parte Estrategica'!AK31=""),0,IF(VLOOKUP($A31,'Matriz de Referencia'!$B$2:$CO$584,42,FALSE)=0,0,"Digite"))</f>
        <v>0</v>
      </c>
      <c r="DD31" s="454">
        <f>IF(OR('Parte Estrategica'!AK31=0,'Parte Estrategica'!AK31=""),0,IF(VLOOKUP($A31,'Matriz de Referencia'!$B$2:$CO$584,43,FALSE)=0,0,"Digite"))</f>
        <v>0</v>
      </c>
      <c r="DE31" s="454">
        <f>IF(OR('Parte Estrategica'!AK31=0,'Parte Estrategica'!AK31=""),0,IF(VLOOKUP($A31,'Matriz de Referencia'!$B$2:$CO$584,44,FALSE)=0,0,"Digite"))</f>
        <v>0</v>
      </c>
      <c r="DF31" s="454">
        <f>IF(OR('Parte Estrategica'!AK31=0,'Parte Estrategica'!AK31=""),0,IF(VLOOKUP($A31,'Matriz de Referencia'!$B$2:$CO$584,45,FALSE)=0,0,"Digite"))</f>
        <v>0</v>
      </c>
      <c r="DG31" s="454">
        <f>IF(OR('Parte Estrategica'!AK31=0,'Parte Estrategica'!AK31=""),0,IF(VLOOKUP($A31,'Matriz de Referencia'!$B$2:$CO$584,46,FALSE)=0,0,"Digite"))</f>
        <v>0</v>
      </c>
      <c r="DH31" s="382">
        <f t="shared" si="22"/>
        <v>0</v>
      </c>
      <c r="DI31" s="454">
        <f>IF(OR('Parte Estrategica'!AK31=0,'Parte Estrategica'!AK31=""),0,IF(VLOOKUP($A31,'Matriz de Referencia'!$B$2:$CO$584,48,FALSE)=0,0,"Digite"))</f>
        <v>0</v>
      </c>
      <c r="DJ31" s="454">
        <f>IF(OR('Parte Estrategica'!AK31=0,'Parte Estrategica'!AK31=""),0,IF(VLOOKUP($A31,'Matriz de Referencia'!$B$2:$CO$584,49,FALSE)=0,0,"Digite"))</f>
        <v>0</v>
      </c>
      <c r="DK31" s="454">
        <f>IF(OR('Parte Estrategica'!AK31=0,'Parte Estrategica'!AK31=""),0,IF(VLOOKUP($A31,'Matriz de Referencia'!$B$2:$CO$584,50,FALSE)=0,0,"Digite"))</f>
        <v>0</v>
      </c>
      <c r="DL31" s="382">
        <f t="shared" si="23"/>
        <v>0</v>
      </c>
      <c r="DM31" s="382">
        <f t="shared" si="24"/>
        <v>0</v>
      </c>
      <c r="DN31" s="382">
        <f t="shared" si="25"/>
        <v>0</v>
      </c>
      <c r="DO31" s="101" t="str">
        <f>IFERROR(IF(DN31=0,"",IF(VLOOKUP($A31,'Matriz de Referencia'!$B$2:$CO$584,52,FALSE)=DN31,"Techos ok, cotinue","Debe revisar el valor programado")),"")</f>
        <v/>
      </c>
      <c r="DP31" s="453">
        <f>IF(OR('Parte Estrategica'!AN31=0,'Parte Estrategica'!AN31=""),0,IF(VLOOKUP($A31,'Matriz de Referencia'!$B$2:$CO$584,53,FALSE)=0,0,"Digite"))</f>
        <v>0</v>
      </c>
      <c r="DQ31" s="454">
        <f>IF(OR('Parte Estrategica'!AN31=0,'Parte Estrategica'!AN31=""),0,IF(VLOOKUP($A31,'Matriz de Referencia'!$B$2:$CO$584,54,FALSE)=0,0,"Digite"))</f>
        <v>0</v>
      </c>
      <c r="DR31" s="454">
        <f>IF(OR('Parte Estrategica'!AN31=0,'Parte Estrategica'!AN31=""),0,IF(VLOOKUP($A31,'Matriz de Referencia'!$B$2:$CO$584,55,FALSE)=0,0,"Digite"))</f>
        <v>0</v>
      </c>
      <c r="DS31" s="454">
        <f>IF(OR('Parte Estrategica'!AN31=0,'Parte Estrategica'!AN31=""),0,IF(VLOOKUP($A31,'Matriz de Referencia'!$B$2:$CO$584,56,FALSE)=0,0,"Digite"))</f>
        <v>0</v>
      </c>
      <c r="DT31" s="454">
        <f>IF(OR('Parte Estrategica'!AN31=0,'Parte Estrategica'!AN31=""),0,IF(VLOOKUP($A31,'Matriz de Referencia'!$B$2:$CO$584,57,FALSE)=0,0,"Digite"))</f>
        <v>0</v>
      </c>
      <c r="DU31" s="454">
        <f>IF(OR('Parte Estrategica'!AN31=0,'Parte Estrategica'!AN31=""),0,IF(VLOOKUP($A31,'Matriz de Referencia'!$B$2:$CO$584,58,FALSE)=0,0,"Digite"))</f>
        <v>0</v>
      </c>
      <c r="DV31" s="454">
        <f>IF(OR('Parte Estrategica'!AN31=0,'Parte Estrategica'!AN31=""),0,IF(VLOOKUP($A31,'Matriz de Referencia'!$B$2:$CO$584,59,FALSE)=0,0,"Digite"))</f>
        <v>0</v>
      </c>
      <c r="DW31" s="454">
        <f>IF(OR('Parte Estrategica'!AN31=0,'Parte Estrategica'!AN31=""),0,IF(VLOOKUP($A31,'Matriz de Referencia'!$B$2:$CO$584,60,FALSE)=0,0,"Digite"))</f>
        <v>0</v>
      </c>
      <c r="DX31" s="382">
        <f t="shared" si="26"/>
        <v>0</v>
      </c>
      <c r="DY31" s="454">
        <f>IF(OR('Parte Estrategica'!AN31=0,'Parte Estrategica'!AN31=""),0,IF(VLOOKUP($A31,'Matriz de Referencia'!$B$2:$CO$584,62,FALSE)=0,0,"Digite"))</f>
        <v>0</v>
      </c>
      <c r="DZ31" s="454">
        <f>IF(OR('Parte Estrategica'!AN31=0,'Parte Estrategica'!AN31=""),0,IF(VLOOKUP($A31,'Matriz de Referencia'!$B$2:$CO$584,63,FALSE)=0,0,"Digite"))</f>
        <v>0</v>
      </c>
      <c r="EA31" s="454" t="str">
        <f>IF(OR('Parte Estrategica'!AN31=0,'Parte Estrategica'!AN31=""),"",IF(VLOOKUP($A31,'Matriz de Referencia'!$B$2:$CO$584,64,FALSE)=0,"","Digite"))</f>
        <v/>
      </c>
      <c r="EB31" s="382">
        <f t="shared" si="27"/>
        <v>0</v>
      </c>
      <c r="EC31" s="382">
        <f t="shared" si="28"/>
        <v>0</v>
      </c>
      <c r="ED31" s="453">
        <f>IF(OR('Parte Estrategica'!AO31=0,'Parte Estrategica'!AO31=""),0,IF(VLOOKUP($A31,'Matriz de Referencia'!$B$2:$CO$584,53,FALSE)=0,0,"Digite"))</f>
        <v>0</v>
      </c>
      <c r="EE31" s="454">
        <f>IF(OR('Parte Estrategica'!AO31=0,'Parte Estrategica'!AO31=""),0,IF(VLOOKUP($A31,'Matriz de Referencia'!$B$2:$CO$584,54,FALSE)=0,0,"Digite"))</f>
        <v>0</v>
      </c>
      <c r="EF31" s="454">
        <f>IF(OR('Parte Estrategica'!AO31=0,'Parte Estrategica'!AO31=""),0,IF(VLOOKUP($A31,'Matriz de Referencia'!$B$2:$CO$584,55,FALSE)=0,0,"Digite"))</f>
        <v>0</v>
      </c>
      <c r="EG31" s="454">
        <f>IF(OR('Parte Estrategica'!AO31=0,'Parte Estrategica'!AO31=""),0,IF(VLOOKUP($A31,'Matriz de Referencia'!$B$2:$CO$584,56,FALSE)=0,0,"Digite"))</f>
        <v>0</v>
      </c>
      <c r="EH31" s="454">
        <f>IF(OR('Parte Estrategica'!AO31=0,'Parte Estrategica'!AO31=""),0,IF(VLOOKUP($A31,'Matriz de Referencia'!$B$2:$CO$584,57,FALSE)=0,0,"Digite"))</f>
        <v>0</v>
      </c>
      <c r="EI31" s="454">
        <f>IF(OR('Parte Estrategica'!AO31=0,'Parte Estrategica'!AO31=""),0,IF(VLOOKUP($A31,'Matriz de Referencia'!$B$2:$CO$584,58,FALSE)=0,0,"Digite"))</f>
        <v>0</v>
      </c>
      <c r="EJ31" s="454">
        <f>IF(OR('Parte Estrategica'!AO31=0,'Parte Estrategica'!AO31=""),0,IF(VLOOKUP($A31,'Matriz de Referencia'!$B$2:$CO$584,59,FALSE)=0,0,"Digite"))</f>
        <v>0</v>
      </c>
      <c r="EK31" s="454">
        <f>IF(OR('Parte Estrategica'!AO31=0,'Parte Estrategica'!AO31=""),0,IF(VLOOKUP($A31,'Matriz de Referencia'!$B$2:$CO$584,60,FALSE)=0,0,"Digite"))</f>
        <v>0</v>
      </c>
      <c r="EL31" s="382">
        <f t="shared" si="29"/>
        <v>0</v>
      </c>
      <c r="EM31" s="454">
        <f>IF(OR('Parte Estrategica'!AO31=0,'Parte Estrategica'!AO31=""),0,IF(VLOOKUP($A31,'Matriz de Referencia'!$B$2:$CO$584,62,FALSE)=0,0,"Digite"))</f>
        <v>0</v>
      </c>
      <c r="EN31" s="454">
        <f>IF(OR('Parte Estrategica'!AO31=0,'Parte Estrategica'!AO31=""),0,IF(VLOOKUP($A31,'Matriz de Referencia'!$B$2:$CO$584,63,FALSE)=0,0,"Digite"))</f>
        <v>0</v>
      </c>
      <c r="EO31" s="454">
        <f>IF(OR('Parte Estrategica'!AO31=0,'Parte Estrategica'!AO31=""),0,IF(VLOOKUP($A31,'Matriz de Referencia'!$B$2:$CO$584,64,FALSE)=0,0,"Digite"))</f>
        <v>0</v>
      </c>
      <c r="EP31" s="382">
        <f t="shared" si="30"/>
        <v>0</v>
      </c>
      <c r="EQ31" s="382">
        <f t="shared" si="31"/>
        <v>0</v>
      </c>
      <c r="ER31" s="453">
        <f>IF(OR('Parte Estrategica'!AP31=0,'Parte Estrategica'!AP31=""),0,IF(VLOOKUP($A31,'Matriz de Referencia'!$B$2:$CO$584,53,FALSE)=0,0,"Digite"))</f>
        <v>0</v>
      </c>
      <c r="ES31" s="454">
        <f>IF(OR('Parte Estrategica'!AP31=0,'Parte Estrategica'!AP31=""),0,IF(VLOOKUP($A31,'Matriz de Referencia'!$B$2:$CO$584,54,FALSE)=0,0,"Digite"))</f>
        <v>0</v>
      </c>
      <c r="ET31" s="454">
        <f>IF(OR('Parte Estrategica'!AP31=0,'Parte Estrategica'!AP31=""),0,IF(VLOOKUP($A31,'Matriz de Referencia'!$B$2:$CO$584,55,FALSE)=0,0,"Digite"))</f>
        <v>0</v>
      </c>
      <c r="EU31" s="454">
        <f>IF(OR('Parte Estrategica'!AP31=0,'Parte Estrategica'!AP31=""),0,IF(VLOOKUP($A31,'Matriz de Referencia'!$B$2:$CO$584,56,FALSE)=0,0,"Digite"))</f>
        <v>0</v>
      </c>
      <c r="EV31" s="454">
        <f>IF(OR('Parte Estrategica'!AP31=0,'Parte Estrategica'!AP31=""),0,IF(VLOOKUP($A31,'Matriz de Referencia'!$B$2:$CO$584,57,FALSE)=0,0,"Digite"))</f>
        <v>0</v>
      </c>
      <c r="EW31" s="454">
        <f>IF(OR('Parte Estrategica'!AP31=0,'Parte Estrategica'!AP31=""),0,IF(VLOOKUP($A31,'Matriz de Referencia'!$B$2:$CO$584,58,FALSE)=0,0,"Digite"))</f>
        <v>0</v>
      </c>
      <c r="EX31" s="454">
        <f>IF(OR('Parte Estrategica'!AP31=0,'Parte Estrategica'!AP31=""),0,IF(VLOOKUP($A31,'Matriz de Referencia'!$B$2:$CO$584,59,FALSE)=0,0,"Digite"))</f>
        <v>0</v>
      </c>
      <c r="EY31" s="454">
        <f>IF(OR('Parte Estrategica'!AP31=0,'Parte Estrategica'!AP31=""),0,IF(VLOOKUP($A31,'Matriz de Referencia'!$B$2:$CO$584,60,FALSE)=0,0,"Digite"))</f>
        <v>0</v>
      </c>
      <c r="EZ31" s="382">
        <f t="shared" si="32"/>
        <v>0</v>
      </c>
      <c r="FA31" s="454">
        <f>IF(OR('Parte Estrategica'!AP31=0,'Parte Estrategica'!AP31=""),0,IF(VLOOKUP($A31,'Matriz de Referencia'!$B$2:$CO$584,62,FALSE)=0,0,"Digite"))</f>
        <v>0</v>
      </c>
      <c r="FB31" s="454">
        <f>IF(OR('Parte Estrategica'!AP31=0,'Parte Estrategica'!AP31=""),0,IF(VLOOKUP($A31,'Matriz de Referencia'!$B$2:$CO$584,63,FALSE)=0,0,"Digite"))</f>
        <v>0</v>
      </c>
      <c r="FC31" s="454">
        <f>IF(OR('Parte Estrategica'!AP31=0,'Parte Estrategica'!AP31=""),0,IF(VLOOKUP($A31,'Matriz de Referencia'!$B$2:$CO$584,64,FALSE)=0,0,"Digite"))</f>
        <v>0</v>
      </c>
      <c r="FD31" s="382">
        <f t="shared" si="33"/>
        <v>0</v>
      </c>
      <c r="FE31" s="382">
        <f t="shared" si="34"/>
        <v>0</v>
      </c>
      <c r="FF31" s="453">
        <f>IF(OR('Parte Estrategica'!AQ31=0,'Parte Estrategica'!AQ31=""),0,IF(VLOOKUP($A31,'Matriz de Referencia'!$B$2:$CO$584,53,FALSE)=0,0,"Digite"))</f>
        <v>0</v>
      </c>
      <c r="FG31" s="454">
        <f>IF(OR('Parte Estrategica'!AQ31=0,'Parte Estrategica'!AQ31=""),0,IF(VLOOKUP($A31,'Matriz de Referencia'!$B$2:$CO$584,54,FALSE)=0,0,"Digite"))</f>
        <v>0</v>
      </c>
      <c r="FH31" s="454">
        <f>IF(OR('Parte Estrategica'!AQ31=0,'Parte Estrategica'!AQ31=""),0,IF(VLOOKUP($A31,'Matriz de Referencia'!$B$2:$CO$584,55,FALSE)=0,0,"Digite"))</f>
        <v>0</v>
      </c>
      <c r="FI31" s="454">
        <f>IF(OR('Parte Estrategica'!AQ31=0,'Parte Estrategica'!AQ31=""),0,IF(VLOOKUP($A31,'Matriz de Referencia'!$B$2:$CO$584,56,FALSE)=0,0,"Digite"))</f>
        <v>0</v>
      </c>
      <c r="FJ31" s="454">
        <f>IF(OR('Parte Estrategica'!AQ31=0,'Parte Estrategica'!AQ31=""),0,IF(VLOOKUP($A31,'Matriz de Referencia'!$B$2:$CO$584,57,FALSE)=0,0,"Digite"))</f>
        <v>0</v>
      </c>
      <c r="FK31" s="454">
        <f>IF(OR('Parte Estrategica'!AQ31=0,'Parte Estrategica'!AQ31=""),0,IF(VLOOKUP($A31,'Matriz de Referencia'!$B$2:$CO$584,58,FALSE)=0,0,"Digite"))</f>
        <v>0</v>
      </c>
      <c r="FL31" s="454">
        <f>IF(OR('Parte Estrategica'!AQ31=0,'Parte Estrategica'!AQ31=""),0,IF(VLOOKUP($A31,'Matriz de Referencia'!$B$2:$CO$584,59,FALSE)=0,0,"Digite"))</f>
        <v>0</v>
      </c>
      <c r="FM31" s="454">
        <f>IF(OR('Parte Estrategica'!AQ31=0,'Parte Estrategica'!AQ31=""),0,IF(VLOOKUP($A31,'Matriz de Referencia'!$B$2:$CO$584,60,FALSE)=0,0,"Digite"))</f>
        <v>0</v>
      </c>
      <c r="FN31" s="382">
        <f t="shared" si="35"/>
        <v>0</v>
      </c>
      <c r="FO31" s="454">
        <f>IF(OR('Parte Estrategica'!AQ31=0,'Parte Estrategica'!AQ31=""),0,IF(VLOOKUP($A31,'Matriz de Referencia'!$B$2:$CO$584,62,FALSE)=0,0,"Digite"))</f>
        <v>0</v>
      </c>
      <c r="FP31" s="454">
        <f>IF(OR('Parte Estrategica'!AQ31=0,'Parte Estrategica'!AQ31=""),0,IF(VLOOKUP($A31,'Matriz de Referencia'!$B$2:$CO$584,63,FALSE)=0,0,"Digite"))</f>
        <v>0</v>
      </c>
      <c r="FQ31" s="454">
        <f>IF(OR('Parte Estrategica'!AQ31=0,'Parte Estrategica'!AQ31=""),0,IF(VLOOKUP($A31,'Matriz de Referencia'!$B$2:$CO$584,64,FALSE)=0,0,"Digite"))</f>
        <v>0</v>
      </c>
      <c r="FR31" s="382">
        <f t="shared" si="36"/>
        <v>0</v>
      </c>
      <c r="FS31" s="382">
        <f t="shared" si="37"/>
        <v>0</v>
      </c>
      <c r="FT31" s="382">
        <f t="shared" si="38"/>
        <v>0</v>
      </c>
      <c r="FU31" s="101" t="str">
        <f>IFERROR(IF(FT31=0,"",IF(VLOOKUP($A31,'Matriz de Referencia'!$B$2:$CO$584,66,FALSE)=FT31,"Techos ok, cotinue","Debe revisar el valor programado")),"")</f>
        <v/>
      </c>
      <c r="FV31" s="453">
        <f>IF(OR('Parte Estrategica'!AT31=0,'Parte Estrategica'!AT31=""),0,IF(VLOOKUP($A31,'Matriz de Referencia'!$B$2:$CO$584,67,FALSE)=0,0,"Digite"))</f>
        <v>0</v>
      </c>
      <c r="FW31" s="454">
        <f>IF(OR('Parte Estrategica'!AT31=0,'Parte Estrategica'!AT31=""),0,IF(VLOOKUP($A31,'Matriz de Referencia'!$B$2:$CO$584,68,FALSE)=0,0,"Digite"))</f>
        <v>0</v>
      </c>
      <c r="FX31" s="454">
        <f>IF(OR('Parte Estrategica'!AT31=0,'Parte Estrategica'!AT31=""),0,IF(VLOOKUP($A31,'Matriz de Referencia'!$B$2:$CO$584,69,FALSE)=0,0,"Digite"))</f>
        <v>0</v>
      </c>
      <c r="FY31" s="454">
        <f>IF(OR('Parte Estrategica'!AT31=0,'Parte Estrategica'!AT31=""),0,IF(VLOOKUP($A31,'Matriz de Referencia'!$B$2:$CO$584,70,FALSE)=0,0,"Digite"))</f>
        <v>0</v>
      </c>
      <c r="FZ31" s="454">
        <f>IF(OR('Parte Estrategica'!AT31=0,'Parte Estrategica'!AT31=""),0,IF(VLOOKUP($A31,'Matriz de Referencia'!$B$2:$CO$584,71,FALSE)=0,0,"Digite"))</f>
        <v>0</v>
      </c>
      <c r="GA31" s="454">
        <f>IF(OR('Parte Estrategica'!AT31=0,'Parte Estrategica'!AT31=""),0,IF(VLOOKUP($A31,'Matriz de Referencia'!$B$2:$CO$584,72,FALSE)=0,0,"Digite"))</f>
        <v>0</v>
      </c>
      <c r="GB31" s="454">
        <f>IF(OR('Parte Estrategica'!AT31=0,'Parte Estrategica'!AT31=""),0,IF(VLOOKUP($A31,'Matriz de Referencia'!$B$2:$CO$584,73,FALSE)=0,0,"Digite"))</f>
        <v>0</v>
      </c>
      <c r="GC31" s="454">
        <f>IF(OR('Parte Estrategica'!AT31=0,'Parte Estrategica'!AT31=""),0,IF(VLOOKUP($A31,'Matriz de Referencia'!$B$2:$CO$584,74,FALSE)=0,0,"Digite"))</f>
        <v>0</v>
      </c>
      <c r="GD31" s="382">
        <f t="shared" si="39"/>
        <v>0</v>
      </c>
      <c r="GE31" s="454">
        <f>IF(OR('Parte Estrategica'!AT31=0,'Parte Estrategica'!AT31=""),0,IF(VLOOKUP($A31,'Matriz de Referencia'!$B$2:$CO$584,76,FALSE)=0,0,"Digite"))</f>
        <v>0</v>
      </c>
      <c r="GF31" s="454">
        <f>IF(OR('Parte Estrategica'!AT31=0,'Parte Estrategica'!AT31=""),0,IF(VLOOKUP($A31,'Matriz de Referencia'!$B$2:$CO$584,77,FALSE)=0,0,"Digite"))</f>
        <v>0</v>
      </c>
      <c r="GG31" s="454">
        <f>IF(OR('Parte Estrategica'!AT31=0,'Parte Estrategica'!AT31=""),0,IF(VLOOKUP($A31,'Matriz de Referencia'!$B$2:$CO$584,78,FALSE)=0,0,"Digite"))</f>
        <v>0</v>
      </c>
      <c r="GH31" s="382">
        <f t="shared" si="40"/>
        <v>0</v>
      </c>
      <c r="GI31" s="382">
        <f t="shared" si="41"/>
        <v>0</v>
      </c>
      <c r="GJ31" s="453">
        <f>IF(OR('Parte Estrategica'!AU31=0,'Parte Estrategica'!AU31=""),0,IF(VLOOKUP($A31,'Matriz de Referencia'!$B$2:$CO$584,67,FALSE)=0,0,"Digite"))</f>
        <v>0</v>
      </c>
      <c r="GK31" s="454">
        <f>IF(OR('Parte Estrategica'!AU31=0,'Parte Estrategica'!AU31=""),0,IF(VLOOKUP($A31,'Matriz de Referencia'!$B$2:$CO$584,68,FALSE)=0,0,"Digite"))</f>
        <v>0</v>
      </c>
      <c r="GL31" s="454">
        <f>IF(OR('Parte Estrategica'!AU31=0,'Parte Estrategica'!AU31=""),0,IF(VLOOKUP($A31,'Matriz de Referencia'!$B$2:$CO$584,69,FALSE)=0,0,"Digite"))</f>
        <v>0</v>
      </c>
      <c r="GM31" s="454">
        <f>IF(OR('Parte Estrategica'!AU31=0,'Parte Estrategica'!AU31=""),0,IF(VLOOKUP($A31,'Matriz de Referencia'!$B$2:$CO$584,70,FALSE)=0,0,"Digite"))</f>
        <v>0</v>
      </c>
      <c r="GN31" s="454">
        <f>IF(OR('Parte Estrategica'!AU31=0,'Parte Estrategica'!AU31=""),0,IF(VLOOKUP($A31,'Matriz de Referencia'!$B$2:$CO$584,71,FALSE)=0,0,"Digite"))</f>
        <v>0</v>
      </c>
      <c r="GO31" s="454">
        <f>IF(OR('Parte Estrategica'!AU31=0,'Parte Estrategica'!AU31=""),0,IF(VLOOKUP($A31,'Matriz de Referencia'!$B$2:$CO$584,72,FALSE)=0,0,"Digite"))</f>
        <v>0</v>
      </c>
      <c r="GP31" s="454">
        <f>IF(OR('Parte Estrategica'!AU31=0,'Parte Estrategica'!AU31=""),0,IF(VLOOKUP($A31,'Matriz de Referencia'!$B$2:$CO$584,73,FALSE)=0,0,"Digite"))</f>
        <v>0</v>
      </c>
      <c r="GQ31" s="454">
        <f>IF(OR('Parte Estrategica'!AU31=0,'Parte Estrategica'!AU31=""),0,IF(VLOOKUP($A31,'Matriz de Referencia'!$B$2:$CO$584,74,FALSE)=0,0,"Digite"))</f>
        <v>0</v>
      </c>
      <c r="GR31" s="382">
        <f t="shared" si="42"/>
        <v>0</v>
      </c>
      <c r="GS31" s="454">
        <f>IF(OR('Parte Estrategica'!AU31=0,'Parte Estrategica'!AU31=""),0,IF(VLOOKUP($A31,'Matriz de Referencia'!$B$2:$CO$584,76,FALSE)=0,0,"Digite"))</f>
        <v>0</v>
      </c>
      <c r="GT31" s="454">
        <f>IF(OR('Parte Estrategica'!AU31=0,'Parte Estrategica'!AU31=""),0,IF(VLOOKUP($A31,'Matriz de Referencia'!$B$2:$CO$584,77,FALSE)=0,0,"Digite"))</f>
        <v>0</v>
      </c>
      <c r="GU31" s="454">
        <f>IF(OR('Parte Estrategica'!AU31=0,'Parte Estrategica'!AU31=""),0,IF(VLOOKUP($A31,'Matriz de Referencia'!$B$2:$CO$584,78,FALSE)=0,0,"Digite"))</f>
        <v>0</v>
      </c>
      <c r="GV31" s="382">
        <f t="shared" si="43"/>
        <v>0</v>
      </c>
      <c r="GW31" s="382">
        <f t="shared" si="44"/>
        <v>0</v>
      </c>
      <c r="GX31" s="453">
        <f>IF(OR('Parte Estrategica'!AV31=0,'Parte Estrategica'!AV31=""),0,IF(VLOOKUP($A31,'Matriz de Referencia'!$B$2:$CO$584,67,FALSE)=0,0,"Digite"))</f>
        <v>0</v>
      </c>
      <c r="GY31" s="454">
        <f>IF(OR('Parte Estrategica'!AV31=0,'Parte Estrategica'!AV31=""),0,IF(VLOOKUP($A31,'Matriz de Referencia'!$B$2:$CO$584,68,FALSE)=0,0,"Digite"))</f>
        <v>0</v>
      </c>
      <c r="GZ31" s="454">
        <f>IF(OR('Parte Estrategica'!AV31=0,'Parte Estrategica'!AV31=""),0,IF(VLOOKUP($A31,'Matriz de Referencia'!$B$2:$CO$584,69,FALSE)=0,0,"Digite"))</f>
        <v>0</v>
      </c>
      <c r="HA31" s="454">
        <f>IF(OR('Parte Estrategica'!AV31=0,'Parte Estrategica'!AV31=""),0,IF(VLOOKUP($A31,'Matriz de Referencia'!$B$2:$CO$584,70,FALSE)=0,0,"Digite"))</f>
        <v>0</v>
      </c>
      <c r="HB31" s="454">
        <f>IF(OR('Parte Estrategica'!AV31=0,'Parte Estrategica'!AV31=""),0,IF(VLOOKUP($A31,'Matriz de Referencia'!$B$2:$CO$584,71,FALSE)=0,0,"Digite"))</f>
        <v>0</v>
      </c>
      <c r="HC31" s="454">
        <f>IF(OR('Parte Estrategica'!AV31=0,'Parte Estrategica'!AV31=""),0,IF(VLOOKUP($A31,'Matriz de Referencia'!$B$2:$CO$584,72,FALSE)=0,0,"Digite"))</f>
        <v>0</v>
      </c>
      <c r="HD31" s="454">
        <f>IF(OR('Parte Estrategica'!AV31=0,'Parte Estrategica'!AV31=""),0,IF(VLOOKUP($A31,'Matriz de Referencia'!$B$2:$CO$584,73,FALSE)=0,0,"Digite"))</f>
        <v>0</v>
      </c>
      <c r="HE31" s="454">
        <f>IF(OR('Parte Estrategica'!AV31=0,'Parte Estrategica'!AV31=""),0,IF(VLOOKUP($A31,'Matriz de Referencia'!$B$2:$CO$584,74,FALSE)=0,0,"Digite"))</f>
        <v>0</v>
      </c>
      <c r="HF31" s="382">
        <f t="shared" si="45"/>
        <v>0</v>
      </c>
      <c r="HG31" s="454">
        <f>IF(OR('Parte Estrategica'!AV31=0,'Parte Estrategica'!AV31=""),0,IF(VLOOKUP($A31,'Matriz de Referencia'!$B$2:$CO$584,76,FALSE)=0,0,"Digite"))</f>
        <v>0</v>
      </c>
      <c r="HH31" s="454">
        <f>IF(OR('Parte Estrategica'!AV31=0,'Parte Estrategica'!AV31=""),0,IF(VLOOKUP($A31,'Matriz de Referencia'!$B$2:$CO$584,77,FALSE)=0,0,"Digite"))</f>
        <v>0</v>
      </c>
      <c r="HI31" s="454">
        <f>IF(OR('Parte Estrategica'!AV31=0,'Parte Estrategica'!AV31=""),0,IF(VLOOKUP($A31,'Matriz de Referencia'!$B$2:$CO$584,78,FALSE)=0,0,"Digite"))</f>
        <v>0</v>
      </c>
      <c r="HJ31" s="382">
        <f t="shared" si="46"/>
        <v>0</v>
      </c>
      <c r="HK31" s="382">
        <f t="shared" si="47"/>
        <v>0</v>
      </c>
      <c r="HL31" s="453">
        <f>IF(OR('Parte Estrategica'!AW31=0,'Parte Estrategica'!AW31=""),0,IF(VLOOKUP($A31,'Matriz de Referencia'!$B$2:$CO$584,67,FALSE)=0,0,"Digite"))</f>
        <v>0</v>
      </c>
      <c r="HM31" s="454">
        <f>IF(OR('Parte Estrategica'!AW31=0,'Parte Estrategica'!AW31=""),0,IF(VLOOKUP($A31,'Matriz de Referencia'!$B$2:$CO$584,68,FALSE)=0,0,"Digite"))</f>
        <v>0</v>
      </c>
      <c r="HN31" s="454">
        <f>IF(OR('Parte Estrategica'!AW31=0,'Parte Estrategica'!AW31=""),0,IF(VLOOKUP($A31,'Matriz de Referencia'!$B$2:$CO$584,69,FALSE)=0,0,"Digite"))</f>
        <v>0</v>
      </c>
      <c r="HO31" s="454">
        <f>IF(OR('Parte Estrategica'!AW31=0,'Parte Estrategica'!AW31=""),0,IF(VLOOKUP($A31,'Matriz de Referencia'!$B$2:$CO$584,70,FALSE)=0,0,"Digite"))</f>
        <v>0</v>
      </c>
      <c r="HP31" s="454">
        <f>IF(OR('Parte Estrategica'!AW31=0,'Parte Estrategica'!AW31=""),0,IF(VLOOKUP($A31,'Matriz de Referencia'!$B$2:$CO$584,71,FALSE)=0,0,"Digite"))</f>
        <v>0</v>
      </c>
      <c r="HQ31" s="454">
        <f>IF(OR('Parte Estrategica'!AW31=0,'Parte Estrategica'!AW31=""),0,IF(VLOOKUP($A31,'Matriz de Referencia'!$B$2:$CO$584,72,FALSE)=0,0,"Digite"))</f>
        <v>0</v>
      </c>
      <c r="HR31" s="454">
        <f>IF(OR('Parte Estrategica'!AW31=0,'Parte Estrategica'!AW31=""),0,IF(VLOOKUP($A31,'Matriz de Referencia'!$B$2:$CO$584,73,FALSE)=0,0,"Digite"))</f>
        <v>0</v>
      </c>
      <c r="HS31" s="454">
        <f>IF(OR('Parte Estrategica'!AW31=0,'Parte Estrategica'!AW31=""),0,IF(VLOOKUP($A31,'Matriz de Referencia'!$B$2:$CO$584,74,FALSE)=0,0,"Digite"))</f>
        <v>0</v>
      </c>
      <c r="HT31" s="382">
        <f t="shared" si="48"/>
        <v>0</v>
      </c>
      <c r="HU31" s="454">
        <f>IF(OR('Parte Estrategica'!AW31=0,'Parte Estrategica'!AW31=""),0,IF(VLOOKUP($A31,'Matriz de Referencia'!$B$2:$CO$584,76,FALSE)=0,0,"Digite"))</f>
        <v>0</v>
      </c>
      <c r="HV31" s="454">
        <f>IF(OR('Parte Estrategica'!AW31=0,'Parte Estrategica'!AW31=""),0,IF(VLOOKUP($A31,'Matriz de Referencia'!$B$2:$CO$584,77,FALSE)=0,0,"Digite"))</f>
        <v>0</v>
      </c>
      <c r="HW31" s="454">
        <f>IF(OR('Parte Estrategica'!AW31=0,'Parte Estrategica'!AW31=""),0,IF(VLOOKUP($A31,'Matriz de Referencia'!$B$2:$CO$584,78,FALSE)=0,0,"Digite"))</f>
        <v>0</v>
      </c>
      <c r="HX31" s="382">
        <f t="shared" si="49"/>
        <v>0</v>
      </c>
      <c r="HY31" s="382">
        <f t="shared" si="50"/>
        <v>0</v>
      </c>
      <c r="HZ31" s="382">
        <f t="shared" si="51"/>
        <v>0</v>
      </c>
      <c r="IA31" s="101" t="str">
        <f>IFERROR(IF(HZ31=0,"",IF(VLOOKUP($A31,'Matriz de Referencia'!$B$2:$CO$584,80,FALSE)=HZ31,"Techos ok, cotinue","Debe revisar el valor programado")),"")</f>
        <v/>
      </c>
      <c r="IB31" s="383">
        <f t="shared" si="52"/>
        <v>0</v>
      </c>
    </row>
    <row r="32" spans="1:236">
      <c r="A32" s="550" t="str">
        <f>IF('Parte Estrategica'!B32=0,"",'Parte Estrategica'!B32)</f>
        <v/>
      </c>
      <c r="B32" s="551" t="str">
        <f>IFERROR(VLOOKUP(A32,'Matriz de Referencia'!$B$2:$P$578,'Matriz de Referencia'!L$1,FALSE),"")</f>
        <v/>
      </c>
      <c r="C32" s="551" t="str">
        <f>IFERROR(VLOOKUP(A32,'Matriz de Referencia'!$B$2:$P$584,'Matriz de Referencia'!M$1,FALSE),"")</f>
        <v/>
      </c>
      <c r="D32" s="455" t="str">
        <f>IF(OR('Parte Estrategica'!AB32=0,'Parte Estrategica'!AB32=""),"",IF(VLOOKUP($A32,'Matriz de Referencia'!$B$2:$CO$584,'Matriz de Referencia'!Z$1,FALSE)=0,"","Digite"))</f>
        <v/>
      </c>
      <c r="E32" s="456">
        <f>IF(OR('Parte Estrategica'!AB32=0,'Parte Estrategica'!AB32=""),0,IF(VLOOKUP($A32,'Matriz de Referencia'!$B$2:$CO$584,26,FALSE)=0,0,"Digite"))</f>
        <v>0</v>
      </c>
      <c r="F32" s="456">
        <f>IF(OR('Parte Estrategica'!AB32=0,'Parte Estrategica'!AB32=""),0,IF(VLOOKUP($A32,'Matriz de Referencia'!$B$2:$CO$584,27,FALSE)=0,0,"Digite"))</f>
        <v>0</v>
      </c>
      <c r="G32" s="456">
        <f>IF(OR('Parte Estrategica'!AB32=0,'Parte Estrategica'!AB32=""),0,IF(VLOOKUP($A32,'Matriz de Referencia'!$B$2:$CO$584,28,FALSE)=0,0,"Digite"))</f>
        <v>0</v>
      </c>
      <c r="H32" s="456">
        <f>IF(OR('Parte Estrategica'!AB32=0,'Parte Estrategica'!AB32=""),0,IF(VLOOKUP($A32,'Matriz de Referencia'!$B$2:$CO$584,29,FALSE)=0,0,"Digite"))</f>
        <v>0</v>
      </c>
      <c r="I32" s="456">
        <f>IF(OR('Parte Estrategica'!AB32=0,'Parte Estrategica'!AB32=""),0,IF(VLOOKUP($A32,'Matriz de Referencia'!$B$2:$CO$584,30,FALSE)=0,0,"Digite"))</f>
        <v>0</v>
      </c>
      <c r="J32" s="456">
        <f>IF(OR('Parte Estrategica'!AB32=0,'Parte Estrategica'!AB32=""),0,IF(VLOOKUP($A32,'Matriz de Referencia'!$B$2:$CO$584,31,FALSE)=0,0,"Digite"))</f>
        <v>0</v>
      </c>
      <c r="K32" s="456">
        <f>IF(OR('Parte Estrategica'!AB32=0,'Parte Estrategica'!AB32=""),0,IF(VLOOKUP($A32,'Matriz de Referencia'!$B$2:$CO$584,32,FALSE)=0,0,"Digite"))</f>
        <v>0</v>
      </c>
      <c r="L32" s="460">
        <f t="shared" si="0"/>
        <v>0</v>
      </c>
      <c r="M32" s="456">
        <f>IF(OR('Parte Estrategica'!AB32=0,'Parte Estrategica'!AB32=""),0,IF(VLOOKUP($A32,'Matriz de Referencia'!$B$2:$CO$584,34,FALSE)=0,0,"Digite"))</f>
        <v>0</v>
      </c>
      <c r="N32" s="456">
        <f>IF(OR('Parte Estrategica'!AB32=0,'Parte Estrategica'!AB32=""),0,IF(VLOOKUP($A32,'Matriz de Referencia'!$B$2:$CO$584,35,FALSE)=0,0,"Digite"))</f>
        <v>0</v>
      </c>
      <c r="O32" s="456">
        <f>IF(OR('Parte Estrategica'!AB32=0,'Parte Estrategica'!AB32=""),0,IF(VLOOKUP($A32,'Matriz de Referencia'!$B$2:$CO$584,36,FALSE)=0,0,"Digite"))</f>
        <v>0</v>
      </c>
      <c r="P32" s="457">
        <f t="shared" si="1"/>
        <v>0</v>
      </c>
      <c r="Q32" s="457">
        <f t="shared" si="2"/>
        <v>0</v>
      </c>
      <c r="R32" s="455">
        <f>IF(OR('Parte Estrategica'!AC32=0,'Parte Estrategica'!AC32=""),0,IF(VLOOKUP($A32,'Matriz de Referencia'!$B$2:$CO$584,25,FALSE)=0,0,"Digite"))</f>
        <v>0</v>
      </c>
      <c r="S32" s="456">
        <f>IF(OR('Parte Estrategica'!AC32=0,'Parte Estrategica'!AC32=""),0,IF(VLOOKUP($A32,'Matriz de Referencia'!$B$2:$CO$584,26,FALSE)=0,0,"Digite"))</f>
        <v>0</v>
      </c>
      <c r="T32" s="456">
        <f>IF(OR('Parte Estrategica'!AC32=0,'Parte Estrategica'!AC32=""),0,IF(VLOOKUP($A32,'Matriz de Referencia'!$B$2:$CO$584,27,FALSE)=0,0,"Digite"))</f>
        <v>0</v>
      </c>
      <c r="U32" s="456">
        <f>IF(OR('Parte Estrategica'!AC32=0,'Parte Estrategica'!AC32=""),0,IF(VLOOKUP($A32,'Matriz de Referencia'!$B$2:$CO$584,28,FALSE)=0,0,"Digite"))</f>
        <v>0</v>
      </c>
      <c r="V32" s="456">
        <f>IF(OR('Parte Estrategica'!AC32=0,'Parte Estrategica'!AC32=""),0,IF(VLOOKUP($A32,'Matriz de Referencia'!$B$2:$CO$584,29,FALSE)=0,0,"Digite"))</f>
        <v>0</v>
      </c>
      <c r="W32" s="456">
        <f>IF(OR('Parte Estrategica'!AC32=0,'Parte Estrategica'!AC32=""),0,IF(VLOOKUP($A32,'Matriz de Referencia'!$B$2:$CO$584,30,FALSE)=0,0,"Digite"))</f>
        <v>0</v>
      </c>
      <c r="X32" s="456">
        <f>IF(OR('Parte Estrategica'!AC32=0,'Parte Estrategica'!AC32=""),0,IF(VLOOKUP($A32,'Matriz de Referencia'!$B$2:$CO$584,31,FALSE)=0,0,"Digite"))</f>
        <v>0</v>
      </c>
      <c r="Y32" s="456">
        <f>IF(OR('Parte Estrategica'!AC32=0,'Parte Estrategica'!AC32=""),0,IF(VLOOKUP($A32,'Matriz de Referencia'!$B$2:$CO$584,32,FALSE)=0,0,"Digite"))</f>
        <v>0</v>
      </c>
      <c r="Z32" s="457">
        <f t="shared" si="3"/>
        <v>0</v>
      </c>
      <c r="AA32" s="456">
        <f>IF(OR('Parte Estrategica'!AC32=0,'Parte Estrategica'!AC32=""),0,IF(VLOOKUP($A32,'Matriz de Referencia'!$B$2:$CO$584,34,FALSE)=0,0,"Digite"))</f>
        <v>0</v>
      </c>
      <c r="AB32" s="456">
        <f>IF(OR('Parte Estrategica'!AC32=0,'Parte Estrategica'!AC32=""),0,IF(VLOOKUP($A32,'Matriz de Referencia'!$B$2:$CO$584,35,FALSE)=0,0,"Digite"))</f>
        <v>0</v>
      </c>
      <c r="AC32" s="456">
        <f>IF(OR('Parte Estrategica'!AC32=0,'Parte Estrategica'!AC32=""),0,IF(VLOOKUP($A32,'Matriz de Referencia'!$B$2:$CO$584,36,FALSE)=0,0,"Digite"))</f>
        <v>0</v>
      </c>
      <c r="AD32" s="457">
        <f t="shared" si="4"/>
        <v>0</v>
      </c>
      <c r="AE32" s="457">
        <f t="shared" si="5"/>
        <v>0</v>
      </c>
      <c r="AF32" s="455">
        <f>IF(OR('Parte Estrategica'!AD32=0,'Parte Estrategica'!AD32=""),0,IF(VLOOKUP($A32,'Matriz de Referencia'!$B$2:$CO$584,25,FALSE)=0,0,"Digite"))</f>
        <v>0</v>
      </c>
      <c r="AG32" s="456">
        <f>IF(OR('Parte Estrategica'!AD32=0,'Parte Estrategica'!AD32=""),0,IF(VLOOKUP($A32,'Matriz de Referencia'!$B$2:$CO$584,26,FALSE)=0,0,"Digite"))</f>
        <v>0</v>
      </c>
      <c r="AH32" s="456">
        <f>IF(OR('Parte Estrategica'!AD32=0,'Parte Estrategica'!AD32=""),0,IF(VLOOKUP($A32,'Matriz de Referencia'!$B$2:$CO$584,27,FALSE)=0,0,"Digite"))</f>
        <v>0</v>
      </c>
      <c r="AI32" s="456">
        <f>IF(OR('Parte Estrategica'!AD32=0,'Parte Estrategica'!AD32=""),0,IF(VLOOKUP($A32,'Matriz de Referencia'!$B$2:$CO$584,28,FALSE)=0,0,"Digite"))</f>
        <v>0</v>
      </c>
      <c r="AJ32" s="456">
        <f>IF(OR('Parte Estrategica'!AD32=0,'Parte Estrategica'!AD32=""),0,IF(VLOOKUP($A32,'Matriz de Referencia'!$B$2:$CO$584,29,FALSE)=0,0,"Digite"))</f>
        <v>0</v>
      </c>
      <c r="AK32" s="456">
        <f>IF(OR('Parte Estrategica'!AD32=0,'Parte Estrategica'!AD32=""),0,IF(VLOOKUP($A32,'Matriz de Referencia'!$B$2:$CO$584,30,FALSE)=0,0,"Digite"))</f>
        <v>0</v>
      </c>
      <c r="AL32" s="456">
        <f>IF(OR('Parte Estrategica'!AD32=0,'Parte Estrategica'!AD32=""),0,IF(VLOOKUP($A32,'Matriz de Referencia'!$B$2:$CO$584,31,FALSE)=0,0,"Digite"))</f>
        <v>0</v>
      </c>
      <c r="AM32" s="456">
        <f>IF(OR('Parte Estrategica'!AD32=0,'Parte Estrategica'!AD32=""),0,IF(VLOOKUP($A32,'Matriz de Referencia'!$B$2:$CO$584,32,FALSE)=0,0,"Digite"))</f>
        <v>0</v>
      </c>
      <c r="AN32" s="457">
        <f t="shared" si="6"/>
        <v>0</v>
      </c>
      <c r="AO32" s="456">
        <f>IF(OR('Parte Estrategica'!AD32=0,'Parte Estrategica'!AD32=""),0,IF(VLOOKUP($A32,'Matriz de Referencia'!$B$2:$CO$584,34,FALSE)=0,0,"Digite"))</f>
        <v>0</v>
      </c>
      <c r="AP32" s="456">
        <f>IF(OR('Parte Estrategica'!AD32=0,'Parte Estrategica'!AD32=""),0,IF(VLOOKUP($A32,'Matriz de Referencia'!$B$2:$CO$584,35,FALSE)=0,0,"Digite"))</f>
        <v>0</v>
      </c>
      <c r="AQ32" s="456">
        <f>IF(OR('Parte Estrategica'!AD32=0,'Parte Estrategica'!AD32=""),0,IF(VLOOKUP($A32,'Matriz de Referencia'!$B$2:$CO$584,36,FALSE)=0,0,"Digite"))</f>
        <v>0</v>
      </c>
      <c r="AR32" s="457">
        <f t="shared" si="7"/>
        <v>0</v>
      </c>
      <c r="AS32" s="457">
        <f t="shared" si="8"/>
        <v>0</v>
      </c>
      <c r="AT32" s="455">
        <f>IF(OR('Parte Estrategica'!AE32=0,'Parte Estrategica'!AE32=""),0,IF(VLOOKUP($A32,'Matriz de Referencia'!$B$2:$CO$584,25,FALSE)=0,0,"Digite"))</f>
        <v>0</v>
      </c>
      <c r="AU32" s="456">
        <f>IF(OR('Parte Estrategica'!AE32=0,'Parte Estrategica'!AE32=""),0,IF(VLOOKUP($A32,'Matriz de Referencia'!$B$2:$CO$584,26,FALSE)=0,0,"Digite"))</f>
        <v>0</v>
      </c>
      <c r="AV32" s="456">
        <f>IF(OR('Parte Estrategica'!AE32=0,'Parte Estrategica'!AE32=""),0,IF(VLOOKUP($A32,'Matriz de Referencia'!$B$2:$CO$584,27,FALSE)=0,0,"Digite"))</f>
        <v>0</v>
      </c>
      <c r="AW32" s="456">
        <f>IF(OR('Parte Estrategica'!AE32=0,'Parte Estrategica'!AE32=""),0,IF(VLOOKUP($A32,'Matriz de Referencia'!$B$2:$CO$584,28,FALSE)=0,0,"Digite"))</f>
        <v>0</v>
      </c>
      <c r="AX32" s="456">
        <f>IF(OR('Parte Estrategica'!AE32=0,'Parte Estrategica'!AE32=""),0,IF(VLOOKUP($A32,'Matriz de Referencia'!$B$2:$CO$584,29,FALSE)=0,0,"Digite"))</f>
        <v>0</v>
      </c>
      <c r="AY32" s="456">
        <f>IF(OR('Parte Estrategica'!AE32=0,'Parte Estrategica'!AE32=""),0,IF(VLOOKUP($A32,'Matriz de Referencia'!$B$2:$CO$584,30,FALSE)=0,0,"Digite"))</f>
        <v>0</v>
      </c>
      <c r="AZ32" s="456">
        <f>IF(OR('Parte Estrategica'!AE32=0,'Parte Estrategica'!AE32=""),0,IF(VLOOKUP($A32,'Matriz de Referencia'!$B$2:$CO$584,31,FALSE)=0,0,"Digite"))</f>
        <v>0</v>
      </c>
      <c r="BA32" s="456">
        <f>IF(OR('Parte Estrategica'!AE32=0,'Parte Estrategica'!AE32=""),0,IF(VLOOKUP($A32,'Matriz de Referencia'!$B$2:$CO$584,32,FALSE)=0,0,"Digite"))</f>
        <v>0</v>
      </c>
      <c r="BB32" s="457">
        <f t="shared" si="9"/>
        <v>0</v>
      </c>
      <c r="BC32" s="456">
        <f>IF(OR('Parte Estrategica'!AE32=0,'Parte Estrategica'!AE32=""),0,IF(VLOOKUP($A32,'Matriz de Referencia'!$B$2:$CO$584,34,FALSE)=0,0,"Digite"))</f>
        <v>0</v>
      </c>
      <c r="BD32" s="456">
        <f>IF(OR('Parte Estrategica'!AE32=0,'Parte Estrategica'!AE32=""),0,IF(VLOOKUP($A32,'Matriz de Referencia'!$B$2:$CO$584,35,FALSE)=0,0,"Digite"))</f>
        <v>0</v>
      </c>
      <c r="BE32" s="456">
        <f>IF(OR('Parte Estrategica'!AE32=0,'Parte Estrategica'!AE32=""),0,IF(VLOOKUP($A32,'Matriz de Referencia'!$B$2:$CO$584,36,FALSE)=0,0,"Digite"))</f>
        <v>0</v>
      </c>
      <c r="BF32" s="457">
        <f t="shared" si="10"/>
        <v>0</v>
      </c>
      <c r="BG32" s="457">
        <f t="shared" si="11"/>
        <v>0</v>
      </c>
      <c r="BH32" s="457">
        <f t="shared" si="12"/>
        <v>0</v>
      </c>
      <c r="BI32" s="101" t="str">
        <f>IFERROR(IF(BH32=0,"",IF(VLOOKUP($A32,'Matriz de Referencia'!$B$2:$CO$584,'Matriz de Referencia'!AM$1,FALSE)=BH32,"Techos ok, cotinue","Debe revisar el valor programado")),"")</f>
        <v/>
      </c>
      <c r="BJ32" s="453">
        <f>IF(OR('Parte Estrategica'!AH32=0,'Parte Estrategica'!AH32=""),0,IF(VLOOKUP($A32,'Matriz de Referencia'!$B$2:$CO$584,39,FALSE)=0,0,"Digite"))</f>
        <v>0</v>
      </c>
      <c r="BK32" s="454">
        <f>IF(OR('Parte Estrategica'!AH32=0,'Parte Estrategica'!AH32=""),0,IF(VLOOKUP($A32,'Matriz de Referencia'!$B$2:$CO$584,40,FALSE)=0,0,"Digite"))</f>
        <v>0</v>
      </c>
      <c r="BL32" s="454">
        <f>IF(OR('Parte Estrategica'!AH32=0,'Parte Estrategica'!AH32=""),0,IF(VLOOKUP($A32,'Matriz de Referencia'!$B$2:$CO$584,41,FALSE)=0,0,"Digite"))</f>
        <v>0</v>
      </c>
      <c r="BM32" s="454">
        <f>IF(OR('Parte Estrategica'!AH32=0,'Parte Estrategica'!AH32=""),0,IF(VLOOKUP($A32,'Matriz de Referencia'!$B$2:$CO$584,42,FALSE)=0,0,"Digite"))</f>
        <v>0</v>
      </c>
      <c r="BN32" s="454">
        <f>IF(OR('Parte Estrategica'!AH32=0,'Parte Estrategica'!AH32=""),0,IF(VLOOKUP($A32,'Matriz de Referencia'!$B$2:$CO$584,43,FALSE)=0,0,"Digite"))</f>
        <v>0</v>
      </c>
      <c r="BO32" s="454">
        <f>IF(OR('Parte Estrategica'!AH32=0,'Parte Estrategica'!AH32=""),0,IF(VLOOKUP($A32,'Matriz de Referencia'!$B$2:$CO$584,44,FALSE)=0,0,"Digite"))</f>
        <v>0</v>
      </c>
      <c r="BP32" s="454">
        <f>IF(OR('Parte Estrategica'!AH32=0,'Parte Estrategica'!AH32=""),0,IF(VLOOKUP($A32,'Matriz de Referencia'!$B$2:$CO$584,45,FALSE)=0,0,"Digite"))</f>
        <v>0</v>
      </c>
      <c r="BQ32" s="454">
        <f>IF(OR('Parte Estrategica'!AH32=0,'Parte Estrategica'!AH32=""),0,IF(VLOOKUP($A32,'Matriz de Referencia'!$B$2:$CO$584,46,FALSE)=0,0,"Digite"))</f>
        <v>0</v>
      </c>
      <c r="BR32" s="382">
        <f t="shared" si="13"/>
        <v>0</v>
      </c>
      <c r="BS32" s="454">
        <f>IF(OR('Parte Estrategica'!CL32=0,'Parte Estrategica'!CL32=""),0,IF(VLOOKUP($A32,'Matriz de Referencia'!$B$2:$CO$584,48,FALSE)=0,0,"Digite"))</f>
        <v>0</v>
      </c>
      <c r="BT32" s="454">
        <f>IF(OR('Parte Estrategica'!CL32=0,'Parte Estrategica'!CL32=""),0,IF(VLOOKUP($A32,'Matriz de Referencia'!$B$2:$CO$584,49,FALSE)=0,0,"Digite"))</f>
        <v>0</v>
      </c>
      <c r="BU32" s="454">
        <f>IF(OR('Parte Estrategica'!CL32=0,'Parte Estrategica'!CL32=""),0,IF(VLOOKUP($A32,'Matriz de Referencia'!$B$2:$CO$584,50,FALSE)=0,0,"Digite"))</f>
        <v>0</v>
      </c>
      <c r="BV32" s="382">
        <f t="shared" si="14"/>
        <v>0</v>
      </c>
      <c r="BW32" s="382">
        <f t="shared" si="15"/>
        <v>0</v>
      </c>
      <c r="BX32" s="453">
        <f>IF(OR('Parte Estrategica'!AI32=0,'Parte Estrategica'!AI32=""),0,IF(VLOOKUP($A32,'Matriz de Referencia'!$B$2:$CO$584,39,FALSE)=0,0,"Digite"))</f>
        <v>0</v>
      </c>
      <c r="BY32" s="454">
        <f>IF(OR('Parte Estrategica'!AI32=0,'Parte Estrategica'!AI32=""),0,IF(VLOOKUP($A32,'Matriz de Referencia'!$B$2:$CO$584,40,FALSE)=0,0,"Digite"))</f>
        <v>0</v>
      </c>
      <c r="BZ32" s="454">
        <f>IF(OR('Parte Estrategica'!AI32=0,'Parte Estrategica'!AI32=""),0,IF(VLOOKUP($A32,'Matriz de Referencia'!$B$2:$CO$584,41,FALSE)=0,0,"Digite"))</f>
        <v>0</v>
      </c>
      <c r="CA32" s="454">
        <f>IF(OR('Parte Estrategica'!AI32=0,'Parte Estrategica'!AI32=""),0,IF(VLOOKUP($A32,'Matriz de Referencia'!$B$2:$CO$584,42,FALSE)=0,0,"Digite"))</f>
        <v>0</v>
      </c>
      <c r="CB32" s="454">
        <f>IF(OR('Parte Estrategica'!AI32=0,'Parte Estrategica'!AI32=""),0,IF(VLOOKUP($A32,'Matriz de Referencia'!$B$2:$CO$584,43,FALSE)=0,0,"Digite"))</f>
        <v>0</v>
      </c>
      <c r="CC32" s="454">
        <f>IF(OR('Parte Estrategica'!AI32=0,'Parte Estrategica'!AI32=""),0,IF(VLOOKUP($A32,'Matriz de Referencia'!$B$2:$CO$584,44,FALSE)=0,0,"Digite"))</f>
        <v>0</v>
      </c>
      <c r="CD32" s="454">
        <f>IF(OR('Parte Estrategica'!AI32=0,'Parte Estrategica'!AI32=""),0,IF(VLOOKUP($A32,'Matriz de Referencia'!$B$2:$CO$584,45,FALSE)=0,0,"Digite"))</f>
        <v>0</v>
      </c>
      <c r="CE32" s="454">
        <f>IF(OR('Parte Estrategica'!AI32=0,'Parte Estrategica'!AI32=""),0,IF(VLOOKUP($A32,'Matriz de Referencia'!$B$2:$CO$584,46,FALSE)=0,0,"Digite"))</f>
        <v>0</v>
      </c>
      <c r="CF32" s="382">
        <f t="shared" si="16"/>
        <v>0</v>
      </c>
      <c r="CG32" s="454">
        <f>IF(OR('Parte Estrategica'!AI32=0,'Parte Estrategica'!AI32=""),0,IF(VLOOKUP($A32,'Matriz de Referencia'!$B$2:$CO$584,48,FALSE)=0,0,"Digite"))</f>
        <v>0</v>
      </c>
      <c r="CH32" s="454">
        <f>IF(OR('Parte Estrategica'!AI32=0,'Parte Estrategica'!AI32=""),0,IF(VLOOKUP($A32,'Matriz de Referencia'!$B$2:$CO$584,49,FALSE)=0,0,"Digite"))</f>
        <v>0</v>
      </c>
      <c r="CI32" s="454">
        <f>IF(OR('Parte Estrategica'!AI32=0,'Parte Estrategica'!AI32=""),0,IF(VLOOKUP($A32,'Matriz de Referencia'!$B$2:$CO$584,50,FALSE)=0,0,"Digite"))</f>
        <v>0</v>
      </c>
      <c r="CJ32" s="382">
        <f t="shared" si="17"/>
        <v>0</v>
      </c>
      <c r="CK32" s="382">
        <f t="shared" si="18"/>
        <v>0</v>
      </c>
      <c r="CL32" s="453">
        <f>IF(OR('Parte Estrategica'!AJ32=0,'Parte Estrategica'!AJ32=""),0,IF(VLOOKUP($A32,'Matriz de Referencia'!$B$2:$CO$584,39,FALSE)=0,0,"Digite"))</f>
        <v>0</v>
      </c>
      <c r="CM32" s="454">
        <f>IF(OR('Parte Estrategica'!AJ32=0,'Parte Estrategica'!AJ32=""),0,IF(VLOOKUP($A32,'Matriz de Referencia'!$B$2:$CO$584,40,FALSE)=0,0,"Digite"))</f>
        <v>0</v>
      </c>
      <c r="CN32" s="454">
        <f>IF(OR('Parte Estrategica'!AJ32=0,'Parte Estrategica'!AJ32=""),0,IF(VLOOKUP($A32,'Matriz de Referencia'!$B$2:$CO$584,41,FALSE)=0,0,"Digite"))</f>
        <v>0</v>
      </c>
      <c r="CO32" s="454">
        <f>IF(OR('Parte Estrategica'!AJ32=0,'Parte Estrategica'!AJ32=""),0,IF(VLOOKUP($A32,'Matriz de Referencia'!$B$2:$CO$584,42,FALSE)=0,0,"Digite"))</f>
        <v>0</v>
      </c>
      <c r="CP32" s="454">
        <f>IF(OR('Parte Estrategica'!AJ32=0,'Parte Estrategica'!AJ32=""),0,IF(VLOOKUP($A32,'Matriz de Referencia'!$B$2:$CO$584,43,FALSE)=0,0,"Digite"))</f>
        <v>0</v>
      </c>
      <c r="CQ32" s="454">
        <f>IF(OR('Parte Estrategica'!AJ32=0,'Parte Estrategica'!AJ32=""),0,IF(VLOOKUP($A32,'Matriz de Referencia'!$B$2:$CO$584,44,FALSE)=0,0,"Digite"))</f>
        <v>0</v>
      </c>
      <c r="CR32" s="454">
        <f>IF(OR('Parte Estrategica'!AJ32=0,'Parte Estrategica'!AJ32=""),0,IF(VLOOKUP($A32,'Matriz de Referencia'!$B$2:$CO$584,45,FALSE)=0,0,"Digite"))</f>
        <v>0</v>
      </c>
      <c r="CS32" s="454">
        <f>IF(OR('Parte Estrategica'!AJ32=0,'Parte Estrategica'!AJ32=""),0,IF(VLOOKUP($A32,'Matriz de Referencia'!$B$2:$CO$584,46,FALSE)=0,0,"Digite"))</f>
        <v>0</v>
      </c>
      <c r="CT32" s="382">
        <f t="shared" si="19"/>
        <v>0</v>
      </c>
      <c r="CU32" s="454">
        <f>IF(OR('Parte Estrategica'!AJ32=0,'Parte Estrategica'!AJ32=""),0,IF(VLOOKUP($A32,'Matriz de Referencia'!$B$2:$CO$584,48,FALSE)=0,0,"Digite"))</f>
        <v>0</v>
      </c>
      <c r="CV32" s="454">
        <f>IF(OR('Parte Estrategica'!AJ32=0,'Parte Estrategica'!AJ32=""),0,IF(VLOOKUP($A32,'Matriz de Referencia'!$B$2:$CO$584,49,FALSE)=0,0,"Digite"))</f>
        <v>0</v>
      </c>
      <c r="CW32" s="454">
        <f>IF(OR('Parte Estrategica'!AJ32=0,'Parte Estrategica'!AJ32=""),0,IF(VLOOKUP($A32,'Matriz de Referencia'!$B$2:$CO$584,50,FALSE)=0,0,"Digite"))</f>
        <v>0</v>
      </c>
      <c r="CX32" s="382">
        <f t="shared" si="20"/>
        <v>0</v>
      </c>
      <c r="CY32" s="382">
        <f t="shared" si="21"/>
        <v>0</v>
      </c>
      <c r="CZ32" s="453">
        <f>IF(OR('Parte Estrategica'!AK32=0,'Parte Estrategica'!AK32=""),0,IF(VLOOKUP($A32,'Matriz de Referencia'!$B$2:$CO$584,39,FALSE)=0,0,"Digite"))</f>
        <v>0</v>
      </c>
      <c r="DA32" s="454">
        <f>IF(OR('Parte Estrategica'!AK32=0,'Parte Estrategica'!AK32=""),0,IF(VLOOKUP($A32,'Matriz de Referencia'!$B$2:$CO$584,40,FALSE)=0,0,"Digite"))</f>
        <v>0</v>
      </c>
      <c r="DB32" s="454">
        <f>IF(OR('Parte Estrategica'!AK32=0,'Parte Estrategica'!AK32=""),0,IF(VLOOKUP($A32,'Matriz de Referencia'!$B$2:$CO$584,41,FALSE)=0,0,"Digite"))</f>
        <v>0</v>
      </c>
      <c r="DC32" s="454">
        <f>IF(OR('Parte Estrategica'!AK32=0,'Parte Estrategica'!AK32=""),0,IF(VLOOKUP($A32,'Matriz de Referencia'!$B$2:$CO$584,42,FALSE)=0,0,"Digite"))</f>
        <v>0</v>
      </c>
      <c r="DD32" s="454">
        <f>IF(OR('Parte Estrategica'!AK32=0,'Parte Estrategica'!AK32=""),0,IF(VLOOKUP($A32,'Matriz de Referencia'!$B$2:$CO$584,43,FALSE)=0,0,"Digite"))</f>
        <v>0</v>
      </c>
      <c r="DE32" s="454">
        <f>IF(OR('Parte Estrategica'!AK32=0,'Parte Estrategica'!AK32=""),0,IF(VLOOKUP($A32,'Matriz de Referencia'!$B$2:$CO$584,44,FALSE)=0,0,"Digite"))</f>
        <v>0</v>
      </c>
      <c r="DF32" s="454">
        <f>IF(OR('Parte Estrategica'!AK32=0,'Parte Estrategica'!AK32=""),0,IF(VLOOKUP($A32,'Matriz de Referencia'!$B$2:$CO$584,45,FALSE)=0,0,"Digite"))</f>
        <v>0</v>
      </c>
      <c r="DG32" s="454">
        <f>IF(OR('Parte Estrategica'!AK32=0,'Parte Estrategica'!AK32=""),0,IF(VLOOKUP($A32,'Matriz de Referencia'!$B$2:$CO$584,46,FALSE)=0,0,"Digite"))</f>
        <v>0</v>
      </c>
      <c r="DH32" s="382">
        <f t="shared" si="22"/>
        <v>0</v>
      </c>
      <c r="DI32" s="454">
        <f>IF(OR('Parte Estrategica'!AK32=0,'Parte Estrategica'!AK32=""),0,IF(VLOOKUP($A32,'Matriz de Referencia'!$B$2:$CO$584,48,FALSE)=0,0,"Digite"))</f>
        <v>0</v>
      </c>
      <c r="DJ32" s="454">
        <f>IF(OR('Parte Estrategica'!AK32=0,'Parte Estrategica'!AK32=""),0,IF(VLOOKUP($A32,'Matriz de Referencia'!$B$2:$CO$584,49,FALSE)=0,0,"Digite"))</f>
        <v>0</v>
      </c>
      <c r="DK32" s="454">
        <f>IF(OR('Parte Estrategica'!AK32=0,'Parte Estrategica'!AK32=""),0,IF(VLOOKUP($A32,'Matriz de Referencia'!$B$2:$CO$584,50,FALSE)=0,0,"Digite"))</f>
        <v>0</v>
      </c>
      <c r="DL32" s="382">
        <f t="shared" si="23"/>
        <v>0</v>
      </c>
      <c r="DM32" s="382">
        <f t="shared" si="24"/>
        <v>0</v>
      </c>
      <c r="DN32" s="382">
        <f t="shared" si="25"/>
        <v>0</v>
      </c>
      <c r="DO32" s="101" t="str">
        <f>IFERROR(IF(DN32=0,"",IF(VLOOKUP($A32,'Matriz de Referencia'!$B$2:$CO$584,52,FALSE)=DN32,"Techos ok, cotinue","Debe revisar el valor programado")),"")</f>
        <v/>
      </c>
      <c r="DP32" s="453">
        <f>IF(OR('Parte Estrategica'!AN32=0,'Parte Estrategica'!AN32=""),0,IF(VLOOKUP($A32,'Matriz de Referencia'!$B$2:$CO$584,53,FALSE)=0,0,"Digite"))</f>
        <v>0</v>
      </c>
      <c r="DQ32" s="454">
        <f>IF(OR('Parte Estrategica'!AN32=0,'Parte Estrategica'!AN32=""),0,IF(VLOOKUP($A32,'Matriz de Referencia'!$B$2:$CO$584,54,FALSE)=0,0,"Digite"))</f>
        <v>0</v>
      </c>
      <c r="DR32" s="454">
        <f>IF(OR('Parte Estrategica'!AN32=0,'Parte Estrategica'!AN32=""),0,IF(VLOOKUP($A32,'Matriz de Referencia'!$B$2:$CO$584,55,FALSE)=0,0,"Digite"))</f>
        <v>0</v>
      </c>
      <c r="DS32" s="454">
        <f>IF(OR('Parte Estrategica'!AN32=0,'Parte Estrategica'!AN32=""),0,IF(VLOOKUP($A32,'Matriz de Referencia'!$B$2:$CO$584,56,FALSE)=0,0,"Digite"))</f>
        <v>0</v>
      </c>
      <c r="DT32" s="454">
        <f>IF(OR('Parte Estrategica'!AN32=0,'Parte Estrategica'!AN32=""),0,IF(VLOOKUP($A32,'Matriz de Referencia'!$B$2:$CO$584,57,FALSE)=0,0,"Digite"))</f>
        <v>0</v>
      </c>
      <c r="DU32" s="454">
        <f>IF(OR('Parte Estrategica'!AN32=0,'Parte Estrategica'!AN32=""),0,IF(VLOOKUP($A32,'Matriz de Referencia'!$B$2:$CO$584,58,FALSE)=0,0,"Digite"))</f>
        <v>0</v>
      </c>
      <c r="DV32" s="454">
        <f>IF(OR('Parte Estrategica'!AN32=0,'Parte Estrategica'!AN32=""),0,IF(VLOOKUP($A32,'Matriz de Referencia'!$B$2:$CO$584,59,FALSE)=0,0,"Digite"))</f>
        <v>0</v>
      </c>
      <c r="DW32" s="454">
        <f>IF(OR('Parte Estrategica'!AN32=0,'Parte Estrategica'!AN32=""),0,IF(VLOOKUP($A32,'Matriz de Referencia'!$B$2:$CO$584,60,FALSE)=0,0,"Digite"))</f>
        <v>0</v>
      </c>
      <c r="DX32" s="382">
        <f t="shared" si="26"/>
        <v>0</v>
      </c>
      <c r="DY32" s="454">
        <f>IF(OR('Parte Estrategica'!AN32=0,'Parte Estrategica'!AN32=""),0,IF(VLOOKUP($A32,'Matriz de Referencia'!$B$2:$CO$584,62,FALSE)=0,0,"Digite"))</f>
        <v>0</v>
      </c>
      <c r="DZ32" s="454">
        <f>IF(OR('Parte Estrategica'!AN32=0,'Parte Estrategica'!AN32=""),0,IF(VLOOKUP($A32,'Matriz de Referencia'!$B$2:$CO$584,63,FALSE)=0,0,"Digite"))</f>
        <v>0</v>
      </c>
      <c r="EA32" s="454" t="str">
        <f>IF(OR('Parte Estrategica'!AN32=0,'Parte Estrategica'!AN32=""),"",IF(VLOOKUP($A32,'Matriz de Referencia'!$B$2:$CO$584,64,FALSE)=0,"","Digite"))</f>
        <v/>
      </c>
      <c r="EB32" s="382">
        <f t="shared" si="27"/>
        <v>0</v>
      </c>
      <c r="EC32" s="382">
        <f t="shared" si="28"/>
        <v>0</v>
      </c>
      <c r="ED32" s="453">
        <f>IF(OR('Parte Estrategica'!AO32=0,'Parte Estrategica'!AO32=""),0,IF(VLOOKUP($A32,'Matriz de Referencia'!$B$2:$CO$584,53,FALSE)=0,0,"Digite"))</f>
        <v>0</v>
      </c>
      <c r="EE32" s="454">
        <f>IF(OR('Parte Estrategica'!AO32=0,'Parte Estrategica'!AO32=""),0,IF(VLOOKUP($A32,'Matriz de Referencia'!$B$2:$CO$584,54,FALSE)=0,0,"Digite"))</f>
        <v>0</v>
      </c>
      <c r="EF32" s="454">
        <f>IF(OR('Parte Estrategica'!AO32=0,'Parte Estrategica'!AO32=""),0,IF(VLOOKUP($A32,'Matriz de Referencia'!$B$2:$CO$584,55,FALSE)=0,0,"Digite"))</f>
        <v>0</v>
      </c>
      <c r="EG32" s="454">
        <f>IF(OR('Parte Estrategica'!AO32=0,'Parte Estrategica'!AO32=""),0,IF(VLOOKUP($A32,'Matriz de Referencia'!$B$2:$CO$584,56,FALSE)=0,0,"Digite"))</f>
        <v>0</v>
      </c>
      <c r="EH32" s="454">
        <f>IF(OR('Parte Estrategica'!AO32=0,'Parte Estrategica'!AO32=""),0,IF(VLOOKUP($A32,'Matriz de Referencia'!$B$2:$CO$584,57,FALSE)=0,0,"Digite"))</f>
        <v>0</v>
      </c>
      <c r="EI32" s="454">
        <f>IF(OR('Parte Estrategica'!AO32=0,'Parte Estrategica'!AO32=""),0,IF(VLOOKUP($A32,'Matriz de Referencia'!$B$2:$CO$584,58,FALSE)=0,0,"Digite"))</f>
        <v>0</v>
      </c>
      <c r="EJ32" s="454">
        <f>IF(OR('Parte Estrategica'!AO32=0,'Parte Estrategica'!AO32=""),0,IF(VLOOKUP($A32,'Matriz de Referencia'!$B$2:$CO$584,59,FALSE)=0,0,"Digite"))</f>
        <v>0</v>
      </c>
      <c r="EK32" s="454">
        <f>IF(OR('Parte Estrategica'!AO32=0,'Parte Estrategica'!AO32=""),0,IF(VLOOKUP($A32,'Matriz de Referencia'!$B$2:$CO$584,60,FALSE)=0,0,"Digite"))</f>
        <v>0</v>
      </c>
      <c r="EL32" s="382">
        <f t="shared" si="29"/>
        <v>0</v>
      </c>
      <c r="EM32" s="454">
        <f>IF(OR('Parte Estrategica'!AO32=0,'Parte Estrategica'!AO32=""),0,IF(VLOOKUP($A32,'Matriz de Referencia'!$B$2:$CO$584,62,FALSE)=0,0,"Digite"))</f>
        <v>0</v>
      </c>
      <c r="EN32" s="454">
        <f>IF(OR('Parte Estrategica'!AO32=0,'Parte Estrategica'!AO32=""),0,IF(VLOOKUP($A32,'Matriz de Referencia'!$B$2:$CO$584,63,FALSE)=0,0,"Digite"))</f>
        <v>0</v>
      </c>
      <c r="EO32" s="454">
        <f>IF(OR('Parte Estrategica'!AO32=0,'Parte Estrategica'!AO32=""),0,IF(VLOOKUP($A32,'Matriz de Referencia'!$B$2:$CO$584,64,FALSE)=0,0,"Digite"))</f>
        <v>0</v>
      </c>
      <c r="EP32" s="382">
        <f t="shared" si="30"/>
        <v>0</v>
      </c>
      <c r="EQ32" s="382">
        <f t="shared" si="31"/>
        <v>0</v>
      </c>
      <c r="ER32" s="453">
        <f>IF(OR('Parte Estrategica'!AP32=0,'Parte Estrategica'!AP32=""),0,IF(VLOOKUP($A32,'Matriz de Referencia'!$B$2:$CO$584,53,FALSE)=0,0,"Digite"))</f>
        <v>0</v>
      </c>
      <c r="ES32" s="454">
        <f>IF(OR('Parte Estrategica'!AP32=0,'Parte Estrategica'!AP32=""),0,IF(VLOOKUP($A32,'Matriz de Referencia'!$B$2:$CO$584,54,FALSE)=0,0,"Digite"))</f>
        <v>0</v>
      </c>
      <c r="ET32" s="454">
        <f>IF(OR('Parte Estrategica'!AP32=0,'Parte Estrategica'!AP32=""),0,IF(VLOOKUP($A32,'Matriz de Referencia'!$B$2:$CO$584,55,FALSE)=0,0,"Digite"))</f>
        <v>0</v>
      </c>
      <c r="EU32" s="454">
        <f>IF(OR('Parte Estrategica'!AP32=0,'Parte Estrategica'!AP32=""),0,IF(VLOOKUP($A32,'Matriz de Referencia'!$B$2:$CO$584,56,FALSE)=0,0,"Digite"))</f>
        <v>0</v>
      </c>
      <c r="EV32" s="454">
        <f>IF(OR('Parte Estrategica'!AP32=0,'Parte Estrategica'!AP32=""),0,IF(VLOOKUP($A32,'Matriz de Referencia'!$B$2:$CO$584,57,FALSE)=0,0,"Digite"))</f>
        <v>0</v>
      </c>
      <c r="EW32" s="454">
        <f>IF(OR('Parte Estrategica'!AP32=0,'Parte Estrategica'!AP32=""),0,IF(VLOOKUP($A32,'Matriz de Referencia'!$B$2:$CO$584,58,FALSE)=0,0,"Digite"))</f>
        <v>0</v>
      </c>
      <c r="EX32" s="454">
        <f>IF(OR('Parte Estrategica'!AP32=0,'Parte Estrategica'!AP32=""),0,IF(VLOOKUP($A32,'Matriz de Referencia'!$B$2:$CO$584,59,FALSE)=0,0,"Digite"))</f>
        <v>0</v>
      </c>
      <c r="EY32" s="454">
        <f>IF(OR('Parte Estrategica'!AP32=0,'Parte Estrategica'!AP32=""),0,IF(VLOOKUP($A32,'Matriz de Referencia'!$B$2:$CO$584,60,FALSE)=0,0,"Digite"))</f>
        <v>0</v>
      </c>
      <c r="EZ32" s="382">
        <f t="shared" si="32"/>
        <v>0</v>
      </c>
      <c r="FA32" s="454">
        <f>IF(OR('Parte Estrategica'!AP32=0,'Parte Estrategica'!AP32=""),0,IF(VLOOKUP($A32,'Matriz de Referencia'!$B$2:$CO$584,62,FALSE)=0,0,"Digite"))</f>
        <v>0</v>
      </c>
      <c r="FB32" s="454">
        <f>IF(OR('Parte Estrategica'!AP32=0,'Parte Estrategica'!AP32=""),0,IF(VLOOKUP($A32,'Matriz de Referencia'!$B$2:$CO$584,63,FALSE)=0,0,"Digite"))</f>
        <v>0</v>
      </c>
      <c r="FC32" s="454">
        <f>IF(OR('Parte Estrategica'!AP32=0,'Parte Estrategica'!AP32=""),0,IF(VLOOKUP($A32,'Matriz de Referencia'!$B$2:$CO$584,64,FALSE)=0,0,"Digite"))</f>
        <v>0</v>
      </c>
      <c r="FD32" s="382">
        <f t="shared" si="33"/>
        <v>0</v>
      </c>
      <c r="FE32" s="382">
        <f t="shared" si="34"/>
        <v>0</v>
      </c>
      <c r="FF32" s="453">
        <f>IF(OR('Parte Estrategica'!AQ32=0,'Parte Estrategica'!AQ32=""),0,IF(VLOOKUP($A32,'Matriz de Referencia'!$B$2:$CO$584,53,FALSE)=0,0,"Digite"))</f>
        <v>0</v>
      </c>
      <c r="FG32" s="454">
        <f>IF(OR('Parte Estrategica'!AQ32=0,'Parte Estrategica'!AQ32=""),0,IF(VLOOKUP($A32,'Matriz de Referencia'!$B$2:$CO$584,54,FALSE)=0,0,"Digite"))</f>
        <v>0</v>
      </c>
      <c r="FH32" s="454">
        <f>IF(OR('Parte Estrategica'!AQ32=0,'Parte Estrategica'!AQ32=""),0,IF(VLOOKUP($A32,'Matriz de Referencia'!$B$2:$CO$584,55,FALSE)=0,0,"Digite"))</f>
        <v>0</v>
      </c>
      <c r="FI32" s="454">
        <f>IF(OR('Parte Estrategica'!AQ32=0,'Parte Estrategica'!AQ32=""),0,IF(VLOOKUP($A32,'Matriz de Referencia'!$B$2:$CO$584,56,FALSE)=0,0,"Digite"))</f>
        <v>0</v>
      </c>
      <c r="FJ32" s="454">
        <f>IF(OR('Parte Estrategica'!AQ32=0,'Parte Estrategica'!AQ32=""),0,IF(VLOOKUP($A32,'Matriz de Referencia'!$B$2:$CO$584,57,FALSE)=0,0,"Digite"))</f>
        <v>0</v>
      </c>
      <c r="FK32" s="454">
        <f>IF(OR('Parte Estrategica'!AQ32=0,'Parte Estrategica'!AQ32=""),0,IF(VLOOKUP($A32,'Matriz de Referencia'!$B$2:$CO$584,58,FALSE)=0,0,"Digite"))</f>
        <v>0</v>
      </c>
      <c r="FL32" s="454">
        <f>IF(OR('Parte Estrategica'!AQ32=0,'Parte Estrategica'!AQ32=""),0,IF(VLOOKUP($A32,'Matriz de Referencia'!$B$2:$CO$584,59,FALSE)=0,0,"Digite"))</f>
        <v>0</v>
      </c>
      <c r="FM32" s="454">
        <f>IF(OR('Parte Estrategica'!AQ32=0,'Parte Estrategica'!AQ32=""),0,IF(VLOOKUP($A32,'Matriz de Referencia'!$B$2:$CO$584,60,FALSE)=0,0,"Digite"))</f>
        <v>0</v>
      </c>
      <c r="FN32" s="382">
        <f t="shared" si="35"/>
        <v>0</v>
      </c>
      <c r="FO32" s="454">
        <f>IF(OR('Parte Estrategica'!AQ32=0,'Parte Estrategica'!AQ32=""),0,IF(VLOOKUP($A32,'Matriz de Referencia'!$B$2:$CO$584,62,FALSE)=0,0,"Digite"))</f>
        <v>0</v>
      </c>
      <c r="FP32" s="454">
        <f>IF(OR('Parte Estrategica'!AQ32=0,'Parte Estrategica'!AQ32=""),0,IF(VLOOKUP($A32,'Matriz de Referencia'!$B$2:$CO$584,63,FALSE)=0,0,"Digite"))</f>
        <v>0</v>
      </c>
      <c r="FQ32" s="454">
        <f>IF(OR('Parte Estrategica'!AQ32=0,'Parte Estrategica'!AQ32=""),0,IF(VLOOKUP($A32,'Matriz de Referencia'!$B$2:$CO$584,64,FALSE)=0,0,"Digite"))</f>
        <v>0</v>
      </c>
      <c r="FR32" s="382">
        <f t="shared" si="36"/>
        <v>0</v>
      </c>
      <c r="FS32" s="382">
        <f t="shared" si="37"/>
        <v>0</v>
      </c>
      <c r="FT32" s="382">
        <f t="shared" si="38"/>
        <v>0</v>
      </c>
      <c r="FU32" s="101" t="str">
        <f>IFERROR(IF(FT32=0,"",IF(VLOOKUP($A32,'Matriz de Referencia'!$B$2:$CO$584,66,FALSE)=FT32,"Techos ok, cotinue","Debe revisar el valor programado")),"")</f>
        <v/>
      </c>
      <c r="FV32" s="453">
        <f>IF(OR('Parte Estrategica'!AT32=0,'Parte Estrategica'!AT32=""),0,IF(VLOOKUP($A32,'Matriz de Referencia'!$B$2:$CO$584,67,FALSE)=0,0,"Digite"))</f>
        <v>0</v>
      </c>
      <c r="FW32" s="454">
        <f>IF(OR('Parte Estrategica'!AT32=0,'Parte Estrategica'!AT32=""),0,IF(VLOOKUP($A32,'Matriz de Referencia'!$B$2:$CO$584,68,FALSE)=0,0,"Digite"))</f>
        <v>0</v>
      </c>
      <c r="FX32" s="454">
        <f>IF(OR('Parte Estrategica'!AT32=0,'Parte Estrategica'!AT32=""),0,IF(VLOOKUP($A32,'Matriz de Referencia'!$B$2:$CO$584,69,FALSE)=0,0,"Digite"))</f>
        <v>0</v>
      </c>
      <c r="FY32" s="454">
        <f>IF(OR('Parte Estrategica'!AT32=0,'Parte Estrategica'!AT32=""),0,IF(VLOOKUP($A32,'Matriz de Referencia'!$B$2:$CO$584,70,FALSE)=0,0,"Digite"))</f>
        <v>0</v>
      </c>
      <c r="FZ32" s="454">
        <f>IF(OR('Parte Estrategica'!AT32=0,'Parte Estrategica'!AT32=""),0,IF(VLOOKUP($A32,'Matriz de Referencia'!$B$2:$CO$584,71,FALSE)=0,0,"Digite"))</f>
        <v>0</v>
      </c>
      <c r="GA32" s="454">
        <f>IF(OR('Parte Estrategica'!AT32=0,'Parte Estrategica'!AT32=""),0,IF(VLOOKUP($A32,'Matriz de Referencia'!$B$2:$CO$584,72,FALSE)=0,0,"Digite"))</f>
        <v>0</v>
      </c>
      <c r="GB32" s="454">
        <f>IF(OR('Parte Estrategica'!AT32=0,'Parte Estrategica'!AT32=""),0,IF(VLOOKUP($A32,'Matriz de Referencia'!$B$2:$CO$584,73,FALSE)=0,0,"Digite"))</f>
        <v>0</v>
      </c>
      <c r="GC32" s="454">
        <f>IF(OR('Parte Estrategica'!AT32=0,'Parte Estrategica'!AT32=""),0,IF(VLOOKUP($A32,'Matriz de Referencia'!$B$2:$CO$584,74,FALSE)=0,0,"Digite"))</f>
        <v>0</v>
      </c>
      <c r="GD32" s="382">
        <f t="shared" si="39"/>
        <v>0</v>
      </c>
      <c r="GE32" s="454">
        <f>IF(OR('Parte Estrategica'!AT32=0,'Parte Estrategica'!AT32=""),0,IF(VLOOKUP($A32,'Matriz de Referencia'!$B$2:$CO$584,76,FALSE)=0,0,"Digite"))</f>
        <v>0</v>
      </c>
      <c r="GF32" s="454">
        <f>IF(OR('Parte Estrategica'!AT32=0,'Parte Estrategica'!AT32=""),0,IF(VLOOKUP($A32,'Matriz de Referencia'!$B$2:$CO$584,77,FALSE)=0,0,"Digite"))</f>
        <v>0</v>
      </c>
      <c r="GG32" s="454">
        <f>IF(OR('Parte Estrategica'!AT32=0,'Parte Estrategica'!AT32=""),0,IF(VLOOKUP($A32,'Matriz de Referencia'!$B$2:$CO$584,78,FALSE)=0,0,"Digite"))</f>
        <v>0</v>
      </c>
      <c r="GH32" s="382">
        <f t="shared" si="40"/>
        <v>0</v>
      </c>
      <c r="GI32" s="382">
        <f t="shared" si="41"/>
        <v>0</v>
      </c>
      <c r="GJ32" s="453">
        <f>IF(OR('Parte Estrategica'!AU32=0,'Parte Estrategica'!AU32=""),0,IF(VLOOKUP($A32,'Matriz de Referencia'!$B$2:$CO$584,67,FALSE)=0,0,"Digite"))</f>
        <v>0</v>
      </c>
      <c r="GK32" s="454">
        <f>IF(OR('Parte Estrategica'!AU32=0,'Parte Estrategica'!AU32=""),0,IF(VLOOKUP($A32,'Matriz de Referencia'!$B$2:$CO$584,68,FALSE)=0,0,"Digite"))</f>
        <v>0</v>
      </c>
      <c r="GL32" s="454">
        <f>IF(OR('Parte Estrategica'!AU32=0,'Parte Estrategica'!AU32=""),0,IF(VLOOKUP($A32,'Matriz de Referencia'!$B$2:$CO$584,69,FALSE)=0,0,"Digite"))</f>
        <v>0</v>
      </c>
      <c r="GM32" s="454">
        <f>IF(OR('Parte Estrategica'!AU32=0,'Parte Estrategica'!AU32=""),0,IF(VLOOKUP($A32,'Matriz de Referencia'!$B$2:$CO$584,70,FALSE)=0,0,"Digite"))</f>
        <v>0</v>
      </c>
      <c r="GN32" s="454">
        <f>IF(OR('Parte Estrategica'!AU32=0,'Parte Estrategica'!AU32=""),0,IF(VLOOKUP($A32,'Matriz de Referencia'!$B$2:$CO$584,71,FALSE)=0,0,"Digite"))</f>
        <v>0</v>
      </c>
      <c r="GO32" s="454">
        <f>IF(OR('Parte Estrategica'!AU32=0,'Parte Estrategica'!AU32=""),0,IF(VLOOKUP($A32,'Matriz de Referencia'!$B$2:$CO$584,72,FALSE)=0,0,"Digite"))</f>
        <v>0</v>
      </c>
      <c r="GP32" s="454">
        <f>IF(OR('Parte Estrategica'!AU32=0,'Parte Estrategica'!AU32=""),0,IF(VLOOKUP($A32,'Matriz de Referencia'!$B$2:$CO$584,73,FALSE)=0,0,"Digite"))</f>
        <v>0</v>
      </c>
      <c r="GQ32" s="454">
        <f>IF(OR('Parte Estrategica'!AU32=0,'Parte Estrategica'!AU32=""),0,IF(VLOOKUP($A32,'Matriz de Referencia'!$B$2:$CO$584,74,FALSE)=0,0,"Digite"))</f>
        <v>0</v>
      </c>
      <c r="GR32" s="382">
        <f t="shared" si="42"/>
        <v>0</v>
      </c>
      <c r="GS32" s="454">
        <f>IF(OR('Parte Estrategica'!AU32=0,'Parte Estrategica'!AU32=""),0,IF(VLOOKUP($A32,'Matriz de Referencia'!$B$2:$CO$584,76,FALSE)=0,0,"Digite"))</f>
        <v>0</v>
      </c>
      <c r="GT32" s="454">
        <f>IF(OR('Parte Estrategica'!AU32=0,'Parte Estrategica'!AU32=""),0,IF(VLOOKUP($A32,'Matriz de Referencia'!$B$2:$CO$584,77,FALSE)=0,0,"Digite"))</f>
        <v>0</v>
      </c>
      <c r="GU32" s="454">
        <f>IF(OR('Parte Estrategica'!AU32=0,'Parte Estrategica'!AU32=""),0,IF(VLOOKUP($A32,'Matriz de Referencia'!$B$2:$CO$584,78,FALSE)=0,0,"Digite"))</f>
        <v>0</v>
      </c>
      <c r="GV32" s="382">
        <f t="shared" si="43"/>
        <v>0</v>
      </c>
      <c r="GW32" s="382">
        <f t="shared" si="44"/>
        <v>0</v>
      </c>
      <c r="GX32" s="453">
        <f>IF(OR('Parte Estrategica'!AV32=0,'Parte Estrategica'!AV32=""),0,IF(VLOOKUP($A32,'Matriz de Referencia'!$B$2:$CO$584,67,FALSE)=0,0,"Digite"))</f>
        <v>0</v>
      </c>
      <c r="GY32" s="454">
        <f>IF(OR('Parte Estrategica'!AV32=0,'Parte Estrategica'!AV32=""),0,IF(VLOOKUP($A32,'Matriz de Referencia'!$B$2:$CO$584,68,FALSE)=0,0,"Digite"))</f>
        <v>0</v>
      </c>
      <c r="GZ32" s="454">
        <f>IF(OR('Parte Estrategica'!AV32=0,'Parte Estrategica'!AV32=""),0,IF(VLOOKUP($A32,'Matriz de Referencia'!$B$2:$CO$584,69,FALSE)=0,0,"Digite"))</f>
        <v>0</v>
      </c>
      <c r="HA32" s="454">
        <f>IF(OR('Parte Estrategica'!AV32=0,'Parte Estrategica'!AV32=""),0,IF(VLOOKUP($A32,'Matriz de Referencia'!$B$2:$CO$584,70,FALSE)=0,0,"Digite"))</f>
        <v>0</v>
      </c>
      <c r="HB32" s="454">
        <f>IF(OR('Parte Estrategica'!AV32=0,'Parte Estrategica'!AV32=""),0,IF(VLOOKUP($A32,'Matriz de Referencia'!$B$2:$CO$584,71,FALSE)=0,0,"Digite"))</f>
        <v>0</v>
      </c>
      <c r="HC32" s="454">
        <f>IF(OR('Parte Estrategica'!AV32=0,'Parte Estrategica'!AV32=""),0,IF(VLOOKUP($A32,'Matriz de Referencia'!$B$2:$CO$584,72,FALSE)=0,0,"Digite"))</f>
        <v>0</v>
      </c>
      <c r="HD32" s="454">
        <f>IF(OR('Parte Estrategica'!AV32=0,'Parte Estrategica'!AV32=""),0,IF(VLOOKUP($A32,'Matriz de Referencia'!$B$2:$CO$584,73,FALSE)=0,0,"Digite"))</f>
        <v>0</v>
      </c>
      <c r="HE32" s="454">
        <f>IF(OR('Parte Estrategica'!AV32=0,'Parte Estrategica'!AV32=""),0,IF(VLOOKUP($A32,'Matriz de Referencia'!$B$2:$CO$584,74,FALSE)=0,0,"Digite"))</f>
        <v>0</v>
      </c>
      <c r="HF32" s="382">
        <f t="shared" si="45"/>
        <v>0</v>
      </c>
      <c r="HG32" s="454">
        <f>IF(OR('Parte Estrategica'!AV32=0,'Parte Estrategica'!AV32=""),0,IF(VLOOKUP($A32,'Matriz de Referencia'!$B$2:$CO$584,76,FALSE)=0,0,"Digite"))</f>
        <v>0</v>
      </c>
      <c r="HH32" s="454">
        <f>IF(OR('Parte Estrategica'!AV32=0,'Parte Estrategica'!AV32=""),0,IF(VLOOKUP($A32,'Matriz de Referencia'!$B$2:$CO$584,77,FALSE)=0,0,"Digite"))</f>
        <v>0</v>
      </c>
      <c r="HI32" s="454">
        <f>IF(OR('Parte Estrategica'!AV32=0,'Parte Estrategica'!AV32=""),0,IF(VLOOKUP($A32,'Matriz de Referencia'!$B$2:$CO$584,78,FALSE)=0,0,"Digite"))</f>
        <v>0</v>
      </c>
      <c r="HJ32" s="382">
        <f t="shared" si="46"/>
        <v>0</v>
      </c>
      <c r="HK32" s="382">
        <f t="shared" si="47"/>
        <v>0</v>
      </c>
      <c r="HL32" s="453">
        <f>IF(OR('Parte Estrategica'!AW32=0,'Parte Estrategica'!AW32=""),0,IF(VLOOKUP($A32,'Matriz de Referencia'!$B$2:$CO$584,67,FALSE)=0,0,"Digite"))</f>
        <v>0</v>
      </c>
      <c r="HM32" s="454">
        <f>IF(OR('Parte Estrategica'!AW32=0,'Parte Estrategica'!AW32=""),0,IF(VLOOKUP($A32,'Matriz de Referencia'!$B$2:$CO$584,68,FALSE)=0,0,"Digite"))</f>
        <v>0</v>
      </c>
      <c r="HN32" s="454">
        <f>IF(OR('Parte Estrategica'!AW32=0,'Parte Estrategica'!AW32=""),0,IF(VLOOKUP($A32,'Matriz de Referencia'!$B$2:$CO$584,69,FALSE)=0,0,"Digite"))</f>
        <v>0</v>
      </c>
      <c r="HO32" s="454">
        <f>IF(OR('Parte Estrategica'!AW32=0,'Parte Estrategica'!AW32=""),0,IF(VLOOKUP($A32,'Matriz de Referencia'!$B$2:$CO$584,70,FALSE)=0,0,"Digite"))</f>
        <v>0</v>
      </c>
      <c r="HP32" s="454">
        <f>IF(OR('Parte Estrategica'!AW32=0,'Parte Estrategica'!AW32=""),0,IF(VLOOKUP($A32,'Matriz de Referencia'!$B$2:$CO$584,71,FALSE)=0,0,"Digite"))</f>
        <v>0</v>
      </c>
      <c r="HQ32" s="454">
        <f>IF(OR('Parte Estrategica'!AW32=0,'Parte Estrategica'!AW32=""),0,IF(VLOOKUP($A32,'Matriz de Referencia'!$B$2:$CO$584,72,FALSE)=0,0,"Digite"))</f>
        <v>0</v>
      </c>
      <c r="HR32" s="454">
        <f>IF(OR('Parte Estrategica'!AW32=0,'Parte Estrategica'!AW32=""),0,IF(VLOOKUP($A32,'Matriz de Referencia'!$B$2:$CO$584,73,FALSE)=0,0,"Digite"))</f>
        <v>0</v>
      </c>
      <c r="HS32" s="454">
        <f>IF(OR('Parte Estrategica'!AW32=0,'Parte Estrategica'!AW32=""),0,IF(VLOOKUP($A32,'Matriz de Referencia'!$B$2:$CO$584,74,FALSE)=0,0,"Digite"))</f>
        <v>0</v>
      </c>
      <c r="HT32" s="382">
        <f t="shared" si="48"/>
        <v>0</v>
      </c>
      <c r="HU32" s="454">
        <f>IF(OR('Parte Estrategica'!AW32=0,'Parte Estrategica'!AW32=""),0,IF(VLOOKUP($A32,'Matriz de Referencia'!$B$2:$CO$584,76,FALSE)=0,0,"Digite"))</f>
        <v>0</v>
      </c>
      <c r="HV32" s="454">
        <f>IF(OR('Parte Estrategica'!AW32=0,'Parte Estrategica'!AW32=""),0,IF(VLOOKUP($A32,'Matriz de Referencia'!$B$2:$CO$584,77,FALSE)=0,0,"Digite"))</f>
        <v>0</v>
      </c>
      <c r="HW32" s="454">
        <f>IF(OR('Parte Estrategica'!AW32=0,'Parte Estrategica'!AW32=""),0,IF(VLOOKUP($A32,'Matriz de Referencia'!$B$2:$CO$584,78,FALSE)=0,0,"Digite"))</f>
        <v>0</v>
      </c>
      <c r="HX32" s="382">
        <f t="shared" si="49"/>
        <v>0</v>
      </c>
      <c r="HY32" s="382">
        <f t="shared" si="50"/>
        <v>0</v>
      </c>
      <c r="HZ32" s="382">
        <f t="shared" si="51"/>
        <v>0</v>
      </c>
      <c r="IA32" s="101" t="str">
        <f>IFERROR(IF(HZ32=0,"",IF(VLOOKUP($A32,'Matriz de Referencia'!$B$2:$CO$584,80,FALSE)=HZ32,"Techos ok, cotinue","Debe revisar el valor programado")),"")</f>
        <v/>
      </c>
      <c r="IB32" s="383">
        <f t="shared" si="52"/>
        <v>0</v>
      </c>
    </row>
    <row r="33" spans="1:236">
      <c r="A33" s="550" t="str">
        <f>IF('Parte Estrategica'!B33=0,"",'Parte Estrategica'!B33)</f>
        <v/>
      </c>
      <c r="B33" s="551" t="str">
        <f>IFERROR(VLOOKUP(A33,'Matriz de Referencia'!$B$2:$P$578,'Matriz de Referencia'!L$1,FALSE),"")</f>
        <v/>
      </c>
      <c r="C33" s="551" t="str">
        <f>IFERROR(VLOOKUP(A33,'Matriz de Referencia'!$B$2:$P$584,'Matriz de Referencia'!M$1,FALSE),"")</f>
        <v/>
      </c>
      <c r="D33" s="455" t="str">
        <f>IF(OR('Parte Estrategica'!AB33=0,'Parte Estrategica'!AB33=""),"",IF(VLOOKUP($A33,'Matriz de Referencia'!$B$2:$CO$584,'Matriz de Referencia'!Z$1,FALSE)=0,"","Digite"))</f>
        <v/>
      </c>
      <c r="E33" s="456">
        <f>IF(OR('Parte Estrategica'!AB33=0,'Parte Estrategica'!AB33=""),0,IF(VLOOKUP($A33,'Matriz de Referencia'!$B$2:$CO$584,26,FALSE)=0,0,"Digite"))</f>
        <v>0</v>
      </c>
      <c r="F33" s="456">
        <f>IF(OR('Parte Estrategica'!AB33=0,'Parte Estrategica'!AB33=""),0,IF(VLOOKUP($A33,'Matriz de Referencia'!$B$2:$CO$584,27,FALSE)=0,0,"Digite"))</f>
        <v>0</v>
      </c>
      <c r="G33" s="456">
        <f>IF(OR('Parte Estrategica'!AB33=0,'Parte Estrategica'!AB33=""),0,IF(VLOOKUP($A33,'Matriz de Referencia'!$B$2:$CO$584,28,FALSE)=0,0,"Digite"))</f>
        <v>0</v>
      </c>
      <c r="H33" s="456">
        <f>IF(OR('Parte Estrategica'!AB33=0,'Parte Estrategica'!AB33=""),0,IF(VLOOKUP($A33,'Matriz de Referencia'!$B$2:$CO$584,29,FALSE)=0,0,"Digite"))</f>
        <v>0</v>
      </c>
      <c r="I33" s="456">
        <f>IF(OR('Parte Estrategica'!AB33=0,'Parte Estrategica'!AB33=""),0,IF(VLOOKUP($A33,'Matriz de Referencia'!$B$2:$CO$584,30,FALSE)=0,0,"Digite"))</f>
        <v>0</v>
      </c>
      <c r="J33" s="456">
        <f>IF(OR('Parte Estrategica'!AB33=0,'Parte Estrategica'!AB33=""),0,IF(VLOOKUP($A33,'Matriz de Referencia'!$B$2:$CO$584,31,FALSE)=0,0,"Digite"))</f>
        <v>0</v>
      </c>
      <c r="K33" s="456">
        <f>IF(OR('Parte Estrategica'!AB33=0,'Parte Estrategica'!AB33=""),0,IF(VLOOKUP($A33,'Matriz de Referencia'!$B$2:$CO$584,32,FALSE)=0,0,"Digite"))</f>
        <v>0</v>
      </c>
      <c r="L33" s="460">
        <f t="shared" si="0"/>
        <v>0</v>
      </c>
      <c r="M33" s="456">
        <f>IF(OR('Parte Estrategica'!AB33=0,'Parte Estrategica'!AB33=""),0,IF(VLOOKUP($A33,'Matriz de Referencia'!$B$2:$CO$584,34,FALSE)=0,0,"Digite"))</f>
        <v>0</v>
      </c>
      <c r="N33" s="456">
        <f>IF(OR('Parte Estrategica'!AB33=0,'Parte Estrategica'!AB33=""),0,IF(VLOOKUP($A33,'Matriz de Referencia'!$B$2:$CO$584,35,FALSE)=0,0,"Digite"))</f>
        <v>0</v>
      </c>
      <c r="O33" s="456">
        <f>IF(OR('Parte Estrategica'!AB33=0,'Parte Estrategica'!AB33=""),0,IF(VLOOKUP($A33,'Matriz de Referencia'!$B$2:$CO$584,36,FALSE)=0,0,"Digite"))</f>
        <v>0</v>
      </c>
      <c r="P33" s="457">
        <f t="shared" si="1"/>
        <v>0</v>
      </c>
      <c r="Q33" s="457">
        <f t="shared" si="2"/>
        <v>0</v>
      </c>
      <c r="R33" s="455">
        <f>IF(OR('Parte Estrategica'!AC33=0,'Parte Estrategica'!AC33=""),0,IF(VLOOKUP($A33,'Matriz de Referencia'!$B$2:$CO$584,25,FALSE)=0,0,"Digite"))</f>
        <v>0</v>
      </c>
      <c r="S33" s="456">
        <f>IF(OR('Parte Estrategica'!AC33=0,'Parte Estrategica'!AC33=""),0,IF(VLOOKUP($A33,'Matriz de Referencia'!$B$2:$CO$584,26,FALSE)=0,0,"Digite"))</f>
        <v>0</v>
      </c>
      <c r="T33" s="456">
        <f>IF(OR('Parte Estrategica'!AC33=0,'Parte Estrategica'!AC33=""),0,IF(VLOOKUP($A33,'Matriz de Referencia'!$B$2:$CO$584,27,FALSE)=0,0,"Digite"))</f>
        <v>0</v>
      </c>
      <c r="U33" s="456">
        <f>IF(OR('Parte Estrategica'!AC33=0,'Parte Estrategica'!AC33=""),0,IF(VLOOKUP($A33,'Matriz de Referencia'!$B$2:$CO$584,28,FALSE)=0,0,"Digite"))</f>
        <v>0</v>
      </c>
      <c r="V33" s="456">
        <f>IF(OR('Parte Estrategica'!AC33=0,'Parte Estrategica'!AC33=""),0,IF(VLOOKUP($A33,'Matriz de Referencia'!$B$2:$CO$584,29,FALSE)=0,0,"Digite"))</f>
        <v>0</v>
      </c>
      <c r="W33" s="456">
        <f>IF(OR('Parte Estrategica'!AC33=0,'Parte Estrategica'!AC33=""),0,IF(VLOOKUP($A33,'Matriz de Referencia'!$B$2:$CO$584,30,FALSE)=0,0,"Digite"))</f>
        <v>0</v>
      </c>
      <c r="X33" s="456">
        <f>IF(OR('Parte Estrategica'!AC33=0,'Parte Estrategica'!AC33=""),0,IF(VLOOKUP($A33,'Matriz de Referencia'!$B$2:$CO$584,31,FALSE)=0,0,"Digite"))</f>
        <v>0</v>
      </c>
      <c r="Y33" s="456">
        <f>IF(OR('Parte Estrategica'!AC33=0,'Parte Estrategica'!AC33=""),0,IF(VLOOKUP($A33,'Matriz de Referencia'!$B$2:$CO$584,32,FALSE)=0,0,"Digite"))</f>
        <v>0</v>
      </c>
      <c r="Z33" s="457">
        <f t="shared" si="3"/>
        <v>0</v>
      </c>
      <c r="AA33" s="456">
        <f>IF(OR('Parte Estrategica'!AC33=0,'Parte Estrategica'!AC33=""),0,IF(VLOOKUP($A33,'Matriz de Referencia'!$B$2:$CO$584,34,FALSE)=0,0,"Digite"))</f>
        <v>0</v>
      </c>
      <c r="AB33" s="456">
        <f>IF(OR('Parte Estrategica'!AC33=0,'Parte Estrategica'!AC33=""),0,IF(VLOOKUP($A33,'Matriz de Referencia'!$B$2:$CO$584,35,FALSE)=0,0,"Digite"))</f>
        <v>0</v>
      </c>
      <c r="AC33" s="456">
        <f>IF(OR('Parte Estrategica'!AC33=0,'Parte Estrategica'!AC33=""),0,IF(VLOOKUP($A33,'Matriz de Referencia'!$B$2:$CO$584,36,FALSE)=0,0,"Digite"))</f>
        <v>0</v>
      </c>
      <c r="AD33" s="457">
        <f t="shared" si="4"/>
        <v>0</v>
      </c>
      <c r="AE33" s="457">
        <f t="shared" si="5"/>
        <v>0</v>
      </c>
      <c r="AF33" s="455">
        <f>IF(OR('Parte Estrategica'!AD33=0,'Parte Estrategica'!AD33=""),0,IF(VLOOKUP($A33,'Matriz de Referencia'!$B$2:$CO$584,25,FALSE)=0,0,"Digite"))</f>
        <v>0</v>
      </c>
      <c r="AG33" s="456">
        <f>IF(OR('Parte Estrategica'!AD33=0,'Parte Estrategica'!AD33=""),0,IF(VLOOKUP($A33,'Matriz de Referencia'!$B$2:$CO$584,26,FALSE)=0,0,"Digite"))</f>
        <v>0</v>
      </c>
      <c r="AH33" s="456">
        <f>IF(OR('Parte Estrategica'!AD33=0,'Parte Estrategica'!AD33=""),0,IF(VLOOKUP($A33,'Matriz de Referencia'!$B$2:$CO$584,27,FALSE)=0,0,"Digite"))</f>
        <v>0</v>
      </c>
      <c r="AI33" s="456">
        <f>IF(OR('Parte Estrategica'!AD33=0,'Parte Estrategica'!AD33=""),0,IF(VLOOKUP($A33,'Matriz de Referencia'!$B$2:$CO$584,28,FALSE)=0,0,"Digite"))</f>
        <v>0</v>
      </c>
      <c r="AJ33" s="456">
        <f>IF(OR('Parte Estrategica'!AD33=0,'Parte Estrategica'!AD33=""),0,IF(VLOOKUP($A33,'Matriz de Referencia'!$B$2:$CO$584,29,FALSE)=0,0,"Digite"))</f>
        <v>0</v>
      </c>
      <c r="AK33" s="456">
        <f>IF(OR('Parte Estrategica'!AD33=0,'Parte Estrategica'!AD33=""),0,IF(VLOOKUP($A33,'Matriz de Referencia'!$B$2:$CO$584,30,FALSE)=0,0,"Digite"))</f>
        <v>0</v>
      </c>
      <c r="AL33" s="456">
        <f>IF(OR('Parte Estrategica'!AD33=0,'Parte Estrategica'!AD33=""),0,IF(VLOOKUP($A33,'Matriz de Referencia'!$B$2:$CO$584,31,FALSE)=0,0,"Digite"))</f>
        <v>0</v>
      </c>
      <c r="AM33" s="456">
        <f>IF(OR('Parte Estrategica'!AD33=0,'Parte Estrategica'!AD33=""),0,IF(VLOOKUP($A33,'Matriz de Referencia'!$B$2:$CO$584,32,FALSE)=0,0,"Digite"))</f>
        <v>0</v>
      </c>
      <c r="AN33" s="457">
        <f t="shared" si="6"/>
        <v>0</v>
      </c>
      <c r="AO33" s="456">
        <f>IF(OR('Parte Estrategica'!AD33=0,'Parte Estrategica'!AD33=""),0,IF(VLOOKUP($A33,'Matriz de Referencia'!$B$2:$CO$584,34,FALSE)=0,0,"Digite"))</f>
        <v>0</v>
      </c>
      <c r="AP33" s="456">
        <f>IF(OR('Parte Estrategica'!AD33=0,'Parte Estrategica'!AD33=""),0,IF(VLOOKUP($A33,'Matriz de Referencia'!$B$2:$CO$584,35,FALSE)=0,0,"Digite"))</f>
        <v>0</v>
      </c>
      <c r="AQ33" s="456">
        <f>IF(OR('Parte Estrategica'!AD33=0,'Parte Estrategica'!AD33=""),0,IF(VLOOKUP($A33,'Matriz de Referencia'!$B$2:$CO$584,36,FALSE)=0,0,"Digite"))</f>
        <v>0</v>
      </c>
      <c r="AR33" s="457">
        <f t="shared" si="7"/>
        <v>0</v>
      </c>
      <c r="AS33" s="457">
        <f t="shared" si="8"/>
        <v>0</v>
      </c>
      <c r="AT33" s="455">
        <f>IF(OR('Parte Estrategica'!AE33=0,'Parte Estrategica'!AE33=""),0,IF(VLOOKUP($A33,'Matriz de Referencia'!$B$2:$CO$584,25,FALSE)=0,0,"Digite"))</f>
        <v>0</v>
      </c>
      <c r="AU33" s="456">
        <f>IF(OR('Parte Estrategica'!AE33=0,'Parte Estrategica'!AE33=""),0,IF(VLOOKUP($A33,'Matriz de Referencia'!$B$2:$CO$584,26,FALSE)=0,0,"Digite"))</f>
        <v>0</v>
      </c>
      <c r="AV33" s="456">
        <f>IF(OR('Parte Estrategica'!AE33=0,'Parte Estrategica'!AE33=""),0,IF(VLOOKUP($A33,'Matriz de Referencia'!$B$2:$CO$584,27,FALSE)=0,0,"Digite"))</f>
        <v>0</v>
      </c>
      <c r="AW33" s="456">
        <f>IF(OR('Parte Estrategica'!AE33=0,'Parte Estrategica'!AE33=""),0,IF(VLOOKUP($A33,'Matriz de Referencia'!$B$2:$CO$584,28,FALSE)=0,0,"Digite"))</f>
        <v>0</v>
      </c>
      <c r="AX33" s="456">
        <f>IF(OR('Parte Estrategica'!AE33=0,'Parte Estrategica'!AE33=""),0,IF(VLOOKUP($A33,'Matriz de Referencia'!$B$2:$CO$584,29,FALSE)=0,0,"Digite"))</f>
        <v>0</v>
      </c>
      <c r="AY33" s="456">
        <f>IF(OR('Parte Estrategica'!AE33=0,'Parte Estrategica'!AE33=""),0,IF(VLOOKUP($A33,'Matriz de Referencia'!$B$2:$CO$584,30,FALSE)=0,0,"Digite"))</f>
        <v>0</v>
      </c>
      <c r="AZ33" s="456">
        <f>IF(OR('Parte Estrategica'!AE33=0,'Parte Estrategica'!AE33=""),0,IF(VLOOKUP($A33,'Matriz de Referencia'!$B$2:$CO$584,31,FALSE)=0,0,"Digite"))</f>
        <v>0</v>
      </c>
      <c r="BA33" s="456">
        <f>IF(OR('Parte Estrategica'!AE33=0,'Parte Estrategica'!AE33=""),0,IF(VLOOKUP($A33,'Matriz de Referencia'!$B$2:$CO$584,32,FALSE)=0,0,"Digite"))</f>
        <v>0</v>
      </c>
      <c r="BB33" s="457">
        <f t="shared" si="9"/>
        <v>0</v>
      </c>
      <c r="BC33" s="456">
        <f>IF(OR('Parte Estrategica'!AE33=0,'Parte Estrategica'!AE33=""),0,IF(VLOOKUP($A33,'Matriz de Referencia'!$B$2:$CO$584,34,FALSE)=0,0,"Digite"))</f>
        <v>0</v>
      </c>
      <c r="BD33" s="456">
        <f>IF(OR('Parte Estrategica'!AE33=0,'Parte Estrategica'!AE33=""),0,IF(VLOOKUP($A33,'Matriz de Referencia'!$B$2:$CO$584,35,FALSE)=0,0,"Digite"))</f>
        <v>0</v>
      </c>
      <c r="BE33" s="456">
        <f>IF(OR('Parte Estrategica'!AE33=0,'Parte Estrategica'!AE33=""),0,IF(VLOOKUP($A33,'Matriz de Referencia'!$B$2:$CO$584,36,FALSE)=0,0,"Digite"))</f>
        <v>0</v>
      </c>
      <c r="BF33" s="457">
        <f t="shared" si="10"/>
        <v>0</v>
      </c>
      <c r="BG33" s="457">
        <f t="shared" si="11"/>
        <v>0</v>
      </c>
      <c r="BH33" s="457">
        <f t="shared" si="12"/>
        <v>0</v>
      </c>
      <c r="BI33" s="101" t="str">
        <f>IFERROR(IF(BH33=0,"",IF(VLOOKUP($A33,'Matriz de Referencia'!$B$2:$CO$584,'Matriz de Referencia'!AM$1,FALSE)=BH33,"Techos ok, cotinue","Debe revisar el valor programado")),"")</f>
        <v/>
      </c>
      <c r="BJ33" s="453">
        <f>IF(OR('Parte Estrategica'!AH33=0,'Parte Estrategica'!AH33=""),0,IF(VLOOKUP($A33,'Matriz de Referencia'!$B$2:$CO$584,39,FALSE)=0,0,"Digite"))</f>
        <v>0</v>
      </c>
      <c r="BK33" s="454">
        <f>IF(OR('Parte Estrategica'!AH33=0,'Parte Estrategica'!AH33=""),0,IF(VLOOKUP($A33,'Matriz de Referencia'!$B$2:$CO$584,40,FALSE)=0,0,"Digite"))</f>
        <v>0</v>
      </c>
      <c r="BL33" s="454">
        <f>IF(OR('Parte Estrategica'!AH33=0,'Parte Estrategica'!AH33=""),0,IF(VLOOKUP($A33,'Matriz de Referencia'!$B$2:$CO$584,41,FALSE)=0,0,"Digite"))</f>
        <v>0</v>
      </c>
      <c r="BM33" s="454">
        <f>IF(OR('Parte Estrategica'!AH33=0,'Parte Estrategica'!AH33=""),0,IF(VLOOKUP($A33,'Matriz de Referencia'!$B$2:$CO$584,42,FALSE)=0,0,"Digite"))</f>
        <v>0</v>
      </c>
      <c r="BN33" s="454">
        <f>IF(OR('Parte Estrategica'!AH33=0,'Parte Estrategica'!AH33=""),0,IF(VLOOKUP($A33,'Matriz de Referencia'!$B$2:$CO$584,43,FALSE)=0,0,"Digite"))</f>
        <v>0</v>
      </c>
      <c r="BO33" s="454">
        <f>IF(OR('Parte Estrategica'!AH33=0,'Parte Estrategica'!AH33=""),0,IF(VLOOKUP($A33,'Matriz de Referencia'!$B$2:$CO$584,44,FALSE)=0,0,"Digite"))</f>
        <v>0</v>
      </c>
      <c r="BP33" s="454">
        <f>IF(OR('Parte Estrategica'!AH33=0,'Parte Estrategica'!AH33=""),0,IF(VLOOKUP($A33,'Matriz de Referencia'!$B$2:$CO$584,45,FALSE)=0,0,"Digite"))</f>
        <v>0</v>
      </c>
      <c r="BQ33" s="454">
        <f>IF(OR('Parte Estrategica'!AH33=0,'Parte Estrategica'!AH33=""),0,IF(VLOOKUP($A33,'Matriz de Referencia'!$B$2:$CO$584,46,FALSE)=0,0,"Digite"))</f>
        <v>0</v>
      </c>
      <c r="BR33" s="382">
        <f t="shared" si="13"/>
        <v>0</v>
      </c>
      <c r="BS33" s="454">
        <f>IF(OR('Parte Estrategica'!CL33=0,'Parte Estrategica'!CL33=""),0,IF(VLOOKUP($A33,'Matriz de Referencia'!$B$2:$CO$584,48,FALSE)=0,0,"Digite"))</f>
        <v>0</v>
      </c>
      <c r="BT33" s="454">
        <f>IF(OR('Parte Estrategica'!CL33=0,'Parte Estrategica'!CL33=""),0,IF(VLOOKUP($A33,'Matriz de Referencia'!$B$2:$CO$584,49,FALSE)=0,0,"Digite"))</f>
        <v>0</v>
      </c>
      <c r="BU33" s="454">
        <f>IF(OR('Parte Estrategica'!CL33=0,'Parte Estrategica'!CL33=""),0,IF(VLOOKUP($A33,'Matriz de Referencia'!$B$2:$CO$584,50,FALSE)=0,0,"Digite"))</f>
        <v>0</v>
      </c>
      <c r="BV33" s="382">
        <f t="shared" si="14"/>
        <v>0</v>
      </c>
      <c r="BW33" s="382">
        <f t="shared" si="15"/>
        <v>0</v>
      </c>
      <c r="BX33" s="453">
        <f>IF(OR('Parte Estrategica'!AI33=0,'Parte Estrategica'!AI33=""),0,IF(VLOOKUP($A33,'Matriz de Referencia'!$B$2:$CO$584,39,FALSE)=0,0,"Digite"))</f>
        <v>0</v>
      </c>
      <c r="BY33" s="454">
        <f>IF(OR('Parte Estrategica'!AI33=0,'Parte Estrategica'!AI33=""),0,IF(VLOOKUP($A33,'Matriz de Referencia'!$B$2:$CO$584,40,FALSE)=0,0,"Digite"))</f>
        <v>0</v>
      </c>
      <c r="BZ33" s="454">
        <f>IF(OR('Parte Estrategica'!AI33=0,'Parte Estrategica'!AI33=""),0,IF(VLOOKUP($A33,'Matriz de Referencia'!$B$2:$CO$584,41,FALSE)=0,0,"Digite"))</f>
        <v>0</v>
      </c>
      <c r="CA33" s="454">
        <f>IF(OR('Parte Estrategica'!AI33=0,'Parte Estrategica'!AI33=""),0,IF(VLOOKUP($A33,'Matriz de Referencia'!$B$2:$CO$584,42,FALSE)=0,0,"Digite"))</f>
        <v>0</v>
      </c>
      <c r="CB33" s="454">
        <f>IF(OR('Parte Estrategica'!AI33=0,'Parte Estrategica'!AI33=""),0,IF(VLOOKUP($A33,'Matriz de Referencia'!$B$2:$CO$584,43,FALSE)=0,0,"Digite"))</f>
        <v>0</v>
      </c>
      <c r="CC33" s="454">
        <f>IF(OR('Parte Estrategica'!AI33=0,'Parte Estrategica'!AI33=""),0,IF(VLOOKUP($A33,'Matriz de Referencia'!$B$2:$CO$584,44,FALSE)=0,0,"Digite"))</f>
        <v>0</v>
      </c>
      <c r="CD33" s="454">
        <f>IF(OR('Parte Estrategica'!AI33=0,'Parte Estrategica'!AI33=""),0,IF(VLOOKUP($A33,'Matriz de Referencia'!$B$2:$CO$584,45,FALSE)=0,0,"Digite"))</f>
        <v>0</v>
      </c>
      <c r="CE33" s="454">
        <f>IF(OR('Parte Estrategica'!AI33=0,'Parte Estrategica'!AI33=""),0,IF(VLOOKUP($A33,'Matriz de Referencia'!$B$2:$CO$584,46,FALSE)=0,0,"Digite"))</f>
        <v>0</v>
      </c>
      <c r="CF33" s="382">
        <f t="shared" si="16"/>
        <v>0</v>
      </c>
      <c r="CG33" s="454">
        <f>IF(OR('Parte Estrategica'!AI33=0,'Parte Estrategica'!AI33=""),0,IF(VLOOKUP($A33,'Matriz de Referencia'!$B$2:$CO$584,48,FALSE)=0,0,"Digite"))</f>
        <v>0</v>
      </c>
      <c r="CH33" s="454">
        <f>IF(OR('Parte Estrategica'!AI33=0,'Parte Estrategica'!AI33=""),0,IF(VLOOKUP($A33,'Matriz de Referencia'!$B$2:$CO$584,49,FALSE)=0,0,"Digite"))</f>
        <v>0</v>
      </c>
      <c r="CI33" s="454">
        <f>IF(OR('Parte Estrategica'!AI33=0,'Parte Estrategica'!AI33=""),0,IF(VLOOKUP($A33,'Matriz de Referencia'!$B$2:$CO$584,50,FALSE)=0,0,"Digite"))</f>
        <v>0</v>
      </c>
      <c r="CJ33" s="382">
        <f t="shared" si="17"/>
        <v>0</v>
      </c>
      <c r="CK33" s="382">
        <f t="shared" si="18"/>
        <v>0</v>
      </c>
      <c r="CL33" s="453">
        <f>IF(OR('Parte Estrategica'!AJ33=0,'Parte Estrategica'!AJ33=""),0,IF(VLOOKUP($A33,'Matriz de Referencia'!$B$2:$CO$584,39,FALSE)=0,0,"Digite"))</f>
        <v>0</v>
      </c>
      <c r="CM33" s="454">
        <f>IF(OR('Parte Estrategica'!AJ33=0,'Parte Estrategica'!AJ33=""),0,IF(VLOOKUP($A33,'Matriz de Referencia'!$B$2:$CO$584,40,FALSE)=0,0,"Digite"))</f>
        <v>0</v>
      </c>
      <c r="CN33" s="454">
        <f>IF(OR('Parte Estrategica'!AJ33=0,'Parte Estrategica'!AJ33=""),0,IF(VLOOKUP($A33,'Matriz de Referencia'!$B$2:$CO$584,41,FALSE)=0,0,"Digite"))</f>
        <v>0</v>
      </c>
      <c r="CO33" s="454">
        <f>IF(OR('Parte Estrategica'!AJ33=0,'Parte Estrategica'!AJ33=""),0,IF(VLOOKUP($A33,'Matriz de Referencia'!$B$2:$CO$584,42,FALSE)=0,0,"Digite"))</f>
        <v>0</v>
      </c>
      <c r="CP33" s="454">
        <f>IF(OR('Parte Estrategica'!AJ33=0,'Parte Estrategica'!AJ33=""),0,IF(VLOOKUP($A33,'Matriz de Referencia'!$B$2:$CO$584,43,FALSE)=0,0,"Digite"))</f>
        <v>0</v>
      </c>
      <c r="CQ33" s="454">
        <f>IF(OR('Parte Estrategica'!AJ33=0,'Parte Estrategica'!AJ33=""),0,IF(VLOOKUP($A33,'Matriz de Referencia'!$B$2:$CO$584,44,FALSE)=0,0,"Digite"))</f>
        <v>0</v>
      </c>
      <c r="CR33" s="454">
        <f>IF(OR('Parte Estrategica'!AJ33=0,'Parte Estrategica'!AJ33=""),0,IF(VLOOKUP($A33,'Matriz de Referencia'!$B$2:$CO$584,45,FALSE)=0,0,"Digite"))</f>
        <v>0</v>
      </c>
      <c r="CS33" s="454">
        <f>IF(OR('Parte Estrategica'!AJ33=0,'Parte Estrategica'!AJ33=""),0,IF(VLOOKUP($A33,'Matriz de Referencia'!$B$2:$CO$584,46,FALSE)=0,0,"Digite"))</f>
        <v>0</v>
      </c>
      <c r="CT33" s="382">
        <f t="shared" si="19"/>
        <v>0</v>
      </c>
      <c r="CU33" s="454">
        <f>IF(OR('Parte Estrategica'!AJ33=0,'Parte Estrategica'!AJ33=""),0,IF(VLOOKUP($A33,'Matriz de Referencia'!$B$2:$CO$584,48,FALSE)=0,0,"Digite"))</f>
        <v>0</v>
      </c>
      <c r="CV33" s="454">
        <f>IF(OR('Parte Estrategica'!AJ33=0,'Parte Estrategica'!AJ33=""),0,IF(VLOOKUP($A33,'Matriz de Referencia'!$B$2:$CO$584,49,FALSE)=0,0,"Digite"))</f>
        <v>0</v>
      </c>
      <c r="CW33" s="454">
        <f>IF(OR('Parte Estrategica'!AJ33=0,'Parte Estrategica'!AJ33=""),0,IF(VLOOKUP($A33,'Matriz de Referencia'!$B$2:$CO$584,50,FALSE)=0,0,"Digite"))</f>
        <v>0</v>
      </c>
      <c r="CX33" s="382">
        <f t="shared" si="20"/>
        <v>0</v>
      </c>
      <c r="CY33" s="382">
        <f t="shared" si="21"/>
        <v>0</v>
      </c>
      <c r="CZ33" s="453">
        <f>IF(OR('Parte Estrategica'!AK33=0,'Parte Estrategica'!AK33=""),0,IF(VLOOKUP($A33,'Matriz de Referencia'!$B$2:$CO$584,39,FALSE)=0,0,"Digite"))</f>
        <v>0</v>
      </c>
      <c r="DA33" s="454">
        <f>IF(OR('Parte Estrategica'!AK33=0,'Parte Estrategica'!AK33=""),0,IF(VLOOKUP($A33,'Matriz de Referencia'!$B$2:$CO$584,40,FALSE)=0,0,"Digite"))</f>
        <v>0</v>
      </c>
      <c r="DB33" s="454">
        <f>IF(OR('Parte Estrategica'!AK33=0,'Parte Estrategica'!AK33=""),0,IF(VLOOKUP($A33,'Matriz de Referencia'!$B$2:$CO$584,41,FALSE)=0,0,"Digite"))</f>
        <v>0</v>
      </c>
      <c r="DC33" s="454">
        <f>IF(OR('Parte Estrategica'!AK33=0,'Parte Estrategica'!AK33=""),0,IF(VLOOKUP($A33,'Matriz de Referencia'!$B$2:$CO$584,42,FALSE)=0,0,"Digite"))</f>
        <v>0</v>
      </c>
      <c r="DD33" s="454">
        <f>IF(OR('Parte Estrategica'!AK33=0,'Parte Estrategica'!AK33=""),0,IF(VLOOKUP($A33,'Matriz de Referencia'!$B$2:$CO$584,43,FALSE)=0,0,"Digite"))</f>
        <v>0</v>
      </c>
      <c r="DE33" s="454">
        <f>IF(OR('Parte Estrategica'!AK33=0,'Parte Estrategica'!AK33=""),0,IF(VLOOKUP($A33,'Matriz de Referencia'!$B$2:$CO$584,44,FALSE)=0,0,"Digite"))</f>
        <v>0</v>
      </c>
      <c r="DF33" s="454">
        <f>IF(OR('Parte Estrategica'!AK33=0,'Parte Estrategica'!AK33=""),0,IF(VLOOKUP($A33,'Matriz de Referencia'!$B$2:$CO$584,45,FALSE)=0,0,"Digite"))</f>
        <v>0</v>
      </c>
      <c r="DG33" s="454">
        <f>IF(OR('Parte Estrategica'!AK33=0,'Parte Estrategica'!AK33=""),0,IF(VLOOKUP($A33,'Matriz de Referencia'!$B$2:$CO$584,46,FALSE)=0,0,"Digite"))</f>
        <v>0</v>
      </c>
      <c r="DH33" s="382">
        <f t="shared" si="22"/>
        <v>0</v>
      </c>
      <c r="DI33" s="454">
        <f>IF(OR('Parte Estrategica'!AK33=0,'Parte Estrategica'!AK33=""),0,IF(VLOOKUP($A33,'Matriz de Referencia'!$B$2:$CO$584,48,FALSE)=0,0,"Digite"))</f>
        <v>0</v>
      </c>
      <c r="DJ33" s="454">
        <f>IF(OR('Parte Estrategica'!AK33=0,'Parte Estrategica'!AK33=""),0,IF(VLOOKUP($A33,'Matriz de Referencia'!$B$2:$CO$584,49,FALSE)=0,0,"Digite"))</f>
        <v>0</v>
      </c>
      <c r="DK33" s="454">
        <f>IF(OR('Parte Estrategica'!AK33=0,'Parte Estrategica'!AK33=""),0,IF(VLOOKUP($A33,'Matriz de Referencia'!$B$2:$CO$584,50,FALSE)=0,0,"Digite"))</f>
        <v>0</v>
      </c>
      <c r="DL33" s="382">
        <f t="shared" si="23"/>
        <v>0</v>
      </c>
      <c r="DM33" s="382">
        <f t="shared" si="24"/>
        <v>0</v>
      </c>
      <c r="DN33" s="382">
        <f t="shared" si="25"/>
        <v>0</v>
      </c>
      <c r="DO33" s="101" t="str">
        <f>IFERROR(IF(DN33=0,"",IF(VLOOKUP($A33,'Matriz de Referencia'!$B$2:$CO$584,52,FALSE)=DN33,"Techos ok, cotinue","Debe revisar el valor programado")),"")</f>
        <v/>
      </c>
      <c r="DP33" s="453">
        <f>IF(OR('Parte Estrategica'!AN33=0,'Parte Estrategica'!AN33=""),0,IF(VLOOKUP($A33,'Matriz de Referencia'!$B$2:$CO$584,53,FALSE)=0,0,"Digite"))</f>
        <v>0</v>
      </c>
      <c r="DQ33" s="454">
        <f>IF(OR('Parte Estrategica'!AN33=0,'Parte Estrategica'!AN33=""),0,IF(VLOOKUP($A33,'Matriz de Referencia'!$B$2:$CO$584,54,FALSE)=0,0,"Digite"))</f>
        <v>0</v>
      </c>
      <c r="DR33" s="454">
        <f>IF(OR('Parte Estrategica'!AN33=0,'Parte Estrategica'!AN33=""),0,IF(VLOOKUP($A33,'Matriz de Referencia'!$B$2:$CO$584,55,FALSE)=0,0,"Digite"))</f>
        <v>0</v>
      </c>
      <c r="DS33" s="454">
        <f>IF(OR('Parte Estrategica'!AN33=0,'Parte Estrategica'!AN33=""),0,IF(VLOOKUP($A33,'Matriz de Referencia'!$B$2:$CO$584,56,FALSE)=0,0,"Digite"))</f>
        <v>0</v>
      </c>
      <c r="DT33" s="454">
        <f>IF(OR('Parte Estrategica'!AN33=0,'Parte Estrategica'!AN33=""),0,IF(VLOOKUP($A33,'Matriz de Referencia'!$B$2:$CO$584,57,FALSE)=0,0,"Digite"))</f>
        <v>0</v>
      </c>
      <c r="DU33" s="454">
        <f>IF(OR('Parte Estrategica'!AN33=0,'Parte Estrategica'!AN33=""),0,IF(VLOOKUP($A33,'Matriz de Referencia'!$B$2:$CO$584,58,FALSE)=0,0,"Digite"))</f>
        <v>0</v>
      </c>
      <c r="DV33" s="454">
        <f>IF(OR('Parte Estrategica'!AN33=0,'Parte Estrategica'!AN33=""),0,IF(VLOOKUP($A33,'Matriz de Referencia'!$B$2:$CO$584,59,FALSE)=0,0,"Digite"))</f>
        <v>0</v>
      </c>
      <c r="DW33" s="454">
        <f>IF(OR('Parte Estrategica'!AN33=0,'Parte Estrategica'!AN33=""),0,IF(VLOOKUP($A33,'Matriz de Referencia'!$B$2:$CO$584,60,FALSE)=0,0,"Digite"))</f>
        <v>0</v>
      </c>
      <c r="DX33" s="382">
        <f t="shared" si="26"/>
        <v>0</v>
      </c>
      <c r="DY33" s="454">
        <f>IF(OR('Parte Estrategica'!AN33=0,'Parte Estrategica'!AN33=""),0,IF(VLOOKUP($A33,'Matriz de Referencia'!$B$2:$CO$584,62,FALSE)=0,0,"Digite"))</f>
        <v>0</v>
      </c>
      <c r="DZ33" s="454">
        <f>IF(OR('Parte Estrategica'!AN33=0,'Parte Estrategica'!AN33=""),0,IF(VLOOKUP($A33,'Matriz de Referencia'!$B$2:$CO$584,63,FALSE)=0,0,"Digite"))</f>
        <v>0</v>
      </c>
      <c r="EA33" s="454" t="str">
        <f>IF(OR('Parte Estrategica'!AN33=0,'Parte Estrategica'!AN33=""),"",IF(VLOOKUP($A33,'Matriz de Referencia'!$B$2:$CO$584,64,FALSE)=0,"","Digite"))</f>
        <v/>
      </c>
      <c r="EB33" s="382">
        <f t="shared" si="27"/>
        <v>0</v>
      </c>
      <c r="EC33" s="382">
        <f t="shared" si="28"/>
        <v>0</v>
      </c>
      <c r="ED33" s="453">
        <f>IF(OR('Parte Estrategica'!AO33=0,'Parte Estrategica'!AO33=""),0,IF(VLOOKUP($A33,'Matriz de Referencia'!$B$2:$CO$584,53,FALSE)=0,0,"Digite"))</f>
        <v>0</v>
      </c>
      <c r="EE33" s="454">
        <f>IF(OR('Parte Estrategica'!AO33=0,'Parte Estrategica'!AO33=""),0,IF(VLOOKUP($A33,'Matriz de Referencia'!$B$2:$CO$584,54,FALSE)=0,0,"Digite"))</f>
        <v>0</v>
      </c>
      <c r="EF33" s="454">
        <f>IF(OR('Parte Estrategica'!AO33=0,'Parte Estrategica'!AO33=""),0,IF(VLOOKUP($A33,'Matriz de Referencia'!$B$2:$CO$584,55,FALSE)=0,0,"Digite"))</f>
        <v>0</v>
      </c>
      <c r="EG33" s="454">
        <f>IF(OR('Parte Estrategica'!AO33=0,'Parte Estrategica'!AO33=""),0,IF(VLOOKUP($A33,'Matriz de Referencia'!$B$2:$CO$584,56,FALSE)=0,0,"Digite"))</f>
        <v>0</v>
      </c>
      <c r="EH33" s="454">
        <f>IF(OR('Parte Estrategica'!AO33=0,'Parte Estrategica'!AO33=""),0,IF(VLOOKUP($A33,'Matriz de Referencia'!$B$2:$CO$584,57,FALSE)=0,0,"Digite"))</f>
        <v>0</v>
      </c>
      <c r="EI33" s="454">
        <f>IF(OR('Parte Estrategica'!AO33=0,'Parte Estrategica'!AO33=""),0,IF(VLOOKUP($A33,'Matriz de Referencia'!$B$2:$CO$584,58,FALSE)=0,0,"Digite"))</f>
        <v>0</v>
      </c>
      <c r="EJ33" s="454">
        <f>IF(OR('Parte Estrategica'!AO33=0,'Parte Estrategica'!AO33=""),0,IF(VLOOKUP($A33,'Matriz de Referencia'!$B$2:$CO$584,59,FALSE)=0,0,"Digite"))</f>
        <v>0</v>
      </c>
      <c r="EK33" s="454">
        <f>IF(OR('Parte Estrategica'!AO33=0,'Parte Estrategica'!AO33=""),0,IF(VLOOKUP($A33,'Matriz de Referencia'!$B$2:$CO$584,60,FALSE)=0,0,"Digite"))</f>
        <v>0</v>
      </c>
      <c r="EL33" s="382">
        <f t="shared" si="29"/>
        <v>0</v>
      </c>
      <c r="EM33" s="454">
        <f>IF(OR('Parte Estrategica'!AO33=0,'Parte Estrategica'!AO33=""),0,IF(VLOOKUP($A33,'Matriz de Referencia'!$B$2:$CO$584,62,FALSE)=0,0,"Digite"))</f>
        <v>0</v>
      </c>
      <c r="EN33" s="454">
        <f>IF(OR('Parte Estrategica'!AO33=0,'Parte Estrategica'!AO33=""),0,IF(VLOOKUP($A33,'Matriz de Referencia'!$B$2:$CO$584,63,FALSE)=0,0,"Digite"))</f>
        <v>0</v>
      </c>
      <c r="EO33" s="454">
        <f>IF(OR('Parte Estrategica'!AO33=0,'Parte Estrategica'!AO33=""),0,IF(VLOOKUP($A33,'Matriz de Referencia'!$B$2:$CO$584,64,FALSE)=0,0,"Digite"))</f>
        <v>0</v>
      </c>
      <c r="EP33" s="382">
        <f t="shared" si="30"/>
        <v>0</v>
      </c>
      <c r="EQ33" s="382">
        <f t="shared" si="31"/>
        <v>0</v>
      </c>
      <c r="ER33" s="453">
        <f>IF(OR('Parte Estrategica'!AP33=0,'Parte Estrategica'!AP33=""),0,IF(VLOOKUP($A33,'Matriz de Referencia'!$B$2:$CO$584,53,FALSE)=0,0,"Digite"))</f>
        <v>0</v>
      </c>
      <c r="ES33" s="454">
        <f>IF(OR('Parte Estrategica'!AP33=0,'Parte Estrategica'!AP33=""),0,IF(VLOOKUP($A33,'Matriz de Referencia'!$B$2:$CO$584,54,FALSE)=0,0,"Digite"))</f>
        <v>0</v>
      </c>
      <c r="ET33" s="454">
        <f>IF(OR('Parte Estrategica'!AP33=0,'Parte Estrategica'!AP33=""),0,IF(VLOOKUP($A33,'Matriz de Referencia'!$B$2:$CO$584,55,FALSE)=0,0,"Digite"))</f>
        <v>0</v>
      </c>
      <c r="EU33" s="454">
        <f>IF(OR('Parte Estrategica'!AP33=0,'Parte Estrategica'!AP33=""),0,IF(VLOOKUP($A33,'Matriz de Referencia'!$B$2:$CO$584,56,FALSE)=0,0,"Digite"))</f>
        <v>0</v>
      </c>
      <c r="EV33" s="454">
        <f>IF(OR('Parte Estrategica'!AP33=0,'Parte Estrategica'!AP33=""),0,IF(VLOOKUP($A33,'Matriz de Referencia'!$B$2:$CO$584,57,FALSE)=0,0,"Digite"))</f>
        <v>0</v>
      </c>
      <c r="EW33" s="454">
        <f>IF(OR('Parte Estrategica'!AP33=0,'Parte Estrategica'!AP33=""),0,IF(VLOOKUP($A33,'Matriz de Referencia'!$B$2:$CO$584,58,FALSE)=0,0,"Digite"))</f>
        <v>0</v>
      </c>
      <c r="EX33" s="454">
        <f>IF(OR('Parte Estrategica'!AP33=0,'Parte Estrategica'!AP33=""),0,IF(VLOOKUP($A33,'Matriz de Referencia'!$B$2:$CO$584,59,FALSE)=0,0,"Digite"))</f>
        <v>0</v>
      </c>
      <c r="EY33" s="454">
        <f>IF(OR('Parte Estrategica'!AP33=0,'Parte Estrategica'!AP33=""),0,IF(VLOOKUP($A33,'Matriz de Referencia'!$B$2:$CO$584,60,FALSE)=0,0,"Digite"))</f>
        <v>0</v>
      </c>
      <c r="EZ33" s="382">
        <f t="shared" si="32"/>
        <v>0</v>
      </c>
      <c r="FA33" s="454">
        <f>IF(OR('Parte Estrategica'!AP33=0,'Parte Estrategica'!AP33=""),0,IF(VLOOKUP($A33,'Matriz de Referencia'!$B$2:$CO$584,62,FALSE)=0,0,"Digite"))</f>
        <v>0</v>
      </c>
      <c r="FB33" s="454">
        <f>IF(OR('Parte Estrategica'!AP33=0,'Parte Estrategica'!AP33=""),0,IF(VLOOKUP($A33,'Matriz de Referencia'!$B$2:$CO$584,63,FALSE)=0,0,"Digite"))</f>
        <v>0</v>
      </c>
      <c r="FC33" s="454">
        <f>IF(OR('Parte Estrategica'!AP33=0,'Parte Estrategica'!AP33=""),0,IF(VLOOKUP($A33,'Matriz de Referencia'!$B$2:$CO$584,64,FALSE)=0,0,"Digite"))</f>
        <v>0</v>
      </c>
      <c r="FD33" s="382">
        <f t="shared" si="33"/>
        <v>0</v>
      </c>
      <c r="FE33" s="382">
        <f t="shared" si="34"/>
        <v>0</v>
      </c>
      <c r="FF33" s="453">
        <f>IF(OR('Parte Estrategica'!AQ33=0,'Parte Estrategica'!AQ33=""),0,IF(VLOOKUP($A33,'Matriz de Referencia'!$B$2:$CO$584,53,FALSE)=0,0,"Digite"))</f>
        <v>0</v>
      </c>
      <c r="FG33" s="454">
        <f>IF(OR('Parte Estrategica'!AQ33=0,'Parte Estrategica'!AQ33=""),0,IF(VLOOKUP($A33,'Matriz de Referencia'!$B$2:$CO$584,54,FALSE)=0,0,"Digite"))</f>
        <v>0</v>
      </c>
      <c r="FH33" s="454">
        <f>IF(OR('Parte Estrategica'!AQ33=0,'Parte Estrategica'!AQ33=""),0,IF(VLOOKUP($A33,'Matriz de Referencia'!$B$2:$CO$584,55,FALSE)=0,0,"Digite"))</f>
        <v>0</v>
      </c>
      <c r="FI33" s="454">
        <f>IF(OR('Parte Estrategica'!AQ33=0,'Parte Estrategica'!AQ33=""),0,IF(VLOOKUP($A33,'Matriz de Referencia'!$B$2:$CO$584,56,FALSE)=0,0,"Digite"))</f>
        <v>0</v>
      </c>
      <c r="FJ33" s="454">
        <f>IF(OR('Parte Estrategica'!AQ33=0,'Parte Estrategica'!AQ33=""),0,IF(VLOOKUP($A33,'Matriz de Referencia'!$B$2:$CO$584,57,FALSE)=0,0,"Digite"))</f>
        <v>0</v>
      </c>
      <c r="FK33" s="454">
        <f>IF(OR('Parte Estrategica'!AQ33=0,'Parte Estrategica'!AQ33=""),0,IF(VLOOKUP($A33,'Matriz de Referencia'!$B$2:$CO$584,58,FALSE)=0,0,"Digite"))</f>
        <v>0</v>
      </c>
      <c r="FL33" s="454">
        <f>IF(OR('Parte Estrategica'!AQ33=0,'Parte Estrategica'!AQ33=""),0,IF(VLOOKUP($A33,'Matriz de Referencia'!$B$2:$CO$584,59,FALSE)=0,0,"Digite"))</f>
        <v>0</v>
      </c>
      <c r="FM33" s="454">
        <f>IF(OR('Parte Estrategica'!AQ33=0,'Parte Estrategica'!AQ33=""),0,IF(VLOOKUP($A33,'Matriz de Referencia'!$B$2:$CO$584,60,FALSE)=0,0,"Digite"))</f>
        <v>0</v>
      </c>
      <c r="FN33" s="382">
        <f t="shared" si="35"/>
        <v>0</v>
      </c>
      <c r="FO33" s="454">
        <f>IF(OR('Parte Estrategica'!AQ33=0,'Parte Estrategica'!AQ33=""),0,IF(VLOOKUP($A33,'Matriz de Referencia'!$B$2:$CO$584,62,FALSE)=0,0,"Digite"))</f>
        <v>0</v>
      </c>
      <c r="FP33" s="454">
        <f>IF(OR('Parte Estrategica'!AQ33=0,'Parte Estrategica'!AQ33=""),0,IF(VLOOKUP($A33,'Matriz de Referencia'!$B$2:$CO$584,63,FALSE)=0,0,"Digite"))</f>
        <v>0</v>
      </c>
      <c r="FQ33" s="454">
        <f>IF(OR('Parte Estrategica'!AQ33=0,'Parte Estrategica'!AQ33=""),0,IF(VLOOKUP($A33,'Matriz de Referencia'!$B$2:$CO$584,64,FALSE)=0,0,"Digite"))</f>
        <v>0</v>
      </c>
      <c r="FR33" s="382">
        <f t="shared" si="36"/>
        <v>0</v>
      </c>
      <c r="FS33" s="382">
        <f t="shared" si="37"/>
        <v>0</v>
      </c>
      <c r="FT33" s="382">
        <f t="shared" si="38"/>
        <v>0</v>
      </c>
      <c r="FU33" s="101" t="str">
        <f>IFERROR(IF(FT33=0,"",IF(VLOOKUP($A33,'Matriz de Referencia'!$B$2:$CO$584,66,FALSE)=FT33,"Techos ok, cotinue","Debe revisar el valor programado")),"")</f>
        <v/>
      </c>
      <c r="FV33" s="453">
        <f>IF(OR('Parte Estrategica'!AT33=0,'Parte Estrategica'!AT33=""),0,IF(VLOOKUP($A33,'Matriz de Referencia'!$B$2:$CO$584,67,FALSE)=0,0,"Digite"))</f>
        <v>0</v>
      </c>
      <c r="FW33" s="454">
        <f>IF(OR('Parte Estrategica'!AT33=0,'Parte Estrategica'!AT33=""),0,IF(VLOOKUP($A33,'Matriz de Referencia'!$B$2:$CO$584,68,FALSE)=0,0,"Digite"))</f>
        <v>0</v>
      </c>
      <c r="FX33" s="454">
        <f>IF(OR('Parte Estrategica'!AT33=0,'Parte Estrategica'!AT33=""),0,IF(VLOOKUP($A33,'Matriz de Referencia'!$B$2:$CO$584,69,FALSE)=0,0,"Digite"))</f>
        <v>0</v>
      </c>
      <c r="FY33" s="454">
        <f>IF(OR('Parte Estrategica'!AT33=0,'Parte Estrategica'!AT33=""),0,IF(VLOOKUP($A33,'Matriz de Referencia'!$B$2:$CO$584,70,FALSE)=0,0,"Digite"))</f>
        <v>0</v>
      </c>
      <c r="FZ33" s="454">
        <f>IF(OR('Parte Estrategica'!AT33=0,'Parte Estrategica'!AT33=""),0,IF(VLOOKUP($A33,'Matriz de Referencia'!$B$2:$CO$584,71,FALSE)=0,0,"Digite"))</f>
        <v>0</v>
      </c>
      <c r="GA33" s="454">
        <f>IF(OR('Parte Estrategica'!AT33=0,'Parte Estrategica'!AT33=""),0,IF(VLOOKUP($A33,'Matriz de Referencia'!$B$2:$CO$584,72,FALSE)=0,0,"Digite"))</f>
        <v>0</v>
      </c>
      <c r="GB33" s="454">
        <f>IF(OR('Parte Estrategica'!AT33=0,'Parte Estrategica'!AT33=""),0,IF(VLOOKUP($A33,'Matriz de Referencia'!$B$2:$CO$584,73,FALSE)=0,0,"Digite"))</f>
        <v>0</v>
      </c>
      <c r="GC33" s="454">
        <f>IF(OR('Parte Estrategica'!AT33=0,'Parte Estrategica'!AT33=""),0,IF(VLOOKUP($A33,'Matriz de Referencia'!$B$2:$CO$584,74,FALSE)=0,0,"Digite"))</f>
        <v>0</v>
      </c>
      <c r="GD33" s="382">
        <f t="shared" si="39"/>
        <v>0</v>
      </c>
      <c r="GE33" s="454">
        <f>IF(OR('Parte Estrategica'!AT33=0,'Parte Estrategica'!AT33=""),0,IF(VLOOKUP($A33,'Matriz de Referencia'!$B$2:$CO$584,76,FALSE)=0,0,"Digite"))</f>
        <v>0</v>
      </c>
      <c r="GF33" s="454">
        <f>IF(OR('Parte Estrategica'!AT33=0,'Parte Estrategica'!AT33=""),0,IF(VLOOKUP($A33,'Matriz de Referencia'!$B$2:$CO$584,77,FALSE)=0,0,"Digite"))</f>
        <v>0</v>
      </c>
      <c r="GG33" s="454">
        <f>IF(OR('Parte Estrategica'!AT33=0,'Parte Estrategica'!AT33=""),0,IF(VLOOKUP($A33,'Matriz de Referencia'!$B$2:$CO$584,78,FALSE)=0,0,"Digite"))</f>
        <v>0</v>
      </c>
      <c r="GH33" s="382">
        <f t="shared" si="40"/>
        <v>0</v>
      </c>
      <c r="GI33" s="382">
        <f t="shared" si="41"/>
        <v>0</v>
      </c>
      <c r="GJ33" s="453">
        <f>IF(OR('Parte Estrategica'!AU33=0,'Parte Estrategica'!AU33=""),0,IF(VLOOKUP($A33,'Matriz de Referencia'!$B$2:$CO$584,67,FALSE)=0,0,"Digite"))</f>
        <v>0</v>
      </c>
      <c r="GK33" s="454">
        <f>IF(OR('Parte Estrategica'!AU33=0,'Parte Estrategica'!AU33=""),0,IF(VLOOKUP($A33,'Matriz de Referencia'!$B$2:$CO$584,68,FALSE)=0,0,"Digite"))</f>
        <v>0</v>
      </c>
      <c r="GL33" s="454">
        <f>IF(OR('Parte Estrategica'!AU33=0,'Parte Estrategica'!AU33=""),0,IF(VLOOKUP($A33,'Matriz de Referencia'!$B$2:$CO$584,69,FALSE)=0,0,"Digite"))</f>
        <v>0</v>
      </c>
      <c r="GM33" s="454">
        <f>IF(OR('Parte Estrategica'!AU33=0,'Parte Estrategica'!AU33=""),0,IF(VLOOKUP($A33,'Matriz de Referencia'!$B$2:$CO$584,70,FALSE)=0,0,"Digite"))</f>
        <v>0</v>
      </c>
      <c r="GN33" s="454">
        <f>IF(OR('Parte Estrategica'!AU33=0,'Parte Estrategica'!AU33=""),0,IF(VLOOKUP($A33,'Matriz de Referencia'!$B$2:$CO$584,71,FALSE)=0,0,"Digite"))</f>
        <v>0</v>
      </c>
      <c r="GO33" s="454">
        <f>IF(OR('Parte Estrategica'!AU33=0,'Parte Estrategica'!AU33=""),0,IF(VLOOKUP($A33,'Matriz de Referencia'!$B$2:$CO$584,72,FALSE)=0,0,"Digite"))</f>
        <v>0</v>
      </c>
      <c r="GP33" s="454">
        <f>IF(OR('Parte Estrategica'!AU33=0,'Parte Estrategica'!AU33=""),0,IF(VLOOKUP($A33,'Matriz de Referencia'!$B$2:$CO$584,73,FALSE)=0,0,"Digite"))</f>
        <v>0</v>
      </c>
      <c r="GQ33" s="454">
        <f>IF(OR('Parte Estrategica'!AU33=0,'Parte Estrategica'!AU33=""),0,IF(VLOOKUP($A33,'Matriz de Referencia'!$B$2:$CO$584,74,FALSE)=0,0,"Digite"))</f>
        <v>0</v>
      </c>
      <c r="GR33" s="382">
        <f t="shared" si="42"/>
        <v>0</v>
      </c>
      <c r="GS33" s="454">
        <f>IF(OR('Parte Estrategica'!AU33=0,'Parte Estrategica'!AU33=""),0,IF(VLOOKUP($A33,'Matriz de Referencia'!$B$2:$CO$584,76,FALSE)=0,0,"Digite"))</f>
        <v>0</v>
      </c>
      <c r="GT33" s="454">
        <f>IF(OR('Parte Estrategica'!AU33=0,'Parte Estrategica'!AU33=""),0,IF(VLOOKUP($A33,'Matriz de Referencia'!$B$2:$CO$584,77,FALSE)=0,0,"Digite"))</f>
        <v>0</v>
      </c>
      <c r="GU33" s="454">
        <f>IF(OR('Parte Estrategica'!AU33=0,'Parte Estrategica'!AU33=""),0,IF(VLOOKUP($A33,'Matriz de Referencia'!$B$2:$CO$584,78,FALSE)=0,0,"Digite"))</f>
        <v>0</v>
      </c>
      <c r="GV33" s="382">
        <f t="shared" si="43"/>
        <v>0</v>
      </c>
      <c r="GW33" s="382">
        <f t="shared" si="44"/>
        <v>0</v>
      </c>
      <c r="GX33" s="453">
        <f>IF(OR('Parte Estrategica'!AV33=0,'Parte Estrategica'!AV33=""),0,IF(VLOOKUP($A33,'Matriz de Referencia'!$B$2:$CO$584,67,FALSE)=0,0,"Digite"))</f>
        <v>0</v>
      </c>
      <c r="GY33" s="454">
        <f>IF(OR('Parte Estrategica'!AV33=0,'Parte Estrategica'!AV33=""),0,IF(VLOOKUP($A33,'Matriz de Referencia'!$B$2:$CO$584,68,FALSE)=0,0,"Digite"))</f>
        <v>0</v>
      </c>
      <c r="GZ33" s="454">
        <f>IF(OR('Parte Estrategica'!AV33=0,'Parte Estrategica'!AV33=""),0,IF(VLOOKUP($A33,'Matriz de Referencia'!$B$2:$CO$584,69,FALSE)=0,0,"Digite"))</f>
        <v>0</v>
      </c>
      <c r="HA33" s="454">
        <f>IF(OR('Parte Estrategica'!AV33=0,'Parte Estrategica'!AV33=""),0,IF(VLOOKUP($A33,'Matriz de Referencia'!$B$2:$CO$584,70,FALSE)=0,0,"Digite"))</f>
        <v>0</v>
      </c>
      <c r="HB33" s="454">
        <f>IF(OR('Parte Estrategica'!AV33=0,'Parte Estrategica'!AV33=""),0,IF(VLOOKUP($A33,'Matriz de Referencia'!$B$2:$CO$584,71,FALSE)=0,0,"Digite"))</f>
        <v>0</v>
      </c>
      <c r="HC33" s="454">
        <f>IF(OR('Parte Estrategica'!AV33=0,'Parte Estrategica'!AV33=""),0,IF(VLOOKUP($A33,'Matriz de Referencia'!$B$2:$CO$584,72,FALSE)=0,0,"Digite"))</f>
        <v>0</v>
      </c>
      <c r="HD33" s="454">
        <f>IF(OR('Parte Estrategica'!AV33=0,'Parte Estrategica'!AV33=""),0,IF(VLOOKUP($A33,'Matriz de Referencia'!$B$2:$CO$584,73,FALSE)=0,0,"Digite"))</f>
        <v>0</v>
      </c>
      <c r="HE33" s="454">
        <f>IF(OR('Parte Estrategica'!AV33=0,'Parte Estrategica'!AV33=""),0,IF(VLOOKUP($A33,'Matriz de Referencia'!$B$2:$CO$584,74,FALSE)=0,0,"Digite"))</f>
        <v>0</v>
      </c>
      <c r="HF33" s="382">
        <f t="shared" si="45"/>
        <v>0</v>
      </c>
      <c r="HG33" s="454">
        <f>IF(OR('Parte Estrategica'!AV33=0,'Parte Estrategica'!AV33=""),0,IF(VLOOKUP($A33,'Matriz de Referencia'!$B$2:$CO$584,76,FALSE)=0,0,"Digite"))</f>
        <v>0</v>
      </c>
      <c r="HH33" s="454">
        <f>IF(OR('Parte Estrategica'!AV33=0,'Parte Estrategica'!AV33=""),0,IF(VLOOKUP($A33,'Matriz de Referencia'!$B$2:$CO$584,77,FALSE)=0,0,"Digite"))</f>
        <v>0</v>
      </c>
      <c r="HI33" s="454">
        <f>IF(OR('Parte Estrategica'!AV33=0,'Parte Estrategica'!AV33=""),0,IF(VLOOKUP($A33,'Matriz de Referencia'!$B$2:$CO$584,78,FALSE)=0,0,"Digite"))</f>
        <v>0</v>
      </c>
      <c r="HJ33" s="382">
        <f t="shared" si="46"/>
        <v>0</v>
      </c>
      <c r="HK33" s="382">
        <f t="shared" si="47"/>
        <v>0</v>
      </c>
      <c r="HL33" s="453">
        <f>IF(OR('Parte Estrategica'!AW33=0,'Parte Estrategica'!AW33=""),0,IF(VLOOKUP($A33,'Matriz de Referencia'!$B$2:$CO$584,67,FALSE)=0,0,"Digite"))</f>
        <v>0</v>
      </c>
      <c r="HM33" s="454">
        <f>IF(OR('Parte Estrategica'!AW33=0,'Parte Estrategica'!AW33=""),0,IF(VLOOKUP($A33,'Matriz de Referencia'!$B$2:$CO$584,68,FALSE)=0,0,"Digite"))</f>
        <v>0</v>
      </c>
      <c r="HN33" s="454">
        <f>IF(OR('Parte Estrategica'!AW33=0,'Parte Estrategica'!AW33=""),0,IF(VLOOKUP($A33,'Matriz de Referencia'!$B$2:$CO$584,69,FALSE)=0,0,"Digite"))</f>
        <v>0</v>
      </c>
      <c r="HO33" s="454">
        <f>IF(OR('Parte Estrategica'!AW33=0,'Parte Estrategica'!AW33=""),0,IF(VLOOKUP($A33,'Matriz de Referencia'!$B$2:$CO$584,70,FALSE)=0,0,"Digite"))</f>
        <v>0</v>
      </c>
      <c r="HP33" s="454">
        <f>IF(OR('Parte Estrategica'!AW33=0,'Parte Estrategica'!AW33=""),0,IF(VLOOKUP($A33,'Matriz de Referencia'!$B$2:$CO$584,71,FALSE)=0,0,"Digite"))</f>
        <v>0</v>
      </c>
      <c r="HQ33" s="454">
        <f>IF(OR('Parte Estrategica'!AW33=0,'Parte Estrategica'!AW33=""),0,IF(VLOOKUP($A33,'Matriz de Referencia'!$B$2:$CO$584,72,FALSE)=0,0,"Digite"))</f>
        <v>0</v>
      </c>
      <c r="HR33" s="454">
        <f>IF(OR('Parte Estrategica'!AW33=0,'Parte Estrategica'!AW33=""),0,IF(VLOOKUP($A33,'Matriz de Referencia'!$B$2:$CO$584,73,FALSE)=0,0,"Digite"))</f>
        <v>0</v>
      </c>
      <c r="HS33" s="454">
        <f>IF(OR('Parte Estrategica'!AW33=0,'Parte Estrategica'!AW33=""),0,IF(VLOOKUP($A33,'Matriz de Referencia'!$B$2:$CO$584,74,FALSE)=0,0,"Digite"))</f>
        <v>0</v>
      </c>
      <c r="HT33" s="382">
        <f t="shared" si="48"/>
        <v>0</v>
      </c>
      <c r="HU33" s="454">
        <f>IF(OR('Parte Estrategica'!AW33=0,'Parte Estrategica'!AW33=""),0,IF(VLOOKUP($A33,'Matriz de Referencia'!$B$2:$CO$584,76,FALSE)=0,0,"Digite"))</f>
        <v>0</v>
      </c>
      <c r="HV33" s="454">
        <f>IF(OR('Parte Estrategica'!AW33=0,'Parte Estrategica'!AW33=""),0,IF(VLOOKUP($A33,'Matriz de Referencia'!$B$2:$CO$584,77,FALSE)=0,0,"Digite"))</f>
        <v>0</v>
      </c>
      <c r="HW33" s="454">
        <f>IF(OR('Parte Estrategica'!AW33=0,'Parte Estrategica'!AW33=""),0,IF(VLOOKUP($A33,'Matriz de Referencia'!$B$2:$CO$584,78,FALSE)=0,0,"Digite"))</f>
        <v>0</v>
      </c>
      <c r="HX33" s="382">
        <f t="shared" si="49"/>
        <v>0</v>
      </c>
      <c r="HY33" s="382">
        <f t="shared" si="50"/>
        <v>0</v>
      </c>
      <c r="HZ33" s="382">
        <f t="shared" si="51"/>
        <v>0</v>
      </c>
      <c r="IA33" s="101" t="str">
        <f>IFERROR(IF(HZ33=0,"",IF(VLOOKUP($A33,'Matriz de Referencia'!$B$2:$CO$584,80,FALSE)=HZ33,"Techos ok, cotinue","Debe revisar el valor programado")),"")</f>
        <v/>
      </c>
      <c r="IB33" s="383">
        <f t="shared" si="52"/>
        <v>0</v>
      </c>
    </row>
    <row r="34" spans="1:236">
      <c r="A34" s="550" t="str">
        <f>IF('Parte Estrategica'!B34=0,"",'Parte Estrategica'!B34)</f>
        <v/>
      </c>
      <c r="B34" s="551" t="str">
        <f>IFERROR(VLOOKUP(A34,'Matriz de Referencia'!$B$2:$P$578,'Matriz de Referencia'!L$1,FALSE),"")</f>
        <v/>
      </c>
      <c r="C34" s="551" t="str">
        <f>IFERROR(VLOOKUP(A34,'Matriz de Referencia'!$B$2:$P$584,'Matriz de Referencia'!M$1,FALSE),"")</f>
        <v/>
      </c>
      <c r="D34" s="455" t="str">
        <f>IF(OR('Parte Estrategica'!AB34=0,'Parte Estrategica'!AB34=""),"",IF(VLOOKUP($A34,'Matriz de Referencia'!$B$2:$CO$584,'Matriz de Referencia'!Z$1,FALSE)=0,"","Digite"))</f>
        <v/>
      </c>
      <c r="E34" s="456">
        <f>IF(OR('Parte Estrategica'!AB34=0,'Parte Estrategica'!AB34=""),0,IF(VLOOKUP($A34,'Matriz de Referencia'!$B$2:$CO$584,26,FALSE)=0,0,"Digite"))</f>
        <v>0</v>
      </c>
      <c r="F34" s="456">
        <f>IF(OR('Parte Estrategica'!AB34=0,'Parte Estrategica'!AB34=""),0,IF(VLOOKUP($A34,'Matriz de Referencia'!$B$2:$CO$584,27,FALSE)=0,0,"Digite"))</f>
        <v>0</v>
      </c>
      <c r="G34" s="456">
        <f>IF(OR('Parte Estrategica'!AB34=0,'Parte Estrategica'!AB34=""),0,IF(VLOOKUP($A34,'Matriz de Referencia'!$B$2:$CO$584,28,FALSE)=0,0,"Digite"))</f>
        <v>0</v>
      </c>
      <c r="H34" s="456">
        <f>IF(OR('Parte Estrategica'!AB34=0,'Parte Estrategica'!AB34=""),0,IF(VLOOKUP($A34,'Matriz de Referencia'!$B$2:$CO$584,29,FALSE)=0,0,"Digite"))</f>
        <v>0</v>
      </c>
      <c r="I34" s="456">
        <f>IF(OR('Parte Estrategica'!AB34=0,'Parte Estrategica'!AB34=""),0,IF(VLOOKUP($A34,'Matriz de Referencia'!$B$2:$CO$584,30,FALSE)=0,0,"Digite"))</f>
        <v>0</v>
      </c>
      <c r="J34" s="456">
        <f>IF(OR('Parte Estrategica'!AB34=0,'Parte Estrategica'!AB34=""),0,IF(VLOOKUP($A34,'Matriz de Referencia'!$B$2:$CO$584,31,FALSE)=0,0,"Digite"))</f>
        <v>0</v>
      </c>
      <c r="K34" s="456">
        <f>IF(OR('Parte Estrategica'!AB34=0,'Parte Estrategica'!AB34=""),0,IF(VLOOKUP($A34,'Matriz de Referencia'!$B$2:$CO$584,32,FALSE)=0,0,"Digite"))</f>
        <v>0</v>
      </c>
      <c r="L34" s="460">
        <f t="shared" si="0"/>
        <v>0</v>
      </c>
      <c r="M34" s="456">
        <f>IF(OR('Parte Estrategica'!AB34=0,'Parte Estrategica'!AB34=""),0,IF(VLOOKUP($A34,'Matriz de Referencia'!$B$2:$CO$584,34,FALSE)=0,0,"Digite"))</f>
        <v>0</v>
      </c>
      <c r="N34" s="456">
        <f>IF(OR('Parte Estrategica'!AB34=0,'Parte Estrategica'!AB34=""),0,IF(VLOOKUP($A34,'Matriz de Referencia'!$B$2:$CO$584,35,FALSE)=0,0,"Digite"))</f>
        <v>0</v>
      </c>
      <c r="O34" s="456">
        <f>IF(OR('Parte Estrategica'!AB34=0,'Parte Estrategica'!AB34=""),0,IF(VLOOKUP($A34,'Matriz de Referencia'!$B$2:$CO$584,36,FALSE)=0,0,"Digite"))</f>
        <v>0</v>
      </c>
      <c r="P34" s="457">
        <f t="shared" si="1"/>
        <v>0</v>
      </c>
      <c r="Q34" s="457">
        <f t="shared" si="2"/>
        <v>0</v>
      </c>
      <c r="R34" s="455">
        <f>IF(OR('Parte Estrategica'!AC34=0,'Parte Estrategica'!AC34=""),0,IF(VLOOKUP($A34,'Matriz de Referencia'!$B$2:$CO$584,25,FALSE)=0,0,"Digite"))</f>
        <v>0</v>
      </c>
      <c r="S34" s="456">
        <f>IF(OR('Parte Estrategica'!AC34=0,'Parte Estrategica'!AC34=""),0,IF(VLOOKUP($A34,'Matriz de Referencia'!$B$2:$CO$584,26,FALSE)=0,0,"Digite"))</f>
        <v>0</v>
      </c>
      <c r="T34" s="456">
        <f>IF(OR('Parte Estrategica'!AC34=0,'Parte Estrategica'!AC34=""),0,IF(VLOOKUP($A34,'Matriz de Referencia'!$B$2:$CO$584,27,FALSE)=0,0,"Digite"))</f>
        <v>0</v>
      </c>
      <c r="U34" s="456">
        <f>IF(OR('Parte Estrategica'!AC34=0,'Parte Estrategica'!AC34=""),0,IF(VLOOKUP($A34,'Matriz de Referencia'!$B$2:$CO$584,28,FALSE)=0,0,"Digite"))</f>
        <v>0</v>
      </c>
      <c r="V34" s="456">
        <f>IF(OR('Parte Estrategica'!AC34=0,'Parte Estrategica'!AC34=""),0,IF(VLOOKUP($A34,'Matriz de Referencia'!$B$2:$CO$584,29,FALSE)=0,0,"Digite"))</f>
        <v>0</v>
      </c>
      <c r="W34" s="456">
        <f>IF(OR('Parte Estrategica'!AC34=0,'Parte Estrategica'!AC34=""),0,IF(VLOOKUP($A34,'Matriz de Referencia'!$B$2:$CO$584,30,FALSE)=0,0,"Digite"))</f>
        <v>0</v>
      </c>
      <c r="X34" s="456">
        <f>IF(OR('Parte Estrategica'!AC34=0,'Parte Estrategica'!AC34=""),0,IF(VLOOKUP($A34,'Matriz de Referencia'!$B$2:$CO$584,31,FALSE)=0,0,"Digite"))</f>
        <v>0</v>
      </c>
      <c r="Y34" s="456">
        <f>IF(OR('Parte Estrategica'!AC34=0,'Parte Estrategica'!AC34=""),0,IF(VLOOKUP($A34,'Matriz de Referencia'!$B$2:$CO$584,32,FALSE)=0,0,"Digite"))</f>
        <v>0</v>
      </c>
      <c r="Z34" s="457">
        <f t="shared" si="3"/>
        <v>0</v>
      </c>
      <c r="AA34" s="456">
        <f>IF(OR('Parte Estrategica'!AC34=0,'Parte Estrategica'!AC34=""),0,IF(VLOOKUP($A34,'Matriz de Referencia'!$B$2:$CO$584,34,FALSE)=0,0,"Digite"))</f>
        <v>0</v>
      </c>
      <c r="AB34" s="456">
        <f>IF(OR('Parte Estrategica'!AC34=0,'Parte Estrategica'!AC34=""),0,IF(VLOOKUP($A34,'Matriz de Referencia'!$B$2:$CO$584,35,FALSE)=0,0,"Digite"))</f>
        <v>0</v>
      </c>
      <c r="AC34" s="456">
        <f>IF(OR('Parte Estrategica'!AC34=0,'Parte Estrategica'!AC34=""),0,IF(VLOOKUP($A34,'Matriz de Referencia'!$B$2:$CO$584,36,FALSE)=0,0,"Digite"))</f>
        <v>0</v>
      </c>
      <c r="AD34" s="457">
        <f t="shared" si="4"/>
        <v>0</v>
      </c>
      <c r="AE34" s="457">
        <f t="shared" si="5"/>
        <v>0</v>
      </c>
      <c r="AF34" s="455">
        <f>IF(OR('Parte Estrategica'!AD34=0,'Parte Estrategica'!AD34=""),0,IF(VLOOKUP($A34,'Matriz de Referencia'!$B$2:$CO$584,25,FALSE)=0,0,"Digite"))</f>
        <v>0</v>
      </c>
      <c r="AG34" s="456">
        <f>IF(OR('Parte Estrategica'!AD34=0,'Parte Estrategica'!AD34=""),0,IF(VLOOKUP($A34,'Matriz de Referencia'!$B$2:$CO$584,26,FALSE)=0,0,"Digite"))</f>
        <v>0</v>
      </c>
      <c r="AH34" s="456">
        <f>IF(OR('Parte Estrategica'!AD34=0,'Parte Estrategica'!AD34=""),0,IF(VLOOKUP($A34,'Matriz de Referencia'!$B$2:$CO$584,27,FALSE)=0,0,"Digite"))</f>
        <v>0</v>
      </c>
      <c r="AI34" s="456">
        <f>IF(OR('Parte Estrategica'!AD34=0,'Parte Estrategica'!AD34=""),0,IF(VLOOKUP($A34,'Matriz de Referencia'!$B$2:$CO$584,28,FALSE)=0,0,"Digite"))</f>
        <v>0</v>
      </c>
      <c r="AJ34" s="456">
        <f>IF(OR('Parte Estrategica'!AD34=0,'Parte Estrategica'!AD34=""),0,IF(VLOOKUP($A34,'Matriz de Referencia'!$B$2:$CO$584,29,FALSE)=0,0,"Digite"))</f>
        <v>0</v>
      </c>
      <c r="AK34" s="456">
        <f>IF(OR('Parte Estrategica'!AD34=0,'Parte Estrategica'!AD34=""),0,IF(VLOOKUP($A34,'Matriz de Referencia'!$B$2:$CO$584,30,FALSE)=0,0,"Digite"))</f>
        <v>0</v>
      </c>
      <c r="AL34" s="456">
        <f>IF(OR('Parte Estrategica'!AD34=0,'Parte Estrategica'!AD34=""),0,IF(VLOOKUP($A34,'Matriz de Referencia'!$B$2:$CO$584,31,FALSE)=0,0,"Digite"))</f>
        <v>0</v>
      </c>
      <c r="AM34" s="456">
        <f>IF(OR('Parte Estrategica'!AD34=0,'Parte Estrategica'!AD34=""),0,IF(VLOOKUP($A34,'Matriz de Referencia'!$B$2:$CO$584,32,FALSE)=0,0,"Digite"))</f>
        <v>0</v>
      </c>
      <c r="AN34" s="457">
        <f t="shared" si="6"/>
        <v>0</v>
      </c>
      <c r="AO34" s="456">
        <f>IF(OR('Parte Estrategica'!AD34=0,'Parte Estrategica'!AD34=""),0,IF(VLOOKUP($A34,'Matriz de Referencia'!$B$2:$CO$584,34,FALSE)=0,0,"Digite"))</f>
        <v>0</v>
      </c>
      <c r="AP34" s="456">
        <f>IF(OR('Parte Estrategica'!AD34=0,'Parte Estrategica'!AD34=""),0,IF(VLOOKUP($A34,'Matriz de Referencia'!$B$2:$CO$584,35,FALSE)=0,0,"Digite"))</f>
        <v>0</v>
      </c>
      <c r="AQ34" s="456">
        <f>IF(OR('Parte Estrategica'!AD34=0,'Parte Estrategica'!AD34=""),0,IF(VLOOKUP($A34,'Matriz de Referencia'!$B$2:$CO$584,36,FALSE)=0,0,"Digite"))</f>
        <v>0</v>
      </c>
      <c r="AR34" s="457">
        <f t="shared" si="7"/>
        <v>0</v>
      </c>
      <c r="AS34" s="457">
        <f t="shared" si="8"/>
        <v>0</v>
      </c>
      <c r="AT34" s="455">
        <f>IF(OR('Parte Estrategica'!AE34=0,'Parte Estrategica'!AE34=""),0,IF(VLOOKUP($A34,'Matriz de Referencia'!$B$2:$CO$584,25,FALSE)=0,0,"Digite"))</f>
        <v>0</v>
      </c>
      <c r="AU34" s="456">
        <f>IF(OR('Parte Estrategica'!AE34=0,'Parte Estrategica'!AE34=""),0,IF(VLOOKUP($A34,'Matriz de Referencia'!$B$2:$CO$584,26,FALSE)=0,0,"Digite"))</f>
        <v>0</v>
      </c>
      <c r="AV34" s="456">
        <f>IF(OR('Parte Estrategica'!AE34=0,'Parte Estrategica'!AE34=""),0,IF(VLOOKUP($A34,'Matriz de Referencia'!$B$2:$CO$584,27,FALSE)=0,0,"Digite"))</f>
        <v>0</v>
      </c>
      <c r="AW34" s="456">
        <f>IF(OR('Parte Estrategica'!AE34=0,'Parte Estrategica'!AE34=""),0,IF(VLOOKUP($A34,'Matriz de Referencia'!$B$2:$CO$584,28,FALSE)=0,0,"Digite"))</f>
        <v>0</v>
      </c>
      <c r="AX34" s="456">
        <f>IF(OR('Parte Estrategica'!AE34=0,'Parte Estrategica'!AE34=""),0,IF(VLOOKUP($A34,'Matriz de Referencia'!$B$2:$CO$584,29,FALSE)=0,0,"Digite"))</f>
        <v>0</v>
      </c>
      <c r="AY34" s="456">
        <f>IF(OR('Parte Estrategica'!AE34=0,'Parte Estrategica'!AE34=""),0,IF(VLOOKUP($A34,'Matriz de Referencia'!$B$2:$CO$584,30,FALSE)=0,0,"Digite"))</f>
        <v>0</v>
      </c>
      <c r="AZ34" s="456">
        <f>IF(OR('Parte Estrategica'!AE34=0,'Parte Estrategica'!AE34=""),0,IF(VLOOKUP($A34,'Matriz de Referencia'!$B$2:$CO$584,31,FALSE)=0,0,"Digite"))</f>
        <v>0</v>
      </c>
      <c r="BA34" s="456">
        <f>IF(OR('Parte Estrategica'!AE34=0,'Parte Estrategica'!AE34=""),0,IF(VLOOKUP($A34,'Matriz de Referencia'!$B$2:$CO$584,32,FALSE)=0,0,"Digite"))</f>
        <v>0</v>
      </c>
      <c r="BB34" s="457">
        <f t="shared" si="9"/>
        <v>0</v>
      </c>
      <c r="BC34" s="456">
        <f>IF(OR('Parte Estrategica'!AE34=0,'Parte Estrategica'!AE34=""),0,IF(VLOOKUP($A34,'Matriz de Referencia'!$B$2:$CO$584,34,FALSE)=0,0,"Digite"))</f>
        <v>0</v>
      </c>
      <c r="BD34" s="456">
        <f>IF(OR('Parte Estrategica'!AE34=0,'Parte Estrategica'!AE34=""),0,IF(VLOOKUP($A34,'Matriz de Referencia'!$B$2:$CO$584,35,FALSE)=0,0,"Digite"))</f>
        <v>0</v>
      </c>
      <c r="BE34" s="456">
        <f>IF(OR('Parte Estrategica'!AE34=0,'Parte Estrategica'!AE34=""),0,IF(VLOOKUP($A34,'Matriz de Referencia'!$B$2:$CO$584,36,FALSE)=0,0,"Digite"))</f>
        <v>0</v>
      </c>
      <c r="BF34" s="457">
        <f t="shared" si="10"/>
        <v>0</v>
      </c>
      <c r="BG34" s="457">
        <f t="shared" si="11"/>
        <v>0</v>
      </c>
      <c r="BH34" s="457">
        <f t="shared" si="12"/>
        <v>0</v>
      </c>
      <c r="BI34" s="101" t="str">
        <f>IFERROR(IF(BH34=0,"",IF(VLOOKUP($A34,'Matriz de Referencia'!$B$2:$CO$584,'Matriz de Referencia'!AM$1,FALSE)=BH34,"Techos ok, cotinue","Debe revisar el valor programado")),"")</f>
        <v/>
      </c>
      <c r="BJ34" s="453">
        <f>IF(OR('Parte Estrategica'!AH34=0,'Parte Estrategica'!AH34=""),0,IF(VLOOKUP($A34,'Matriz de Referencia'!$B$2:$CO$584,39,FALSE)=0,0,"Digite"))</f>
        <v>0</v>
      </c>
      <c r="BK34" s="454">
        <f>IF(OR('Parte Estrategica'!AH34=0,'Parte Estrategica'!AH34=""),0,IF(VLOOKUP($A34,'Matriz de Referencia'!$B$2:$CO$584,40,FALSE)=0,0,"Digite"))</f>
        <v>0</v>
      </c>
      <c r="BL34" s="454">
        <f>IF(OR('Parte Estrategica'!AH34=0,'Parte Estrategica'!AH34=""),0,IF(VLOOKUP($A34,'Matriz de Referencia'!$B$2:$CO$584,41,FALSE)=0,0,"Digite"))</f>
        <v>0</v>
      </c>
      <c r="BM34" s="454">
        <f>IF(OR('Parte Estrategica'!AH34=0,'Parte Estrategica'!AH34=""),0,IF(VLOOKUP($A34,'Matriz de Referencia'!$B$2:$CO$584,42,FALSE)=0,0,"Digite"))</f>
        <v>0</v>
      </c>
      <c r="BN34" s="454">
        <f>IF(OR('Parte Estrategica'!AH34=0,'Parte Estrategica'!AH34=""),0,IF(VLOOKUP($A34,'Matriz de Referencia'!$B$2:$CO$584,43,FALSE)=0,0,"Digite"))</f>
        <v>0</v>
      </c>
      <c r="BO34" s="454">
        <f>IF(OR('Parte Estrategica'!AH34=0,'Parte Estrategica'!AH34=""),0,IF(VLOOKUP($A34,'Matriz de Referencia'!$B$2:$CO$584,44,FALSE)=0,0,"Digite"))</f>
        <v>0</v>
      </c>
      <c r="BP34" s="454">
        <f>IF(OR('Parte Estrategica'!AH34=0,'Parte Estrategica'!AH34=""),0,IF(VLOOKUP($A34,'Matriz de Referencia'!$B$2:$CO$584,45,FALSE)=0,0,"Digite"))</f>
        <v>0</v>
      </c>
      <c r="BQ34" s="454">
        <f>IF(OR('Parte Estrategica'!AH34=0,'Parte Estrategica'!AH34=""),0,IF(VLOOKUP($A34,'Matriz de Referencia'!$B$2:$CO$584,46,FALSE)=0,0,"Digite"))</f>
        <v>0</v>
      </c>
      <c r="BR34" s="382">
        <f t="shared" si="13"/>
        <v>0</v>
      </c>
      <c r="BS34" s="454">
        <f>IF(OR('Parte Estrategica'!CL34=0,'Parte Estrategica'!CL34=""),0,IF(VLOOKUP($A34,'Matriz de Referencia'!$B$2:$CO$584,48,FALSE)=0,0,"Digite"))</f>
        <v>0</v>
      </c>
      <c r="BT34" s="454">
        <f>IF(OR('Parte Estrategica'!CL34=0,'Parte Estrategica'!CL34=""),0,IF(VLOOKUP($A34,'Matriz de Referencia'!$B$2:$CO$584,49,FALSE)=0,0,"Digite"))</f>
        <v>0</v>
      </c>
      <c r="BU34" s="454">
        <f>IF(OR('Parte Estrategica'!CL34=0,'Parte Estrategica'!CL34=""),0,IF(VLOOKUP($A34,'Matriz de Referencia'!$B$2:$CO$584,50,FALSE)=0,0,"Digite"))</f>
        <v>0</v>
      </c>
      <c r="BV34" s="382">
        <f t="shared" si="14"/>
        <v>0</v>
      </c>
      <c r="BW34" s="382">
        <f t="shared" si="15"/>
        <v>0</v>
      </c>
      <c r="BX34" s="453">
        <f>IF(OR('Parte Estrategica'!AI34=0,'Parte Estrategica'!AI34=""),0,IF(VLOOKUP($A34,'Matriz de Referencia'!$B$2:$CO$584,39,FALSE)=0,0,"Digite"))</f>
        <v>0</v>
      </c>
      <c r="BY34" s="454">
        <f>IF(OR('Parte Estrategica'!AI34=0,'Parte Estrategica'!AI34=""),0,IF(VLOOKUP($A34,'Matriz de Referencia'!$B$2:$CO$584,40,FALSE)=0,0,"Digite"))</f>
        <v>0</v>
      </c>
      <c r="BZ34" s="454">
        <f>IF(OR('Parte Estrategica'!AI34=0,'Parte Estrategica'!AI34=""),0,IF(VLOOKUP($A34,'Matriz de Referencia'!$B$2:$CO$584,41,FALSE)=0,0,"Digite"))</f>
        <v>0</v>
      </c>
      <c r="CA34" s="454">
        <f>IF(OR('Parte Estrategica'!AI34=0,'Parte Estrategica'!AI34=""),0,IF(VLOOKUP($A34,'Matriz de Referencia'!$B$2:$CO$584,42,FALSE)=0,0,"Digite"))</f>
        <v>0</v>
      </c>
      <c r="CB34" s="454">
        <f>IF(OR('Parte Estrategica'!AI34=0,'Parte Estrategica'!AI34=""),0,IF(VLOOKUP($A34,'Matriz de Referencia'!$B$2:$CO$584,43,FALSE)=0,0,"Digite"))</f>
        <v>0</v>
      </c>
      <c r="CC34" s="454">
        <f>IF(OR('Parte Estrategica'!AI34=0,'Parte Estrategica'!AI34=""),0,IF(VLOOKUP($A34,'Matriz de Referencia'!$B$2:$CO$584,44,FALSE)=0,0,"Digite"))</f>
        <v>0</v>
      </c>
      <c r="CD34" s="454">
        <f>IF(OR('Parte Estrategica'!AI34=0,'Parte Estrategica'!AI34=""),0,IF(VLOOKUP($A34,'Matriz de Referencia'!$B$2:$CO$584,45,FALSE)=0,0,"Digite"))</f>
        <v>0</v>
      </c>
      <c r="CE34" s="454">
        <f>IF(OR('Parte Estrategica'!AI34=0,'Parte Estrategica'!AI34=""),0,IF(VLOOKUP($A34,'Matriz de Referencia'!$B$2:$CO$584,46,FALSE)=0,0,"Digite"))</f>
        <v>0</v>
      </c>
      <c r="CF34" s="382">
        <f t="shared" si="16"/>
        <v>0</v>
      </c>
      <c r="CG34" s="454">
        <f>IF(OR('Parte Estrategica'!AI34=0,'Parte Estrategica'!AI34=""),0,IF(VLOOKUP($A34,'Matriz de Referencia'!$B$2:$CO$584,48,FALSE)=0,0,"Digite"))</f>
        <v>0</v>
      </c>
      <c r="CH34" s="454">
        <f>IF(OR('Parte Estrategica'!AI34=0,'Parte Estrategica'!AI34=""),0,IF(VLOOKUP($A34,'Matriz de Referencia'!$B$2:$CO$584,49,FALSE)=0,0,"Digite"))</f>
        <v>0</v>
      </c>
      <c r="CI34" s="454">
        <f>IF(OR('Parte Estrategica'!AI34=0,'Parte Estrategica'!AI34=""),0,IF(VLOOKUP($A34,'Matriz de Referencia'!$B$2:$CO$584,50,FALSE)=0,0,"Digite"))</f>
        <v>0</v>
      </c>
      <c r="CJ34" s="382">
        <f t="shared" si="17"/>
        <v>0</v>
      </c>
      <c r="CK34" s="382">
        <f t="shared" si="18"/>
        <v>0</v>
      </c>
      <c r="CL34" s="453">
        <f>IF(OR('Parte Estrategica'!AJ34=0,'Parte Estrategica'!AJ34=""),0,IF(VLOOKUP($A34,'Matriz de Referencia'!$B$2:$CO$584,39,FALSE)=0,0,"Digite"))</f>
        <v>0</v>
      </c>
      <c r="CM34" s="454">
        <f>IF(OR('Parte Estrategica'!AJ34=0,'Parte Estrategica'!AJ34=""),0,IF(VLOOKUP($A34,'Matriz de Referencia'!$B$2:$CO$584,40,FALSE)=0,0,"Digite"))</f>
        <v>0</v>
      </c>
      <c r="CN34" s="454">
        <f>IF(OR('Parte Estrategica'!AJ34=0,'Parte Estrategica'!AJ34=""),0,IF(VLOOKUP($A34,'Matriz de Referencia'!$B$2:$CO$584,41,FALSE)=0,0,"Digite"))</f>
        <v>0</v>
      </c>
      <c r="CO34" s="454">
        <f>IF(OR('Parte Estrategica'!AJ34=0,'Parte Estrategica'!AJ34=""),0,IF(VLOOKUP($A34,'Matriz de Referencia'!$B$2:$CO$584,42,FALSE)=0,0,"Digite"))</f>
        <v>0</v>
      </c>
      <c r="CP34" s="454">
        <f>IF(OR('Parte Estrategica'!AJ34=0,'Parte Estrategica'!AJ34=""),0,IF(VLOOKUP($A34,'Matriz de Referencia'!$B$2:$CO$584,43,FALSE)=0,0,"Digite"))</f>
        <v>0</v>
      </c>
      <c r="CQ34" s="454">
        <f>IF(OR('Parte Estrategica'!AJ34=0,'Parte Estrategica'!AJ34=""),0,IF(VLOOKUP($A34,'Matriz de Referencia'!$B$2:$CO$584,44,FALSE)=0,0,"Digite"))</f>
        <v>0</v>
      </c>
      <c r="CR34" s="454">
        <f>IF(OR('Parte Estrategica'!AJ34=0,'Parte Estrategica'!AJ34=""),0,IF(VLOOKUP($A34,'Matriz de Referencia'!$B$2:$CO$584,45,FALSE)=0,0,"Digite"))</f>
        <v>0</v>
      </c>
      <c r="CS34" s="454">
        <f>IF(OR('Parte Estrategica'!AJ34=0,'Parte Estrategica'!AJ34=""),0,IF(VLOOKUP($A34,'Matriz de Referencia'!$B$2:$CO$584,46,FALSE)=0,0,"Digite"))</f>
        <v>0</v>
      </c>
      <c r="CT34" s="382">
        <f t="shared" si="19"/>
        <v>0</v>
      </c>
      <c r="CU34" s="454">
        <f>IF(OR('Parte Estrategica'!AJ34=0,'Parte Estrategica'!AJ34=""),0,IF(VLOOKUP($A34,'Matriz de Referencia'!$B$2:$CO$584,48,FALSE)=0,0,"Digite"))</f>
        <v>0</v>
      </c>
      <c r="CV34" s="454">
        <f>IF(OR('Parte Estrategica'!AJ34=0,'Parte Estrategica'!AJ34=""),0,IF(VLOOKUP($A34,'Matriz de Referencia'!$B$2:$CO$584,49,FALSE)=0,0,"Digite"))</f>
        <v>0</v>
      </c>
      <c r="CW34" s="454">
        <f>IF(OR('Parte Estrategica'!AJ34=0,'Parte Estrategica'!AJ34=""),0,IF(VLOOKUP($A34,'Matriz de Referencia'!$B$2:$CO$584,50,FALSE)=0,0,"Digite"))</f>
        <v>0</v>
      </c>
      <c r="CX34" s="382">
        <f t="shared" si="20"/>
        <v>0</v>
      </c>
      <c r="CY34" s="382">
        <f t="shared" si="21"/>
        <v>0</v>
      </c>
      <c r="CZ34" s="453">
        <f>IF(OR('Parte Estrategica'!AK34=0,'Parte Estrategica'!AK34=""),0,IF(VLOOKUP($A34,'Matriz de Referencia'!$B$2:$CO$584,39,FALSE)=0,0,"Digite"))</f>
        <v>0</v>
      </c>
      <c r="DA34" s="454">
        <f>IF(OR('Parte Estrategica'!AK34=0,'Parte Estrategica'!AK34=""),0,IF(VLOOKUP($A34,'Matriz de Referencia'!$B$2:$CO$584,40,FALSE)=0,0,"Digite"))</f>
        <v>0</v>
      </c>
      <c r="DB34" s="454">
        <f>IF(OR('Parte Estrategica'!AK34=0,'Parte Estrategica'!AK34=""),0,IF(VLOOKUP($A34,'Matriz de Referencia'!$B$2:$CO$584,41,FALSE)=0,0,"Digite"))</f>
        <v>0</v>
      </c>
      <c r="DC34" s="454">
        <f>IF(OR('Parte Estrategica'!AK34=0,'Parte Estrategica'!AK34=""),0,IF(VLOOKUP($A34,'Matriz de Referencia'!$B$2:$CO$584,42,FALSE)=0,0,"Digite"))</f>
        <v>0</v>
      </c>
      <c r="DD34" s="454">
        <f>IF(OR('Parte Estrategica'!AK34=0,'Parte Estrategica'!AK34=""),0,IF(VLOOKUP($A34,'Matriz de Referencia'!$B$2:$CO$584,43,FALSE)=0,0,"Digite"))</f>
        <v>0</v>
      </c>
      <c r="DE34" s="454">
        <f>IF(OR('Parte Estrategica'!AK34=0,'Parte Estrategica'!AK34=""),0,IF(VLOOKUP($A34,'Matriz de Referencia'!$B$2:$CO$584,44,FALSE)=0,0,"Digite"))</f>
        <v>0</v>
      </c>
      <c r="DF34" s="454">
        <f>IF(OR('Parte Estrategica'!AK34=0,'Parte Estrategica'!AK34=""),0,IF(VLOOKUP($A34,'Matriz de Referencia'!$B$2:$CO$584,45,FALSE)=0,0,"Digite"))</f>
        <v>0</v>
      </c>
      <c r="DG34" s="454">
        <f>IF(OR('Parte Estrategica'!AK34=0,'Parte Estrategica'!AK34=""),0,IF(VLOOKUP($A34,'Matriz de Referencia'!$B$2:$CO$584,46,FALSE)=0,0,"Digite"))</f>
        <v>0</v>
      </c>
      <c r="DH34" s="382">
        <f t="shared" si="22"/>
        <v>0</v>
      </c>
      <c r="DI34" s="454">
        <f>IF(OR('Parte Estrategica'!AK34=0,'Parte Estrategica'!AK34=""),0,IF(VLOOKUP($A34,'Matriz de Referencia'!$B$2:$CO$584,48,FALSE)=0,0,"Digite"))</f>
        <v>0</v>
      </c>
      <c r="DJ34" s="454">
        <f>IF(OR('Parte Estrategica'!AK34=0,'Parte Estrategica'!AK34=""),0,IF(VLOOKUP($A34,'Matriz de Referencia'!$B$2:$CO$584,49,FALSE)=0,0,"Digite"))</f>
        <v>0</v>
      </c>
      <c r="DK34" s="454">
        <f>IF(OR('Parte Estrategica'!AK34=0,'Parte Estrategica'!AK34=""),0,IF(VLOOKUP($A34,'Matriz de Referencia'!$B$2:$CO$584,50,FALSE)=0,0,"Digite"))</f>
        <v>0</v>
      </c>
      <c r="DL34" s="382">
        <f t="shared" si="23"/>
        <v>0</v>
      </c>
      <c r="DM34" s="382">
        <f t="shared" si="24"/>
        <v>0</v>
      </c>
      <c r="DN34" s="382">
        <f t="shared" si="25"/>
        <v>0</v>
      </c>
      <c r="DO34" s="101" t="str">
        <f>IFERROR(IF(DN34=0,"",IF(VLOOKUP($A34,'Matriz de Referencia'!$B$2:$CO$584,52,FALSE)=DN34,"Techos ok, cotinue","Debe revisar el valor programado")),"")</f>
        <v/>
      </c>
      <c r="DP34" s="453">
        <f>IF(OR('Parte Estrategica'!AN34=0,'Parte Estrategica'!AN34=""),0,IF(VLOOKUP($A34,'Matriz de Referencia'!$B$2:$CO$584,53,FALSE)=0,0,"Digite"))</f>
        <v>0</v>
      </c>
      <c r="DQ34" s="454">
        <f>IF(OR('Parte Estrategica'!AN34=0,'Parte Estrategica'!AN34=""),0,IF(VLOOKUP($A34,'Matriz de Referencia'!$B$2:$CO$584,54,FALSE)=0,0,"Digite"))</f>
        <v>0</v>
      </c>
      <c r="DR34" s="454">
        <f>IF(OR('Parte Estrategica'!AN34=0,'Parte Estrategica'!AN34=""),0,IF(VLOOKUP($A34,'Matriz de Referencia'!$B$2:$CO$584,55,FALSE)=0,0,"Digite"))</f>
        <v>0</v>
      </c>
      <c r="DS34" s="454">
        <f>IF(OR('Parte Estrategica'!AN34=0,'Parte Estrategica'!AN34=""),0,IF(VLOOKUP($A34,'Matriz de Referencia'!$B$2:$CO$584,56,FALSE)=0,0,"Digite"))</f>
        <v>0</v>
      </c>
      <c r="DT34" s="454">
        <f>IF(OR('Parte Estrategica'!AN34=0,'Parte Estrategica'!AN34=""),0,IF(VLOOKUP($A34,'Matriz de Referencia'!$B$2:$CO$584,57,FALSE)=0,0,"Digite"))</f>
        <v>0</v>
      </c>
      <c r="DU34" s="454">
        <f>IF(OR('Parte Estrategica'!AN34=0,'Parte Estrategica'!AN34=""),0,IF(VLOOKUP($A34,'Matriz de Referencia'!$B$2:$CO$584,58,FALSE)=0,0,"Digite"))</f>
        <v>0</v>
      </c>
      <c r="DV34" s="454">
        <f>IF(OR('Parte Estrategica'!AN34=0,'Parte Estrategica'!AN34=""),0,IF(VLOOKUP($A34,'Matriz de Referencia'!$B$2:$CO$584,59,FALSE)=0,0,"Digite"))</f>
        <v>0</v>
      </c>
      <c r="DW34" s="454">
        <f>IF(OR('Parte Estrategica'!AN34=0,'Parte Estrategica'!AN34=""),0,IF(VLOOKUP($A34,'Matriz de Referencia'!$B$2:$CO$584,60,FALSE)=0,0,"Digite"))</f>
        <v>0</v>
      </c>
      <c r="DX34" s="382">
        <f t="shared" si="26"/>
        <v>0</v>
      </c>
      <c r="DY34" s="454">
        <f>IF(OR('Parte Estrategica'!AN34=0,'Parte Estrategica'!AN34=""),0,IF(VLOOKUP($A34,'Matriz de Referencia'!$B$2:$CO$584,62,FALSE)=0,0,"Digite"))</f>
        <v>0</v>
      </c>
      <c r="DZ34" s="454">
        <f>IF(OR('Parte Estrategica'!AN34=0,'Parte Estrategica'!AN34=""),0,IF(VLOOKUP($A34,'Matriz de Referencia'!$B$2:$CO$584,63,FALSE)=0,0,"Digite"))</f>
        <v>0</v>
      </c>
      <c r="EA34" s="454" t="str">
        <f>IF(OR('Parte Estrategica'!AN34=0,'Parte Estrategica'!AN34=""),"",IF(VLOOKUP($A34,'Matriz de Referencia'!$B$2:$CO$584,64,FALSE)=0,"","Digite"))</f>
        <v/>
      </c>
      <c r="EB34" s="382">
        <f t="shared" si="27"/>
        <v>0</v>
      </c>
      <c r="EC34" s="382">
        <f t="shared" si="28"/>
        <v>0</v>
      </c>
      <c r="ED34" s="453">
        <f>IF(OR('Parte Estrategica'!AO34=0,'Parte Estrategica'!AO34=""),0,IF(VLOOKUP($A34,'Matriz de Referencia'!$B$2:$CO$584,53,FALSE)=0,0,"Digite"))</f>
        <v>0</v>
      </c>
      <c r="EE34" s="454">
        <f>IF(OR('Parte Estrategica'!AO34=0,'Parte Estrategica'!AO34=""),0,IF(VLOOKUP($A34,'Matriz de Referencia'!$B$2:$CO$584,54,FALSE)=0,0,"Digite"))</f>
        <v>0</v>
      </c>
      <c r="EF34" s="454">
        <f>IF(OR('Parte Estrategica'!AO34=0,'Parte Estrategica'!AO34=""),0,IF(VLOOKUP($A34,'Matriz de Referencia'!$B$2:$CO$584,55,FALSE)=0,0,"Digite"))</f>
        <v>0</v>
      </c>
      <c r="EG34" s="454">
        <f>IF(OR('Parte Estrategica'!AO34=0,'Parte Estrategica'!AO34=""),0,IF(VLOOKUP($A34,'Matriz de Referencia'!$B$2:$CO$584,56,FALSE)=0,0,"Digite"))</f>
        <v>0</v>
      </c>
      <c r="EH34" s="454">
        <f>IF(OR('Parte Estrategica'!AO34=0,'Parte Estrategica'!AO34=""),0,IF(VLOOKUP($A34,'Matriz de Referencia'!$B$2:$CO$584,57,FALSE)=0,0,"Digite"))</f>
        <v>0</v>
      </c>
      <c r="EI34" s="454">
        <f>IF(OR('Parte Estrategica'!AO34=0,'Parte Estrategica'!AO34=""),0,IF(VLOOKUP($A34,'Matriz de Referencia'!$B$2:$CO$584,58,FALSE)=0,0,"Digite"))</f>
        <v>0</v>
      </c>
      <c r="EJ34" s="454">
        <f>IF(OR('Parte Estrategica'!AO34=0,'Parte Estrategica'!AO34=""),0,IF(VLOOKUP($A34,'Matriz de Referencia'!$B$2:$CO$584,59,FALSE)=0,0,"Digite"))</f>
        <v>0</v>
      </c>
      <c r="EK34" s="454">
        <f>IF(OR('Parte Estrategica'!AO34=0,'Parte Estrategica'!AO34=""),0,IF(VLOOKUP($A34,'Matriz de Referencia'!$B$2:$CO$584,60,FALSE)=0,0,"Digite"))</f>
        <v>0</v>
      </c>
      <c r="EL34" s="382">
        <f t="shared" si="29"/>
        <v>0</v>
      </c>
      <c r="EM34" s="454">
        <f>IF(OR('Parte Estrategica'!AO34=0,'Parte Estrategica'!AO34=""),0,IF(VLOOKUP($A34,'Matriz de Referencia'!$B$2:$CO$584,62,FALSE)=0,0,"Digite"))</f>
        <v>0</v>
      </c>
      <c r="EN34" s="454">
        <f>IF(OR('Parte Estrategica'!AO34=0,'Parte Estrategica'!AO34=""),0,IF(VLOOKUP($A34,'Matriz de Referencia'!$B$2:$CO$584,63,FALSE)=0,0,"Digite"))</f>
        <v>0</v>
      </c>
      <c r="EO34" s="454">
        <f>IF(OR('Parte Estrategica'!AO34=0,'Parte Estrategica'!AO34=""),0,IF(VLOOKUP($A34,'Matriz de Referencia'!$B$2:$CO$584,64,FALSE)=0,0,"Digite"))</f>
        <v>0</v>
      </c>
      <c r="EP34" s="382">
        <f t="shared" si="30"/>
        <v>0</v>
      </c>
      <c r="EQ34" s="382">
        <f t="shared" si="31"/>
        <v>0</v>
      </c>
      <c r="ER34" s="453">
        <f>IF(OR('Parte Estrategica'!AP34=0,'Parte Estrategica'!AP34=""),0,IF(VLOOKUP($A34,'Matriz de Referencia'!$B$2:$CO$584,53,FALSE)=0,0,"Digite"))</f>
        <v>0</v>
      </c>
      <c r="ES34" s="454">
        <f>IF(OR('Parte Estrategica'!AP34=0,'Parte Estrategica'!AP34=""),0,IF(VLOOKUP($A34,'Matriz de Referencia'!$B$2:$CO$584,54,FALSE)=0,0,"Digite"))</f>
        <v>0</v>
      </c>
      <c r="ET34" s="454">
        <f>IF(OR('Parte Estrategica'!AP34=0,'Parte Estrategica'!AP34=""),0,IF(VLOOKUP($A34,'Matriz de Referencia'!$B$2:$CO$584,55,FALSE)=0,0,"Digite"))</f>
        <v>0</v>
      </c>
      <c r="EU34" s="454">
        <f>IF(OR('Parte Estrategica'!AP34=0,'Parte Estrategica'!AP34=""),0,IF(VLOOKUP($A34,'Matriz de Referencia'!$B$2:$CO$584,56,FALSE)=0,0,"Digite"))</f>
        <v>0</v>
      </c>
      <c r="EV34" s="454">
        <f>IF(OR('Parte Estrategica'!AP34=0,'Parte Estrategica'!AP34=""),0,IF(VLOOKUP($A34,'Matriz de Referencia'!$B$2:$CO$584,57,FALSE)=0,0,"Digite"))</f>
        <v>0</v>
      </c>
      <c r="EW34" s="454">
        <f>IF(OR('Parte Estrategica'!AP34=0,'Parte Estrategica'!AP34=""),0,IF(VLOOKUP($A34,'Matriz de Referencia'!$B$2:$CO$584,58,FALSE)=0,0,"Digite"))</f>
        <v>0</v>
      </c>
      <c r="EX34" s="454">
        <f>IF(OR('Parte Estrategica'!AP34=0,'Parte Estrategica'!AP34=""),0,IF(VLOOKUP($A34,'Matriz de Referencia'!$B$2:$CO$584,59,FALSE)=0,0,"Digite"))</f>
        <v>0</v>
      </c>
      <c r="EY34" s="454">
        <f>IF(OR('Parte Estrategica'!AP34=0,'Parte Estrategica'!AP34=""),0,IF(VLOOKUP($A34,'Matriz de Referencia'!$B$2:$CO$584,60,FALSE)=0,0,"Digite"))</f>
        <v>0</v>
      </c>
      <c r="EZ34" s="382">
        <f t="shared" si="32"/>
        <v>0</v>
      </c>
      <c r="FA34" s="454">
        <f>IF(OR('Parte Estrategica'!AP34=0,'Parte Estrategica'!AP34=""),0,IF(VLOOKUP($A34,'Matriz de Referencia'!$B$2:$CO$584,62,FALSE)=0,0,"Digite"))</f>
        <v>0</v>
      </c>
      <c r="FB34" s="454">
        <f>IF(OR('Parte Estrategica'!AP34=0,'Parte Estrategica'!AP34=""),0,IF(VLOOKUP($A34,'Matriz de Referencia'!$B$2:$CO$584,63,FALSE)=0,0,"Digite"))</f>
        <v>0</v>
      </c>
      <c r="FC34" s="454">
        <f>IF(OR('Parte Estrategica'!AP34=0,'Parte Estrategica'!AP34=""),0,IF(VLOOKUP($A34,'Matriz de Referencia'!$B$2:$CO$584,64,FALSE)=0,0,"Digite"))</f>
        <v>0</v>
      </c>
      <c r="FD34" s="382">
        <f t="shared" si="33"/>
        <v>0</v>
      </c>
      <c r="FE34" s="382">
        <f t="shared" si="34"/>
        <v>0</v>
      </c>
      <c r="FF34" s="453">
        <f>IF(OR('Parte Estrategica'!AQ34=0,'Parte Estrategica'!AQ34=""),0,IF(VLOOKUP($A34,'Matriz de Referencia'!$B$2:$CO$584,53,FALSE)=0,0,"Digite"))</f>
        <v>0</v>
      </c>
      <c r="FG34" s="454">
        <f>IF(OR('Parte Estrategica'!AQ34=0,'Parte Estrategica'!AQ34=""),0,IF(VLOOKUP($A34,'Matriz de Referencia'!$B$2:$CO$584,54,FALSE)=0,0,"Digite"))</f>
        <v>0</v>
      </c>
      <c r="FH34" s="454">
        <f>IF(OR('Parte Estrategica'!AQ34=0,'Parte Estrategica'!AQ34=""),0,IF(VLOOKUP($A34,'Matriz de Referencia'!$B$2:$CO$584,55,FALSE)=0,0,"Digite"))</f>
        <v>0</v>
      </c>
      <c r="FI34" s="454">
        <f>IF(OR('Parte Estrategica'!AQ34=0,'Parte Estrategica'!AQ34=""),0,IF(VLOOKUP($A34,'Matriz de Referencia'!$B$2:$CO$584,56,FALSE)=0,0,"Digite"))</f>
        <v>0</v>
      </c>
      <c r="FJ34" s="454">
        <f>IF(OR('Parte Estrategica'!AQ34=0,'Parte Estrategica'!AQ34=""),0,IF(VLOOKUP($A34,'Matriz de Referencia'!$B$2:$CO$584,57,FALSE)=0,0,"Digite"))</f>
        <v>0</v>
      </c>
      <c r="FK34" s="454">
        <f>IF(OR('Parte Estrategica'!AQ34=0,'Parte Estrategica'!AQ34=""),0,IF(VLOOKUP($A34,'Matriz de Referencia'!$B$2:$CO$584,58,FALSE)=0,0,"Digite"))</f>
        <v>0</v>
      </c>
      <c r="FL34" s="454">
        <f>IF(OR('Parte Estrategica'!AQ34=0,'Parte Estrategica'!AQ34=""),0,IF(VLOOKUP($A34,'Matriz de Referencia'!$B$2:$CO$584,59,FALSE)=0,0,"Digite"))</f>
        <v>0</v>
      </c>
      <c r="FM34" s="454">
        <f>IF(OR('Parte Estrategica'!AQ34=0,'Parte Estrategica'!AQ34=""),0,IF(VLOOKUP($A34,'Matriz de Referencia'!$B$2:$CO$584,60,FALSE)=0,0,"Digite"))</f>
        <v>0</v>
      </c>
      <c r="FN34" s="382">
        <f t="shared" si="35"/>
        <v>0</v>
      </c>
      <c r="FO34" s="454">
        <f>IF(OR('Parte Estrategica'!AQ34=0,'Parte Estrategica'!AQ34=""),0,IF(VLOOKUP($A34,'Matriz de Referencia'!$B$2:$CO$584,62,FALSE)=0,0,"Digite"))</f>
        <v>0</v>
      </c>
      <c r="FP34" s="454">
        <f>IF(OR('Parte Estrategica'!AQ34=0,'Parte Estrategica'!AQ34=""),0,IF(VLOOKUP($A34,'Matriz de Referencia'!$B$2:$CO$584,63,FALSE)=0,0,"Digite"))</f>
        <v>0</v>
      </c>
      <c r="FQ34" s="454">
        <f>IF(OR('Parte Estrategica'!AQ34=0,'Parte Estrategica'!AQ34=""),0,IF(VLOOKUP($A34,'Matriz de Referencia'!$B$2:$CO$584,64,FALSE)=0,0,"Digite"))</f>
        <v>0</v>
      </c>
      <c r="FR34" s="382">
        <f t="shared" si="36"/>
        <v>0</v>
      </c>
      <c r="FS34" s="382">
        <f t="shared" si="37"/>
        <v>0</v>
      </c>
      <c r="FT34" s="382">
        <f t="shared" si="38"/>
        <v>0</v>
      </c>
      <c r="FU34" s="101" t="str">
        <f>IFERROR(IF(FT34=0,"",IF(VLOOKUP($A34,'Matriz de Referencia'!$B$2:$CO$584,66,FALSE)=FT34,"Techos ok, cotinue","Debe revisar el valor programado")),"")</f>
        <v/>
      </c>
      <c r="FV34" s="453">
        <f>IF(OR('Parte Estrategica'!AT34=0,'Parte Estrategica'!AT34=""),0,IF(VLOOKUP($A34,'Matriz de Referencia'!$B$2:$CO$584,67,FALSE)=0,0,"Digite"))</f>
        <v>0</v>
      </c>
      <c r="FW34" s="454">
        <f>IF(OR('Parte Estrategica'!AT34=0,'Parte Estrategica'!AT34=""),0,IF(VLOOKUP($A34,'Matriz de Referencia'!$B$2:$CO$584,68,FALSE)=0,0,"Digite"))</f>
        <v>0</v>
      </c>
      <c r="FX34" s="454">
        <f>IF(OR('Parte Estrategica'!AT34=0,'Parte Estrategica'!AT34=""),0,IF(VLOOKUP($A34,'Matriz de Referencia'!$B$2:$CO$584,69,FALSE)=0,0,"Digite"))</f>
        <v>0</v>
      </c>
      <c r="FY34" s="454">
        <f>IF(OR('Parte Estrategica'!AT34=0,'Parte Estrategica'!AT34=""),0,IF(VLOOKUP($A34,'Matriz de Referencia'!$B$2:$CO$584,70,FALSE)=0,0,"Digite"))</f>
        <v>0</v>
      </c>
      <c r="FZ34" s="454">
        <f>IF(OR('Parte Estrategica'!AT34=0,'Parte Estrategica'!AT34=""),0,IF(VLOOKUP($A34,'Matriz de Referencia'!$B$2:$CO$584,71,FALSE)=0,0,"Digite"))</f>
        <v>0</v>
      </c>
      <c r="GA34" s="454">
        <f>IF(OR('Parte Estrategica'!AT34=0,'Parte Estrategica'!AT34=""),0,IF(VLOOKUP($A34,'Matriz de Referencia'!$B$2:$CO$584,72,FALSE)=0,0,"Digite"))</f>
        <v>0</v>
      </c>
      <c r="GB34" s="454">
        <f>IF(OR('Parte Estrategica'!AT34=0,'Parte Estrategica'!AT34=""),0,IF(VLOOKUP($A34,'Matriz de Referencia'!$B$2:$CO$584,73,FALSE)=0,0,"Digite"))</f>
        <v>0</v>
      </c>
      <c r="GC34" s="454">
        <f>IF(OR('Parte Estrategica'!AT34=0,'Parte Estrategica'!AT34=""),0,IF(VLOOKUP($A34,'Matriz de Referencia'!$B$2:$CO$584,74,FALSE)=0,0,"Digite"))</f>
        <v>0</v>
      </c>
      <c r="GD34" s="382">
        <f t="shared" si="39"/>
        <v>0</v>
      </c>
      <c r="GE34" s="454">
        <f>IF(OR('Parte Estrategica'!AT34=0,'Parte Estrategica'!AT34=""),0,IF(VLOOKUP($A34,'Matriz de Referencia'!$B$2:$CO$584,76,FALSE)=0,0,"Digite"))</f>
        <v>0</v>
      </c>
      <c r="GF34" s="454">
        <f>IF(OR('Parte Estrategica'!AT34=0,'Parte Estrategica'!AT34=""),0,IF(VLOOKUP($A34,'Matriz de Referencia'!$B$2:$CO$584,77,FALSE)=0,0,"Digite"))</f>
        <v>0</v>
      </c>
      <c r="GG34" s="454">
        <f>IF(OR('Parte Estrategica'!AT34=0,'Parte Estrategica'!AT34=""),0,IF(VLOOKUP($A34,'Matriz de Referencia'!$B$2:$CO$584,78,FALSE)=0,0,"Digite"))</f>
        <v>0</v>
      </c>
      <c r="GH34" s="382">
        <f t="shared" si="40"/>
        <v>0</v>
      </c>
      <c r="GI34" s="382">
        <f t="shared" si="41"/>
        <v>0</v>
      </c>
      <c r="GJ34" s="453">
        <f>IF(OR('Parte Estrategica'!AU34=0,'Parte Estrategica'!AU34=""),0,IF(VLOOKUP($A34,'Matriz de Referencia'!$B$2:$CO$584,67,FALSE)=0,0,"Digite"))</f>
        <v>0</v>
      </c>
      <c r="GK34" s="454">
        <f>IF(OR('Parte Estrategica'!AU34=0,'Parte Estrategica'!AU34=""),0,IF(VLOOKUP($A34,'Matriz de Referencia'!$B$2:$CO$584,68,FALSE)=0,0,"Digite"))</f>
        <v>0</v>
      </c>
      <c r="GL34" s="454">
        <f>IF(OR('Parte Estrategica'!AU34=0,'Parte Estrategica'!AU34=""),0,IF(VLOOKUP($A34,'Matriz de Referencia'!$B$2:$CO$584,69,FALSE)=0,0,"Digite"))</f>
        <v>0</v>
      </c>
      <c r="GM34" s="454">
        <f>IF(OR('Parte Estrategica'!AU34=0,'Parte Estrategica'!AU34=""),0,IF(VLOOKUP($A34,'Matriz de Referencia'!$B$2:$CO$584,70,FALSE)=0,0,"Digite"))</f>
        <v>0</v>
      </c>
      <c r="GN34" s="454">
        <f>IF(OR('Parte Estrategica'!AU34=0,'Parte Estrategica'!AU34=""),0,IF(VLOOKUP($A34,'Matriz de Referencia'!$B$2:$CO$584,71,FALSE)=0,0,"Digite"))</f>
        <v>0</v>
      </c>
      <c r="GO34" s="454">
        <f>IF(OR('Parte Estrategica'!AU34=0,'Parte Estrategica'!AU34=""),0,IF(VLOOKUP($A34,'Matriz de Referencia'!$B$2:$CO$584,72,FALSE)=0,0,"Digite"))</f>
        <v>0</v>
      </c>
      <c r="GP34" s="454">
        <f>IF(OR('Parte Estrategica'!AU34=0,'Parte Estrategica'!AU34=""),0,IF(VLOOKUP($A34,'Matriz de Referencia'!$B$2:$CO$584,73,FALSE)=0,0,"Digite"))</f>
        <v>0</v>
      </c>
      <c r="GQ34" s="454">
        <f>IF(OR('Parte Estrategica'!AU34=0,'Parte Estrategica'!AU34=""),0,IF(VLOOKUP($A34,'Matriz de Referencia'!$B$2:$CO$584,74,FALSE)=0,0,"Digite"))</f>
        <v>0</v>
      </c>
      <c r="GR34" s="382">
        <f t="shared" si="42"/>
        <v>0</v>
      </c>
      <c r="GS34" s="454">
        <f>IF(OR('Parte Estrategica'!AU34=0,'Parte Estrategica'!AU34=""),0,IF(VLOOKUP($A34,'Matriz de Referencia'!$B$2:$CO$584,76,FALSE)=0,0,"Digite"))</f>
        <v>0</v>
      </c>
      <c r="GT34" s="454">
        <f>IF(OR('Parte Estrategica'!AU34=0,'Parte Estrategica'!AU34=""),0,IF(VLOOKUP($A34,'Matriz de Referencia'!$B$2:$CO$584,77,FALSE)=0,0,"Digite"))</f>
        <v>0</v>
      </c>
      <c r="GU34" s="454">
        <f>IF(OR('Parte Estrategica'!AU34=0,'Parte Estrategica'!AU34=""),0,IF(VLOOKUP($A34,'Matriz de Referencia'!$B$2:$CO$584,78,FALSE)=0,0,"Digite"))</f>
        <v>0</v>
      </c>
      <c r="GV34" s="382">
        <f t="shared" si="43"/>
        <v>0</v>
      </c>
      <c r="GW34" s="382">
        <f t="shared" si="44"/>
        <v>0</v>
      </c>
      <c r="GX34" s="453">
        <f>IF(OR('Parte Estrategica'!AV34=0,'Parte Estrategica'!AV34=""),0,IF(VLOOKUP($A34,'Matriz de Referencia'!$B$2:$CO$584,67,FALSE)=0,0,"Digite"))</f>
        <v>0</v>
      </c>
      <c r="GY34" s="454">
        <f>IF(OR('Parte Estrategica'!AV34=0,'Parte Estrategica'!AV34=""),0,IF(VLOOKUP($A34,'Matriz de Referencia'!$B$2:$CO$584,68,FALSE)=0,0,"Digite"))</f>
        <v>0</v>
      </c>
      <c r="GZ34" s="454">
        <f>IF(OR('Parte Estrategica'!AV34=0,'Parte Estrategica'!AV34=""),0,IF(VLOOKUP($A34,'Matriz de Referencia'!$B$2:$CO$584,69,FALSE)=0,0,"Digite"))</f>
        <v>0</v>
      </c>
      <c r="HA34" s="454">
        <f>IF(OR('Parte Estrategica'!AV34=0,'Parte Estrategica'!AV34=""),0,IF(VLOOKUP($A34,'Matriz de Referencia'!$B$2:$CO$584,70,FALSE)=0,0,"Digite"))</f>
        <v>0</v>
      </c>
      <c r="HB34" s="454">
        <f>IF(OR('Parte Estrategica'!AV34=0,'Parte Estrategica'!AV34=""),0,IF(VLOOKUP($A34,'Matriz de Referencia'!$B$2:$CO$584,71,FALSE)=0,0,"Digite"))</f>
        <v>0</v>
      </c>
      <c r="HC34" s="454">
        <f>IF(OR('Parte Estrategica'!AV34=0,'Parte Estrategica'!AV34=""),0,IF(VLOOKUP($A34,'Matriz de Referencia'!$B$2:$CO$584,72,FALSE)=0,0,"Digite"))</f>
        <v>0</v>
      </c>
      <c r="HD34" s="454">
        <f>IF(OR('Parte Estrategica'!AV34=0,'Parte Estrategica'!AV34=""),0,IF(VLOOKUP($A34,'Matriz de Referencia'!$B$2:$CO$584,73,FALSE)=0,0,"Digite"))</f>
        <v>0</v>
      </c>
      <c r="HE34" s="454">
        <f>IF(OR('Parte Estrategica'!AV34=0,'Parte Estrategica'!AV34=""),0,IF(VLOOKUP($A34,'Matriz de Referencia'!$B$2:$CO$584,74,FALSE)=0,0,"Digite"))</f>
        <v>0</v>
      </c>
      <c r="HF34" s="382">
        <f t="shared" si="45"/>
        <v>0</v>
      </c>
      <c r="HG34" s="454">
        <f>IF(OR('Parte Estrategica'!AV34=0,'Parte Estrategica'!AV34=""),0,IF(VLOOKUP($A34,'Matriz de Referencia'!$B$2:$CO$584,76,FALSE)=0,0,"Digite"))</f>
        <v>0</v>
      </c>
      <c r="HH34" s="454">
        <f>IF(OR('Parte Estrategica'!AV34=0,'Parte Estrategica'!AV34=""),0,IF(VLOOKUP($A34,'Matriz de Referencia'!$B$2:$CO$584,77,FALSE)=0,0,"Digite"))</f>
        <v>0</v>
      </c>
      <c r="HI34" s="454">
        <f>IF(OR('Parte Estrategica'!AV34=0,'Parte Estrategica'!AV34=""),0,IF(VLOOKUP($A34,'Matriz de Referencia'!$B$2:$CO$584,78,FALSE)=0,0,"Digite"))</f>
        <v>0</v>
      </c>
      <c r="HJ34" s="382">
        <f t="shared" si="46"/>
        <v>0</v>
      </c>
      <c r="HK34" s="382">
        <f t="shared" si="47"/>
        <v>0</v>
      </c>
      <c r="HL34" s="453">
        <f>IF(OR('Parte Estrategica'!AW34=0,'Parte Estrategica'!AW34=""),0,IF(VLOOKUP($A34,'Matriz de Referencia'!$B$2:$CO$584,67,FALSE)=0,0,"Digite"))</f>
        <v>0</v>
      </c>
      <c r="HM34" s="454">
        <f>IF(OR('Parte Estrategica'!AW34=0,'Parte Estrategica'!AW34=""),0,IF(VLOOKUP($A34,'Matriz de Referencia'!$B$2:$CO$584,68,FALSE)=0,0,"Digite"))</f>
        <v>0</v>
      </c>
      <c r="HN34" s="454">
        <f>IF(OR('Parte Estrategica'!AW34=0,'Parte Estrategica'!AW34=""),0,IF(VLOOKUP($A34,'Matriz de Referencia'!$B$2:$CO$584,69,FALSE)=0,0,"Digite"))</f>
        <v>0</v>
      </c>
      <c r="HO34" s="454">
        <f>IF(OR('Parte Estrategica'!AW34=0,'Parte Estrategica'!AW34=""),0,IF(VLOOKUP($A34,'Matriz de Referencia'!$B$2:$CO$584,70,FALSE)=0,0,"Digite"))</f>
        <v>0</v>
      </c>
      <c r="HP34" s="454">
        <f>IF(OR('Parte Estrategica'!AW34=0,'Parte Estrategica'!AW34=""),0,IF(VLOOKUP($A34,'Matriz de Referencia'!$B$2:$CO$584,71,FALSE)=0,0,"Digite"))</f>
        <v>0</v>
      </c>
      <c r="HQ34" s="454">
        <f>IF(OR('Parte Estrategica'!AW34=0,'Parte Estrategica'!AW34=""),0,IF(VLOOKUP($A34,'Matriz de Referencia'!$B$2:$CO$584,72,FALSE)=0,0,"Digite"))</f>
        <v>0</v>
      </c>
      <c r="HR34" s="454">
        <f>IF(OR('Parte Estrategica'!AW34=0,'Parte Estrategica'!AW34=""),0,IF(VLOOKUP($A34,'Matriz de Referencia'!$B$2:$CO$584,73,FALSE)=0,0,"Digite"))</f>
        <v>0</v>
      </c>
      <c r="HS34" s="454">
        <f>IF(OR('Parte Estrategica'!AW34=0,'Parte Estrategica'!AW34=""),0,IF(VLOOKUP($A34,'Matriz de Referencia'!$B$2:$CO$584,74,FALSE)=0,0,"Digite"))</f>
        <v>0</v>
      </c>
      <c r="HT34" s="382">
        <f t="shared" si="48"/>
        <v>0</v>
      </c>
      <c r="HU34" s="454">
        <f>IF(OR('Parte Estrategica'!AW34=0,'Parte Estrategica'!AW34=""),0,IF(VLOOKUP($A34,'Matriz de Referencia'!$B$2:$CO$584,76,FALSE)=0,0,"Digite"))</f>
        <v>0</v>
      </c>
      <c r="HV34" s="454">
        <f>IF(OR('Parte Estrategica'!AW34=0,'Parte Estrategica'!AW34=""),0,IF(VLOOKUP($A34,'Matriz de Referencia'!$B$2:$CO$584,77,FALSE)=0,0,"Digite"))</f>
        <v>0</v>
      </c>
      <c r="HW34" s="454">
        <f>IF(OR('Parte Estrategica'!AW34=0,'Parte Estrategica'!AW34=""),0,IF(VLOOKUP($A34,'Matriz de Referencia'!$B$2:$CO$584,78,FALSE)=0,0,"Digite"))</f>
        <v>0</v>
      </c>
      <c r="HX34" s="382">
        <f t="shared" si="49"/>
        <v>0</v>
      </c>
      <c r="HY34" s="382">
        <f t="shared" si="50"/>
        <v>0</v>
      </c>
      <c r="HZ34" s="382">
        <f t="shared" si="51"/>
        <v>0</v>
      </c>
      <c r="IA34" s="101" t="str">
        <f>IFERROR(IF(HZ34=0,"",IF(VLOOKUP($A34,'Matriz de Referencia'!$B$2:$CO$584,80,FALSE)=HZ34,"Techos ok, cotinue","Debe revisar el valor programado")),"")</f>
        <v/>
      </c>
      <c r="IB34" s="383">
        <f t="shared" si="52"/>
        <v>0</v>
      </c>
    </row>
    <row r="35" spans="1:236">
      <c r="A35" s="550" t="str">
        <f>IF('Parte Estrategica'!B35=0,"",'Parte Estrategica'!B35)</f>
        <v/>
      </c>
      <c r="B35" s="551" t="str">
        <f>IFERROR(VLOOKUP(A35,'Matriz de Referencia'!$B$2:$P$578,'Matriz de Referencia'!L$1,FALSE),"")</f>
        <v/>
      </c>
      <c r="C35" s="551" t="str">
        <f>IFERROR(VLOOKUP(A35,'Matriz de Referencia'!$B$2:$P$584,'Matriz de Referencia'!M$1,FALSE),"")</f>
        <v/>
      </c>
      <c r="D35" s="455" t="str">
        <f>IF(OR('Parte Estrategica'!AB35=0,'Parte Estrategica'!AB35=""),"",IF(VLOOKUP($A35,'Matriz de Referencia'!$B$2:$CO$584,'Matriz de Referencia'!Z$1,FALSE)=0,"","Digite"))</f>
        <v/>
      </c>
      <c r="E35" s="456">
        <f>IF(OR('Parte Estrategica'!AB35=0,'Parte Estrategica'!AB35=""),0,IF(VLOOKUP($A35,'Matriz de Referencia'!$B$2:$CO$584,26,FALSE)=0,0,"Digite"))</f>
        <v>0</v>
      </c>
      <c r="F35" s="456">
        <f>IF(OR('Parte Estrategica'!AB35=0,'Parte Estrategica'!AB35=""),0,IF(VLOOKUP($A35,'Matriz de Referencia'!$B$2:$CO$584,27,FALSE)=0,0,"Digite"))</f>
        <v>0</v>
      </c>
      <c r="G35" s="456">
        <f>IF(OR('Parte Estrategica'!AB35=0,'Parte Estrategica'!AB35=""),0,IF(VLOOKUP($A35,'Matriz de Referencia'!$B$2:$CO$584,28,FALSE)=0,0,"Digite"))</f>
        <v>0</v>
      </c>
      <c r="H35" s="456">
        <f>IF(OR('Parte Estrategica'!AB35=0,'Parte Estrategica'!AB35=""),0,IF(VLOOKUP($A35,'Matriz de Referencia'!$B$2:$CO$584,29,FALSE)=0,0,"Digite"))</f>
        <v>0</v>
      </c>
      <c r="I35" s="456">
        <f>IF(OR('Parte Estrategica'!AB35=0,'Parte Estrategica'!AB35=""),0,IF(VLOOKUP($A35,'Matriz de Referencia'!$B$2:$CO$584,30,FALSE)=0,0,"Digite"))</f>
        <v>0</v>
      </c>
      <c r="J35" s="456">
        <f>IF(OR('Parte Estrategica'!AB35=0,'Parte Estrategica'!AB35=""),0,IF(VLOOKUP($A35,'Matriz de Referencia'!$B$2:$CO$584,31,FALSE)=0,0,"Digite"))</f>
        <v>0</v>
      </c>
      <c r="K35" s="456">
        <f>IF(OR('Parte Estrategica'!AB35=0,'Parte Estrategica'!AB35=""),0,IF(VLOOKUP($A35,'Matriz de Referencia'!$B$2:$CO$584,32,FALSE)=0,0,"Digite"))</f>
        <v>0</v>
      </c>
      <c r="L35" s="460">
        <f t="shared" si="0"/>
        <v>0</v>
      </c>
      <c r="M35" s="456">
        <f>IF(OR('Parte Estrategica'!AB35=0,'Parte Estrategica'!AB35=""),0,IF(VLOOKUP($A35,'Matriz de Referencia'!$B$2:$CO$584,34,FALSE)=0,0,"Digite"))</f>
        <v>0</v>
      </c>
      <c r="N35" s="456">
        <f>IF(OR('Parte Estrategica'!AB35=0,'Parte Estrategica'!AB35=""),0,IF(VLOOKUP($A35,'Matriz de Referencia'!$B$2:$CO$584,35,FALSE)=0,0,"Digite"))</f>
        <v>0</v>
      </c>
      <c r="O35" s="456">
        <f>IF(OR('Parte Estrategica'!AB35=0,'Parte Estrategica'!AB35=""),0,IF(VLOOKUP($A35,'Matriz de Referencia'!$B$2:$CO$584,36,FALSE)=0,0,"Digite"))</f>
        <v>0</v>
      </c>
      <c r="P35" s="457">
        <f t="shared" si="1"/>
        <v>0</v>
      </c>
      <c r="Q35" s="457">
        <f t="shared" si="2"/>
        <v>0</v>
      </c>
      <c r="R35" s="455">
        <f>IF(OR('Parte Estrategica'!AC35=0,'Parte Estrategica'!AC35=""),0,IF(VLOOKUP($A35,'Matriz de Referencia'!$B$2:$CO$584,25,FALSE)=0,0,"Digite"))</f>
        <v>0</v>
      </c>
      <c r="S35" s="456">
        <f>IF(OR('Parte Estrategica'!AC35=0,'Parte Estrategica'!AC35=""),0,IF(VLOOKUP($A35,'Matriz de Referencia'!$B$2:$CO$584,26,FALSE)=0,0,"Digite"))</f>
        <v>0</v>
      </c>
      <c r="T35" s="456">
        <f>IF(OR('Parte Estrategica'!AC35=0,'Parte Estrategica'!AC35=""),0,IF(VLOOKUP($A35,'Matriz de Referencia'!$B$2:$CO$584,27,FALSE)=0,0,"Digite"))</f>
        <v>0</v>
      </c>
      <c r="U35" s="456">
        <f>IF(OR('Parte Estrategica'!AC35=0,'Parte Estrategica'!AC35=""),0,IF(VLOOKUP($A35,'Matriz de Referencia'!$B$2:$CO$584,28,FALSE)=0,0,"Digite"))</f>
        <v>0</v>
      </c>
      <c r="V35" s="456">
        <f>IF(OR('Parte Estrategica'!AC35=0,'Parte Estrategica'!AC35=""),0,IF(VLOOKUP($A35,'Matriz de Referencia'!$B$2:$CO$584,29,FALSE)=0,0,"Digite"))</f>
        <v>0</v>
      </c>
      <c r="W35" s="456">
        <f>IF(OR('Parte Estrategica'!AC35=0,'Parte Estrategica'!AC35=""),0,IF(VLOOKUP($A35,'Matriz de Referencia'!$B$2:$CO$584,30,FALSE)=0,0,"Digite"))</f>
        <v>0</v>
      </c>
      <c r="X35" s="456">
        <f>IF(OR('Parte Estrategica'!AC35=0,'Parte Estrategica'!AC35=""),0,IF(VLOOKUP($A35,'Matriz de Referencia'!$B$2:$CO$584,31,FALSE)=0,0,"Digite"))</f>
        <v>0</v>
      </c>
      <c r="Y35" s="456">
        <f>IF(OR('Parte Estrategica'!AC35=0,'Parte Estrategica'!AC35=""),0,IF(VLOOKUP($A35,'Matriz de Referencia'!$B$2:$CO$584,32,FALSE)=0,0,"Digite"))</f>
        <v>0</v>
      </c>
      <c r="Z35" s="457">
        <f t="shared" si="3"/>
        <v>0</v>
      </c>
      <c r="AA35" s="456">
        <f>IF(OR('Parte Estrategica'!AC35=0,'Parte Estrategica'!AC35=""),0,IF(VLOOKUP($A35,'Matriz de Referencia'!$B$2:$CO$584,34,FALSE)=0,0,"Digite"))</f>
        <v>0</v>
      </c>
      <c r="AB35" s="456">
        <f>IF(OR('Parte Estrategica'!AC35=0,'Parte Estrategica'!AC35=""),0,IF(VLOOKUP($A35,'Matriz de Referencia'!$B$2:$CO$584,35,FALSE)=0,0,"Digite"))</f>
        <v>0</v>
      </c>
      <c r="AC35" s="456">
        <f>IF(OR('Parte Estrategica'!AC35=0,'Parte Estrategica'!AC35=""),0,IF(VLOOKUP($A35,'Matriz de Referencia'!$B$2:$CO$584,36,FALSE)=0,0,"Digite"))</f>
        <v>0</v>
      </c>
      <c r="AD35" s="457">
        <f t="shared" si="4"/>
        <v>0</v>
      </c>
      <c r="AE35" s="457">
        <f t="shared" si="5"/>
        <v>0</v>
      </c>
      <c r="AF35" s="455">
        <f>IF(OR('Parte Estrategica'!AD35=0,'Parte Estrategica'!AD35=""),0,IF(VLOOKUP($A35,'Matriz de Referencia'!$B$2:$CO$584,25,FALSE)=0,0,"Digite"))</f>
        <v>0</v>
      </c>
      <c r="AG35" s="456">
        <f>IF(OR('Parte Estrategica'!AD35=0,'Parte Estrategica'!AD35=""),0,IF(VLOOKUP($A35,'Matriz de Referencia'!$B$2:$CO$584,26,FALSE)=0,0,"Digite"))</f>
        <v>0</v>
      </c>
      <c r="AH35" s="456">
        <f>IF(OR('Parte Estrategica'!AD35=0,'Parte Estrategica'!AD35=""),0,IF(VLOOKUP($A35,'Matriz de Referencia'!$B$2:$CO$584,27,FALSE)=0,0,"Digite"))</f>
        <v>0</v>
      </c>
      <c r="AI35" s="456">
        <f>IF(OR('Parte Estrategica'!AD35=0,'Parte Estrategica'!AD35=""),0,IF(VLOOKUP($A35,'Matriz de Referencia'!$B$2:$CO$584,28,FALSE)=0,0,"Digite"))</f>
        <v>0</v>
      </c>
      <c r="AJ35" s="456">
        <f>IF(OR('Parte Estrategica'!AD35=0,'Parte Estrategica'!AD35=""),0,IF(VLOOKUP($A35,'Matriz de Referencia'!$B$2:$CO$584,29,FALSE)=0,0,"Digite"))</f>
        <v>0</v>
      </c>
      <c r="AK35" s="456">
        <f>IF(OR('Parte Estrategica'!AD35=0,'Parte Estrategica'!AD35=""),0,IF(VLOOKUP($A35,'Matriz de Referencia'!$B$2:$CO$584,30,FALSE)=0,0,"Digite"))</f>
        <v>0</v>
      </c>
      <c r="AL35" s="456">
        <f>IF(OR('Parte Estrategica'!AD35=0,'Parte Estrategica'!AD35=""),0,IF(VLOOKUP($A35,'Matriz de Referencia'!$B$2:$CO$584,31,FALSE)=0,0,"Digite"))</f>
        <v>0</v>
      </c>
      <c r="AM35" s="456">
        <f>IF(OR('Parte Estrategica'!AD35=0,'Parte Estrategica'!AD35=""),0,IF(VLOOKUP($A35,'Matriz de Referencia'!$B$2:$CO$584,32,FALSE)=0,0,"Digite"))</f>
        <v>0</v>
      </c>
      <c r="AN35" s="457">
        <f t="shared" si="6"/>
        <v>0</v>
      </c>
      <c r="AO35" s="456">
        <f>IF(OR('Parte Estrategica'!AD35=0,'Parte Estrategica'!AD35=""),0,IF(VLOOKUP($A35,'Matriz de Referencia'!$B$2:$CO$584,34,FALSE)=0,0,"Digite"))</f>
        <v>0</v>
      </c>
      <c r="AP35" s="456">
        <f>IF(OR('Parte Estrategica'!AD35=0,'Parte Estrategica'!AD35=""),0,IF(VLOOKUP($A35,'Matriz de Referencia'!$B$2:$CO$584,35,FALSE)=0,0,"Digite"))</f>
        <v>0</v>
      </c>
      <c r="AQ35" s="456">
        <f>IF(OR('Parte Estrategica'!AD35=0,'Parte Estrategica'!AD35=""),0,IF(VLOOKUP($A35,'Matriz de Referencia'!$B$2:$CO$584,36,FALSE)=0,0,"Digite"))</f>
        <v>0</v>
      </c>
      <c r="AR35" s="457">
        <f t="shared" si="7"/>
        <v>0</v>
      </c>
      <c r="AS35" s="457">
        <f t="shared" si="8"/>
        <v>0</v>
      </c>
      <c r="AT35" s="455">
        <f>IF(OR('Parte Estrategica'!AE35=0,'Parte Estrategica'!AE35=""),0,IF(VLOOKUP($A35,'Matriz de Referencia'!$B$2:$CO$584,25,FALSE)=0,0,"Digite"))</f>
        <v>0</v>
      </c>
      <c r="AU35" s="456">
        <f>IF(OR('Parte Estrategica'!AE35=0,'Parte Estrategica'!AE35=""),0,IF(VLOOKUP($A35,'Matriz de Referencia'!$B$2:$CO$584,26,FALSE)=0,0,"Digite"))</f>
        <v>0</v>
      </c>
      <c r="AV35" s="456">
        <f>IF(OR('Parte Estrategica'!AE35=0,'Parte Estrategica'!AE35=""),0,IF(VLOOKUP($A35,'Matriz de Referencia'!$B$2:$CO$584,27,FALSE)=0,0,"Digite"))</f>
        <v>0</v>
      </c>
      <c r="AW35" s="456">
        <f>IF(OR('Parte Estrategica'!AE35=0,'Parte Estrategica'!AE35=""),0,IF(VLOOKUP($A35,'Matriz de Referencia'!$B$2:$CO$584,28,FALSE)=0,0,"Digite"))</f>
        <v>0</v>
      </c>
      <c r="AX35" s="456">
        <f>IF(OR('Parte Estrategica'!AE35=0,'Parte Estrategica'!AE35=""),0,IF(VLOOKUP($A35,'Matriz de Referencia'!$B$2:$CO$584,29,FALSE)=0,0,"Digite"))</f>
        <v>0</v>
      </c>
      <c r="AY35" s="456">
        <f>IF(OR('Parte Estrategica'!AE35=0,'Parte Estrategica'!AE35=""),0,IF(VLOOKUP($A35,'Matriz de Referencia'!$B$2:$CO$584,30,FALSE)=0,0,"Digite"))</f>
        <v>0</v>
      </c>
      <c r="AZ35" s="456">
        <f>IF(OR('Parte Estrategica'!AE35=0,'Parte Estrategica'!AE35=""),0,IF(VLOOKUP($A35,'Matriz de Referencia'!$B$2:$CO$584,31,FALSE)=0,0,"Digite"))</f>
        <v>0</v>
      </c>
      <c r="BA35" s="456">
        <f>IF(OR('Parte Estrategica'!AE35=0,'Parte Estrategica'!AE35=""),0,IF(VLOOKUP($A35,'Matriz de Referencia'!$B$2:$CO$584,32,FALSE)=0,0,"Digite"))</f>
        <v>0</v>
      </c>
      <c r="BB35" s="457">
        <f t="shared" si="9"/>
        <v>0</v>
      </c>
      <c r="BC35" s="456">
        <f>IF(OR('Parte Estrategica'!AE35=0,'Parte Estrategica'!AE35=""),0,IF(VLOOKUP($A35,'Matriz de Referencia'!$B$2:$CO$584,34,FALSE)=0,0,"Digite"))</f>
        <v>0</v>
      </c>
      <c r="BD35" s="456">
        <f>IF(OR('Parte Estrategica'!AE35=0,'Parte Estrategica'!AE35=""),0,IF(VLOOKUP($A35,'Matriz de Referencia'!$B$2:$CO$584,35,FALSE)=0,0,"Digite"))</f>
        <v>0</v>
      </c>
      <c r="BE35" s="456">
        <f>IF(OR('Parte Estrategica'!AE35=0,'Parte Estrategica'!AE35=""),0,IF(VLOOKUP($A35,'Matriz de Referencia'!$B$2:$CO$584,36,FALSE)=0,0,"Digite"))</f>
        <v>0</v>
      </c>
      <c r="BF35" s="457">
        <f t="shared" si="10"/>
        <v>0</v>
      </c>
      <c r="BG35" s="457">
        <f t="shared" si="11"/>
        <v>0</v>
      </c>
      <c r="BH35" s="457">
        <f t="shared" si="12"/>
        <v>0</v>
      </c>
      <c r="BI35" s="101" t="str">
        <f>IFERROR(IF(BH35=0,"",IF(VLOOKUP($A35,'Matriz de Referencia'!$B$2:$CO$584,'Matriz de Referencia'!AM$1,FALSE)=BH35,"Techos ok, cotinue","Debe revisar el valor programado")),"")</f>
        <v/>
      </c>
      <c r="BJ35" s="453">
        <f>IF(OR('Parte Estrategica'!AH35=0,'Parte Estrategica'!AH35=""),0,IF(VLOOKUP($A35,'Matriz de Referencia'!$B$2:$CO$584,39,FALSE)=0,0,"Digite"))</f>
        <v>0</v>
      </c>
      <c r="BK35" s="454">
        <f>IF(OR('Parte Estrategica'!AH35=0,'Parte Estrategica'!AH35=""),0,IF(VLOOKUP($A35,'Matriz de Referencia'!$B$2:$CO$584,40,FALSE)=0,0,"Digite"))</f>
        <v>0</v>
      </c>
      <c r="BL35" s="454">
        <f>IF(OR('Parte Estrategica'!AH35=0,'Parte Estrategica'!AH35=""),0,IF(VLOOKUP($A35,'Matriz de Referencia'!$B$2:$CO$584,41,FALSE)=0,0,"Digite"))</f>
        <v>0</v>
      </c>
      <c r="BM35" s="454">
        <f>IF(OR('Parte Estrategica'!AH35=0,'Parte Estrategica'!AH35=""),0,IF(VLOOKUP($A35,'Matriz de Referencia'!$B$2:$CO$584,42,FALSE)=0,0,"Digite"))</f>
        <v>0</v>
      </c>
      <c r="BN35" s="454">
        <f>IF(OR('Parte Estrategica'!AH35=0,'Parte Estrategica'!AH35=""),0,IF(VLOOKUP($A35,'Matriz de Referencia'!$B$2:$CO$584,43,FALSE)=0,0,"Digite"))</f>
        <v>0</v>
      </c>
      <c r="BO35" s="454">
        <f>IF(OR('Parte Estrategica'!AH35=0,'Parte Estrategica'!AH35=""),0,IF(VLOOKUP($A35,'Matriz de Referencia'!$B$2:$CO$584,44,FALSE)=0,0,"Digite"))</f>
        <v>0</v>
      </c>
      <c r="BP35" s="454">
        <f>IF(OR('Parte Estrategica'!AH35=0,'Parte Estrategica'!AH35=""),0,IF(VLOOKUP($A35,'Matriz de Referencia'!$B$2:$CO$584,45,FALSE)=0,0,"Digite"))</f>
        <v>0</v>
      </c>
      <c r="BQ35" s="454">
        <f>IF(OR('Parte Estrategica'!AH35=0,'Parte Estrategica'!AH35=""),0,IF(VLOOKUP($A35,'Matriz de Referencia'!$B$2:$CO$584,46,FALSE)=0,0,"Digite"))</f>
        <v>0</v>
      </c>
      <c r="BR35" s="382">
        <f t="shared" si="13"/>
        <v>0</v>
      </c>
      <c r="BS35" s="454">
        <f>IF(OR('Parte Estrategica'!CL35=0,'Parte Estrategica'!CL35=""),0,IF(VLOOKUP($A35,'Matriz de Referencia'!$B$2:$CO$584,48,FALSE)=0,0,"Digite"))</f>
        <v>0</v>
      </c>
      <c r="BT35" s="454">
        <f>IF(OR('Parte Estrategica'!CL35=0,'Parte Estrategica'!CL35=""),0,IF(VLOOKUP($A35,'Matriz de Referencia'!$B$2:$CO$584,49,FALSE)=0,0,"Digite"))</f>
        <v>0</v>
      </c>
      <c r="BU35" s="454">
        <f>IF(OR('Parte Estrategica'!CL35=0,'Parte Estrategica'!CL35=""),0,IF(VLOOKUP($A35,'Matriz de Referencia'!$B$2:$CO$584,50,FALSE)=0,0,"Digite"))</f>
        <v>0</v>
      </c>
      <c r="BV35" s="382">
        <f t="shared" si="14"/>
        <v>0</v>
      </c>
      <c r="BW35" s="382">
        <f t="shared" si="15"/>
        <v>0</v>
      </c>
      <c r="BX35" s="453">
        <f>IF(OR('Parte Estrategica'!AI35=0,'Parte Estrategica'!AI35=""),0,IF(VLOOKUP($A35,'Matriz de Referencia'!$B$2:$CO$584,39,FALSE)=0,0,"Digite"))</f>
        <v>0</v>
      </c>
      <c r="BY35" s="454">
        <f>IF(OR('Parte Estrategica'!AI35=0,'Parte Estrategica'!AI35=""),0,IF(VLOOKUP($A35,'Matriz de Referencia'!$B$2:$CO$584,40,FALSE)=0,0,"Digite"))</f>
        <v>0</v>
      </c>
      <c r="BZ35" s="454">
        <f>IF(OR('Parte Estrategica'!AI35=0,'Parte Estrategica'!AI35=""),0,IF(VLOOKUP($A35,'Matriz de Referencia'!$B$2:$CO$584,41,FALSE)=0,0,"Digite"))</f>
        <v>0</v>
      </c>
      <c r="CA35" s="454">
        <f>IF(OR('Parte Estrategica'!AI35=0,'Parte Estrategica'!AI35=""),0,IF(VLOOKUP($A35,'Matriz de Referencia'!$B$2:$CO$584,42,FALSE)=0,0,"Digite"))</f>
        <v>0</v>
      </c>
      <c r="CB35" s="454">
        <f>IF(OR('Parte Estrategica'!AI35=0,'Parte Estrategica'!AI35=""),0,IF(VLOOKUP($A35,'Matriz de Referencia'!$B$2:$CO$584,43,FALSE)=0,0,"Digite"))</f>
        <v>0</v>
      </c>
      <c r="CC35" s="454">
        <f>IF(OR('Parte Estrategica'!AI35=0,'Parte Estrategica'!AI35=""),0,IF(VLOOKUP($A35,'Matriz de Referencia'!$B$2:$CO$584,44,FALSE)=0,0,"Digite"))</f>
        <v>0</v>
      </c>
      <c r="CD35" s="454">
        <f>IF(OR('Parte Estrategica'!AI35=0,'Parte Estrategica'!AI35=""),0,IF(VLOOKUP($A35,'Matriz de Referencia'!$B$2:$CO$584,45,FALSE)=0,0,"Digite"))</f>
        <v>0</v>
      </c>
      <c r="CE35" s="454">
        <f>IF(OR('Parte Estrategica'!AI35=0,'Parte Estrategica'!AI35=""),0,IF(VLOOKUP($A35,'Matriz de Referencia'!$B$2:$CO$584,46,FALSE)=0,0,"Digite"))</f>
        <v>0</v>
      </c>
      <c r="CF35" s="382">
        <f t="shared" si="16"/>
        <v>0</v>
      </c>
      <c r="CG35" s="454">
        <f>IF(OR('Parte Estrategica'!AI35=0,'Parte Estrategica'!AI35=""),0,IF(VLOOKUP($A35,'Matriz de Referencia'!$B$2:$CO$584,48,FALSE)=0,0,"Digite"))</f>
        <v>0</v>
      </c>
      <c r="CH35" s="454">
        <f>IF(OR('Parte Estrategica'!AI35=0,'Parte Estrategica'!AI35=""),0,IF(VLOOKUP($A35,'Matriz de Referencia'!$B$2:$CO$584,49,FALSE)=0,0,"Digite"))</f>
        <v>0</v>
      </c>
      <c r="CI35" s="454">
        <f>IF(OR('Parte Estrategica'!AI35=0,'Parte Estrategica'!AI35=""),0,IF(VLOOKUP($A35,'Matriz de Referencia'!$B$2:$CO$584,50,FALSE)=0,0,"Digite"))</f>
        <v>0</v>
      </c>
      <c r="CJ35" s="382">
        <f t="shared" si="17"/>
        <v>0</v>
      </c>
      <c r="CK35" s="382">
        <f t="shared" si="18"/>
        <v>0</v>
      </c>
      <c r="CL35" s="453">
        <f>IF(OR('Parte Estrategica'!AJ35=0,'Parte Estrategica'!AJ35=""),0,IF(VLOOKUP($A35,'Matriz de Referencia'!$B$2:$CO$584,39,FALSE)=0,0,"Digite"))</f>
        <v>0</v>
      </c>
      <c r="CM35" s="454">
        <f>IF(OR('Parte Estrategica'!AJ35=0,'Parte Estrategica'!AJ35=""),0,IF(VLOOKUP($A35,'Matriz de Referencia'!$B$2:$CO$584,40,FALSE)=0,0,"Digite"))</f>
        <v>0</v>
      </c>
      <c r="CN35" s="454">
        <f>IF(OR('Parte Estrategica'!AJ35=0,'Parte Estrategica'!AJ35=""),0,IF(VLOOKUP($A35,'Matriz de Referencia'!$B$2:$CO$584,41,FALSE)=0,0,"Digite"))</f>
        <v>0</v>
      </c>
      <c r="CO35" s="454">
        <f>IF(OR('Parte Estrategica'!AJ35=0,'Parte Estrategica'!AJ35=""),0,IF(VLOOKUP($A35,'Matriz de Referencia'!$B$2:$CO$584,42,FALSE)=0,0,"Digite"))</f>
        <v>0</v>
      </c>
      <c r="CP35" s="454">
        <f>IF(OR('Parte Estrategica'!AJ35=0,'Parte Estrategica'!AJ35=""),0,IF(VLOOKUP($A35,'Matriz de Referencia'!$B$2:$CO$584,43,FALSE)=0,0,"Digite"))</f>
        <v>0</v>
      </c>
      <c r="CQ35" s="454">
        <f>IF(OR('Parte Estrategica'!AJ35=0,'Parte Estrategica'!AJ35=""),0,IF(VLOOKUP($A35,'Matriz de Referencia'!$B$2:$CO$584,44,FALSE)=0,0,"Digite"))</f>
        <v>0</v>
      </c>
      <c r="CR35" s="454">
        <f>IF(OR('Parte Estrategica'!AJ35=0,'Parte Estrategica'!AJ35=""),0,IF(VLOOKUP($A35,'Matriz de Referencia'!$B$2:$CO$584,45,FALSE)=0,0,"Digite"))</f>
        <v>0</v>
      </c>
      <c r="CS35" s="454">
        <f>IF(OR('Parte Estrategica'!AJ35=0,'Parte Estrategica'!AJ35=""),0,IF(VLOOKUP($A35,'Matriz de Referencia'!$B$2:$CO$584,46,FALSE)=0,0,"Digite"))</f>
        <v>0</v>
      </c>
      <c r="CT35" s="382">
        <f t="shared" si="19"/>
        <v>0</v>
      </c>
      <c r="CU35" s="454">
        <f>IF(OR('Parte Estrategica'!AJ35=0,'Parte Estrategica'!AJ35=""),0,IF(VLOOKUP($A35,'Matriz de Referencia'!$B$2:$CO$584,48,FALSE)=0,0,"Digite"))</f>
        <v>0</v>
      </c>
      <c r="CV35" s="454">
        <f>IF(OR('Parte Estrategica'!AJ35=0,'Parte Estrategica'!AJ35=""),0,IF(VLOOKUP($A35,'Matriz de Referencia'!$B$2:$CO$584,49,FALSE)=0,0,"Digite"))</f>
        <v>0</v>
      </c>
      <c r="CW35" s="454">
        <f>IF(OR('Parte Estrategica'!AJ35=0,'Parte Estrategica'!AJ35=""),0,IF(VLOOKUP($A35,'Matriz de Referencia'!$B$2:$CO$584,50,FALSE)=0,0,"Digite"))</f>
        <v>0</v>
      </c>
      <c r="CX35" s="382">
        <f t="shared" si="20"/>
        <v>0</v>
      </c>
      <c r="CY35" s="382">
        <f t="shared" si="21"/>
        <v>0</v>
      </c>
      <c r="CZ35" s="453">
        <f>IF(OR('Parte Estrategica'!AK35=0,'Parte Estrategica'!AK35=""),0,IF(VLOOKUP($A35,'Matriz de Referencia'!$B$2:$CO$584,39,FALSE)=0,0,"Digite"))</f>
        <v>0</v>
      </c>
      <c r="DA35" s="454">
        <f>IF(OR('Parte Estrategica'!AK35=0,'Parte Estrategica'!AK35=""),0,IF(VLOOKUP($A35,'Matriz de Referencia'!$B$2:$CO$584,40,FALSE)=0,0,"Digite"))</f>
        <v>0</v>
      </c>
      <c r="DB35" s="454">
        <f>IF(OR('Parte Estrategica'!AK35=0,'Parte Estrategica'!AK35=""),0,IF(VLOOKUP($A35,'Matriz de Referencia'!$B$2:$CO$584,41,FALSE)=0,0,"Digite"))</f>
        <v>0</v>
      </c>
      <c r="DC35" s="454">
        <f>IF(OR('Parte Estrategica'!AK35=0,'Parte Estrategica'!AK35=""),0,IF(VLOOKUP($A35,'Matriz de Referencia'!$B$2:$CO$584,42,FALSE)=0,0,"Digite"))</f>
        <v>0</v>
      </c>
      <c r="DD35" s="454">
        <f>IF(OR('Parte Estrategica'!AK35=0,'Parte Estrategica'!AK35=""),0,IF(VLOOKUP($A35,'Matriz de Referencia'!$B$2:$CO$584,43,FALSE)=0,0,"Digite"))</f>
        <v>0</v>
      </c>
      <c r="DE35" s="454">
        <f>IF(OR('Parte Estrategica'!AK35=0,'Parte Estrategica'!AK35=""),0,IF(VLOOKUP($A35,'Matriz de Referencia'!$B$2:$CO$584,44,FALSE)=0,0,"Digite"))</f>
        <v>0</v>
      </c>
      <c r="DF35" s="454">
        <f>IF(OR('Parte Estrategica'!AK35=0,'Parte Estrategica'!AK35=""),0,IF(VLOOKUP($A35,'Matriz de Referencia'!$B$2:$CO$584,45,FALSE)=0,0,"Digite"))</f>
        <v>0</v>
      </c>
      <c r="DG35" s="454">
        <f>IF(OR('Parte Estrategica'!AK35=0,'Parte Estrategica'!AK35=""),0,IF(VLOOKUP($A35,'Matriz de Referencia'!$B$2:$CO$584,46,FALSE)=0,0,"Digite"))</f>
        <v>0</v>
      </c>
      <c r="DH35" s="382">
        <f t="shared" si="22"/>
        <v>0</v>
      </c>
      <c r="DI35" s="454">
        <f>IF(OR('Parte Estrategica'!AK35=0,'Parte Estrategica'!AK35=""),0,IF(VLOOKUP($A35,'Matriz de Referencia'!$B$2:$CO$584,48,FALSE)=0,0,"Digite"))</f>
        <v>0</v>
      </c>
      <c r="DJ35" s="454">
        <f>IF(OR('Parte Estrategica'!AK35=0,'Parte Estrategica'!AK35=""),0,IF(VLOOKUP($A35,'Matriz de Referencia'!$B$2:$CO$584,49,FALSE)=0,0,"Digite"))</f>
        <v>0</v>
      </c>
      <c r="DK35" s="454">
        <f>IF(OR('Parte Estrategica'!AK35=0,'Parte Estrategica'!AK35=""),0,IF(VLOOKUP($A35,'Matriz de Referencia'!$B$2:$CO$584,50,FALSE)=0,0,"Digite"))</f>
        <v>0</v>
      </c>
      <c r="DL35" s="382">
        <f t="shared" si="23"/>
        <v>0</v>
      </c>
      <c r="DM35" s="382">
        <f t="shared" si="24"/>
        <v>0</v>
      </c>
      <c r="DN35" s="382">
        <f t="shared" si="25"/>
        <v>0</v>
      </c>
      <c r="DO35" s="101" t="str">
        <f>IFERROR(IF(DN35=0,"",IF(VLOOKUP($A35,'Matriz de Referencia'!$B$2:$CO$584,52,FALSE)=DN35,"Techos ok, cotinue","Debe revisar el valor programado")),"")</f>
        <v/>
      </c>
      <c r="DP35" s="453">
        <f>IF(OR('Parte Estrategica'!AN35=0,'Parte Estrategica'!AN35=""),0,IF(VLOOKUP($A35,'Matriz de Referencia'!$B$2:$CO$584,53,FALSE)=0,0,"Digite"))</f>
        <v>0</v>
      </c>
      <c r="DQ35" s="454">
        <f>IF(OR('Parte Estrategica'!AN35=0,'Parte Estrategica'!AN35=""),0,IF(VLOOKUP($A35,'Matriz de Referencia'!$B$2:$CO$584,54,FALSE)=0,0,"Digite"))</f>
        <v>0</v>
      </c>
      <c r="DR35" s="454">
        <f>IF(OR('Parte Estrategica'!AN35=0,'Parte Estrategica'!AN35=""),0,IF(VLOOKUP($A35,'Matriz de Referencia'!$B$2:$CO$584,55,FALSE)=0,0,"Digite"))</f>
        <v>0</v>
      </c>
      <c r="DS35" s="454">
        <f>IF(OR('Parte Estrategica'!AN35=0,'Parte Estrategica'!AN35=""),0,IF(VLOOKUP($A35,'Matriz de Referencia'!$B$2:$CO$584,56,FALSE)=0,0,"Digite"))</f>
        <v>0</v>
      </c>
      <c r="DT35" s="454">
        <f>IF(OR('Parte Estrategica'!AN35=0,'Parte Estrategica'!AN35=""),0,IF(VLOOKUP($A35,'Matriz de Referencia'!$B$2:$CO$584,57,FALSE)=0,0,"Digite"))</f>
        <v>0</v>
      </c>
      <c r="DU35" s="454">
        <f>IF(OR('Parte Estrategica'!AN35=0,'Parte Estrategica'!AN35=""),0,IF(VLOOKUP($A35,'Matriz de Referencia'!$B$2:$CO$584,58,FALSE)=0,0,"Digite"))</f>
        <v>0</v>
      </c>
      <c r="DV35" s="454">
        <f>IF(OR('Parte Estrategica'!AN35=0,'Parte Estrategica'!AN35=""),0,IF(VLOOKUP($A35,'Matriz de Referencia'!$B$2:$CO$584,59,FALSE)=0,0,"Digite"))</f>
        <v>0</v>
      </c>
      <c r="DW35" s="454">
        <f>IF(OR('Parte Estrategica'!AN35=0,'Parte Estrategica'!AN35=""),0,IF(VLOOKUP($A35,'Matriz de Referencia'!$B$2:$CO$584,60,FALSE)=0,0,"Digite"))</f>
        <v>0</v>
      </c>
      <c r="DX35" s="382">
        <f t="shared" si="26"/>
        <v>0</v>
      </c>
      <c r="DY35" s="454">
        <f>IF(OR('Parte Estrategica'!AN35=0,'Parte Estrategica'!AN35=""),0,IF(VLOOKUP($A35,'Matriz de Referencia'!$B$2:$CO$584,62,FALSE)=0,0,"Digite"))</f>
        <v>0</v>
      </c>
      <c r="DZ35" s="454">
        <f>IF(OR('Parte Estrategica'!AN35=0,'Parte Estrategica'!AN35=""),0,IF(VLOOKUP($A35,'Matriz de Referencia'!$B$2:$CO$584,63,FALSE)=0,0,"Digite"))</f>
        <v>0</v>
      </c>
      <c r="EA35" s="454" t="str">
        <f>IF(OR('Parte Estrategica'!AN35=0,'Parte Estrategica'!AN35=""),"",IF(VLOOKUP($A35,'Matriz de Referencia'!$B$2:$CO$584,64,FALSE)=0,"","Digite"))</f>
        <v/>
      </c>
      <c r="EB35" s="382">
        <f t="shared" si="27"/>
        <v>0</v>
      </c>
      <c r="EC35" s="382">
        <f t="shared" si="28"/>
        <v>0</v>
      </c>
      <c r="ED35" s="453">
        <f>IF(OR('Parte Estrategica'!AO35=0,'Parte Estrategica'!AO35=""),0,IF(VLOOKUP($A35,'Matriz de Referencia'!$B$2:$CO$584,53,FALSE)=0,0,"Digite"))</f>
        <v>0</v>
      </c>
      <c r="EE35" s="454">
        <f>IF(OR('Parte Estrategica'!AO35=0,'Parte Estrategica'!AO35=""),0,IF(VLOOKUP($A35,'Matriz de Referencia'!$B$2:$CO$584,54,FALSE)=0,0,"Digite"))</f>
        <v>0</v>
      </c>
      <c r="EF35" s="454">
        <f>IF(OR('Parte Estrategica'!AO35=0,'Parte Estrategica'!AO35=""),0,IF(VLOOKUP($A35,'Matriz de Referencia'!$B$2:$CO$584,55,FALSE)=0,0,"Digite"))</f>
        <v>0</v>
      </c>
      <c r="EG35" s="454">
        <f>IF(OR('Parte Estrategica'!AO35=0,'Parte Estrategica'!AO35=""),0,IF(VLOOKUP($A35,'Matriz de Referencia'!$B$2:$CO$584,56,FALSE)=0,0,"Digite"))</f>
        <v>0</v>
      </c>
      <c r="EH35" s="454">
        <f>IF(OR('Parte Estrategica'!AO35=0,'Parte Estrategica'!AO35=""),0,IF(VLOOKUP($A35,'Matriz de Referencia'!$B$2:$CO$584,57,FALSE)=0,0,"Digite"))</f>
        <v>0</v>
      </c>
      <c r="EI35" s="454">
        <f>IF(OR('Parte Estrategica'!AO35=0,'Parte Estrategica'!AO35=""),0,IF(VLOOKUP($A35,'Matriz de Referencia'!$B$2:$CO$584,58,FALSE)=0,0,"Digite"))</f>
        <v>0</v>
      </c>
      <c r="EJ35" s="454">
        <f>IF(OR('Parte Estrategica'!AO35=0,'Parte Estrategica'!AO35=""),0,IF(VLOOKUP($A35,'Matriz de Referencia'!$B$2:$CO$584,59,FALSE)=0,0,"Digite"))</f>
        <v>0</v>
      </c>
      <c r="EK35" s="454">
        <f>IF(OR('Parte Estrategica'!AO35=0,'Parte Estrategica'!AO35=""),0,IF(VLOOKUP($A35,'Matriz de Referencia'!$B$2:$CO$584,60,FALSE)=0,0,"Digite"))</f>
        <v>0</v>
      </c>
      <c r="EL35" s="382">
        <f t="shared" si="29"/>
        <v>0</v>
      </c>
      <c r="EM35" s="454">
        <f>IF(OR('Parte Estrategica'!AO35=0,'Parte Estrategica'!AO35=""),0,IF(VLOOKUP($A35,'Matriz de Referencia'!$B$2:$CO$584,62,FALSE)=0,0,"Digite"))</f>
        <v>0</v>
      </c>
      <c r="EN35" s="454">
        <f>IF(OR('Parte Estrategica'!AO35=0,'Parte Estrategica'!AO35=""),0,IF(VLOOKUP($A35,'Matriz de Referencia'!$B$2:$CO$584,63,FALSE)=0,0,"Digite"))</f>
        <v>0</v>
      </c>
      <c r="EO35" s="454">
        <f>IF(OR('Parte Estrategica'!AO35=0,'Parte Estrategica'!AO35=""),0,IF(VLOOKUP($A35,'Matriz de Referencia'!$B$2:$CO$584,64,FALSE)=0,0,"Digite"))</f>
        <v>0</v>
      </c>
      <c r="EP35" s="382">
        <f t="shared" si="30"/>
        <v>0</v>
      </c>
      <c r="EQ35" s="382">
        <f t="shared" si="31"/>
        <v>0</v>
      </c>
      <c r="ER35" s="453">
        <f>IF(OR('Parte Estrategica'!AP35=0,'Parte Estrategica'!AP35=""),0,IF(VLOOKUP($A35,'Matriz de Referencia'!$B$2:$CO$584,53,FALSE)=0,0,"Digite"))</f>
        <v>0</v>
      </c>
      <c r="ES35" s="454">
        <f>IF(OR('Parte Estrategica'!AP35=0,'Parte Estrategica'!AP35=""),0,IF(VLOOKUP($A35,'Matriz de Referencia'!$B$2:$CO$584,54,FALSE)=0,0,"Digite"))</f>
        <v>0</v>
      </c>
      <c r="ET35" s="454">
        <f>IF(OR('Parte Estrategica'!AP35=0,'Parte Estrategica'!AP35=""),0,IF(VLOOKUP($A35,'Matriz de Referencia'!$B$2:$CO$584,55,FALSE)=0,0,"Digite"))</f>
        <v>0</v>
      </c>
      <c r="EU35" s="454">
        <f>IF(OR('Parte Estrategica'!AP35=0,'Parte Estrategica'!AP35=""),0,IF(VLOOKUP($A35,'Matriz de Referencia'!$B$2:$CO$584,56,FALSE)=0,0,"Digite"))</f>
        <v>0</v>
      </c>
      <c r="EV35" s="454">
        <f>IF(OR('Parte Estrategica'!AP35=0,'Parte Estrategica'!AP35=""),0,IF(VLOOKUP($A35,'Matriz de Referencia'!$B$2:$CO$584,57,FALSE)=0,0,"Digite"))</f>
        <v>0</v>
      </c>
      <c r="EW35" s="454">
        <f>IF(OR('Parte Estrategica'!AP35=0,'Parte Estrategica'!AP35=""),0,IF(VLOOKUP($A35,'Matriz de Referencia'!$B$2:$CO$584,58,FALSE)=0,0,"Digite"))</f>
        <v>0</v>
      </c>
      <c r="EX35" s="454">
        <f>IF(OR('Parte Estrategica'!AP35=0,'Parte Estrategica'!AP35=""),0,IF(VLOOKUP($A35,'Matriz de Referencia'!$B$2:$CO$584,59,FALSE)=0,0,"Digite"))</f>
        <v>0</v>
      </c>
      <c r="EY35" s="454">
        <f>IF(OR('Parte Estrategica'!AP35=0,'Parte Estrategica'!AP35=""),0,IF(VLOOKUP($A35,'Matriz de Referencia'!$B$2:$CO$584,60,FALSE)=0,0,"Digite"))</f>
        <v>0</v>
      </c>
      <c r="EZ35" s="382">
        <f t="shared" si="32"/>
        <v>0</v>
      </c>
      <c r="FA35" s="454">
        <f>IF(OR('Parte Estrategica'!AP35=0,'Parte Estrategica'!AP35=""),0,IF(VLOOKUP($A35,'Matriz de Referencia'!$B$2:$CO$584,62,FALSE)=0,0,"Digite"))</f>
        <v>0</v>
      </c>
      <c r="FB35" s="454">
        <f>IF(OR('Parte Estrategica'!AP35=0,'Parte Estrategica'!AP35=""),0,IF(VLOOKUP($A35,'Matriz de Referencia'!$B$2:$CO$584,63,FALSE)=0,0,"Digite"))</f>
        <v>0</v>
      </c>
      <c r="FC35" s="454">
        <f>IF(OR('Parte Estrategica'!AP35=0,'Parte Estrategica'!AP35=""),0,IF(VLOOKUP($A35,'Matriz de Referencia'!$B$2:$CO$584,64,FALSE)=0,0,"Digite"))</f>
        <v>0</v>
      </c>
      <c r="FD35" s="382">
        <f t="shared" si="33"/>
        <v>0</v>
      </c>
      <c r="FE35" s="382">
        <f t="shared" si="34"/>
        <v>0</v>
      </c>
      <c r="FF35" s="453">
        <f>IF(OR('Parte Estrategica'!AQ35=0,'Parte Estrategica'!AQ35=""),0,IF(VLOOKUP($A35,'Matriz de Referencia'!$B$2:$CO$584,53,FALSE)=0,0,"Digite"))</f>
        <v>0</v>
      </c>
      <c r="FG35" s="454">
        <f>IF(OR('Parte Estrategica'!AQ35=0,'Parte Estrategica'!AQ35=""),0,IF(VLOOKUP($A35,'Matriz de Referencia'!$B$2:$CO$584,54,FALSE)=0,0,"Digite"))</f>
        <v>0</v>
      </c>
      <c r="FH35" s="454">
        <f>IF(OR('Parte Estrategica'!AQ35=0,'Parte Estrategica'!AQ35=""),0,IF(VLOOKUP($A35,'Matriz de Referencia'!$B$2:$CO$584,55,FALSE)=0,0,"Digite"))</f>
        <v>0</v>
      </c>
      <c r="FI35" s="454">
        <f>IF(OR('Parte Estrategica'!AQ35=0,'Parte Estrategica'!AQ35=""),0,IF(VLOOKUP($A35,'Matriz de Referencia'!$B$2:$CO$584,56,FALSE)=0,0,"Digite"))</f>
        <v>0</v>
      </c>
      <c r="FJ35" s="454">
        <f>IF(OR('Parte Estrategica'!AQ35=0,'Parte Estrategica'!AQ35=""),0,IF(VLOOKUP($A35,'Matriz de Referencia'!$B$2:$CO$584,57,FALSE)=0,0,"Digite"))</f>
        <v>0</v>
      </c>
      <c r="FK35" s="454">
        <f>IF(OR('Parte Estrategica'!AQ35=0,'Parte Estrategica'!AQ35=""),0,IF(VLOOKUP($A35,'Matriz de Referencia'!$B$2:$CO$584,58,FALSE)=0,0,"Digite"))</f>
        <v>0</v>
      </c>
      <c r="FL35" s="454">
        <f>IF(OR('Parte Estrategica'!AQ35=0,'Parte Estrategica'!AQ35=""),0,IF(VLOOKUP($A35,'Matriz de Referencia'!$B$2:$CO$584,59,FALSE)=0,0,"Digite"))</f>
        <v>0</v>
      </c>
      <c r="FM35" s="454">
        <f>IF(OR('Parte Estrategica'!AQ35=0,'Parte Estrategica'!AQ35=""),0,IF(VLOOKUP($A35,'Matriz de Referencia'!$B$2:$CO$584,60,FALSE)=0,0,"Digite"))</f>
        <v>0</v>
      </c>
      <c r="FN35" s="382">
        <f t="shared" si="35"/>
        <v>0</v>
      </c>
      <c r="FO35" s="454">
        <f>IF(OR('Parte Estrategica'!AQ35=0,'Parte Estrategica'!AQ35=""),0,IF(VLOOKUP($A35,'Matriz de Referencia'!$B$2:$CO$584,62,FALSE)=0,0,"Digite"))</f>
        <v>0</v>
      </c>
      <c r="FP35" s="454">
        <f>IF(OR('Parte Estrategica'!AQ35=0,'Parte Estrategica'!AQ35=""),0,IF(VLOOKUP($A35,'Matriz de Referencia'!$B$2:$CO$584,63,FALSE)=0,0,"Digite"))</f>
        <v>0</v>
      </c>
      <c r="FQ35" s="454">
        <f>IF(OR('Parte Estrategica'!AQ35=0,'Parte Estrategica'!AQ35=""),0,IF(VLOOKUP($A35,'Matriz de Referencia'!$B$2:$CO$584,64,FALSE)=0,0,"Digite"))</f>
        <v>0</v>
      </c>
      <c r="FR35" s="382">
        <f t="shared" si="36"/>
        <v>0</v>
      </c>
      <c r="FS35" s="382">
        <f t="shared" si="37"/>
        <v>0</v>
      </c>
      <c r="FT35" s="382">
        <f t="shared" si="38"/>
        <v>0</v>
      </c>
      <c r="FU35" s="101" t="str">
        <f>IFERROR(IF(FT35=0,"",IF(VLOOKUP($A35,'Matriz de Referencia'!$B$2:$CO$584,66,FALSE)=FT35,"Techos ok, cotinue","Debe revisar el valor programado")),"")</f>
        <v/>
      </c>
      <c r="FV35" s="453">
        <f>IF(OR('Parte Estrategica'!AT35=0,'Parte Estrategica'!AT35=""),0,IF(VLOOKUP($A35,'Matriz de Referencia'!$B$2:$CO$584,67,FALSE)=0,0,"Digite"))</f>
        <v>0</v>
      </c>
      <c r="FW35" s="454">
        <f>IF(OR('Parte Estrategica'!AT35=0,'Parte Estrategica'!AT35=""),0,IF(VLOOKUP($A35,'Matriz de Referencia'!$B$2:$CO$584,68,FALSE)=0,0,"Digite"))</f>
        <v>0</v>
      </c>
      <c r="FX35" s="454">
        <f>IF(OR('Parte Estrategica'!AT35=0,'Parte Estrategica'!AT35=""),0,IF(VLOOKUP($A35,'Matriz de Referencia'!$B$2:$CO$584,69,FALSE)=0,0,"Digite"))</f>
        <v>0</v>
      </c>
      <c r="FY35" s="454">
        <f>IF(OR('Parte Estrategica'!AT35=0,'Parte Estrategica'!AT35=""),0,IF(VLOOKUP($A35,'Matriz de Referencia'!$B$2:$CO$584,70,FALSE)=0,0,"Digite"))</f>
        <v>0</v>
      </c>
      <c r="FZ35" s="454">
        <f>IF(OR('Parte Estrategica'!AT35=0,'Parte Estrategica'!AT35=""),0,IF(VLOOKUP($A35,'Matriz de Referencia'!$B$2:$CO$584,71,FALSE)=0,0,"Digite"))</f>
        <v>0</v>
      </c>
      <c r="GA35" s="454">
        <f>IF(OR('Parte Estrategica'!AT35=0,'Parte Estrategica'!AT35=""),0,IF(VLOOKUP($A35,'Matriz de Referencia'!$B$2:$CO$584,72,FALSE)=0,0,"Digite"))</f>
        <v>0</v>
      </c>
      <c r="GB35" s="454">
        <f>IF(OR('Parte Estrategica'!AT35=0,'Parte Estrategica'!AT35=""),0,IF(VLOOKUP($A35,'Matriz de Referencia'!$B$2:$CO$584,73,FALSE)=0,0,"Digite"))</f>
        <v>0</v>
      </c>
      <c r="GC35" s="454">
        <f>IF(OR('Parte Estrategica'!AT35=0,'Parte Estrategica'!AT35=""),0,IF(VLOOKUP($A35,'Matriz de Referencia'!$B$2:$CO$584,74,FALSE)=0,0,"Digite"))</f>
        <v>0</v>
      </c>
      <c r="GD35" s="382">
        <f t="shared" si="39"/>
        <v>0</v>
      </c>
      <c r="GE35" s="454">
        <f>IF(OR('Parte Estrategica'!AT35=0,'Parte Estrategica'!AT35=""),0,IF(VLOOKUP($A35,'Matriz de Referencia'!$B$2:$CO$584,76,FALSE)=0,0,"Digite"))</f>
        <v>0</v>
      </c>
      <c r="GF35" s="454">
        <f>IF(OR('Parte Estrategica'!AT35=0,'Parte Estrategica'!AT35=""),0,IF(VLOOKUP($A35,'Matriz de Referencia'!$B$2:$CO$584,77,FALSE)=0,0,"Digite"))</f>
        <v>0</v>
      </c>
      <c r="GG35" s="454">
        <f>IF(OR('Parte Estrategica'!AT35=0,'Parte Estrategica'!AT35=""),0,IF(VLOOKUP($A35,'Matriz de Referencia'!$B$2:$CO$584,78,FALSE)=0,0,"Digite"))</f>
        <v>0</v>
      </c>
      <c r="GH35" s="382">
        <f t="shared" si="40"/>
        <v>0</v>
      </c>
      <c r="GI35" s="382">
        <f t="shared" si="41"/>
        <v>0</v>
      </c>
      <c r="GJ35" s="453">
        <f>IF(OR('Parte Estrategica'!AU35=0,'Parte Estrategica'!AU35=""),0,IF(VLOOKUP($A35,'Matriz de Referencia'!$B$2:$CO$584,67,FALSE)=0,0,"Digite"))</f>
        <v>0</v>
      </c>
      <c r="GK35" s="454">
        <f>IF(OR('Parte Estrategica'!AU35=0,'Parte Estrategica'!AU35=""),0,IF(VLOOKUP($A35,'Matriz de Referencia'!$B$2:$CO$584,68,FALSE)=0,0,"Digite"))</f>
        <v>0</v>
      </c>
      <c r="GL35" s="454">
        <f>IF(OR('Parte Estrategica'!AU35=0,'Parte Estrategica'!AU35=""),0,IF(VLOOKUP($A35,'Matriz de Referencia'!$B$2:$CO$584,69,FALSE)=0,0,"Digite"))</f>
        <v>0</v>
      </c>
      <c r="GM35" s="454">
        <f>IF(OR('Parte Estrategica'!AU35=0,'Parte Estrategica'!AU35=""),0,IF(VLOOKUP($A35,'Matriz de Referencia'!$B$2:$CO$584,70,FALSE)=0,0,"Digite"))</f>
        <v>0</v>
      </c>
      <c r="GN35" s="454">
        <f>IF(OR('Parte Estrategica'!AU35=0,'Parte Estrategica'!AU35=""),0,IF(VLOOKUP($A35,'Matriz de Referencia'!$B$2:$CO$584,71,FALSE)=0,0,"Digite"))</f>
        <v>0</v>
      </c>
      <c r="GO35" s="454">
        <f>IF(OR('Parte Estrategica'!AU35=0,'Parte Estrategica'!AU35=""),0,IF(VLOOKUP($A35,'Matriz de Referencia'!$B$2:$CO$584,72,FALSE)=0,0,"Digite"))</f>
        <v>0</v>
      </c>
      <c r="GP35" s="454">
        <f>IF(OR('Parte Estrategica'!AU35=0,'Parte Estrategica'!AU35=""),0,IF(VLOOKUP($A35,'Matriz de Referencia'!$B$2:$CO$584,73,FALSE)=0,0,"Digite"))</f>
        <v>0</v>
      </c>
      <c r="GQ35" s="454">
        <f>IF(OR('Parte Estrategica'!AU35=0,'Parte Estrategica'!AU35=""),0,IF(VLOOKUP($A35,'Matriz de Referencia'!$B$2:$CO$584,74,FALSE)=0,0,"Digite"))</f>
        <v>0</v>
      </c>
      <c r="GR35" s="382">
        <f t="shared" si="42"/>
        <v>0</v>
      </c>
      <c r="GS35" s="454">
        <f>IF(OR('Parte Estrategica'!AU35=0,'Parte Estrategica'!AU35=""),0,IF(VLOOKUP($A35,'Matriz de Referencia'!$B$2:$CO$584,76,FALSE)=0,0,"Digite"))</f>
        <v>0</v>
      </c>
      <c r="GT35" s="454">
        <f>IF(OR('Parte Estrategica'!AU35=0,'Parte Estrategica'!AU35=""),0,IF(VLOOKUP($A35,'Matriz de Referencia'!$B$2:$CO$584,77,FALSE)=0,0,"Digite"))</f>
        <v>0</v>
      </c>
      <c r="GU35" s="454">
        <f>IF(OR('Parte Estrategica'!AU35=0,'Parte Estrategica'!AU35=""),0,IF(VLOOKUP($A35,'Matriz de Referencia'!$B$2:$CO$584,78,FALSE)=0,0,"Digite"))</f>
        <v>0</v>
      </c>
      <c r="GV35" s="382">
        <f t="shared" si="43"/>
        <v>0</v>
      </c>
      <c r="GW35" s="382">
        <f t="shared" si="44"/>
        <v>0</v>
      </c>
      <c r="GX35" s="453">
        <f>IF(OR('Parte Estrategica'!AV35=0,'Parte Estrategica'!AV35=""),0,IF(VLOOKUP($A35,'Matriz de Referencia'!$B$2:$CO$584,67,FALSE)=0,0,"Digite"))</f>
        <v>0</v>
      </c>
      <c r="GY35" s="454">
        <f>IF(OR('Parte Estrategica'!AV35=0,'Parte Estrategica'!AV35=""),0,IF(VLOOKUP($A35,'Matriz de Referencia'!$B$2:$CO$584,68,FALSE)=0,0,"Digite"))</f>
        <v>0</v>
      </c>
      <c r="GZ35" s="454">
        <f>IF(OR('Parte Estrategica'!AV35=0,'Parte Estrategica'!AV35=""),0,IF(VLOOKUP($A35,'Matriz de Referencia'!$B$2:$CO$584,69,FALSE)=0,0,"Digite"))</f>
        <v>0</v>
      </c>
      <c r="HA35" s="454">
        <f>IF(OR('Parte Estrategica'!AV35=0,'Parte Estrategica'!AV35=""),0,IF(VLOOKUP($A35,'Matriz de Referencia'!$B$2:$CO$584,70,FALSE)=0,0,"Digite"))</f>
        <v>0</v>
      </c>
      <c r="HB35" s="454">
        <f>IF(OR('Parte Estrategica'!AV35=0,'Parte Estrategica'!AV35=""),0,IF(VLOOKUP($A35,'Matriz de Referencia'!$B$2:$CO$584,71,FALSE)=0,0,"Digite"))</f>
        <v>0</v>
      </c>
      <c r="HC35" s="454">
        <f>IF(OR('Parte Estrategica'!AV35=0,'Parte Estrategica'!AV35=""),0,IF(VLOOKUP($A35,'Matriz de Referencia'!$B$2:$CO$584,72,FALSE)=0,0,"Digite"))</f>
        <v>0</v>
      </c>
      <c r="HD35" s="454">
        <f>IF(OR('Parte Estrategica'!AV35=0,'Parte Estrategica'!AV35=""),0,IF(VLOOKUP($A35,'Matriz de Referencia'!$B$2:$CO$584,73,FALSE)=0,0,"Digite"))</f>
        <v>0</v>
      </c>
      <c r="HE35" s="454">
        <f>IF(OR('Parte Estrategica'!AV35=0,'Parte Estrategica'!AV35=""),0,IF(VLOOKUP($A35,'Matriz de Referencia'!$B$2:$CO$584,74,FALSE)=0,0,"Digite"))</f>
        <v>0</v>
      </c>
      <c r="HF35" s="382">
        <f t="shared" si="45"/>
        <v>0</v>
      </c>
      <c r="HG35" s="454">
        <f>IF(OR('Parte Estrategica'!AV35=0,'Parte Estrategica'!AV35=""),0,IF(VLOOKUP($A35,'Matriz de Referencia'!$B$2:$CO$584,76,FALSE)=0,0,"Digite"))</f>
        <v>0</v>
      </c>
      <c r="HH35" s="454">
        <f>IF(OR('Parte Estrategica'!AV35=0,'Parte Estrategica'!AV35=""),0,IF(VLOOKUP($A35,'Matriz de Referencia'!$B$2:$CO$584,77,FALSE)=0,0,"Digite"))</f>
        <v>0</v>
      </c>
      <c r="HI35" s="454">
        <f>IF(OR('Parte Estrategica'!AV35=0,'Parte Estrategica'!AV35=""),0,IF(VLOOKUP($A35,'Matriz de Referencia'!$B$2:$CO$584,78,FALSE)=0,0,"Digite"))</f>
        <v>0</v>
      </c>
      <c r="HJ35" s="382">
        <f t="shared" si="46"/>
        <v>0</v>
      </c>
      <c r="HK35" s="382">
        <f t="shared" si="47"/>
        <v>0</v>
      </c>
      <c r="HL35" s="453">
        <f>IF(OR('Parte Estrategica'!AW35=0,'Parte Estrategica'!AW35=""),0,IF(VLOOKUP($A35,'Matriz de Referencia'!$B$2:$CO$584,67,FALSE)=0,0,"Digite"))</f>
        <v>0</v>
      </c>
      <c r="HM35" s="454">
        <f>IF(OR('Parte Estrategica'!AW35=0,'Parte Estrategica'!AW35=""),0,IF(VLOOKUP($A35,'Matriz de Referencia'!$B$2:$CO$584,68,FALSE)=0,0,"Digite"))</f>
        <v>0</v>
      </c>
      <c r="HN35" s="454">
        <f>IF(OR('Parte Estrategica'!AW35=0,'Parte Estrategica'!AW35=""),0,IF(VLOOKUP($A35,'Matriz de Referencia'!$B$2:$CO$584,69,FALSE)=0,0,"Digite"))</f>
        <v>0</v>
      </c>
      <c r="HO35" s="454">
        <f>IF(OR('Parte Estrategica'!AW35=0,'Parte Estrategica'!AW35=""),0,IF(VLOOKUP($A35,'Matriz de Referencia'!$B$2:$CO$584,70,FALSE)=0,0,"Digite"))</f>
        <v>0</v>
      </c>
      <c r="HP35" s="454">
        <f>IF(OR('Parte Estrategica'!AW35=0,'Parte Estrategica'!AW35=""),0,IF(VLOOKUP($A35,'Matriz de Referencia'!$B$2:$CO$584,71,FALSE)=0,0,"Digite"))</f>
        <v>0</v>
      </c>
      <c r="HQ35" s="454">
        <f>IF(OR('Parte Estrategica'!AW35=0,'Parte Estrategica'!AW35=""),0,IF(VLOOKUP($A35,'Matriz de Referencia'!$B$2:$CO$584,72,FALSE)=0,0,"Digite"))</f>
        <v>0</v>
      </c>
      <c r="HR35" s="454">
        <f>IF(OR('Parte Estrategica'!AW35=0,'Parte Estrategica'!AW35=""),0,IF(VLOOKUP($A35,'Matriz de Referencia'!$B$2:$CO$584,73,FALSE)=0,0,"Digite"))</f>
        <v>0</v>
      </c>
      <c r="HS35" s="454">
        <f>IF(OR('Parte Estrategica'!AW35=0,'Parte Estrategica'!AW35=""),0,IF(VLOOKUP($A35,'Matriz de Referencia'!$B$2:$CO$584,74,FALSE)=0,0,"Digite"))</f>
        <v>0</v>
      </c>
      <c r="HT35" s="382">
        <f t="shared" si="48"/>
        <v>0</v>
      </c>
      <c r="HU35" s="454">
        <f>IF(OR('Parte Estrategica'!AW35=0,'Parte Estrategica'!AW35=""),0,IF(VLOOKUP($A35,'Matriz de Referencia'!$B$2:$CO$584,76,FALSE)=0,0,"Digite"))</f>
        <v>0</v>
      </c>
      <c r="HV35" s="454">
        <f>IF(OR('Parte Estrategica'!AW35=0,'Parte Estrategica'!AW35=""),0,IF(VLOOKUP($A35,'Matriz de Referencia'!$B$2:$CO$584,77,FALSE)=0,0,"Digite"))</f>
        <v>0</v>
      </c>
      <c r="HW35" s="454">
        <f>IF(OR('Parte Estrategica'!AW35=0,'Parte Estrategica'!AW35=""),0,IF(VLOOKUP($A35,'Matriz de Referencia'!$B$2:$CO$584,78,FALSE)=0,0,"Digite"))</f>
        <v>0</v>
      </c>
      <c r="HX35" s="382">
        <f t="shared" si="49"/>
        <v>0</v>
      </c>
      <c r="HY35" s="382">
        <f t="shared" si="50"/>
        <v>0</v>
      </c>
      <c r="HZ35" s="382">
        <f t="shared" si="51"/>
        <v>0</v>
      </c>
      <c r="IA35" s="101" t="str">
        <f>IFERROR(IF(HZ35=0,"",IF(VLOOKUP($A35,'Matriz de Referencia'!$B$2:$CO$584,80,FALSE)=HZ35,"Techos ok, cotinue","Debe revisar el valor programado")),"")</f>
        <v/>
      </c>
      <c r="IB35" s="383">
        <f t="shared" si="52"/>
        <v>0</v>
      </c>
    </row>
    <row r="36" spans="1:236">
      <c r="A36" s="550" t="str">
        <f>IF('Parte Estrategica'!B36=0,"",'Parte Estrategica'!B36)</f>
        <v/>
      </c>
      <c r="B36" s="551" t="str">
        <f>IFERROR(VLOOKUP(A36,'Matriz de Referencia'!$B$2:$P$578,'Matriz de Referencia'!L$1,FALSE),"")</f>
        <v/>
      </c>
      <c r="C36" s="551" t="str">
        <f>IFERROR(VLOOKUP(A36,'Matriz de Referencia'!$B$2:$P$584,'Matriz de Referencia'!M$1,FALSE),"")</f>
        <v/>
      </c>
      <c r="D36" s="455" t="str">
        <f>IF(OR('Parte Estrategica'!AB36=0,'Parte Estrategica'!AB36=""),"",IF(VLOOKUP($A36,'Matriz de Referencia'!$B$2:$CO$584,'Matriz de Referencia'!Z$1,FALSE)=0,"","Digite"))</f>
        <v/>
      </c>
      <c r="E36" s="456">
        <f>IF(OR('Parte Estrategica'!AB36=0,'Parte Estrategica'!AB36=""),0,IF(VLOOKUP($A36,'Matriz de Referencia'!$B$2:$CO$584,26,FALSE)=0,0,"Digite"))</f>
        <v>0</v>
      </c>
      <c r="F36" s="456">
        <f>IF(OR('Parte Estrategica'!AB36=0,'Parte Estrategica'!AB36=""),0,IF(VLOOKUP($A36,'Matriz de Referencia'!$B$2:$CO$584,27,FALSE)=0,0,"Digite"))</f>
        <v>0</v>
      </c>
      <c r="G36" s="456">
        <f>IF(OR('Parte Estrategica'!AB36=0,'Parte Estrategica'!AB36=""),0,IF(VLOOKUP($A36,'Matriz de Referencia'!$B$2:$CO$584,28,FALSE)=0,0,"Digite"))</f>
        <v>0</v>
      </c>
      <c r="H36" s="456">
        <f>IF(OR('Parte Estrategica'!AB36=0,'Parte Estrategica'!AB36=""),0,IF(VLOOKUP($A36,'Matriz de Referencia'!$B$2:$CO$584,29,FALSE)=0,0,"Digite"))</f>
        <v>0</v>
      </c>
      <c r="I36" s="456">
        <f>IF(OR('Parte Estrategica'!AB36=0,'Parte Estrategica'!AB36=""),0,IF(VLOOKUP($A36,'Matriz de Referencia'!$B$2:$CO$584,30,FALSE)=0,0,"Digite"))</f>
        <v>0</v>
      </c>
      <c r="J36" s="456">
        <f>IF(OR('Parte Estrategica'!AB36=0,'Parte Estrategica'!AB36=""),0,IF(VLOOKUP($A36,'Matriz de Referencia'!$B$2:$CO$584,31,FALSE)=0,0,"Digite"))</f>
        <v>0</v>
      </c>
      <c r="K36" s="456">
        <f>IF(OR('Parte Estrategica'!AB36=0,'Parte Estrategica'!AB36=""),0,IF(VLOOKUP($A36,'Matriz de Referencia'!$B$2:$CO$584,32,FALSE)=0,0,"Digite"))</f>
        <v>0</v>
      </c>
      <c r="L36" s="460">
        <f t="shared" si="0"/>
        <v>0</v>
      </c>
      <c r="M36" s="456">
        <f>IF(OR('Parte Estrategica'!AB36=0,'Parte Estrategica'!AB36=""),0,IF(VLOOKUP($A36,'Matriz de Referencia'!$B$2:$CO$584,34,FALSE)=0,0,"Digite"))</f>
        <v>0</v>
      </c>
      <c r="N36" s="456">
        <f>IF(OR('Parte Estrategica'!AB36=0,'Parte Estrategica'!AB36=""),0,IF(VLOOKUP($A36,'Matriz de Referencia'!$B$2:$CO$584,35,FALSE)=0,0,"Digite"))</f>
        <v>0</v>
      </c>
      <c r="O36" s="456">
        <f>IF(OR('Parte Estrategica'!AB36=0,'Parte Estrategica'!AB36=""),0,IF(VLOOKUP($A36,'Matriz de Referencia'!$B$2:$CO$584,36,FALSE)=0,0,"Digite"))</f>
        <v>0</v>
      </c>
      <c r="P36" s="457">
        <f t="shared" si="1"/>
        <v>0</v>
      </c>
      <c r="Q36" s="457">
        <f t="shared" si="2"/>
        <v>0</v>
      </c>
      <c r="R36" s="455">
        <f>IF(OR('Parte Estrategica'!AC36=0,'Parte Estrategica'!AC36=""),0,IF(VLOOKUP($A36,'Matriz de Referencia'!$B$2:$CO$584,25,FALSE)=0,0,"Digite"))</f>
        <v>0</v>
      </c>
      <c r="S36" s="456">
        <f>IF(OR('Parte Estrategica'!AC36=0,'Parte Estrategica'!AC36=""),0,IF(VLOOKUP($A36,'Matriz de Referencia'!$B$2:$CO$584,26,FALSE)=0,0,"Digite"))</f>
        <v>0</v>
      </c>
      <c r="T36" s="456">
        <f>IF(OR('Parte Estrategica'!AC36=0,'Parte Estrategica'!AC36=""),0,IF(VLOOKUP($A36,'Matriz de Referencia'!$B$2:$CO$584,27,FALSE)=0,0,"Digite"))</f>
        <v>0</v>
      </c>
      <c r="U36" s="456">
        <f>IF(OR('Parte Estrategica'!AC36=0,'Parte Estrategica'!AC36=""),0,IF(VLOOKUP($A36,'Matriz de Referencia'!$B$2:$CO$584,28,FALSE)=0,0,"Digite"))</f>
        <v>0</v>
      </c>
      <c r="V36" s="456">
        <f>IF(OR('Parte Estrategica'!AC36=0,'Parte Estrategica'!AC36=""),0,IF(VLOOKUP($A36,'Matriz de Referencia'!$B$2:$CO$584,29,FALSE)=0,0,"Digite"))</f>
        <v>0</v>
      </c>
      <c r="W36" s="456">
        <f>IF(OR('Parte Estrategica'!AC36=0,'Parte Estrategica'!AC36=""),0,IF(VLOOKUP($A36,'Matriz de Referencia'!$B$2:$CO$584,30,FALSE)=0,0,"Digite"))</f>
        <v>0</v>
      </c>
      <c r="X36" s="456">
        <f>IF(OR('Parte Estrategica'!AC36=0,'Parte Estrategica'!AC36=""),0,IF(VLOOKUP($A36,'Matriz de Referencia'!$B$2:$CO$584,31,FALSE)=0,0,"Digite"))</f>
        <v>0</v>
      </c>
      <c r="Y36" s="456">
        <f>IF(OR('Parte Estrategica'!AC36=0,'Parte Estrategica'!AC36=""),0,IF(VLOOKUP($A36,'Matriz de Referencia'!$B$2:$CO$584,32,FALSE)=0,0,"Digite"))</f>
        <v>0</v>
      </c>
      <c r="Z36" s="457">
        <f t="shared" si="3"/>
        <v>0</v>
      </c>
      <c r="AA36" s="456">
        <f>IF(OR('Parte Estrategica'!AC36=0,'Parte Estrategica'!AC36=""),0,IF(VLOOKUP($A36,'Matriz de Referencia'!$B$2:$CO$584,34,FALSE)=0,0,"Digite"))</f>
        <v>0</v>
      </c>
      <c r="AB36" s="456">
        <f>IF(OR('Parte Estrategica'!AC36=0,'Parte Estrategica'!AC36=""),0,IF(VLOOKUP($A36,'Matriz de Referencia'!$B$2:$CO$584,35,FALSE)=0,0,"Digite"))</f>
        <v>0</v>
      </c>
      <c r="AC36" s="456">
        <f>IF(OR('Parte Estrategica'!AC36=0,'Parte Estrategica'!AC36=""),0,IF(VLOOKUP($A36,'Matriz de Referencia'!$B$2:$CO$584,36,FALSE)=0,0,"Digite"))</f>
        <v>0</v>
      </c>
      <c r="AD36" s="457">
        <f t="shared" si="4"/>
        <v>0</v>
      </c>
      <c r="AE36" s="457">
        <f t="shared" si="5"/>
        <v>0</v>
      </c>
      <c r="AF36" s="455">
        <f>IF(OR('Parte Estrategica'!AD36=0,'Parte Estrategica'!AD36=""),0,IF(VLOOKUP($A36,'Matriz de Referencia'!$B$2:$CO$584,25,FALSE)=0,0,"Digite"))</f>
        <v>0</v>
      </c>
      <c r="AG36" s="456">
        <f>IF(OR('Parte Estrategica'!AD36=0,'Parte Estrategica'!AD36=""),0,IF(VLOOKUP($A36,'Matriz de Referencia'!$B$2:$CO$584,26,FALSE)=0,0,"Digite"))</f>
        <v>0</v>
      </c>
      <c r="AH36" s="456">
        <f>IF(OR('Parte Estrategica'!AD36=0,'Parte Estrategica'!AD36=""),0,IF(VLOOKUP($A36,'Matriz de Referencia'!$B$2:$CO$584,27,FALSE)=0,0,"Digite"))</f>
        <v>0</v>
      </c>
      <c r="AI36" s="456">
        <f>IF(OR('Parte Estrategica'!AD36=0,'Parte Estrategica'!AD36=""),0,IF(VLOOKUP($A36,'Matriz de Referencia'!$B$2:$CO$584,28,FALSE)=0,0,"Digite"))</f>
        <v>0</v>
      </c>
      <c r="AJ36" s="456">
        <f>IF(OR('Parte Estrategica'!AD36=0,'Parte Estrategica'!AD36=""),0,IF(VLOOKUP($A36,'Matriz de Referencia'!$B$2:$CO$584,29,FALSE)=0,0,"Digite"))</f>
        <v>0</v>
      </c>
      <c r="AK36" s="456">
        <f>IF(OR('Parte Estrategica'!AD36=0,'Parte Estrategica'!AD36=""),0,IF(VLOOKUP($A36,'Matriz de Referencia'!$B$2:$CO$584,30,FALSE)=0,0,"Digite"))</f>
        <v>0</v>
      </c>
      <c r="AL36" s="456">
        <f>IF(OR('Parte Estrategica'!AD36=0,'Parte Estrategica'!AD36=""),0,IF(VLOOKUP($A36,'Matriz de Referencia'!$B$2:$CO$584,31,FALSE)=0,0,"Digite"))</f>
        <v>0</v>
      </c>
      <c r="AM36" s="456">
        <f>IF(OR('Parte Estrategica'!AD36=0,'Parte Estrategica'!AD36=""),0,IF(VLOOKUP($A36,'Matriz de Referencia'!$B$2:$CO$584,32,FALSE)=0,0,"Digite"))</f>
        <v>0</v>
      </c>
      <c r="AN36" s="457">
        <f t="shared" si="6"/>
        <v>0</v>
      </c>
      <c r="AO36" s="456">
        <f>IF(OR('Parte Estrategica'!AD36=0,'Parte Estrategica'!AD36=""),0,IF(VLOOKUP($A36,'Matriz de Referencia'!$B$2:$CO$584,34,FALSE)=0,0,"Digite"))</f>
        <v>0</v>
      </c>
      <c r="AP36" s="456">
        <f>IF(OR('Parte Estrategica'!AD36=0,'Parte Estrategica'!AD36=""),0,IF(VLOOKUP($A36,'Matriz de Referencia'!$B$2:$CO$584,35,FALSE)=0,0,"Digite"))</f>
        <v>0</v>
      </c>
      <c r="AQ36" s="456">
        <f>IF(OR('Parte Estrategica'!AD36=0,'Parte Estrategica'!AD36=""),0,IF(VLOOKUP($A36,'Matriz de Referencia'!$B$2:$CO$584,36,FALSE)=0,0,"Digite"))</f>
        <v>0</v>
      </c>
      <c r="AR36" s="457">
        <f t="shared" si="7"/>
        <v>0</v>
      </c>
      <c r="AS36" s="457">
        <f t="shared" si="8"/>
        <v>0</v>
      </c>
      <c r="AT36" s="455">
        <f>IF(OR('Parte Estrategica'!AE36=0,'Parte Estrategica'!AE36=""),0,IF(VLOOKUP($A36,'Matriz de Referencia'!$B$2:$CO$584,25,FALSE)=0,0,"Digite"))</f>
        <v>0</v>
      </c>
      <c r="AU36" s="456">
        <f>IF(OR('Parte Estrategica'!AE36=0,'Parte Estrategica'!AE36=""),0,IF(VLOOKUP($A36,'Matriz de Referencia'!$B$2:$CO$584,26,FALSE)=0,0,"Digite"))</f>
        <v>0</v>
      </c>
      <c r="AV36" s="456">
        <f>IF(OR('Parte Estrategica'!AE36=0,'Parte Estrategica'!AE36=""),0,IF(VLOOKUP($A36,'Matriz de Referencia'!$B$2:$CO$584,27,FALSE)=0,0,"Digite"))</f>
        <v>0</v>
      </c>
      <c r="AW36" s="456">
        <f>IF(OR('Parte Estrategica'!AE36=0,'Parte Estrategica'!AE36=""),0,IF(VLOOKUP($A36,'Matriz de Referencia'!$B$2:$CO$584,28,FALSE)=0,0,"Digite"))</f>
        <v>0</v>
      </c>
      <c r="AX36" s="456">
        <f>IF(OR('Parte Estrategica'!AE36=0,'Parte Estrategica'!AE36=""),0,IF(VLOOKUP($A36,'Matriz de Referencia'!$B$2:$CO$584,29,FALSE)=0,0,"Digite"))</f>
        <v>0</v>
      </c>
      <c r="AY36" s="456">
        <f>IF(OR('Parte Estrategica'!AE36=0,'Parte Estrategica'!AE36=""),0,IF(VLOOKUP($A36,'Matriz de Referencia'!$B$2:$CO$584,30,FALSE)=0,0,"Digite"))</f>
        <v>0</v>
      </c>
      <c r="AZ36" s="456">
        <f>IF(OR('Parte Estrategica'!AE36=0,'Parte Estrategica'!AE36=""),0,IF(VLOOKUP($A36,'Matriz de Referencia'!$B$2:$CO$584,31,FALSE)=0,0,"Digite"))</f>
        <v>0</v>
      </c>
      <c r="BA36" s="456">
        <f>IF(OR('Parte Estrategica'!AE36=0,'Parte Estrategica'!AE36=""),0,IF(VLOOKUP($A36,'Matriz de Referencia'!$B$2:$CO$584,32,FALSE)=0,0,"Digite"))</f>
        <v>0</v>
      </c>
      <c r="BB36" s="457">
        <f t="shared" si="9"/>
        <v>0</v>
      </c>
      <c r="BC36" s="456">
        <f>IF(OR('Parte Estrategica'!AE36=0,'Parte Estrategica'!AE36=""),0,IF(VLOOKUP($A36,'Matriz de Referencia'!$B$2:$CO$584,34,FALSE)=0,0,"Digite"))</f>
        <v>0</v>
      </c>
      <c r="BD36" s="456">
        <f>IF(OR('Parte Estrategica'!AE36=0,'Parte Estrategica'!AE36=""),0,IF(VLOOKUP($A36,'Matriz de Referencia'!$B$2:$CO$584,35,FALSE)=0,0,"Digite"))</f>
        <v>0</v>
      </c>
      <c r="BE36" s="456">
        <f>IF(OR('Parte Estrategica'!AE36=0,'Parte Estrategica'!AE36=""),0,IF(VLOOKUP($A36,'Matriz de Referencia'!$B$2:$CO$584,36,FALSE)=0,0,"Digite"))</f>
        <v>0</v>
      </c>
      <c r="BF36" s="457">
        <f t="shared" si="10"/>
        <v>0</v>
      </c>
      <c r="BG36" s="457">
        <f t="shared" si="11"/>
        <v>0</v>
      </c>
      <c r="BH36" s="457">
        <f t="shared" si="12"/>
        <v>0</v>
      </c>
      <c r="BI36" s="101" t="str">
        <f>IFERROR(IF(BH36=0,"",IF(VLOOKUP($A36,'Matriz de Referencia'!$B$2:$CO$584,'Matriz de Referencia'!AM$1,FALSE)=BH36,"Techos ok, cotinue","Debe revisar el valor programado")),"")</f>
        <v/>
      </c>
      <c r="BJ36" s="453">
        <f>IF(OR('Parte Estrategica'!AH36=0,'Parte Estrategica'!AH36=""),0,IF(VLOOKUP($A36,'Matriz de Referencia'!$B$2:$CO$584,39,FALSE)=0,0,"Digite"))</f>
        <v>0</v>
      </c>
      <c r="BK36" s="454">
        <f>IF(OR('Parte Estrategica'!AH36=0,'Parte Estrategica'!AH36=""),0,IF(VLOOKUP($A36,'Matriz de Referencia'!$B$2:$CO$584,40,FALSE)=0,0,"Digite"))</f>
        <v>0</v>
      </c>
      <c r="BL36" s="454">
        <f>IF(OR('Parte Estrategica'!AH36=0,'Parte Estrategica'!AH36=""),0,IF(VLOOKUP($A36,'Matriz de Referencia'!$B$2:$CO$584,41,FALSE)=0,0,"Digite"))</f>
        <v>0</v>
      </c>
      <c r="BM36" s="454">
        <f>IF(OR('Parte Estrategica'!AH36=0,'Parte Estrategica'!AH36=""),0,IF(VLOOKUP($A36,'Matriz de Referencia'!$B$2:$CO$584,42,FALSE)=0,0,"Digite"))</f>
        <v>0</v>
      </c>
      <c r="BN36" s="454">
        <f>IF(OR('Parte Estrategica'!AH36=0,'Parte Estrategica'!AH36=""),0,IF(VLOOKUP($A36,'Matriz de Referencia'!$B$2:$CO$584,43,FALSE)=0,0,"Digite"))</f>
        <v>0</v>
      </c>
      <c r="BO36" s="454">
        <f>IF(OR('Parte Estrategica'!AH36=0,'Parte Estrategica'!AH36=""),0,IF(VLOOKUP($A36,'Matriz de Referencia'!$B$2:$CO$584,44,FALSE)=0,0,"Digite"))</f>
        <v>0</v>
      </c>
      <c r="BP36" s="454">
        <f>IF(OR('Parte Estrategica'!AH36=0,'Parte Estrategica'!AH36=""),0,IF(VLOOKUP($A36,'Matriz de Referencia'!$B$2:$CO$584,45,FALSE)=0,0,"Digite"))</f>
        <v>0</v>
      </c>
      <c r="BQ36" s="454">
        <f>IF(OR('Parte Estrategica'!AH36=0,'Parte Estrategica'!AH36=""),0,IF(VLOOKUP($A36,'Matriz de Referencia'!$B$2:$CO$584,46,FALSE)=0,0,"Digite"))</f>
        <v>0</v>
      </c>
      <c r="BR36" s="382">
        <f t="shared" si="13"/>
        <v>0</v>
      </c>
      <c r="BS36" s="454">
        <f>IF(OR('Parte Estrategica'!CL36=0,'Parte Estrategica'!CL36=""),0,IF(VLOOKUP($A36,'Matriz de Referencia'!$B$2:$CO$584,48,FALSE)=0,0,"Digite"))</f>
        <v>0</v>
      </c>
      <c r="BT36" s="454">
        <f>IF(OR('Parte Estrategica'!CL36=0,'Parte Estrategica'!CL36=""),0,IF(VLOOKUP($A36,'Matriz de Referencia'!$B$2:$CO$584,49,FALSE)=0,0,"Digite"))</f>
        <v>0</v>
      </c>
      <c r="BU36" s="454">
        <f>IF(OR('Parte Estrategica'!CL36=0,'Parte Estrategica'!CL36=""),0,IF(VLOOKUP($A36,'Matriz de Referencia'!$B$2:$CO$584,50,FALSE)=0,0,"Digite"))</f>
        <v>0</v>
      </c>
      <c r="BV36" s="382">
        <f t="shared" si="14"/>
        <v>0</v>
      </c>
      <c r="BW36" s="382">
        <f t="shared" si="15"/>
        <v>0</v>
      </c>
      <c r="BX36" s="453">
        <f>IF(OR('Parte Estrategica'!AI36=0,'Parte Estrategica'!AI36=""),0,IF(VLOOKUP($A36,'Matriz de Referencia'!$B$2:$CO$584,39,FALSE)=0,0,"Digite"))</f>
        <v>0</v>
      </c>
      <c r="BY36" s="454">
        <f>IF(OR('Parte Estrategica'!AI36=0,'Parte Estrategica'!AI36=""),0,IF(VLOOKUP($A36,'Matriz de Referencia'!$B$2:$CO$584,40,FALSE)=0,0,"Digite"))</f>
        <v>0</v>
      </c>
      <c r="BZ36" s="454">
        <f>IF(OR('Parte Estrategica'!AI36=0,'Parte Estrategica'!AI36=""),0,IF(VLOOKUP($A36,'Matriz de Referencia'!$B$2:$CO$584,41,FALSE)=0,0,"Digite"))</f>
        <v>0</v>
      </c>
      <c r="CA36" s="454">
        <f>IF(OR('Parte Estrategica'!AI36=0,'Parte Estrategica'!AI36=""),0,IF(VLOOKUP($A36,'Matriz de Referencia'!$B$2:$CO$584,42,FALSE)=0,0,"Digite"))</f>
        <v>0</v>
      </c>
      <c r="CB36" s="454">
        <f>IF(OR('Parte Estrategica'!AI36=0,'Parte Estrategica'!AI36=""),0,IF(VLOOKUP($A36,'Matriz de Referencia'!$B$2:$CO$584,43,FALSE)=0,0,"Digite"))</f>
        <v>0</v>
      </c>
      <c r="CC36" s="454">
        <f>IF(OR('Parte Estrategica'!AI36=0,'Parte Estrategica'!AI36=""),0,IF(VLOOKUP($A36,'Matriz de Referencia'!$B$2:$CO$584,44,FALSE)=0,0,"Digite"))</f>
        <v>0</v>
      </c>
      <c r="CD36" s="454">
        <f>IF(OR('Parte Estrategica'!AI36=0,'Parte Estrategica'!AI36=""),0,IF(VLOOKUP($A36,'Matriz de Referencia'!$B$2:$CO$584,45,FALSE)=0,0,"Digite"))</f>
        <v>0</v>
      </c>
      <c r="CE36" s="454">
        <f>IF(OR('Parte Estrategica'!AI36=0,'Parte Estrategica'!AI36=""),0,IF(VLOOKUP($A36,'Matriz de Referencia'!$B$2:$CO$584,46,FALSE)=0,0,"Digite"))</f>
        <v>0</v>
      </c>
      <c r="CF36" s="382">
        <f t="shared" si="16"/>
        <v>0</v>
      </c>
      <c r="CG36" s="454">
        <f>IF(OR('Parte Estrategica'!AI36=0,'Parte Estrategica'!AI36=""),0,IF(VLOOKUP($A36,'Matriz de Referencia'!$B$2:$CO$584,48,FALSE)=0,0,"Digite"))</f>
        <v>0</v>
      </c>
      <c r="CH36" s="454">
        <f>IF(OR('Parte Estrategica'!AI36=0,'Parte Estrategica'!AI36=""),0,IF(VLOOKUP($A36,'Matriz de Referencia'!$B$2:$CO$584,49,FALSE)=0,0,"Digite"))</f>
        <v>0</v>
      </c>
      <c r="CI36" s="454">
        <f>IF(OR('Parte Estrategica'!AI36=0,'Parte Estrategica'!AI36=""),0,IF(VLOOKUP($A36,'Matriz de Referencia'!$B$2:$CO$584,50,FALSE)=0,0,"Digite"))</f>
        <v>0</v>
      </c>
      <c r="CJ36" s="382">
        <f t="shared" si="17"/>
        <v>0</v>
      </c>
      <c r="CK36" s="382">
        <f t="shared" si="18"/>
        <v>0</v>
      </c>
      <c r="CL36" s="453">
        <f>IF(OR('Parte Estrategica'!AJ36=0,'Parte Estrategica'!AJ36=""),0,IF(VLOOKUP($A36,'Matriz de Referencia'!$B$2:$CO$584,39,FALSE)=0,0,"Digite"))</f>
        <v>0</v>
      </c>
      <c r="CM36" s="454">
        <f>IF(OR('Parte Estrategica'!AJ36=0,'Parte Estrategica'!AJ36=""),0,IF(VLOOKUP($A36,'Matriz de Referencia'!$B$2:$CO$584,40,FALSE)=0,0,"Digite"))</f>
        <v>0</v>
      </c>
      <c r="CN36" s="454">
        <f>IF(OR('Parte Estrategica'!AJ36=0,'Parte Estrategica'!AJ36=""),0,IF(VLOOKUP($A36,'Matriz de Referencia'!$B$2:$CO$584,41,FALSE)=0,0,"Digite"))</f>
        <v>0</v>
      </c>
      <c r="CO36" s="454">
        <f>IF(OR('Parte Estrategica'!AJ36=0,'Parte Estrategica'!AJ36=""),0,IF(VLOOKUP($A36,'Matriz de Referencia'!$B$2:$CO$584,42,FALSE)=0,0,"Digite"))</f>
        <v>0</v>
      </c>
      <c r="CP36" s="454">
        <f>IF(OR('Parte Estrategica'!AJ36=0,'Parte Estrategica'!AJ36=""),0,IF(VLOOKUP($A36,'Matriz de Referencia'!$B$2:$CO$584,43,FALSE)=0,0,"Digite"))</f>
        <v>0</v>
      </c>
      <c r="CQ36" s="454">
        <f>IF(OR('Parte Estrategica'!AJ36=0,'Parte Estrategica'!AJ36=""),0,IF(VLOOKUP($A36,'Matriz de Referencia'!$B$2:$CO$584,44,FALSE)=0,0,"Digite"))</f>
        <v>0</v>
      </c>
      <c r="CR36" s="454">
        <f>IF(OR('Parte Estrategica'!AJ36=0,'Parte Estrategica'!AJ36=""),0,IF(VLOOKUP($A36,'Matriz de Referencia'!$B$2:$CO$584,45,FALSE)=0,0,"Digite"))</f>
        <v>0</v>
      </c>
      <c r="CS36" s="454">
        <f>IF(OR('Parte Estrategica'!AJ36=0,'Parte Estrategica'!AJ36=""),0,IF(VLOOKUP($A36,'Matriz de Referencia'!$B$2:$CO$584,46,FALSE)=0,0,"Digite"))</f>
        <v>0</v>
      </c>
      <c r="CT36" s="382">
        <f t="shared" si="19"/>
        <v>0</v>
      </c>
      <c r="CU36" s="454">
        <f>IF(OR('Parte Estrategica'!AJ36=0,'Parte Estrategica'!AJ36=""),0,IF(VLOOKUP($A36,'Matriz de Referencia'!$B$2:$CO$584,48,FALSE)=0,0,"Digite"))</f>
        <v>0</v>
      </c>
      <c r="CV36" s="454">
        <f>IF(OR('Parte Estrategica'!AJ36=0,'Parte Estrategica'!AJ36=""),0,IF(VLOOKUP($A36,'Matriz de Referencia'!$B$2:$CO$584,49,FALSE)=0,0,"Digite"))</f>
        <v>0</v>
      </c>
      <c r="CW36" s="454">
        <f>IF(OR('Parte Estrategica'!AJ36=0,'Parte Estrategica'!AJ36=""),0,IF(VLOOKUP($A36,'Matriz de Referencia'!$B$2:$CO$584,50,FALSE)=0,0,"Digite"))</f>
        <v>0</v>
      </c>
      <c r="CX36" s="382">
        <f t="shared" si="20"/>
        <v>0</v>
      </c>
      <c r="CY36" s="382">
        <f t="shared" si="21"/>
        <v>0</v>
      </c>
      <c r="CZ36" s="453">
        <f>IF(OR('Parte Estrategica'!AK36=0,'Parte Estrategica'!AK36=""),0,IF(VLOOKUP($A36,'Matriz de Referencia'!$B$2:$CO$584,39,FALSE)=0,0,"Digite"))</f>
        <v>0</v>
      </c>
      <c r="DA36" s="454">
        <f>IF(OR('Parte Estrategica'!AK36=0,'Parte Estrategica'!AK36=""),0,IF(VLOOKUP($A36,'Matriz de Referencia'!$B$2:$CO$584,40,FALSE)=0,0,"Digite"))</f>
        <v>0</v>
      </c>
      <c r="DB36" s="454">
        <f>IF(OR('Parte Estrategica'!AK36=0,'Parte Estrategica'!AK36=""),0,IF(VLOOKUP($A36,'Matriz de Referencia'!$B$2:$CO$584,41,FALSE)=0,0,"Digite"))</f>
        <v>0</v>
      </c>
      <c r="DC36" s="454">
        <f>IF(OR('Parte Estrategica'!AK36=0,'Parte Estrategica'!AK36=""),0,IF(VLOOKUP($A36,'Matriz de Referencia'!$B$2:$CO$584,42,FALSE)=0,0,"Digite"))</f>
        <v>0</v>
      </c>
      <c r="DD36" s="454">
        <f>IF(OR('Parte Estrategica'!AK36=0,'Parte Estrategica'!AK36=""),0,IF(VLOOKUP($A36,'Matriz de Referencia'!$B$2:$CO$584,43,FALSE)=0,0,"Digite"))</f>
        <v>0</v>
      </c>
      <c r="DE36" s="454">
        <f>IF(OR('Parte Estrategica'!AK36=0,'Parte Estrategica'!AK36=""),0,IF(VLOOKUP($A36,'Matriz de Referencia'!$B$2:$CO$584,44,FALSE)=0,0,"Digite"))</f>
        <v>0</v>
      </c>
      <c r="DF36" s="454">
        <f>IF(OR('Parte Estrategica'!AK36=0,'Parte Estrategica'!AK36=""),0,IF(VLOOKUP($A36,'Matriz de Referencia'!$B$2:$CO$584,45,FALSE)=0,0,"Digite"))</f>
        <v>0</v>
      </c>
      <c r="DG36" s="454">
        <f>IF(OR('Parte Estrategica'!AK36=0,'Parte Estrategica'!AK36=""),0,IF(VLOOKUP($A36,'Matriz de Referencia'!$B$2:$CO$584,46,FALSE)=0,0,"Digite"))</f>
        <v>0</v>
      </c>
      <c r="DH36" s="382">
        <f t="shared" si="22"/>
        <v>0</v>
      </c>
      <c r="DI36" s="454">
        <f>IF(OR('Parte Estrategica'!AK36=0,'Parte Estrategica'!AK36=""),0,IF(VLOOKUP($A36,'Matriz de Referencia'!$B$2:$CO$584,48,FALSE)=0,0,"Digite"))</f>
        <v>0</v>
      </c>
      <c r="DJ36" s="454">
        <f>IF(OR('Parte Estrategica'!AK36=0,'Parte Estrategica'!AK36=""),0,IF(VLOOKUP($A36,'Matriz de Referencia'!$B$2:$CO$584,49,FALSE)=0,0,"Digite"))</f>
        <v>0</v>
      </c>
      <c r="DK36" s="454">
        <f>IF(OR('Parte Estrategica'!AK36=0,'Parte Estrategica'!AK36=""),0,IF(VLOOKUP($A36,'Matriz de Referencia'!$B$2:$CO$584,50,FALSE)=0,0,"Digite"))</f>
        <v>0</v>
      </c>
      <c r="DL36" s="382">
        <f t="shared" si="23"/>
        <v>0</v>
      </c>
      <c r="DM36" s="382">
        <f t="shared" si="24"/>
        <v>0</v>
      </c>
      <c r="DN36" s="382">
        <f t="shared" si="25"/>
        <v>0</v>
      </c>
      <c r="DO36" s="101" t="str">
        <f>IFERROR(IF(DN36=0,"",IF(VLOOKUP($A36,'Matriz de Referencia'!$B$2:$CO$584,52,FALSE)=DN36,"Techos ok, cotinue","Debe revisar el valor programado")),"")</f>
        <v/>
      </c>
      <c r="DP36" s="453">
        <f>IF(OR('Parte Estrategica'!AN36=0,'Parte Estrategica'!AN36=""),0,IF(VLOOKUP($A36,'Matriz de Referencia'!$B$2:$CO$584,53,FALSE)=0,0,"Digite"))</f>
        <v>0</v>
      </c>
      <c r="DQ36" s="454">
        <f>IF(OR('Parte Estrategica'!AN36=0,'Parte Estrategica'!AN36=""),0,IF(VLOOKUP($A36,'Matriz de Referencia'!$B$2:$CO$584,54,FALSE)=0,0,"Digite"))</f>
        <v>0</v>
      </c>
      <c r="DR36" s="454">
        <f>IF(OR('Parte Estrategica'!AN36=0,'Parte Estrategica'!AN36=""),0,IF(VLOOKUP($A36,'Matriz de Referencia'!$B$2:$CO$584,55,FALSE)=0,0,"Digite"))</f>
        <v>0</v>
      </c>
      <c r="DS36" s="454">
        <f>IF(OR('Parte Estrategica'!AN36=0,'Parte Estrategica'!AN36=""),0,IF(VLOOKUP($A36,'Matriz de Referencia'!$B$2:$CO$584,56,FALSE)=0,0,"Digite"))</f>
        <v>0</v>
      </c>
      <c r="DT36" s="454">
        <f>IF(OR('Parte Estrategica'!AN36=0,'Parte Estrategica'!AN36=""),0,IF(VLOOKUP($A36,'Matriz de Referencia'!$B$2:$CO$584,57,FALSE)=0,0,"Digite"))</f>
        <v>0</v>
      </c>
      <c r="DU36" s="454">
        <f>IF(OR('Parte Estrategica'!AN36=0,'Parte Estrategica'!AN36=""),0,IF(VLOOKUP($A36,'Matriz de Referencia'!$B$2:$CO$584,58,FALSE)=0,0,"Digite"))</f>
        <v>0</v>
      </c>
      <c r="DV36" s="454">
        <f>IF(OR('Parte Estrategica'!AN36=0,'Parte Estrategica'!AN36=""),0,IF(VLOOKUP($A36,'Matriz de Referencia'!$B$2:$CO$584,59,FALSE)=0,0,"Digite"))</f>
        <v>0</v>
      </c>
      <c r="DW36" s="454">
        <f>IF(OR('Parte Estrategica'!AN36=0,'Parte Estrategica'!AN36=""),0,IF(VLOOKUP($A36,'Matriz de Referencia'!$B$2:$CO$584,60,FALSE)=0,0,"Digite"))</f>
        <v>0</v>
      </c>
      <c r="DX36" s="382">
        <f t="shared" si="26"/>
        <v>0</v>
      </c>
      <c r="DY36" s="454">
        <f>IF(OR('Parte Estrategica'!AN36=0,'Parte Estrategica'!AN36=""),0,IF(VLOOKUP($A36,'Matriz de Referencia'!$B$2:$CO$584,62,FALSE)=0,0,"Digite"))</f>
        <v>0</v>
      </c>
      <c r="DZ36" s="454">
        <f>IF(OR('Parte Estrategica'!AN36=0,'Parte Estrategica'!AN36=""),0,IF(VLOOKUP($A36,'Matriz de Referencia'!$B$2:$CO$584,63,FALSE)=0,0,"Digite"))</f>
        <v>0</v>
      </c>
      <c r="EA36" s="454" t="str">
        <f>IF(OR('Parte Estrategica'!AN36=0,'Parte Estrategica'!AN36=""),"",IF(VLOOKUP($A36,'Matriz de Referencia'!$B$2:$CO$584,64,FALSE)=0,"","Digite"))</f>
        <v/>
      </c>
      <c r="EB36" s="382">
        <f t="shared" si="27"/>
        <v>0</v>
      </c>
      <c r="EC36" s="382">
        <f t="shared" si="28"/>
        <v>0</v>
      </c>
      <c r="ED36" s="453">
        <f>IF(OR('Parte Estrategica'!AO36=0,'Parte Estrategica'!AO36=""),0,IF(VLOOKUP($A36,'Matriz de Referencia'!$B$2:$CO$584,53,FALSE)=0,0,"Digite"))</f>
        <v>0</v>
      </c>
      <c r="EE36" s="454">
        <f>IF(OR('Parte Estrategica'!AO36=0,'Parte Estrategica'!AO36=""),0,IF(VLOOKUP($A36,'Matriz de Referencia'!$B$2:$CO$584,54,FALSE)=0,0,"Digite"))</f>
        <v>0</v>
      </c>
      <c r="EF36" s="454">
        <f>IF(OR('Parte Estrategica'!AO36=0,'Parte Estrategica'!AO36=""),0,IF(VLOOKUP($A36,'Matriz de Referencia'!$B$2:$CO$584,55,FALSE)=0,0,"Digite"))</f>
        <v>0</v>
      </c>
      <c r="EG36" s="454">
        <f>IF(OR('Parte Estrategica'!AO36=0,'Parte Estrategica'!AO36=""),0,IF(VLOOKUP($A36,'Matriz de Referencia'!$B$2:$CO$584,56,FALSE)=0,0,"Digite"))</f>
        <v>0</v>
      </c>
      <c r="EH36" s="454">
        <f>IF(OR('Parte Estrategica'!AO36=0,'Parte Estrategica'!AO36=""),0,IF(VLOOKUP($A36,'Matriz de Referencia'!$B$2:$CO$584,57,FALSE)=0,0,"Digite"))</f>
        <v>0</v>
      </c>
      <c r="EI36" s="454">
        <f>IF(OR('Parte Estrategica'!AO36=0,'Parte Estrategica'!AO36=""),0,IF(VLOOKUP($A36,'Matriz de Referencia'!$B$2:$CO$584,58,FALSE)=0,0,"Digite"))</f>
        <v>0</v>
      </c>
      <c r="EJ36" s="454">
        <f>IF(OR('Parte Estrategica'!AO36=0,'Parte Estrategica'!AO36=""),0,IF(VLOOKUP($A36,'Matriz de Referencia'!$B$2:$CO$584,59,FALSE)=0,0,"Digite"))</f>
        <v>0</v>
      </c>
      <c r="EK36" s="454">
        <f>IF(OR('Parte Estrategica'!AO36=0,'Parte Estrategica'!AO36=""),0,IF(VLOOKUP($A36,'Matriz de Referencia'!$B$2:$CO$584,60,FALSE)=0,0,"Digite"))</f>
        <v>0</v>
      </c>
      <c r="EL36" s="382">
        <f t="shared" si="29"/>
        <v>0</v>
      </c>
      <c r="EM36" s="454">
        <f>IF(OR('Parte Estrategica'!AO36=0,'Parte Estrategica'!AO36=""),0,IF(VLOOKUP($A36,'Matriz de Referencia'!$B$2:$CO$584,62,FALSE)=0,0,"Digite"))</f>
        <v>0</v>
      </c>
      <c r="EN36" s="454">
        <f>IF(OR('Parte Estrategica'!AO36=0,'Parte Estrategica'!AO36=""),0,IF(VLOOKUP($A36,'Matriz de Referencia'!$B$2:$CO$584,63,FALSE)=0,0,"Digite"))</f>
        <v>0</v>
      </c>
      <c r="EO36" s="454">
        <f>IF(OR('Parte Estrategica'!AO36=0,'Parte Estrategica'!AO36=""),0,IF(VLOOKUP($A36,'Matriz de Referencia'!$B$2:$CO$584,64,FALSE)=0,0,"Digite"))</f>
        <v>0</v>
      </c>
      <c r="EP36" s="382">
        <f t="shared" si="30"/>
        <v>0</v>
      </c>
      <c r="EQ36" s="382">
        <f t="shared" si="31"/>
        <v>0</v>
      </c>
      <c r="ER36" s="453">
        <f>IF(OR('Parte Estrategica'!AP36=0,'Parte Estrategica'!AP36=""),0,IF(VLOOKUP($A36,'Matriz de Referencia'!$B$2:$CO$584,53,FALSE)=0,0,"Digite"))</f>
        <v>0</v>
      </c>
      <c r="ES36" s="454">
        <f>IF(OR('Parte Estrategica'!AP36=0,'Parte Estrategica'!AP36=""),0,IF(VLOOKUP($A36,'Matriz de Referencia'!$B$2:$CO$584,54,FALSE)=0,0,"Digite"))</f>
        <v>0</v>
      </c>
      <c r="ET36" s="454">
        <f>IF(OR('Parte Estrategica'!AP36=0,'Parte Estrategica'!AP36=""),0,IF(VLOOKUP($A36,'Matriz de Referencia'!$B$2:$CO$584,55,FALSE)=0,0,"Digite"))</f>
        <v>0</v>
      </c>
      <c r="EU36" s="454">
        <f>IF(OR('Parte Estrategica'!AP36=0,'Parte Estrategica'!AP36=""),0,IF(VLOOKUP($A36,'Matriz de Referencia'!$B$2:$CO$584,56,FALSE)=0,0,"Digite"))</f>
        <v>0</v>
      </c>
      <c r="EV36" s="454">
        <f>IF(OR('Parte Estrategica'!AP36=0,'Parte Estrategica'!AP36=""),0,IF(VLOOKUP($A36,'Matriz de Referencia'!$B$2:$CO$584,57,FALSE)=0,0,"Digite"))</f>
        <v>0</v>
      </c>
      <c r="EW36" s="454">
        <f>IF(OR('Parte Estrategica'!AP36=0,'Parte Estrategica'!AP36=""),0,IF(VLOOKUP($A36,'Matriz de Referencia'!$B$2:$CO$584,58,FALSE)=0,0,"Digite"))</f>
        <v>0</v>
      </c>
      <c r="EX36" s="454">
        <f>IF(OR('Parte Estrategica'!AP36=0,'Parte Estrategica'!AP36=""),0,IF(VLOOKUP($A36,'Matriz de Referencia'!$B$2:$CO$584,59,FALSE)=0,0,"Digite"))</f>
        <v>0</v>
      </c>
      <c r="EY36" s="454">
        <f>IF(OR('Parte Estrategica'!AP36=0,'Parte Estrategica'!AP36=""),0,IF(VLOOKUP($A36,'Matriz de Referencia'!$B$2:$CO$584,60,FALSE)=0,0,"Digite"))</f>
        <v>0</v>
      </c>
      <c r="EZ36" s="382">
        <f t="shared" si="32"/>
        <v>0</v>
      </c>
      <c r="FA36" s="454">
        <f>IF(OR('Parte Estrategica'!AP36=0,'Parte Estrategica'!AP36=""),0,IF(VLOOKUP($A36,'Matriz de Referencia'!$B$2:$CO$584,62,FALSE)=0,0,"Digite"))</f>
        <v>0</v>
      </c>
      <c r="FB36" s="454">
        <f>IF(OR('Parte Estrategica'!AP36=0,'Parte Estrategica'!AP36=""),0,IF(VLOOKUP($A36,'Matriz de Referencia'!$B$2:$CO$584,63,FALSE)=0,0,"Digite"))</f>
        <v>0</v>
      </c>
      <c r="FC36" s="454">
        <f>IF(OR('Parte Estrategica'!AP36=0,'Parte Estrategica'!AP36=""),0,IF(VLOOKUP($A36,'Matriz de Referencia'!$B$2:$CO$584,64,FALSE)=0,0,"Digite"))</f>
        <v>0</v>
      </c>
      <c r="FD36" s="382">
        <f t="shared" si="33"/>
        <v>0</v>
      </c>
      <c r="FE36" s="382">
        <f t="shared" si="34"/>
        <v>0</v>
      </c>
      <c r="FF36" s="453">
        <f>IF(OR('Parte Estrategica'!AQ36=0,'Parte Estrategica'!AQ36=""),0,IF(VLOOKUP($A36,'Matriz de Referencia'!$B$2:$CO$584,53,FALSE)=0,0,"Digite"))</f>
        <v>0</v>
      </c>
      <c r="FG36" s="454">
        <f>IF(OR('Parte Estrategica'!AQ36=0,'Parte Estrategica'!AQ36=""),0,IF(VLOOKUP($A36,'Matriz de Referencia'!$B$2:$CO$584,54,FALSE)=0,0,"Digite"))</f>
        <v>0</v>
      </c>
      <c r="FH36" s="454">
        <f>IF(OR('Parte Estrategica'!AQ36=0,'Parte Estrategica'!AQ36=""),0,IF(VLOOKUP($A36,'Matriz de Referencia'!$B$2:$CO$584,55,FALSE)=0,0,"Digite"))</f>
        <v>0</v>
      </c>
      <c r="FI36" s="454">
        <f>IF(OR('Parte Estrategica'!AQ36=0,'Parte Estrategica'!AQ36=""),0,IF(VLOOKUP($A36,'Matriz de Referencia'!$B$2:$CO$584,56,FALSE)=0,0,"Digite"))</f>
        <v>0</v>
      </c>
      <c r="FJ36" s="454">
        <f>IF(OR('Parte Estrategica'!AQ36=0,'Parte Estrategica'!AQ36=""),0,IF(VLOOKUP($A36,'Matriz de Referencia'!$B$2:$CO$584,57,FALSE)=0,0,"Digite"))</f>
        <v>0</v>
      </c>
      <c r="FK36" s="454">
        <f>IF(OR('Parte Estrategica'!AQ36=0,'Parte Estrategica'!AQ36=""),0,IF(VLOOKUP($A36,'Matriz de Referencia'!$B$2:$CO$584,58,FALSE)=0,0,"Digite"))</f>
        <v>0</v>
      </c>
      <c r="FL36" s="454">
        <f>IF(OR('Parte Estrategica'!AQ36=0,'Parte Estrategica'!AQ36=""),0,IF(VLOOKUP($A36,'Matriz de Referencia'!$B$2:$CO$584,59,FALSE)=0,0,"Digite"))</f>
        <v>0</v>
      </c>
      <c r="FM36" s="454">
        <f>IF(OR('Parte Estrategica'!AQ36=0,'Parte Estrategica'!AQ36=""),0,IF(VLOOKUP($A36,'Matriz de Referencia'!$B$2:$CO$584,60,FALSE)=0,0,"Digite"))</f>
        <v>0</v>
      </c>
      <c r="FN36" s="382">
        <f t="shared" si="35"/>
        <v>0</v>
      </c>
      <c r="FO36" s="454">
        <f>IF(OR('Parte Estrategica'!AQ36=0,'Parte Estrategica'!AQ36=""),0,IF(VLOOKUP($A36,'Matriz de Referencia'!$B$2:$CO$584,62,FALSE)=0,0,"Digite"))</f>
        <v>0</v>
      </c>
      <c r="FP36" s="454">
        <f>IF(OR('Parte Estrategica'!AQ36=0,'Parte Estrategica'!AQ36=""),0,IF(VLOOKUP($A36,'Matriz de Referencia'!$B$2:$CO$584,63,FALSE)=0,0,"Digite"))</f>
        <v>0</v>
      </c>
      <c r="FQ36" s="454">
        <f>IF(OR('Parte Estrategica'!AQ36=0,'Parte Estrategica'!AQ36=""),0,IF(VLOOKUP($A36,'Matriz de Referencia'!$B$2:$CO$584,64,FALSE)=0,0,"Digite"))</f>
        <v>0</v>
      </c>
      <c r="FR36" s="382">
        <f t="shared" si="36"/>
        <v>0</v>
      </c>
      <c r="FS36" s="382">
        <f t="shared" si="37"/>
        <v>0</v>
      </c>
      <c r="FT36" s="382">
        <f t="shared" si="38"/>
        <v>0</v>
      </c>
      <c r="FU36" s="101" t="str">
        <f>IFERROR(IF(FT36=0,"",IF(VLOOKUP($A36,'Matriz de Referencia'!$B$2:$CO$584,66,FALSE)=FT36,"Techos ok, cotinue","Debe revisar el valor programado")),"")</f>
        <v/>
      </c>
      <c r="FV36" s="453">
        <f>IF(OR('Parte Estrategica'!AT36=0,'Parte Estrategica'!AT36=""),0,IF(VLOOKUP($A36,'Matriz de Referencia'!$B$2:$CO$584,67,FALSE)=0,0,"Digite"))</f>
        <v>0</v>
      </c>
      <c r="FW36" s="454">
        <f>IF(OR('Parte Estrategica'!AT36=0,'Parte Estrategica'!AT36=""),0,IF(VLOOKUP($A36,'Matriz de Referencia'!$B$2:$CO$584,68,FALSE)=0,0,"Digite"))</f>
        <v>0</v>
      </c>
      <c r="FX36" s="454">
        <f>IF(OR('Parte Estrategica'!AT36=0,'Parte Estrategica'!AT36=""),0,IF(VLOOKUP($A36,'Matriz de Referencia'!$B$2:$CO$584,69,FALSE)=0,0,"Digite"))</f>
        <v>0</v>
      </c>
      <c r="FY36" s="454">
        <f>IF(OR('Parte Estrategica'!AT36=0,'Parte Estrategica'!AT36=""),0,IF(VLOOKUP($A36,'Matriz de Referencia'!$B$2:$CO$584,70,FALSE)=0,0,"Digite"))</f>
        <v>0</v>
      </c>
      <c r="FZ36" s="454">
        <f>IF(OR('Parte Estrategica'!AT36=0,'Parte Estrategica'!AT36=""),0,IF(VLOOKUP($A36,'Matriz de Referencia'!$B$2:$CO$584,71,FALSE)=0,0,"Digite"))</f>
        <v>0</v>
      </c>
      <c r="GA36" s="454">
        <f>IF(OR('Parte Estrategica'!AT36=0,'Parte Estrategica'!AT36=""),0,IF(VLOOKUP($A36,'Matriz de Referencia'!$B$2:$CO$584,72,FALSE)=0,0,"Digite"))</f>
        <v>0</v>
      </c>
      <c r="GB36" s="454">
        <f>IF(OR('Parte Estrategica'!AT36=0,'Parte Estrategica'!AT36=""),0,IF(VLOOKUP($A36,'Matriz de Referencia'!$B$2:$CO$584,73,FALSE)=0,0,"Digite"))</f>
        <v>0</v>
      </c>
      <c r="GC36" s="454">
        <f>IF(OR('Parte Estrategica'!AT36=0,'Parte Estrategica'!AT36=""),0,IF(VLOOKUP($A36,'Matriz de Referencia'!$B$2:$CO$584,74,FALSE)=0,0,"Digite"))</f>
        <v>0</v>
      </c>
      <c r="GD36" s="382">
        <f t="shared" si="39"/>
        <v>0</v>
      </c>
      <c r="GE36" s="454">
        <f>IF(OR('Parte Estrategica'!AT36=0,'Parte Estrategica'!AT36=""),0,IF(VLOOKUP($A36,'Matriz de Referencia'!$B$2:$CO$584,76,FALSE)=0,0,"Digite"))</f>
        <v>0</v>
      </c>
      <c r="GF36" s="454">
        <f>IF(OR('Parte Estrategica'!AT36=0,'Parte Estrategica'!AT36=""),0,IF(VLOOKUP($A36,'Matriz de Referencia'!$B$2:$CO$584,77,FALSE)=0,0,"Digite"))</f>
        <v>0</v>
      </c>
      <c r="GG36" s="454">
        <f>IF(OR('Parte Estrategica'!AT36=0,'Parte Estrategica'!AT36=""),0,IF(VLOOKUP($A36,'Matriz de Referencia'!$B$2:$CO$584,78,FALSE)=0,0,"Digite"))</f>
        <v>0</v>
      </c>
      <c r="GH36" s="382">
        <f t="shared" si="40"/>
        <v>0</v>
      </c>
      <c r="GI36" s="382">
        <f t="shared" si="41"/>
        <v>0</v>
      </c>
      <c r="GJ36" s="453">
        <f>IF(OR('Parte Estrategica'!AU36=0,'Parte Estrategica'!AU36=""),0,IF(VLOOKUP($A36,'Matriz de Referencia'!$B$2:$CO$584,67,FALSE)=0,0,"Digite"))</f>
        <v>0</v>
      </c>
      <c r="GK36" s="454">
        <f>IF(OR('Parte Estrategica'!AU36=0,'Parte Estrategica'!AU36=""),0,IF(VLOOKUP($A36,'Matriz de Referencia'!$B$2:$CO$584,68,FALSE)=0,0,"Digite"))</f>
        <v>0</v>
      </c>
      <c r="GL36" s="454">
        <f>IF(OR('Parte Estrategica'!AU36=0,'Parte Estrategica'!AU36=""),0,IF(VLOOKUP($A36,'Matriz de Referencia'!$B$2:$CO$584,69,FALSE)=0,0,"Digite"))</f>
        <v>0</v>
      </c>
      <c r="GM36" s="454">
        <f>IF(OR('Parte Estrategica'!AU36=0,'Parte Estrategica'!AU36=""),0,IF(VLOOKUP($A36,'Matriz de Referencia'!$B$2:$CO$584,70,FALSE)=0,0,"Digite"))</f>
        <v>0</v>
      </c>
      <c r="GN36" s="454">
        <f>IF(OR('Parte Estrategica'!AU36=0,'Parte Estrategica'!AU36=""),0,IF(VLOOKUP($A36,'Matriz de Referencia'!$B$2:$CO$584,71,FALSE)=0,0,"Digite"))</f>
        <v>0</v>
      </c>
      <c r="GO36" s="454">
        <f>IF(OR('Parte Estrategica'!AU36=0,'Parte Estrategica'!AU36=""),0,IF(VLOOKUP($A36,'Matriz de Referencia'!$B$2:$CO$584,72,FALSE)=0,0,"Digite"))</f>
        <v>0</v>
      </c>
      <c r="GP36" s="454">
        <f>IF(OR('Parte Estrategica'!AU36=0,'Parte Estrategica'!AU36=""),0,IF(VLOOKUP($A36,'Matriz de Referencia'!$B$2:$CO$584,73,FALSE)=0,0,"Digite"))</f>
        <v>0</v>
      </c>
      <c r="GQ36" s="454">
        <f>IF(OR('Parte Estrategica'!AU36=0,'Parte Estrategica'!AU36=""),0,IF(VLOOKUP($A36,'Matriz de Referencia'!$B$2:$CO$584,74,FALSE)=0,0,"Digite"))</f>
        <v>0</v>
      </c>
      <c r="GR36" s="382">
        <f t="shared" si="42"/>
        <v>0</v>
      </c>
      <c r="GS36" s="454">
        <f>IF(OR('Parte Estrategica'!AU36=0,'Parte Estrategica'!AU36=""),0,IF(VLOOKUP($A36,'Matriz de Referencia'!$B$2:$CO$584,76,FALSE)=0,0,"Digite"))</f>
        <v>0</v>
      </c>
      <c r="GT36" s="454">
        <f>IF(OR('Parte Estrategica'!AU36=0,'Parte Estrategica'!AU36=""),0,IF(VLOOKUP($A36,'Matriz de Referencia'!$B$2:$CO$584,77,FALSE)=0,0,"Digite"))</f>
        <v>0</v>
      </c>
      <c r="GU36" s="454">
        <f>IF(OR('Parte Estrategica'!AU36=0,'Parte Estrategica'!AU36=""),0,IF(VLOOKUP($A36,'Matriz de Referencia'!$B$2:$CO$584,78,FALSE)=0,0,"Digite"))</f>
        <v>0</v>
      </c>
      <c r="GV36" s="382">
        <f t="shared" si="43"/>
        <v>0</v>
      </c>
      <c r="GW36" s="382">
        <f t="shared" si="44"/>
        <v>0</v>
      </c>
      <c r="GX36" s="453">
        <f>IF(OR('Parte Estrategica'!AV36=0,'Parte Estrategica'!AV36=""),0,IF(VLOOKUP($A36,'Matriz de Referencia'!$B$2:$CO$584,67,FALSE)=0,0,"Digite"))</f>
        <v>0</v>
      </c>
      <c r="GY36" s="454">
        <f>IF(OR('Parte Estrategica'!AV36=0,'Parte Estrategica'!AV36=""),0,IF(VLOOKUP($A36,'Matriz de Referencia'!$B$2:$CO$584,68,FALSE)=0,0,"Digite"))</f>
        <v>0</v>
      </c>
      <c r="GZ36" s="454">
        <f>IF(OR('Parte Estrategica'!AV36=0,'Parte Estrategica'!AV36=""),0,IF(VLOOKUP($A36,'Matriz de Referencia'!$B$2:$CO$584,69,FALSE)=0,0,"Digite"))</f>
        <v>0</v>
      </c>
      <c r="HA36" s="454">
        <f>IF(OR('Parte Estrategica'!AV36=0,'Parte Estrategica'!AV36=""),0,IF(VLOOKUP($A36,'Matriz de Referencia'!$B$2:$CO$584,70,FALSE)=0,0,"Digite"))</f>
        <v>0</v>
      </c>
      <c r="HB36" s="454">
        <f>IF(OR('Parte Estrategica'!AV36=0,'Parte Estrategica'!AV36=""),0,IF(VLOOKUP($A36,'Matriz de Referencia'!$B$2:$CO$584,71,FALSE)=0,0,"Digite"))</f>
        <v>0</v>
      </c>
      <c r="HC36" s="454">
        <f>IF(OR('Parte Estrategica'!AV36=0,'Parte Estrategica'!AV36=""),0,IF(VLOOKUP($A36,'Matriz de Referencia'!$B$2:$CO$584,72,FALSE)=0,0,"Digite"))</f>
        <v>0</v>
      </c>
      <c r="HD36" s="454">
        <f>IF(OR('Parte Estrategica'!AV36=0,'Parte Estrategica'!AV36=""),0,IF(VLOOKUP($A36,'Matriz de Referencia'!$B$2:$CO$584,73,FALSE)=0,0,"Digite"))</f>
        <v>0</v>
      </c>
      <c r="HE36" s="454">
        <f>IF(OR('Parte Estrategica'!AV36=0,'Parte Estrategica'!AV36=""),0,IF(VLOOKUP($A36,'Matriz de Referencia'!$B$2:$CO$584,74,FALSE)=0,0,"Digite"))</f>
        <v>0</v>
      </c>
      <c r="HF36" s="382">
        <f t="shared" si="45"/>
        <v>0</v>
      </c>
      <c r="HG36" s="454">
        <f>IF(OR('Parte Estrategica'!AV36=0,'Parte Estrategica'!AV36=""),0,IF(VLOOKUP($A36,'Matriz de Referencia'!$B$2:$CO$584,76,FALSE)=0,0,"Digite"))</f>
        <v>0</v>
      </c>
      <c r="HH36" s="454">
        <f>IF(OR('Parte Estrategica'!AV36=0,'Parte Estrategica'!AV36=""),0,IF(VLOOKUP($A36,'Matriz de Referencia'!$B$2:$CO$584,77,FALSE)=0,0,"Digite"))</f>
        <v>0</v>
      </c>
      <c r="HI36" s="454">
        <f>IF(OR('Parte Estrategica'!AV36=0,'Parte Estrategica'!AV36=""),0,IF(VLOOKUP($A36,'Matriz de Referencia'!$B$2:$CO$584,78,FALSE)=0,0,"Digite"))</f>
        <v>0</v>
      </c>
      <c r="HJ36" s="382">
        <f t="shared" si="46"/>
        <v>0</v>
      </c>
      <c r="HK36" s="382">
        <f t="shared" si="47"/>
        <v>0</v>
      </c>
      <c r="HL36" s="453">
        <f>IF(OR('Parte Estrategica'!AW36=0,'Parte Estrategica'!AW36=""),0,IF(VLOOKUP($A36,'Matriz de Referencia'!$B$2:$CO$584,67,FALSE)=0,0,"Digite"))</f>
        <v>0</v>
      </c>
      <c r="HM36" s="454">
        <f>IF(OR('Parte Estrategica'!AW36=0,'Parte Estrategica'!AW36=""),0,IF(VLOOKUP($A36,'Matriz de Referencia'!$B$2:$CO$584,68,FALSE)=0,0,"Digite"))</f>
        <v>0</v>
      </c>
      <c r="HN36" s="454">
        <f>IF(OR('Parte Estrategica'!AW36=0,'Parte Estrategica'!AW36=""),0,IF(VLOOKUP($A36,'Matriz de Referencia'!$B$2:$CO$584,69,FALSE)=0,0,"Digite"))</f>
        <v>0</v>
      </c>
      <c r="HO36" s="454">
        <f>IF(OR('Parte Estrategica'!AW36=0,'Parte Estrategica'!AW36=""),0,IF(VLOOKUP($A36,'Matriz de Referencia'!$B$2:$CO$584,70,FALSE)=0,0,"Digite"))</f>
        <v>0</v>
      </c>
      <c r="HP36" s="454">
        <f>IF(OR('Parte Estrategica'!AW36=0,'Parte Estrategica'!AW36=""),0,IF(VLOOKUP($A36,'Matriz de Referencia'!$B$2:$CO$584,71,FALSE)=0,0,"Digite"))</f>
        <v>0</v>
      </c>
      <c r="HQ36" s="454">
        <f>IF(OR('Parte Estrategica'!AW36=0,'Parte Estrategica'!AW36=""),0,IF(VLOOKUP($A36,'Matriz de Referencia'!$B$2:$CO$584,72,FALSE)=0,0,"Digite"))</f>
        <v>0</v>
      </c>
      <c r="HR36" s="454">
        <f>IF(OR('Parte Estrategica'!AW36=0,'Parte Estrategica'!AW36=""),0,IF(VLOOKUP($A36,'Matriz de Referencia'!$B$2:$CO$584,73,FALSE)=0,0,"Digite"))</f>
        <v>0</v>
      </c>
      <c r="HS36" s="454">
        <f>IF(OR('Parte Estrategica'!AW36=0,'Parte Estrategica'!AW36=""),0,IF(VLOOKUP($A36,'Matriz de Referencia'!$B$2:$CO$584,74,FALSE)=0,0,"Digite"))</f>
        <v>0</v>
      </c>
      <c r="HT36" s="382">
        <f t="shared" si="48"/>
        <v>0</v>
      </c>
      <c r="HU36" s="454">
        <f>IF(OR('Parte Estrategica'!AW36=0,'Parte Estrategica'!AW36=""),0,IF(VLOOKUP($A36,'Matriz de Referencia'!$B$2:$CO$584,76,FALSE)=0,0,"Digite"))</f>
        <v>0</v>
      </c>
      <c r="HV36" s="454">
        <f>IF(OR('Parte Estrategica'!AW36=0,'Parte Estrategica'!AW36=""),0,IF(VLOOKUP($A36,'Matriz de Referencia'!$B$2:$CO$584,77,FALSE)=0,0,"Digite"))</f>
        <v>0</v>
      </c>
      <c r="HW36" s="454">
        <f>IF(OR('Parte Estrategica'!AW36=0,'Parte Estrategica'!AW36=""),0,IF(VLOOKUP($A36,'Matriz de Referencia'!$B$2:$CO$584,78,FALSE)=0,0,"Digite"))</f>
        <v>0</v>
      </c>
      <c r="HX36" s="382">
        <f t="shared" si="49"/>
        <v>0</v>
      </c>
      <c r="HY36" s="382">
        <f t="shared" si="50"/>
        <v>0</v>
      </c>
      <c r="HZ36" s="382">
        <f t="shared" si="51"/>
        <v>0</v>
      </c>
      <c r="IA36" s="101" t="str">
        <f>IFERROR(IF(HZ36=0,"",IF(VLOOKUP($A36,'Matriz de Referencia'!$B$2:$CO$584,80,FALSE)=HZ36,"Techos ok, cotinue","Debe revisar el valor programado")),"")</f>
        <v/>
      </c>
      <c r="IB36" s="383">
        <f t="shared" si="52"/>
        <v>0</v>
      </c>
    </row>
    <row r="37" spans="1:236">
      <c r="A37" s="550" t="str">
        <f>IF('Parte Estrategica'!B37=0,"",'Parte Estrategica'!B37)</f>
        <v/>
      </c>
      <c r="B37" s="551" t="str">
        <f>IFERROR(VLOOKUP(A37,'Matriz de Referencia'!$B$2:$P$578,'Matriz de Referencia'!L$1,FALSE),"")</f>
        <v/>
      </c>
      <c r="C37" s="551" t="str">
        <f>IFERROR(VLOOKUP(A37,'Matriz de Referencia'!$B$2:$P$584,'Matriz de Referencia'!M$1,FALSE),"")</f>
        <v/>
      </c>
      <c r="D37" s="455" t="str">
        <f>IF(OR('Parte Estrategica'!AB37=0,'Parte Estrategica'!AB37=""),"",IF(VLOOKUP($A37,'Matriz de Referencia'!$B$2:$CO$584,'Matriz de Referencia'!Z$1,FALSE)=0,"","Digite"))</f>
        <v/>
      </c>
      <c r="E37" s="456">
        <f>IF(OR('Parte Estrategica'!AB37=0,'Parte Estrategica'!AB37=""),0,IF(VLOOKUP($A37,'Matriz de Referencia'!$B$2:$CO$584,26,FALSE)=0,0,"Digite"))</f>
        <v>0</v>
      </c>
      <c r="F37" s="456">
        <f>IF(OR('Parte Estrategica'!AB37=0,'Parte Estrategica'!AB37=""),0,IF(VLOOKUP($A37,'Matriz de Referencia'!$B$2:$CO$584,27,FALSE)=0,0,"Digite"))</f>
        <v>0</v>
      </c>
      <c r="G37" s="456">
        <f>IF(OR('Parte Estrategica'!AB37=0,'Parte Estrategica'!AB37=""),0,IF(VLOOKUP($A37,'Matriz de Referencia'!$B$2:$CO$584,28,FALSE)=0,0,"Digite"))</f>
        <v>0</v>
      </c>
      <c r="H37" s="456">
        <f>IF(OR('Parte Estrategica'!AB37=0,'Parte Estrategica'!AB37=""),0,IF(VLOOKUP($A37,'Matriz de Referencia'!$B$2:$CO$584,29,FALSE)=0,0,"Digite"))</f>
        <v>0</v>
      </c>
      <c r="I37" s="456">
        <f>IF(OR('Parte Estrategica'!AB37=0,'Parte Estrategica'!AB37=""),0,IF(VLOOKUP($A37,'Matriz de Referencia'!$B$2:$CO$584,30,FALSE)=0,0,"Digite"))</f>
        <v>0</v>
      </c>
      <c r="J37" s="456">
        <f>IF(OR('Parte Estrategica'!AB37=0,'Parte Estrategica'!AB37=""),0,IF(VLOOKUP($A37,'Matriz de Referencia'!$B$2:$CO$584,31,FALSE)=0,0,"Digite"))</f>
        <v>0</v>
      </c>
      <c r="K37" s="456">
        <f>IF(OR('Parte Estrategica'!AB37=0,'Parte Estrategica'!AB37=""),0,IF(VLOOKUP($A37,'Matriz de Referencia'!$B$2:$CO$584,32,FALSE)=0,0,"Digite"))</f>
        <v>0</v>
      </c>
      <c r="L37" s="460">
        <f t="shared" si="0"/>
        <v>0</v>
      </c>
      <c r="M37" s="456">
        <f>IF(OR('Parte Estrategica'!AB37=0,'Parte Estrategica'!AB37=""),0,IF(VLOOKUP($A37,'Matriz de Referencia'!$B$2:$CO$584,34,FALSE)=0,0,"Digite"))</f>
        <v>0</v>
      </c>
      <c r="N37" s="456">
        <f>IF(OR('Parte Estrategica'!AB37=0,'Parte Estrategica'!AB37=""),0,IF(VLOOKUP($A37,'Matriz de Referencia'!$B$2:$CO$584,35,FALSE)=0,0,"Digite"))</f>
        <v>0</v>
      </c>
      <c r="O37" s="456">
        <f>IF(OR('Parte Estrategica'!AB37=0,'Parte Estrategica'!AB37=""),0,IF(VLOOKUP($A37,'Matriz de Referencia'!$B$2:$CO$584,36,FALSE)=0,0,"Digite"))</f>
        <v>0</v>
      </c>
      <c r="P37" s="457">
        <f t="shared" si="1"/>
        <v>0</v>
      </c>
      <c r="Q37" s="457">
        <f t="shared" si="2"/>
        <v>0</v>
      </c>
      <c r="R37" s="455">
        <f>IF(OR('Parte Estrategica'!AC37=0,'Parte Estrategica'!AC37=""),0,IF(VLOOKUP($A37,'Matriz de Referencia'!$B$2:$CO$584,25,FALSE)=0,0,"Digite"))</f>
        <v>0</v>
      </c>
      <c r="S37" s="456">
        <f>IF(OR('Parte Estrategica'!AC37=0,'Parte Estrategica'!AC37=""),0,IF(VLOOKUP($A37,'Matriz de Referencia'!$B$2:$CO$584,26,FALSE)=0,0,"Digite"))</f>
        <v>0</v>
      </c>
      <c r="T37" s="456">
        <f>IF(OR('Parte Estrategica'!AC37=0,'Parte Estrategica'!AC37=""),0,IF(VLOOKUP($A37,'Matriz de Referencia'!$B$2:$CO$584,27,FALSE)=0,0,"Digite"))</f>
        <v>0</v>
      </c>
      <c r="U37" s="456">
        <f>IF(OR('Parte Estrategica'!AC37=0,'Parte Estrategica'!AC37=""),0,IF(VLOOKUP($A37,'Matriz de Referencia'!$B$2:$CO$584,28,FALSE)=0,0,"Digite"))</f>
        <v>0</v>
      </c>
      <c r="V37" s="456">
        <f>IF(OR('Parte Estrategica'!AC37=0,'Parte Estrategica'!AC37=""),0,IF(VLOOKUP($A37,'Matriz de Referencia'!$B$2:$CO$584,29,FALSE)=0,0,"Digite"))</f>
        <v>0</v>
      </c>
      <c r="W37" s="456">
        <f>IF(OR('Parte Estrategica'!AC37=0,'Parte Estrategica'!AC37=""),0,IF(VLOOKUP($A37,'Matriz de Referencia'!$B$2:$CO$584,30,FALSE)=0,0,"Digite"))</f>
        <v>0</v>
      </c>
      <c r="X37" s="456">
        <f>IF(OR('Parte Estrategica'!AC37=0,'Parte Estrategica'!AC37=""),0,IF(VLOOKUP($A37,'Matriz de Referencia'!$B$2:$CO$584,31,FALSE)=0,0,"Digite"))</f>
        <v>0</v>
      </c>
      <c r="Y37" s="456">
        <f>IF(OR('Parte Estrategica'!AC37=0,'Parte Estrategica'!AC37=""),0,IF(VLOOKUP($A37,'Matriz de Referencia'!$B$2:$CO$584,32,FALSE)=0,0,"Digite"))</f>
        <v>0</v>
      </c>
      <c r="Z37" s="457">
        <f t="shared" si="3"/>
        <v>0</v>
      </c>
      <c r="AA37" s="456">
        <f>IF(OR('Parte Estrategica'!AC37=0,'Parte Estrategica'!AC37=""),0,IF(VLOOKUP($A37,'Matriz de Referencia'!$B$2:$CO$584,34,FALSE)=0,0,"Digite"))</f>
        <v>0</v>
      </c>
      <c r="AB37" s="456">
        <f>IF(OR('Parte Estrategica'!AC37=0,'Parte Estrategica'!AC37=""),0,IF(VLOOKUP($A37,'Matriz de Referencia'!$B$2:$CO$584,35,FALSE)=0,0,"Digite"))</f>
        <v>0</v>
      </c>
      <c r="AC37" s="456">
        <f>IF(OR('Parte Estrategica'!AC37=0,'Parte Estrategica'!AC37=""),0,IF(VLOOKUP($A37,'Matriz de Referencia'!$B$2:$CO$584,36,FALSE)=0,0,"Digite"))</f>
        <v>0</v>
      </c>
      <c r="AD37" s="457">
        <f t="shared" si="4"/>
        <v>0</v>
      </c>
      <c r="AE37" s="457">
        <f t="shared" si="5"/>
        <v>0</v>
      </c>
      <c r="AF37" s="455">
        <f>IF(OR('Parte Estrategica'!AD37=0,'Parte Estrategica'!AD37=""),0,IF(VLOOKUP($A37,'Matriz de Referencia'!$B$2:$CO$584,25,FALSE)=0,0,"Digite"))</f>
        <v>0</v>
      </c>
      <c r="AG37" s="456">
        <f>IF(OR('Parte Estrategica'!AD37=0,'Parte Estrategica'!AD37=""),0,IF(VLOOKUP($A37,'Matriz de Referencia'!$B$2:$CO$584,26,FALSE)=0,0,"Digite"))</f>
        <v>0</v>
      </c>
      <c r="AH37" s="456">
        <f>IF(OR('Parte Estrategica'!AD37=0,'Parte Estrategica'!AD37=""),0,IF(VLOOKUP($A37,'Matriz de Referencia'!$B$2:$CO$584,27,FALSE)=0,0,"Digite"))</f>
        <v>0</v>
      </c>
      <c r="AI37" s="456">
        <f>IF(OR('Parte Estrategica'!AD37=0,'Parte Estrategica'!AD37=""),0,IF(VLOOKUP($A37,'Matriz de Referencia'!$B$2:$CO$584,28,FALSE)=0,0,"Digite"))</f>
        <v>0</v>
      </c>
      <c r="AJ37" s="456">
        <f>IF(OR('Parte Estrategica'!AD37=0,'Parte Estrategica'!AD37=""),0,IF(VLOOKUP($A37,'Matriz de Referencia'!$B$2:$CO$584,29,FALSE)=0,0,"Digite"))</f>
        <v>0</v>
      </c>
      <c r="AK37" s="456">
        <f>IF(OR('Parte Estrategica'!AD37=0,'Parte Estrategica'!AD37=""),0,IF(VLOOKUP($A37,'Matriz de Referencia'!$B$2:$CO$584,30,FALSE)=0,0,"Digite"))</f>
        <v>0</v>
      </c>
      <c r="AL37" s="456">
        <f>IF(OR('Parte Estrategica'!AD37=0,'Parte Estrategica'!AD37=""),0,IF(VLOOKUP($A37,'Matriz de Referencia'!$B$2:$CO$584,31,FALSE)=0,0,"Digite"))</f>
        <v>0</v>
      </c>
      <c r="AM37" s="456">
        <f>IF(OR('Parte Estrategica'!AD37=0,'Parte Estrategica'!AD37=""),0,IF(VLOOKUP($A37,'Matriz de Referencia'!$B$2:$CO$584,32,FALSE)=0,0,"Digite"))</f>
        <v>0</v>
      </c>
      <c r="AN37" s="457">
        <f t="shared" si="6"/>
        <v>0</v>
      </c>
      <c r="AO37" s="456">
        <f>IF(OR('Parte Estrategica'!AD37=0,'Parte Estrategica'!AD37=""),0,IF(VLOOKUP($A37,'Matriz de Referencia'!$B$2:$CO$584,34,FALSE)=0,0,"Digite"))</f>
        <v>0</v>
      </c>
      <c r="AP37" s="456">
        <f>IF(OR('Parte Estrategica'!AD37=0,'Parte Estrategica'!AD37=""),0,IF(VLOOKUP($A37,'Matriz de Referencia'!$B$2:$CO$584,35,FALSE)=0,0,"Digite"))</f>
        <v>0</v>
      </c>
      <c r="AQ37" s="456">
        <f>IF(OR('Parte Estrategica'!AD37=0,'Parte Estrategica'!AD37=""),0,IF(VLOOKUP($A37,'Matriz de Referencia'!$B$2:$CO$584,36,FALSE)=0,0,"Digite"))</f>
        <v>0</v>
      </c>
      <c r="AR37" s="457">
        <f t="shared" si="7"/>
        <v>0</v>
      </c>
      <c r="AS37" s="457">
        <f t="shared" si="8"/>
        <v>0</v>
      </c>
      <c r="AT37" s="455">
        <f>IF(OR('Parte Estrategica'!AE37=0,'Parte Estrategica'!AE37=""),0,IF(VLOOKUP($A37,'Matriz de Referencia'!$B$2:$CO$584,25,FALSE)=0,0,"Digite"))</f>
        <v>0</v>
      </c>
      <c r="AU37" s="456">
        <f>IF(OR('Parte Estrategica'!AE37=0,'Parte Estrategica'!AE37=""),0,IF(VLOOKUP($A37,'Matriz de Referencia'!$B$2:$CO$584,26,FALSE)=0,0,"Digite"))</f>
        <v>0</v>
      </c>
      <c r="AV37" s="456">
        <f>IF(OR('Parte Estrategica'!AE37=0,'Parte Estrategica'!AE37=""),0,IF(VLOOKUP($A37,'Matriz de Referencia'!$B$2:$CO$584,27,FALSE)=0,0,"Digite"))</f>
        <v>0</v>
      </c>
      <c r="AW37" s="456">
        <f>IF(OR('Parte Estrategica'!AE37=0,'Parte Estrategica'!AE37=""),0,IF(VLOOKUP($A37,'Matriz de Referencia'!$B$2:$CO$584,28,FALSE)=0,0,"Digite"))</f>
        <v>0</v>
      </c>
      <c r="AX37" s="456">
        <f>IF(OR('Parte Estrategica'!AE37=0,'Parte Estrategica'!AE37=""),0,IF(VLOOKUP($A37,'Matriz de Referencia'!$B$2:$CO$584,29,FALSE)=0,0,"Digite"))</f>
        <v>0</v>
      </c>
      <c r="AY37" s="456">
        <f>IF(OR('Parte Estrategica'!AE37=0,'Parte Estrategica'!AE37=""),0,IF(VLOOKUP($A37,'Matriz de Referencia'!$B$2:$CO$584,30,FALSE)=0,0,"Digite"))</f>
        <v>0</v>
      </c>
      <c r="AZ37" s="456">
        <f>IF(OR('Parte Estrategica'!AE37=0,'Parte Estrategica'!AE37=""),0,IF(VLOOKUP($A37,'Matriz de Referencia'!$B$2:$CO$584,31,FALSE)=0,0,"Digite"))</f>
        <v>0</v>
      </c>
      <c r="BA37" s="456">
        <f>IF(OR('Parte Estrategica'!AE37=0,'Parte Estrategica'!AE37=""),0,IF(VLOOKUP($A37,'Matriz de Referencia'!$B$2:$CO$584,32,FALSE)=0,0,"Digite"))</f>
        <v>0</v>
      </c>
      <c r="BB37" s="457">
        <f t="shared" si="9"/>
        <v>0</v>
      </c>
      <c r="BC37" s="456">
        <f>IF(OR('Parte Estrategica'!AE37=0,'Parte Estrategica'!AE37=""),0,IF(VLOOKUP($A37,'Matriz de Referencia'!$B$2:$CO$584,34,FALSE)=0,0,"Digite"))</f>
        <v>0</v>
      </c>
      <c r="BD37" s="456">
        <f>IF(OR('Parte Estrategica'!AE37=0,'Parte Estrategica'!AE37=""),0,IF(VLOOKUP($A37,'Matriz de Referencia'!$B$2:$CO$584,35,FALSE)=0,0,"Digite"))</f>
        <v>0</v>
      </c>
      <c r="BE37" s="456">
        <f>IF(OR('Parte Estrategica'!AE37=0,'Parte Estrategica'!AE37=""),0,IF(VLOOKUP($A37,'Matriz de Referencia'!$B$2:$CO$584,36,FALSE)=0,0,"Digite"))</f>
        <v>0</v>
      </c>
      <c r="BF37" s="457">
        <f t="shared" si="10"/>
        <v>0</v>
      </c>
      <c r="BG37" s="457">
        <f t="shared" si="11"/>
        <v>0</v>
      </c>
      <c r="BH37" s="457">
        <f t="shared" si="12"/>
        <v>0</v>
      </c>
      <c r="BI37" s="101" t="str">
        <f>IFERROR(IF(BH37=0,"",IF(VLOOKUP($A37,'Matriz de Referencia'!$B$2:$CO$584,'Matriz de Referencia'!AM$1,FALSE)=BH37,"Techos ok, cotinue","Debe revisar el valor programado")),"")</f>
        <v/>
      </c>
      <c r="BJ37" s="453">
        <f>IF(OR('Parte Estrategica'!AH37=0,'Parte Estrategica'!AH37=""),0,IF(VLOOKUP($A37,'Matriz de Referencia'!$B$2:$CO$584,39,FALSE)=0,0,"Digite"))</f>
        <v>0</v>
      </c>
      <c r="BK37" s="454">
        <f>IF(OR('Parte Estrategica'!AH37=0,'Parte Estrategica'!AH37=""),0,IF(VLOOKUP($A37,'Matriz de Referencia'!$B$2:$CO$584,40,FALSE)=0,0,"Digite"))</f>
        <v>0</v>
      </c>
      <c r="BL37" s="454">
        <f>IF(OR('Parte Estrategica'!AH37=0,'Parte Estrategica'!AH37=""),0,IF(VLOOKUP($A37,'Matriz de Referencia'!$B$2:$CO$584,41,FALSE)=0,0,"Digite"))</f>
        <v>0</v>
      </c>
      <c r="BM37" s="454">
        <f>IF(OR('Parte Estrategica'!AH37=0,'Parte Estrategica'!AH37=""),0,IF(VLOOKUP($A37,'Matriz de Referencia'!$B$2:$CO$584,42,FALSE)=0,0,"Digite"))</f>
        <v>0</v>
      </c>
      <c r="BN37" s="454">
        <f>IF(OR('Parte Estrategica'!AH37=0,'Parte Estrategica'!AH37=""),0,IF(VLOOKUP($A37,'Matriz de Referencia'!$B$2:$CO$584,43,FALSE)=0,0,"Digite"))</f>
        <v>0</v>
      </c>
      <c r="BO37" s="454">
        <f>IF(OR('Parte Estrategica'!AH37=0,'Parte Estrategica'!AH37=""),0,IF(VLOOKUP($A37,'Matriz de Referencia'!$B$2:$CO$584,44,FALSE)=0,0,"Digite"))</f>
        <v>0</v>
      </c>
      <c r="BP37" s="454">
        <f>IF(OR('Parte Estrategica'!AH37=0,'Parte Estrategica'!AH37=""),0,IF(VLOOKUP($A37,'Matriz de Referencia'!$B$2:$CO$584,45,FALSE)=0,0,"Digite"))</f>
        <v>0</v>
      </c>
      <c r="BQ37" s="454">
        <f>IF(OR('Parte Estrategica'!AH37=0,'Parte Estrategica'!AH37=""),0,IF(VLOOKUP($A37,'Matriz de Referencia'!$B$2:$CO$584,46,FALSE)=0,0,"Digite"))</f>
        <v>0</v>
      </c>
      <c r="BR37" s="382">
        <f t="shared" si="13"/>
        <v>0</v>
      </c>
      <c r="BS37" s="454">
        <f>IF(OR('Parte Estrategica'!CL37=0,'Parte Estrategica'!CL37=""),0,IF(VLOOKUP($A37,'Matriz de Referencia'!$B$2:$CO$584,48,FALSE)=0,0,"Digite"))</f>
        <v>0</v>
      </c>
      <c r="BT37" s="454">
        <f>IF(OR('Parte Estrategica'!CL37=0,'Parte Estrategica'!CL37=""),0,IF(VLOOKUP($A37,'Matriz de Referencia'!$B$2:$CO$584,49,FALSE)=0,0,"Digite"))</f>
        <v>0</v>
      </c>
      <c r="BU37" s="454">
        <f>IF(OR('Parte Estrategica'!CL37=0,'Parte Estrategica'!CL37=""),0,IF(VLOOKUP($A37,'Matriz de Referencia'!$B$2:$CO$584,50,FALSE)=0,0,"Digite"))</f>
        <v>0</v>
      </c>
      <c r="BV37" s="382">
        <f t="shared" si="14"/>
        <v>0</v>
      </c>
      <c r="BW37" s="382">
        <f t="shared" si="15"/>
        <v>0</v>
      </c>
      <c r="BX37" s="453">
        <f>IF(OR('Parte Estrategica'!AI37=0,'Parte Estrategica'!AI37=""),0,IF(VLOOKUP($A37,'Matriz de Referencia'!$B$2:$CO$584,39,FALSE)=0,0,"Digite"))</f>
        <v>0</v>
      </c>
      <c r="BY37" s="454">
        <f>IF(OR('Parte Estrategica'!AI37=0,'Parte Estrategica'!AI37=""),0,IF(VLOOKUP($A37,'Matriz de Referencia'!$B$2:$CO$584,40,FALSE)=0,0,"Digite"))</f>
        <v>0</v>
      </c>
      <c r="BZ37" s="454">
        <f>IF(OR('Parte Estrategica'!AI37=0,'Parte Estrategica'!AI37=""),0,IF(VLOOKUP($A37,'Matriz de Referencia'!$B$2:$CO$584,41,FALSE)=0,0,"Digite"))</f>
        <v>0</v>
      </c>
      <c r="CA37" s="454">
        <f>IF(OR('Parte Estrategica'!AI37=0,'Parte Estrategica'!AI37=""),0,IF(VLOOKUP($A37,'Matriz de Referencia'!$B$2:$CO$584,42,FALSE)=0,0,"Digite"))</f>
        <v>0</v>
      </c>
      <c r="CB37" s="454">
        <f>IF(OR('Parte Estrategica'!AI37=0,'Parte Estrategica'!AI37=""),0,IF(VLOOKUP($A37,'Matriz de Referencia'!$B$2:$CO$584,43,FALSE)=0,0,"Digite"))</f>
        <v>0</v>
      </c>
      <c r="CC37" s="454">
        <f>IF(OR('Parte Estrategica'!AI37=0,'Parte Estrategica'!AI37=""),0,IF(VLOOKUP($A37,'Matriz de Referencia'!$B$2:$CO$584,44,FALSE)=0,0,"Digite"))</f>
        <v>0</v>
      </c>
      <c r="CD37" s="454">
        <f>IF(OR('Parte Estrategica'!AI37=0,'Parte Estrategica'!AI37=""),0,IF(VLOOKUP($A37,'Matriz de Referencia'!$B$2:$CO$584,45,FALSE)=0,0,"Digite"))</f>
        <v>0</v>
      </c>
      <c r="CE37" s="454">
        <f>IF(OR('Parte Estrategica'!AI37=0,'Parte Estrategica'!AI37=""),0,IF(VLOOKUP($A37,'Matriz de Referencia'!$B$2:$CO$584,46,FALSE)=0,0,"Digite"))</f>
        <v>0</v>
      </c>
      <c r="CF37" s="382">
        <f t="shared" si="16"/>
        <v>0</v>
      </c>
      <c r="CG37" s="454">
        <f>IF(OR('Parte Estrategica'!AI37=0,'Parte Estrategica'!AI37=""),0,IF(VLOOKUP($A37,'Matriz de Referencia'!$B$2:$CO$584,48,FALSE)=0,0,"Digite"))</f>
        <v>0</v>
      </c>
      <c r="CH37" s="454">
        <f>IF(OR('Parte Estrategica'!AI37=0,'Parte Estrategica'!AI37=""),0,IF(VLOOKUP($A37,'Matriz de Referencia'!$B$2:$CO$584,49,FALSE)=0,0,"Digite"))</f>
        <v>0</v>
      </c>
      <c r="CI37" s="454">
        <f>IF(OR('Parte Estrategica'!AI37=0,'Parte Estrategica'!AI37=""),0,IF(VLOOKUP($A37,'Matriz de Referencia'!$B$2:$CO$584,50,FALSE)=0,0,"Digite"))</f>
        <v>0</v>
      </c>
      <c r="CJ37" s="382">
        <f t="shared" si="17"/>
        <v>0</v>
      </c>
      <c r="CK37" s="382">
        <f t="shared" si="18"/>
        <v>0</v>
      </c>
      <c r="CL37" s="453">
        <f>IF(OR('Parte Estrategica'!AJ37=0,'Parte Estrategica'!AJ37=""),0,IF(VLOOKUP($A37,'Matriz de Referencia'!$B$2:$CO$584,39,FALSE)=0,0,"Digite"))</f>
        <v>0</v>
      </c>
      <c r="CM37" s="454">
        <f>IF(OR('Parte Estrategica'!AJ37=0,'Parte Estrategica'!AJ37=""),0,IF(VLOOKUP($A37,'Matriz de Referencia'!$B$2:$CO$584,40,FALSE)=0,0,"Digite"))</f>
        <v>0</v>
      </c>
      <c r="CN37" s="454">
        <f>IF(OR('Parte Estrategica'!AJ37=0,'Parte Estrategica'!AJ37=""),0,IF(VLOOKUP($A37,'Matriz de Referencia'!$B$2:$CO$584,41,FALSE)=0,0,"Digite"))</f>
        <v>0</v>
      </c>
      <c r="CO37" s="454">
        <f>IF(OR('Parte Estrategica'!AJ37=0,'Parte Estrategica'!AJ37=""),0,IF(VLOOKUP($A37,'Matriz de Referencia'!$B$2:$CO$584,42,FALSE)=0,0,"Digite"))</f>
        <v>0</v>
      </c>
      <c r="CP37" s="454">
        <f>IF(OR('Parte Estrategica'!AJ37=0,'Parte Estrategica'!AJ37=""),0,IF(VLOOKUP($A37,'Matriz de Referencia'!$B$2:$CO$584,43,FALSE)=0,0,"Digite"))</f>
        <v>0</v>
      </c>
      <c r="CQ37" s="454">
        <f>IF(OR('Parte Estrategica'!AJ37=0,'Parte Estrategica'!AJ37=""),0,IF(VLOOKUP($A37,'Matriz de Referencia'!$B$2:$CO$584,44,FALSE)=0,0,"Digite"))</f>
        <v>0</v>
      </c>
      <c r="CR37" s="454">
        <f>IF(OR('Parte Estrategica'!AJ37=0,'Parte Estrategica'!AJ37=""),0,IF(VLOOKUP($A37,'Matriz de Referencia'!$B$2:$CO$584,45,FALSE)=0,0,"Digite"))</f>
        <v>0</v>
      </c>
      <c r="CS37" s="454">
        <f>IF(OR('Parte Estrategica'!AJ37=0,'Parte Estrategica'!AJ37=""),0,IF(VLOOKUP($A37,'Matriz de Referencia'!$B$2:$CO$584,46,FALSE)=0,0,"Digite"))</f>
        <v>0</v>
      </c>
      <c r="CT37" s="382">
        <f t="shared" si="19"/>
        <v>0</v>
      </c>
      <c r="CU37" s="454">
        <f>IF(OR('Parte Estrategica'!AJ37=0,'Parte Estrategica'!AJ37=""),0,IF(VLOOKUP($A37,'Matriz de Referencia'!$B$2:$CO$584,48,FALSE)=0,0,"Digite"))</f>
        <v>0</v>
      </c>
      <c r="CV37" s="454">
        <f>IF(OR('Parte Estrategica'!AJ37=0,'Parte Estrategica'!AJ37=""),0,IF(VLOOKUP($A37,'Matriz de Referencia'!$B$2:$CO$584,49,FALSE)=0,0,"Digite"))</f>
        <v>0</v>
      </c>
      <c r="CW37" s="454">
        <f>IF(OR('Parte Estrategica'!AJ37=0,'Parte Estrategica'!AJ37=""),0,IF(VLOOKUP($A37,'Matriz de Referencia'!$B$2:$CO$584,50,FALSE)=0,0,"Digite"))</f>
        <v>0</v>
      </c>
      <c r="CX37" s="382">
        <f t="shared" si="20"/>
        <v>0</v>
      </c>
      <c r="CY37" s="382">
        <f t="shared" si="21"/>
        <v>0</v>
      </c>
      <c r="CZ37" s="453">
        <f>IF(OR('Parte Estrategica'!AK37=0,'Parte Estrategica'!AK37=""),0,IF(VLOOKUP($A37,'Matriz de Referencia'!$B$2:$CO$584,39,FALSE)=0,0,"Digite"))</f>
        <v>0</v>
      </c>
      <c r="DA37" s="454">
        <f>IF(OR('Parte Estrategica'!AK37=0,'Parte Estrategica'!AK37=""),0,IF(VLOOKUP($A37,'Matriz de Referencia'!$B$2:$CO$584,40,FALSE)=0,0,"Digite"))</f>
        <v>0</v>
      </c>
      <c r="DB37" s="454">
        <f>IF(OR('Parte Estrategica'!AK37=0,'Parte Estrategica'!AK37=""),0,IF(VLOOKUP($A37,'Matriz de Referencia'!$B$2:$CO$584,41,FALSE)=0,0,"Digite"))</f>
        <v>0</v>
      </c>
      <c r="DC37" s="454">
        <f>IF(OR('Parte Estrategica'!AK37=0,'Parte Estrategica'!AK37=""),0,IF(VLOOKUP($A37,'Matriz de Referencia'!$B$2:$CO$584,42,FALSE)=0,0,"Digite"))</f>
        <v>0</v>
      </c>
      <c r="DD37" s="454">
        <f>IF(OR('Parte Estrategica'!AK37=0,'Parte Estrategica'!AK37=""),0,IF(VLOOKUP($A37,'Matriz de Referencia'!$B$2:$CO$584,43,FALSE)=0,0,"Digite"))</f>
        <v>0</v>
      </c>
      <c r="DE37" s="454">
        <f>IF(OR('Parte Estrategica'!AK37=0,'Parte Estrategica'!AK37=""),0,IF(VLOOKUP($A37,'Matriz de Referencia'!$B$2:$CO$584,44,FALSE)=0,0,"Digite"))</f>
        <v>0</v>
      </c>
      <c r="DF37" s="454">
        <f>IF(OR('Parte Estrategica'!AK37=0,'Parte Estrategica'!AK37=""),0,IF(VLOOKUP($A37,'Matriz de Referencia'!$B$2:$CO$584,45,FALSE)=0,0,"Digite"))</f>
        <v>0</v>
      </c>
      <c r="DG37" s="454">
        <f>IF(OR('Parte Estrategica'!AK37=0,'Parte Estrategica'!AK37=""),0,IF(VLOOKUP($A37,'Matriz de Referencia'!$B$2:$CO$584,46,FALSE)=0,0,"Digite"))</f>
        <v>0</v>
      </c>
      <c r="DH37" s="382">
        <f t="shared" si="22"/>
        <v>0</v>
      </c>
      <c r="DI37" s="454">
        <f>IF(OR('Parte Estrategica'!AK37=0,'Parte Estrategica'!AK37=""),0,IF(VLOOKUP($A37,'Matriz de Referencia'!$B$2:$CO$584,48,FALSE)=0,0,"Digite"))</f>
        <v>0</v>
      </c>
      <c r="DJ37" s="454">
        <f>IF(OR('Parte Estrategica'!AK37=0,'Parte Estrategica'!AK37=""),0,IF(VLOOKUP($A37,'Matriz de Referencia'!$B$2:$CO$584,49,FALSE)=0,0,"Digite"))</f>
        <v>0</v>
      </c>
      <c r="DK37" s="454">
        <f>IF(OR('Parte Estrategica'!AK37=0,'Parte Estrategica'!AK37=""),0,IF(VLOOKUP($A37,'Matriz de Referencia'!$B$2:$CO$584,50,FALSE)=0,0,"Digite"))</f>
        <v>0</v>
      </c>
      <c r="DL37" s="382">
        <f t="shared" si="23"/>
        <v>0</v>
      </c>
      <c r="DM37" s="382">
        <f t="shared" si="24"/>
        <v>0</v>
      </c>
      <c r="DN37" s="382">
        <f t="shared" si="25"/>
        <v>0</v>
      </c>
      <c r="DO37" s="101" t="str">
        <f>IFERROR(IF(DN37=0,"",IF(VLOOKUP($A37,'Matriz de Referencia'!$B$2:$CO$584,52,FALSE)=DN37,"Techos ok, cotinue","Debe revisar el valor programado")),"")</f>
        <v/>
      </c>
      <c r="DP37" s="453">
        <f>IF(OR('Parte Estrategica'!AN37=0,'Parte Estrategica'!AN37=""),0,IF(VLOOKUP($A37,'Matriz de Referencia'!$B$2:$CO$584,53,FALSE)=0,0,"Digite"))</f>
        <v>0</v>
      </c>
      <c r="DQ37" s="454">
        <f>IF(OR('Parte Estrategica'!AN37=0,'Parte Estrategica'!AN37=""),0,IF(VLOOKUP($A37,'Matriz de Referencia'!$B$2:$CO$584,54,FALSE)=0,0,"Digite"))</f>
        <v>0</v>
      </c>
      <c r="DR37" s="454">
        <f>IF(OR('Parte Estrategica'!AN37=0,'Parte Estrategica'!AN37=""),0,IF(VLOOKUP($A37,'Matriz de Referencia'!$B$2:$CO$584,55,FALSE)=0,0,"Digite"))</f>
        <v>0</v>
      </c>
      <c r="DS37" s="454">
        <f>IF(OR('Parte Estrategica'!AN37=0,'Parte Estrategica'!AN37=""),0,IF(VLOOKUP($A37,'Matriz de Referencia'!$B$2:$CO$584,56,FALSE)=0,0,"Digite"))</f>
        <v>0</v>
      </c>
      <c r="DT37" s="454">
        <f>IF(OR('Parte Estrategica'!AN37=0,'Parte Estrategica'!AN37=""),0,IF(VLOOKUP($A37,'Matriz de Referencia'!$B$2:$CO$584,57,FALSE)=0,0,"Digite"))</f>
        <v>0</v>
      </c>
      <c r="DU37" s="454">
        <f>IF(OR('Parte Estrategica'!AN37=0,'Parte Estrategica'!AN37=""),0,IF(VLOOKUP($A37,'Matriz de Referencia'!$B$2:$CO$584,58,FALSE)=0,0,"Digite"))</f>
        <v>0</v>
      </c>
      <c r="DV37" s="454">
        <f>IF(OR('Parte Estrategica'!AN37=0,'Parte Estrategica'!AN37=""),0,IF(VLOOKUP($A37,'Matriz de Referencia'!$B$2:$CO$584,59,FALSE)=0,0,"Digite"))</f>
        <v>0</v>
      </c>
      <c r="DW37" s="454">
        <f>IF(OR('Parte Estrategica'!AN37=0,'Parte Estrategica'!AN37=""),0,IF(VLOOKUP($A37,'Matriz de Referencia'!$B$2:$CO$584,60,FALSE)=0,0,"Digite"))</f>
        <v>0</v>
      </c>
      <c r="DX37" s="382">
        <f t="shared" si="26"/>
        <v>0</v>
      </c>
      <c r="DY37" s="454">
        <f>IF(OR('Parte Estrategica'!AN37=0,'Parte Estrategica'!AN37=""),0,IF(VLOOKUP($A37,'Matriz de Referencia'!$B$2:$CO$584,62,FALSE)=0,0,"Digite"))</f>
        <v>0</v>
      </c>
      <c r="DZ37" s="454">
        <f>IF(OR('Parte Estrategica'!AN37=0,'Parte Estrategica'!AN37=""),0,IF(VLOOKUP($A37,'Matriz de Referencia'!$B$2:$CO$584,63,FALSE)=0,0,"Digite"))</f>
        <v>0</v>
      </c>
      <c r="EA37" s="454" t="str">
        <f>IF(OR('Parte Estrategica'!AN37=0,'Parte Estrategica'!AN37=""),"",IF(VLOOKUP($A37,'Matriz de Referencia'!$B$2:$CO$584,64,FALSE)=0,"","Digite"))</f>
        <v/>
      </c>
      <c r="EB37" s="382">
        <f t="shared" si="27"/>
        <v>0</v>
      </c>
      <c r="EC37" s="382">
        <f t="shared" si="28"/>
        <v>0</v>
      </c>
      <c r="ED37" s="453">
        <f>IF(OR('Parte Estrategica'!AO37=0,'Parte Estrategica'!AO37=""),0,IF(VLOOKUP($A37,'Matriz de Referencia'!$B$2:$CO$584,53,FALSE)=0,0,"Digite"))</f>
        <v>0</v>
      </c>
      <c r="EE37" s="454">
        <f>IF(OR('Parte Estrategica'!AO37=0,'Parte Estrategica'!AO37=""),0,IF(VLOOKUP($A37,'Matriz de Referencia'!$B$2:$CO$584,54,FALSE)=0,0,"Digite"))</f>
        <v>0</v>
      </c>
      <c r="EF37" s="454">
        <f>IF(OR('Parte Estrategica'!AO37=0,'Parte Estrategica'!AO37=""),0,IF(VLOOKUP($A37,'Matriz de Referencia'!$B$2:$CO$584,55,FALSE)=0,0,"Digite"))</f>
        <v>0</v>
      </c>
      <c r="EG37" s="454">
        <f>IF(OR('Parte Estrategica'!AO37=0,'Parte Estrategica'!AO37=""),0,IF(VLOOKUP($A37,'Matriz de Referencia'!$B$2:$CO$584,56,FALSE)=0,0,"Digite"))</f>
        <v>0</v>
      </c>
      <c r="EH37" s="454">
        <f>IF(OR('Parte Estrategica'!AO37=0,'Parte Estrategica'!AO37=""),0,IF(VLOOKUP($A37,'Matriz de Referencia'!$B$2:$CO$584,57,FALSE)=0,0,"Digite"))</f>
        <v>0</v>
      </c>
      <c r="EI37" s="454">
        <f>IF(OR('Parte Estrategica'!AO37=0,'Parte Estrategica'!AO37=""),0,IF(VLOOKUP($A37,'Matriz de Referencia'!$B$2:$CO$584,58,FALSE)=0,0,"Digite"))</f>
        <v>0</v>
      </c>
      <c r="EJ37" s="454">
        <f>IF(OR('Parte Estrategica'!AO37=0,'Parte Estrategica'!AO37=""),0,IF(VLOOKUP($A37,'Matriz de Referencia'!$B$2:$CO$584,59,FALSE)=0,0,"Digite"))</f>
        <v>0</v>
      </c>
      <c r="EK37" s="454">
        <f>IF(OR('Parte Estrategica'!AO37=0,'Parte Estrategica'!AO37=""),0,IF(VLOOKUP($A37,'Matriz de Referencia'!$B$2:$CO$584,60,FALSE)=0,0,"Digite"))</f>
        <v>0</v>
      </c>
      <c r="EL37" s="382">
        <f t="shared" si="29"/>
        <v>0</v>
      </c>
      <c r="EM37" s="454">
        <f>IF(OR('Parte Estrategica'!AO37=0,'Parte Estrategica'!AO37=""),0,IF(VLOOKUP($A37,'Matriz de Referencia'!$B$2:$CO$584,62,FALSE)=0,0,"Digite"))</f>
        <v>0</v>
      </c>
      <c r="EN37" s="454">
        <f>IF(OR('Parte Estrategica'!AO37=0,'Parte Estrategica'!AO37=""),0,IF(VLOOKUP($A37,'Matriz de Referencia'!$B$2:$CO$584,63,FALSE)=0,0,"Digite"))</f>
        <v>0</v>
      </c>
      <c r="EO37" s="454">
        <f>IF(OR('Parte Estrategica'!AO37=0,'Parte Estrategica'!AO37=""),0,IF(VLOOKUP($A37,'Matriz de Referencia'!$B$2:$CO$584,64,FALSE)=0,0,"Digite"))</f>
        <v>0</v>
      </c>
      <c r="EP37" s="382">
        <f t="shared" si="30"/>
        <v>0</v>
      </c>
      <c r="EQ37" s="382">
        <f t="shared" si="31"/>
        <v>0</v>
      </c>
      <c r="ER37" s="453">
        <f>IF(OR('Parte Estrategica'!AP37=0,'Parte Estrategica'!AP37=""),0,IF(VLOOKUP($A37,'Matriz de Referencia'!$B$2:$CO$584,53,FALSE)=0,0,"Digite"))</f>
        <v>0</v>
      </c>
      <c r="ES37" s="454">
        <f>IF(OR('Parte Estrategica'!AP37=0,'Parte Estrategica'!AP37=""),0,IF(VLOOKUP($A37,'Matriz de Referencia'!$B$2:$CO$584,54,FALSE)=0,0,"Digite"))</f>
        <v>0</v>
      </c>
      <c r="ET37" s="454">
        <f>IF(OR('Parte Estrategica'!AP37=0,'Parte Estrategica'!AP37=""),0,IF(VLOOKUP($A37,'Matriz de Referencia'!$B$2:$CO$584,55,FALSE)=0,0,"Digite"))</f>
        <v>0</v>
      </c>
      <c r="EU37" s="454">
        <f>IF(OR('Parte Estrategica'!AP37=0,'Parte Estrategica'!AP37=""),0,IF(VLOOKUP($A37,'Matriz de Referencia'!$B$2:$CO$584,56,FALSE)=0,0,"Digite"))</f>
        <v>0</v>
      </c>
      <c r="EV37" s="454">
        <f>IF(OR('Parte Estrategica'!AP37=0,'Parte Estrategica'!AP37=""),0,IF(VLOOKUP($A37,'Matriz de Referencia'!$B$2:$CO$584,57,FALSE)=0,0,"Digite"))</f>
        <v>0</v>
      </c>
      <c r="EW37" s="454">
        <f>IF(OR('Parte Estrategica'!AP37=0,'Parte Estrategica'!AP37=""),0,IF(VLOOKUP($A37,'Matriz de Referencia'!$B$2:$CO$584,58,FALSE)=0,0,"Digite"))</f>
        <v>0</v>
      </c>
      <c r="EX37" s="454">
        <f>IF(OR('Parte Estrategica'!AP37=0,'Parte Estrategica'!AP37=""),0,IF(VLOOKUP($A37,'Matriz de Referencia'!$B$2:$CO$584,59,FALSE)=0,0,"Digite"))</f>
        <v>0</v>
      </c>
      <c r="EY37" s="454">
        <f>IF(OR('Parte Estrategica'!AP37=0,'Parte Estrategica'!AP37=""),0,IF(VLOOKUP($A37,'Matriz de Referencia'!$B$2:$CO$584,60,FALSE)=0,0,"Digite"))</f>
        <v>0</v>
      </c>
      <c r="EZ37" s="382">
        <f t="shared" si="32"/>
        <v>0</v>
      </c>
      <c r="FA37" s="454">
        <f>IF(OR('Parte Estrategica'!AP37=0,'Parte Estrategica'!AP37=""),0,IF(VLOOKUP($A37,'Matriz de Referencia'!$B$2:$CO$584,62,FALSE)=0,0,"Digite"))</f>
        <v>0</v>
      </c>
      <c r="FB37" s="454">
        <f>IF(OR('Parte Estrategica'!AP37=0,'Parte Estrategica'!AP37=""),0,IF(VLOOKUP($A37,'Matriz de Referencia'!$B$2:$CO$584,63,FALSE)=0,0,"Digite"))</f>
        <v>0</v>
      </c>
      <c r="FC37" s="454">
        <f>IF(OR('Parte Estrategica'!AP37=0,'Parte Estrategica'!AP37=""),0,IF(VLOOKUP($A37,'Matriz de Referencia'!$B$2:$CO$584,64,FALSE)=0,0,"Digite"))</f>
        <v>0</v>
      </c>
      <c r="FD37" s="382">
        <f t="shared" si="33"/>
        <v>0</v>
      </c>
      <c r="FE37" s="382">
        <f t="shared" si="34"/>
        <v>0</v>
      </c>
      <c r="FF37" s="453">
        <f>IF(OR('Parte Estrategica'!AQ37=0,'Parte Estrategica'!AQ37=""),0,IF(VLOOKUP($A37,'Matriz de Referencia'!$B$2:$CO$584,53,FALSE)=0,0,"Digite"))</f>
        <v>0</v>
      </c>
      <c r="FG37" s="454">
        <f>IF(OR('Parte Estrategica'!AQ37=0,'Parte Estrategica'!AQ37=""),0,IF(VLOOKUP($A37,'Matriz de Referencia'!$B$2:$CO$584,54,FALSE)=0,0,"Digite"))</f>
        <v>0</v>
      </c>
      <c r="FH37" s="454">
        <f>IF(OR('Parte Estrategica'!AQ37=0,'Parte Estrategica'!AQ37=""),0,IF(VLOOKUP($A37,'Matriz de Referencia'!$B$2:$CO$584,55,FALSE)=0,0,"Digite"))</f>
        <v>0</v>
      </c>
      <c r="FI37" s="454">
        <f>IF(OR('Parte Estrategica'!AQ37=0,'Parte Estrategica'!AQ37=""),0,IF(VLOOKUP($A37,'Matriz de Referencia'!$B$2:$CO$584,56,FALSE)=0,0,"Digite"))</f>
        <v>0</v>
      </c>
      <c r="FJ37" s="454">
        <f>IF(OR('Parte Estrategica'!AQ37=0,'Parte Estrategica'!AQ37=""),0,IF(VLOOKUP($A37,'Matriz de Referencia'!$B$2:$CO$584,57,FALSE)=0,0,"Digite"))</f>
        <v>0</v>
      </c>
      <c r="FK37" s="454">
        <f>IF(OR('Parte Estrategica'!AQ37=0,'Parte Estrategica'!AQ37=""),0,IF(VLOOKUP($A37,'Matriz de Referencia'!$B$2:$CO$584,58,FALSE)=0,0,"Digite"))</f>
        <v>0</v>
      </c>
      <c r="FL37" s="454">
        <f>IF(OR('Parte Estrategica'!AQ37=0,'Parte Estrategica'!AQ37=""),0,IF(VLOOKUP($A37,'Matriz de Referencia'!$B$2:$CO$584,59,FALSE)=0,0,"Digite"))</f>
        <v>0</v>
      </c>
      <c r="FM37" s="454">
        <f>IF(OR('Parte Estrategica'!AQ37=0,'Parte Estrategica'!AQ37=""),0,IF(VLOOKUP($A37,'Matriz de Referencia'!$B$2:$CO$584,60,FALSE)=0,0,"Digite"))</f>
        <v>0</v>
      </c>
      <c r="FN37" s="382">
        <f t="shared" si="35"/>
        <v>0</v>
      </c>
      <c r="FO37" s="454">
        <f>IF(OR('Parte Estrategica'!AQ37=0,'Parte Estrategica'!AQ37=""),0,IF(VLOOKUP($A37,'Matriz de Referencia'!$B$2:$CO$584,62,FALSE)=0,0,"Digite"))</f>
        <v>0</v>
      </c>
      <c r="FP37" s="454">
        <f>IF(OR('Parte Estrategica'!AQ37=0,'Parte Estrategica'!AQ37=""),0,IF(VLOOKUP($A37,'Matriz de Referencia'!$B$2:$CO$584,63,FALSE)=0,0,"Digite"))</f>
        <v>0</v>
      </c>
      <c r="FQ37" s="454">
        <f>IF(OR('Parte Estrategica'!AQ37=0,'Parte Estrategica'!AQ37=""),0,IF(VLOOKUP($A37,'Matriz de Referencia'!$B$2:$CO$584,64,FALSE)=0,0,"Digite"))</f>
        <v>0</v>
      </c>
      <c r="FR37" s="382">
        <f t="shared" si="36"/>
        <v>0</v>
      </c>
      <c r="FS37" s="382">
        <f t="shared" si="37"/>
        <v>0</v>
      </c>
      <c r="FT37" s="382">
        <f t="shared" si="38"/>
        <v>0</v>
      </c>
      <c r="FU37" s="101" t="str">
        <f>IFERROR(IF(FT37=0,"",IF(VLOOKUP($A37,'Matriz de Referencia'!$B$2:$CO$584,66,FALSE)=FT37,"Techos ok, cotinue","Debe revisar el valor programado")),"")</f>
        <v/>
      </c>
      <c r="FV37" s="453">
        <f>IF(OR('Parte Estrategica'!AT37=0,'Parte Estrategica'!AT37=""),0,IF(VLOOKUP($A37,'Matriz de Referencia'!$B$2:$CO$584,67,FALSE)=0,0,"Digite"))</f>
        <v>0</v>
      </c>
      <c r="FW37" s="454">
        <f>IF(OR('Parte Estrategica'!AT37=0,'Parte Estrategica'!AT37=""),0,IF(VLOOKUP($A37,'Matriz de Referencia'!$B$2:$CO$584,68,FALSE)=0,0,"Digite"))</f>
        <v>0</v>
      </c>
      <c r="FX37" s="454">
        <f>IF(OR('Parte Estrategica'!AT37=0,'Parte Estrategica'!AT37=""),0,IF(VLOOKUP($A37,'Matriz de Referencia'!$B$2:$CO$584,69,FALSE)=0,0,"Digite"))</f>
        <v>0</v>
      </c>
      <c r="FY37" s="454">
        <f>IF(OR('Parte Estrategica'!AT37=0,'Parte Estrategica'!AT37=""),0,IF(VLOOKUP($A37,'Matriz de Referencia'!$B$2:$CO$584,70,FALSE)=0,0,"Digite"))</f>
        <v>0</v>
      </c>
      <c r="FZ37" s="454">
        <f>IF(OR('Parte Estrategica'!AT37=0,'Parte Estrategica'!AT37=""),0,IF(VLOOKUP($A37,'Matriz de Referencia'!$B$2:$CO$584,71,FALSE)=0,0,"Digite"))</f>
        <v>0</v>
      </c>
      <c r="GA37" s="454">
        <f>IF(OR('Parte Estrategica'!AT37=0,'Parte Estrategica'!AT37=""),0,IF(VLOOKUP($A37,'Matriz de Referencia'!$B$2:$CO$584,72,FALSE)=0,0,"Digite"))</f>
        <v>0</v>
      </c>
      <c r="GB37" s="454">
        <f>IF(OR('Parte Estrategica'!AT37=0,'Parte Estrategica'!AT37=""),0,IF(VLOOKUP($A37,'Matriz de Referencia'!$B$2:$CO$584,73,FALSE)=0,0,"Digite"))</f>
        <v>0</v>
      </c>
      <c r="GC37" s="454">
        <f>IF(OR('Parte Estrategica'!AT37=0,'Parte Estrategica'!AT37=""),0,IF(VLOOKUP($A37,'Matriz de Referencia'!$B$2:$CO$584,74,FALSE)=0,0,"Digite"))</f>
        <v>0</v>
      </c>
      <c r="GD37" s="382">
        <f t="shared" si="39"/>
        <v>0</v>
      </c>
      <c r="GE37" s="454">
        <f>IF(OR('Parte Estrategica'!AT37=0,'Parte Estrategica'!AT37=""),0,IF(VLOOKUP($A37,'Matriz de Referencia'!$B$2:$CO$584,76,FALSE)=0,0,"Digite"))</f>
        <v>0</v>
      </c>
      <c r="GF37" s="454">
        <f>IF(OR('Parte Estrategica'!AT37=0,'Parte Estrategica'!AT37=""),0,IF(VLOOKUP($A37,'Matriz de Referencia'!$B$2:$CO$584,77,FALSE)=0,0,"Digite"))</f>
        <v>0</v>
      </c>
      <c r="GG37" s="454">
        <f>IF(OR('Parte Estrategica'!AT37=0,'Parte Estrategica'!AT37=""),0,IF(VLOOKUP($A37,'Matriz de Referencia'!$B$2:$CO$584,78,FALSE)=0,0,"Digite"))</f>
        <v>0</v>
      </c>
      <c r="GH37" s="382">
        <f t="shared" si="40"/>
        <v>0</v>
      </c>
      <c r="GI37" s="382">
        <f t="shared" si="41"/>
        <v>0</v>
      </c>
      <c r="GJ37" s="453">
        <f>IF(OR('Parte Estrategica'!AU37=0,'Parte Estrategica'!AU37=""),0,IF(VLOOKUP($A37,'Matriz de Referencia'!$B$2:$CO$584,67,FALSE)=0,0,"Digite"))</f>
        <v>0</v>
      </c>
      <c r="GK37" s="454">
        <f>IF(OR('Parte Estrategica'!AU37=0,'Parte Estrategica'!AU37=""),0,IF(VLOOKUP($A37,'Matriz de Referencia'!$B$2:$CO$584,68,FALSE)=0,0,"Digite"))</f>
        <v>0</v>
      </c>
      <c r="GL37" s="454">
        <f>IF(OR('Parte Estrategica'!AU37=0,'Parte Estrategica'!AU37=""),0,IF(VLOOKUP($A37,'Matriz de Referencia'!$B$2:$CO$584,69,FALSE)=0,0,"Digite"))</f>
        <v>0</v>
      </c>
      <c r="GM37" s="454">
        <f>IF(OR('Parte Estrategica'!AU37=0,'Parte Estrategica'!AU37=""),0,IF(VLOOKUP($A37,'Matriz de Referencia'!$B$2:$CO$584,70,FALSE)=0,0,"Digite"))</f>
        <v>0</v>
      </c>
      <c r="GN37" s="454">
        <f>IF(OR('Parte Estrategica'!AU37=0,'Parte Estrategica'!AU37=""),0,IF(VLOOKUP($A37,'Matriz de Referencia'!$B$2:$CO$584,71,FALSE)=0,0,"Digite"))</f>
        <v>0</v>
      </c>
      <c r="GO37" s="454">
        <f>IF(OR('Parte Estrategica'!AU37=0,'Parte Estrategica'!AU37=""),0,IF(VLOOKUP($A37,'Matriz de Referencia'!$B$2:$CO$584,72,FALSE)=0,0,"Digite"))</f>
        <v>0</v>
      </c>
      <c r="GP37" s="454">
        <f>IF(OR('Parte Estrategica'!AU37=0,'Parte Estrategica'!AU37=""),0,IF(VLOOKUP($A37,'Matriz de Referencia'!$B$2:$CO$584,73,FALSE)=0,0,"Digite"))</f>
        <v>0</v>
      </c>
      <c r="GQ37" s="454">
        <f>IF(OR('Parte Estrategica'!AU37=0,'Parte Estrategica'!AU37=""),0,IF(VLOOKUP($A37,'Matriz de Referencia'!$B$2:$CO$584,74,FALSE)=0,0,"Digite"))</f>
        <v>0</v>
      </c>
      <c r="GR37" s="382">
        <f t="shared" si="42"/>
        <v>0</v>
      </c>
      <c r="GS37" s="454">
        <f>IF(OR('Parte Estrategica'!AU37=0,'Parte Estrategica'!AU37=""),0,IF(VLOOKUP($A37,'Matriz de Referencia'!$B$2:$CO$584,76,FALSE)=0,0,"Digite"))</f>
        <v>0</v>
      </c>
      <c r="GT37" s="454">
        <f>IF(OR('Parte Estrategica'!AU37=0,'Parte Estrategica'!AU37=""),0,IF(VLOOKUP($A37,'Matriz de Referencia'!$B$2:$CO$584,77,FALSE)=0,0,"Digite"))</f>
        <v>0</v>
      </c>
      <c r="GU37" s="454">
        <f>IF(OR('Parte Estrategica'!AU37=0,'Parte Estrategica'!AU37=""),0,IF(VLOOKUP($A37,'Matriz de Referencia'!$B$2:$CO$584,78,FALSE)=0,0,"Digite"))</f>
        <v>0</v>
      </c>
      <c r="GV37" s="382">
        <f t="shared" si="43"/>
        <v>0</v>
      </c>
      <c r="GW37" s="382">
        <f t="shared" si="44"/>
        <v>0</v>
      </c>
      <c r="GX37" s="453">
        <f>IF(OR('Parte Estrategica'!AV37=0,'Parte Estrategica'!AV37=""),0,IF(VLOOKUP($A37,'Matriz de Referencia'!$B$2:$CO$584,67,FALSE)=0,0,"Digite"))</f>
        <v>0</v>
      </c>
      <c r="GY37" s="454">
        <f>IF(OR('Parte Estrategica'!AV37=0,'Parte Estrategica'!AV37=""),0,IF(VLOOKUP($A37,'Matriz de Referencia'!$B$2:$CO$584,68,FALSE)=0,0,"Digite"))</f>
        <v>0</v>
      </c>
      <c r="GZ37" s="454">
        <f>IF(OR('Parte Estrategica'!AV37=0,'Parte Estrategica'!AV37=""),0,IF(VLOOKUP($A37,'Matriz de Referencia'!$B$2:$CO$584,69,FALSE)=0,0,"Digite"))</f>
        <v>0</v>
      </c>
      <c r="HA37" s="454">
        <f>IF(OR('Parte Estrategica'!AV37=0,'Parte Estrategica'!AV37=""),0,IF(VLOOKUP($A37,'Matriz de Referencia'!$B$2:$CO$584,70,FALSE)=0,0,"Digite"))</f>
        <v>0</v>
      </c>
      <c r="HB37" s="454">
        <f>IF(OR('Parte Estrategica'!AV37=0,'Parte Estrategica'!AV37=""),0,IF(VLOOKUP($A37,'Matriz de Referencia'!$B$2:$CO$584,71,FALSE)=0,0,"Digite"))</f>
        <v>0</v>
      </c>
      <c r="HC37" s="454">
        <f>IF(OR('Parte Estrategica'!AV37=0,'Parte Estrategica'!AV37=""),0,IF(VLOOKUP($A37,'Matriz de Referencia'!$B$2:$CO$584,72,FALSE)=0,0,"Digite"))</f>
        <v>0</v>
      </c>
      <c r="HD37" s="454">
        <f>IF(OR('Parte Estrategica'!AV37=0,'Parte Estrategica'!AV37=""),0,IF(VLOOKUP($A37,'Matriz de Referencia'!$B$2:$CO$584,73,FALSE)=0,0,"Digite"))</f>
        <v>0</v>
      </c>
      <c r="HE37" s="454">
        <f>IF(OR('Parte Estrategica'!AV37=0,'Parte Estrategica'!AV37=""),0,IF(VLOOKUP($A37,'Matriz de Referencia'!$B$2:$CO$584,74,FALSE)=0,0,"Digite"))</f>
        <v>0</v>
      </c>
      <c r="HF37" s="382">
        <f t="shared" si="45"/>
        <v>0</v>
      </c>
      <c r="HG37" s="454">
        <f>IF(OR('Parte Estrategica'!AV37=0,'Parte Estrategica'!AV37=""),0,IF(VLOOKUP($A37,'Matriz de Referencia'!$B$2:$CO$584,76,FALSE)=0,0,"Digite"))</f>
        <v>0</v>
      </c>
      <c r="HH37" s="454">
        <f>IF(OR('Parte Estrategica'!AV37=0,'Parte Estrategica'!AV37=""),0,IF(VLOOKUP($A37,'Matriz de Referencia'!$B$2:$CO$584,77,FALSE)=0,0,"Digite"))</f>
        <v>0</v>
      </c>
      <c r="HI37" s="454">
        <f>IF(OR('Parte Estrategica'!AV37=0,'Parte Estrategica'!AV37=""),0,IF(VLOOKUP($A37,'Matriz de Referencia'!$B$2:$CO$584,78,FALSE)=0,0,"Digite"))</f>
        <v>0</v>
      </c>
      <c r="HJ37" s="382">
        <f t="shared" si="46"/>
        <v>0</v>
      </c>
      <c r="HK37" s="382">
        <f t="shared" si="47"/>
        <v>0</v>
      </c>
      <c r="HL37" s="453">
        <f>IF(OR('Parte Estrategica'!AW37=0,'Parte Estrategica'!AW37=""),0,IF(VLOOKUP($A37,'Matriz de Referencia'!$B$2:$CO$584,67,FALSE)=0,0,"Digite"))</f>
        <v>0</v>
      </c>
      <c r="HM37" s="454">
        <f>IF(OR('Parte Estrategica'!AW37=0,'Parte Estrategica'!AW37=""),0,IF(VLOOKUP($A37,'Matriz de Referencia'!$B$2:$CO$584,68,FALSE)=0,0,"Digite"))</f>
        <v>0</v>
      </c>
      <c r="HN37" s="454">
        <f>IF(OR('Parte Estrategica'!AW37=0,'Parte Estrategica'!AW37=""),0,IF(VLOOKUP($A37,'Matriz de Referencia'!$B$2:$CO$584,69,FALSE)=0,0,"Digite"))</f>
        <v>0</v>
      </c>
      <c r="HO37" s="454">
        <f>IF(OR('Parte Estrategica'!AW37=0,'Parte Estrategica'!AW37=""),0,IF(VLOOKUP($A37,'Matriz de Referencia'!$B$2:$CO$584,70,FALSE)=0,0,"Digite"))</f>
        <v>0</v>
      </c>
      <c r="HP37" s="454">
        <f>IF(OR('Parte Estrategica'!AW37=0,'Parte Estrategica'!AW37=""),0,IF(VLOOKUP($A37,'Matriz de Referencia'!$B$2:$CO$584,71,FALSE)=0,0,"Digite"))</f>
        <v>0</v>
      </c>
      <c r="HQ37" s="454">
        <f>IF(OR('Parte Estrategica'!AW37=0,'Parte Estrategica'!AW37=""),0,IF(VLOOKUP($A37,'Matriz de Referencia'!$B$2:$CO$584,72,FALSE)=0,0,"Digite"))</f>
        <v>0</v>
      </c>
      <c r="HR37" s="454">
        <f>IF(OR('Parte Estrategica'!AW37=0,'Parte Estrategica'!AW37=""),0,IF(VLOOKUP($A37,'Matriz de Referencia'!$B$2:$CO$584,73,FALSE)=0,0,"Digite"))</f>
        <v>0</v>
      </c>
      <c r="HS37" s="454">
        <f>IF(OR('Parte Estrategica'!AW37=0,'Parte Estrategica'!AW37=""),0,IF(VLOOKUP($A37,'Matriz de Referencia'!$B$2:$CO$584,74,FALSE)=0,0,"Digite"))</f>
        <v>0</v>
      </c>
      <c r="HT37" s="382">
        <f t="shared" si="48"/>
        <v>0</v>
      </c>
      <c r="HU37" s="454">
        <f>IF(OR('Parte Estrategica'!AW37=0,'Parte Estrategica'!AW37=""),0,IF(VLOOKUP($A37,'Matriz de Referencia'!$B$2:$CO$584,76,FALSE)=0,0,"Digite"))</f>
        <v>0</v>
      </c>
      <c r="HV37" s="454">
        <f>IF(OR('Parte Estrategica'!AW37=0,'Parte Estrategica'!AW37=""),0,IF(VLOOKUP($A37,'Matriz de Referencia'!$B$2:$CO$584,77,FALSE)=0,0,"Digite"))</f>
        <v>0</v>
      </c>
      <c r="HW37" s="454">
        <f>IF(OR('Parte Estrategica'!AW37=0,'Parte Estrategica'!AW37=""),0,IF(VLOOKUP($A37,'Matriz de Referencia'!$B$2:$CO$584,78,FALSE)=0,0,"Digite"))</f>
        <v>0</v>
      </c>
      <c r="HX37" s="382">
        <f t="shared" si="49"/>
        <v>0</v>
      </c>
      <c r="HY37" s="382">
        <f t="shared" si="50"/>
        <v>0</v>
      </c>
      <c r="HZ37" s="382">
        <f t="shared" si="51"/>
        <v>0</v>
      </c>
      <c r="IA37" s="101" t="str">
        <f>IFERROR(IF(HZ37=0,"",IF(VLOOKUP($A37,'Matriz de Referencia'!$B$2:$CO$584,80,FALSE)=HZ37,"Techos ok, cotinue","Debe revisar el valor programado")),"")</f>
        <v/>
      </c>
      <c r="IB37" s="383">
        <f t="shared" si="52"/>
        <v>0</v>
      </c>
    </row>
    <row r="38" spans="1:236">
      <c r="A38" s="550" t="str">
        <f>IF('Parte Estrategica'!B38=0,"",'Parte Estrategica'!B38)</f>
        <v/>
      </c>
      <c r="B38" s="551" t="str">
        <f>IFERROR(VLOOKUP(A38,'Matriz de Referencia'!$B$2:$P$578,'Matriz de Referencia'!L$1,FALSE),"")</f>
        <v/>
      </c>
      <c r="C38" s="551" t="str">
        <f>IFERROR(VLOOKUP(A38,'Matriz de Referencia'!$B$2:$P$584,'Matriz de Referencia'!M$1,FALSE),"")</f>
        <v/>
      </c>
      <c r="D38" s="455" t="str">
        <f>IF(OR('Parte Estrategica'!AB38=0,'Parte Estrategica'!AB38=""),"",IF(VLOOKUP($A38,'Matriz de Referencia'!$B$2:$CO$584,'Matriz de Referencia'!Z$1,FALSE)=0,"","Digite"))</f>
        <v/>
      </c>
      <c r="E38" s="456">
        <f>IF(OR('Parte Estrategica'!AB38=0,'Parte Estrategica'!AB38=""),0,IF(VLOOKUP($A38,'Matriz de Referencia'!$B$2:$CO$584,26,FALSE)=0,0,"Digite"))</f>
        <v>0</v>
      </c>
      <c r="F38" s="456">
        <f>IF(OR('Parte Estrategica'!AB38=0,'Parte Estrategica'!AB38=""),0,IF(VLOOKUP($A38,'Matriz de Referencia'!$B$2:$CO$584,27,FALSE)=0,0,"Digite"))</f>
        <v>0</v>
      </c>
      <c r="G38" s="456">
        <f>IF(OR('Parte Estrategica'!AB38=0,'Parte Estrategica'!AB38=""),0,IF(VLOOKUP($A38,'Matriz de Referencia'!$B$2:$CO$584,28,FALSE)=0,0,"Digite"))</f>
        <v>0</v>
      </c>
      <c r="H38" s="456">
        <f>IF(OR('Parte Estrategica'!AB38=0,'Parte Estrategica'!AB38=""),0,IF(VLOOKUP($A38,'Matriz de Referencia'!$B$2:$CO$584,29,FALSE)=0,0,"Digite"))</f>
        <v>0</v>
      </c>
      <c r="I38" s="456">
        <f>IF(OR('Parte Estrategica'!AB38=0,'Parte Estrategica'!AB38=""),0,IF(VLOOKUP($A38,'Matriz de Referencia'!$B$2:$CO$584,30,FALSE)=0,0,"Digite"))</f>
        <v>0</v>
      </c>
      <c r="J38" s="456">
        <f>IF(OR('Parte Estrategica'!AB38=0,'Parte Estrategica'!AB38=""),0,IF(VLOOKUP($A38,'Matriz de Referencia'!$B$2:$CO$584,31,FALSE)=0,0,"Digite"))</f>
        <v>0</v>
      </c>
      <c r="K38" s="456">
        <f>IF(OR('Parte Estrategica'!AB38=0,'Parte Estrategica'!AB38=""),0,IF(VLOOKUP($A38,'Matriz de Referencia'!$B$2:$CO$584,32,FALSE)=0,0,"Digite"))</f>
        <v>0</v>
      </c>
      <c r="L38" s="460">
        <f t="shared" si="0"/>
        <v>0</v>
      </c>
      <c r="M38" s="456">
        <f>IF(OR('Parte Estrategica'!AB38=0,'Parte Estrategica'!AB38=""),0,IF(VLOOKUP($A38,'Matriz de Referencia'!$B$2:$CO$584,34,FALSE)=0,0,"Digite"))</f>
        <v>0</v>
      </c>
      <c r="N38" s="456">
        <f>IF(OR('Parte Estrategica'!AB38=0,'Parte Estrategica'!AB38=""),0,IF(VLOOKUP($A38,'Matriz de Referencia'!$B$2:$CO$584,35,FALSE)=0,0,"Digite"))</f>
        <v>0</v>
      </c>
      <c r="O38" s="456">
        <f>IF(OR('Parte Estrategica'!AB38=0,'Parte Estrategica'!AB38=""),0,IF(VLOOKUP($A38,'Matriz de Referencia'!$B$2:$CO$584,36,FALSE)=0,0,"Digite"))</f>
        <v>0</v>
      </c>
      <c r="P38" s="457">
        <f t="shared" si="1"/>
        <v>0</v>
      </c>
      <c r="Q38" s="457">
        <f t="shared" si="2"/>
        <v>0</v>
      </c>
      <c r="R38" s="455">
        <f>IF(OR('Parte Estrategica'!AC38=0,'Parte Estrategica'!AC38=""),0,IF(VLOOKUP($A38,'Matriz de Referencia'!$B$2:$CO$584,25,FALSE)=0,0,"Digite"))</f>
        <v>0</v>
      </c>
      <c r="S38" s="456">
        <f>IF(OR('Parte Estrategica'!AC38=0,'Parte Estrategica'!AC38=""),0,IF(VLOOKUP($A38,'Matriz de Referencia'!$B$2:$CO$584,26,FALSE)=0,0,"Digite"))</f>
        <v>0</v>
      </c>
      <c r="T38" s="456">
        <f>IF(OR('Parte Estrategica'!AC38=0,'Parte Estrategica'!AC38=""),0,IF(VLOOKUP($A38,'Matriz de Referencia'!$B$2:$CO$584,27,FALSE)=0,0,"Digite"))</f>
        <v>0</v>
      </c>
      <c r="U38" s="456">
        <f>IF(OR('Parte Estrategica'!AC38=0,'Parte Estrategica'!AC38=""),0,IF(VLOOKUP($A38,'Matriz de Referencia'!$B$2:$CO$584,28,FALSE)=0,0,"Digite"))</f>
        <v>0</v>
      </c>
      <c r="V38" s="456">
        <f>IF(OR('Parte Estrategica'!AC38=0,'Parte Estrategica'!AC38=""),0,IF(VLOOKUP($A38,'Matriz de Referencia'!$B$2:$CO$584,29,FALSE)=0,0,"Digite"))</f>
        <v>0</v>
      </c>
      <c r="W38" s="456">
        <f>IF(OR('Parte Estrategica'!AC38=0,'Parte Estrategica'!AC38=""),0,IF(VLOOKUP($A38,'Matriz de Referencia'!$B$2:$CO$584,30,FALSE)=0,0,"Digite"))</f>
        <v>0</v>
      </c>
      <c r="X38" s="456">
        <f>IF(OR('Parte Estrategica'!AC38=0,'Parte Estrategica'!AC38=""),0,IF(VLOOKUP($A38,'Matriz de Referencia'!$B$2:$CO$584,31,FALSE)=0,0,"Digite"))</f>
        <v>0</v>
      </c>
      <c r="Y38" s="456">
        <f>IF(OR('Parte Estrategica'!AC38=0,'Parte Estrategica'!AC38=""),0,IF(VLOOKUP($A38,'Matriz de Referencia'!$B$2:$CO$584,32,FALSE)=0,0,"Digite"))</f>
        <v>0</v>
      </c>
      <c r="Z38" s="457">
        <f t="shared" si="3"/>
        <v>0</v>
      </c>
      <c r="AA38" s="456">
        <f>IF(OR('Parte Estrategica'!AC38=0,'Parte Estrategica'!AC38=""),0,IF(VLOOKUP($A38,'Matriz de Referencia'!$B$2:$CO$584,34,FALSE)=0,0,"Digite"))</f>
        <v>0</v>
      </c>
      <c r="AB38" s="456">
        <f>IF(OR('Parte Estrategica'!AC38=0,'Parte Estrategica'!AC38=""),0,IF(VLOOKUP($A38,'Matriz de Referencia'!$B$2:$CO$584,35,FALSE)=0,0,"Digite"))</f>
        <v>0</v>
      </c>
      <c r="AC38" s="456">
        <f>IF(OR('Parte Estrategica'!AC38=0,'Parte Estrategica'!AC38=""),0,IF(VLOOKUP($A38,'Matriz de Referencia'!$B$2:$CO$584,36,FALSE)=0,0,"Digite"))</f>
        <v>0</v>
      </c>
      <c r="AD38" s="457">
        <f t="shared" si="4"/>
        <v>0</v>
      </c>
      <c r="AE38" s="457">
        <f t="shared" si="5"/>
        <v>0</v>
      </c>
      <c r="AF38" s="455">
        <f>IF(OR('Parte Estrategica'!AD38=0,'Parte Estrategica'!AD38=""),0,IF(VLOOKUP($A38,'Matriz de Referencia'!$B$2:$CO$584,25,FALSE)=0,0,"Digite"))</f>
        <v>0</v>
      </c>
      <c r="AG38" s="456">
        <f>IF(OR('Parte Estrategica'!AD38=0,'Parte Estrategica'!AD38=""),0,IF(VLOOKUP($A38,'Matriz de Referencia'!$B$2:$CO$584,26,FALSE)=0,0,"Digite"))</f>
        <v>0</v>
      </c>
      <c r="AH38" s="456">
        <f>IF(OR('Parte Estrategica'!AD38=0,'Parte Estrategica'!AD38=""),0,IF(VLOOKUP($A38,'Matriz de Referencia'!$B$2:$CO$584,27,FALSE)=0,0,"Digite"))</f>
        <v>0</v>
      </c>
      <c r="AI38" s="456">
        <f>IF(OR('Parte Estrategica'!AD38=0,'Parte Estrategica'!AD38=""),0,IF(VLOOKUP($A38,'Matriz de Referencia'!$B$2:$CO$584,28,FALSE)=0,0,"Digite"))</f>
        <v>0</v>
      </c>
      <c r="AJ38" s="456">
        <f>IF(OR('Parte Estrategica'!AD38=0,'Parte Estrategica'!AD38=""),0,IF(VLOOKUP($A38,'Matriz de Referencia'!$B$2:$CO$584,29,FALSE)=0,0,"Digite"))</f>
        <v>0</v>
      </c>
      <c r="AK38" s="456">
        <f>IF(OR('Parte Estrategica'!AD38=0,'Parte Estrategica'!AD38=""),0,IF(VLOOKUP($A38,'Matriz de Referencia'!$B$2:$CO$584,30,FALSE)=0,0,"Digite"))</f>
        <v>0</v>
      </c>
      <c r="AL38" s="456">
        <f>IF(OR('Parte Estrategica'!AD38=0,'Parte Estrategica'!AD38=""),0,IF(VLOOKUP($A38,'Matriz de Referencia'!$B$2:$CO$584,31,FALSE)=0,0,"Digite"))</f>
        <v>0</v>
      </c>
      <c r="AM38" s="456">
        <f>IF(OR('Parte Estrategica'!AD38=0,'Parte Estrategica'!AD38=""),0,IF(VLOOKUP($A38,'Matriz de Referencia'!$B$2:$CO$584,32,FALSE)=0,0,"Digite"))</f>
        <v>0</v>
      </c>
      <c r="AN38" s="457">
        <f t="shared" si="6"/>
        <v>0</v>
      </c>
      <c r="AO38" s="456">
        <f>IF(OR('Parte Estrategica'!AD38=0,'Parte Estrategica'!AD38=""),0,IF(VLOOKUP($A38,'Matriz de Referencia'!$B$2:$CO$584,34,FALSE)=0,0,"Digite"))</f>
        <v>0</v>
      </c>
      <c r="AP38" s="456">
        <f>IF(OR('Parte Estrategica'!AD38=0,'Parte Estrategica'!AD38=""),0,IF(VLOOKUP($A38,'Matriz de Referencia'!$B$2:$CO$584,35,FALSE)=0,0,"Digite"))</f>
        <v>0</v>
      </c>
      <c r="AQ38" s="456">
        <f>IF(OR('Parte Estrategica'!AD38=0,'Parte Estrategica'!AD38=""),0,IF(VLOOKUP($A38,'Matriz de Referencia'!$B$2:$CO$584,36,FALSE)=0,0,"Digite"))</f>
        <v>0</v>
      </c>
      <c r="AR38" s="457">
        <f t="shared" si="7"/>
        <v>0</v>
      </c>
      <c r="AS38" s="457">
        <f t="shared" si="8"/>
        <v>0</v>
      </c>
      <c r="AT38" s="455">
        <f>IF(OR('Parte Estrategica'!AE38=0,'Parte Estrategica'!AE38=""),0,IF(VLOOKUP($A38,'Matriz de Referencia'!$B$2:$CO$584,25,FALSE)=0,0,"Digite"))</f>
        <v>0</v>
      </c>
      <c r="AU38" s="456">
        <f>IF(OR('Parte Estrategica'!AE38=0,'Parte Estrategica'!AE38=""),0,IF(VLOOKUP($A38,'Matriz de Referencia'!$B$2:$CO$584,26,FALSE)=0,0,"Digite"))</f>
        <v>0</v>
      </c>
      <c r="AV38" s="456">
        <f>IF(OR('Parte Estrategica'!AE38=0,'Parte Estrategica'!AE38=""),0,IF(VLOOKUP($A38,'Matriz de Referencia'!$B$2:$CO$584,27,FALSE)=0,0,"Digite"))</f>
        <v>0</v>
      </c>
      <c r="AW38" s="456">
        <f>IF(OR('Parte Estrategica'!AE38=0,'Parte Estrategica'!AE38=""),0,IF(VLOOKUP($A38,'Matriz de Referencia'!$B$2:$CO$584,28,FALSE)=0,0,"Digite"))</f>
        <v>0</v>
      </c>
      <c r="AX38" s="456">
        <f>IF(OR('Parte Estrategica'!AE38=0,'Parte Estrategica'!AE38=""),0,IF(VLOOKUP($A38,'Matriz de Referencia'!$B$2:$CO$584,29,FALSE)=0,0,"Digite"))</f>
        <v>0</v>
      </c>
      <c r="AY38" s="456">
        <f>IF(OR('Parte Estrategica'!AE38=0,'Parte Estrategica'!AE38=""),0,IF(VLOOKUP($A38,'Matriz de Referencia'!$B$2:$CO$584,30,FALSE)=0,0,"Digite"))</f>
        <v>0</v>
      </c>
      <c r="AZ38" s="456">
        <f>IF(OR('Parte Estrategica'!AE38=0,'Parte Estrategica'!AE38=""),0,IF(VLOOKUP($A38,'Matriz de Referencia'!$B$2:$CO$584,31,FALSE)=0,0,"Digite"))</f>
        <v>0</v>
      </c>
      <c r="BA38" s="456">
        <f>IF(OR('Parte Estrategica'!AE38=0,'Parte Estrategica'!AE38=""),0,IF(VLOOKUP($A38,'Matriz de Referencia'!$B$2:$CO$584,32,FALSE)=0,0,"Digite"))</f>
        <v>0</v>
      </c>
      <c r="BB38" s="457">
        <f t="shared" si="9"/>
        <v>0</v>
      </c>
      <c r="BC38" s="456">
        <f>IF(OR('Parte Estrategica'!AE38=0,'Parte Estrategica'!AE38=""),0,IF(VLOOKUP($A38,'Matriz de Referencia'!$B$2:$CO$584,34,FALSE)=0,0,"Digite"))</f>
        <v>0</v>
      </c>
      <c r="BD38" s="456">
        <f>IF(OR('Parte Estrategica'!AE38=0,'Parte Estrategica'!AE38=""),0,IF(VLOOKUP($A38,'Matriz de Referencia'!$B$2:$CO$584,35,FALSE)=0,0,"Digite"))</f>
        <v>0</v>
      </c>
      <c r="BE38" s="456">
        <f>IF(OR('Parte Estrategica'!AE38=0,'Parte Estrategica'!AE38=""),0,IF(VLOOKUP($A38,'Matriz de Referencia'!$B$2:$CO$584,36,FALSE)=0,0,"Digite"))</f>
        <v>0</v>
      </c>
      <c r="BF38" s="457">
        <f t="shared" si="10"/>
        <v>0</v>
      </c>
      <c r="BG38" s="457">
        <f t="shared" si="11"/>
        <v>0</v>
      </c>
      <c r="BH38" s="457">
        <f t="shared" si="12"/>
        <v>0</v>
      </c>
      <c r="BI38" s="101" t="str">
        <f>IFERROR(IF(BH38=0,"",IF(VLOOKUP($A38,'Matriz de Referencia'!$B$2:$CO$584,'Matriz de Referencia'!AM$1,FALSE)=BH38,"Techos ok, cotinue","Debe revisar el valor programado")),"")</f>
        <v/>
      </c>
      <c r="BJ38" s="453">
        <f>IF(OR('Parte Estrategica'!AH38=0,'Parte Estrategica'!AH38=""),0,IF(VLOOKUP($A38,'Matriz de Referencia'!$B$2:$CO$584,39,FALSE)=0,0,"Digite"))</f>
        <v>0</v>
      </c>
      <c r="BK38" s="454">
        <f>IF(OR('Parte Estrategica'!AH38=0,'Parte Estrategica'!AH38=""),0,IF(VLOOKUP($A38,'Matriz de Referencia'!$B$2:$CO$584,40,FALSE)=0,0,"Digite"))</f>
        <v>0</v>
      </c>
      <c r="BL38" s="454">
        <f>IF(OR('Parte Estrategica'!AH38=0,'Parte Estrategica'!AH38=""),0,IF(VLOOKUP($A38,'Matriz de Referencia'!$B$2:$CO$584,41,FALSE)=0,0,"Digite"))</f>
        <v>0</v>
      </c>
      <c r="BM38" s="454">
        <f>IF(OR('Parte Estrategica'!AH38=0,'Parte Estrategica'!AH38=""),0,IF(VLOOKUP($A38,'Matriz de Referencia'!$B$2:$CO$584,42,FALSE)=0,0,"Digite"))</f>
        <v>0</v>
      </c>
      <c r="BN38" s="454">
        <f>IF(OR('Parte Estrategica'!AH38=0,'Parte Estrategica'!AH38=""),0,IF(VLOOKUP($A38,'Matriz de Referencia'!$B$2:$CO$584,43,FALSE)=0,0,"Digite"))</f>
        <v>0</v>
      </c>
      <c r="BO38" s="454">
        <f>IF(OR('Parte Estrategica'!AH38=0,'Parte Estrategica'!AH38=""),0,IF(VLOOKUP($A38,'Matriz de Referencia'!$B$2:$CO$584,44,FALSE)=0,0,"Digite"))</f>
        <v>0</v>
      </c>
      <c r="BP38" s="454">
        <f>IF(OR('Parte Estrategica'!AH38=0,'Parte Estrategica'!AH38=""),0,IF(VLOOKUP($A38,'Matriz de Referencia'!$B$2:$CO$584,45,FALSE)=0,0,"Digite"))</f>
        <v>0</v>
      </c>
      <c r="BQ38" s="454">
        <f>IF(OR('Parte Estrategica'!AH38=0,'Parte Estrategica'!AH38=""),0,IF(VLOOKUP($A38,'Matriz de Referencia'!$B$2:$CO$584,46,FALSE)=0,0,"Digite"))</f>
        <v>0</v>
      </c>
      <c r="BR38" s="382">
        <f t="shared" si="13"/>
        <v>0</v>
      </c>
      <c r="BS38" s="454">
        <f>IF(OR('Parte Estrategica'!CL38=0,'Parte Estrategica'!CL38=""),0,IF(VLOOKUP($A38,'Matriz de Referencia'!$B$2:$CO$584,48,FALSE)=0,0,"Digite"))</f>
        <v>0</v>
      </c>
      <c r="BT38" s="454">
        <f>IF(OR('Parte Estrategica'!CL38=0,'Parte Estrategica'!CL38=""),0,IF(VLOOKUP($A38,'Matriz de Referencia'!$B$2:$CO$584,49,FALSE)=0,0,"Digite"))</f>
        <v>0</v>
      </c>
      <c r="BU38" s="454">
        <f>IF(OR('Parte Estrategica'!CL38=0,'Parte Estrategica'!CL38=""),0,IF(VLOOKUP($A38,'Matriz de Referencia'!$B$2:$CO$584,50,FALSE)=0,0,"Digite"))</f>
        <v>0</v>
      </c>
      <c r="BV38" s="382">
        <f t="shared" si="14"/>
        <v>0</v>
      </c>
      <c r="BW38" s="382">
        <f t="shared" si="15"/>
        <v>0</v>
      </c>
      <c r="BX38" s="453">
        <f>IF(OR('Parte Estrategica'!AI38=0,'Parte Estrategica'!AI38=""),0,IF(VLOOKUP($A38,'Matriz de Referencia'!$B$2:$CO$584,39,FALSE)=0,0,"Digite"))</f>
        <v>0</v>
      </c>
      <c r="BY38" s="454">
        <f>IF(OR('Parte Estrategica'!AI38=0,'Parte Estrategica'!AI38=""),0,IF(VLOOKUP($A38,'Matriz de Referencia'!$B$2:$CO$584,40,FALSE)=0,0,"Digite"))</f>
        <v>0</v>
      </c>
      <c r="BZ38" s="454">
        <f>IF(OR('Parte Estrategica'!AI38=0,'Parte Estrategica'!AI38=""),0,IF(VLOOKUP($A38,'Matriz de Referencia'!$B$2:$CO$584,41,FALSE)=0,0,"Digite"))</f>
        <v>0</v>
      </c>
      <c r="CA38" s="454">
        <f>IF(OR('Parte Estrategica'!AI38=0,'Parte Estrategica'!AI38=""),0,IF(VLOOKUP($A38,'Matriz de Referencia'!$B$2:$CO$584,42,FALSE)=0,0,"Digite"))</f>
        <v>0</v>
      </c>
      <c r="CB38" s="454">
        <f>IF(OR('Parte Estrategica'!AI38=0,'Parte Estrategica'!AI38=""),0,IF(VLOOKUP($A38,'Matriz de Referencia'!$B$2:$CO$584,43,FALSE)=0,0,"Digite"))</f>
        <v>0</v>
      </c>
      <c r="CC38" s="454">
        <f>IF(OR('Parte Estrategica'!AI38=0,'Parte Estrategica'!AI38=""),0,IF(VLOOKUP($A38,'Matriz de Referencia'!$B$2:$CO$584,44,FALSE)=0,0,"Digite"))</f>
        <v>0</v>
      </c>
      <c r="CD38" s="454">
        <f>IF(OR('Parte Estrategica'!AI38=0,'Parte Estrategica'!AI38=""),0,IF(VLOOKUP($A38,'Matriz de Referencia'!$B$2:$CO$584,45,FALSE)=0,0,"Digite"))</f>
        <v>0</v>
      </c>
      <c r="CE38" s="454">
        <f>IF(OR('Parte Estrategica'!AI38=0,'Parte Estrategica'!AI38=""),0,IF(VLOOKUP($A38,'Matriz de Referencia'!$B$2:$CO$584,46,FALSE)=0,0,"Digite"))</f>
        <v>0</v>
      </c>
      <c r="CF38" s="382">
        <f t="shared" si="16"/>
        <v>0</v>
      </c>
      <c r="CG38" s="454">
        <f>IF(OR('Parte Estrategica'!AI38=0,'Parte Estrategica'!AI38=""),0,IF(VLOOKUP($A38,'Matriz de Referencia'!$B$2:$CO$584,48,FALSE)=0,0,"Digite"))</f>
        <v>0</v>
      </c>
      <c r="CH38" s="454">
        <f>IF(OR('Parte Estrategica'!AI38=0,'Parte Estrategica'!AI38=""),0,IF(VLOOKUP($A38,'Matriz de Referencia'!$B$2:$CO$584,49,FALSE)=0,0,"Digite"))</f>
        <v>0</v>
      </c>
      <c r="CI38" s="454">
        <f>IF(OR('Parte Estrategica'!AI38=0,'Parte Estrategica'!AI38=""),0,IF(VLOOKUP($A38,'Matriz de Referencia'!$B$2:$CO$584,50,FALSE)=0,0,"Digite"))</f>
        <v>0</v>
      </c>
      <c r="CJ38" s="382">
        <f t="shared" si="17"/>
        <v>0</v>
      </c>
      <c r="CK38" s="382">
        <f t="shared" si="18"/>
        <v>0</v>
      </c>
      <c r="CL38" s="453">
        <f>IF(OR('Parte Estrategica'!AJ38=0,'Parte Estrategica'!AJ38=""),0,IF(VLOOKUP($A38,'Matriz de Referencia'!$B$2:$CO$584,39,FALSE)=0,0,"Digite"))</f>
        <v>0</v>
      </c>
      <c r="CM38" s="454">
        <f>IF(OR('Parte Estrategica'!AJ38=0,'Parte Estrategica'!AJ38=""),0,IF(VLOOKUP($A38,'Matriz de Referencia'!$B$2:$CO$584,40,FALSE)=0,0,"Digite"))</f>
        <v>0</v>
      </c>
      <c r="CN38" s="454">
        <f>IF(OR('Parte Estrategica'!AJ38=0,'Parte Estrategica'!AJ38=""),0,IF(VLOOKUP($A38,'Matriz de Referencia'!$B$2:$CO$584,41,FALSE)=0,0,"Digite"))</f>
        <v>0</v>
      </c>
      <c r="CO38" s="454">
        <f>IF(OR('Parte Estrategica'!AJ38=0,'Parte Estrategica'!AJ38=""),0,IF(VLOOKUP($A38,'Matriz de Referencia'!$B$2:$CO$584,42,FALSE)=0,0,"Digite"))</f>
        <v>0</v>
      </c>
      <c r="CP38" s="454">
        <f>IF(OR('Parte Estrategica'!AJ38=0,'Parte Estrategica'!AJ38=""),0,IF(VLOOKUP($A38,'Matriz de Referencia'!$B$2:$CO$584,43,FALSE)=0,0,"Digite"))</f>
        <v>0</v>
      </c>
      <c r="CQ38" s="454">
        <f>IF(OR('Parte Estrategica'!AJ38=0,'Parte Estrategica'!AJ38=""),0,IF(VLOOKUP($A38,'Matriz de Referencia'!$B$2:$CO$584,44,FALSE)=0,0,"Digite"))</f>
        <v>0</v>
      </c>
      <c r="CR38" s="454">
        <f>IF(OR('Parte Estrategica'!AJ38=0,'Parte Estrategica'!AJ38=""),0,IF(VLOOKUP($A38,'Matriz de Referencia'!$B$2:$CO$584,45,FALSE)=0,0,"Digite"))</f>
        <v>0</v>
      </c>
      <c r="CS38" s="454">
        <f>IF(OR('Parte Estrategica'!AJ38=0,'Parte Estrategica'!AJ38=""),0,IF(VLOOKUP($A38,'Matriz de Referencia'!$B$2:$CO$584,46,FALSE)=0,0,"Digite"))</f>
        <v>0</v>
      </c>
      <c r="CT38" s="382">
        <f t="shared" si="19"/>
        <v>0</v>
      </c>
      <c r="CU38" s="454">
        <f>IF(OR('Parte Estrategica'!AJ38=0,'Parte Estrategica'!AJ38=""),0,IF(VLOOKUP($A38,'Matriz de Referencia'!$B$2:$CO$584,48,FALSE)=0,0,"Digite"))</f>
        <v>0</v>
      </c>
      <c r="CV38" s="454">
        <f>IF(OR('Parte Estrategica'!AJ38=0,'Parte Estrategica'!AJ38=""),0,IF(VLOOKUP($A38,'Matriz de Referencia'!$B$2:$CO$584,49,FALSE)=0,0,"Digite"))</f>
        <v>0</v>
      </c>
      <c r="CW38" s="454">
        <f>IF(OR('Parte Estrategica'!AJ38=0,'Parte Estrategica'!AJ38=""),0,IF(VLOOKUP($A38,'Matriz de Referencia'!$B$2:$CO$584,50,FALSE)=0,0,"Digite"))</f>
        <v>0</v>
      </c>
      <c r="CX38" s="382">
        <f t="shared" si="20"/>
        <v>0</v>
      </c>
      <c r="CY38" s="382">
        <f t="shared" si="21"/>
        <v>0</v>
      </c>
      <c r="CZ38" s="453">
        <f>IF(OR('Parte Estrategica'!AK38=0,'Parte Estrategica'!AK38=""),0,IF(VLOOKUP($A38,'Matriz de Referencia'!$B$2:$CO$584,39,FALSE)=0,0,"Digite"))</f>
        <v>0</v>
      </c>
      <c r="DA38" s="454">
        <f>IF(OR('Parte Estrategica'!AK38=0,'Parte Estrategica'!AK38=""),0,IF(VLOOKUP($A38,'Matriz de Referencia'!$B$2:$CO$584,40,FALSE)=0,0,"Digite"))</f>
        <v>0</v>
      </c>
      <c r="DB38" s="454">
        <f>IF(OR('Parte Estrategica'!AK38=0,'Parte Estrategica'!AK38=""),0,IF(VLOOKUP($A38,'Matriz de Referencia'!$B$2:$CO$584,41,FALSE)=0,0,"Digite"))</f>
        <v>0</v>
      </c>
      <c r="DC38" s="454">
        <f>IF(OR('Parte Estrategica'!AK38=0,'Parte Estrategica'!AK38=""),0,IF(VLOOKUP($A38,'Matriz de Referencia'!$B$2:$CO$584,42,FALSE)=0,0,"Digite"))</f>
        <v>0</v>
      </c>
      <c r="DD38" s="454">
        <f>IF(OR('Parte Estrategica'!AK38=0,'Parte Estrategica'!AK38=""),0,IF(VLOOKUP($A38,'Matriz de Referencia'!$B$2:$CO$584,43,FALSE)=0,0,"Digite"))</f>
        <v>0</v>
      </c>
      <c r="DE38" s="454">
        <f>IF(OR('Parte Estrategica'!AK38=0,'Parte Estrategica'!AK38=""),0,IF(VLOOKUP($A38,'Matriz de Referencia'!$B$2:$CO$584,44,FALSE)=0,0,"Digite"))</f>
        <v>0</v>
      </c>
      <c r="DF38" s="454">
        <f>IF(OR('Parte Estrategica'!AK38=0,'Parte Estrategica'!AK38=""),0,IF(VLOOKUP($A38,'Matriz de Referencia'!$B$2:$CO$584,45,FALSE)=0,0,"Digite"))</f>
        <v>0</v>
      </c>
      <c r="DG38" s="454">
        <f>IF(OR('Parte Estrategica'!AK38=0,'Parte Estrategica'!AK38=""),0,IF(VLOOKUP($A38,'Matriz de Referencia'!$B$2:$CO$584,46,FALSE)=0,0,"Digite"))</f>
        <v>0</v>
      </c>
      <c r="DH38" s="382">
        <f t="shared" si="22"/>
        <v>0</v>
      </c>
      <c r="DI38" s="454">
        <f>IF(OR('Parte Estrategica'!AK38=0,'Parte Estrategica'!AK38=""),0,IF(VLOOKUP($A38,'Matriz de Referencia'!$B$2:$CO$584,48,FALSE)=0,0,"Digite"))</f>
        <v>0</v>
      </c>
      <c r="DJ38" s="454">
        <f>IF(OR('Parte Estrategica'!AK38=0,'Parte Estrategica'!AK38=""),0,IF(VLOOKUP($A38,'Matriz de Referencia'!$B$2:$CO$584,49,FALSE)=0,0,"Digite"))</f>
        <v>0</v>
      </c>
      <c r="DK38" s="454">
        <f>IF(OR('Parte Estrategica'!AK38=0,'Parte Estrategica'!AK38=""),0,IF(VLOOKUP($A38,'Matriz de Referencia'!$B$2:$CO$584,50,FALSE)=0,0,"Digite"))</f>
        <v>0</v>
      </c>
      <c r="DL38" s="382">
        <f t="shared" si="23"/>
        <v>0</v>
      </c>
      <c r="DM38" s="382">
        <f t="shared" si="24"/>
        <v>0</v>
      </c>
      <c r="DN38" s="382">
        <f t="shared" si="25"/>
        <v>0</v>
      </c>
      <c r="DO38" s="101" t="str">
        <f>IFERROR(IF(DN38=0,"",IF(VLOOKUP($A38,'Matriz de Referencia'!$B$2:$CO$584,52,FALSE)=DN38,"Techos ok, cotinue","Debe revisar el valor programado")),"")</f>
        <v/>
      </c>
      <c r="DP38" s="453">
        <f>IF(OR('Parte Estrategica'!AN38=0,'Parte Estrategica'!AN38=""),0,IF(VLOOKUP($A38,'Matriz de Referencia'!$B$2:$CO$584,53,FALSE)=0,0,"Digite"))</f>
        <v>0</v>
      </c>
      <c r="DQ38" s="454">
        <f>IF(OR('Parte Estrategica'!AN38=0,'Parte Estrategica'!AN38=""),0,IF(VLOOKUP($A38,'Matriz de Referencia'!$B$2:$CO$584,54,FALSE)=0,0,"Digite"))</f>
        <v>0</v>
      </c>
      <c r="DR38" s="454">
        <f>IF(OR('Parte Estrategica'!AN38=0,'Parte Estrategica'!AN38=""),0,IF(VLOOKUP($A38,'Matriz de Referencia'!$B$2:$CO$584,55,FALSE)=0,0,"Digite"))</f>
        <v>0</v>
      </c>
      <c r="DS38" s="454">
        <f>IF(OR('Parte Estrategica'!AN38=0,'Parte Estrategica'!AN38=""),0,IF(VLOOKUP($A38,'Matriz de Referencia'!$B$2:$CO$584,56,FALSE)=0,0,"Digite"))</f>
        <v>0</v>
      </c>
      <c r="DT38" s="454">
        <f>IF(OR('Parte Estrategica'!AN38=0,'Parte Estrategica'!AN38=""),0,IF(VLOOKUP($A38,'Matriz de Referencia'!$B$2:$CO$584,57,FALSE)=0,0,"Digite"))</f>
        <v>0</v>
      </c>
      <c r="DU38" s="454">
        <f>IF(OR('Parte Estrategica'!AN38=0,'Parte Estrategica'!AN38=""),0,IF(VLOOKUP($A38,'Matriz de Referencia'!$B$2:$CO$584,58,FALSE)=0,0,"Digite"))</f>
        <v>0</v>
      </c>
      <c r="DV38" s="454">
        <f>IF(OR('Parte Estrategica'!AN38=0,'Parte Estrategica'!AN38=""),0,IF(VLOOKUP($A38,'Matriz de Referencia'!$B$2:$CO$584,59,FALSE)=0,0,"Digite"))</f>
        <v>0</v>
      </c>
      <c r="DW38" s="454">
        <f>IF(OR('Parte Estrategica'!AN38=0,'Parte Estrategica'!AN38=""),0,IF(VLOOKUP($A38,'Matriz de Referencia'!$B$2:$CO$584,60,FALSE)=0,0,"Digite"))</f>
        <v>0</v>
      </c>
      <c r="DX38" s="382">
        <f t="shared" si="26"/>
        <v>0</v>
      </c>
      <c r="DY38" s="454">
        <f>IF(OR('Parte Estrategica'!AN38=0,'Parte Estrategica'!AN38=""),0,IF(VLOOKUP($A38,'Matriz de Referencia'!$B$2:$CO$584,62,FALSE)=0,0,"Digite"))</f>
        <v>0</v>
      </c>
      <c r="DZ38" s="454">
        <f>IF(OR('Parte Estrategica'!AN38=0,'Parte Estrategica'!AN38=""),0,IF(VLOOKUP($A38,'Matriz de Referencia'!$B$2:$CO$584,63,FALSE)=0,0,"Digite"))</f>
        <v>0</v>
      </c>
      <c r="EA38" s="454" t="str">
        <f>IF(OR('Parte Estrategica'!AN38=0,'Parte Estrategica'!AN38=""),"",IF(VLOOKUP($A38,'Matriz de Referencia'!$B$2:$CO$584,64,FALSE)=0,"","Digite"))</f>
        <v/>
      </c>
      <c r="EB38" s="382">
        <f t="shared" si="27"/>
        <v>0</v>
      </c>
      <c r="EC38" s="382">
        <f t="shared" si="28"/>
        <v>0</v>
      </c>
      <c r="ED38" s="453">
        <f>IF(OR('Parte Estrategica'!AO38=0,'Parte Estrategica'!AO38=""),0,IF(VLOOKUP($A38,'Matriz de Referencia'!$B$2:$CO$584,53,FALSE)=0,0,"Digite"))</f>
        <v>0</v>
      </c>
      <c r="EE38" s="454">
        <f>IF(OR('Parte Estrategica'!AO38=0,'Parte Estrategica'!AO38=""),0,IF(VLOOKUP($A38,'Matriz de Referencia'!$B$2:$CO$584,54,FALSE)=0,0,"Digite"))</f>
        <v>0</v>
      </c>
      <c r="EF38" s="454">
        <f>IF(OR('Parte Estrategica'!AO38=0,'Parte Estrategica'!AO38=""),0,IF(VLOOKUP($A38,'Matriz de Referencia'!$B$2:$CO$584,55,FALSE)=0,0,"Digite"))</f>
        <v>0</v>
      </c>
      <c r="EG38" s="454">
        <f>IF(OR('Parte Estrategica'!AO38=0,'Parte Estrategica'!AO38=""),0,IF(VLOOKUP($A38,'Matriz de Referencia'!$B$2:$CO$584,56,FALSE)=0,0,"Digite"))</f>
        <v>0</v>
      </c>
      <c r="EH38" s="454">
        <f>IF(OR('Parte Estrategica'!AO38=0,'Parte Estrategica'!AO38=""),0,IF(VLOOKUP($A38,'Matriz de Referencia'!$B$2:$CO$584,57,FALSE)=0,0,"Digite"))</f>
        <v>0</v>
      </c>
      <c r="EI38" s="454">
        <f>IF(OR('Parte Estrategica'!AO38=0,'Parte Estrategica'!AO38=""),0,IF(VLOOKUP($A38,'Matriz de Referencia'!$B$2:$CO$584,58,FALSE)=0,0,"Digite"))</f>
        <v>0</v>
      </c>
      <c r="EJ38" s="454">
        <f>IF(OR('Parte Estrategica'!AO38=0,'Parte Estrategica'!AO38=""),0,IF(VLOOKUP($A38,'Matriz de Referencia'!$B$2:$CO$584,59,FALSE)=0,0,"Digite"))</f>
        <v>0</v>
      </c>
      <c r="EK38" s="454">
        <f>IF(OR('Parte Estrategica'!AO38=0,'Parte Estrategica'!AO38=""),0,IF(VLOOKUP($A38,'Matriz de Referencia'!$B$2:$CO$584,60,FALSE)=0,0,"Digite"))</f>
        <v>0</v>
      </c>
      <c r="EL38" s="382">
        <f t="shared" si="29"/>
        <v>0</v>
      </c>
      <c r="EM38" s="454">
        <f>IF(OR('Parte Estrategica'!AO38=0,'Parte Estrategica'!AO38=""),0,IF(VLOOKUP($A38,'Matriz de Referencia'!$B$2:$CO$584,62,FALSE)=0,0,"Digite"))</f>
        <v>0</v>
      </c>
      <c r="EN38" s="454">
        <f>IF(OR('Parte Estrategica'!AO38=0,'Parte Estrategica'!AO38=""),0,IF(VLOOKUP($A38,'Matriz de Referencia'!$B$2:$CO$584,63,FALSE)=0,0,"Digite"))</f>
        <v>0</v>
      </c>
      <c r="EO38" s="454">
        <f>IF(OR('Parte Estrategica'!AO38=0,'Parte Estrategica'!AO38=""),0,IF(VLOOKUP($A38,'Matriz de Referencia'!$B$2:$CO$584,64,FALSE)=0,0,"Digite"))</f>
        <v>0</v>
      </c>
      <c r="EP38" s="382">
        <f t="shared" si="30"/>
        <v>0</v>
      </c>
      <c r="EQ38" s="382">
        <f t="shared" si="31"/>
        <v>0</v>
      </c>
      <c r="ER38" s="453">
        <f>IF(OR('Parte Estrategica'!AP38=0,'Parte Estrategica'!AP38=""),0,IF(VLOOKUP($A38,'Matriz de Referencia'!$B$2:$CO$584,53,FALSE)=0,0,"Digite"))</f>
        <v>0</v>
      </c>
      <c r="ES38" s="454">
        <f>IF(OR('Parte Estrategica'!AP38=0,'Parte Estrategica'!AP38=""),0,IF(VLOOKUP($A38,'Matriz de Referencia'!$B$2:$CO$584,54,FALSE)=0,0,"Digite"))</f>
        <v>0</v>
      </c>
      <c r="ET38" s="454">
        <f>IF(OR('Parte Estrategica'!AP38=0,'Parte Estrategica'!AP38=""),0,IF(VLOOKUP($A38,'Matriz de Referencia'!$B$2:$CO$584,55,FALSE)=0,0,"Digite"))</f>
        <v>0</v>
      </c>
      <c r="EU38" s="454">
        <f>IF(OR('Parte Estrategica'!AP38=0,'Parte Estrategica'!AP38=""),0,IF(VLOOKUP($A38,'Matriz de Referencia'!$B$2:$CO$584,56,FALSE)=0,0,"Digite"))</f>
        <v>0</v>
      </c>
      <c r="EV38" s="454">
        <f>IF(OR('Parte Estrategica'!AP38=0,'Parte Estrategica'!AP38=""),0,IF(VLOOKUP($A38,'Matriz de Referencia'!$B$2:$CO$584,57,FALSE)=0,0,"Digite"))</f>
        <v>0</v>
      </c>
      <c r="EW38" s="454">
        <f>IF(OR('Parte Estrategica'!AP38=0,'Parte Estrategica'!AP38=""),0,IF(VLOOKUP($A38,'Matriz de Referencia'!$B$2:$CO$584,58,FALSE)=0,0,"Digite"))</f>
        <v>0</v>
      </c>
      <c r="EX38" s="454">
        <f>IF(OR('Parte Estrategica'!AP38=0,'Parte Estrategica'!AP38=""),0,IF(VLOOKUP($A38,'Matriz de Referencia'!$B$2:$CO$584,59,FALSE)=0,0,"Digite"))</f>
        <v>0</v>
      </c>
      <c r="EY38" s="454">
        <f>IF(OR('Parte Estrategica'!AP38=0,'Parte Estrategica'!AP38=""),0,IF(VLOOKUP($A38,'Matriz de Referencia'!$B$2:$CO$584,60,FALSE)=0,0,"Digite"))</f>
        <v>0</v>
      </c>
      <c r="EZ38" s="382">
        <f t="shared" si="32"/>
        <v>0</v>
      </c>
      <c r="FA38" s="454">
        <f>IF(OR('Parte Estrategica'!AP38=0,'Parte Estrategica'!AP38=""),0,IF(VLOOKUP($A38,'Matriz de Referencia'!$B$2:$CO$584,62,FALSE)=0,0,"Digite"))</f>
        <v>0</v>
      </c>
      <c r="FB38" s="454">
        <f>IF(OR('Parte Estrategica'!AP38=0,'Parte Estrategica'!AP38=""),0,IF(VLOOKUP($A38,'Matriz de Referencia'!$B$2:$CO$584,63,FALSE)=0,0,"Digite"))</f>
        <v>0</v>
      </c>
      <c r="FC38" s="454">
        <f>IF(OR('Parte Estrategica'!AP38=0,'Parte Estrategica'!AP38=""),0,IF(VLOOKUP($A38,'Matriz de Referencia'!$B$2:$CO$584,64,FALSE)=0,0,"Digite"))</f>
        <v>0</v>
      </c>
      <c r="FD38" s="382">
        <f t="shared" si="33"/>
        <v>0</v>
      </c>
      <c r="FE38" s="382">
        <f t="shared" si="34"/>
        <v>0</v>
      </c>
      <c r="FF38" s="453">
        <f>IF(OR('Parte Estrategica'!AQ38=0,'Parte Estrategica'!AQ38=""),0,IF(VLOOKUP($A38,'Matriz de Referencia'!$B$2:$CO$584,53,FALSE)=0,0,"Digite"))</f>
        <v>0</v>
      </c>
      <c r="FG38" s="454">
        <f>IF(OR('Parte Estrategica'!AQ38=0,'Parte Estrategica'!AQ38=""),0,IF(VLOOKUP($A38,'Matriz de Referencia'!$B$2:$CO$584,54,FALSE)=0,0,"Digite"))</f>
        <v>0</v>
      </c>
      <c r="FH38" s="454">
        <f>IF(OR('Parte Estrategica'!AQ38=0,'Parte Estrategica'!AQ38=""),0,IF(VLOOKUP($A38,'Matriz de Referencia'!$B$2:$CO$584,55,FALSE)=0,0,"Digite"))</f>
        <v>0</v>
      </c>
      <c r="FI38" s="454">
        <f>IF(OR('Parte Estrategica'!AQ38=0,'Parte Estrategica'!AQ38=""),0,IF(VLOOKUP($A38,'Matriz de Referencia'!$B$2:$CO$584,56,FALSE)=0,0,"Digite"))</f>
        <v>0</v>
      </c>
      <c r="FJ38" s="454">
        <f>IF(OR('Parte Estrategica'!AQ38=0,'Parte Estrategica'!AQ38=""),0,IF(VLOOKUP($A38,'Matriz de Referencia'!$B$2:$CO$584,57,FALSE)=0,0,"Digite"))</f>
        <v>0</v>
      </c>
      <c r="FK38" s="454">
        <f>IF(OR('Parte Estrategica'!AQ38=0,'Parte Estrategica'!AQ38=""),0,IF(VLOOKUP($A38,'Matriz de Referencia'!$B$2:$CO$584,58,FALSE)=0,0,"Digite"))</f>
        <v>0</v>
      </c>
      <c r="FL38" s="454">
        <f>IF(OR('Parte Estrategica'!AQ38=0,'Parte Estrategica'!AQ38=""),0,IF(VLOOKUP($A38,'Matriz de Referencia'!$B$2:$CO$584,59,FALSE)=0,0,"Digite"))</f>
        <v>0</v>
      </c>
      <c r="FM38" s="454">
        <f>IF(OR('Parte Estrategica'!AQ38=0,'Parte Estrategica'!AQ38=""),0,IF(VLOOKUP($A38,'Matriz de Referencia'!$B$2:$CO$584,60,FALSE)=0,0,"Digite"))</f>
        <v>0</v>
      </c>
      <c r="FN38" s="382">
        <f t="shared" si="35"/>
        <v>0</v>
      </c>
      <c r="FO38" s="454">
        <f>IF(OR('Parte Estrategica'!AQ38=0,'Parte Estrategica'!AQ38=""),0,IF(VLOOKUP($A38,'Matriz de Referencia'!$B$2:$CO$584,62,FALSE)=0,0,"Digite"))</f>
        <v>0</v>
      </c>
      <c r="FP38" s="454">
        <f>IF(OR('Parte Estrategica'!AQ38=0,'Parte Estrategica'!AQ38=""),0,IF(VLOOKUP($A38,'Matriz de Referencia'!$B$2:$CO$584,63,FALSE)=0,0,"Digite"))</f>
        <v>0</v>
      </c>
      <c r="FQ38" s="454">
        <f>IF(OR('Parte Estrategica'!AQ38=0,'Parte Estrategica'!AQ38=""),0,IF(VLOOKUP($A38,'Matriz de Referencia'!$B$2:$CO$584,64,FALSE)=0,0,"Digite"))</f>
        <v>0</v>
      </c>
      <c r="FR38" s="382">
        <f t="shared" si="36"/>
        <v>0</v>
      </c>
      <c r="FS38" s="382">
        <f t="shared" si="37"/>
        <v>0</v>
      </c>
      <c r="FT38" s="382">
        <f t="shared" si="38"/>
        <v>0</v>
      </c>
      <c r="FU38" s="101" t="str">
        <f>IFERROR(IF(FT38=0,"",IF(VLOOKUP($A38,'Matriz de Referencia'!$B$2:$CO$584,66,FALSE)=FT38,"Techos ok, cotinue","Debe revisar el valor programado")),"")</f>
        <v/>
      </c>
      <c r="FV38" s="453">
        <f>IF(OR('Parte Estrategica'!AT38=0,'Parte Estrategica'!AT38=""),0,IF(VLOOKUP($A38,'Matriz de Referencia'!$B$2:$CO$584,67,FALSE)=0,0,"Digite"))</f>
        <v>0</v>
      </c>
      <c r="FW38" s="454">
        <f>IF(OR('Parte Estrategica'!AT38=0,'Parte Estrategica'!AT38=""),0,IF(VLOOKUP($A38,'Matriz de Referencia'!$B$2:$CO$584,68,FALSE)=0,0,"Digite"))</f>
        <v>0</v>
      </c>
      <c r="FX38" s="454">
        <f>IF(OR('Parte Estrategica'!AT38=0,'Parte Estrategica'!AT38=""),0,IF(VLOOKUP($A38,'Matriz de Referencia'!$B$2:$CO$584,69,FALSE)=0,0,"Digite"))</f>
        <v>0</v>
      </c>
      <c r="FY38" s="454">
        <f>IF(OR('Parte Estrategica'!AT38=0,'Parte Estrategica'!AT38=""),0,IF(VLOOKUP($A38,'Matriz de Referencia'!$B$2:$CO$584,70,FALSE)=0,0,"Digite"))</f>
        <v>0</v>
      </c>
      <c r="FZ38" s="454">
        <f>IF(OR('Parte Estrategica'!AT38=0,'Parte Estrategica'!AT38=""),0,IF(VLOOKUP($A38,'Matriz de Referencia'!$B$2:$CO$584,71,FALSE)=0,0,"Digite"))</f>
        <v>0</v>
      </c>
      <c r="GA38" s="454">
        <f>IF(OR('Parte Estrategica'!AT38=0,'Parte Estrategica'!AT38=""),0,IF(VLOOKUP($A38,'Matriz de Referencia'!$B$2:$CO$584,72,FALSE)=0,0,"Digite"))</f>
        <v>0</v>
      </c>
      <c r="GB38" s="454">
        <f>IF(OR('Parte Estrategica'!AT38=0,'Parte Estrategica'!AT38=""),0,IF(VLOOKUP($A38,'Matriz de Referencia'!$B$2:$CO$584,73,FALSE)=0,0,"Digite"))</f>
        <v>0</v>
      </c>
      <c r="GC38" s="454">
        <f>IF(OR('Parte Estrategica'!AT38=0,'Parte Estrategica'!AT38=""),0,IF(VLOOKUP($A38,'Matriz de Referencia'!$B$2:$CO$584,74,FALSE)=0,0,"Digite"))</f>
        <v>0</v>
      </c>
      <c r="GD38" s="382">
        <f t="shared" si="39"/>
        <v>0</v>
      </c>
      <c r="GE38" s="454">
        <f>IF(OR('Parte Estrategica'!AT38=0,'Parte Estrategica'!AT38=""),0,IF(VLOOKUP($A38,'Matriz de Referencia'!$B$2:$CO$584,76,FALSE)=0,0,"Digite"))</f>
        <v>0</v>
      </c>
      <c r="GF38" s="454">
        <f>IF(OR('Parte Estrategica'!AT38=0,'Parte Estrategica'!AT38=""),0,IF(VLOOKUP($A38,'Matriz de Referencia'!$B$2:$CO$584,77,FALSE)=0,0,"Digite"))</f>
        <v>0</v>
      </c>
      <c r="GG38" s="454">
        <f>IF(OR('Parte Estrategica'!AT38=0,'Parte Estrategica'!AT38=""),0,IF(VLOOKUP($A38,'Matriz de Referencia'!$B$2:$CO$584,78,FALSE)=0,0,"Digite"))</f>
        <v>0</v>
      </c>
      <c r="GH38" s="382">
        <f t="shared" si="40"/>
        <v>0</v>
      </c>
      <c r="GI38" s="382">
        <f t="shared" si="41"/>
        <v>0</v>
      </c>
      <c r="GJ38" s="453">
        <f>IF(OR('Parte Estrategica'!AU38=0,'Parte Estrategica'!AU38=""),0,IF(VLOOKUP($A38,'Matriz de Referencia'!$B$2:$CO$584,67,FALSE)=0,0,"Digite"))</f>
        <v>0</v>
      </c>
      <c r="GK38" s="454">
        <f>IF(OR('Parte Estrategica'!AU38=0,'Parte Estrategica'!AU38=""),0,IF(VLOOKUP($A38,'Matriz de Referencia'!$B$2:$CO$584,68,FALSE)=0,0,"Digite"))</f>
        <v>0</v>
      </c>
      <c r="GL38" s="454">
        <f>IF(OR('Parte Estrategica'!AU38=0,'Parte Estrategica'!AU38=""),0,IF(VLOOKUP($A38,'Matriz de Referencia'!$B$2:$CO$584,69,FALSE)=0,0,"Digite"))</f>
        <v>0</v>
      </c>
      <c r="GM38" s="454">
        <f>IF(OR('Parte Estrategica'!AU38=0,'Parte Estrategica'!AU38=""),0,IF(VLOOKUP($A38,'Matriz de Referencia'!$B$2:$CO$584,70,FALSE)=0,0,"Digite"))</f>
        <v>0</v>
      </c>
      <c r="GN38" s="454">
        <f>IF(OR('Parte Estrategica'!AU38=0,'Parte Estrategica'!AU38=""),0,IF(VLOOKUP($A38,'Matriz de Referencia'!$B$2:$CO$584,71,FALSE)=0,0,"Digite"))</f>
        <v>0</v>
      </c>
      <c r="GO38" s="454">
        <f>IF(OR('Parte Estrategica'!AU38=0,'Parte Estrategica'!AU38=""),0,IF(VLOOKUP($A38,'Matriz de Referencia'!$B$2:$CO$584,72,FALSE)=0,0,"Digite"))</f>
        <v>0</v>
      </c>
      <c r="GP38" s="454">
        <f>IF(OR('Parte Estrategica'!AU38=0,'Parte Estrategica'!AU38=""),0,IF(VLOOKUP($A38,'Matriz de Referencia'!$B$2:$CO$584,73,FALSE)=0,0,"Digite"))</f>
        <v>0</v>
      </c>
      <c r="GQ38" s="454">
        <f>IF(OR('Parte Estrategica'!AU38=0,'Parte Estrategica'!AU38=""),0,IF(VLOOKUP($A38,'Matriz de Referencia'!$B$2:$CO$584,74,FALSE)=0,0,"Digite"))</f>
        <v>0</v>
      </c>
      <c r="GR38" s="382">
        <f t="shared" si="42"/>
        <v>0</v>
      </c>
      <c r="GS38" s="454">
        <f>IF(OR('Parte Estrategica'!AU38=0,'Parte Estrategica'!AU38=""),0,IF(VLOOKUP($A38,'Matriz de Referencia'!$B$2:$CO$584,76,FALSE)=0,0,"Digite"))</f>
        <v>0</v>
      </c>
      <c r="GT38" s="454">
        <f>IF(OR('Parte Estrategica'!AU38=0,'Parte Estrategica'!AU38=""),0,IF(VLOOKUP($A38,'Matriz de Referencia'!$B$2:$CO$584,77,FALSE)=0,0,"Digite"))</f>
        <v>0</v>
      </c>
      <c r="GU38" s="454">
        <f>IF(OR('Parte Estrategica'!AU38=0,'Parte Estrategica'!AU38=""),0,IF(VLOOKUP($A38,'Matriz de Referencia'!$B$2:$CO$584,78,FALSE)=0,0,"Digite"))</f>
        <v>0</v>
      </c>
      <c r="GV38" s="382">
        <f t="shared" si="43"/>
        <v>0</v>
      </c>
      <c r="GW38" s="382">
        <f t="shared" si="44"/>
        <v>0</v>
      </c>
      <c r="GX38" s="453">
        <f>IF(OR('Parte Estrategica'!AV38=0,'Parte Estrategica'!AV38=""),0,IF(VLOOKUP($A38,'Matriz de Referencia'!$B$2:$CO$584,67,FALSE)=0,0,"Digite"))</f>
        <v>0</v>
      </c>
      <c r="GY38" s="454">
        <f>IF(OR('Parte Estrategica'!AV38=0,'Parte Estrategica'!AV38=""),0,IF(VLOOKUP($A38,'Matriz de Referencia'!$B$2:$CO$584,68,FALSE)=0,0,"Digite"))</f>
        <v>0</v>
      </c>
      <c r="GZ38" s="454">
        <f>IF(OR('Parte Estrategica'!AV38=0,'Parte Estrategica'!AV38=""),0,IF(VLOOKUP($A38,'Matriz de Referencia'!$B$2:$CO$584,69,FALSE)=0,0,"Digite"))</f>
        <v>0</v>
      </c>
      <c r="HA38" s="454">
        <f>IF(OR('Parte Estrategica'!AV38=0,'Parte Estrategica'!AV38=""),0,IF(VLOOKUP($A38,'Matriz de Referencia'!$B$2:$CO$584,70,FALSE)=0,0,"Digite"))</f>
        <v>0</v>
      </c>
      <c r="HB38" s="454">
        <f>IF(OR('Parte Estrategica'!AV38=0,'Parte Estrategica'!AV38=""),0,IF(VLOOKUP($A38,'Matriz de Referencia'!$B$2:$CO$584,71,FALSE)=0,0,"Digite"))</f>
        <v>0</v>
      </c>
      <c r="HC38" s="454">
        <f>IF(OR('Parte Estrategica'!AV38=0,'Parte Estrategica'!AV38=""),0,IF(VLOOKUP($A38,'Matriz de Referencia'!$B$2:$CO$584,72,FALSE)=0,0,"Digite"))</f>
        <v>0</v>
      </c>
      <c r="HD38" s="454">
        <f>IF(OR('Parte Estrategica'!AV38=0,'Parte Estrategica'!AV38=""),0,IF(VLOOKUP($A38,'Matriz de Referencia'!$B$2:$CO$584,73,FALSE)=0,0,"Digite"))</f>
        <v>0</v>
      </c>
      <c r="HE38" s="454">
        <f>IF(OR('Parte Estrategica'!AV38=0,'Parte Estrategica'!AV38=""),0,IF(VLOOKUP($A38,'Matriz de Referencia'!$B$2:$CO$584,74,FALSE)=0,0,"Digite"))</f>
        <v>0</v>
      </c>
      <c r="HF38" s="382">
        <f t="shared" si="45"/>
        <v>0</v>
      </c>
      <c r="HG38" s="454">
        <f>IF(OR('Parte Estrategica'!AV38=0,'Parte Estrategica'!AV38=""),0,IF(VLOOKUP($A38,'Matriz de Referencia'!$B$2:$CO$584,76,FALSE)=0,0,"Digite"))</f>
        <v>0</v>
      </c>
      <c r="HH38" s="454">
        <f>IF(OR('Parte Estrategica'!AV38=0,'Parte Estrategica'!AV38=""),0,IF(VLOOKUP($A38,'Matriz de Referencia'!$B$2:$CO$584,77,FALSE)=0,0,"Digite"))</f>
        <v>0</v>
      </c>
      <c r="HI38" s="454">
        <f>IF(OR('Parte Estrategica'!AV38=0,'Parte Estrategica'!AV38=""),0,IF(VLOOKUP($A38,'Matriz de Referencia'!$B$2:$CO$584,78,FALSE)=0,0,"Digite"))</f>
        <v>0</v>
      </c>
      <c r="HJ38" s="382">
        <f t="shared" si="46"/>
        <v>0</v>
      </c>
      <c r="HK38" s="382">
        <f t="shared" si="47"/>
        <v>0</v>
      </c>
      <c r="HL38" s="453">
        <f>IF(OR('Parte Estrategica'!AW38=0,'Parte Estrategica'!AW38=""),0,IF(VLOOKUP($A38,'Matriz de Referencia'!$B$2:$CO$584,67,FALSE)=0,0,"Digite"))</f>
        <v>0</v>
      </c>
      <c r="HM38" s="454">
        <f>IF(OR('Parte Estrategica'!AW38=0,'Parte Estrategica'!AW38=""),0,IF(VLOOKUP($A38,'Matriz de Referencia'!$B$2:$CO$584,68,FALSE)=0,0,"Digite"))</f>
        <v>0</v>
      </c>
      <c r="HN38" s="454">
        <f>IF(OR('Parte Estrategica'!AW38=0,'Parte Estrategica'!AW38=""),0,IF(VLOOKUP($A38,'Matriz de Referencia'!$B$2:$CO$584,69,FALSE)=0,0,"Digite"))</f>
        <v>0</v>
      </c>
      <c r="HO38" s="454">
        <f>IF(OR('Parte Estrategica'!AW38=0,'Parte Estrategica'!AW38=""),0,IF(VLOOKUP($A38,'Matriz de Referencia'!$B$2:$CO$584,70,FALSE)=0,0,"Digite"))</f>
        <v>0</v>
      </c>
      <c r="HP38" s="454">
        <f>IF(OR('Parte Estrategica'!AW38=0,'Parte Estrategica'!AW38=""),0,IF(VLOOKUP($A38,'Matriz de Referencia'!$B$2:$CO$584,71,FALSE)=0,0,"Digite"))</f>
        <v>0</v>
      </c>
      <c r="HQ38" s="454">
        <f>IF(OR('Parte Estrategica'!AW38=0,'Parte Estrategica'!AW38=""),0,IF(VLOOKUP($A38,'Matriz de Referencia'!$B$2:$CO$584,72,FALSE)=0,0,"Digite"))</f>
        <v>0</v>
      </c>
      <c r="HR38" s="454">
        <f>IF(OR('Parte Estrategica'!AW38=0,'Parte Estrategica'!AW38=""),0,IF(VLOOKUP($A38,'Matriz de Referencia'!$B$2:$CO$584,73,FALSE)=0,0,"Digite"))</f>
        <v>0</v>
      </c>
      <c r="HS38" s="454">
        <f>IF(OR('Parte Estrategica'!AW38=0,'Parte Estrategica'!AW38=""),0,IF(VLOOKUP($A38,'Matriz de Referencia'!$B$2:$CO$584,74,FALSE)=0,0,"Digite"))</f>
        <v>0</v>
      </c>
      <c r="HT38" s="382">
        <f t="shared" si="48"/>
        <v>0</v>
      </c>
      <c r="HU38" s="454">
        <f>IF(OR('Parte Estrategica'!AW38=0,'Parte Estrategica'!AW38=""),0,IF(VLOOKUP($A38,'Matriz de Referencia'!$B$2:$CO$584,76,FALSE)=0,0,"Digite"))</f>
        <v>0</v>
      </c>
      <c r="HV38" s="454">
        <f>IF(OR('Parte Estrategica'!AW38=0,'Parte Estrategica'!AW38=""),0,IF(VLOOKUP($A38,'Matriz de Referencia'!$B$2:$CO$584,77,FALSE)=0,0,"Digite"))</f>
        <v>0</v>
      </c>
      <c r="HW38" s="454">
        <f>IF(OR('Parte Estrategica'!AW38=0,'Parte Estrategica'!AW38=""),0,IF(VLOOKUP($A38,'Matriz de Referencia'!$B$2:$CO$584,78,FALSE)=0,0,"Digite"))</f>
        <v>0</v>
      </c>
      <c r="HX38" s="382">
        <f t="shared" si="49"/>
        <v>0</v>
      </c>
      <c r="HY38" s="382">
        <f t="shared" si="50"/>
        <v>0</v>
      </c>
      <c r="HZ38" s="382">
        <f t="shared" si="51"/>
        <v>0</v>
      </c>
      <c r="IA38" s="101" t="str">
        <f>IFERROR(IF(HZ38=0,"",IF(VLOOKUP($A38,'Matriz de Referencia'!$B$2:$CO$584,80,FALSE)=HZ38,"Techos ok, cotinue","Debe revisar el valor programado")),"")</f>
        <v/>
      </c>
      <c r="IB38" s="383">
        <f t="shared" si="52"/>
        <v>0</v>
      </c>
    </row>
    <row r="39" spans="1:236">
      <c r="A39" s="550" t="str">
        <f>IF('Parte Estrategica'!B39=0,"",'Parte Estrategica'!B39)</f>
        <v/>
      </c>
      <c r="B39" s="551" t="str">
        <f>IFERROR(VLOOKUP(A39,'Matriz de Referencia'!$B$2:$P$578,'Matriz de Referencia'!L$1,FALSE),"")</f>
        <v/>
      </c>
      <c r="C39" s="551" t="str">
        <f>IFERROR(VLOOKUP(A39,'Matriz de Referencia'!$B$2:$P$584,'Matriz de Referencia'!M$1,FALSE),"")</f>
        <v/>
      </c>
      <c r="D39" s="455" t="str">
        <f>IF(OR('Parte Estrategica'!AB39=0,'Parte Estrategica'!AB39=""),"",IF(VLOOKUP($A39,'Matriz de Referencia'!$B$2:$CO$584,'Matriz de Referencia'!Z$1,FALSE)=0,"","Digite"))</f>
        <v/>
      </c>
      <c r="E39" s="456">
        <f>IF(OR('Parte Estrategica'!AB39=0,'Parte Estrategica'!AB39=""),0,IF(VLOOKUP($A39,'Matriz de Referencia'!$B$2:$CO$584,26,FALSE)=0,0,"Digite"))</f>
        <v>0</v>
      </c>
      <c r="F39" s="456">
        <f>IF(OR('Parte Estrategica'!AB39=0,'Parte Estrategica'!AB39=""),0,IF(VLOOKUP($A39,'Matriz de Referencia'!$B$2:$CO$584,27,FALSE)=0,0,"Digite"))</f>
        <v>0</v>
      </c>
      <c r="G39" s="456">
        <f>IF(OR('Parte Estrategica'!AB39=0,'Parte Estrategica'!AB39=""),0,IF(VLOOKUP($A39,'Matriz de Referencia'!$B$2:$CO$584,28,FALSE)=0,0,"Digite"))</f>
        <v>0</v>
      </c>
      <c r="H39" s="456">
        <f>IF(OR('Parte Estrategica'!AB39=0,'Parte Estrategica'!AB39=""),0,IF(VLOOKUP($A39,'Matriz de Referencia'!$B$2:$CO$584,29,FALSE)=0,0,"Digite"))</f>
        <v>0</v>
      </c>
      <c r="I39" s="456">
        <f>IF(OR('Parte Estrategica'!AB39=0,'Parte Estrategica'!AB39=""),0,IF(VLOOKUP($A39,'Matriz de Referencia'!$B$2:$CO$584,30,FALSE)=0,0,"Digite"))</f>
        <v>0</v>
      </c>
      <c r="J39" s="456">
        <f>IF(OR('Parte Estrategica'!AB39=0,'Parte Estrategica'!AB39=""),0,IF(VLOOKUP($A39,'Matriz de Referencia'!$B$2:$CO$584,31,FALSE)=0,0,"Digite"))</f>
        <v>0</v>
      </c>
      <c r="K39" s="456">
        <f>IF(OR('Parte Estrategica'!AB39=0,'Parte Estrategica'!AB39=""),0,IF(VLOOKUP($A39,'Matriz de Referencia'!$B$2:$CO$584,32,FALSE)=0,0,"Digite"))</f>
        <v>0</v>
      </c>
      <c r="L39" s="460">
        <f t="shared" si="0"/>
        <v>0</v>
      </c>
      <c r="M39" s="456">
        <f>IF(OR('Parte Estrategica'!AB39=0,'Parte Estrategica'!AB39=""),0,IF(VLOOKUP($A39,'Matriz de Referencia'!$B$2:$CO$584,34,FALSE)=0,0,"Digite"))</f>
        <v>0</v>
      </c>
      <c r="N39" s="456">
        <f>IF(OR('Parte Estrategica'!AB39=0,'Parte Estrategica'!AB39=""),0,IF(VLOOKUP($A39,'Matriz de Referencia'!$B$2:$CO$584,35,FALSE)=0,0,"Digite"))</f>
        <v>0</v>
      </c>
      <c r="O39" s="456">
        <f>IF(OR('Parte Estrategica'!AB39=0,'Parte Estrategica'!AB39=""),0,IF(VLOOKUP($A39,'Matriz de Referencia'!$B$2:$CO$584,36,FALSE)=0,0,"Digite"))</f>
        <v>0</v>
      </c>
      <c r="P39" s="457">
        <f t="shared" si="1"/>
        <v>0</v>
      </c>
      <c r="Q39" s="457">
        <f t="shared" si="2"/>
        <v>0</v>
      </c>
      <c r="R39" s="455">
        <f>IF(OR('Parte Estrategica'!AC39=0,'Parte Estrategica'!AC39=""),0,IF(VLOOKUP($A39,'Matriz de Referencia'!$B$2:$CO$584,25,FALSE)=0,0,"Digite"))</f>
        <v>0</v>
      </c>
      <c r="S39" s="456">
        <f>IF(OR('Parte Estrategica'!AC39=0,'Parte Estrategica'!AC39=""),0,IF(VLOOKUP($A39,'Matriz de Referencia'!$B$2:$CO$584,26,FALSE)=0,0,"Digite"))</f>
        <v>0</v>
      </c>
      <c r="T39" s="456">
        <f>IF(OR('Parte Estrategica'!AC39=0,'Parte Estrategica'!AC39=""),0,IF(VLOOKUP($A39,'Matriz de Referencia'!$B$2:$CO$584,27,FALSE)=0,0,"Digite"))</f>
        <v>0</v>
      </c>
      <c r="U39" s="456">
        <f>IF(OR('Parte Estrategica'!AC39=0,'Parte Estrategica'!AC39=""),0,IF(VLOOKUP($A39,'Matriz de Referencia'!$B$2:$CO$584,28,FALSE)=0,0,"Digite"))</f>
        <v>0</v>
      </c>
      <c r="V39" s="456">
        <f>IF(OR('Parte Estrategica'!AC39=0,'Parte Estrategica'!AC39=""),0,IF(VLOOKUP($A39,'Matriz de Referencia'!$B$2:$CO$584,29,FALSE)=0,0,"Digite"))</f>
        <v>0</v>
      </c>
      <c r="W39" s="456">
        <f>IF(OR('Parte Estrategica'!AC39=0,'Parte Estrategica'!AC39=""),0,IF(VLOOKUP($A39,'Matriz de Referencia'!$B$2:$CO$584,30,FALSE)=0,0,"Digite"))</f>
        <v>0</v>
      </c>
      <c r="X39" s="456">
        <f>IF(OR('Parte Estrategica'!AC39=0,'Parte Estrategica'!AC39=""),0,IF(VLOOKUP($A39,'Matriz de Referencia'!$B$2:$CO$584,31,FALSE)=0,0,"Digite"))</f>
        <v>0</v>
      </c>
      <c r="Y39" s="456">
        <f>IF(OR('Parte Estrategica'!AC39=0,'Parte Estrategica'!AC39=""),0,IF(VLOOKUP($A39,'Matriz de Referencia'!$B$2:$CO$584,32,FALSE)=0,0,"Digite"))</f>
        <v>0</v>
      </c>
      <c r="Z39" s="457">
        <f t="shared" si="3"/>
        <v>0</v>
      </c>
      <c r="AA39" s="456">
        <f>IF(OR('Parte Estrategica'!AC39=0,'Parte Estrategica'!AC39=""),0,IF(VLOOKUP($A39,'Matriz de Referencia'!$B$2:$CO$584,34,FALSE)=0,0,"Digite"))</f>
        <v>0</v>
      </c>
      <c r="AB39" s="456">
        <f>IF(OR('Parte Estrategica'!AC39=0,'Parte Estrategica'!AC39=""),0,IF(VLOOKUP($A39,'Matriz de Referencia'!$B$2:$CO$584,35,FALSE)=0,0,"Digite"))</f>
        <v>0</v>
      </c>
      <c r="AC39" s="456">
        <f>IF(OR('Parte Estrategica'!AC39=0,'Parte Estrategica'!AC39=""),0,IF(VLOOKUP($A39,'Matriz de Referencia'!$B$2:$CO$584,36,FALSE)=0,0,"Digite"))</f>
        <v>0</v>
      </c>
      <c r="AD39" s="457">
        <f t="shared" si="4"/>
        <v>0</v>
      </c>
      <c r="AE39" s="457">
        <f t="shared" si="5"/>
        <v>0</v>
      </c>
      <c r="AF39" s="455">
        <f>IF(OR('Parte Estrategica'!AD39=0,'Parte Estrategica'!AD39=""),0,IF(VLOOKUP($A39,'Matriz de Referencia'!$B$2:$CO$584,25,FALSE)=0,0,"Digite"))</f>
        <v>0</v>
      </c>
      <c r="AG39" s="456">
        <f>IF(OR('Parte Estrategica'!AD39=0,'Parte Estrategica'!AD39=""),0,IF(VLOOKUP($A39,'Matriz de Referencia'!$B$2:$CO$584,26,FALSE)=0,0,"Digite"))</f>
        <v>0</v>
      </c>
      <c r="AH39" s="456">
        <f>IF(OR('Parte Estrategica'!AD39=0,'Parte Estrategica'!AD39=""),0,IF(VLOOKUP($A39,'Matriz de Referencia'!$B$2:$CO$584,27,FALSE)=0,0,"Digite"))</f>
        <v>0</v>
      </c>
      <c r="AI39" s="456">
        <f>IF(OR('Parte Estrategica'!AD39=0,'Parte Estrategica'!AD39=""),0,IF(VLOOKUP($A39,'Matriz de Referencia'!$B$2:$CO$584,28,FALSE)=0,0,"Digite"))</f>
        <v>0</v>
      </c>
      <c r="AJ39" s="456">
        <f>IF(OR('Parte Estrategica'!AD39=0,'Parte Estrategica'!AD39=""),0,IF(VLOOKUP($A39,'Matriz de Referencia'!$B$2:$CO$584,29,FALSE)=0,0,"Digite"))</f>
        <v>0</v>
      </c>
      <c r="AK39" s="456">
        <f>IF(OR('Parte Estrategica'!AD39=0,'Parte Estrategica'!AD39=""),0,IF(VLOOKUP($A39,'Matriz de Referencia'!$B$2:$CO$584,30,FALSE)=0,0,"Digite"))</f>
        <v>0</v>
      </c>
      <c r="AL39" s="456">
        <f>IF(OR('Parte Estrategica'!AD39=0,'Parte Estrategica'!AD39=""),0,IF(VLOOKUP($A39,'Matriz de Referencia'!$B$2:$CO$584,31,FALSE)=0,0,"Digite"))</f>
        <v>0</v>
      </c>
      <c r="AM39" s="456">
        <f>IF(OR('Parte Estrategica'!AD39=0,'Parte Estrategica'!AD39=""),0,IF(VLOOKUP($A39,'Matriz de Referencia'!$B$2:$CO$584,32,FALSE)=0,0,"Digite"))</f>
        <v>0</v>
      </c>
      <c r="AN39" s="457">
        <f t="shared" si="6"/>
        <v>0</v>
      </c>
      <c r="AO39" s="456">
        <f>IF(OR('Parte Estrategica'!AD39=0,'Parte Estrategica'!AD39=""),0,IF(VLOOKUP($A39,'Matriz de Referencia'!$B$2:$CO$584,34,FALSE)=0,0,"Digite"))</f>
        <v>0</v>
      </c>
      <c r="AP39" s="456">
        <f>IF(OR('Parte Estrategica'!AD39=0,'Parte Estrategica'!AD39=""),0,IF(VLOOKUP($A39,'Matriz de Referencia'!$B$2:$CO$584,35,FALSE)=0,0,"Digite"))</f>
        <v>0</v>
      </c>
      <c r="AQ39" s="456">
        <f>IF(OR('Parte Estrategica'!AD39=0,'Parte Estrategica'!AD39=""),0,IF(VLOOKUP($A39,'Matriz de Referencia'!$B$2:$CO$584,36,FALSE)=0,0,"Digite"))</f>
        <v>0</v>
      </c>
      <c r="AR39" s="457">
        <f t="shared" si="7"/>
        <v>0</v>
      </c>
      <c r="AS39" s="457">
        <f t="shared" si="8"/>
        <v>0</v>
      </c>
      <c r="AT39" s="455">
        <f>IF(OR('Parte Estrategica'!AE39=0,'Parte Estrategica'!AE39=""),0,IF(VLOOKUP($A39,'Matriz de Referencia'!$B$2:$CO$584,25,FALSE)=0,0,"Digite"))</f>
        <v>0</v>
      </c>
      <c r="AU39" s="456">
        <f>IF(OR('Parte Estrategica'!AE39=0,'Parte Estrategica'!AE39=""),0,IF(VLOOKUP($A39,'Matriz de Referencia'!$B$2:$CO$584,26,FALSE)=0,0,"Digite"))</f>
        <v>0</v>
      </c>
      <c r="AV39" s="456">
        <f>IF(OR('Parte Estrategica'!AE39=0,'Parte Estrategica'!AE39=""),0,IF(VLOOKUP($A39,'Matriz de Referencia'!$B$2:$CO$584,27,FALSE)=0,0,"Digite"))</f>
        <v>0</v>
      </c>
      <c r="AW39" s="456">
        <f>IF(OR('Parte Estrategica'!AE39=0,'Parte Estrategica'!AE39=""),0,IF(VLOOKUP($A39,'Matriz de Referencia'!$B$2:$CO$584,28,FALSE)=0,0,"Digite"))</f>
        <v>0</v>
      </c>
      <c r="AX39" s="456">
        <f>IF(OR('Parte Estrategica'!AE39=0,'Parte Estrategica'!AE39=""),0,IF(VLOOKUP($A39,'Matriz de Referencia'!$B$2:$CO$584,29,FALSE)=0,0,"Digite"))</f>
        <v>0</v>
      </c>
      <c r="AY39" s="456">
        <f>IF(OR('Parte Estrategica'!AE39=0,'Parte Estrategica'!AE39=""),0,IF(VLOOKUP($A39,'Matriz de Referencia'!$B$2:$CO$584,30,FALSE)=0,0,"Digite"))</f>
        <v>0</v>
      </c>
      <c r="AZ39" s="456">
        <f>IF(OR('Parte Estrategica'!AE39=0,'Parte Estrategica'!AE39=""),0,IF(VLOOKUP($A39,'Matriz de Referencia'!$B$2:$CO$584,31,FALSE)=0,0,"Digite"))</f>
        <v>0</v>
      </c>
      <c r="BA39" s="456">
        <f>IF(OR('Parte Estrategica'!AE39=0,'Parte Estrategica'!AE39=""),0,IF(VLOOKUP($A39,'Matriz de Referencia'!$B$2:$CO$584,32,FALSE)=0,0,"Digite"))</f>
        <v>0</v>
      </c>
      <c r="BB39" s="457">
        <f t="shared" si="9"/>
        <v>0</v>
      </c>
      <c r="BC39" s="456">
        <f>IF(OR('Parte Estrategica'!AE39=0,'Parte Estrategica'!AE39=""),0,IF(VLOOKUP($A39,'Matriz de Referencia'!$B$2:$CO$584,34,FALSE)=0,0,"Digite"))</f>
        <v>0</v>
      </c>
      <c r="BD39" s="456">
        <f>IF(OR('Parte Estrategica'!AE39=0,'Parte Estrategica'!AE39=""),0,IF(VLOOKUP($A39,'Matriz de Referencia'!$B$2:$CO$584,35,FALSE)=0,0,"Digite"))</f>
        <v>0</v>
      </c>
      <c r="BE39" s="456">
        <f>IF(OR('Parte Estrategica'!AE39=0,'Parte Estrategica'!AE39=""),0,IF(VLOOKUP($A39,'Matriz de Referencia'!$B$2:$CO$584,36,FALSE)=0,0,"Digite"))</f>
        <v>0</v>
      </c>
      <c r="BF39" s="457">
        <f t="shared" si="10"/>
        <v>0</v>
      </c>
      <c r="BG39" s="457">
        <f t="shared" si="11"/>
        <v>0</v>
      </c>
      <c r="BH39" s="457">
        <f t="shared" si="12"/>
        <v>0</v>
      </c>
      <c r="BI39" s="101" t="str">
        <f>IFERROR(IF(BH39=0,"",IF(VLOOKUP($A39,'Matriz de Referencia'!$B$2:$CO$584,'Matriz de Referencia'!AM$1,FALSE)=BH39,"Techos ok, cotinue","Debe revisar el valor programado")),"")</f>
        <v/>
      </c>
      <c r="BJ39" s="453">
        <f>IF(OR('Parte Estrategica'!AH39=0,'Parte Estrategica'!AH39=""),0,IF(VLOOKUP($A39,'Matriz de Referencia'!$B$2:$CO$584,39,FALSE)=0,0,"Digite"))</f>
        <v>0</v>
      </c>
      <c r="BK39" s="454">
        <f>IF(OR('Parte Estrategica'!AH39=0,'Parte Estrategica'!AH39=""),0,IF(VLOOKUP($A39,'Matriz de Referencia'!$B$2:$CO$584,40,FALSE)=0,0,"Digite"))</f>
        <v>0</v>
      </c>
      <c r="BL39" s="454">
        <f>IF(OR('Parte Estrategica'!AH39=0,'Parte Estrategica'!AH39=""),0,IF(VLOOKUP($A39,'Matriz de Referencia'!$B$2:$CO$584,41,FALSE)=0,0,"Digite"))</f>
        <v>0</v>
      </c>
      <c r="BM39" s="454">
        <f>IF(OR('Parte Estrategica'!AH39=0,'Parte Estrategica'!AH39=""),0,IF(VLOOKUP($A39,'Matriz de Referencia'!$B$2:$CO$584,42,FALSE)=0,0,"Digite"))</f>
        <v>0</v>
      </c>
      <c r="BN39" s="454">
        <f>IF(OR('Parte Estrategica'!AH39=0,'Parte Estrategica'!AH39=""),0,IF(VLOOKUP($A39,'Matriz de Referencia'!$B$2:$CO$584,43,FALSE)=0,0,"Digite"))</f>
        <v>0</v>
      </c>
      <c r="BO39" s="454">
        <f>IF(OR('Parte Estrategica'!AH39=0,'Parte Estrategica'!AH39=""),0,IF(VLOOKUP($A39,'Matriz de Referencia'!$B$2:$CO$584,44,FALSE)=0,0,"Digite"))</f>
        <v>0</v>
      </c>
      <c r="BP39" s="454">
        <f>IF(OR('Parte Estrategica'!AH39=0,'Parte Estrategica'!AH39=""),0,IF(VLOOKUP($A39,'Matriz de Referencia'!$B$2:$CO$584,45,FALSE)=0,0,"Digite"))</f>
        <v>0</v>
      </c>
      <c r="BQ39" s="454">
        <f>IF(OR('Parte Estrategica'!AH39=0,'Parte Estrategica'!AH39=""),0,IF(VLOOKUP($A39,'Matriz de Referencia'!$B$2:$CO$584,46,FALSE)=0,0,"Digite"))</f>
        <v>0</v>
      </c>
      <c r="BR39" s="382">
        <f t="shared" si="13"/>
        <v>0</v>
      </c>
      <c r="BS39" s="454">
        <f>IF(OR('Parte Estrategica'!CL39=0,'Parte Estrategica'!CL39=""),0,IF(VLOOKUP($A39,'Matriz de Referencia'!$B$2:$CO$584,48,FALSE)=0,0,"Digite"))</f>
        <v>0</v>
      </c>
      <c r="BT39" s="454">
        <f>IF(OR('Parte Estrategica'!CL39=0,'Parte Estrategica'!CL39=""),0,IF(VLOOKUP($A39,'Matriz de Referencia'!$B$2:$CO$584,49,FALSE)=0,0,"Digite"))</f>
        <v>0</v>
      </c>
      <c r="BU39" s="454">
        <f>IF(OR('Parte Estrategica'!CL39=0,'Parte Estrategica'!CL39=""),0,IF(VLOOKUP($A39,'Matriz de Referencia'!$B$2:$CO$584,50,FALSE)=0,0,"Digite"))</f>
        <v>0</v>
      </c>
      <c r="BV39" s="382">
        <f t="shared" si="14"/>
        <v>0</v>
      </c>
      <c r="BW39" s="382">
        <f t="shared" si="15"/>
        <v>0</v>
      </c>
      <c r="BX39" s="453">
        <f>IF(OR('Parte Estrategica'!AI39=0,'Parte Estrategica'!AI39=""),0,IF(VLOOKUP($A39,'Matriz de Referencia'!$B$2:$CO$584,39,FALSE)=0,0,"Digite"))</f>
        <v>0</v>
      </c>
      <c r="BY39" s="454">
        <f>IF(OR('Parte Estrategica'!AI39=0,'Parte Estrategica'!AI39=""),0,IF(VLOOKUP($A39,'Matriz de Referencia'!$B$2:$CO$584,40,FALSE)=0,0,"Digite"))</f>
        <v>0</v>
      </c>
      <c r="BZ39" s="454">
        <f>IF(OR('Parte Estrategica'!AI39=0,'Parte Estrategica'!AI39=""),0,IF(VLOOKUP($A39,'Matriz de Referencia'!$B$2:$CO$584,41,FALSE)=0,0,"Digite"))</f>
        <v>0</v>
      </c>
      <c r="CA39" s="454">
        <f>IF(OR('Parte Estrategica'!AI39=0,'Parte Estrategica'!AI39=""),0,IF(VLOOKUP($A39,'Matriz de Referencia'!$B$2:$CO$584,42,FALSE)=0,0,"Digite"))</f>
        <v>0</v>
      </c>
      <c r="CB39" s="454">
        <f>IF(OR('Parte Estrategica'!AI39=0,'Parte Estrategica'!AI39=""),0,IF(VLOOKUP($A39,'Matriz de Referencia'!$B$2:$CO$584,43,FALSE)=0,0,"Digite"))</f>
        <v>0</v>
      </c>
      <c r="CC39" s="454">
        <f>IF(OR('Parte Estrategica'!AI39=0,'Parte Estrategica'!AI39=""),0,IF(VLOOKUP($A39,'Matriz de Referencia'!$B$2:$CO$584,44,FALSE)=0,0,"Digite"))</f>
        <v>0</v>
      </c>
      <c r="CD39" s="454">
        <f>IF(OR('Parte Estrategica'!AI39=0,'Parte Estrategica'!AI39=""),0,IF(VLOOKUP($A39,'Matriz de Referencia'!$B$2:$CO$584,45,FALSE)=0,0,"Digite"))</f>
        <v>0</v>
      </c>
      <c r="CE39" s="454">
        <f>IF(OR('Parte Estrategica'!AI39=0,'Parte Estrategica'!AI39=""),0,IF(VLOOKUP($A39,'Matriz de Referencia'!$B$2:$CO$584,46,FALSE)=0,0,"Digite"))</f>
        <v>0</v>
      </c>
      <c r="CF39" s="382">
        <f t="shared" si="16"/>
        <v>0</v>
      </c>
      <c r="CG39" s="454">
        <f>IF(OR('Parte Estrategica'!AI39=0,'Parte Estrategica'!AI39=""),0,IF(VLOOKUP($A39,'Matriz de Referencia'!$B$2:$CO$584,48,FALSE)=0,0,"Digite"))</f>
        <v>0</v>
      </c>
      <c r="CH39" s="454">
        <f>IF(OR('Parte Estrategica'!AI39=0,'Parte Estrategica'!AI39=""),0,IF(VLOOKUP($A39,'Matriz de Referencia'!$B$2:$CO$584,49,FALSE)=0,0,"Digite"))</f>
        <v>0</v>
      </c>
      <c r="CI39" s="454">
        <f>IF(OR('Parte Estrategica'!AI39=0,'Parte Estrategica'!AI39=""),0,IF(VLOOKUP($A39,'Matriz de Referencia'!$B$2:$CO$584,50,FALSE)=0,0,"Digite"))</f>
        <v>0</v>
      </c>
      <c r="CJ39" s="382">
        <f t="shared" si="17"/>
        <v>0</v>
      </c>
      <c r="CK39" s="382">
        <f t="shared" si="18"/>
        <v>0</v>
      </c>
      <c r="CL39" s="453">
        <f>IF(OR('Parte Estrategica'!AJ39=0,'Parte Estrategica'!AJ39=""),0,IF(VLOOKUP($A39,'Matriz de Referencia'!$B$2:$CO$584,39,FALSE)=0,0,"Digite"))</f>
        <v>0</v>
      </c>
      <c r="CM39" s="454">
        <f>IF(OR('Parte Estrategica'!AJ39=0,'Parte Estrategica'!AJ39=""),0,IF(VLOOKUP($A39,'Matriz de Referencia'!$B$2:$CO$584,40,FALSE)=0,0,"Digite"))</f>
        <v>0</v>
      </c>
      <c r="CN39" s="454">
        <f>IF(OR('Parte Estrategica'!AJ39=0,'Parte Estrategica'!AJ39=""),0,IF(VLOOKUP($A39,'Matriz de Referencia'!$B$2:$CO$584,41,FALSE)=0,0,"Digite"))</f>
        <v>0</v>
      </c>
      <c r="CO39" s="454">
        <f>IF(OR('Parte Estrategica'!AJ39=0,'Parte Estrategica'!AJ39=""),0,IF(VLOOKUP($A39,'Matriz de Referencia'!$B$2:$CO$584,42,FALSE)=0,0,"Digite"))</f>
        <v>0</v>
      </c>
      <c r="CP39" s="454">
        <f>IF(OR('Parte Estrategica'!AJ39=0,'Parte Estrategica'!AJ39=""),0,IF(VLOOKUP($A39,'Matriz de Referencia'!$B$2:$CO$584,43,FALSE)=0,0,"Digite"))</f>
        <v>0</v>
      </c>
      <c r="CQ39" s="454">
        <f>IF(OR('Parte Estrategica'!AJ39=0,'Parte Estrategica'!AJ39=""),0,IF(VLOOKUP($A39,'Matriz de Referencia'!$B$2:$CO$584,44,FALSE)=0,0,"Digite"))</f>
        <v>0</v>
      </c>
      <c r="CR39" s="454">
        <f>IF(OR('Parte Estrategica'!AJ39=0,'Parte Estrategica'!AJ39=""),0,IF(VLOOKUP($A39,'Matriz de Referencia'!$B$2:$CO$584,45,FALSE)=0,0,"Digite"))</f>
        <v>0</v>
      </c>
      <c r="CS39" s="454">
        <f>IF(OR('Parte Estrategica'!AJ39=0,'Parte Estrategica'!AJ39=""),0,IF(VLOOKUP($A39,'Matriz de Referencia'!$B$2:$CO$584,46,FALSE)=0,0,"Digite"))</f>
        <v>0</v>
      </c>
      <c r="CT39" s="382">
        <f t="shared" si="19"/>
        <v>0</v>
      </c>
      <c r="CU39" s="454">
        <f>IF(OR('Parte Estrategica'!AJ39=0,'Parte Estrategica'!AJ39=""),0,IF(VLOOKUP($A39,'Matriz de Referencia'!$B$2:$CO$584,48,FALSE)=0,0,"Digite"))</f>
        <v>0</v>
      </c>
      <c r="CV39" s="454">
        <f>IF(OR('Parte Estrategica'!AJ39=0,'Parte Estrategica'!AJ39=""),0,IF(VLOOKUP($A39,'Matriz de Referencia'!$B$2:$CO$584,49,FALSE)=0,0,"Digite"))</f>
        <v>0</v>
      </c>
      <c r="CW39" s="454">
        <f>IF(OR('Parte Estrategica'!AJ39=0,'Parte Estrategica'!AJ39=""),0,IF(VLOOKUP($A39,'Matriz de Referencia'!$B$2:$CO$584,50,FALSE)=0,0,"Digite"))</f>
        <v>0</v>
      </c>
      <c r="CX39" s="382">
        <f t="shared" si="20"/>
        <v>0</v>
      </c>
      <c r="CY39" s="382">
        <f t="shared" si="21"/>
        <v>0</v>
      </c>
      <c r="CZ39" s="453">
        <f>IF(OR('Parte Estrategica'!AK39=0,'Parte Estrategica'!AK39=""),0,IF(VLOOKUP($A39,'Matriz de Referencia'!$B$2:$CO$584,39,FALSE)=0,0,"Digite"))</f>
        <v>0</v>
      </c>
      <c r="DA39" s="454">
        <f>IF(OR('Parte Estrategica'!AK39=0,'Parte Estrategica'!AK39=""),0,IF(VLOOKUP($A39,'Matriz de Referencia'!$B$2:$CO$584,40,FALSE)=0,0,"Digite"))</f>
        <v>0</v>
      </c>
      <c r="DB39" s="454">
        <f>IF(OR('Parte Estrategica'!AK39=0,'Parte Estrategica'!AK39=""),0,IF(VLOOKUP($A39,'Matriz de Referencia'!$B$2:$CO$584,41,FALSE)=0,0,"Digite"))</f>
        <v>0</v>
      </c>
      <c r="DC39" s="454">
        <f>IF(OR('Parte Estrategica'!AK39=0,'Parte Estrategica'!AK39=""),0,IF(VLOOKUP($A39,'Matriz de Referencia'!$B$2:$CO$584,42,FALSE)=0,0,"Digite"))</f>
        <v>0</v>
      </c>
      <c r="DD39" s="454">
        <f>IF(OR('Parte Estrategica'!AK39=0,'Parte Estrategica'!AK39=""),0,IF(VLOOKUP($A39,'Matriz de Referencia'!$B$2:$CO$584,43,FALSE)=0,0,"Digite"))</f>
        <v>0</v>
      </c>
      <c r="DE39" s="454">
        <f>IF(OR('Parte Estrategica'!AK39=0,'Parte Estrategica'!AK39=""),0,IF(VLOOKUP($A39,'Matriz de Referencia'!$B$2:$CO$584,44,FALSE)=0,0,"Digite"))</f>
        <v>0</v>
      </c>
      <c r="DF39" s="454">
        <f>IF(OR('Parte Estrategica'!AK39=0,'Parte Estrategica'!AK39=""),0,IF(VLOOKUP($A39,'Matriz de Referencia'!$B$2:$CO$584,45,FALSE)=0,0,"Digite"))</f>
        <v>0</v>
      </c>
      <c r="DG39" s="454">
        <f>IF(OR('Parte Estrategica'!AK39=0,'Parte Estrategica'!AK39=""),0,IF(VLOOKUP($A39,'Matriz de Referencia'!$B$2:$CO$584,46,FALSE)=0,0,"Digite"))</f>
        <v>0</v>
      </c>
      <c r="DH39" s="382">
        <f t="shared" si="22"/>
        <v>0</v>
      </c>
      <c r="DI39" s="454">
        <f>IF(OR('Parte Estrategica'!AK39=0,'Parte Estrategica'!AK39=""),0,IF(VLOOKUP($A39,'Matriz de Referencia'!$B$2:$CO$584,48,FALSE)=0,0,"Digite"))</f>
        <v>0</v>
      </c>
      <c r="DJ39" s="454">
        <f>IF(OR('Parte Estrategica'!AK39=0,'Parte Estrategica'!AK39=""),0,IF(VLOOKUP($A39,'Matriz de Referencia'!$B$2:$CO$584,49,FALSE)=0,0,"Digite"))</f>
        <v>0</v>
      </c>
      <c r="DK39" s="454">
        <f>IF(OR('Parte Estrategica'!AK39=0,'Parte Estrategica'!AK39=""),0,IF(VLOOKUP($A39,'Matriz de Referencia'!$B$2:$CO$584,50,FALSE)=0,0,"Digite"))</f>
        <v>0</v>
      </c>
      <c r="DL39" s="382">
        <f t="shared" si="23"/>
        <v>0</v>
      </c>
      <c r="DM39" s="382">
        <f t="shared" si="24"/>
        <v>0</v>
      </c>
      <c r="DN39" s="382">
        <f t="shared" si="25"/>
        <v>0</v>
      </c>
      <c r="DO39" s="101" t="str">
        <f>IFERROR(IF(DN39=0,"",IF(VLOOKUP($A39,'Matriz de Referencia'!$B$2:$CO$584,52,FALSE)=DN39,"Techos ok, cotinue","Debe revisar el valor programado")),"")</f>
        <v/>
      </c>
      <c r="DP39" s="453">
        <f>IF(OR('Parte Estrategica'!AN39=0,'Parte Estrategica'!AN39=""),0,IF(VLOOKUP($A39,'Matriz de Referencia'!$B$2:$CO$584,53,FALSE)=0,0,"Digite"))</f>
        <v>0</v>
      </c>
      <c r="DQ39" s="454">
        <f>IF(OR('Parte Estrategica'!AN39=0,'Parte Estrategica'!AN39=""),0,IF(VLOOKUP($A39,'Matriz de Referencia'!$B$2:$CO$584,54,FALSE)=0,0,"Digite"))</f>
        <v>0</v>
      </c>
      <c r="DR39" s="454">
        <f>IF(OR('Parte Estrategica'!AN39=0,'Parte Estrategica'!AN39=""),0,IF(VLOOKUP($A39,'Matriz de Referencia'!$B$2:$CO$584,55,FALSE)=0,0,"Digite"))</f>
        <v>0</v>
      </c>
      <c r="DS39" s="454">
        <f>IF(OR('Parte Estrategica'!AN39=0,'Parte Estrategica'!AN39=""),0,IF(VLOOKUP($A39,'Matriz de Referencia'!$B$2:$CO$584,56,FALSE)=0,0,"Digite"))</f>
        <v>0</v>
      </c>
      <c r="DT39" s="454">
        <f>IF(OR('Parte Estrategica'!AN39=0,'Parte Estrategica'!AN39=""),0,IF(VLOOKUP($A39,'Matriz de Referencia'!$B$2:$CO$584,57,FALSE)=0,0,"Digite"))</f>
        <v>0</v>
      </c>
      <c r="DU39" s="454">
        <f>IF(OR('Parte Estrategica'!AN39=0,'Parte Estrategica'!AN39=""),0,IF(VLOOKUP($A39,'Matriz de Referencia'!$B$2:$CO$584,58,FALSE)=0,0,"Digite"))</f>
        <v>0</v>
      </c>
      <c r="DV39" s="454">
        <f>IF(OR('Parte Estrategica'!AN39=0,'Parte Estrategica'!AN39=""),0,IF(VLOOKUP($A39,'Matriz de Referencia'!$B$2:$CO$584,59,FALSE)=0,0,"Digite"))</f>
        <v>0</v>
      </c>
      <c r="DW39" s="454">
        <f>IF(OR('Parte Estrategica'!AN39=0,'Parte Estrategica'!AN39=""),0,IF(VLOOKUP($A39,'Matriz de Referencia'!$B$2:$CO$584,60,FALSE)=0,0,"Digite"))</f>
        <v>0</v>
      </c>
      <c r="DX39" s="382">
        <f t="shared" si="26"/>
        <v>0</v>
      </c>
      <c r="DY39" s="454">
        <f>IF(OR('Parte Estrategica'!AN39=0,'Parte Estrategica'!AN39=""),0,IF(VLOOKUP($A39,'Matriz de Referencia'!$B$2:$CO$584,62,FALSE)=0,0,"Digite"))</f>
        <v>0</v>
      </c>
      <c r="DZ39" s="454">
        <f>IF(OR('Parte Estrategica'!AN39=0,'Parte Estrategica'!AN39=""),0,IF(VLOOKUP($A39,'Matriz de Referencia'!$B$2:$CO$584,63,FALSE)=0,0,"Digite"))</f>
        <v>0</v>
      </c>
      <c r="EA39" s="454" t="str">
        <f>IF(OR('Parte Estrategica'!AN39=0,'Parte Estrategica'!AN39=""),"",IF(VLOOKUP($A39,'Matriz de Referencia'!$B$2:$CO$584,64,FALSE)=0,"","Digite"))</f>
        <v/>
      </c>
      <c r="EB39" s="382">
        <f t="shared" si="27"/>
        <v>0</v>
      </c>
      <c r="EC39" s="382">
        <f t="shared" si="28"/>
        <v>0</v>
      </c>
      <c r="ED39" s="453">
        <f>IF(OR('Parte Estrategica'!AO39=0,'Parte Estrategica'!AO39=""),0,IF(VLOOKUP($A39,'Matriz de Referencia'!$B$2:$CO$584,53,FALSE)=0,0,"Digite"))</f>
        <v>0</v>
      </c>
      <c r="EE39" s="454">
        <f>IF(OR('Parte Estrategica'!AO39=0,'Parte Estrategica'!AO39=""),0,IF(VLOOKUP($A39,'Matriz de Referencia'!$B$2:$CO$584,54,FALSE)=0,0,"Digite"))</f>
        <v>0</v>
      </c>
      <c r="EF39" s="454">
        <f>IF(OR('Parte Estrategica'!AO39=0,'Parte Estrategica'!AO39=""),0,IF(VLOOKUP($A39,'Matriz de Referencia'!$B$2:$CO$584,55,FALSE)=0,0,"Digite"))</f>
        <v>0</v>
      </c>
      <c r="EG39" s="454">
        <f>IF(OR('Parte Estrategica'!AO39=0,'Parte Estrategica'!AO39=""),0,IF(VLOOKUP($A39,'Matriz de Referencia'!$B$2:$CO$584,56,FALSE)=0,0,"Digite"))</f>
        <v>0</v>
      </c>
      <c r="EH39" s="454">
        <f>IF(OR('Parte Estrategica'!AO39=0,'Parte Estrategica'!AO39=""),0,IF(VLOOKUP($A39,'Matriz de Referencia'!$B$2:$CO$584,57,FALSE)=0,0,"Digite"))</f>
        <v>0</v>
      </c>
      <c r="EI39" s="454">
        <f>IF(OR('Parte Estrategica'!AO39=0,'Parte Estrategica'!AO39=""),0,IF(VLOOKUP($A39,'Matriz de Referencia'!$B$2:$CO$584,58,FALSE)=0,0,"Digite"))</f>
        <v>0</v>
      </c>
      <c r="EJ39" s="454">
        <f>IF(OR('Parte Estrategica'!AO39=0,'Parte Estrategica'!AO39=""),0,IF(VLOOKUP($A39,'Matriz de Referencia'!$B$2:$CO$584,59,FALSE)=0,0,"Digite"))</f>
        <v>0</v>
      </c>
      <c r="EK39" s="454">
        <f>IF(OR('Parte Estrategica'!AO39=0,'Parte Estrategica'!AO39=""),0,IF(VLOOKUP($A39,'Matriz de Referencia'!$B$2:$CO$584,60,FALSE)=0,0,"Digite"))</f>
        <v>0</v>
      </c>
      <c r="EL39" s="382">
        <f t="shared" si="29"/>
        <v>0</v>
      </c>
      <c r="EM39" s="454">
        <f>IF(OR('Parte Estrategica'!AO39=0,'Parte Estrategica'!AO39=""),0,IF(VLOOKUP($A39,'Matriz de Referencia'!$B$2:$CO$584,62,FALSE)=0,0,"Digite"))</f>
        <v>0</v>
      </c>
      <c r="EN39" s="454">
        <f>IF(OR('Parte Estrategica'!AO39=0,'Parte Estrategica'!AO39=""),0,IF(VLOOKUP($A39,'Matriz de Referencia'!$B$2:$CO$584,63,FALSE)=0,0,"Digite"))</f>
        <v>0</v>
      </c>
      <c r="EO39" s="454">
        <f>IF(OR('Parte Estrategica'!AO39=0,'Parte Estrategica'!AO39=""),0,IF(VLOOKUP($A39,'Matriz de Referencia'!$B$2:$CO$584,64,FALSE)=0,0,"Digite"))</f>
        <v>0</v>
      </c>
      <c r="EP39" s="382">
        <f t="shared" si="30"/>
        <v>0</v>
      </c>
      <c r="EQ39" s="382">
        <f t="shared" si="31"/>
        <v>0</v>
      </c>
      <c r="ER39" s="453">
        <f>IF(OR('Parte Estrategica'!AP39=0,'Parte Estrategica'!AP39=""),0,IF(VLOOKUP($A39,'Matriz de Referencia'!$B$2:$CO$584,53,FALSE)=0,0,"Digite"))</f>
        <v>0</v>
      </c>
      <c r="ES39" s="454">
        <f>IF(OR('Parte Estrategica'!AP39=0,'Parte Estrategica'!AP39=""),0,IF(VLOOKUP($A39,'Matriz de Referencia'!$B$2:$CO$584,54,FALSE)=0,0,"Digite"))</f>
        <v>0</v>
      </c>
      <c r="ET39" s="454">
        <f>IF(OR('Parte Estrategica'!AP39=0,'Parte Estrategica'!AP39=""),0,IF(VLOOKUP($A39,'Matriz de Referencia'!$B$2:$CO$584,55,FALSE)=0,0,"Digite"))</f>
        <v>0</v>
      </c>
      <c r="EU39" s="454">
        <f>IF(OR('Parte Estrategica'!AP39=0,'Parte Estrategica'!AP39=""),0,IF(VLOOKUP($A39,'Matriz de Referencia'!$B$2:$CO$584,56,FALSE)=0,0,"Digite"))</f>
        <v>0</v>
      </c>
      <c r="EV39" s="454">
        <f>IF(OR('Parte Estrategica'!AP39=0,'Parte Estrategica'!AP39=""),0,IF(VLOOKUP($A39,'Matriz de Referencia'!$B$2:$CO$584,57,FALSE)=0,0,"Digite"))</f>
        <v>0</v>
      </c>
      <c r="EW39" s="454">
        <f>IF(OR('Parte Estrategica'!AP39=0,'Parte Estrategica'!AP39=""),0,IF(VLOOKUP($A39,'Matriz de Referencia'!$B$2:$CO$584,58,FALSE)=0,0,"Digite"))</f>
        <v>0</v>
      </c>
      <c r="EX39" s="454">
        <f>IF(OR('Parte Estrategica'!AP39=0,'Parte Estrategica'!AP39=""),0,IF(VLOOKUP($A39,'Matriz de Referencia'!$B$2:$CO$584,59,FALSE)=0,0,"Digite"))</f>
        <v>0</v>
      </c>
      <c r="EY39" s="454">
        <f>IF(OR('Parte Estrategica'!AP39=0,'Parte Estrategica'!AP39=""),0,IF(VLOOKUP($A39,'Matriz de Referencia'!$B$2:$CO$584,60,FALSE)=0,0,"Digite"))</f>
        <v>0</v>
      </c>
      <c r="EZ39" s="382">
        <f t="shared" si="32"/>
        <v>0</v>
      </c>
      <c r="FA39" s="454">
        <f>IF(OR('Parte Estrategica'!AP39=0,'Parte Estrategica'!AP39=""),0,IF(VLOOKUP($A39,'Matriz de Referencia'!$B$2:$CO$584,62,FALSE)=0,0,"Digite"))</f>
        <v>0</v>
      </c>
      <c r="FB39" s="454">
        <f>IF(OR('Parte Estrategica'!AP39=0,'Parte Estrategica'!AP39=""),0,IF(VLOOKUP($A39,'Matriz de Referencia'!$B$2:$CO$584,63,FALSE)=0,0,"Digite"))</f>
        <v>0</v>
      </c>
      <c r="FC39" s="454">
        <f>IF(OR('Parte Estrategica'!AP39=0,'Parte Estrategica'!AP39=""),0,IF(VLOOKUP($A39,'Matriz de Referencia'!$B$2:$CO$584,64,FALSE)=0,0,"Digite"))</f>
        <v>0</v>
      </c>
      <c r="FD39" s="382">
        <f t="shared" si="33"/>
        <v>0</v>
      </c>
      <c r="FE39" s="382">
        <f t="shared" si="34"/>
        <v>0</v>
      </c>
      <c r="FF39" s="453">
        <f>IF(OR('Parte Estrategica'!AQ39=0,'Parte Estrategica'!AQ39=""),0,IF(VLOOKUP($A39,'Matriz de Referencia'!$B$2:$CO$584,53,FALSE)=0,0,"Digite"))</f>
        <v>0</v>
      </c>
      <c r="FG39" s="454">
        <f>IF(OR('Parte Estrategica'!AQ39=0,'Parte Estrategica'!AQ39=""),0,IF(VLOOKUP($A39,'Matriz de Referencia'!$B$2:$CO$584,54,FALSE)=0,0,"Digite"))</f>
        <v>0</v>
      </c>
      <c r="FH39" s="454">
        <f>IF(OR('Parte Estrategica'!AQ39=0,'Parte Estrategica'!AQ39=""),0,IF(VLOOKUP($A39,'Matriz de Referencia'!$B$2:$CO$584,55,FALSE)=0,0,"Digite"))</f>
        <v>0</v>
      </c>
      <c r="FI39" s="454">
        <f>IF(OR('Parte Estrategica'!AQ39=0,'Parte Estrategica'!AQ39=""),0,IF(VLOOKUP($A39,'Matriz de Referencia'!$B$2:$CO$584,56,FALSE)=0,0,"Digite"))</f>
        <v>0</v>
      </c>
      <c r="FJ39" s="454">
        <f>IF(OR('Parte Estrategica'!AQ39=0,'Parte Estrategica'!AQ39=""),0,IF(VLOOKUP($A39,'Matriz de Referencia'!$B$2:$CO$584,57,FALSE)=0,0,"Digite"))</f>
        <v>0</v>
      </c>
      <c r="FK39" s="454">
        <f>IF(OR('Parte Estrategica'!AQ39=0,'Parte Estrategica'!AQ39=""),0,IF(VLOOKUP($A39,'Matriz de Referencia'!$B$2:$CO$584,58,FALSE)=0,0,"Digite"))</f>
        <v>0</v>
      </c>
      <c r="FL39" s="454">
        <f>IF(OR('Parte Estrategica'!AQ39=0,'Parte Estrategica'!AQ39=""),0,IF(VLOOKUP($A39,'Matriz de Referencia'!$B$2:$CO$584,59,FALSE)=0,0,"Digite"))</f>
        <v>0</v>
      </c>
      <c r="FM39" s="454">
        <f>IF(OR('Parte Estrategica'!AQ39=0,'Parte Estrategica'!AQ39=""),0,IF(VLOOKUP($A39,'Matriz de Referencia'!$B$2:$CO$584,60,FALSE)=0,0,"Digite"))</f>
        <v>0</v>
      </c>
      <c r="FN39" s="382">
        <f t="shared" si="35"/>
        <v>0</v>
      </c>
      <c r="FO39" s="454">
        <f>IF(OR('Parte Estrategica'!AQ39=0,'Parte Estrategica'!AQ39=""),0,IF(VLOOKUP($A39,'Matriz de Referencia'!$B$2:$CO$584,62,FALSE)=0,0,"Digite"))</f>
        <v>0</v>
      </c>
      <c r="FP39" s="454">
        <f>IF(OR('Parte Estrategica'!AQ39=0,'Parte Estrategica'!AQ39=""),0,IF(VLOOKUP($A39,'Matriz de Referencia'!$B$2:$CO$584,63,FALSE)=0,0,"Digite"))</f>
        <v>0</v>
      </c>
      <c r="FQ39" s="454">
        <f>IF(OR('Parte Estrategica'!AQ39=0,'Parte Estrategica'!AQ39=""),0,IF(VLOOKUP($A39,'Matriz de Referencia'!$B$2:$CO$584,64,FALSE)=0,0,"Digite"))</f>
        <v>0</v>
      </c>
      <c r="FR39" s="382">
        <f t="shared" si="36"/>
        <v>0</v>
      </c>
      <c r="FS39" s="382">
        <f t="shared" si="37"/>
        <v>0</v>
      </c>
      <c r="FT39" s="382">
        <f t="shared" si="38"/>
        <v>0</v>
      </c>
      <c r="FU39" s="101" t="str">
        <f>IFERROR(IF(FT39=0,"",IF(VLOOKUP($A39,'Matriz de Referencia'!$B$2:$CO$584,66,FALSE)=FT39,"Techos ok, cotinue","Debe revisar el valor programado")),"")</f>
        <v/>
      </c>
      <c r="FV39" s="453">
        <f>IF(OR('Parte Estrategica'!AT39=0,'Parte Estrategica'!AT39=""),0,IF(VLOOKUP($A39,'Matriz de Referencia'!$B$2:$CO$584,67,FALSE)=0,0,"Digite"))</f>
        <v>0</v>
      </c>
      <c r="FW39" s="454">
        <f>IF(OR('Parte Estrategica'!AT39=0,'Parte Estrategica'!AT39=""),0,IF(VLOOKUP($A39,'Matriz de Referencia'!$B$2:$CO$584,68,FALSE)=0,0,"Digite"))</f>
        <v>0</v>
      </c>
      <c r="FX39" s="454">
        <f>IF(OR('Parte Estrategica'!AT39=0,'Parte Estrategica'!AT39=""),0,IF(VLOOKUP($A39,'Matriz de Referencia'!$B$2:$CO$584,69,FALSE)=0,0,"Digite"))</f>
        <v>0</v>
      </c>
      <c r="FY39" s="454">
        <f>IF(OR('Parte Estrategica'!AT39=0,'Parte Estrategica'!AT39=""),0,IF(VLOOKUP($A39,'Matriz de Referencia'!$B$2:$CO$584,70,FALSE)=0,0,"Digite"))</f>
        <v>0</v>
      </c>
      <c r="FZ39" s="454">
        <f>IF(OR('Parte Estrategica'!AT39=0,'Parte Estrategica'!AT39=""),0,IF(VLOOKUP($A39,'Matriz de Referencia'!$B$2:$CO$584,71,FALSE)=0,0,"Digite"))</f>
        <v>0</v>
      </c>
      <c r="GA39" s="454">
        <f>IF(OR('Parte Estrategica'!AT39=0,'Parte Estrategica'!AT39=""),0,IF(VLOOKUP($A39,'Matriz de Referencia'!$B$2:$CO$584,72,FALSE)=0,0,"Digite"))</f>
        <v>0</v>
      </c>
      <c r="GB39" s="454">
        <f>IF(OR('Parte Estrategica'!AT39=0,'Parte Estrategica'!AT39=""),0,IF(VLOOKUP($A39,'Matriz de Referencia'!$B$2:$CO$584,73,FALSE)=0,0,"Digite"))</f>
        <v>0</v>
      </c>
      <c r="GC39" s="454">
        <f>IF(OR('Parte Estrategica'!AT39=0,'Parte Estrategica'!AT39=""),0,IF(VLOOKUP($A39,'Matriz de Referencia'!$B$2:$CO$584,74,FALSE)=0,0,"Digite"))</f>
        <v>0</v>
      </c>
      <c r="GD39" s="382">
        <f t="shared" si="39"/>
        <v>0</v>
      </c>
      <c r="GE39" s="454">
        <f>IF(OR('Parte Estrategica'!AT39=0,'Parte Estrategica'!AT39=""),0,IF(VLOOKUP($A39,'Matriz de Referencia'!$B$2:$CO$584,76,FALSE)=0,0,"Digite"))</f>
        <v>0</v>
      </c>
      <c r="GF39" s="454">
        <f>IF(OR('Parte Estrategica'!AT39=0,'Parte Estrategica'!AT39=""),0,IF(VLOOKUP($A39,'Matriz de Referencia'!$B$2:$CO$584,77,FALSE)=0,0,"Digite"))</f>
        <v>0</v>
      </c>
      <c r="GG39" s="454">
        <f>IF(OR('Parte Estrategica'!AT39=0,'Parte Estrategica'!AT39=""),0,IF(VLOOKUP($A39,'Matriz de Referencia'!$B$2:$CO$584,78,FALSE)=0,0,"Digite"))</f>
        <v>0</v>
      </c>
      <c r="GH39" s="382">
        <f t="shared" si="40"/>
        <v>0</v>
      </c>
      <c r="GI39" s="382">
        <f t="shared" si="41"/>
        <v>0</v>
      </c>
      <c r="GJ39" s="453">
        <f>IF(OR('Parte Estrategica'!AU39=0,'Parte Estrategica'!AU39=""),0,IF(VLOOKUP($A39,'Matriz de Referencia'!$B$2:$CO$584,67,FALSE)=0,0,"Digite"))</f>
        <v>0</v>
      </c>
      <c r="GK39" s="454">
        <f>IF(OR('Parte Estrategica'!AU39=0,'Parte Estrategica'!AU39=""),0,IF(VLOOKUP($A39,'Matriz de Referencia'!$B$2:$CO$584,68,FALSE)=0,0,"Digite"))</f>
        <v>0</v>
      </c>
      <c r="GL39" s="454">
        <f>IF(OR('Parte Estrategica'!AU39=0,'Parte Estrategica'!AU39=""),0,IF(VLOOKUP($A39,'Matriz de Referencia'!$B$2:$CO$584,69,FALSE)=0,0,"Digite"))</f>
        <v>0</v>
      </c>
      <c r="GM39" s="454">
        <f>IF(OR('Parte Estrategica'!AU39=0,'Parte Estrategica'!AU39=""),0,IF(VLOOKUP($A39,'Matriz de Referencia'!$B$2:$CO$584,70,FALSE)=0,0,"Digite"))</f>
        <v>0</v>
      </c>
      <c r="GN39" s="454">
        <f>IF(OR('Parte Estrategica'!AU39=0,'Parte Estrategica'!AU39=""),0,IF(VLOOKUP($A39,'Matriz de Referencia'!$B$2:$CO$584,71,FALSE)=0,0,"Digite"))</f>
        <v>0</v>
      </c>
      <c r="GO39" s="454">
        <f>IF(OR('Parte Estrategica'!AU39=0,'Parte Estrategica'!AU39=""),0,IF(VLOOKUP($A39,'Matriz de Referencia'!$B$2:$CO$584,72,FALSE)=0,0,"Digite"))</f>
        <v>0</v>
      </c>
      <c r="GP39" s="454">
        <f>IF(OR('Parte Estrategica'!AU39=0,'Parte Estrategica'!AU39=""),0,IF(VLOOKUP($A39,'Matriz de Referencia'!$B$2:$CO$584,73,FALSE)=0,0,"Digite"))</f>
        <v>0</v>
      </c>
      <c r="GQ39" s="454">
        <f>IF(OR('Parte Estrategica'!AU39=0,'Parte Estrategica'!AU39=""),0,IF(VLOOKUP($A39,'Matriz de Referencia'!$B$2:$CO$584,74,FALSE)=0,0,"Digite"))</f>
        <v>0</v>
      </c>
      <c r="GR39" s="382">
        <f t="shared" si="42"/>
        <v>0</v>
      </c>
      <c r="GS39" s="454">
        <f>IF(OR('Parte Estrategica'!AU39=0,'Parte Estrategica'!AU39=""),0,IF(VLOOKUP($A39,'Matriz de Referencia'!$B$2:$CO$584,76,FALSE)=0,0,"Digite"))</f>
        <v>0</v>
      </c>
      <c r="GT39" s="454">
        <f>IF(OR('Parte Estrategica'!AU39=0,'Parte Estrategica'!AU39=""),0,IF(VLOOKUP($A39,'Matriz de Referencia'!$B$2:$CO$584,77,FALSE)=0,0,"Digite"))</f>
        <v>0</v>
      </c>
      <c r="GU39" s="454">
        <f>IF(OR('Parte Estrategica'!AU39=0,'Parte Estrategica'!AU39=""),0,IF(VLOOKUP($A39,'Matriz de Referencia'!$B$2:$CO$584,78,FALSE)=0,0,"Digite"))</f>
        <v>0</v>
      </c>
      <c r="GV39" s="382">
        <f t="shared" si="43"/>
        <v>0</v>
      </c>
      <c r="GW39" s="382">
        <f t="shared" si="44"/>
        <v>0</v>
      </c>
      <c r="GX39" s="453">
        <f>IF(OR('Parte Estrategica'!AV39=0,'Parte Estrategica'!AV39=""),0,IF(VLOOKUP($A39,'Matriz de Referencia'!$B$2:$CO$584,67,FALSE)=0,0,"Digite"))</f>
        <v>0</v>
      </c>
      <c r="GY39" s="454">
        <f>IF(OR('Parte Estrategica'!AV39=0,'Parte Estrategica'!AV39=""),0,IF(VLOOKUP($A39,'Matriz de Referencia'!$B$2:$CO$584,68,FALSE)=0,0,"Digite"))</f>
        <v>0</v>
      </c>
      <c r="GZ39" s="454">
        <f>IF(OR('Parte Estrategica'!AV39=0,'Parte Estrategica'!AV39=""),0,IF(VLOOKUP($A39,'Matriz de Referencia'!$B$2:$CO$584,69,FALSE)=0,0,"Digite"))</f>
        <v>0</v>
      </c>
      <c r="HA39" s="454">
        <f>IF(OR('Parte Estrategica'!AV39=0,'Parte Estrategica'!AV39=""),0,IF(VLOOKUP($A39,'Matriz de Referencia'!$B$2:$CO$584,70,FALSE)=0,0,"Digite"))</f>
        <v>0</v>
      </c>
      <c r="HB39" s="454">
        <f>IF(OR('Parte Estrategica'!AV39=0,'Parte Estrategica'!AV39=""),0,IF(VLOOKUP($A39,'Matriz de Referencia'!$B$2:$CO$584,71,FALSE)=0,0,"Digite"))</f>
        <v>0</v>
      </c>
      <c r="HC39" s="454">
        <f>IF(OR('Parte Estrategica'!AV39=0,'Parte Estrategica'!AV39=""),0,IF(VLOOKUP($A39,'Matriz de Referencia'!$B$2:$CO$584,72,FALSE)=0,0,"Digite"))</f>
        <v>0</v>
      </c>
      <c r="HD39" s="454">
        <f>IF(OR('Parte Estrategica'!AV39=0,'Parte Estrategica'!AV39=""),0,IF(VLOOKUP($A39,'Matriz de Referencia'!$B$2:$CO$584,73,FALSE)=0,0,"Digite"))</f>
        <v>0</v>
      </c>
      <c r="HE39" s="454">
        <f>IF(OR('Parte Estrategica'!AV39=0,'Parte Estrategica'!AV39=""),0,IF(VLOOKUP($A39,'Matriz de Referencia'!$B$2:$CO$584,74,FALSE)=0,0,"Digite"))</f>
        <v>0</v>
      </c>
      <c r="HF39" s="382">
        <f t="shared" si="45"/>
        <v>0</v>
      </c>
      <c r="HG39" s="454">
        <f>IF(OR('Parte Estrategica'!AV39=0,'Parte Estrategica'!AV39=""),0,IF(VLOOKUP($A39,'Matriz de Referencia'!$B$2:$CO$584,76,FALSE)=0,0,"Digite"))</f>
        <v>0</v>
      </c>
      <c r="HH39" s="454">
        <f>IF(OR('Parte Estrategica'!AV39=0,'Parte Estrategica'!AV39=""),0,IF(VLOOKUP($A39,'Matriz de Referencia'!$B$2:$CO$584,77,FALSE)=0,0,"Digite"))</f>
        <v>0</v>
      </c>
      <c r="HI39" s="454">
        <f>IF(OR('Parte Estrategica'!AV39=0,'Parte Estrategica'!AV39=""),0,IF(VLOOKUP($A39,'Matriz de Referencia'!$B$2:$CO$584,78,FALSE)=0,0,"Digite"))</f>
        <v>0</v>
      </c>
      <c r="HJ39" s="382">
        <f t="shared" si="46"/>
        <v>0</v>
      </c>
      <c r="HK39" s="382">
        <f t="shared" si="47"/>
        <v>0</v>
      </c>
      <c r="HL39" s="453">
        <f>IF(OR('Parte Estrategica'!AW39=0,'Parte Estrategica'!AW39=""),0,IF(VLOOKUP($A39,'Matriz de Referencia'!$B$2:$CO$584,67,FALSE)=0,0,"Digite"))</f>
        <v>0</v>
      </c>
      <c r="HM39" s="454">
        <f>IF(OR('Parte Estrategica'!AW39=0,'Parte Estrategica'!AW39=""),0,IF(VLOOKUP($A39,'Matriz de Referencia'!$B$2:$CO$584,68,FALSE)=0,0,"Digite"))</f>
        <v>0</v>
      </c>
      <c r="HN39" s="454">
        <f>IF(OR('Parte Estrategica'!AW39=0,'Parte Estrategica'!AW39=""),0,IF(VLOOKUP($A39,'Matriz de Referencia'!$B$2:$CO$584,69,FALSE)=0,0,"Digite"))</f>
        <v>0</v>
      </c>
      <c r="HO39" s="454">
        <f>IF(OR('Parte Estrategica'!AW39=0,'Parte Estrategica'!AW39=""),0,IF(VLOOKUP($A39,'Matriz de Referencia'!$B$2:$CO$584,70,FALSE)=0,0,"Digite"))</f>
        <v>0</v>
      </c>
      <c r="HP39" s="454">
        <f>IF(OR('Parte Estrategica'!AW39=0,'Parte Estrategica'!AW39=""),0,IF(VLOOKUP($A39,'Matriz de Referencia'!$B$2:$CO$584,71,FALSE)=0,0,"Digite"))</f>
        <v>0</v>
      </c>
      <c r="HQ39" s="454">
        <f>IF(OR('Parte Estrategica'!AW39=0,'Parte Estrategica'!AW39=""),0,IF(VLOOKUP($A39,'Matriz de Referencia'!$B$2:$CO$584,72,FALSE)=0,0,"Digite"))</f>
        <v>0</v>
      </c>
      <c r="HR39" s="454">
        <f>IF(OR('Parte Estrategica'!AW39=0,'Parte Estrategica'!AW39=""),0,IF(VLOOKUP($A39,'Matriz de Referencia'!$B$2:$CO$584,73,FALSE)=0,0,"Digite"))</f>
        <v>0</v>
      </c>
      <c r="HS39" s="454">
        <f>IF(OR('Parte Estrategica'!AW39=0,'Parte Estrategica'!AW39=""),0,IF(VLOOKUP($A39,'Matriz de Referencia'!$B$2:$CO$584,74,FALSE)=0,0,"Digite"))</f>
        <v>0</v>
      </c>
      <c r="HT39" s="382">
        <f t="shared" si="48"/>
        <v>0</v>
      </c>
      <c r="HU39" s="454">
        <f>IF(OR('Parte Estrategica'!AW39=0,'Parte Estrategica'!AW39=""),0,IF(VLOOKUP($A39,'Matriz de Referencia'!$B$2:$CO$584,76,FALSE)=0,0,"Digite"))</f>
        <v>0</v>
      </c>
      <c r="HV39" s="454">
        <f>IF(OR('Parte Estrategica'!AW39=0,'Parte Estrategica'!AW39=""),0,IF(VLOOKUP($A39,'Matriz de Referencia'!$B$2:$CO$584,77,FALSE)=0,0,"Digite"))</f>
        <v>0</v>
      </c>
      <c r="HW39" s="454">
        <f>IF(OR('Parte Estrategica'!AW39=0,'Parte Estrategica'!AW39=""),0,IF(VLOOKUP($A39,'Matriz de Referencia'!$B$2:$CO$584,78,FALSE)=0,0,"Digite"))</f>
        <v>0</v>
      </c>
      <c r="HX39" s="382">
        <f t="shared" si="49"/>
        <v>0</v>
      </c>
      <c r="HY39" s="382">
        <f t="shared" si="50"/>
        <v>0</v>
      </c>
      <c r="HZ39" s="382">
        <f t="shared" si="51"/>
        <v>0</v>
      </c>
      <c r="IA39" s="101" t="str">
        <f>IFERROR(IF(HZ39=0,"",IF(VLOOKUP($A39,'Matriz de Referencia'!$B$2:$CO$584,80,FALSE)=HZ39,"Techos ok, cotinue","Debe revisar el valor programado")),"")</f>
        <v/>
      </c>
      <c r="IB39" s="383">
        <f t="shared" si="52"/>
        <v>0</v>
      </c>
    </row>
    <row r="40" spans="1:236">
      <c r="A40" s="550" t="str">
        <f>IF('Parte Estrategica'!B40=0,"",'Parte Estrategica'!B40)</f>
        <v/>
      </c>
      <c r="B40" s="551" t="str">
        <f>IFERROR(VLOOKUP(A40,'Matriz de Referencia'!$B$2:$P$578,'Matriz de Referencia'!L$1,FALSE),"")</f>
        <v/>
      </c>
      <c r="C40" s="551" t="str">
        <f>IFERROR(VLOOKUP(A40,'Matriz de Referencia'!$B$2:$P$584,'Matriz de Referencia'!M$1,FALSE),"")</f>
        <v/>
      </c>
      <c r="D40" s="455" t="str">
        <f>IF(OR('Parte Estrategica'!AB40=0,'Parte Estrategica'!AB40=""),"",IF(VLOOKUP($A40,'Matriz de Referencia'!$B$2:$CO$584,'Matriz de Referencia'!Z$1,FALSE)=0,"","Digite"))</f>
        <v/>
      </c>
      <c r="E40" s="456">
        <f>IF(OR('Parte Estrategica'!AB40=0,'Parte Estrategica'!AB40=""),0,IF(VLOOKUP($A40,'Matriz de Referencia'!$B$2:$CO$584,26,FALSE)=0,0,"Digite"))</f>
        <v>0</v>
      </c>
      <c r="F40" s="456">
        <f>IF(OR('Parte Estrategica'!AB40=0,'Parte Estrategica'!AB40=""),0,IF(VLOOKUP($A40,'Matriz de Referencia'!$B$2:$CO$584,27,FALSE)=0,0,"Digite"))</f>
        <v>0</v>
      </c>
      <c r="G40" s="456">
        <f>IF(OR('Parte Estrategica'!AB40=0,'Parte Estrategica'!AB40=""),0,IF(VLOOKUP($A40,'Matriz de Referencia'!$B$2:$CO$584,28,FALSE)=0,0,"Digite"))</f>
        <v>0</v>
      </c>
      <c r="H40" s="456">
        <f>IF(OR('Parte Estrategica'!AB40=0,'Parte Estrategica'!AB40=""),0,IF(VLOOKUP($A40,'Matriz de Referencia'!$B$2:$CO$584,29,FALSE)=0,0,"Digite"))</f>
        <v>0</v>
      </c>
      <c r="I40" s="456">
        <f>IF(OR('Parte Estrategica'!AB40=0,'Parte Estrategica'!AB40=""),0,IF(VLOOKUP($A40,'Matriz de Referencia'!$B$2:$CO$584,30,FALSE)=0,0,"Digite"))</f>
        <v>0</v>
      </c>
      <c r="J40" s="456">
        <f>IF(OR('Parte Estrategica'!AB40=0,'Parte Estrategica'!AB40=""),0,IF(VLOOKUP($A40,'Matriz de Referencia'!$B$2:$CO$584,31,FALSE)=0,0,"Digite"))</f>
        <v>0</v>
      </c>
      <c r="K40" s="456">
        <f>IF(OR('Parte Estrategica'!AB40=0,'Parte Estrategica'!AB40=""),0,IF(VLOOKUP($A40,'Matriz de Referencia'!$B$2:$CO$584,32,FALSE)=0,0,"Digite"))</f>
        <v>0</v>
      </c>
      <c r="L40" s="460">
        <f t="shared" si="0"/>
        <v>0</v>
      </c>
      <c r="M40" s="456">
        <f>IF(OR('Parte Estrategica'!AB40=0,'Parte Estrategica'!AB40=""),0,IF(VLOOKUP($A40,'Matriz de Referencia'!$B$2:$CO$584,34,FALSE)=0,0,"Digite"))</f>
        <v>0</v>
      </c>
      <c r="N40" s="456">
        <f>IF(OR('Parte Estrategica'!AB40=0,'Parte Estrategica'!AB40=""),0,IF(VLOOKUP($A40,'Matriz de Referencia'!$B$2:$CO$584,35,FALSE)=0,0,"Digite"))</f>
        <v>0</v>
      </c>
      <c r="O40" s="456">
        <f>IF(OR('Parte Estrategica'!AB40=0,'Parte Estrategica'!AB40=""),0,IF(VLOOKUP($A40,'Matriz de Referencia'!$B$2:$CO$584,36,FALSE)=0,0,"Digite"))</f>
        <v>0</v>
      </c>
      <c r="P40" s="457">
        <f t="shared" si="1"/>
        <v>0</v>
      </c>
      <c r="Q40" s="457">
        <f t="shared" si="2"/>
        <v>0</v>
      </c>
      <c r="R40" s="455">
        <f>IF(OR('Parte Estrategica'!AC40=0,'Parte Estrategica'!AC40=""),0,IF(VLOOKUP($A40,'Matriz de Referencia'!$B$2:$CO$584,25,FALSE)=0,0,"Digite"))</f>
        <v>0</v>
      </c>
      <c r="S40" s="456">
        <f>IF(OR('Parte Estrategica'!AC40=0,'Parte Estrategica'!AC40=""),0,IF(VLOOKUP($A40,'Matriz de Referencia'!$B$2:$CO$584,26,FALSE)=0,0,"Digite"))</f>
        <v>0</v>
      </c>
      <c r="T40" s="456">
        <f>IF(OR('Parte Estrategica'!AC40=0,'Parte Estrategica'!AC40=""),0,IF(VLOOKUP($A40,'Matriz de Referencia'!$B$2:$CO$584,27,FALSE)=0,0,"Digite"))</f>
        <v>0</v>
      </c>
      <c r="U40" s="456">
        <f>IF(OR('Parte Estrategica'!AC40=0,'Parte Estrategica'!AC40=""),0,IF(VLOOKUP($A40,'Matriz de Referencia'!$B$2:$CO$584,28,FALSE)=0,0,"Digite"))</f>
        <v>0</v>
      </c>
      <c r="V40" s="456">
        <f>IF(OR('Parte Estrategica'!AC40=0,'Parte Estrategica'!AC40=""),0,IF(VLOOKUP($A40,'Matriz de Referencia'!$B$2:$CO$584,29,FALSE)=0,0,"Digite"))</f>
        <v>0</v>
      </c>
      <c r="W40" s="456">
        <f>IF(OR('Parte Estrategica'!AC40=0,'Parte Estrategica'!AC40=""),0,IF(VLOOKUP($A40,'Matriz de Referencia'!$B$2:$CO$584,30,FALSE)=0,0,"Digite"))</f>
        <v>0</v>
      </c>
      <c r="X40" s="456">
        <f>IF(OR('Parte Estrategica'!AC40=0,'Parte Estrategica'!AC40=""),0,IF(VLOOKUP($A40,'Matriz de Referencia'!$B$2:$CO$584,31,FALSE)=0,0,"Digite"))</f>
        <v>0</v>
      </c>
      <c r="Y40" s="456">
        <f>IF(OR('Parte Estrategica'!AC40=0,'Parte Estrategica'!AC40=""),0,IF(VLOOKUP($A40,'Matriz de Referencia'!$B$2:$CO$584,32,FALSE)=0,0,"Digite"))</f>
        <v>0</v>
      </c>
      <c r="Z40" s="457">
        <f t="shared" si="3"/>
        <v>0</v>
      </c>
      <c r="AA40" s="456">
        <f>IF(OR('Parte Estrategica'!AC40=0,'Parte Estrategica'!AC40=""),0,IF(VLOOKUP($A40,'Matriz de Referencia'!$B$2:$CO$584,34,FALSE)=0,0,"Digite"))</f>
        <v>0</v>
      </c>
      <c r="AB40" s="456">
        <f>IF(OR('Parte Estrategica'!AC40=0,'Parte Estrategica'!AC40=""),0,IF(VLOOKUP($A40,'Matriz de Referencia'!$B$2:$CO$584,35,FALSE)=0,0,"Digite"))</f>
        <v>0</v>
      </c>
      <c r="AC40" s="456">
        <f>IF(OR('Parte Estrategica'!AC40=0,'Parte Estrategica'!AC40=""),0,IF(VLOOKUP($A40,'Matriz de Referencia'!$B$2:$CO$584,36,FALSE)=0,0,"Digite"))</f>
        <v>0</v>
      </c>
      <c r="AD40" s="457">
        <f t="shared" si="4"/>
        <v>0</v>
      </c>
      <c r="AE40" s="457">
        <f t="shared" si="5"/>
        <v>0</v>
      </c>
      <c r="AF40" s="455">
        <f>IF(OR('Parte Estrategica'!AD40=0,'Parte Estrategica'!AD40=""),0,IF(VLOOKUP($A40,'Matriz de Referencia'!$B$2:$CO$584,25,FALSE)=0,0,"Digite"))</f>
        <v>0</v>
      </c>
      <c r="AG40" s="456">
        <f>IF(OR('Parte Estrategica'!AD40=0,'Parte Estrategica'!AD40=""),0,IF(VLOOKUP($A40,'Matriz de Referencia'!$B$2:$CO$584,26,FALSE)=0,0,"Digite"))</f>
        <v>0</v>
      </c>
      <c r="AH40" s="456">
        <f>IF(OR('Parte Estrategica'!AD40=0,'Parte Estrategica'!AD40=""),0,IF(VLOOKUP($A40,'Matriz de Referencia'!$B$2:$CO$584,27,FALSE)=0,0,"Digite"))</f>
        <v>0</v>
      </c>
      <c r="AI40" s="456">
        <f>IF(OR('Parte Estrategica'!AD40=0,'Parte Estrategica'!AD40=""),0,IF(VLOOKUP($A40,'Matriz de Referencia'!$B$2:$CO$584,28,FALSE)=0,0,"Digite"))</f>
        <v>0</v>
      </c>
      <c r="AJ40" s="456">
        <f>IF(OR('Parte Estrategica'!AD40=0,'Parte Estrategica'!AD40=""),0,IF(VLOOKUP($A40,'Matriz de Referencia'!$B$2:$CO$584,29,FALSE)=0,0,"Digite"))</f>
        <v>0</v>
      </c>
      <c r="AK40" s="456">
        <f>IF(OR('Parte Estrategica'!AD40=0,'Parte Estrategica'!AD40=""),0,IF(VLOOKUP($A40,'Matriz de Referencia'!$B$2:$CO$584,30,FALSE)=0,0,"Digite"))</f>
        <v>0</v>
      </c>
      <c r="AL40" s="456">
        <f>IF(OR('Parte Estrategica'!AD40=0,'Parte Estrategica'!AD40=""),0,IF(VLOOKUP($A40,'Matriz de Referencia'!$B$2:$CO$584,31,FALSE)=0,0,"Digite"))</f>
        <v>0</v>
      </c>
      <c r="AM40" s="456">
        <f>IF(OR('Parte Estrategica'!AD40=0,'Parte Estrategica'!AD40=""),0,IF(VLOOKUP($A40,'Matriz de Referencia'!$B$2:$CO$584,32,FALSE)=0,0,"Digite"))</f>
        <v>0</v>
      </c>
      <c r="AN40" s="457">
        <f t="shared" si="6"/>
        <v>0</v>
      </c>
      <c r="AO40" s="456">
        <f>IF(OR('Parte Estrategica'!AD40=0,'Parte Estrategica'!AD40=""),0,IF(VLOOKUP($A40,'Matriz de Referencia'!$B$2:$CO$584,34,FALSE)=0,0,"Digite"))</f>
        <v>0</v>
      </c>
      <c r="AP40" s="456">
        <f>IF(OR('Parte Estrategica'!AD40=0,'Parte Estrategica'!AD40=""),0,IF(VLOOKUP($A40,'Matriz de Referencia'!$B$2:$CO$584,35,FALSE)=0,0,"Digite"))</f>
        <v>0</v>
      </c>
      <c r="AQ40" s="456">
        <f>IF(OR('Parte Estrategica'!AD40=0,'Parte Estrategica'!AD40=""),0,IF(VLOOKUP($A40,'Matriz de Referencia'!$B$2:$CO$584,36,FALSE)=0,0,"Digite"))</f>
        <v>0</v>
      </c>
      <c r="AR40" s="457">
        <f t="shared" si="7"/>
        <v>0</v>
      </c>
      <c r="AS40" s="457">
        <f t="shared" si="8"/>
        <v>0</v>
      </c>
      <c r="AT40" s="455">
        <f>IF(OR('Parte Estrategica'!AE40=0,'Parte Estrategica'!AE40=""),0,IF(VLOOKUP($A40,'Matriz de Referencia'!$B$2:$CO$584,25,FALSE)=0,0,"Digite"))</f>
        <v>0</v>
      </c>
      <c r="AU40" s="456">
        <f>IF(OR('Parte Estrategica'!AE40=0,'Parte Estrategica'!AE40=""),0,IF(VLOOKUP($A40,'Matriz de Referencia'!$B$2:$CO$584,26,FALSE)=0,0,"Digite"))</f>
        <v>0</v>
      </c>
      <c r="AV40" s="456">
        <f>IF(OR('Parte Estrategica'!AE40=0,'Parte Estrategica'!AE40=""),0,IF(VLOOKUP($A40,'Matriz de Referencia'!$B$2:$CO$584,27,FALSE)=0,0,"Digite"))</f>
        <v>0</v>
      </c>
      <c r="AW40" s="456">
        <f>IF(OR('Parte Estrategica'!AE40=0,'Parte Estrategica'!AE40=""),0,IF(VLOOKUP($A40,'Matriz de Referencia'!$B$2:$CO$584,28,FALSE)=0,0,"Digite"))</f>
        <v>0</v>
      </c>
      <c r="AX40" s="456">
        <f>IF(OR('Parte Estrategica'!AE40=0,'Parte Estrategica'!AE40=""),0,IF(VLOOKUP($A40,'Matriz de Referencia'!$B$2:$CO$584,29,FALSE)=0,0,"Digite"))</f>
        <v>0</v>
      </c>
      <c r="AY40" s="456">
        <f>IF(OR('Parte Estrategica'!AE40=0,'Parte Estrategica'!AE40=""),0,IF(VLOOKUP($A40,'Matriz de Referencia'!$B$2:$CO$584,30,FALSE)=0,0,"Digite"))</f>
        <v>0</v>
      </c>
      <c r="AZ40" s="456">
        <f>IF(OR('Parte Estrategica'!AE40=0,'Parte Estrategica'!AE40=""),0,IF(VLOOKUP($A40,'Matriz de Referencia'!$B$2:$CO$584,31,FALSE)=0,0,"Digite"))</f>
        <v>0</v>
      </c>
      <c r="BA40" s="456">
        <f>IF(OR('Parte Estrategica'!AE40=0,'Parte Estrategica'!AE40=""),0,IF(VLOOKUP($A40,'Matriz de Referencia'!$B$2:$CO$584,32,FALSE)=0,0,"Digite"))</f>
        <v>0</v>
      </c>
      <c r="BB40" s="457">
        <f t="shared" si="9"/>
        <v>0</v>
      </c>
      <c r="BC40" s="456">
        <f>IF(OR('Parte Estrategica'!AE40=0,'Parte Estrategica'!AE40=""),0,IF(VLOOKUP($A40,'Matriz de Referencia'!$B$2:$CO$584,34,FALSE)=0,0,"Digite"))</f>
        <v>0</v>
      </c>
      <c r="BD40" s="456">
        <f>IF(OR('Parte Estrategica'!AE40=0,'Parte Estrategica'!AE40=""),0,IF(VLOOKUP($A40,'Matriz de Referencia'!$B$2:$CO$584,35,FALSE)=0,0,"Digite"))</f>
        <v>0</v>
      </c>
      <c r="BE40" s="456">
        <f>IF(OR('Parte Estrategica'!AE40=0,'Parte Estrategica'!AE40=""),0,IF(VLOOKUP($A40,'Matriz de Referencia'!$B$2:$CO$584,36,FALSE)=0,0,"Digite"))</f>
        <v>0</v>
      </c>
      <c r="BF40" s="457">
        <f t="shared" si="10"/>
        <v>0</v>
      </c>
      <c r="BG40" s="457">
        <f t="shared" si="11"/>
        <v>0</v>
      </c>
      <c r="BH40" s="457">
        <f t="shared" si="12"/>
        <v>0</v>
      </c>
      <c r="BI40" s="101" t="str">
        <f>IFERROR(IF(BH40=0,"",IF(VLOOKUP($A40,'Matriz de Referencia'!$B$2:$CO$584,'Matriz de Referencia'!AM$1,FALSE)=BH40,"Techos ok, cotinue","Debe revisar el valor programado")),"")</f>
        <v/>
      </c>
      <c r="BJ40" s="453">
        <f>IF(OR('Parte Estrategica'!AH40=0,'Parte Estrategica'!AH40=""),0,IF(VLOOKUP($A40,'Matriz de Referencia'!$B$2:$CO$584,39,FALSE)=0,0,"Digite"))</f>
        <v>0</v>
      </c>
      <c r="BK40" s="454">
        <f>IF(OR('Parte Estrategica'!AH40=0,'Parte Estrategica'!AH40=""),0,IF(VLOOKUP($A40,'Matriz de Referencia'!$B$2:$CO$584,40,FALSE)=0,0,"Digite"))</f>
        <v>0</v>
      </c>
      <c r="BL40" s="454">
        <f>IF(OR('Parte Estrategica'!AH40=0,'Parte Estrategica'!AH40=""),0,IF(VLOOKUP($A40,'Matriz de Referencia'!$B$2:$CO$584,41,FALSE)=0,0,"Digite"))</f>
        <v>0</v>
      </c>
      <c r="BM40" s="454">
        <f>IF(OR('Parte Estrategica'!AH40=0,'Parte Estrategica'!AH40=""),0,IF(VLOOKUP($A40,'Matriz de Referencia'!$B$2:$CO$584,42,FALSE)=0,0,"Digite"))</f>
        <v>0</v>
      </c>
      <c r="BN40" s="454">
        <f>IF(OR('Parte Estrategica'!AH40=0,'Parte Estrategica'!AH40=""),0,IF(VLOOKUP($A40,'Matriz de Referencia'!$B$2:$CO$584,43,FALSE)=0,0,"Digite"))</f>
        <v>0</v>
      </c>
      <c r="BO40" s="454">
        <f>IF(OR('Parte Estrategica'!AH40=0,'Parte Estrategica'!AH40=""),0,IF(VLOOKUP($A40,'Matriz de Referencia'!$B$2:$CO$584,44,FALSE)=0,0,"Digite"))</f>
        <v>0</v>
      </c>
      <c r="BP40" s="454">
        <f>IF(OR('Parte Estrategica'!AH40=0,'Parte Estrategica'!AH40=""),0,IF(VLOOKUP($A40,'Matriz de Referencia'!$B$2:$CO$584,45,FALSE)=0,0,"Digite"))</f>
        <v>0</v>
      </c>
      <c r="BQ40" s="454">
        <f>IF(OR('Parte Estrategica'!AH40=0,'Parte Estrategica'!AH40=""),0,IF(VLOOKUP($A40,'Matriz de Referencia'!$B$2:$CO$584,46,FALSE)=0,0,"Digite"))</f>
        <v>0</v>
      </c>
      <c r="BR40" s="382">
        <f t="shared" si="13"/>
        <v>0</v>
      </c>
      <c r="BS40" s="454">
        <f>IF(OR('Parte Estrategica'!CL40=0,'Parte Estrategica'!CL40=""),0,IF(VLOOKUP($A40,'Matriz de Referencia'!$B$2:$CO$584,48,FALSE)=0,0,"Digite"))</f>
        <v>0</v>
      </c>
      <c r="BT40" s="454">
        <f>IF(OR('Parte Estrategica'!CL40=0,'Parte Estrategica'!CL40=""),0,IF(VLOOKUP($A40,'Matriz de Referencia'!$B$2:$CO$584,49,FALSE)=0,0,"Digite"))</f>
        <v>0</v>
      </c>
      <c r="BU40" s="454">
        <f>IF(OR('Parte Estrategica'!CL40=0,'Parte Estrategica'!CL40=""),0,IF(VLOOKUP($A40,'Matriz de Referencia'!$B$2:$CO$584,50,FALSE)=0,0,"Digite"))</f>
        <v>0</v>
      </c>
      <c r="BV40" s="382">
        <f t="shared" si="14"/>
        <v>0</v>
      </c>
      <c r="BW40" s="382">
        <f t="shared" si="15"/>
        <v>0</v>
      </c>
      <c r="BX40" s="453">
        <f>IF(OR('Parte Estrategica'!AI40=0,'Parte Estrategica'!AI40=""),0,IF(VLOOKUP($A40,'Matriz de Referencia'!$B$2:$CO$584,39,FALSE)=0,0,"Digite"))</f>
        <v>0</v>
      </c>
      <c r="BY40" s="454">
        <f>IF(OR('Parte Estrategica'!AI40=0,'Parte Estrategica'!AI40=""),0,IF(VLOOKUP($A40,'Matriz de Referencia'!$B$2:$CO$584,40,FALSE)=0,0,"Digite"))</f>
        <v>0</v>
      </c>
      <c r="BZ40" s="454">
        <f>IF(OR('Parte Estrategica'!AI40=0,'Parte Estrategica'!AI40=""),0,IF(VLOOKUP($A40,'Matriz de Referencia'!$B$2:$CO$584,41,FALSE)=0,0,"Digite"))</f>
        <v>0</v>
      </c>
      <c r="CA40" s="454">
        <f>IF(OR('Parte Estrategica'!AI40=0,'Parte Estrategica'!AI40=""),0,IF(VLOOKUP($A40,'Matriz de Referencia'!$B$2:$CO$584,42,FALSE)=0,0,"Digite"))</f>
        <v>0</v>
      </c>
      <c r="CB40" s="454">
        <f>IF(OR('Parte Estrategica'!AI40=0,'Parte Estrategica'!AI40=""),0,IF(VLOOKUP($A40,'Matriz de Referencia'!$B$2:$CO$584,43,FALSE)=0,0,"Digite"))</f>
        <v>0</v>
      </c>
      <c r="CC40" s="454">
        <f>IF(OR('Parte Estrategica'!AI40=0,'Parte Estrategica'!AI40=""),0,IF(VLOOKUP($A40,'Matriz de Referencia'!$B$2:$CO$584,44,FALSE)=0,0,"Digite"))</f>
        <v>0</v>
      </c>
      <c r="CD40" s="454">
        <f>IF(OR('Parte Estrategica'!AI40=0,'Parte Estrategica'!AI40=""),0,IF(VLOOKUP($A40,'Matriz de Referencia'!$B$2:$CO$584,45,FALSE)=0,0,"Digite"))</f>
        <v>0</v>
      </c>
      <c r="CE40" s="454">
        <f>IF(OR('Parte Estrategica'!AI40=0,'Parte Estrategica'!AI40=""),0,IF(VLOOKUP($A40,'Matriz de Referencia'!$B$2:$CO$584,46,FALSE)=0,0,"Digite"))</f>
        <v>0</v>
      </c>
      <c r="CF40" s="382">
        <f t="shared" si="16"/>
        <v>0</v>
      </c>
      <c r="CG40" s="454">
        <f>IF(OR('Parte Estrategica'!AI40=0,'Parte Estrategica'!AI40=""),0,IF(VLOOKUP($A40,'Matriz de Referencia'!$B$2:$CO$584,48,FALSE)=0,0,"Digite"))</f>
        <v>0</v>
      </c>
      <c r="CH40" s="454">
        <f>IF(OR('Parte Estrategica'!AI40=0,'Parte Estrategica'!AI40=""),0,IF(VLOOKUP($A40,'Matriz de Referencia'!$B$2:$CO$584,49,FALSE)=0,0,"Digite"))</f>
        <v>0</v>
      </c>
      <c r="CI40" s="454">
        <f>IF(OR('Parte Estrategica'!AI40=0,'Parte Estrategica'!AI40=""),0,IF(VLOOKUP($A40,'Matriz de Referencia'!$B$2:$CO$584,50,FALSE)=0,0,"Digite"))</f>
        <v>0</v>
      </c>
      <c r="CJ40" s="382">
        <f t="shared" si="17"/>
        <v>0</v>
      </c>
      <c r="CK40" s="382">
        <f t="shared" si="18"/>
        <v>0</v>
      </c>
      <c r="CL40" s="453">
        <f>IF(OR('Parte Estrategica'!AJ40=0,'Parte Estrategica'!AJ40=""),0,IF(VLOOKUP($A40,'Matriz de Referencia'!$B$2:$CO$584,39,FALSE)=0,0,"Digite"))</f>
        <v>0</v>
      </c>
      <c r="CM40" s="454">
        <f>IF(OR('Parte Estrategica'!AJ40=0,'Parte Estrategica'!AJ40=""),0,IF(VLOOKUP($A40,'Matriz de Referencia'!$B$2:$CO$584,40,FALSE)=0,0,"Digite"))</f>
        <v>0</v>
      </c>
      <c r="CN40" s="454">
        <f>IF(OR('Parte Estrategica'!AJ40=0,'Parte Estrategica'!AJ40=""),0,IF(VLOOKUP($A40,'Matriz de Referencia'!$B$2:$CO$584,41,FALSE)=0,0,"Digite"))</f>
        <v>0</v>
      </c>
      <c r="CO40" s="454">
        <f>IF(OR('Parte Estrategica'!AJ40=0,'Parte Estrategica'!AJ40=""),0,IF(VLOOKUP($A40,'Matriz de Referencia'!$B$2:$CO$584,42,FALSE)=0,0,"Digite"))</f>
        <v>0</v>
      </c>
      <c r="CP40" s="454">
        <f>IF(OR('Parte Estrategica'!AJ40=0,'Parte Estrategica'!AJ40=""),0,IF(VLOOKUP($A40,'Matriz de Referencia'!$B$2:$CO$584,43,FALSE)=0,0,"Digite"))</f>
        <v>0</v>
      </c>
      <c r="CQ40" s="454">
        <f>IF(OR('Parte Estrategica'!AJ40=0,'Parte Estrategica'!AJ40=""),0,IF(VLOOKUP($A40,'Matriz de Referencia'!$B$2:$CO$584,44,FALSE)=0,0,"Digite"))</f>
        <v>0</v>
      </c>
      <c r="CR40" s="454">
        <f>IF(OR('Parte Estrategica'!AJ40=0,'Parte Estrategica'!AJ40=""),0,IF(VLOOKUP($A40,'Matriz de Referencia'!$B$2:$CO$584,45,FALSE)=0,0,"Digite"))</f>
        <v>0</v>
      </c>
      <c r="CS40" s="454">
        <f>IF(OR('Parte Estrategica'!AJ40=0,'Parte Estrategica'!AJ40=""),0,IF(VLOOKUP($A40,'Matriz de Referencia'!$B$2:$CO$584,46,FALSE)=0,0,"Digite"))</f>
        <v>0</v>
      </c>
      <c r="CT40" s="382">
        <f t="shared" si="19"/>
        <v>0</v>
      </c>
      <c r="CU40" s="454">
        <f>IF(OR('Parte Estrategica'!AJ40=0,'Parte Estrategica'!AJ40=""),0,IF(VLOOKUP($A40,'Matriz de Referencia'!$B$2:$CO$584,48,FALSE)=0,0,"Digite"))</f>
        <v>0</v>
      </c>
      <c r="CV40" s="454">
        <f>IF(OR('Parte Estrategica'!AJ40=0,'Parte Estrategica'!AJ40=""),0,IF(VLOOKUP($A40,'Matriz de Referencia'!$B$2:$CO$584,49,FALSE)=0,0,"Digite"))</f>
        <v>0</v>
      </c>
      <c r="CW40" s="454">
        <f>IF(OR('Parte Estrategica'!AJ40=0,'Parte Estrategica'!AJ40=""),0,IF(VLOOKUP($A40,'Matriz de Referencia'!$B$2:$CO$584,50,FALSE)=0,0,"Digite"))</f>
        <v>0</v>
      </c>
      <c r="CX40" s="382">
        <f t="shared" si="20"/>
        <v>0</v>
      </c>
      <c r="CY40" s="382">
        <f t="shared" si="21"/>
        <v>0</v>
      </c>
      <c r="CZ40" s="453">
        <f>IF(OR('Parte Estrategica'!AK40=0,'Parte Estrategica'!AK40=""),0,IF(VLOOKUP($A40,'Matriz de Referencia'!$B$2:$CO$584,39,FALSE)=0,0,"Digite"))</f>
        <v>0</v>
      </c>
      <c r="DA40" s="454">
        <f>IF(OR('Parte Estrategica'!AK40=0,'Parte Estrategica'!AK40=""),0,IF(VLOOKUP($A40,'Matriz de Referencia'!$B$2:$CO$584,40,FALSE)=0,0,"Digite"))</f>
        <v>0</v>
      </c>
      <c r="DB40" s="454">
        <f>IF(OR('Parte Estrategica'!AK40=0,'Parte Estrategica'!AK40=""),0,IF(VLOOKUP($A40,'Matriz de Referencia'!$B$2:$CO$584,41,FALSE)=0,0,"Digite"))</f>
        <v>0</v>
      </c>
      <c r="DC40" s="454">
        <f>IF(OR('Parte Estrategica'!AK40=0,'Parte Estrategica'!AK40=""),0,IF(VLOOKUP($A40,'Matriz de Referencia'!$B$2:$CO$584,42,FALSE)=0,0,"Digite"))</f>
        <v>0</v>
      </c>
      <c r="DD40" s="454">
        <f>IF(OR('Parte Estrategica'!AK40=0,'Parte Estrategica'!AK40=""),0,IF(VLOOKUP($A40,'Matriz de Referencia'!$B$2:$CO$584,43,FALSE)=0,0,"Digite"))</f>
        <v>0</v>
      </c>
      <c r="DE40" s="454">
        <f>IF(OR('Parte Estrategica'!AK40=0,'Parte Estrategica'!AK40=""),0,IF(VLOOKUP($A40,'Matriz de Referencia'!$B$2:$CO$584,44,FALSE)=0,0,"Digite"))</f>
        <v>0</v>
      </c>
      <c r="DF40" s="454">
        <f>IF(OR('Parte Estrategica'!AK40=0,'Parte Estrategica'!AK40=""),0,IF(VLOOKUP($A40,'Matriz de Referencia'!$B$2:$CO$584,45,FALSE)=0,0,"Digite"))</f>
        <v>0</v>
      </c>
      <c r="DG40" s="454">
        <f>IF(OR('Parte Estrategica'!AK40=0,'Parte Estrategica'!AK40=""),0,IF(VLOOKUP($A40,'Matriz de Referencia'!$B$2:$CO$584,46,FALSE)=0,0,"Digite"))</f>
        <v>0</v>
      </c>
      <c r="DH40" s="382">
        <f t="shared" si="22"/>
        <v>0</v>
      </c>
      <c r="DI40" s="454">
        <f>IF(OR('Parte Estrategica'!AK40=0,'Parte Estrategica'!AK40=""),0,IF(VLOOKUP($A40,'Matriz de Referencia'!$B$2:$CO$584,48,FALSE)=0,0,"Digite"))</f>
        <v>0</v>
      </c>
      <c r="DJ40" s="454">
        <f>IF(OR('Parte Estrategica'!AK40=0,'Parte Estrategica'!AK40=""),0,IF(VLOOKUP($A40,'Matriz de Referencia'!$B$2:$CO$584,49,FALSE)=0,0,"Digite"))</f>
        <v>0</v>
      </c>
      <c r="DK40" s="454">
        <f>IF(OR('Parte Estrategica'!AK40=0,'Parte Estrategica'!AK40=""),0,IF(VLOOKUP($A40,'Matriz de Referencia'!$B$2:$CO$584,50,FALSE)=0,0,"Digite"))</f>
        <v>0</v>
      </c>
      <c r="DL40" s="382">
        <f t="shared" si="23"/>
        <v>0</v>
      </c>
      <c r="DM40" s="382">
        <f t="shared" si="24"/>
        <v>0</v>
      </c>
      <c r="DN40" s="382">
        <f t="shared" si="25"/>
        <v>0</v>
      </c>
      <c r="DO40" s="101" t="str">
        <f>IFERROR(IF(DN40=0,"",IF(VLOOKUP($A40,'Matriz de Referencia'!$B$2:$CO$584,52,FALSE)=DN40,"Techos ok, cotinue","Debe revisar el valor programado")),"")</f>
        <v/>
      </c>
      <c r="DP40" s="453">
        <f>IF(OR('Parte Estrategica'!AN40=0,'Parte Estrategica'!AN40=""),0,IF(VLOOKUP($A40,'Matriz de Referencia'!$B$2:$CO$584,53,FALSE)=0,0,"Digite"))</f>
        <v>0</v>
      </c>
      <c r="DQ40" s="454">
        <f>IF(OR('Parte Estrategica'!AN40=0,'Parte Estrategica'!AN40=""),0,IF(VLOOKUP($A40,'Matriz de Referencia'!$B$2:$CO$584,54,FALSE)=0,0,"Digite"))</f>
        <v>0</v>
      </c>
      <c r="DR40" s="454">
        <f>IF(OR('Parte Estrategica'!AN40=0,'Parte Estrategica'!AN40=""),0,IF(VLOOKUP($A40,'Matriz de Referencia'!$B$2:$CO$584,55,FALSE)=0,0,"Digite"))</f>
        <v>0</v>
      </c>
      <c r="DS40" s="454">
        <f>IF(OR('Parte Estrategica'!AN40=0,'Parte Estrategica'!AN40=""),0,IF(VLOOKUP($A40,'Matriz de Referencia'!$B$2:$CO$584,56,FALSE)=0,0,"Digite"))</f>
        <v>0</v>
      </c>
      <c r="DT40" s="454">
        <f>IF(OR('Parte Estrategica'!AN40=0,'Parte Estrategica'!AN40=""),0,IF(VLOOKUP($A40,'Matriz de Referencia'!$B$2:$CO$584,57,FALSE)=0,0,"Digite"))</f>
        <v>0</v>
      </c>
      <c r="DU40" s="454">
        <f>IF(OR('Parte Estrategica'!AN40=0,'Parte Estrategica'!AN40=""),0,IF(VLOOKUP($A40,'Matriz de Referencia'!$B$2:$CO$584,58,FALSE)=0,0,"Digite"))</f>
        <v>0</v>
      </c>
      <c r="DV40" s="454">
        <f>IF(OR('Parte Estrategica'!AN40=0,'Parte Estrategica'!AN40=""),0,IF(VLOOKUP($A40,'Matriz de Referencia'!$B$2:$CO$584,59,FALSE)=0,0,"Digite"))</f>
        <v>0</v>
      </c>
      <c r="DW40" s="454">
        <f>IF(OR('Parte Estrategica'!AN40=0,'Parte Estrategica'!AN40=""),0,IF(VLOOKUP($A40,'Matriz de Referencia'!$B$2:$CO$584,60,FALSE)=0,0,"Digite"))</f>
        <v>0</v>
      </c>
      <c r="DX40" s="382">
        <f t="shared" si="26"/>
        <v>0</v>
      </c>
      <c r="DY40" s="454">
        <f>IF(OR('Parte Estrategica'!AN40=0,'Parte Estrategica'!AN40=""),0,IF(VLOOKUP($A40,'Matriz de Referencia'!$B$2:$CO$584,62,FALSE)=0,0,"Digite"))</f>
        <v>0</v>
      </c>
      <c r="DZ40" s="454">
        <f>IF(OR('Parte Estrategica'!AN40=0,'Parte Estrategica'!AN40=""),0,IF(VLOOKUP($A40,'Matriz de Referencia'!$B$2:$CO$584,63,FALSE)=0,0,"Digite"))</f>
        <v>0</v>
      </c>
      <c r="EA40" s="454" t="str">
        <f>IF(OR('Parte Estrategica'!AN40=0,'Parte Estrategica'!AN40=""),"",IF(VLOOKUP($A40,'Matriz de Referencia'!$B$2:$CO$584,64,FALSE)=0,"","Digite"))</f>
        <v/>
      </c>
      <c r="EB40" s="382">
        <f t="shared" si="27"/>
        <v>0</v>
      </c>
      <c r="EC40" s="382">
        <f t="shared" si="28"/>
        <v>0</v>
      </c>
      <c r="ED40" s="453">
        <f>IF(OR('Parte Estrategica'!AO40=0,'Parte Estrategica'!AO40=""),0,IF(VLOOKUP($A40,'Matriz de Referencia'!$B$2:$CO$584,53,FALSE)=0,0,"Digite"))</f>
        <v>0</v>
      </c>
      <c r="EE40" s="454">
        <f>IF(OR('Parte Estrategica'!AO40=0,'Parte Estrategica'!AO40=""),0,IF(VLOOKUP($A40,'Matriz de Referencia'!$B$2:$CO$584,54,FALSE)=0,0,"Digite"))</f>
        <v>0</v>
      </c>
      <c r="EF40" s="454">
        <f>IF(OR('Parte Estrategica'!AO40=0,'Parte Estrategica'!AO40=""),0,IF(VLOOKUP($A40,'Matriz de Referencia'!$B$2:$CO$584,55,FALSE)=0,0,"Digite"))</f>
        <v>0</v>
      </c>
      <c r="EG40" s="454">
        <f>IF(OR('Parte Estrategica'!AO40=0,'Parte Estrategica'!AO40=""),0,IF(VLOOKUP($A40,'Matriz de Referencia'!$B$2:$CO$584,56,FALSE)=0,0,"Digite"))</f>
        <v>0</v>
      </c>
      <c r="EH40" s="454">
        <f>IF(OR('Parte Estrategica'!AO40=0,'Parte Estrategica'!AO40=""),0,IF(VLOOKUP($A40,'Matriz de Referencia'!$B$2:$CO$584,57,FALSE)=0,0,"Digite"))</f>
        <v>0</v>
      </c>
      <c r="EI40" s="454">
        <f>IF(OR('Parte Estrategica'!AO40=0,'Parte Estrategica'!AO40=""),0,IF(VLOOKUP($A40,'Matriz de Referencia'!$B$2:$CO$584,58,FALSE)=0,0,"Digite"))</f>
        <v>0</v>
      </c>
      <c r="EJ40" s="454">
        <f>IF(OR('Parte Estrategica'!AO40=0,'Parte Estrategica'!AO40=""),0,IF(VLOOKUP($A40,'Matriz de Referencia'!$B$2:$CO$584,59,FALSE)=0,0,"Digite"))</f>
        <v>0</v>
      </c>
      <c r="EK40" s="454">
        <f>IF(OR('Parte Estrategica'!AO40=0,'Parte Estrategica'!AO40=""),0,IF(VLOOKUP($A40,'Matriz de Referencia'!$B$2:$CO$584,60,FALSE)=0,0,"Digite"))</f>
        <v>0</v>
      </c>
      <c r="EL40" s="382">
        <f t="shared" si="29"/>
        <v>0</v>
      </c>
      <c r="EM40" s="454">
        <f>IF(OR('Parte Estrategica'!AO40=0,'Parte Estrategica'!AO40=""),0,IF(VLOOKUP($A40,'Matriz de Referencia'!$B$2:$CO$584,62,FALSE)=0,0,"Digite"))</f>
        <v>0</v>
      </c>
      <c r="EN40" s="454">
        <f>IF(OR('Parte Estrategica'!AO40=0,'Parte Estrategica'!AO40=""),0,IF(VLOOKUP($A40,'Matriz de Referencia'!$B$2:$CO$584,63,FALSE)=0,0,"Digite"))</f>
        <v>0</v>
      </c>
      <c r="EO40" s="454">
        <f>IF(OR('Parte Estrategica'!AO40=0,'Parte Estrategica'!AO40=""),0,IF(VLOOKUP($A40,'Matriz de Referencia'!$B$2:$CO$584,64,FALSE)=0,0,"Digite"))</f>
        <v>0</v>
      </c>
      <c r="EP40" s="382">
        <f t="shared" si="30"/>
        <v>0</v>
      </c>
      <c r="EQ40" s="382">
        <f t="shared" si="31"/>
        <v>0</v>
      </c>
      <c r="ER40" s="453">
        <f>IF(OR('Parte Estrategica'!AP40=0,'Parte Estrategica'!AP40=""),0,IF(VLOOKUP($A40,'Matriz de Referencia'!$B$2:$CO$584,53,FALSE)=0,0,"Digite"))</f>
        <v>0</v>
      </c>
      <c r="ES40" s="454">
        <f>IF(OR('Parte Estrategica'!AP40=0,'Parte Estrategica'!AP40=""),0,IF(VLOOKUP($A40,'Matriz de Referencia'!$B$2:$CO$584,54,FALSE)=0,0,"Digite"))</f>
        <v>0</v>
      </c>
      <c r="ET40" s="454">
        <f>IF(OR('Parte Estrategica'!AP40=0,'Parte Estrategica'!AP40=""),0,IF(VLOOKUP($A40,'Matriz de Referencia'!$B$2:$CO$584,55,FALSE)=0,0,"Digite"))</f>
        <v>0</v>
      </c>
      <c r="EU40" s="454">
        <f>IF(OR('Parte Estrategica'!AP40=0,'Parte Estrategica'!AP40=""),0,IF(VLOOKUP($A40,'Matriz de Referencia'!$B$2:$CO$584,56,FALSE)=0,0,"Digite"))</f>
        <v>0</v>
      </c>
      <c r="EV40" s="454">
        <f>IF(OR('Parte Estrategica'!AP40=0,'Parte Estrategica'!AP40=""),0,IF(VLOOKUP($A40,'Matriz de Referencia'!$B$2:$CO$584,57,FALSE)=0,0,"Digite"))</f>
        <v>0</v>
      </c>
      <c r="EW40" s="454">
        <f>IF(OR('Parte Estrategica'!AP40=0,'Parte Estrategica'!AP40=""),0,IF(VLOOKUP($A40,'Matriz de Referencia'!$B$2:$CO$584,58,FALSE)=0,0,"Digite"))</f>
        <v>0</v>
      </c>
      <c r="EX40" s="454">
        <f>IF(OR('Parte Estrategica'!AP40=0,'Parte Estrategica'!AP40=""),0,IF(VLOOKUP($A40,'Matriz de Referencia'!$B$2:$CO$584,59,FALSE)=0,0,"Digite"))</f>
        <v>0</v>
      </c>
      <c r="EY40" s="454">
        <f>IF(OR('Parte Estrategica'!AP40=0,'Parte Estrategica'!AP40=""),0,IF(VLOOKUP($A40,'Matriz de Referencia'!$B$2:$CO$584,60,FALSE)=0,0,"Digite"))</f>
        <v>0</v>
      </c>
      <c r="EZ40" s="382">
        <f t="shared" si="32"/>
        <v>0</v>
      </c>
      <c r="FA40" s="454">
        <f>IF(OR('Parte Estrategica'!AP40=0,'Parte Estrategica'!AP40=""),0,IF(VLOOKUP($A40,'Matriz de Referencia'!$B$2:$CO$584,62,FALSE)=0,0,"Digite"))</f>
        <v>0</v>
      </c>
      <c r="FB40" s="454">
        <f>IF(OR('Parte Estrategica'!AP40=0,'Parte Estrategica'!AP40=""),0,IF(VLOOKUP($A40,'Matriz de Referencia'!$B$2:$CO$584,63,FALSE)=0,0,"Digite"))</f>
        <v>0</v>
      </c>
      <c r="FC40" s="454">
        <f>IF(OR('Parte Estrategica'!AP40=0,'Parte Estrategica'!AP40=""),0,IF(VLOOKUP($A40,'Matriz de Referencia'!$B$2:$CO$584,64,FALSE)=0,0,"Digite"))</f>
        <v>0</v>
      </c>
      <c r="FD40" s="382">
        <f t="shared" si="33"/>
        <v>0</v>
      </c>
      <c r="FE40" s="382">
        <f t="shared" si="34"/>
        <v>0</v>
      </c>
      <c r="FF40" s="453">
        <f>IF(OR('Parte Estrategica'!AQ40=0,'Parte Estrategica'!AQ40=""),0,IF(VLOOKUP($A40,'Matriz de Referencia'!$B$2:$CO$584,53,FALSE)=0,0,"Digite"))</f>
        <v>0</v>
      </c>
      <c r="FG40" s="454">
        <f>IF(OR('Parte Estrategica'!AQ40=0,'Parte Estrategica'!AQ40=""),0,IF(VLOOKUP($A40,'Matriz de Referencia'!$B$2:$CO$584,54,FALSE)=0,0,"Digite"))</f>
        <v>0</v>
      </c>
      <c r="FH40" s="454">
        <f>IF(OR('Parte Estrategica'!AQ40=0,'Parte Estrategica'!AQ40=""),0,IF(VLOOKUP($A40,'Matriz de Referencia'!$B$2:$CO$584,55,FALSE)=0,0,"Digite"))</f>
        <v>0</v>
      </c>
      <c r="FI40" s="454">
        <f>IF(OR('Parte Estrategica'!AQ40=0,'Parte Estrategica'!AQ40=""),0,IF(VLOOKUP($A40,'Matriz de Referencia'!$B$2:$CO$584,56,FALSE)=0,0,"Digite"))</f>
        <v>0</v>
      </c>
      <c r="FJ40" s="454">
        <f>IF(OR('Parte Estrategica'!AQ40=0,'Parte Estrategica'!AQ40=""),0,IF(VLOOKUP($A40,'Matriz de Referencia'!$B$2:$CO$584,57,FALSE)=0,0,"Digite"))</f>
        <v>0</v>
      </c>
      <c r="FK40" s="454">
        <f>IF(OR('Parte Estrategica'!AQ40=0,'Parte Estrategica'!AQ40=""),0,IF(VLOOKUP($A40,'Matriz de Referencia'!$B$2:$CO$584,58,FALSE)=0,0,"Digite"))</f>
        <v>0</v>
      </c>
      <c r="FL40" s="454">
        <f>IF(OR('Parte Estrategica'!AQ40=0,'Parte Estrategica'!AQ40=""),0,IF(VLOOKUP($A40,'Matriz de Referencia'!$B$2:$CO$584,59,FALSE)=0,0,"Digite"))</f>
        <v>0</v>
      </c>
      <c r="FM40" s="454">
        <f>IF(OR('Parte Estrategica'!AQ40=0,'Parte Estrategica'!AQ40=""),0,IF(VLOOKUP($A40,'Matriz de Referencia'!$B$2:$CO$584,60,FALSE)=0,0,"Digite"))</f>
        <v>0</v>
      </c>
      <c r="FN40" s="382">
        <f t="shared" si="35"/>
        <v>0</v>
      </c>
      <c r="FO40" s="454">
        <f>IF(OR('Parte Estrategica'!AQ40=0,'Parte Estrategica'!AQ40=""),0,IF(VLOOKUP($A40,'Matriz de Referencia'!$B$2:$CO$584,62,FALSE)=0,0,"Digite"))</f>
        <v>0</v>
      </c>
      <c r="FP40" s="454">
        <f>IF(OR('Parte Estrategica'!AQ40=0,'Parte Estrategica'!AQ40=""),0,IF(VLOOKUP($A40,'Matriz de Referencia'!$B$2:$CO$584,63,FALSE)=0,0,"Digite"))</f>
        <v>0</v>
      </c>
      <c r="FQ40" s="454">
        <f>IF(OR('Parte Estrategica'!AQ40=0,'Parte Estrategica'!AQ40=""),0,IF(VLOOKUP($A40,'Matriz de Referencia'!$B$2:$CO$584,64,FALSE)=0,0,"Digite"))</f>
        <v>0</v>
      </c>
      <c r="FR40" s="382">
        <f t="shared" si="36"/>
        <v>0</v>
      </c>
      <c r="FS40" s="382">
        <f t="shared" si="37"/>
        <v>0</v>
      </c>
      <c r="FT40" s="382">
        <f t="shared" si="38"/>
        <v>0</v>
      </c>
      <c r="FU40" s="101" t="str">
        <f>IFERROR(IF(FT40=0,"",IF(VLOOKUP($A40,'Matriz de Referencia'!$B$2:$CO$584,66,FALSE)=FT40,"Techos ok, cotinue","Debe revisar el valor programado")),"")</f>
        <v/>
      </c>
      <c r="FV40" s="453">
        <f>IF(OR('Parte Estrategica'!AT40=0,'Parte Estrategica'!AT40=""),0,IF(VLOOKUP($A40,'Matriz de Referencia'!$B$2:$CO$584,67,FALSE)=0,0,"Digite"))</f>
        <v>0</v>
      </c>
      <c r="FW40" s="454">
        <f>IF(OR('Parte Estrategica'!AT40=0,'Parte Estrategica'!AT40=""),0,IF(VLOOKUP($A40,'Matriz de Referencia'!$B$2:$CO$584,68,FALSE)=0,0,"Digite"))</f>
        <v>0</v>
      </c>
      <c r="FX40" s="454">
        <f>IF(OR('Parte Estrategica'!AT40=0,'Parte Estrategica'!AT40=""),0,IF(VLOOKUP($A40,'Matriz de Referencia'!$B$2:$CO$584,69,FALSE)=0,0,"Digite"))</f>
        <v>0</v>
      </c>
      <c r="FY40" s="454">
        <f>IF(OR('Parte Estrategica'!AT40=0,'Parte Estrategica'!AT40=""),0,IF(VLOOKUP($A40,'Matriz de Referencia'!$B$2:$CO$584,70,FALSE)=0,0,"Digite"))</f>
        <v>0</v>
      </c>
      <c r="FZ40" s="454">
        <f>IF(OR('Parte Estrategica'!AT40=0,'Parte Estrategica'!AT40=""),0,IF(VLOOKUP($A40,'Matriz de Referencia'!$B$2:$CO$584,71,FALSE)=0,0,"Digite"))</f>
        <v>0</v>
      </c>
      <c r="GA40" s="454">
        <f>IF(OR('Parte Estrategica'!AT40=0,'Parte Estrategica'!AT40=""),0,IF(VLOOKUP($A40,'Matriz de Referencia'!$B$2:$CO$584,72,FALSE)=0,0,"Digite"))</f>
        <v>0</v>
      </c>
      <c r="GB40" s="454">
        <f>IF(OR('Parte Estrategica'!AT40=0,'Parte Estrategica'!AT40=""),0,IF(VLOOKUP($A40,'Matriz de Referencia'!$B$2:$CO$584,73,FALSE)=0,0,"Digite"))</f>
        <v>0</v>
      </c>
      <c r="GC40" s="454">
        <f>IF(OR('Parte Estrategica'!AT40=0,'Parte Estrategica'!AT40=""),0,IF(VLOOKUP($A40,'Matriz de Referencia'!$B$2:$CO$584,74,FALSE)=0,0,"Digite"))</f>
        <v>0</v>
      </c>
      <c r="GD40" s="382">
        <f t="shared" si="39"/>
        <v>0</v>
      </c>
      <c r="GE40" s="454">
        <f>IF(OR('Parte Estrategica'!AT40=0,'Parte Estrategica'!AT40=""),0,IF(VLOOKUP($A40,'Matriz de Referencia'!$B$2:$CO$584,76,FALSE)=0,0,"Digite"))</f>
        <v>0</v>
      </c>
      <c r="GF40" s="454">
        <f>IF(OR('Parte Estrategica'!AT40=0,'Parte Estrategica'!AT40=""),0,IF(VLOOKUP($A40,'Matriz de Referencia'!$B$2:$CO$584,77,FALSE)=0,0,"Digite"))</f>
        <v>0</v>
      </c>
      <c r="GG40" s="454">
        <f>IF(OR('Parte Estrategica'!AT40=0,'Parte Estrategica'!AT40=""),0,IF(VLOOKUP($A40,'Matriz de Referencia'!$B$2:$CO$584,78,FALSE)=0,0,"Digite"))</f>
        <v>0</v>
      </c>
      <c r="GH40" s="382">
        <f t="shared" si="40"/>
        <v>0</v>
      </c>
      <c r="GI40" s="382">
        <f t="shared" si="41"/>
        <v>0</v>
      </c>
      <c r="GJ40" s="453">
        <f>IF(OR('Parte Estrategica'!AU40=0,'Parte Estrategica'!AU40=""),0,IF(VLOOKUP($A40,'Matriz de Referencia'!$B$2:$CO$584,67,FALSE)=0,0,"Digite"))</f>
        <v>0</v>
      </c>
      <c r="GK40" s="454">
        <f>IF(OR('Parte Estrategica'!AU40=0,'Parte Estrategica'!AU40=""),0,IF(VLOOKUP($A40,'Matriz de Referencia'!$B$2:$CO$584,68,FALSE)=0,0,"Digite"))</f>
        <v>0</v>
      </c>
      <c r="GL40" s="454">
        <f>IF(OR('Parte Estrategica'!AU40=0,'Parte Estrategica'!AU40=""),0,IF(VLOOKUP($A40,'Matriz de Referencia'!$B$2:$CO$584,69,FALSE)=0,0,"Digite"))</f>
        <v>0</v>
      </c>
      <c r="GM40" s="454">
        <f>IF(OR('Parte Estrategica'!AU40=0,'Parte Estrategica'!AU40=""),0,IF(VLOOKUP($A40,'Matriz de Referencia'!$B$2:$CO$584,70,FALSE)=0,0,"Digite"))</f>
        <v>0</v>
      </c>
      <c r="GN40" s="454">
        <f>IF(OR('Parte Estrategica'!AU40=0,'Parte Estrategica'!AU40=""),0,IF(VLOOKUP($A40,'Matriz de Referencia'!$B$2:$CO$584,71,FALSE)=0,0,"Digite"))</f>
        <v>0</v>
      </c>
      <c r="GO40" s="454">
        <f>IF(OR('Parte Estrategica'!AU40=0,'Parte Estrategica'!AU40=""),0,IF(VLOOKUP($A40,'Matriz de Referencia'!$B$2:$CO$584,72,FALSE)=0,0,"Digite"))</f>
        <v>0</v>
      </c>
      <c r="GP40" s="454">
        <f>IF(OR('Parte Estrategica'!AU40=0,'Parte Estrategica'!AU40=""),0,IF(VLOOKUP($A40,'Matriz de Referencia'!$B$2:$CO$584,73,FALSE)=0,0,"Digite"))</f>
        <v>0</v>
      </c>
      <c r="GQ40" s="454">
        <f>IF(OR('Parte Estrategica'!AU40=0,'Parte Estrategica'!AU40=""),0,IF(VLOOKUP($A40,'Matriz de Referencia'!$B$2:$CO$584,74,FALSE)=0,0,"Digite"))</f>
        <v>0</v>
      </c>
      <c r="GR40" s="382">
        <f t="shared" si="42"/>
        <v>0</v>
      </c>
      <c r="GS40" s="454">
        <f>IF(OR('Parte Estrategica'!AU40=0,'Parte Estrategica'!AU40=""),0,IF(VLOOKUP($A40,'Matriz de Referencia'!$B$2:$CO$584,76,FALSE)=0,0,"Digite"))</f>
        <v>0</v>
      </c>
      <c r="GT40" s="454">
        <f>IF(OR('Parte Estrategica'!AU40=0,'Parte Estrategica'!AU40=""),0,IF(VLOOKUP($A40,'Matriz de Referencia'!$B$2:$CO$584,77,FALSE)=0,0,"Digite"))</f>
        <v>0</v>
      </c>
      <c r="GU40" s="454">
        <f>IF(OR('Parte Estrategica'!AU40=0,'Parte Estrategica'!AU40=""),0,IF(VLOOKUP($A40,'Matriz de Referencia'!$B$2:$CO$584,78,FALSE)=0,0,"Digite"))</f>
        <v>0</v>
      </c>
      <c r="GV40" s="382">
        <f t="shared" si="43"/>
        <v>0</v>
      </c>
      <c r="GW40" s="382">
        <f t="shared" si="44"/>
        <v>0</v>
      </c>
      <c r="GX40" s="453">
        <f>IF(OR('Parte Estrategica'!AV40=0,'Parte Estrategica'!AV40=""),0,IF(VLOOKUP($A40,'Matriz de Referencia'!$B$2:$CO$584,67,FALSE)=0,0,"Digite"))</f>
        <v>0</v>
      </c>
      <c r="GY40" s="454">
        <f>IF(OR('Parte Estrategica'!AV40=0,'Parte Estrategica'!AV40=""),0,IF(VLOOKUP($A40,'Matriz de Referencia'!$B$2:$CO$584,68,FALSE)=0,0,"Digite"))</f>
        <v>0</v>
      </c>
      <c r="GZ40" s="454">
        <f>IF(OR('Parte Estrategica'!AV40=0,'Parte Estrategica'!AV40=""),0,IF(VLOOKUP($A40,'Matriz de Referencia'!$B$2:$CO$584,69,FALSE)=0,0,"Digite"))</f>
        <v>0</v>
      </c>
      <c r="HA40" s="454">
        <f>IF(OR('Parte Estrategica'!AV40=0,'Parte Estrategica'!AV40=""),0,IF(VLOOKUP($A40,'Matriz de Referencia'!$B$2:$CO$584,70,FALSE)=0,0,"Digite"))</f>
        <v>0</v>
      </c>
      <c r="HB40" s="454">
        <f>IF(OR('Parte Estrategica'!AV40=0,'Parte Estrategica'!AV40=""),0,IF(VLOOKUP($A40,'Matriz de Referencia'!$B$2:$CO$584,71,FALSE)=0,0,"Digite"))</f>
        <v>0</v>
      </c>
      <c r="HC40" s="454">
        <f>IF(OR('Parte Estrategica'!AV40=0,'Parte Estrategica'!AV40=""),0,IF(VLOOKUP($A40,'Matriz de Referencia'!$B$2:$CO$584,72,FALSE)=0,0,"Digite"))</f>
        <v>0</v>
      </c>
      <c r="HD40" s="454">
        <f>IF(OR('Parte Estrategica'!AV40=0,'Parte Estrategica'!AV40=""),0,IF(VLOOKUP($A40,'Matriz de Referencia'!$B$2:$CO$584,73,FALSE)=0,0,"Digite"))</f>
        <v>0</v>
      </c>
      <c r="HE40" s="454">
        <f>IF(OR('Parte Estrategica'!AV40=0,'Parte Estrategica'!AV40=""),0,IF(VLOOKUP($A40,'Matriz de Referencia'!$B$2:$CO$584,74,FALSE)=0,0,"Digite"))</f>
        <v>0</v>
      </c>
      <c r="HF40" s="382">
        <f t="shared" si="45"/>
        <v>0</v>
      </c>
      <c r="HG40" s="454">
        <f>IF(OR('Parte Estrategica'!AV40=0,'Parte Estrategica'!AV40=""),0,IF(VLOOKUP($A40,'Matriz de Referencia'!$B$2:$CO$584,76,FALSE)=0,0,"Digite"))</f>
        <v>0</v>
      </c>
      <c r="HH40" s="454">
        <f>IF(OR('Parte Estrategica'!AV40=0,'Parte Estrategica'!AV40=""),0,IF(VLOOKUP($A40,'Matriz de Referencia'!$B$2:$CO$584,77,FALSE)=0,0,"Digite"))</f>
        <v>0</v>
      </c>
      <c r="HI40" s="454">
        <f>IF(OR('Parte Estrategica'!AV40=0,'Parte Estrategica'!AV40=""),0,IF(VLOOKUP($A40,'Matriz de Referencia'!$B$2:$CO$584,78,FALSE)=0,0,"Digite"))</f>
        <v>0</v>
      </c>
      <c r="HJ40" s="382">
        <f t="shared" si="46"/>
        <v>0</v>
      </c>
      <c r="HK40" s="382">
        <f t="shared" si="47"/>
        <v>0</v>
      </c>
      <c r="HL40" s="453">
        <f>IF(OR('Parte Estrategica'!AW40=0,'Parte Estrategica'!AW40=""),0,IF(VLOOKUP($A40,'Matriz de Referencia'!$B$2:$CO$584,67,FALSE)=0,0,"Digite"))</f>
        <v>0</v>
      </c>
      <c r="HM40" s="454">
        <f>IF(OR('Parte Estrategica'!AW40=0,'Parte Estrategica'!AW40=""),0,IF(VLOOKUP($A40,'Matriz de Referencia'!$B$2:$CO$584,68,FALSE)=0,0,"Digite"))</f>
        <v>0</v>
      </c>
      <c r="HN40" s="454">
        <f>IF(OR('Parte Estrategica'!AW40=0,'Parte Estrategica'!AW40=""),0,IF(VLOOKUP($A40,'Matriz de Referencia'!$B$2:$CO$584,69,FALSE)=0,0,"Digite"))</f>
        <v>0</v>
      </c>
      <c r="HO40" s="454">
        <f>IF(OR('Parte Estrategica'!AW40=0,'Parte Estrategica'!AW40=""),0,IF(VLOOKUP($A40,'Matriz de Referencia'!$B$2:$CO$584,70,FALSE)=0,0,"Digite"))</f>
        <v>0</v>
      </c>
      <c r="HP40" s="454">
        <f>IF(OR('Parte Estrategica'!AW40=0,'Parte Estrategica'!AW40=""),0,IF(VLOOKUP($A40,'Matriz de Referencia'!$B$2:$CO$584,71,FALSE)=0,0,"Digite"))</f>
        <v>0</v>
      </c>
      <c r="HQ40" s="454">
        <f>IF(OR('Parte Estrategica'!AW40=0,'Parte Estrategica'!AW40=""),0,IF(VLOOKUP($A40,'Matriz de Referencia'!$B$2:$CO$584,72,FALSE)=0,0,"Digite"))</f>
        <v>0</v>
      </c>
      <c r="HR40" s="454">
        <f>IF(OR('Parte Estrategica'!AW40=0,'Parte Estrategica'!AW40=""),0,IF(VLOOKUP($A40,'Matriz de Referencia'!$B$2:$CO$584,73,FALSE)=0,0,"Digite"))</f>
        <v>0</v>
      </c>
      <c r="HS40" s="454">
        <f>IF(OR('Parte Estrategica'!AW40=0,'Parte Estrategica'!AW40=""),0,IF(VLOOKUP($A40,'Matriz de Referencia'!$B$2:$CO$584,74,FALSE)=0,0,"Digite"))</f>
        <v>0</v>
      </c>
      <c r="HT40" s="382">
        <f t="shared" si="48"/>
        <v>0</v>
      </c>
      <c r="HU40" s="454">
        <f>IF(OR('Parte Estrategica'!AW40=0,'Parte Estrategica'!AW40=""),0,IF(VLOOKUP($A40,'Matriz de Referencia'!$B$2:$CO$584,76,FALSE)=0,0,"Digite"))</f>
        <v>0</v>
      </c>
      <c r="HV40" s="454">
        <f>IF(OR('Parte Estrategica'!AW40=0,'Parte Estrategica'!AW40=""),0,IF(VLOOKUP($A40,'Matriz de Referencia'!$B$2:$CO$584,77,FALSE)=0,0,"Digite"))</f>
        <v>0</v>
      </c>
      <c r="HW40" s="454">
        <f>IF(OR('Parte Estrategica'!AW40=0,'Parte Estrategica'!AW40=""),0,IF(VLOOKUP($A40,'Matriz de Referencia'!$B$2:$CO$584,78,FALSE)=0,0,"Digite"))</f>
        <v>0</v>
      </c>
      <c r="HX40" s="382">
        <f t="shared" si="49"/>
        <v>0</v>
      </c>
      <c r="HY40" s="382">
        <f t="shared" si="50"/>
        <v>0</v>
      </c>
      <c r="HZ40" s="382">
        <f t="shared" si="51"/>
        <v>0</v>
      </c>
      <c r="IA40" s="101" t="str">
        <f>IFERROR(IF(HZ40=0,"",IF(VLOOKUP($A40,'Matriz de Referencia'!$B$2:$CO$584,80,FALSE)=HZ40,"Techos ok, cotinue","Debe revisar el valor programado")),"")</f>
        <v/>
      </c>
      <c r="IB40" s="383">
        <f t="shared" si="52"/>
        <v>0</v>
      </c>
    </row>
    <row r="41" spans="1:236">
      <c r="A41" s="550" t="str">
        <f>IF('Parte Estrategica'!B41=0,"",'Parte Estrategica'!B41)</f>
        <v/>
      </c>
      <c r="B41" s="551" t="str">
        <f>IFERROR(VLOOKUP(A41,'Matriz de Referencia'!$B$2:$P$578,'Matriz de Referencia'!L$1,FALSE),"")</f>
        <v/>
      </c>
      <c r="C41" s="551" t="str">
        <f>IFERROR(VLOOKUP(A41,'Matriz de Referencia'!$B$2:$P$584,'Matriz de Referencia'!M$1,FALSE),"")</f>
        <v/>
      </c>
      <c r="D41" s="455" t="str">
        <f>IF(OR('Parte Estrategica'!AB41=0,'Parte Estrategica'!AB41=""),"",IF(VLOOKUP($A41,'Matriz de Referencia'!$B$2:$CO$584,'Matriz de Referencia'!Z$1,FALSE)=0,"","Digite"))</f>
        <v/>
      </c>
      <c r="E41" s="456">
        <f>IF(OR('Parte Estrategica'!AB41=0,'Parte Estrategica'!AB41=""),0,IF(VLOOKUP($A41,'Matriz de Referencia'!$B$2:$CO$584,26,FALSE)=0,0,"Digite"))</f>
        <v>0</v>
      </c>
      <c r="F41" s="456">
        <f>IF(OR('Parte Estrategica'!AB41=0,'Parte Estrategica'!AB41=""),0,IF(VLOOKUP($A41,'Matriz de Referencia'!$B$2:$CO$584,27,FALSE)=0,0,"Digite"))</f>
        <v>0</v>
      </c>
      <c r="G41" s="456">
        <f>IF(OR('Parte Estrategica'!AB41=0,'Parte Estrategica'!AB41=""),0,IF(VLOOKUP($A41,'Matriz de Referencia'!$B$2:$CO$584,28,FALSE)=0,0,"Digite"))</f>
        <v>0</v>
      </c>
      <c r="H41" s="456">
        <f>IF(OR('Parte Estrategica'!AB41=0,'Parte Estrategica'!AB41=""),0,IF(VLOOKUP($A41,'Matriz de Referencia'!$B$2:$CO$584,29,FALSE)=0,0,"Digite"))</f>
        <v>0</v>
      </c>
      <c r="I41" s="456">
        <f>IF(OR('Parte Estrategica'!AB41=0,'Parte Estrategica'!AB41=""),0,IF(VLOOKUP($A41,'Matriz de Referencia'!$B$2:$CO$584,30,FALSE)=0,0,"Digite"))</f>
        <v>0</v>
      </c>
      <c r="J41" s="456">
        <f>IF(OR('Parte Estrategica'!AB41=0,'Parte Estrategica'!AB41=""),0,IF(VLOOKUP($A41,'Matriz de Referencia'!$B$2:$CO$584,31,FALSE)=0,0,"Digite"))</f>
        <v>0</v>
      </c>
      <c r="K41" s="456">
        <f>IF(OR('Parte Estrategica'!AB41=0,'Parte Estrategica'!AB41=""),0,IF(VLOOKUP($A41,'Matriz de Referencia'!$B$2:$CO$584,32,FALSE)=0,0,"Digite"))</f>
        <v>0</v>
      </c>
      <c r="L41" s="460">
        <f t="shared" si="0"/>
        <v>0</v>
      </c>
      <c r="M41" s="456">
        <f>IF(OR('Parte Estrategica'!AB41=0,'Parte Estrategica'!AB41=""),0,IF(VLOOKUP($A41,'Matriz de Referencia'!$B$2:$CO$584,34,FALSE)=0,0,"Digite"))</f>
        <v>0</v>
      </c>
      <c r="N41" s="456">
        <f>IF(OR('Parte Estrategica'!AB41=0,'Parte Estrategica'!AB41=""),0,IF(VLOOKUP($A41,'Matriz de Referencia'!$B$2:$CO$584,35,FALSE)=0,0,"Digite"))</f>
        <v>0</v>
      </c>
      <c r="O41" s="456">
        <f>IF(OR('Parte Estrategica'!AB41=0,'Parte Estrategica'!AB41=""),0,IF(VLOOKUP($A41,'Matriz de Referencia'!$B$2:$CO$584,36,FALSE)=0,0,"Digite"))</f>
        <v>0</v>
      </c>
      <c r="P41" s="457">
        <f t="shared" si="1"/>
        <v>0</v>
      </c>
      <c r="Q41" s="457">
        <f t="shared" si="2"/>
        <v>0</v>
      </c>
      <c r="R41" s="455">
        <f>IF(OR('Parte Estrategica'!AC41=0,'Parte Estrategica'!AC41=""),0,IF(VLOOKUP($A41,'Matriz de Referencia'!$B$2:$CO$584,25,FALSE)=0,0,"Digite"))</f>
        <v>0</v>
      </c>
      <c r="S41" s="456">
        <f>IF(OR('Parte Estrategica'!AC41=0,'Parte Estrategica'!AC41=""),0,IF(VLOOKUP($A41,'Matriz de Referencia'!$B$2:$CO$584,26,FALSE)=0,0,"Digite"))</f>
        <v>0</v>
      </c>
      <c r="T41" s="456">
        <f>IF(OR('Parte Estrategica'!AC41=0,'Parte Estrategica'!AC41=""),0,IF(VLOOKUP($A41,'Matriz de Referencia'!$B$2:$CO$584,27,FALSE)=0,0,"Digite"))</f>
        <v>0</v>
      </c>
      <c r="U41" s="456">
        <f>IF(OR('Parte Estrategica'!AC41=0,'Parte Estrategica'!AC41=""),0,IF(VLOOKUP($A41,'Matriz de Referencia'!$B$2:$CO$584,28,FALSE)=0,0,"Digite"))</f>
        <v>0</v>
      </c>
      <c r="V41" s="456">
        <f>IF(OR('Parte Estrategica'!AC41=0,'Parte Estrategica'!AC41=""),0,IF(VLOOKUP($A41,'Matriz de Referencia'!$B$2:$CO$584,29,FALSE)=0,0,"Digite"))</f>
        <v>0</v>
      </c>
      <c r="W41" s="456">
        <f>IF(OR('Parte Estrategica'!AC41=0,'Parte Estrategica'!AC41=""),0,IF(VLOOKUP($A41,'Matriz de Referencia'!$B$2:$CO$584,30,FALSE)=0,0,"Digite"))</f>
        <v>0</v>
      </c>
      <c r="X41" s="456">
        <f>IF(OR('Parte Estrategica'!AC41=0,'Parte Estrategica'!AC41=""),0,IF(VLOOKUP($A41,'Matriz de Referencia'!$B$2:$CO$584,31,FALSE)=0,0,"Digite"))</f>
        <v>0</v>
      </c>
      <c r="Y41" s="456">
        <f>IF(OR('Parte Estrategica'!AC41=0,'Parte Estrategica'!AC41=""),0,IF(VLOOKUP($A41,'Matriz de Referencia'!$B$2:$CO$584,32,FALSE)=0,0,"Digite"))</f>
        <v>0</v>
      </c>
      <c r="Z41" s="457">
        <f t="shared" si="3"/>
        <v>0</v>
      </c>
      <c r="AA41" s="456">
        <f>IF(OR('Parte Estrategica'!AC41=0,'Parte Estrategica'!AC41=""),0,IF(VLOOKUP($A41,'Matriz de Referencia'!$B$2:$CO$584,34,FALSE)=0,0,"Digite"))</f>
        <v>0</v>
      </c>
      <c r="AB41" s="456">
        <f>IF(OR('Parte Estrategica'!AC41=0,'Parte Estrategica'!AC41=""),0,IF(VLOOKUP($A41,'Matriz de Referencia'!$B$2:$CO$584,35,FALSE)=0,0,"Digite"))</f>
        <v>0</v>
      </c>
      <c r="AC41" s="456">
        <f>IF(OR('Parte Estrategica'!AC41=0,'Parte Estrategica'!AC41=""),0,IF(VLOOKUP($A41,'Matriz de Referencia'!$B$2:$CO$584,36,FALSE)=0,0,"Digite"))</f>
        <v>0</v>
      </c>
      <c r="AD41" s="457">
        <f t="shared" si="4"/>
        <v>0</v>
      </c>
      <c r="AE41" s="457">
        <f t="shared" si="5"/>
        <v>0</v>
      </c>
      <c r="AF41" s="455">
        <f>IF(OR('Parte Estrategica'!AD41=0,'Parte Estrategica'!AD41=""),0,IF(VLOOKUP($A41,'Matriz de Referencia'!$B$2:$CO$584,25,FALSE)=0,0,"Digite"))</f>
        <v>0</v>
      </c>
      <c r="AG41" s="456">
        <f>IF(OR('Parte Estrategica'!AD41=0,'Parte Estrategica'!AD41=""),0,IF(VLOOKUP($A41,'Matriz de Referencia'!$B$2:$CO$584,26,FALSE)=0,0,"Digite"))</f>
        <v>0</v>
      </c>
      <c r="AH41" s="456">
        <f>IF(OR('Parte Estrategica'!AD41=0,'Parte Estrategica'!AD41=""),0,IF(VLOOKUP($A41,'Matriz de Referencia'!$B$2:$CO$584,27,FALSE)=0,0,"Digite"))</f>
        <v>0</v>
      </c>
      <c r="AI41" s="456">
        <f>IF(OR('Parte Estrategica'!AD41=0,'Parte Estrategica'!AD41=""),0,IF(VLOOKUP($A41,'Matriz de Referencia'!$B$2:$CO$584,28,FALSE)=0,0,"Digite"))</f>
        <v>0</v>
      </c>
      <c r="AJ41" s="456">
        <f>IF(OR('Parte Estrategica'!AD41=0,'Parte Estrategica'!AD41=""),0,IF(VLOOKUP($A41,'Matriz de Referencia'!$B$2:$CO$584,29,FALSE)=0,0,"Digite"))</f>
        <v>0</v>
      </c>
      <c r="AK41" s="456">
        <f>IF(OR('Parte Estrategica'!AD41=0,'Parte Estrategica'!AD41=""),0,IF(VLOOKUP($A41,'Matriz de Referencia'!$B$2:$CO$584,30,FALSE)=0,0,"Digite"))</f>
        <v>0</v>
      </c>
      <c r="AL41" s="456">
        <f>IF(OR('Parte Estrategica'!AD41=0,'Parte Estrategica'!AD41=""),0,IF(VLOOKUP($A41,'Matriz de Referencia'!$B$2:$CO$584,31,FALSE)=0,0,"Digite"))</f>
        <v>0</v>
      </c>
      <c r="AM41" s="456">
        <f>IF(OR('Parte Estrategica'!AD41=0,'Parte Estrategica'!AD41=""),0,IF(VLOOKUP($A41,'Matriz de Referencia'!$B$2:$CO$584,32,FALSE)=0,0,"Digite"))</f>
        <v>0</v>
      </c>
      <c r="AN41" s="457">
        <f t="shared" si="6"/>
        <v>0</v>
      </c>
      <c r="AO41" s="456">
        <f>IF(OR('Parte Estrategica'!AD41=0,'Parte Estrategica'!AD41=""),0,IF(VLOOKUP($A41,'Matriz de Referencia'!$B$2:$CO$584,34,FALSE)=0,0,"Digite"))</f>
        <v>0</v>
      </c>
      <c r="AP41" s="456">
        <f>IF(OR('Parte Estrategica'!AD41=0,'Parte Estrategica'!AD41=""),0,IF(VLOOKUP($A41,'Matriz de Referencia'!$B$2:$CO$584,35,FALSE)=0,0,"Digite"))</f>
        <v>0</v>
      </c>
      <c r="AQ41" s="456">
        <f>IF(OR('Parte Estrategica'!AD41=0,'Parte Estrategica'!AD41=""),0,IF(VLOOKUP($A41,'Matriz de Referencia'!$B$2:$CO$584,36,FALSE)=0,0,"Digite"))</f>
        <v>0</v>
      </c>
      <c r="AR41" s="457">
        <f t="shared" si="7"/>
        <v>0</v>
      </c>
      <c r="AS41" s="457">
        <f t="shared" si="8"/>
        <v>0</v>
      </c>
      <c r="AT41" s="455">
        <f>IF(OR('Parte Estrategica'!AE41=0,'Parte Estrategica'!AE41=""),0,IF(VLOOKUP($A41,'Matriz de Referencia'!$B$2:$CO$584,25,FALSE)=0,0,"Digite"))</f>
        <v>0</v>
      </c>
      <c r="AU41" s="456">
        <f>IF(OR('Parte Estrategica'!AE41=0,'Parte Estrategica'!AE41=""),0,IF(VLOOKUP($A41,'Matriz de Referencia'!$B$2:$CO$584,26,FALSE)=0,0,"Digite"))</f>
        <v>0</v>
      </c>
      <c r="AV41" s="456">
        <f>IF(OR('Parte Estrategica'!AE41=0,'Parte Estrategica'!AE41=""),0,IF(VLOOKUP($A41,'Matriz de Referencia'!$B$2:$CO$584,27,FALSE)=0,0,"Digite"))</f>
        <v>0</v>
      </c>
      <c r="AW41" s="456">
        <f>IF(OR('Parte Estrategica'!AE41=0,'Parte Estrategica'!AE41=""),0,IF(VLOOKUP($A41,'Matriz de Referencia'!$B$2:$CO$584,28,FALSE)=0,0,"Digite"))</f>
        <v>0</v>
      </c>
      <c r="AX41" s="456">
        <f>IF(OR('Parte Estrategica'!AE41=0,'Parte Estrategica'!AE41=""),0,IF(VLOOKUP($A41,'Matriz de Referencia'!$B$2:$CO$584,29,FALSE)=0,0,"Digite"))</f>
        <v>0</v>
      </c>
      <c r="AY41" s="456">
        <f>IF(OR('Parte Estrategica'!AE41=0,'Parte Estrategica'!AE41=""),0,IF(VLOOKUP($A41,'Matriz de Referencia'!$B$2:$CO$584,30,FALSE)=0,0,"Digite"))</f>
        <v>0</v>
      </c>
      <c r="AZ41" s="456">
        <f>IF(OR('Parte Estrategica'!AE41=0,'Parte Estrategica'!AE41=""),0,IF(VLOOKUP($A41,'Matriz de Referencia'!$B$2:$CO$584,31,FALSE)=0,0,"Digite"))</f>
        <v>0</v>
      </c>
      <c r="BA41" s="456">
        <f>IF(OR('Parte Estrategica'!AE41=0,'Parte Estrategica'!AE41=""),0,IF(VLOOKUP($A41,'Matriz de Referencia'!$B$2:$CO$584,32,FALSE)=0,0,"Digite"))</f>
        <v>0</v>
      </c>
      <c r="BB41" s="457">
        <f t="shared" si="9"/>
        <v>0</v>
      </c>
      <c r="BC41" s="456">
        <f>IF(OR('Parte Estrategica'!AE41=0,'Parte Estrategica'!AE41=""),0,IF(VLOOKUP($A41,'Matriz de Referencia'!$B$2:$CO$584,34,FALSE)=0,0,"Digite"))</f>
        <v>0</v>
      </c>
      <c r="BD41" s="456">
        <f>IF(OR('Parte Estrategica'!AE41=0,'Parte Estrategica'!AE41=""),0,IF(VLOOKUP($A41,'Matriz de Referencia'!$B$2:$CO$584,35,FALSE)=0,0,"Digite"))</f>
        <v>0</v>
      </c>
      <c r="BE41" s="456">
        <f>IF(OR('Parte Estrategica'!AE41=0,'Parte Estrategica'!AE41=""),0,IF(VLOOKUP($A41,'Matriz de Referencia'!$B$2:$CO$584,36,FALSE)=0,0,"Digite"))</f>
        <v>0</v>
      </c>
      <c r="BF41" s="457">
        <f t="shared" si="10"/>
        <v>0</v>
      </c>
      <c r="BG41" s="457">
        <f t="shared" si="11"/>
        <v>0</v>
      </c>
      <c r="BH41" s="457">
        <f t="shared" si="12"/>
        <v>0</v>
      </c>
      <c r="BI41" s="101" t="str">
        <f>IFERROR(IF(BH41=0,"",IF(VLOOKUP($A41,'Matriz de Referencia'!$B$2:$CO$584,'Matriz de Referencia'!AM$1,FALSE)=BH41,"Techos ok, cotinue","Debe revisar el valor programado")),"")</f>
        <v/>
      </c>
      <c r="BJ41" s="453">
        <f>IF(OR('Parte Estrategica'!AH41=0,'Parte Estrategica'!AH41=""),0,IF(VLOOKUP($A41,'Matriz de Referencia'!$B$2:$CO$584,39,FALSE)=0,0,"Digite"))</f>
        <v>0</v>
      </c>
      <c r="BK41" s="454">
        <f>IF(OR('Parte Estrategica'!AH41=0,'Parte Estrategica'!AH41=""),0,IF(VLOOKUP($A41,'Matriz de Referencia'!$B$2:$CO$584,40,FALSE)=0,0,"Digite"))</f>
        <v>0</v>
      </c>
      <c r="BL41" s="454">
        <f>IF(OR('Parte Estrategica'!AH41=0,'Parte Estrategica'!AH41=""),0,IF(VLOOKUP($A41,'Matriz de Referencia'!$B$2:$CO$584,41,FALSE)=0,0,"Digite"))</f>
        <v>0</v>
      </c>
      <c r="BM41" s="454">
        <f>IF(OR('Parte Estrategica'!AH41=0,'Parte Estrategica'!AH41=""),0,IF(VLOOKUP($A41,'Matriz de Referencia'!$B$2:$CO$584,42,FALSE)=0,0,"Digite"))</f>
        <v>0</v>
      </c>
      <c r="BN41" s="454">
        <f>IF(OR('Parte Estrategica'!AH41=0,'Parte Estrategica'!AH41=""),0,IF(VLOOKUP($A41,'Matriz de Referencia'!$B$2:$CO$584,43,FALSE)=0,0,"Digite"))</f>
        <v>0</v>
      </c>
      <c r="BO41" s="454">
        <f>IF(OR('Parte Estrategica'!AH41=0,'Parte Estrategica'!AH41=""),0,IF(VLOOKUP($A41,'Matriz de Referencia'!$B$2:$CO$584,44,FALSE)=0,0,"Digite"))</f>
        <v>0</v>
      </c>
      <c r="BP41" s="454">
        <f>IF(OR('Parte Estrategica'!AH41=0,'Parte Estrategica'!AH41=""),0,IF(VLOOKUP($A41,'Matriz de Referencia'!$B$2:$CO$584,45,FALSE)=0,0,"Digite"))</f>
        <v>0</v>
      </c>
      <c r="BQ41" s="454">
        <f>IF(OR('Parte Estrategica'!AH41=0,'Parte Estrategica'!AH41=""),0,IF(VLOOKUP($A41,'Matriz de Referencia'!$B$2:$CO$584,46,FALSE)=0,0,"Digite"))</f>
        <v>0</v>
      </c>
      <c r="BR41" s="382">
        <f t="shared" si="13"/>
        <v>0</v>
      </c>
      <c r="BS41" s="454">
        <f>IF(OR('Parte Estrategica'!CL41=0,'Parte Estrategica'!CL41=""),0,IF(VLOOKUP($A41,'Matriz de Referencia'!$B$2:$CO$584,48,FALSE)=0,0,"Digite"))</f>
        <v>0</v>
      </c>
      <c r="BT41" s="454">
        <f>IF(OR('Parte Estrategica'!CL41=0,'Parte Estrategica'!CL41=""),0,IF(VLOOKUP($A41,'Matriz de Referencia'!$B$2:$CO$584,49,FALSE)=0,0,"Digite"))</f>
        <v>0</v>
      </c>
      <c r="BU41" s="454">
        <f>IF(OR('Parte Estrategica'!CL41=0,'Parte Estrategica'!CL41=""),0,IF(VLOOKUP($A41,'Matriz de Referencia'!$B$2:$CO$584,50,FALSE)=0,0,"Digite"))</f>
        <v>0</v>
      </c>
      <c r="BV41" s="382">
        <f t="shared" si="14"/>
        <v>0</v>
      </c>
      <c r="BW41" s="382">
        <f t="shared" si="15"/>
        <v>0</v>
      </c>
      <c r="BX41" s="453">
        <f>IF(OR('Parte Estrategica'!AI41=0,'Parte Estrategica'!AI41=""),0,IF(VLOOKUP($A41,'Matriz de Referencia'!$B$2:$CO$584,39,FALSE)=0,0,"Digite"))</f>
        <v>0</v>
      </c>
      <c r="BY41" s="454">
        <f>IF(OR('Parte Estrategica'!AI41=0,'Parte Estrategica'!AI41=""),0,IF(VLOOKUP($A41,'Matriz de Referencia'!$B$2:$CO$584,40,FALSE)=0,0,"Digite"))</f>
        <v>0</v>
      </c>
      <c r="BZ41" s="454">
        <f>IF(OR('Parte Estrategica'!AI41=0,'Parte Estrategica'!AI41=""),0,IF(VLOOKUP($A41,'Matriz de Referencia'!$B$2:$CO$584,41,FALSE)=0,0,"Digite"))</f>
        <v>0</v>
      </c>
      <c r="CA41" s="454">
        <f>IF(OR('Parte Estrategica'!AI41=0,'Parte Estrategica'!AI41=""),0,IF(VLOOKUP($A41,'Matriz de Referencia'!$B$2:$CO$584,42,FALSE)=0,0,"Digite"))</f>
        <v>0</v>
      </c>
      <c r="CB41" s="454">
        <f>IF(OR('Parte Estrategica'!AI41=0,'Parte Estrategica'!AI41=""),0,IF(VLOOKUP($A41,'Matriz de Referencia'!$B$2:$CO$584,43,FALSE)=0,0,"Digite"))</f>
        <v>0</v>
      </c>
      <c r="CC41" s="454">
        <f>IF(OR('Parte Estrategica'!AI41=0,'Parte Estrategica'!AI41=""),0,IF(VLOOKUP($A41,'Matriz de Referencia'!$B$2:$CO$584,44,FALSE)=0,0,"Digite"))</f>
        <v>0</v>
      </c>
      <c r="CD41" s="454">
        <f>IF(OR('Parte Estrategica'!AI41=0,'Parte Estrategica'!AI41=""),0,IF(VLOOKUP($A41,'Matriz de Referencia'!$B$2:$CO$584,45,FALSE)=0,0,"Digite"))</f>
        <v>0</v>
      </c>
      <c r="CE41" s="454">
        <f>IF(OR('Parte Estrategica'!AI41=0,'Parte Estrategica'!AI41=""),0,IF(VLOOKUP($A41,'Matriz de Referencia'!$B$2:$CO$584,46,FALSE)=0,0,"Digite"))</f>
        <v>0</v>
      </c>
      <c r="CF41" s="382">
        <f t="shared" si="16"/>
        <v>0</v>
      </c>
      <c r="CG41" s="454">
        <f>IF(OR('Parte Estrategica'!AI41=0,'Parte Estrategica'!AI41=""),0,IF(VLOOKUP($A41,'Matriz de Referencia'!$B$2:$CO$584,48,FALSE)=0,0,"Digite"))</f>
        <v>0</v>
      </c>
      <c r="CH41" s="454">
        <f>IF(OR('Parte Estrategica'!AI41=0,'Parte Estrategica'!AI41=""),0,IF(VLOOKUP($A41,'Matriz de Referencia'!$B$2:$CO$584,49,FALSE)=0,0,"Digite"))</f>
        <v>0</v>
      </c>
      <c r="CI41" s="454">
        <f>IF(OR('Parte Estrategica'!AI41=0,'Parte Estrategica'!AI41=""),0,IF(VLOOKUP($A41,'Matriz de Referencia'!$B$2:$CO$584,50,FALSE)=0,0,"Digite"))</f>
        <v>0</v>
      </c>
      <c r="CJ41" s="382">
        <f t="shared" si="17"/>
        <v>0</v>
      </c>
      <c r="CK41" s="382">
        <f t="shared" si="18"/>
        <v>0</v>
      </c>
      <c r="CL41" s="453">
        <f>IF(OR('Parte Estrategica'!AJ41=0,'Parte Estrategica'!AJ41=""),0,IF(VLOOKUP($A41,'Matriz de Referencia'!$B$2:$CO$584,39,FALSE)=0,0,"Digite"))</f>
        <v>0</v>
      </c>
      <c r="CM41" s="454">
        <f>IF(OR('Parte Estrategica'!AJ41=0,'Parte Estrategica'!AJ41=""),0,IF(VLOOKUP($A41,'Matriz de Referencia'!$B$2:$CO$584,40,FALSE)=0,0,"Digite"))</f>
        <v>0</v>
      </c>
      <c r="CN41" s="454">
        <f>IF(OR('Parte Estrategica'!AJ41=0,'Parte Estrategica'!AJ41=""),0,IF(VLOOKUP($A41,'Matriz de Referencia'!$B$2:$CO$584,41,FALSE)=0,0,"Digite"))</f>
        <v>0</v>
      </c>
      <c r="CO41" s="454">
        <f>IF(OR('Parte Estrategica'!AJ41=0,'Parte Estrategica'!AJ41=""),0,IF(VLOOKUP($A41,'Matriz de Referencia'!$B$2:$CO$584,42,FALSE)=0,0,"Digite"))</f>
        <v>0</v>
      </c>
      <c r="CP41" s="454">
        <f>IF(OR('Parte Estrategica'!AJ41=0,'Parte Estrategica'!AJ41=""),0,IF(VLOOKUP($A41,'Matriz de Referencia'!$B$2:$CO$584,43,FALSE)=0,0,"Digite"))</f>
        <v>0</v>
      </c>
      <c r="CQ41" s="454">
        <f>IF(OR('Parte Estrategica'!AJ41=0,'Parte Estrategica'!AJ41=""),0,IF(VLOOKUP($A41,'Matriz de Referencia'!$B$2:$CO$584,44,FALSE)=0,0,"Digite"))</f>
        <v>0</v>
      </c>
      <c r="CR41" s="454">
        <f>IF(OR('Parte Estrategica'!AJ41=0,'Parte Estrategica'!AJ41=""),0,IF(VLOOKUP($A41,'Matriz de Referencia'!$B$2:$CO$584,45,FALSE)=0,0,"Digite"))</f>
        <v>0</v>
      </c>
      <c r="CS41" s="454">
        <f>IF(OR('Parte Estrategica'!AJ41=0,'Parte Estrategica'!AJ41=""),0,IF(VLOOKUP($A41,'Matriz de Referencia'!$B$2:$CO$584,46,FALSE)=0,0,"Digite"))</f>
        <v>0</v>
      </c>
      <c r="CT41" s="382">
        <f t="shared" si="19"/>
        <v>0</v>
      </c>
      <c r="CU41" s="454">
        <f>IF(OR('Parte Estrategica'!AJ41=0,'Parte Estrategica'!AJ41=""),0,IF(VLOOKUP($A41,'Matriz de Referencia'!$B$2:$CO$584,48,FALSE)=0,0,"Digite"))</f>
        <v>0</v>
      </c>
      <c r="CV41" s="454">
        <f>IF(OR('Parte Estrategica'!AJ41=0,'Parte Estrategica'!AJ41=""),0,IF(VLOOKUP($A41,'Matriz de Referencia'!$B$2:$CO$584,49,FALSE)=0,0,"Digite"))</f>
        <v>0</v>
      </c>
      <c r="CW41" s="454">
        <f>IF(OR('Parte Estrategica'!AJ41=0,'Parte Estrategica'!AJ41=""),0,IF(VLOOKUP($A41,'Matriz de Referencia'!$B$2:$CO$584,50,FALSE)=0,0,"Digite"))</f>
        <v>0</v>
      </c>
      <c r="CX41" s="382">
        <f t="shared" si="20"/>
        <v>0</v>
      </c>
      <c r="CY41" s="382">
        <f t="shared" si="21"/>
        <v>0</v>
      </c>
      <c r="CZ41" s="453">
        <f>IF(OR('Parte Estrategica'!AK41=0,'Parte Estrategica'!AK41=""),0,IF(VLOOKUP($A41,'Matriz de Referencia'!$B$2:$CO$584,39,FALSE)=0,0,"Digite"))</f>
        <v>0</v>
      </c>
      <c r="DA41" s="454">
        <f>IF(OR('Parte Estrategica'!AK41=0,'Parte Estrategica'!AK41=""),0,IF(VLOOKUP($A41,'Matriz de Referencia'!$B$2:$CO$584,40,FALSE)=0,0,"Digite"))</f>
        <v>0</v>
      </c>
      <c r="DB41" s="454">
        <f>IF(OR('Parte Estrategica'!AK41=0,'Parte Estrategica'!AK41=""),0,IF(VLOOKUP($A41,'Matriz de Referencia'!$B$2:$CO$584,41,FALSE)=0,0,"Digite"))</f>
        <v>0</v>
      </c>
      <c r="DC41" s="454">
        <f>IF(OR('Parte Estrategica'!AK41=0,'Parte Estrategica'!AK41=""),0,IF(VLOOKUP($A41,'Matriz de Referencia'!$B$2:$CO$584,42,FALSE)=0,0,"Digite"))</f>
        <v>0</v>
      </c>
      <c r="DD41" s="454">
        <f>IF(OR('Parte Estrategica'!AK41=0,'Parte Estrategica'!AK41=""),0,IF(VLOOKUP($A41,'Matriz de Referencia'!$B$2:$CO$584,43,FALSE)=0,0,"Digite"))</f>
        <v>0</v>
      </c>
      <c r="DE41" s="454">
        <f>IF(OR('Parte Estrategica'!AK41=0,'Parte Estrategica'!AK41=""),0,IF(VLOOKUP($A41,'Matriz de Referencia'!$B$2:$CO$584,44,FALSE)=0,0,"Digite"))</f>
        <v>0</v>
      </c>
      <c r="DF41" s="454">
        <f>IF(OR('Parte Estrategica'!AK41=0,'Parte Estrategica'!AK41=""),0,IF(VLOOKUP($A41,'Matriz de Referencia'!$B$2:$CO$584,45,FALSE)=0,0,"Digite"))</f>
        <v>0</v>
      </c>
      <c r="DG41" s="454">
        <f>IF(OR('Parte Estrategica'!AK41=0,'Parte Estrategica'!AK41=""),0,IF(VLOOKUP($A41,'Matriz de Referencia'!$B$2:$CO$584,46,FALSE)=0,0,"Digite"))</f>
        <v>0</v>
      </c>
      <c r="DH41" s="382">
        <f t="shared" si="22"/>
        <v>0</v>
      </c>
      <c r="DI41" s="454">
        <f>IF(OR('Parte Estrategica'!AK41=0,'Parte Estrategica'!AK41=""),0,IF(VLOOKUP($A41,'Matriz de Referencia'!$B$2:$CO$584,48,FALSE)=0,0,"Digite"))</f>
        <v>0</v>
      </c>
      <c r="DJ41" s="454">
        <f>IF(OR('Parte Estrategica'!AK41=0,'Parte Estrategica'!AK41=""),0,IF(VLOOKUP($A41,'Matriz de Referencia'!$B$2:$CO$584,49,FALSE)=0,0,"Digite"))</f>
        <v>0</v>
      </c>
      <c r="DK41" s="454">
        <f>IF(OR('Parte Estrategica'!AK41=0,'Parte Estrategica'!AK41=""),0,IF(VLOOKUP($A41,'Matriz de Referencia'!$B$2:$CO$584,50,FALSE)=0,0,"Digite"))</f>
        <v>0</v>
      </c>
      <c r="DL41" s="382">
        <f t="shared" si="23"/>
        <v>0</v>
      </c>
      <c r="DM41" s="382">
        <f t="shared" si="24"/>
        <v>0</v>
      </c>
      <c r="DN41" s="382">
        <f t="shared" si="25"/>
        <v>0</v>
      </c>
      <c r="DO41" s="101" t="str">
        <f>IFERROR(IF(DN41=0,"",IF(VLOOKUP($A41,'Matriz de Referencia'!$B$2:$CO$584,52,FALSE)=DN41,"Techos ok, cotinue","Debe revisar el valor programado")),"")</f>
        <v/>
      </c>
      <c r="DP41" s="453">
        <f>IF(OR('Parte Estrategica'!AN41=0,'Parte Estrategica'!AN41=""),0,IF(VLOOKUP($A41,'Matriz de Referencia'!$B$2:$CO$584,53,FALSE)=0,0,"Digite"))</f>
        <v>0</v>
      </c>
      <c r="DQ41" s="454">
        <f>IF(OR('Parte Estrategica'!AN41=0,'Parte Estrategica'!AN41=""),0,IF(VLOOKUP($A41,'Matriz de Referencia'!$B$2:$CO$584,54,FALSE)=0,0,"Digite"))</f>
        <v>0</v>
      </c>
      <c r="DR41" s="454">
        <f>IF(OR('Parte Estrategica'!AN41=0,'Parte Estrategica'!AN41=""),0,IF(VLOOKUP($A41,'Matriz de Referencia'!$B$2:$CO$584,55,FALSE)=0,0,"Digite"))</f>
        <v>0</v>
      </c>
      <c r="DS41" s="454">
        <f>IF(OR('Parte Estrategica'!AN41=0,'Parte Estrategica'!AN41=""),0,IF(VLOOKUP($A41,'Matriz de Referencia'!$B$2:$CO$584,56,FALSE)=0,0,"Digite"))</f>
        <v>0</v>
      </c>
      <c r="DT41" s="454">
        <f>IF(OR('Parte Estrategica'!AN41=0,'Parte Estrategica'!AN41=""),0,IF(VLOOKUP($A41,'Matriz de Referencia'!$B$2:$CO$584,57,FALSE)=0,0,"Digite"))</f>
        <v>0</v>
      </c>
      <c r="DU41" s="454">
        <f>IF(OR('Parte Estrategica'!AN41=0,'Parte Estrategica'!AN41=""),0,IF(VLOOKUP($A41,'Matriz de Referencia'!$B$2:$CO$584,58,FALSE)=0,0,"Digite"))</f>
        <v>0</v>
      </c>
      <c r="DV41" s="454">
        <f>IF(OR('Parte Estrategica'!AN41=0,'Parte Estrategica'!AN41=""),0,IF(VLOOKUP($A41,'Matriz de Referencia'!$B$2:$CO$584,59,FALSE)=0,0,"Digite"))</f>
        <v>0</v>
      </c>
      <c r="DW41" s="454">
        <f>IF(OR('Parte Estrategica'!AN41=0,'Parte Estrategica'!AN41=""),0,IF(VLOOKUP($A41,'Matriz de Referencia'!$B$2:$CO$584,60,FALSE)=0,0,"Digite"))</f>
        <v>0</v>
      </c>
      <c r="DX41" s="382">
        <f t="shared" si="26"/>
        <v>0</v>
      </c>
      <c r="DY41" s="454">
        <f>IF(OR('Parte Estrategica'!AN41=0,'Parte Estrategica'!AN41=""),0,IF(VLOOKUP($A41,'Matriz de Referencia'!$B$2:$CO$584,62,FALSE)=0,0,"Digite"))</f>
        <v>0</v>
      </c>
      <c r="DZ41" s="454">
        <f>IF(OR('Parte Estrategica'!AN41=0,'Parte Estrategica'!AN41=""),0,IF(VLOOKUP($A41,'Matriz de Referencia'!$B$2:$CO$584,63,FALSE)=0,0,"Digite"))</f>
        <v>0</v>
      </c>
      <c r="EA41" s="454" t="str">
        <f>IF(OR('Parte Estrategica'!AN41=0,'Parte Estrategica'!AN41=""),"",IF(VLOOKUP($A41,'Matriz de Referencia'!$B$2:$CO$584,64,FALSE)=0,"","Digite"))</f>
        <v/>
      </c>
      <c r="EB41" s="382">
        <f t="shared" si="27"/>
        <v>0</v>
      </c>
      <c r="EC41" s="382">
        <f t="shared" si="28"/>
        <v>0</v>
      </c>
      <c r="ED41" s="453">
        <f>IF(OR('Parte Estrategica'!AO41=0,'Parte Estrategica'!AO41=""),0,IF(VLOOKUP($A41,'Matriz de Referencia'!$B$2:$CO$584,53,FALSE)=0,0,"Digite"))</f>
        <v>0</v>
      </c>
      <c r="EE41" s="454">
        <f>IF(OR('Parte Estrategica'!AO41=0,'Parte Estrategica'!AO41=""),0,IF(VLOOKUP($A41,'Matriz de Referencia'!$B$2:$CO$584,54,FALSE)=0,0,"Digite"))</f>
        <v>0</v>
      </c>
      <c r="EF41" s="454">
        <f>IF(OR('Parte Estrategica'!AO41=0,'Parte Estrategica'!AO41=""),0,IF(VLOOKUP($A41,'Matriz de Referencia'!$B$2:$CO$584,55,FALSE)=0,0,"Digite"))</f>
        <v>0</v>
      </c>
      <c r="EG41" s="454">
        <f>IF(OR('Parte Estrategica'!AO41=0,'Parte Estrategica'!AO41=""),0,IF(VLOOKUP($A41,'Matriz de Referencia'!$B$2:$CO$584,56,FALSE)=0,0,"Digite"))</f>
        <v>0</v>
      </c>
      <c r="EH41" s="454">
        <f>IF(OR('Parte Estrategica'!AO41=0,'Parte Estrategica'!AO41=""),0,IF(VLOOKUP($A41,'Matriz de Referencia'!$B$2:$CO$584,57,FALSE)=0,0,"Digite"))</f>
        <v>0</v>
      </c>
      <c r="EI41" s="454">
        <f>IF(OR('Parte Estrategica'!AO41=0,'Parte Estrategica'!AO41=""),0,IF(VLOOKUP($A41,'Matriz de Referencia'!$B$2:$CO$584,58,FALSE)=0,0,"Digite"))</f>
        <v>0</v>
      </c>
      <c r="EJ41" s="454">
        <f>IF(OR('Parte Estrategica'!AO41=0,'Parte Estrategica'!AO41=""),0,IF(VLOOKUP($A41,'Matriz de Referencia'!$B$2:$CO$584,59,FALSE)=0,0,"Digite"))</f>
        <v>0</v>
      </c>
      <c r="EK41" s="454">
        <f>IF(OR('Parte Estrategica'!AO41=0,'Parte Estrategica'!AO41=""),0,IF(VLOOKUP($A41,'Matriz de Referencia'!$B$2:$CO$584,60,FALSE)=0,0,"Digite"))</f>
        <v>0</v>
      </c>
      <c r="EL41" s="382">
        <f t="shared" si="29"/>
        <v>0</v>
      </c>
      <c r="EM41" s="454">
        <f>IF(OR('Parte Estrategica'!AO41=0,'Parte Estrategica'!AO41=""),0,IF(VLOOKUP($A41,'Matriz de Referencia'!$B$2:$CO$584,62,FALSE)=0,0,"Digite"))</f>
        <v>0</v>
      </c>
      <c r="EN41" s="454">
        <f>IF(OR('Parte Estrategica'!AO41=0,'Parte Estrategica'!AO41=""),0,IF(VLOOKUP($A41,'Matriz de Referencia'!$B$2:$CO$584,63,FALSE)=0,0,"Digite"))</f>
        <v>0</v>
      </c>
      <c r="EO41" s="454">
        <f>IF(OR('Parte Estrategica'!AO41=0,'Parte Estrategica'!AO41=""),0,IF(VLOOKUP($A41,'Matriz de Referencia'!$B$2:$CO$584,64,FALSE)=0,0,"Digite"))</f>
        <v>0</v>
      </c>
      <c r="EP41" s="382">
        <f t="shared" si="30"/>
        <v>0</v>
      </c>
      <c r="EQ41" s="382">
        <f t="shared" si="31"/>
        <v>0</v>
      </c>
      <c r="ER41" s="453">
        <f>IF(OR('Parte Estrategica'!AP41=0,'Parte Estrategica'!AP41=""),0,IF(VLOOKUP($A41,'Matriz de Referencia'!$B$2:$CO$584,53,FALSE)=0,0,"Digite"))</f>
        <v>0</v>
      </c>
      <c r="ES41" s="454">
        <f>IF(OR('Parte Estrategica'!AP41=0,'Parte Estrategica'!AP41=""),0,IF(VLOOKUP($A41,'Matriz de Referencia'!$B$2:$CO$584,54,FALSE)=0,0,"Digite"))</f>
        <v>0</v>
      </c>
      <c r="ET41" s="454">
        <f>IF(OR('Parte Estrategica'!AP41=0,'Parte Estrategica'!AP41=""),0,IF(VLOOKUP($A41,'Matriz de Referencia'!$B$2:$CO$584,55,FALSE)=0,0,"Digite"))</f>
        <v>0</v>
      </c>
      <c r="EU41" s="454">
        <f>IF(OR('Parte Estrategica'!AP41=0,'Parte Estrategica'!AP41=""),0,IF(VLOOKUP($A41,'Matriz de Referencia'!$B$2:$CO$584,56,FALSE)=0,0,"Digite"))</f>
        <v>0</v>
      </c>
      <c r="EV41" s="454">
        <f>IF(OR('Parte Estrategica'!AP41=0,'Parte Estrategica'!AP41=""),0,IF(VLOOKUP($A41,'Matriz de Referencia'!$B$2:$CO$584,57,FALSE)=0,0,"Digite"))</f>
        <v>0</v>
      </c>
      <c r="EW41" s="454">
        <f>IF(OR('Parte Estrategica'!AP41=0,'Parte Estrategica'!AP41=""),0,IF(VLOOKUP($A41,'Matriz de Referencia'!$B$2:$CO$584,58,FALSE)=0,0,"Digite"))</f>
        <v>0</v>
      </c>
      <c r="EX41" s="454">
        <f>IF(OR('Parte Estrategica'!AP41=0,'Parte Estrategica'!AP41=""),0,IF(VLOOKUP($A41,'Matriz de Referencia'!$B$2:$CO$584,59,FALSE)=0,0,"Digite"))</f>
        <v>0</v>
      </c>
      <c r="EY41" s="454">
        <f>IF(OR('Parte Estrategica'!AP41=0,'Parte Estrategica'!AP41=""),0,IF(VLOOKUP($A41,'Matriz de Referencia'!$B$2:$CO$584,60,FALSE)=0,0,"Digite"))</f>
        <v>0</v>
      </c>
      <c r="EZ41" s="382">
        <f t="shared" si="32"/>
        <v>0</v>
      </c>
      <c r="FA41" s="454">
        <f>IF(OR('Parte Estrategica'!AP41=0,'Parte Estrategica'!AP41=""),0,IF(VLOOKUP($A41,'Matriz de Referencia'!$B$2:$CO$584,62,FALSE)=0,0,"Digite"))</f>
        <v>0</v>
      </c>
      <c r="FB41" s="454">
        <f>IF(OR('Parte Estrategica'!AP41=0,'Parte Estrategica'!AP41=""),0,IF(VLOOKUP($A41,'Matriz de Referencia'!$B$2:$CO$584,63,FALSE)=0,0,"Digite"))</f>
        <v>0</v>
      </c>
      <c r="FC41" s="454">
        <f>IF(OR('Parte Estrategica'!AP41=0,'Parte Estrategica'!AP41=""),0,IF(VLOOKUP($A41,'Matriz de Referencia'!$B$2:$CO$584,64,FALSE)=0,0,"Digite"))</f>
        <v>0</v>
      </c>
      <c r="FD41" s="382">
        <f t="shared" si="33"/>
        <v>0</v>
      </c>
      <c r="FE41" s="382">
        <f t="shared" si="34"/>
        <v>0</v>
      </c>
      <c r="FF41" s="453">
        <f>IF(OR('Parte Estrategica'!AQ41=0,'Parte Estrategica'!AQ41=""),0,IF(VLOOKUP($A41,'Matriz de Referencia'!$B$2:$CO$584,53,FALSE)=0,0,"Digite"))</f>
        <v>0</v>
      </c>
      <c r="FG41" s="454">
        <f>IF(OR('Parte Estrategica'!AQ41=0,'Parte Estrategica'!AQ41=""),0,IF(VLOOKUP($A41,'Matriz de Referencia'!$B$2:$CO$584,54,FALSE)=0,0,"Digite"))</f>
        <v>0</v>
      </c>
      <c r="FH41" s="454">
        <f>IF(OR('Parte Estrategica'!AQ41=0,'Parte Estrategica'!AQ41=""),0,IF(VLOOKUP($A41,'Matriz de Referencia'!$B$2:$CO$584,55,FALSE)=0,0,"Digite"))</f>
        <v>0</v>
      </c>
      <c r="FI41" s="454">
        <f>IF(OR('Parte Estrategica'!AQ41=0,'Parte Estrategica'!AQ41=""),0,IF(VLOOKUP($A41,'Matriz de Referencia'!$B$2:$CO$584,56,FALSE)=0,0,"Digite"))</f>
        <v>0</v>
      </c>
      <c r="FJ41" s="454">
        <f>IF(OR('Parte Estrategica'!AQ41=0,'Parte Estrategica'!AQ41=""),0,IF(VLOOKUP($A41,'Matriz de Referencia'!$B$2:$CO$584,57,FALSE)=0,0,"Digite"))</f>
        <v>0</v>
      </c>
      <c r="FK41" s="454">
        <f>IF(OR('Parte Estrategica'!AQ41=0,'Parte Estrategica'!AQ41=""),0,IF(VLOOKUP($A41,'Matriz de Referencia'!$B$2:$CO$584,58,FALSE)=0,0,"Digite"))</f>
        <v>0</v>
      </c>
      <c r="FL41" s="454">
        <f>IF(OR('Parte Estrategica'!AQ41=0,'Parte Estrategica'!AQ41=""),0,IF(VLOOKUP($A41,'Matriz de Referencia'!$B$2:$CO$584,59,FALSE)=0,0,"Digite"))</f>
        <v>0</v>
      </c>
      <c r="FM41" s="454">
        <f>IF(OR('Parte Estrategica'!AQ41=0,'Parte Estrategica'!AQ41=""),0,IF(VLOOKUP($A41,'Matriz de Referencia'!$B$2:$CO$584,60,FALSE)=0,0,"Digite"))</f>
        <v>0</v>
      </c>
      <c r="FN41" s="382">
        <f t="shared" si="35"/>
        <v>0</v>
      </c>
      <c r="FO41" s="454">
        <f>IF(OR('Parte Estrategica'!AQ41=0,'Parte Estrategica'!AQ41=""),0,IF(VLOOKUP($A41,'Matriz de Referencia'!$B$2:$CO$584,62,FALSE)=0,0,"Digite"))</f>
        <v>0</v>
      </c>
      <c r="FP41" s="454">
        <f>IF(OR('Parte Estrategica'!AQ41=0,'Parte Estrategica'!AQ41=""),0,IF(VLOOKUP($A41,'Matriz de Referencia'!$B$2:$CO$584,63,FALSE)=0,0,"Digite"))</f>
        <v>0</v>
      </c>
      <c r="FQ41" s="454">
        <f>IF(OR('Parte Estrategica'!AQ41=0,'Parte Estrategica'!AQ41=""),0,IF(VLOOKUP($A41,'Matriz de Referencia'!$B$2:$CO$584,64,FALSE)=0,0,"Digite"))</f>
        <v>0</v>
      </c>
      <c r="FR41" s="382">
        <f t="shared" si="36"/>
        <v>0</v>
      </c>
      <c r="FS41" s="382">
        <f t="shared" si="37"/>
        <v>0</v>
      </c>
      <c r="FT41" s="382">
        <f t="shared" si="38"/>
        <v>0</v>
      </c>
      <c r="FU41" s="101" t="str">
        <f>IFERROR(IF(FT41=0,"",IF(VLOOKUP($A41,'Matriz de Referencia'!$B$2:$CO$584,66,FALSE)=FT41,"Techos ok, cotinue","Debe revisar el valor programado")),"")</f>
        <v/>
      </c>
      <c r="FV41" s="453">
        <f>IF(OR('Parte Estrategica'!AT41=0,'Parte Estrategica'!AT41=""),0,IF(VLOOKUP($A41,'Matriz de Referencia'!$B$2:$CO$584,67,FALSE)=0,0,"Digite"))</f>
        <v>0</v>
      </c>
      <c r="FW41" s="454">
        <f>IF(OR('Parte Estrategica'!AT41=0,'Parte Estrategica'!AT41=""),0,IF(VLOOKUP($A41,'Matriz de Referencia'!$B$2:$CO$584,68,FALSE)=0,0,"Digite"))</f>
        <v>0</v>
      </c>
      <c r="FX41" s="454">
        <f>IF(OR('Parte Estrategica'!AT41=0,'Parte Estrategica'!AT41=""),0,IF(VLOOKUP($A41,'Matriz de Referencia'!$B$2:$CO$584,69,FALSE)=0,0,"Digite"))</f>
        <v>0</v>
      </c>
      <c r="FY41" s="454">
        <f>IF(OR('Parte Estrategica'!AT41=0,'Parte Estrategica'!AT41=""),0,IF(VLOOKUP($A41,'Matriz de Referencia'!$B$2:$CO$584,70,FALSE)=0,0,"Digite"))</f>
        <v>0</v>
      </c>
      <c r="FZ41" s="454">
        <f>IF(OR('Parte Estrategica'!AT41=0,'Parte Estrategica'!AT41=""),0,IF(VLOOKUP($A41,'Matriz de Referencia'!$B$2:$CO$584,71,FALSE)=0,0,"Digite"))</f>
        <v>0</v>
      </c>
      <c r="GA41" s="454">
        <f>IF(OR('Parte Estrategica'!AT41=0,'Parte Estrategica'!AT41=""),0,IF(VLOOKUP($A41,'Matriz de Referencia'!$B$2:$CO$584,72,FALSE)=0,0,"Digite"))</f>
        <v>0</v>
      </c>
      <c r="GB41" s="454">
        <f>IF(OR('Parte Estrategica'!AT41=0,'Parte Estrategica'!AT41=""),0,IF(VLOOKUP($A41,'Matriz de Referencia'!$B$2:$CO$584,73,FALSE)=0,0,"Digite"))</f>
        <v>0</v>
      </c>
      <c r="GC41" s="454">
        <f>IF(OR('Parte Estrategica'!AT41=0,'Parte Estrategica'!AT41=""),0,IF(VLOOKUP($A41,'Matriz de Referencia'!$B$2:$CO$584,74,FALSE)=0,0,"Digite"))</f>
        <v>0</v>
      </c>
      <c r="GD41" s="382">
        <f t="shared" si="39"/>
        <v>0</v>
      </c>
      <c r="GE41" s="454">
        <f>IF(OR('Parte Estrategica'!AT41=0,'Parte Estrategica'!AT41=""),0,IF(VLOOKUP($A41,'Matriz de Referencia'!$B$2:$CO$584,76,FALSE)=0,0,"Digite"))</f>
        <v>0</v>
      </c>
      <c r="GF41" s="454">
        <f>IF(OR('Parte Estrategica'!AT41=0,'Parte Estrategica'!AT41=""),0,IF(VLOOKUP($A41,'Matriz de Referencia'!$B$2:$CO$584,77,FALSE)=0,0,"Digite"))</f>
        <v>0</v>
      </c>
      <c r="GG41" s="454">
        <f>IF(OR('Parte Estrategica'!AT41=0,'Parte Estrategica'!AT41=""),0,IF(VLOOKUP($A41,'Matriz de Referencia'!$B$2:$CO$584,78,FALSE)=0,0,"Digite"))</f>
        <v>0</v>
      </c>
      <c r="GH41" s="382">
        <f t="shared" si="40"/>
        <v>0</v>
      </c>
      <c r="GI41" s="382">
        <f t="shared" si="41"/>
        <v>0</v>
      </c>
      <c r="GJ41" s="453">
        <f>IF(OR('Parte Estrategica'!AU41=0,'Parte Estrategica'!AU41=""),0,IF(VLOOKUP($A41,'Matriz de Referencia'!$B$2:$CO$584,67,FALSE)=0,0,"Digite"))</f>
        <v>0</v>
      </c>
      <c r="GK41" s="454">
        <f>IF(OR('Parte Estrategica'!AU41=0,'Parte Estrategica'!AU41=""),0,IF(VLOOKUP($A41,'Matriz de Referencia'!$B$2:$CO$584,68,FALSE)=0,0,"Digite"))</f>
        <v>0</v>
      </c>
      <c r="GL41" s="454">
        <f>IF(OR('Parte Estrategica'!AU41=0,'Parte Estrategica'!AU41=""),0,IF(VLOOKUP($A41,'Matriz de Referencia'!$B$2:$CO$584,69,FALSE)=0,0,"Digite"))</f>
        <v>0</v>
      </c>
      <c r="GM41" s="454">
        <f>IF(OR('Parte Estrategica'!AU41=0,'Parte Estrategica'!AU41=""),0,IF(VLOOKUP($A41,'Matriz de Referencia'!$B$2:$CO$584,70,FALSE)=0,0,"Digite"))</f>
        <v>0</v>
      </c>
      <c r="GN41" s="454">
        <f>IF(OR('Parte Estrategica'!AU41=0,'Parte Estrategica'!AU41=""),0,IF(VLOOKUP($A41,'Matriz de Referencia'!$B$2:$CO$584,71,FALSE)=0,0,"Digite"))</f>
        <v>0</v>
      </c>
      <c r="GO41" s="454">
        <f>IF(OR('Parte Estrategica'!AU41=0,'Parte Estrategica'!AU41=""),0,IF(VLOOKUP($A41,'Matriz de Referencia'!$B$2:$CO$584,72,FALSE)=0,0,"Digite"))</f>
        <v>0</v>
      </c>
      <c r="GP41" s="454">
        <f>IF(OR('Parte Estrategica'!AU41=0,'Parte Estrategica'!AU41=""),0,IF(VLOOKUP($A41,'Matriz de Referencia'!$B$2:$CO$584,73,FALSE)=0,0,"Digite"))</f>
        <v>0</v>
      </c>
      <c r="GQ41" s="454">
        <f>IF(OR('Parte Estrategica'!AU41=0,'Parte Estrategica'!AU41=""),0,IF(VLOOKUP($A41,'Matriz de Referencia'!$B$2:$CO$584,74,FALSE)=0,0,"Digite"))</f>
        <v>0</v>
      </c>
      <c r="GR41" s="382">
        <f t="shared" si="42"/>
        <v>0</v>
      </c>
      <c r="GS41" s="454">
        <f>IF(OR('Parte Estrategica'!AU41=0,'Parte Estrategica'!AU41=""),0,IF(VLOOKUP($A41,'Matriz de Referencia'!$B$2:$CO$584,76,FALSE)=0,0,"Digite"))</f>
        <v>0</v>
      </c>
      <c r="GT41" s="454">
        <f>IF(OR('Parte Estrategica'!AU41=0,'Parte Estrategica'!AU41=""),0,IF(VLOOKUP($A41,'Matriz de Referencia'!$B$2:$CO$584,77,FALSE)=0,0,"Digite"))</f>
        <v>0</v>
      </c>
      <c r="GU41" s="454">
        <f>IF(OR('Parte Estrategica'!AU41=0,'Parte Estrategica'!AU41=""),0,IF(VLOOKUP($A41,'Matriz de Referencia'!$B$2:$CO$584,78,FALSE)=0,0,"Digite"))</f>
        <v>0</v>
      </c>
      <c r="GV41" s="382">
        <f t="shared" si="43"/>
        <v>0</v>
      </c>
      <c r="GW41" s="382">
        <f t="shared" si="44"/>
        <v>0</v>
      </c>
      <c r="GX41" s="453">
        <f>IF(OR('Parte Estrategica'!AV41=0,'Parte Estrategica'!AV41=""),0,IF(VLOOKUP($A41,'Matriz de Referencia'!$B$2:$CO$584,67,FALSE)=0,0,"Digite"))</f>
        <v>0</v>
      </c>
      <c r="GY41" s="454">
        <f>IF(OR('Parte Estrategica'!AV41=0,'Parte Estrategica'!AV41=""),0,IF(VLOOKUP($A41,'Matriz de Referencia'!$B$2:$CO$584,68,FALSE)=0,0,"Digite"))</f>
        <v>0</v>
      </c>
      <c r="GZ41" s="454">
        <f>IF(OR('Parte Estrategica'!AV41=0,'Parte Estrategica'!AV41=""),0,IF(VLOOKUP($A41,'Matriz de Referencia'!$B$2:$CO$584,69,FALSE)=0,0,"Digite"))</f>
        <v>0</v>
      </c>
      <c r="HA41" s="454">
        <f>IF(OR('Parte Estrategica'!AV41=0,'Parte Estrategica'!AV41=""),0,IF(VLOOKUP($A41,'Matriz de Referencia'!$B$2:$CO$584,70,FALSE)=0,0,"Digite"))</f>
        <v>0</v>
      </c>
      <c r="HB41" s="454">
        <f>IF(OR('Parte Estrategica'!AV41=0,'Parte Estrategica'!AV41=""),0,IF(VLOOKUP($A41,'Matriz de Referencia'!$B$2:$CO$584,71,FALSE)=0,0,"Digite"))</f>
        <v>0</v>
      </c>
      <c r="HC41" s="454">
        <f>IF(OR('Parte Estrategica'!AV41=0,'Parte Estrategica'!AV41=""),0,IF(VLOOKUP($A41,'Matriz de Referencia'!$B$2:$CO$584,72,FALSE)=0,0,"Digite"))</f>
        <v>0</v>
      </c>
      <c r="HD41" s="454">
        <f>IF(OR('Parte Estrategica'!AV41=0,'Parte Estrategica'!AV41=""),0,IF(VLOOKUP($A41,'Matriz de Referencia'!$B$2:$CO$584,73,FALSE)=0,0,"Digite"))</f>
        <v>0</v>
      </c>
      <c r="HE41" s="454">
        <f>IF(OR('Parte Estrategica'!AV41=0,'Parte Estrategica'!AV41=""),0,IF(VLOOKUP($A41,'Matriz de Referencia'!$B$2:$CO$584,74,FALSE)=0,0,"Digite"))</f>
        <v>0</v>
      </c>
      <c r="HF41" s="382">
        <f t="shared" si="45"/>
        <v>0</v>
      </c>
      <c r="HG41" s="454">
        <f>IF(OR('Parte Estrategica'!AV41=0,'Parte Estrategica'!AV41=""),0,IF(VLOOKUP($A41,'Matriz de Referencia'!$B$2:$CO$584,76,FALSE)=0,0,"Digite"))</f>
        <v>0</v>
      </c>
      <c r="HH41" s="454">
        <f>IF(OR('Parte Estrategica'!AV41=0,'Parte Estrategica'!AV41=""),0,IF(VLOOKUP($A41,'Matriz de Referencia'!$B$2:$CO$584,77,FALSE)=0,0,"Digite"))</f>
        <v>0</v>
      </c>
      <c r="HI41" s="454">
        <f>IF(OR('Parte Estrategica'!AV41=0,'Parte Estrategica'!AV41=""),0,IF(VLOOKUP($A41,'Matriz de Referencia'!$B$2:$CO$584,78,FALSE)=0,0,"Digite"))</f>
        <v>0</v>
      </c>
      <c r="HJ41" s="382">
        <f t="shared" si="46"/>
        <v>0</v>
      </c>
      <c r="HK41" s="382">
        <f t="shared" si="47"/>
        <v>0</v>
      </c>
      <c r="HL41" s="453">
        <f>IF(OR('Parte Estrategica'!AW41=0,'Parte Estrategica'!AW41=""),0,IF(VLOOKUP($A41,'Matriz de Referencia'!$B$2:$CO$584,67,FALSE)=0,0,"Digite"))</f>
        <v>0</v>
      </c>
      <c r="HM41" s="454">
        <f>IF(OR('Parte Estrategica'!AW41=0,'Parte Estrategica'!AW41=""),0,IF(VLOOKUP($A41,'Matriz de Referencia'!$B$2:$CO$584,68,FALSE)=0,0,"Digite"))</f>
        <v>0</v>
      </c>
      <c r="HN41" s="454">
        <f>IF(OR('Parte Estrategica'!AW41=0,'Parte Estrategica'!AW41=""),0,IF(VLOOKUP($A41,'Matriz de Referencia'!$B$2:$CO$584,69,FALSE)=0,0,"Digite"))</f>
        <v>0</v>
      </c>
      <c r="HO41" s="454">
        <f>IF(OR('Parte Estrategica'!AW41=0,'Parte Estrategica'!AW41=""),0,IF(VLOOKUP($A41,'Matriz de Referencia'!$B$2:$CO$584,70,FALSE)=0,0,"Digite"))</f>
        <v>0</v>
      </c>
      <c r="HP41" s="454">
        <f>IF(OR('Parte Estrategica'!AW41=0,'Parte Estrategica'!AW41=""),0,IF(VLOOKUP($A41,'Matriz de Referencia'!$B$2:$CO$584,71,FALSE)=0,0,"Digite"))</f>
        <v>0</v>
      </c>
      <c r="HQ41" s="454">
        <f>IF(OR('Parte Estrategica'!AW41=0,'Parte Estrategica'!AW41=""),0,IF(VLOOKUP($A41,'Matriz de Referencia'!$B$2:$CO$584,72,FALSE)=0,0,"Digite"))</f>
        <v>0</v>
      </c>
      <c r="HR41" s="454">
        <f>IF(OR('Parte Estrategica'!AW41=0,'Parte Estrategica'!AW41=""),0,IF(VLOOKUP($A41,'Matriz de Referencia'!$B$2:$CO$584,73,FALSE)=0,0,"Digite"))</f>
        <v>0</v>
      </c>
      <c r="HS41" s="454">
        <f>IF(OR('Parte Estrategica'!AW41=0,'Parte Estrategica'!AW41=""),0,IF(VLOOKUP($A41,'Matriz de Referencia'!$B$2:$CO$584,74,FALSE)=0,0,"Digite"))</f>
        <v>0</v>
      </c>
      <c r="HT41" s="382">
        <f t="shared" si="48"/>
        <v>0</v>
      </c>
      <c r="HU41" s="454">
        <f>IF(OR('Parte Estrategica'!AW41=0,'Parte Estrategica'!AW41=""),0,IF(VLOOKUP($A41,'Matriz de Referencia'!$B$2:$CO$584,76,FALSE)=0,0,"Digite"))</f>
        <v>0</v>
      </c>
      <c r="HV41" s="454">
        <f>IF(OR('Parte Estrategica'!AW41=0,'Parte Estrategica'!AW41=""),0,IF(VLOOKUP($A41,'Matriz de Referencia'!$B$2:$CO$584,77,FALSE)=0,0,"Digite"))</f>
        <v>0</v>
      </c>
      <c r="HW41" s="454">
        <f>IF(OR('Parte Estrategica'!AW41=0,'Parte Estrategica'!AW41=""),0,IF(VLOOKUP($A41,'Matriz de Referencia'!$B$2:$CO$584,78,FALSE)=0,0,"Digite"))</f>
        <v>0</v>
      </c>
      <c r="HX41" s="382">
        <f t="shared" si="49"/>
        <v>0</v>
      </c>
      <c r="HY41" s="382">
        <f t="shared" si="50"/>
        <v>0</v>
      </c>
      <c r="HZ41" s="382">
        <f t="shared" si="51"/>
        <v>0</v>
      </c>
      <c r="IA41" s="101" t="str">
        <f>IFERROR(IF(HZ41=0,"",IF(VLOOKUP($A41,'Matriz de Referencia'!$B$2:$CO$584,80,FALSE)=HZ41,"Techos ok, cotinue","Debe revisar el valor programado")),"")</f>
        <v/>
      </c>
      <c r="IB41" s="383">
        <f t="shared" si="52"/>
        <v>0</v>
      </c>
    </row>
    <row r="42" spans="1:236">
      <c r="A42" s="550" t="str">
        <f>IF('Parte Estrategica'!B42=0,"",'Parte Estrategica'!B42)</f>
        <v/>
      </c>
      <c r="B42" s="551" t="str">
        <f>IFERROR(VLOOKUP(A42,'Matriz de Referencia'!$B$2:$P$578,'Matriz de Referencia'!L$1,FALSE),"")</f>
        <v/>
      </c>
      <c r="C42" s="551" t="str">
        <f>IFERROR(VLOOKUP(A42,'Matriz de Referencia'!$B$2:$P$584,'Matriz de Referencia'!M$1,FALSE),"")</f>
        <v/>
      </c>
      <c r="D42" s="455" t="str">
        <f>IF(OR('Parte Estrategica'!AB42=0,'Parte Estrategica'!AB42=""),"",IF(VLOOKUP($A42,'Matriz de Referencia'!$B$2:$CO$584,'Matriz de Referencia'!Z$1,FALSE)=0,"","Digite"))</f>
        <v/>
      </c>
      <c r="E42" s="456">
        <f>IF(OR('Parte Estrategica'!AB42=0,'Parte Estrategica'!AB42=""),0,IF(VLOOKUP($A42,'Matriz de Referencia'!$B$2:$CO$584,26,FALSE)=0,0,"Digite"))</f>
        <v>0</v>
      </c>
      <c r="F42" s="456">
        <f>IF(OR('Parte Estrategica'!AB42=0,'Parte Estrategica'!AB42=""),0,IF(VLOOKUP($A42,'Matriz de Referencia'!$B$2:$CO$584,27,FALSE)=0,0,"Digite"))</f>
        <v>0</v>
      </c>
      <c r="G42" s="456">
        <f>IF(OR('Parte Estrategica'!AB42=0,'Parte Estrategica'!AB42=""),0,IF(VLOOKUP($A42,'Matriz de Referencia'!$B$2:$CO$584,28,FALSE)=0,0,"Digite"))</f>
        <v>0</v>
      </c>
      <c r="H42" s="456">
        <f>IF(OR('Parte Estrategica'!AB42=0,'Parte Estrategica'!AB42=""),0,IF(VLOOKUP($A42,'Matriz de Referencia'!$B$2:$CO$584,29,FALSE)=0,0,"Digite"))</f>
        <v>0</v>
      </c>
      <c r="I42" s="456">
        <f>IF(OR('Parte Estrategica'!AB42=0,'Parte Estrategica'!AB42=""),0,IF(VLOOKUP($A42,'Matriz de Referencia'!$B$2:$CO$584,30,FALSE)=0,0,"Digite"))</f>
        <v>0</v>
      </c>
      <c r="J42" s="456">
        <f>IF(OR('Parte Estrategica'!AB42=0,'Parte Estrategica'!AB42=""),0,IF(VLOOKUP($A42,'Matriz de Referencia'!$B$2:$CO$584,31,FALSE)=0,0,"Digite"))</f>
        <v>0</v>
      </c>
      <c r="K42" s="456">
        <f>IF(OR('Parte Estrategica'!AB42=0,'Parte Estrategica'!AB42=""),0,IF(VLOOKUP($A42,'Matriz de Referencia'!$B$2:$CO$584,32,FALSE)=0,0,"Digite"))</f>
        <v>0</v>
      </c>
      <c r="L42" s="460">
        <f t="shared" si="0"/>
        <v>0</v>
      </c>
      <c r="M42" s="456">
        <f>IF(OR('Parte Estrategica'!AB42=0,'Parte Estrategica'!AB42=""),0,IF(VLOOKUP($A42,'Matriz de Referencia'!$B$2:$CO$584,34,FALSE)=0,0,"Digite"))</f>
        <v>0</v>
      </c>
      <c r="N42" s="456">
        <f>IF(OR('Parte Estrategica'!AB42=0,'Parte Estrategica'!AB42=""),0,IF(VLOOKUP($A42,'Matriz de Referencia'!$B$2:$CO$584,35,FALSE)=0,0,"Digite"))</f>
        <v>0</v>
      </c>
      <c r="O42" s="456">
        <f>IF(OR('Parte Estrategica'!AB42=0,'Parte Estrategica'!AB42=""),0,IF(VLOOKUP($A42,'Matriz de Referencia'!$B$2:$CO$584,36,FALSE)=0,0,"Digite"))</f>
        <v>0</v>
      </c>
      <c r="P42" s="457">
        <f t="shared" si="1"/>
        <v>0</v>
      </c>
      <c r="Q42" s="457">
        <f t="shared" si="2"/>
        <v>0</v>
      </c>
      <c r="R42" s="455">
        <f>IF(OR('Parte Estrategica'!AC42=0,'Parte Estrategica'!AC42=""),0,IF(VLOOKUP($A42,'Matriz de Referencia'!$B$2:$CO$584,25,FALSE)=0,0,"Digite"))</f>
        <v>0</v>
      </c>
      <c r="S42" s="456">
        <f>IF(OR('Parte Estrategica'!AC42=0,'Parte Estrategica'!AC42=""),0,IF(VLOOKUP($A42,'Matriz de Referencia'!$B$2:$CO$584,26,FALSE)=0,0,"Digite"))</f>
        <v>0</v>
      </c>
      <c r="T42" s="456">
        <f>IF(OR('Parte Estrategica'!AC42=0,'Parte Estrategica'!AC42=""),0,IF(VLOOKUP($A42,'Matriz de Referencia'!$B$2:$CO$584,27,FALSE)=0,0,"Digite"))</f>
        <v>0</v>
      </c>
      <c r="U42" s="456">
        <f>IF(OR('Parte Estrategica'!AC42=0,'Parte Estrategica'!AC42=""),0,IF(VLOOKUP($A42,'Matriz de Referencia'!$B$2:$CO$584,28,FALSE)=0,0,"Digite"))</f>
        <v>0</v>
      </c>
      <c r="V42" s="456">
        <f>IF(OR('Parte Estrategica'!AC42=0,'Parte Estrategica'!AC42=""),0,IF(VLOOKUP($A42,'Matriz de Referencia'!$B$2:$CO$584,29,FALSE)=0,0,"Digite"))</f>
        <v>0</v>
      </c>
      <c r="W42" s="456">
        <f>IF(OR('Parte Estrategica'!AC42=0,'Parte Estrategica'!AC42=""),0,IF(VLOOKUP($A42,'Matriz de Referencia'!$B$2:$CO$584,30,FALSE)=0,0,"Digite"))</f>
        <v>0</v>
      </c>
      <c r="X42" s="456">
        <f>IF(OR('Parte Estrategica'!AC42=0,'Parte Estrategica'!AC42=""),0,IF(VLOOKUP($A42,'Matriz de Referencia'!$B$2:$CO$584,31,FALSE)=0,0,"Digite"))</f>
        <v>0</v>
      </c>
      <c r="Y42" s="456">
        <f>IF(OR('Parte Estrategica'!AC42=0,'Parte Estrategica'!AC42=""),0,IF(VLOOKUP($A42,'Matriz de Referencia'!$B$2:$CO$584,32,FALSE)=0,0,"Digite"))</f>
        <v>0</v>
      </c>
      <c r="Z42" s="457">
        <f t="shared" si="3"/>
        <v>0</v>
      </c>
      <c r="AA42" s="456">
        <f>IF(OR('Parte Estrategica'!AC42=0,'Parte Estrategica'!AC42=""),0,IF(VLOOKUP($A42,'Matriz de Referencia'!$B$2:$CO$584,34,FALSE)=0,0,"Digite"))</f>
        <v>0</v>
      </c>
      <c r="AB42" s="456">
        <f>IF(OR('Parte Estrategica'!AC42=0,'Parte Estrategica'!AC42=""),0,IF(VLOOKUP($A42,'Matriz de Referencia'!$B$2:$CO$584,35,FALSE)=0,0,"Digite"))</f>
        <v>0</v>
      </c>
      <c r="AC42" s="456">
        <f>IF(OR('Parte Estrategica'!AC42=0,'Parte Estrategica'!AC42=""),0,IF(VLOOKUP($A42,'Matriz de Referencia'!$B$2:$CO$584,36,FALSE)=0,0,"Digite"))</f>
        <v>0</v>
      </c>
      <c r="AD42" s="457">
        <f t="shared" si="4"/>
        <v>0</v>
      </c>
      <c r="AE42" s="457">
        <f t="shared" si="5"/>
        <v>0</v>
      </c>
      <c r="AF42" s="455">
        <f>IF(OR('Parte Estrategica'!AD42=0,'Parte Estrategica'!AD42=""),0,IF(VLOOKUP($A42,'Matriz de Referencia'!$B$2:$CO$584,25,FALSE)=0,0,"Digite"))</f>
        <v>0</v>
      </c>
      <c r="AG42" s="456">
        <f>IF(OR('Parte Estrategica'!AD42=0,'Parte Estrategica'!AD42=""),0,IF(VLOOKUP($A42,'Matriz de Referencia'!$B$2:$CO$584,26,FALSE)=0,0,"Digite"))</f>
        <v>0</v>
      </c>
      <c r="AH42" s="456">
        <f>IF(OR('Parte Estrategica'!AD42=0,'Parte Estrategica'!AD42=""),0,IF(VLOOKUP($A42,'Matriz de Referencia'!$B$2:$CO$584,27,FALSE)=0,0,"Digite"))</f>
        <v>0</v>
      </c>
      <c r="AI42" s="456">
        <f>IF(OR('Parte Estrategica'!AD42=0,'Parte Estrategica'!AD42=""),0,IF(VLOOKUP($A42,'Matriz de Referencia'!$B$2:$CO$584,28,FALSE)=0,0,"Digite"))</f>
        <v>0</v>
      </c>
      <c r="AJ42" s="456">
        <f>IF(OR('Parte Estrategica'!AD42=0,'Parte Estrategica'!AD42=""),0,IF(VLOOKUP($A42,'Matriz de Referencia'!$B$2:$CO$584,29,FALSE)=0,0,"Digite"))</f>
        <v>0</v>
      </c>
      <c r="AK42" s="456">
        <f>IF(OR('Parte Estrategica'!AD42=0,'Parte Estrategica'!AD42=""),0,IF(VLOOKUP($A42,'Matriz de Referencia'!$B$2:$CO$584,30,FALSE)=0,0,"Digite"))</f>
        <v>0</v>
      </c>
      <c r="AL42" s="456">
        <f>IF(OR('Parte Estrategica'!AD42=0,'Parte Estrategica'!AD42=""),0,IF(VLOOKUP($A42,'Matriz de Referencia'!$B$2:$CO$584,31,FALSE)=0,0,"Digite"))</f>
        <v>0</v>
      </c>
      <c r="AM42" s="456">
        <f>IF(OR('Parte Estrategica'!AD42=0,'Parte Estrategica'!AD42=""),0,IF(VLOOKUP($A42,'Matriz de Referencia'!$B$2:$CO$584,32,FALSE)=0,0,"Digite"))</f>
        <v>0</v>
      </c>
      <c r="AN42" s="457">
        <f t="shared" si="6"/>
        <v>0</v>
      </c>
      <c r="AO42" s="456">
        <f>IF(OR('Parte Estrategica'!AD42=0,'Parte Estrategica'!AD42=""),0,IF(VLOOKUP($A42,'Matriz de Referencia'!$B$2:$CO$584,34,FALSE)=0,0,"Digite"))</f>
        <v>0</v>
      </c>
      <c r="AP42" s="456">
        <f>IF(OR('Parte Estrategica'!AD42=0,'Parte Estrategica'!AD42=""),0,IF(VLOOKUP($A42,'Matriz de Referencia'!$B$2:$CO$584,35,FALSE)=0,0,"Digite"))</f>
        <v>0</v>
      </c>
      <c r="AQ42" s="456">
        <f>IF(OR('Parte Estrategica'!AD42=0,'Parte Estrategica'!AD42=""),0,IF(VLOOKUP($A42,'Matriz de Referencia'!$B$2:$CO$584,36,FALSE)=0,0,"Digite"))</f>
        <v>0</v>
      </c>
      <c r="AR42" s="457">
        <f t="shared" si="7"/>
        <v>0</v>
      </c>
      <c r="AS42" s="457">
        <f t="shared" si="8"/>
        <v>0</v>
      </c>
      <c r="AT42" s="455">
        <f>IF(OR('Parte Estrategica'!AE42=0,'Parte Estrategica'!AE42=""),0,IF(VLOOKUP($A42,'Matriz de Referencia'!$B$2:$CO$584,25,FALSE)=0,0,"Digite"))</f>
        <v>0</v>
      </c>
      <c r="AU42" s="456">
        <f>IF(OR('Parte Estrategica'!AE42=0,'Parte Estrategica'!AE42=""),0,IF(VLOOKUP($A42,'Matriz de Referencia'!$B$2:$CO$584,26,FALSE)=0,0,"Digite"))</f>
        <v>0</v>
      </c>
      <c r="AV42" s="456">
        <f>IF(OR('Parte Estrategica'!AE42=0,'Parte Estrategica'!AE42=""),0,IF(VLOOKUP($A42,'Matriz de Referencia'!$B$2:$CO$584,27,FALSE)=0,0,"Digite"))</f>
        <v>0</v>
      </c>
      <c r="AW42" s="456">
        <f>IF(OR('Parte Estrategica'!AE42=0,'Parte Estrategica'!AE42=""),0,IF(VLOOKUP($A42,'Matriz de Referencia'!$B$2:$CO$584,28,FALSE)=0,0,"Digite"))</f>
        <v>0</v>
      </c>
      <c r="AX42" s="456">
        <f>IF(OR('Parte Estrategica'!AE42=0,'Parte Estrategica'!AE42=""),0,IF(VLOOKUP($A42,'Matriz de Referencia'!$B$2:$CO$584,29,FALSE)=0,0,"Digite"))</f>
        <v>0</v>
      </c>
      <c r="AY42" s="456">
        <f>IF(OR('Parte Estrategica'!AE42=0,'Parte Estrategica'!AE42=""),0,IF(VLOOKUP($A42,'Matriz de Referencia'!$B$2:$CO$584,30,FALSE)=0,0,"Digite"))</f>
        <v>0</v>
      </c>
      <c r="AZ42" s="456">
        <f>IF(OR('Parte Estrategica'!AE42=0,'Parte Estrategica'!AE42=""),0,IF(VLOOKUP($A42,'Matriz de Referencia'!$B$2:$CO$584,31,FALSE)=0,0,"Digite"))</f>
        <v>0</v>
      </c>
      <c r="BA42" s="456">
        <f>IF(OR('Parte Estrategica'!AE42=0,'Parte Estrategica'!AE42=""),0,IF(VLOOKUP($A42,'Matriz de Referencia'!$B$2:$CO$584,32,FALSE)=0,0,"Digite"))</f>
        <v>0</v>
      </c>
      <c r="BB42" s="457">
        <f t="shared" si="9"/>
        <v>0</v>
      </c>
      <c r="BC42" s="456">
        <f>IF(OR('Parte Estrategica'!AE42=0,'Parte Estrategica'!AE42=""),0,IF(VLOOKUP($A42,'Matriz de Referencia'!$B$2:$CO$584,34,FALSE)=0,0,"Digite"))</f>
        <v>0</v>
      </c>
      <c r="BD42" s="456">
        <f>IF(OR('Parte Estrategica'!AE42=0,'Parte Estrategica'!AE42=""),0,IF(VLOOKUP($A42,'Matriz de Referencia'!$B$2:$CO$584,35,FALSE)=0,0,"Digite"))</f>
        <v>0</v>
      </c>
      <c r="BE42" s="456">
        <f>IF(OR('Parte Estrategica'!AE42=0,'Parte Estrategica'!AE42=""),0,IF(VLOOKUP($A42,'Matriz de Referencia'!$B$2:$CO$584,36,FALSE)=0,0,"Digite"))</f>
        <v>0</v>
      </c>
      <c r="BF42" s="457">
        <f t="shared" si="10"/>
        <v>0</v>
      </c>
      <c r="BG42" s="457">
        <f t="shared" si="11"/>
        <v>0</v>
      </c>
      <c r="BH42" s="457">
        <f t="shared" si="12"/>
        <v>0</v>
      </c>
      <c r="BI42" s="101" t="str">
        <f>IFERROR(IF(BH42=0,"",IF(VLOOKUP($A42,'Matriz de Referencia'!$B$2:$CO$584,'Matriz de Referencia'!AM$1,FALSE)=BH42,"Techos ok, cotinue","Debe revisar el valor programado")),"")</f>
        <v/>
      </c>
      <c r="BJ42" s="453">
        <f>IF(OR('Parte Estrategica'!AH42=0,'Parte Estrategica'!AH42=""),0,IF(VLOOKUP($A42,'Matriz de Referencia'!$B$2:$CO$584,39,FALSE)=0,0,"Digite"))</f>
        <v>0</v>
      </c>
      <c r="BK42" s="454">
        <f>IF(OR('Parte Estrategica'!AH42=0,'Parte Estrategica'!AH42=""),0,IF(VLOOKUP($A42,'Matriz de Referencia'!$B$2:$CO$584,40,FALSE)=0,0,"Digite"))</f>
        <v>0</v>
      </c>
      <c r="BL42" s="454">
        <f>IF(OR('Parte Estrategica'!AH42=0,'Parte Estrategica'!AH42=""),0,IF(VLOOKUP($A42,'Matriz de Referencia'!$B$2:$CO$584,41,FALSE)=0,0,"Digite"))</f>
        <v>0</v>
      </c>
      <c r="BM42" s="454">
        <f>IF(OR('Parte Estrategica'!AH42=0,'Parte Estrategica'!AH42=""),0,IF(VLOOKUP($A42,'Matriz de Referencia'!$B$2:$CO$584,42,FALSE)=0,0,"Digite"))</f>
        <v>0</v>
      </c>
      <c r="BN42" s="454">
        <f>IF(OR('Parte Estrategica'!AH42=0,'Parte Estrategica'!AH42=""),0,IF(VLOOKUP($A42,'Matriz de Referencia'!$B$2:$CO$584,43,FALSE)=0,0,"Digite"))</f>
        <v>0</v>
      </c>
      <c r="BO42" s="454">
        <f>IF(OR('Parte Estrategica'!AH42=0,'Parte Estrategica'!AH42=""),0,IF(VLOOKUP($A42,'Matriz de Referencia'!$B$2:$CO$584,44,FALSE)=0,0,"Digite"))</f>
        <v>0</v>
      </c>
      <c r="BP42" s="454">
        <f>IF(OR('Parte Estrategica'!AH42=0,'Parte Estrategica'!AH42=""),0,IF(VLOOKUP($A42,'Matriz de Referencia'!$B$2:$CO$584,45,FALSE)=0,0,"Digite"))</f>
        <v>0</v>
      </c>
      <c r="BQ42" s="454">
        <f>IF(OR('Parte Estrategica'!AH42=0,'Parte Estrategica'!AH42=""),0,IF(VLOOKUP($A42,'Matriz de Referencia'!$B$2:$CO$584,46,FALSE)=0,0,"Digite"))</f>
        <v>0</v>
      </c>
      <c r="BR42" s="382">
        <f t="shared" si="13"/>
        <v>0</v>
      </c>
      <c r="BS42" s="454">
        <f>IF(OR('Parte Estrategica'!CL42=0,'Parte Estrategica'!CL42=""),0,IF(VLOOKUP($A42,'Matriz de Referencia'!$B$2:$CO$584,48,FALSE)=0,0,"Digite"))</f>
        <v>0</v>
      </c>
      <c r="BT42" s="454">
        <f>IF(OR('Parte Estrategica'!CL42=0,'Parte Estrategica'!CL42=""),0,IF(VLOOKUP($A42,'Matriz de Referencia'!$B$2:$CO$584,49,FALSE)=0,0,"Digite"))</f>
        <v>0</v>
      </c>
      <c r="BU42" s="454">
        <f>IF(OR('Parte Estrategica'!CL42=0,'Parte Estrategica'!CL42=""),0,IF(VLOOKUP($A42,'Matriz de Referencia'!$B$2:$CO$584,50,FALSE)=0,0,"Digite"))</f>
        <v>0</v>
      </c>
      <c r="BV42" s="382">
        <f t="shared" si="14"/>
        <v>0</v>
      </c>
      <c r="BW42" s="382">
        <f t="shared" si="15"/>
        <v>0</v>
      </c>
      <c r="BX42" s="453">
        <f>IF(OR('Parte Estrategica'!AI42=0,'Parte Estrategica'!AI42=""),0,IF(VLOOKUP($A42,'Matriz de Referencia'!$B$2:$CO$584,39,FALSE)=0,0,"Digite"))</f>
        <v>0</v>
      </c>
      <c r="BY42" s="454">
        <f>IF(OR('Parte Estrategica'!AI42=0,'Parte Estrategica'!AI42=""),0,IF(VLOOKUP($A42,'Matriz de Referencia'!$B$2:$CO$584,40,FALSE)=0,0,"Digite"))</f>
        <v>0</v>
      </c>
      <c r="BZ42" s="454">
        <f>IF(OR('Parte Estrategica'!AI42=0,'Parte Estrategica'!AI42=""),0,IF(VLOOKUP($A42,'Matriz de Referencia'!$B$2:$CO$584,41,FALSE)=0,0,"Digite"))</f>
        <v>0</v>
      </c>
      <c r="CA42" s="454">
        <f>IF(OR('Parte Estrategica'!AI42=0,'Parte Estrategica'!AI42=""),0,IF(VLOOKUP($A42,'Matriz de Referencia'!$B$2:$CO$584,42,FALSE)=0,0,"Digite"))</f>
        <v>0</v>
      </c>
      <c r="CB42" s="454">
        <f>IF(OR('Parte Estrategica'!AI42=0,'Parte Estrategica'!AI42=""),0,IF(VLOOKUP($A42,'Matriz de Referencia'!$B$2:$CO$584,43,FALSE)=0,0,"Digite"))</f>
        <v>0</v>
      </c>
      <c r="CC42" s="454">
        <f>IF(OR('Parte Estrategica'!AI42=0,'Parte Estrategica'!AI42=""),0,IF(VLOOKUP($A42,'Matriz de Referencia'!$B$2:$CO$584,44,FALSE)=0,0,"Digite"))</f>
        <v>0</v>
      </c>
      <c r="CD42" s="454">
        <f>IF(OR('Parte Estrategica'!AI42=0,'Parte Estrategica'!AI42=""),0,IF(VLOOKUP($A42,'Matriz de Referencia'!$B$2:$CO$584,45,FALSE)=0,0,"Digite"))</f>
        <v>0</v>
      </c>
      <c r="CE42" s="454">
        <f>IF(OR('Parte Estrategica'!AI42=0,'Parte Estrategica'!AI42=""),0,IF(VLOOKUP($A42,'Matriz de Referencia'!$B$2:$CO$584,46,FALSE)=0,0,"Digite"))</f>
        <v>0</v>
      </c>
      <c r="CF42" s="382">
        <f t="shared" si="16"/>
        <v>0</v>
      </c>
      <c r="CG42" s="454">
        <f>IF(OR('Parte Estrategica'!AI42=0,'Parte Estrategica'!AI42=""),0,IF(VLOOKUP($A42,'Matriz de Referencia'!$B$2:$CO$584,48,FALSE)=0,0,"Digite"))</f>
        <v>0</v>
      </c>
      <c r="CH42" s="454">
        <f>IF(OR('Parte Estrategica'!AI42=0,'Parte Estrategica'!AI42=""),0,IF(VLOOKUP($A42,'Matriz de Referencia'!$B$2:$CO$584,49,FALSE)=0,0,"Digite"))</f>
        <v>0</v>
      </c>
      <c r="CI42" s="454">
        <f>IF(OR('Parte Estrategica'!AI42=0,'Parte Estrategica'!AI42=""),0,IF(VLOOKUP($A42,'Matriz de Referencia'!$B$2:$CO$584,50,FALSE)=0,0,"Digite"))</f>
        <v>0</v>
      </c>
      <c r="CJ42" s="382">
        <f t="shared" si="17"/>
        <v>0</v>
      </c>
      <c r="CK42" s="382">
        <f t="shared" si="18"/>
        <v>0</v>
      </c>
      <c r="CL42" s="453">
        <f>IF(OR('Parte Estrategica'!AJ42=0,'Parte Estrategica'!AJ42=""),0,IF(VLOOKUP($A42,'Matriz de Referencia'!$B$2:$CO$584,39,FALSE)=0,0,"Digite"))</f>
        <v>0</v>
      </c>
      <c r="CM42" s="454">
        <f>IF(OR('Parte Estrategica'!AJ42=0,'Parte Estrategica'!AJ42=""),0,IF(VLOOKUP($A42,'Matriz de Referencia'!$B$2:$CO$584,40,FALSE)=0,0,"Digite"))</f>
        <v>0</v>
      </c>
      <c r="CN42" s="454">
        <f>IF(OR('Parte Estrategica'!AJ42=0,'Parte Estrategica'!AJ42=""),0,IF(VLOOKUP($A42,'Matriz de Referencia'!$B$2:$CO$584,41,FALSE)=0,0,"Digite"))</f>
        <v>0</v>
      </c>
      <c r="CO42" s="454">
        <f>IF(OR('Parte Estrategica'!AJ42=0,'Parte Estrategica'!AJ42=""),0,IF(VLOOKUP($A42,'Matriz de Referencia'!$B$2:$CO$584,42,FALSE)=0,0,"Digite"))</f>
        <v>0</v>
      </c>
      <c r="CP42" s="454">
        <f>IF(OR('Parte Estrategica'!AJ42=0,'Parte Estrategica'!AJ42=""),0,IF(VLOOKUP($A42,'Matriz de Referencia'!$B$2:$CO$584,43,FALSE)=0,0,"Digite"))</f>
        <v>0</v>
      </c>
      <c r="CQ42" s="454">
        <f>IF(OR('Parte Estrategica'!AJ42=0,'Parte Estrategica'!AJ42=""),0,IF(VLOOKUP($A42,'Matriz de Referencia'!$B$2:$CO$584,44,FALSE)=0,0,"Digite"))</f>
        <v>0</v>
      </c>
      <c r="CR42" s="454">
        <f>IF(OR('Parte Estrategica'!AJ42=0,'Parte Estrategica'!AJ42=""),0,IF(VLOOKUP($A42,'Matriz de Referencia'!$B$2:$CO$584,45,FALSE)=0,0,"Digite"))</f>
        <v>0</v>
      </c>
      <c r="CS42" s="454">
        <f>IF(OR('Parte Estrategica'!AJ42=0,'Parte Estrategica'!AJ42=""),0,IF(VLOOKUP($A42,'Matriz de Referencia'!$B$2:$CO$584,46,FALSE)=0,0,"Digite"))</f>
        <v>0</v>
      </c>
      <c r="CT42" s="382">
        <f t="shared" si="19"/>
        <v>0</v>
      </c>
      <c r="CU42" s="454">
        <f>IF(OR('Parte Estrategica'!AJ42=0,'Parte Estrategica'!AJ42=""),0,IF(VLOOKUP($A42,'Matriz de Referencia'!$B$2:$CO$584,48,FALSE)=0,0,"Digite"))</f>
        <v>0</v>
      </c>
      <c r="CV42" s="454">
        <f>IF(OR('Parte Estrategica'!AJ42=0,'Parte Estrategica'!AJ42=""),0,IF(VLOOKUP($A42,'Matriz de Referencia'!$B$2:$CO$584,49,FALSE)=0,0,"Digite"))</f>
        <v>0</v>
      </c>
      <c r="CW42" s="454">
        <f>IF(OR('Parte Estrategica'!AJ42=0,'Parte Estrategica'!AJ42=""),0,IF(VLOOKUP($A42,'Matriz de Referencia'!$B$2:$CO$584,50,FALSE)=0,0,"Digite"))</f>
        <v>0</v>
      </c>
      <c r="CX42" s="382">
        <f t="shared" si="20"/>
        <v>0</v>
      </c>
      <c r="CY42" s="382">
        <f t="shared" si="21"/>
        <v>0</v>
      </c>
      <c r="CZ42" s="453">
        <f>IF(OR('Parte Estrategica'!AK42=0,'Parte Estrategica'!AK42=""),0,IF(VLOOKUP($A42,'Matriz de Referencia'!$B$2:$CO$584,39,FALSE)=0,0,"Digite"))</f>
        <v>0</v>
      </c>
      <c r="DA42" s="454">
        <f>IF(OR('Parte Estrategica'!AK42=0,'Parte Estrategica'!AK42=""),0,IF(VLOOKUP($A42,'Matriz de Referencia'!$B$2:$CO$584,40,FALSE)=0,0,"Digite"))</f>
        <v>0</v>
      </c>
      <c r="DB42" s="454">
        <f>IF(OR('Parte Estrategica'!AK42=0,'Parte Estrategica'!AK42=""),0,IF(VLOOKUP($A42,'Matriz de Referencia'!$B$2:$CO$584,41,FALSE)=0,0,"Digite"))</f>
        <v>0</v>
      </c>
      <c r="DC42" s="454">
        <f>IF(OR('Parte Estrategica'!AK42=0,'Parte Estrategica'!AK42=""),0,IF(VLOOKUP($A42,'Matriz de Referencia'!$B$2:$CO$584,42,FALSE)=0,0,"Digite"))</f>
        <v>0</v>
      </c>
      <c r="DD42" s="454">
        <f>IF(OR('Parte Estrategica'!AK42=0,'Parte Estrategica'!AK42=""),0,IF(VLOOKUP($A42,'Matriz de Referencia'!$B$2:$CO$584,43,FALSE)=0,0,"Digite"))</f>
        <v>0</v>
      </c>
      <c r="DE42" s="454">
        <f>IF(OR('Parte Estrategica'!AK42=0,'Parte Estrategica'!AK42=""),0,IF(VLOOKUP($A42,'Matriz de Referencia'!$B$2:$CO$584,44,FALSE)=0,0,"Digite"))</f>
        <v>0</v>
      </c>
      <c r="DF42" s="454">
        <f>IF(OR('Parte Estrategica'!AK42=0,'Parte Estrategica'!AK42=""),0,IF(VLOOKUP($A42,'Matriz de Referencia'!$B$2:$CO$584,45,FALSE)=0,0,"Digite"))</f>
        <v>0</v>
      </c>
      <c r="DG42" s="454">
        <f>IF(OR('Parte Estrategica'!AK42=0,'Parte Estrategica'!AK42=""),0,IF(VLOOKUP($A42,'Matriz de Referencia'!$B$2:$CO$584,46,FALSE)=0,0,"Digite"))</f>
        <v>0</v>
      </c>
      <c r="DH42" s="382">
        <f t="shared" si="22"/>
        <v>0</v>
      </c>
      <c r="DI42" s="454">
        <f>IF(OR('Parte Estrategica'!AK42=0,'Parte Estrategica'!AK42=""),0,IF(VLOOKUP($A42,'Matriz de Referencia'!$B$2:$CO$584,48,FALSE)=0,0,"Digite"))</f>
        <v>0</v>
      </c>
      <c r="DJ42" s="454">
        <f>IF(OR('Parte Estrategica'!AK42=0,'Parte Estrategica'!AK42=""),0,IF(VLOOKUP($A42,'Matriz de Referencia'!$B$2:$CO$584,49,FALSE)=0,0,"Digite"))</f>
        <v>0</v>
      </c>
      <c r="DK42" s="454">
        <f>IF(OR('Parte Estrategica'!AK42=0,'Parte Estrategica'!AK42=""),0,IF(VLOOKUP($A42,'Matriz de Referencia'!$B$2:$CO$584,50,FALSE)=0,0,"Digite"))</f>
        <v>0</v>
      </c>
      <c r="DL42" s="382">
        <f t="shared" si="23"/>
        <v>0</v>
      </c>
      <c r="DM42" s="382">
        <f t="shared" si="24"/>
        <v>0</v>
      </c>
      <c r="DN42" s="382">
        <f t="shared" si="25"/>
        <v>0</v>
      </c>
      <c r="DO42" s="101" t="str">
        <f>IFERROR(IF(DN42=0,"",IF(VLOOKUP($A42,'Matriz de Referencia'!$B$2:$CO$584,52,FALSE)=DN42,"Techos ok, cotinue","Debe revisar el valor programado")),"")</f>
        <v/>
      </c>
      <c r="DP42" s="453">
        <f>IF(OR('Parte Estrategica'!AN42=0,'Parte Estrategica'!AN42=""),0,IF(VLOOKUP($A42,'Matriz de Referencia'!$B$2:$CO$584,53,FALSE)=0,0,"Digite"))</f>
        <v>0</v>
      </c>
      <c r="DQ42" s="454">
        <f>IF(OR('Parte Estrategica'!AN42=0,'Parte Estrategica'!AN42=""),0,IF(VLOOKUP($A42,'Matriz de Referencia'!$B$2:$CO$584,54,FALSE)=0,0,"Digite"))</f>
        <v>0</v>
      </c>
      <c r="DR42" s="454">
        <f>IF(OR('Parte Estrategica'!AN42=0,'Parte Estrategica'!AN42=""),0,IF(VLOOKUP($A42,'Matriz de Referencia'!$B$2:$CO$584,55,FALSE)=0,0,"Digite"))</f>
        <v>0</v>
      </c>
      <c r="DS42" s="454">
        <f>IF(OR('Parte Estrategica'!AN42=0,'Parte Estrategica'!AN42=""),0,IF(VLOOKUP($A42,'Matriz de Referencia'!$B$2:$CO$584,56,FALSE)=0,0,"Digite"))</f>
        <v>0</v>
      </c>
      <c r="DT42" s="454">
        <f>IF(OR('Parte Estrategica'!AN42=0,'Parte Estrategica'!AN42=""),0,IF(VLOOKUP($A42,'Matriz de Referencia'!$B$2:$CO$584,57,FALSE)=0,0,"Digite"))</f>
        <v>0</v>
      </c>
      <c r="DU42" s="454">
        <f>IF(OR('Parte Estrategica'!AN42=0,'Parte Estrategica'!AN42=""),0,IF(VLOOKUP($A42,'Matriz de Referencia'!$B$2:$CO$584,58,FALSE)=0,0,"Digite"))</f>
        <v>0</v>
      </c>
      <c r="DV42" s="454">
        <f>IF(OR('Parte Estrategica'!AN42=0,'Parte Estrategica'!AN42=""),0,IF(VLOOKUP($A42,'Matriz de Referencia'!$B$2:$CO$584,59,FALSE)=0,0,"Digite"))</f>
        <v>0</v>
      </c>
      <c r="DW42" s="454">
        <f>IF(OR('Parte Estrategica'!AN42=0,'Parte Estrategica'!AN42=""),0,IF(VLOOKUP($A42,'Matriz de Referencia'!$B$2:$CO$584,60,FALSE)=0,0,"Digite"))</f>
        <v>0</v>
      </c>
      <c r="DX42" s="382">
        <f t="shared" si="26"/>
        <v>0</v>
      </c>
      <c r="DY42" s="454">
        <f>IF(OR('Parte Estrategica'!AN42=0,'Parte Estrategica'!AN42=""),0,IF(VLOOKUP($A42,'Matriz de Referencia'!$B$2:$CO$584,62,FALSE)=0,0,"Digite"))</f>
        <v>0</v>
      </c>
      <c r="DZ42" s="454">
        <f>IF(OR('Parte Estrategica'!AN42=0,'Parte Estrategica'!AN42=""),0,IF(VLOOKUP($A42,'Matriz de Referencia'!$B$2:$CO$584,63,FALSE)=0,0,"Digite"))</f>
        <v>0</v>
      </c>
      <c r="EA42" s="454" t="str">
        <f>IF(OR('Parte Estrategica'!AN42=0,'Parte Estrategica'!AN42=""),"",IF(VLOOKUP($A42,'Matriz de Referencia'!$B$2:$CO$584,64,FALSE)=0,"","Digite"))</f>
        <v/>
      </c>
      <c r="EB42" s="382">
        <f t="shared" si="27"/>
        <v>0</v>
      </c>
      <c r="EC42" s="382">
        <f t="shared" si="28"/>
        <v>0</v>
      </c>
      <c r="ED42" s="453">
        <f>IF(OR('Parte Estrategica'!AO42=0,'Parte Estrategica'!AO42=""),0,IF(VLOOKUP($A42,'Matriz de Referencia'!$B$2:$CO$584,53,FALSE)=0,0,"Digite"))</f>
        <v>0</v>
      </c>
      <c r="EE42" s="454">
        <f>IF(OR('Parte Estrategica'!AO42=0,'Parte Estrategica'!AO42=""),0,IF(VLOOKUP($A42,'Matriz de Referencia'!$B$2:$CO$584,54,FALSE)=0,0,"Digite"))</f>
        <v>0</v>
      </c>
      <c r="EF42" s="454">
        <f>IF(OR('Parte Estrategica'!AO42=0,'Parte Estrategica'!AO42=""),0,IF(VLOOKUP($A42,'Matriz de Referencia'!$B$2:$CO$584,55,FALSE)=0,0,"Digite"))</f>
        <v>0</v>
      </c>
      <c r="EG42" s="454">
        <f>IF(OR('Parte Estrategica'!AO42=0,'Parte Estrategica'!AO42=""),0,IF(VLOOKUP($A42,'Matriz de Referencia'!$B$2:$CO$584,56,FALSE)=0,0,"Digite"))</f>
        <v>0</v>
      </c>
      <c r="EH42" s="454">
        <f>IF(OR('Parte Estrategica'!AO42=0,'Parte Estrategica'!AO42=""),0,IF(VLOOKUP($A42,'Matriz de Referencia'!$B$2:$CO$584,57,FALSE)=0,0,"Digite"))</f>
        <v>0</v>
      </c>
      <c r="EI42" s="454">
        <f>IF(OR('Parte Estrategica'!AO42=0,'Parte Estrategica'!AO42=""),0,IF(VLOOKUP($A42,'Matriz de Referencia'!$B$2:$CO$584,58,FALSE)=0,0,"Digite"))</f>
        <v>0</v>
      </c>
      <c r="EJ42" s="454">
        <f>IF(OR('Parte Estrategica'!AO42=0,'Parte Estrategica'!AO42=""),0,IF(VLOOKUP($A42,'Matriz de Referencia'!$B$2:$CO$584,59,FALSE)=0,0,"Digite"))</f>
        <v>0</v>
      </c>
      <c r="EK42" s="454">
        <f>IF(OR('Parte Estrategica'!AO42=0,'Parte Estrategica'!AO42=""),0,IF(VLOOKUP($A42,'Matriz de Referencia'!$B$2:$CO$584,60,FALSE)=0,0,"Digite"))</f>
        <v>0</v>
      </c>
      <c r="EL42" s="382">
        <f t="shared" si="29"/>
        <v>0</v>
      </c>
      <c r="EM42" s="454">
        <f>IF(OR('Parte Estrategica'!AO42=0,'Parte Estrategica'!AO42=""),0,IF(VLOOKUP($A42,'Matriz de Referencia'!$B$2:$CO$584,62,FALSE)=0,0,"Digite"))</f>
        <v>0</v>
      </c>
      <c r="EN42" s="454">
        <f>IF(OR('Parte Estrategica'!AO42=0,'Parte Estrategica'!AO42=""),0,IF(VLOOKUP($A42,'Matriz de Referencia'!$B$2:$CO$584,63,FALSE)=0,0,"Digite"))</f>
        <v>0</v>
      </c>
      <c r="EO42" s="454">
        <f>IF(OR('Parte Estrategica'!AO42=0,'Parte Estrategica'!AO42=""),0,IF(VLOOKUP($A42,'Matriz de Referencia'!$B$2:$CO$584,64,FALSE)=0,0,"Digite"))</f>
        <v>0</v>
      </c>
      <c r="EP42" s="382">
        <f t="shared" si="30"/>
        <v>0</v>
      </c>
      <c r="EQ42" s="382">
        <f t="shared" si="31"/>
        <v>0</v>
      </c>
      <c r="ER42" s="453">
        <f>IF(OR('Parte Estrategica'!AP42=0,'Parte Estrategica'!AP42=""),0,IF(VLOOKUP($A42,'Matriz de Referencia'!$B$2:$CO$584,53,FALSE)=0,0,"Digite"))</f>
        <v>0</v>
      </c>
      <c r="ES42" s="454">
        <f>IF(OR('Parte Estrategica'!AP42=0,'Parte Estrategica'!AP42=""),0,IF(VLOOKUP($A42,'Matriz de Referencia'!$B$2:$CO$584,54,FALSE)=0,0,"Digite"))</f>
        <v>0</v>
      </c>
      <c r="ET42" s="454">
        <f>IF(OR('Parte Estrategica'!AP42=0,'Parte Estrategica'!AP42=""),0,IF(VLOOKUP($A42,'Matriz de Referencia'!$B$2:$CO$584,55,FALSE)=0,0,"Digite"))</f>
        <v>0</v>
      </c>
      <c r="EU42" s="454">
        <f>IF(OR('Parte Estrategica'!AP42=0,'Parte Estrategica'!AP42=""),0,IF(VLOOKUP($A42,'Matriz de Referencia'!$B$2:$CO$584,56,FALSE)=0,0,"Digite"))</f>
        <v>0</v>
      </c>
      <c r="EV42" s="454">
        <f>IF(OR('Parte Estrategica'!AP42=0,'Parte Estrategica'!AP42=""),0,IF(VLOOKUP($A42,'Matriz de Referencia'!$B$2:$CO$584,57,FALSE)=0,0,"Digite"))</f>
        <v>0</v>
      </c>
      <c r="EW42" s="454">
        <f>IF(OR('Parte Estrategica'!AP42=0,'Parte Estrategica'!AP42=""),0,IF(VLOOKUP($A42,'Matriz de Referencia'!$B$2:$CO$584,58,FALSE)=0,0,"Digite"))</f>
        <v>0</v>
      </c>
      <c r="EX42" s="454">
        <f>IF(OR('Parte Estrategica'!AP42=0,'Parte Estrategica'!AP42=""),0,IF(VLOOKUP($A42,'Matriz de Referencia'!$B$2:$CO$584,59,FALSE)=0,0,"Digite"))</f>
        <v>0</v>
      </c>
      <c r="EY42" s="454">
        <f>IF(OR('Parte Estrategica'!AP42=0,'Parte Estrategica'!AP42=""),0,IF(VLOOKUP($A42,'Matriz de Referencia'!$B$2:$CO$584,60,FALSE)=0,0,"Digite"))</f>
        <v>0</v>
      </c>
      <c r="EZ42" s="382">
        <f t="shared" si="32"/>
        <v>0</v>
      </c>
      <c r="FA42" s="454">
        <f>IF(OR('Parte Estrategica'!AP42=0,'Parte Estrategica'!AP42=""),0,IF(VLOOKUP($A42,'Matriz de Referencia'!$B$2:$CO$584,62,FALSE)=0,0,"Digite"))</f>
        <v>0</v>
      </c>
      <c r="FB42" s="454">
        <f>IF(OR('Parte Estrategica'!AP42=0,'Parte Estrategica'!AP42=""),0,IF(VLOOKUP($A42,'Matriz de Referencia'!$B$2:$CO$584,63,FALSE)=0,0,"Digite"))</f>
        <v>0</v>
      </c>
      <c r="FC42" s="454">
        <f>IF(OR('Parte Estrategica'!AP42=0,'Parte Estrategica'!AP42=""),0,IF(VLOOKUP($A42,'Matriz de Referencia'!$B$2:$CO$584,64,FALSE)=0,0,"Digite"))</f>
        <v>0</v>
      </c>
      <c r="FD42" s="382">
        <f t="shared" si="33"/>
        <v>0</v>
      </c>
      <c r="FE42" s="382">
        <f t="shared" si="34"/>
        <v>0</v>
      </c>
      <c r="FF42" s="453">
        <f>IF(OR('Parte Estrategica'!AQ42=0,'Parte Estrategica'!AQ42=""),0,IF(VLOOKUP($A42,'Matriz de Referencia'!$B$2:$CO$584,53,FALSE)=0,0,"Digite"))</f>
        <v>0</v>
      </c>
      <c r="FG42" s="454">
        <f>IF(OR('Parte Estrategica'!AQ42=0,'Parte Estrategica'!AQ42=""),0,IF(VLOOKUP($A42,'Matriz de Referencia'!$B$2:$CO$584,54,FALSE)=0,0,"Digite"))</f>
        <v>0</v>
      </c>
      <c r="FH42" s="454">
        <f>IF(OR('Parte Estrategica'!AQ42=0,'Parte Estrategica'!AQ42=""),0,IF(VLOOKUP($A42,'Matriz de Referencia'!$B$2:$CO$584,55,FALSE)=0,0,"Digite"))</f>
        <v>0</v>
      </c>
      <c r="FI42" s="454">
        <f>IF(OR('Parte Estrategica'!AQ42=0,'Parte Estrategica'!AQ42=""),0,IF(VLOOKUP($A42,'Matriz de Referencia'!$B$2:$CO$584,56,FALSE)=0,0,"Digite"))</f>
        <v>0</v>
      </c>
      <c r="FJ42" s="454">
        <f>IF(OR('Parte Estrategica'!AQ42=0,'Parte Estrategica'!AQ42=""),0,IF(VLOOKUP($A42,'Matriz de Referencia'!$B$2:$CO$584,57,FALSE)=0,0,"Digite"))</f>
        <v>0</v>
      </c>
      <c r="FK42" s="454">
        <f>IF(OR('Parte Estrategica'!AQ42=0,'Parte Estrategica'!AQ42=""),0,IF(VLOOKUP($A42,'Matriz de Referencia'!$B$2:$CO$584,58,FALSE)=0,0,"Digite"))</f>
        <v>0</v>
      </c>
      <c r="FL42" s="454">
        <f>IF(OR('Parte Estrategica'!AQ42=0,'Parte Estrategica'!AQ42=""),0,IF(VLOOKUP($A42,'Matriz de Referencia'!$B$2:$CO$584,59,FALSE)=0,0,"Digite"))</f>
        <v>0</v>
      </c>
      <c r="FM42" s="454">
        <f>IF(OR('Parte Estrategica'!AQ42=0,'Parte Estrategica'!AQ42=""),0,IF(VLOOKUP($A42,'Matriz de Referencia'!$B$2:$CO$584,60,FALSE)=0,0,"Digite"))</f>
        <v>0</v>
      </c>
      <c r="FN42" s="382">
        <f t="shared" si="35"/>
        <v>0</v>
      </c>
      <c r="FO42" s="454">
        <f>IF(OR('Parte Estrategica'!AQ42=0,'Parte Estrategica'!AQ42=""),0,IF(VLOOKUP($A42,'Matriz de Referencia'!$B$2:$CO$584,62,FALSE)=0,0,"Digite"))</f>
        <v>0</v>
      </c>
      <c r="FP42" s="454">
        <f>IF(OR('Parte Estrategica'!AQ42=0,'Parte Estrategica'!AQ42=""),0,IF(VLOOKUP($A42,'Matriz de Referencia'!$B$2:$CO$584,63,FALSE)=0,0,"Digite"))</f>
        <v>0</v>
      </c>
      <c r="FQ42" s="454">
        <f>IF(OR('Parte Estrategica'!AQ42=0,'Parte Estrategica'!AQ42=""),0,IF(VLOOKUP($A42,'Matriz de Referencia'!$B$2:$CO$584,64,FALSE)=0,0,"Digite"))</f>
        <v>0</v>
      </c>
      <c r="FR42" s="382">
        <f t="shared" si="36"/>
        <v>0</v>
      </c>
      <c r="FS42" s="382">
        <f t="shared" si="37"/>
        <v>0</v>
      </c>
      <c r="FT42" s="382">
        <f t="shared" si="38"/>
        <v>0</v>
      </c>
      <c r="FU42" s="101" t="str">
        <f>IFERROR(IF(FT42=0,"",IF(VLOOKUP($A42,'Matriz de Referencia'!$B$2:$CO$584,66,FALSE)=FT42,"Techos ok, cotinue","Debe revisar el valor programado")),"")</f>
        <v/>
      </c>
      <c r="FV42" s="453">
        <f>IF(OR('Parte Estrategica'!AT42=0,'Parte Estrategica'!AT42=""),0,IF(VLOOKUP($A42,'Matriz de Referencia'!$B$2:$CO$584,67,FALSE)=0,0,"Digite"))</f>
        <v>0</v>
      </c>
      <c r="FW42" s="454">
        <f>IF(OR('Parte Estrategica'!AT42=0,'Parte Estrategica'!AT42=""),0,IF(VLOOKUP($A42,'Matriz de Referencia'!$B$2:$CO$584,68,FALSE)=0,0,"Digite"))</f>
        <v>0</v>
      </c>
      <c r="FX42" s="454">
        <f>IF(OR('Parte Estrategica'!AT42=0,'Parte Estrategica'!AT42=""),0,IF(VLOOKUP($A42,'Matriz de Referencia'!$B$2:$CO$584,69,FALSE)=0,0,"Digite"))</f>
        <v>0</v>
      </c>
      <c r="FY42" s="454">
        <f>IF(OR('Parte Estrategica'!AT42=0,'Parte Estrategica'!AT42=""),0,IF(VLOOKUP($A42,'Matriz de Referencia'!$B$2:$CO$584,70,FALSE)=0,0,"Digite"))</f>
        <v>0</v>
      </c>
      <c r="FZ42" s="454">
        <f>IF(OR('Parte Estrategica'!AT42=0,'Parte Estrategica'!AT42=""),0,IF(VLOOKUP($A42,'Matriz de Referencia'!$B$2:$CO$584,71,FALSE)=0,0,"Digite"))</f>
        <v>0</v>
      </c>
      <c r="GA42" s="454">
        <f>IF(OR('Parte Estrategica'!AT42=0,'Parte Estrategica'!AT42=""),0,IF(VLOOKUP($A42,'Matriz de Referencia'!$B$2:$CO$584,72,FALSE)=0,0,"Digite"))</f>
        <v>0</v>
      </c>
      <c r="GB42" s="454">
        <f>IF(OR('Parte Estrategica'!AT42=0,'Parte Estrategica'!AT42=""),0,IF(VLOOKUP($A42,'Matriz de Referencia'!$B$2:$CO$584,73,FALSE)=0,0,"Digite"))</f>
        <v>0</v>
      </c>
      <c r="GC42" s="454">
        <f>IF(OR('Parte Estrategica'!AT42=0,'Parte Estrategica'!AT42=""),0,IF(VLOOKUP($A42,'Matriz de Referencia'!$B$2:$CO$584,74,FALSE)=0,0,"Digite"))</f>
        <v>0</v>
      </c>
      <c r="GD42" s="382">
        <f t="shared" si="39"/>
        <v>0</v>
      </c>
      <c r="GE42" s="454">
        <f>IF(OR('Parte Estrategica'!AT42=0,'Parte Estrategica'!AT42=""),0,IF(VLOOKUP($A42,'Matriz de Referencia'!$B$2:$CO$584,76,FALSE)=0,0,"Digite"))</f>
        <v>0</v>
      </c>
      <c r="GF42" s="454">
        <f>IF(OR('Parte Estrategica'!AT42=0,'Parte Estrategica'!AT42=""),0,IF(VLOOKUP($A42,'Matriz de Referencia'!$B$2:$CO$584,77,FALSE)=0,0,"Digite"))</f>
        <v>0</v>
      </c>
      <c r="GG42" s="454">
        <f>IF(OR('Parte Estrategica'!AT42=0,'Parte Estrategica'!AT42=""),0,IF(VLOOKUP($A42,'Matriz de Referencia'!$B$2:$CO$584,78,FALSE)=0,0,"Digite"))</f>
        <v>0</v>
      </c>
      <c r="GH42" s="382">
        <f t="shared" si="40"/>
        <v>0</v>
      </c>
      <c r="GI42" s="382">
        <f t="shared" si="41"/>
        <v>0</v>
      </c>
      <c r="GJ42" s="453">
        <f>IF(OR('Parte Estrategica'!AU42=0,'Parte Estrategica'!AU42=""),0,IF(VLOOKUP($A42,'Matriz de Referencia'!$B$2:$CO$584,67,FALSE)=0,0,"Digite"))</f>
        <v>0</v>
      </c>
      <c r="GK42" s="454">
        <f>IF(OR('Parte Estrategica'!AU42=0,'Parte Estrategica'!AU42=""),0,IF(VLOOKUP($A42,'Matriz de Referencia'!$B$2:$CO$584,68,FALSE)=0,0,"Digite"))</f>
        <v>0</v>
      </c>
      <c r="GL42" s="454">
        <f>IF(OR('Parte Estrategica'!AU42=0,'Parte Estrategica'!AU42=""),0,IF(VLOOKUP($A42,'Matriz de Referencia'!$B$2:$CO$584,69,FALSE)=0,0,"Digite"))</f>
        <v>0</v>
      </c>
      <c r="GM42" s="454">
        <f>IF(OR('Parte Estrategica'!AU42=0,'Parte Estrategica'!AU42=""),0,IF(VLOOKUP($A42,'Matriz de Referencia'!$B$2:$CO$584,70,FALSE)=0,0,"Digite"))</f>
        <v>0</v>
      </c>
      <c r="GN42" s="454">
        <f>IF(OR('Parte Estrategica'!AU42=0,'Parte Estrategica'!AU42=""),0,IF(VLOOKUP($A42,'Matriz de Referencia'!$B$2:$CO$584,71,FALSE)=0,0,"Digite"))</f>
        <v>0</v>
      </c>
      <c r="GO42" s="454">
        <f>IF(OR('Parte Estrategica'!AU42=0,'Parte Estrategica'!AU42=""),0,IF(VLOOKUP($A42,'Matriz de Referencia'!$B$2:$CO$584,72,FALSE)=0,0,"Digite"))</f>
        <v>0</v>
      </c>
      <c r="GP42" s="454">
        <f>IF(OR('Parte Estrategica'!AU42=0,'Parte Estrategica'!AU42=""),0,IF(VLOOKUP($A42,'Matriz de Referencia'!$B$2:$CO$584,73,FALSE)=0,0,"Digite"))</f>
        <v>0</v>
      </c>
      <c r="GQ42" s="454">
        <f>IF(OR('Parte Estrategica'!AU42=0,'Parte Estrategica'!AU42=""),0,IF(VLOOKUP($A42,'Matriz de Referencia'!$B$2:$CO$584,74,FALSE)=0,0,"Digite"))</f>
        <v>0</v>
      </c>
      <c r="GR42" s="382">
        <f t="shared" si="42"/>
        <v>0</v>
      </c>
      <c r="GS42" s="454">
        <f>IF(OR('Parte Estrategica'!AU42=0,'Parte Estrategica'!AU42=""),0,IF(VLOOKUP($A42,'Matriz de Referencia'!$B$2:$CO$584,76,FALSE)=0,0,"Digite"))</f>
        <v>0</v>
      </c>
      <c r="GT42" s="454">
        <f>IF(OR('Parte Estrategica'!AU42=0,'Parte Estrategica'!AU42=""),0,IF(VLOOKUP($A42,'Matriz de Referencia'!$B$2:$CO$584,77,FALSE)=0,0,"Digite"))</f>
        <v>0</v>
      </c>
      <c r="GU42" s="454">
        <f>IF(OR('Parte Estrategica'!AU42=0,'Parte Estrategica'!AU42=""),0,IF(VLOOKUP($A42,'Matriz de Referencia'!$B$2:$CO$584,78,FALSE)=0,0,"Digite"))</f>
        <v>0</v>
      </c>
      <c r="GV42" s="382">
        <f t="shared" si="43"/>
        <v>0</v>
      </c>
      <c r="GW42" s="382">
        <f t="shared" si="44"/>
        <v>0</v>
      </c>
      <c r="GX42" s="453">
        <f>IF(OR('Parte Estrategica'!AV42=0,'Parte Estrategica'!AV42=""),0,IF(VLOOKUP($A42,'Matriz de Referencia'!$B$2:$CO$584,67,FALSE)=0,0,"Digite"))</f>
        <v>0</v>
      </c>
      <c r="GY42" s="454">
        <f>IF(OR('Parte Estrategica'!AV42=0,'Parte Estrategica'!AV42=""),0,IF(VLOOKUP($A42,'Matriz de Referencia'!$B$2:$CO$584,68,FALSE)=0,0,"Digite"))</f>
        <v>0</v>
      </c>
      <c r="GZ42" s="454">
        <f>IF(OR('Parte Estrategica'!AV42=0,'Parte Estrategica'!AV42=""),0,IF(VLOOKUP($A42,'Matriz de Referencia'!$B$2:$CO$584,69,FALSE)=0,0,"Digite"))</f>
        <v>0</v>
      </c>
      <c r="HA42" s="454">
        <f>IF(OR('Parte Estrategica'!AV42=0,'Parte Estrategica'!AV42=""),0,IF(VLOOKUP($A42,'Matriz de Referencia'!$B$2:$CO$584,70,FALSE)=0,0,"Digite"))</f>
        <v>0</v>
      </c>
      <c r="HB42" s="454">
        <f>IF(OR('Parte Estrategica'!AV42=0,'Parte Estrategica'!AV42=""),0,IF(VLOOKUP($A42,'Matriz de Referencia'!$B$2:$CO$584,71,FALSE)=0,0,"Digite"))</f>
        <v>0</v>
      </c>
      <c r="HC42" s="454">
        <f>IF(OR('Parte Estrategica'!AV42=0,'Parte Estrategica'!AV42=""),0,IF(VLOOKUP($A42,'Matriz de Referencia'!$B$2:$CO$584,72,FALSE)=0,0,"Digite"))</f>
        <v>0</v>
      </c>
      <c r="HD42" s="454">
        <f>IF(OR('Parte Estrategica'!AV42=0,'Parte Estrategica'!AV42=""),0,IF(VLOOKUP($A42,'Matriz de Referencia'!$B$2:$CO$584,73,FALSE)=0,0,"Digite"))</f>
        <v>0</v>
      </c>
      <c r="HE42" s="454">
        <f>IF(OR('Parte Estrategica'!AV42=0,'Parte Estrategica'!AV42=""),0,IF(VLOOKUP($A42,'Matriz de Referencia'!$B$2:$CO$584,74,FALSE)=0,0,"Digite"))</f>
        <v>0</v>
      </c>
      <c r="HF42" s="382">
        <f t="shared" si="45"/>
        <v>0</v>
      </c>
      <c r="HG42" s="454">
        <f>IF(OR('Parte Estrategica'!AV42=0,'Parte Estrategica'!AV42=""),0,IF(VLOOKUP($A42,'Matriz de Referencia'!$B$2:$CO$584,76,FALSE)=0,0,"Digite"))</f>
        <v>0</v>
      </c>
      <c r="HH42" s="454">
        <f>IF(OR('Parte Estrategica'!AV42=0,'Parte Estrategica'!AV42=""),0,IF(VLOOKUP($A42,'Matriz de Referencia'!$B$2:$CO$584,77,FALSE)=0,0,"Digite"))</f>
        <v>0</v>
      </c>
      <c r="HI42" s="454">
        <f>IF(OR('Parte Estrategica'!AV42=0,'Parte Estrategica'!AV42=""),0,IF(VLOOKUP($A42,'Matriz de Referencia'!$B$2:$CO$584,78,FALSE)=0,0,"Digite"))</f>
        <v>0</v>
      </c>
      <c r="HJ42" s="382">
        <f t="shared" si="46"/>
        <v>0</v>
      </c>
      <c r="HK42" s="382">
        <f t="shared" si="47"/>
        <v>0</v>
      </c>
      <c r="HL42" s="453">
        <f>IF(OR('Parte Estrategica'!AW42=0,'Parte Estrategica'!AW42=""),0,IF(VLOOKUP($A42,'Matriz de Referencia'!$B$2:$CO$584,67,FALSE)=0,0,"Digite"))</f>
        <v>0</v>
      </c>
      <c r="HM42" s="454">
        <f>IF(OR('Parte Estrategica'!AW42=0,'Parte Estrategica'!AW42=""),0,IF(VLOOKUP($A42,'Matriz de Referencia'!$B$2:$CO$584,68,FALSE)=0,0,"Digite"))</f>
        <v>0</v>
      </c>
      <c r="HN42" s="454">
        <f>IF(OR('Parte Estrategica'!AW42=0,'Parte Estrategica'!AW42=""),0,IF(VLOOKUP($A42,'Matriz de Referencia'!$B$2:$CO$584,69,FALSE)=0,0,"Digite"))</f>
        <v>0</v>
      </c>
      <c r="HO42" s="454">
        <f>IF(OR('Parte Estrategica'!AW42=0,'Parte Estrategica'!AW42=""),0,IF(VLOOKUP($A42,'Matriz de Referencia'!$B$2:$CO$584,70,FALSE)=0,0,"Digite"))</f>
        <v>0</v>
      </c>
      <c r="HP42" s="454">
        <f>IF(OR('Parte Estrategica'!AW42=0,'Parte Estrategica'!AW42=""),0,IF(VLOOKUP($A42,'Matriz de Referencia'!$B$2:$CO$584,71,FALSE)=0,0,"Digite"))</f>
        <v>0</v>
      </c>
      <c r="HQ42" s="454">
        <f>IF(OR('Parte Estrategica'!AW42=0,'Parte Estrategica'!AW42=""),0,IF(VLOOKUP($A42,'Matriz de Referencia'!$B$2:$CO$584,72,FALSE)=0,0,"Digite"))</f>
        <v>0</v>
      </c>
      <c r="HR42" s="454">
        <f>IF(OR('Parte Estrategica'!AW42=0,'Parte Estrategica'!AW42=""),0,IF(VLOOKUP($A42,'Matriz de Referencia'!$B$2:$CO$584,73,FALSE)=0,0,"Digite"))</f>
        <v>0</v>
      </c>
      <c r="HS42" s="454">
        <f>IF(OR('Parte Estrategica'!AW42=0,'Parte Estrategica'!AW42=""),0,IF(VLOOKUP($A42,'Matriz de Referencia'!$B$2:$CO$584,74,FALSE)=0,0,"Digite"))</f>
        <v>0</v>
      </c>
      <c r="HT42" s="382">
        <f t="shared" si="48"/>
        <v>0</v>
      </c>
      <c r="HU42" s="454">
        <f>IF(OR('Parte Estrategica'!AW42=0,'Parte Estrategica'!AW42=""),0,IF(VLOOKUP($A42,'Matriz de Referencia'!$B$2:$CO$584,76,FALSE)=0,0,"Digite"))</f>
        <v>0</v>
      </c>
      <c r="HV42" s="454">
        <f>IF(OR('Parte Estrategica'!AW42=0,'Parte Estrategica'!AW42=""),0,IF(VLOOKUP($A42,'Matriz de Referencia'!$B$2:$CO$584,77,FALSE)=0,0,"Digite"))</f>
        <v>0</v>
      </c>
      <c r="HW42" s="454">
        <f>IF(OR('Parte Estrategica'!AW42=0,'Parte Estrategica'!AW42=""),0,IF(VLOOKUP($A42,'Matriz de Referencia'!$B$2:$CO$584,78,FALSE)=0,0,"Digite"))</f>
        <v>0</v>
      </c>
      <c r="HX42" s="382">
        <f t="shared" si="49"/>
        <v>0</v>
      </c>
      <c r="HY42" s="382">
        <f t="shared" si="50"/>
        <v>0</v>
      </c>
      <c r="HZ42" s="382">
        <f t="shared" si="51"/>
        <v>0</v>
      </c>
      <c r="IA42" s="101" t="str">
        <f>IFERROR(IF(HZ42=0,"",IF(VLOOKUP($A42,'Matriz de Referencia'!$B$2:$CO$584,80,FALSE)=HZ42,"Techos ok, cotinue","Debe revisar el valor programado")),"")</f>
        <v/>
      </c>
      <c r="IB42" s="383">
        <f t="shared" si="52"/>
        <v>0</v>
      </c>
    </row>
    <row r="43" spans="1:236">
      <c r="A43" s="550" t="str">
        <f>IF('Parte Estrategica'!B43=0,"",'Parte Estrategica'!B43)</f>
        <v/>
      </c>
      <c r="B43" s="551" t="str">
        <f>IFERROR(VLOOKUP(A43,'Matriz de Referencia'!$B$2:$P$578,'Matriz de Referencia'!L$1,FALSE),"")</f>
        <v/>
      </c>
      <c r="C43" s="551" t="str">
        <f>IFERROR(VLOOKUP(A43,'Matriz de Referencia'!$B$2:$P$584,'Matriz de Referencia'!M$1,FALSE),"")</f>
        <v/>
      </c>
      <c r="D43" s="455" t="str">
        <f>IF(OR('Parte Estrategica'!AB43=0,'Parte Estrategica'!AB43=""),"",IF(VLOOKUP($A43,'Matriz de Referencia'!$B$2:$CO$584,'Matriz de Referencia'!Z$1,FALSE)=0,"","Digite"))</f>
        <v/>
      </c>
      <c r="E43" s="456">
        <f>IF(OR('Parte Estrategica'!AB43=0,'Parte Estrategica'!AB43=""),0,IF(VLOOKUP($A43,'Matriz de Referencia'!$B$2:$CO$584,26,FALSE)=0,0,"Digite"))</f>
        <v>0</v>
      </c>
      <c r="F43" s="456">
        <f>IF(OR('Parte Estrategica'!AB43=0,'Parte Estrategica'!AB43=""),0,IF(VLOOKUP($A43,'Matriz de Referencia'!$B$2:$CO$584,27,FALSE)=0,0,"Digite"))</f>
        <v>0</v>
      </c>
      <c r="G43" s="456">
        <f>IF(OR('Parte Estrategica'!AB43=0,'Parte Estrategica'!AB43=""),0,IF(VLOOKUP($A43,'Matriz de Referencia'!$B$2:$CO$584,28,FALSE)=0,0,"Digite"))</f>
        <v>0</v>
      </c>
      <c r="H43" s="456">
        <f>IF(OR('Parte Estrategica'!AB43=0,'Parte Estrategica'!AB43=""),0,IF(VLOOKUP($A43,'Matriz de Referencia'!$B$2:$CO$584,29,FALSE)=0,0,"Digite"))</f>
        <v>0</v>
      </c>
      <c r="I43" s="456">
        <f>IF(OR('Parte Estrategica'!AB43=0,'Parte Estrategica'!AB43=""),0,IF(VLOOKUP($A43,'Matriz de Referencia'!$B$2:$CO$584,30,FALSE)=0,0,"Digite"))</f>
        <v>0</v>
      </c>
      <c r="J43" s="456">
        <f>IF(OR('Parte Estrategica'!AB43=0,'Parte Estrategica'!AB43=""),0,IF(VLOOKUP($A43,'Matriz de Referencia'!$B$2:$CO$584,31,FALSE)=0,0,"Digite"))</f>
        <v>0</v>
      </c>
      <c r="K43" s="456">
        <f>IF(OR('Parte Estrategica'!AB43=0,'Parte Estrategica'!AB43=""),0,IF(VLOOKUP($A43,'Matriz de Referencia'!$B$2:$CO$584,32,FALSE)=0,0,"Digite"))</f>
        <v>0</v>
      </c>
      <c r="L43" s="460">
        <f t="shared" si="0"/>
        <v>0</v>
      </c>
      <c r="M43" s="456">
        <f>IF(OR('Parte Estrategica'!AB43=0,'Parte Estrategica'!AB43=""),0,IF(VLOOKUP($A43,'Matriz de Referencia'!$B$2:$CO$584,34,FALSE)=0,0,"Digite"))</f>
        <v>0</v>
      </c>
      <c r="N43" s="456">
        <f>IF(OR('Parte Estrategica'!AB43=0,'Parte Estrategica'!AB43=""),0,IF(VLOOKUP($A43,'Matriz de Referencia'!$B$2:$CO$584,35,FALSE)=0,0,"Digite"))</f>
        <v>0</v>
      </c>
      <c r="O43" s="456">
        <f>IF(OR('Parte Estrategica'!AB43=0,'Parte Estrategica'!AB43=""),0,IF(VLOOKUP($A43,'Matriz de Referencia'!$B$2:$CO$584,36,FALSE)=0,0,"Digite"))</f>
        <v>0</v>
      </c>
      <c r="P43" s="457">
        <f t="shared" si="1"/>
        <v>0</v>
      </c>
      <c r="Q43" s="457">
        <f t="shared" si="2"/>
        <v>0</v>
      </c>
      <c r="R43" s="455">
        <f>IF(OR('Parte Estrategica'!AC43=0,'Parte Estrategica'!AC43=""),0,IF(VLOOKUP($A43,'Matriz de Referencia'!$B$2:$CO$584,25,FALSE)=0,0,"Digite"))</f>
        <v>0</v>
      </c>
      <c r="S43" s="456">
        <f>IF(OR('Parte Estrategica'!AC43=0,'Parte Estrategica'!AC43=""),0,IF(VLOOKUP($A43,'Matriz de Referencia'!$B$2:$CO$584,26,FALSE)=0,0,"Digite"))</f>
        <v>0</v>
      </c>
      <c r="T43" s="456">
        <f>IF(OR('Parte Estrategica'!AC43=0,'Parte Estrategica'!AC43=""),0,IF(VLOOKUP($A43,'Matriz de Referencia'!$B$2:$CO$584,27,FALSE)=0,0,"Digite"))</f>
        <v>0</v>
      </c>
      <c r="U43" s="456">
        <f>IF(OR('Parte Estrategica'!AC43=0,'Parte Estrategica'!AC43=""),0,IF(VLOOKUP($A43,'Matriz de Referencia'!$B$2:$CO$584,28,FALSE)=0,0,"Digite"))</f>
        <v>0</v>
      </c>
      <c r="V43" s="456">
        <f>IF(OR('Parte Estrategica'!AC43=0,'Parte Estrategica'!AC43=""),0,IF(VLOOKUP($A43,'Matriz de Referencia'!$B$2:$CO$584,29,FALSE)=0,0,"Digite"))</f>
        <v>0</v>
      </c>
      <c r="W43" s="456">
        <f>IF(OR('Parte Estrategica'!AC43=0,'Parte Estrategica'!AC43=""),0,IF(VLOOKUP($A43,'Matriz de Referencia'!$B$2:$CO$584,30,FALSE)=0,0,"Digite"))</f>
        <v>0</v>
      </c>
      <c r="X43" s="456">
        <f>IF(OR('Parte Estrategica'!AC43=0,'Parte Estrategica'!AC43=""),0,IF(VLOOKUP($A43,'Matriz de Referencia'!$B$2:$CO$584,31,FALSE)=0,0,"Digite"))</f>
        <v>0</v>
      </c>
      <c r="Y43" s="456">
        <f>IF(OR('Parte Estrategica'!AC43=0,'Parte Estrategica'!AC43=""),0,IF(VLOOKUP($A43,'Matriz de Referencia'!$B$2:$CO$584,32,FALSE)=0,0,"Digite"))</f>
        <v>0</v>
      </c>
      <c r="Z43" s="457">
        <f t="shared" si="3"/>
        <v>0</v>
      </c>
      <c r="AA43" s="456">
        <f>IF(OR('Parte Estrategica'!AC43=0,'Parte Estrategica'!AC43=""),0,IF(VLOOKUP($A43,'Matriz de Referencia'!$B$2:$CO$584,34,FALSE)=0,0,"Digite"))</f>
        <v>0</v>
      </c>
      <c r="AB43" s="456">
        <f>IF(OR('Parte Estrategica'!AC43=0,'Parte Estrategica'!AC43=""),0,IF(VLOOKUP($A43,'Matriz de Referencia'!$B$2:$CO$584,35,FALSE)=0,0,"Digite"))</f>
        <v>0</v>
      </c>
      <c r="AC43" s="456">
        <f>IF(OR('Parte Estrategica'!AC43=0,'Parte Estrategica'!AC43=""),0,IF(VLOOKUP($A43,'Matriz de Referencia'!$B$2:$CO$584,36,FALSE)=0,0,"Digite"))</f>
        <v>0</v>
      </c>
      <c r="AD43" s="457">
        <f t="shared" si="4"/>
        <v>0</v>
      </c>
      <c r="AE43" s="457">
        <f t="shared" si="5"/>
        <v>0</v>
      </c>
      <c r="AF43" s="455">
        <f>IF(OR('Parte Estrategica'!AD43=0,'Parte Estrategica'!AD43=""),0,IF(VLOOKUP($A43,'Matriz de Referencia'!$B$2:$CO$584,25,FALSE)=0,0,"Digite"))</f>
        <v>0</v>
      </c>
      <c r="AG43" s="456">
        <f>IF(OR('Parte Estrategica'!AD43=0,'Parte Estrategica'!AD43=""),0,IF(VLOOKUP($A43,'Matriz de Referencia'!$B$2:$CO$584,26,FALSE)=0,0,"Digite"))</f>
        <v>0</v>
      </c>
      <c r="AH43" s="456">
        <f>IF(OR('Parte Estrategica'!AD43=0,'Parte Estrategica'!AD43=""),0,IF(VLOOKUP($A43,'Matriz de Referencia'!$B$2:$CO$584,27,FALSE)=0,0,"Digite"))</f>
        <v>0</v>
      </c>
      <c r="AI43" s="456">
        <f>IF(OR('Parte Estrategica'!AD43=0,'Parte Estrategica'!AD43=""),0,IF(VLOOKUP($A43,'Matriz de Referencia'!$B$2:$CO$584,28,FALSE)=0,0,"Digite"))</f>
        <v>0</v>
      </c>
      <c r="AJ43" s="456">
        <f>IF(OR('Parte Estrategica'!AD43=0,'Parte Estrategica'!AD43=""),0,IF(VLOOKUP($A43,'Matriz de Referencia'!$B$2:$CO$584,29,FALSE)=0,0,"Digite"))</f>
        <v>0</v>
      </c>
      <c r="AK43" s="456">
        <f>IF(OR('Parte Estrategica'!AD43=0,'Parte Estrategica'!AD43=""),0,IF(VLOOKUP($A43,'Matriz de Referencia'!$B$2:$CO$584,30,FALSE)=0,0,"Digite"))</f>
        <v>0</v>
      </c>
      <c r="AL43" s="456">
        <f>IF(OR('Parte Estrategica'!AD43=0,'Parte Estrategica'!AD43=""),0,IF(VLOOKUP($A43,'Matriz de Referencia'!$B$2:$CO$584,31,FALSE)=0,0,"Digite"))</f>
        <v>0</v>
      </c>
      <c r="AM43" s="456">
        <f>IF(OR('Parte Estrategica'!AD43=0,'Parte Estrategica'!AD43=""),0,IF(VLOOKUP($A43,'Matriz de Referencia'!$B$2:$CO$584,32,FALSE)=0,0,"Digite"))</f>
        <v>0</v>
      </c>
      <c r="AN43" s="457">
        <f t="shared" si="6"/>
        <v>0</v>
      </c>
      <c r="AO43" s="456">
        <f>IF(OR('Parte Estrategica'!AD43=0,'Parte Estrategica'!AD43=""),0,IF(VLOOKUP($A43,'Matriz de Referencia'!$B$2:$CO$584,34,FALSE)=0,0,"Digite"))</f>
        <v>0</v>
      </c>
      <c r="AP43" s="456">
        <f>IF(OR('Parte Estrategica'!AD43=0,'Parte Estrategica'!AD43=""),0,IF(VLOOKUP($A43,'Matriz de Referencia'!$B$2:$CO$584,35,FALSE)=0,0,"Digite"))</f>
        <v>0</v>
      </c>
      <c r="AQ43" s="456">
        <f>IF(OR('Parte Estrategica'!AD43=0,'Parte Estrategica'!AD43=""),0,IF(VLOOKUP($A43,'Matriz de Referencia'!$B$2:$CO$584,36,FALSE)=0,0,"Digite"))</f>
        <v>0</v>
      </c>
      <c r="AR43" s="457">
        <f t="shared" si="7"/>
        <v>0</v>
      </c>
      <c r="AS43" s="457">
        <f t="shared" si="8"/>
        <v>0</v>
      </c>
      <c r="AT43" s="455">
        <f>IF(OR('Parte Estrategica'!AE43=0,'Parte Estrategica'!AE43=""),0,IF(VLOOKUP($A43,'Matriz de Referencia'!$B$2:$CO$584,25,FALSE)=0,0,"Digite"))</f>
        <v>0</v>
      </c>
      <c r="AU43" s="456">
        <f>IF(OR('Parte Estrategica'!AE43=0,'Parte Estrategica'!AE43=""),0,IF(VLOOKUP($A43,'Matriz de Referencia'!$B$2:$CO$584,26,FALSE)=0,0,"Digite"))</f>
        <v>0</v>
      </c>
      <c r="AV43" s="456">
        <f>IF(OR('Parte Estrategica'!AE43=0,'Parte Estrategica'!AE43=""),0,IF(VLOOKUP($A43,'Matriz de Referencia'!$B$2:$CO$584,27,FALSE)=0,0,"Digite"))</f>
        <v>0</v>
      </c>
      <c r="AW43" s="456">
        <f>IF(OR('Parte Estrategica'!AE43=0,'Parte Estrategica'!AE43=""),0,IF(VLOOKUP($A43,'Matriz de Referencia'!$B$2:$CO$584,28,FALSE)=0,0,"Digite"))</f>
        <v>0</v>
      </c>
      <c r="AX43" s="456">
        <f>IF(OR('Parte Estrategica'!AE43=0,'Parte Estrategica'!AE43=""),0,IF(VLOOKUP($A43,'Matriz de Referencia'!$B$2:$CO$584,29,FALSE)=0,0,"Digite"))</f>
        <v>0</v>
      </c>
      <c r="AY43" s="456">
        <f>IF(OR('Parte Estrategica'!AE43=0,'Parte Estrategica'!AE43=""),0,IF(VLOOKUP($A43,'Matriz de Referencia'!$B$2:$CO$584,30,FALSE)=0,0,"Digite"))</f>
        <v>0</v>
      </c>
      <c r="AZ43" s="456">
        <f>IF(OR('Parte Estrategica'!AE43=0,'Parte Estrategica'!AE43=""),0,IF(VLOOKUP($A43,'Matriz de Referencia'!$B$2:$CO$584,31,FALSE)=0,0,"Digite"))</f>
        <v>0</v>
      </c>
      <c r="BA43" s="456">
        <f>IF(OR('Parte Estrategica'!AE43=0,'Parte Estrategica'!AE43=""),0,IF(VLOOKUP($A43,'Matriz de Referencia'!$B$2:$CO$584,32,FALSE)=0,0,"Digite"))</f>
        <v>0</v>
      </c>
      <c r="BB43" s="457">
        <f t="shared" si="9"/>
        <v>0</v>
      </c>
      <c r="BC43" s="456">
        <f>IF(OR('Parte Estrategica'!AE43=0,'Parte Estrategica'!AE43=""),0,IF(VLOOKUP($A43,'Matriz de Referencia'!$B$2:$CO$584,34,FALSE)=0,0,"Digite"))</f>
        <v>0</v>
      </c>
      <c r="BD43" s="456">
        <f>IF(OR('Parte Estrategica'!AE43=0,'Parte Estrategica'!AE43=""),0,IF(VLOOKUP($A43,'Matriz de Referencia'!$B$2:$CO$584,35,FALSE)=0,0,"Digite"))</f>
        <v>0</v>
      </c>
      <c r="BE43" s="456">
        <f>IF(OR('Parte Estrategica'!AE43=0,'Parte Estrategica'!AE43=""),0,IF(VLOOKUP($A43,'Matriz de Referencia'!$B$2:$CO$584,36,FALSE)=0,0,"Digite"))</f>
        <v>0</v>
      </c>
      <c r="BF43" s="457">
        <f t="shared" si="10"/>
        <v>0</v>
      </c>
      <c r="BG43" s="457">
        <f t="shared" si="11"/>
        <v>0</v>
      </c>
      <c r="BH43" s="457">
        <f t="shared" si="12"/>
        <v>0</v>
      </c>
      <c r="BI43" s="101" t="str">
        <f>IFERROR(IF(BH43=0,"",IF(VLOOKUP($A43,'Matriz de Referencia'!$B$2:$CO$584,'Matriz de Referencia'!AM$1,FALSE)=BH43,"Techos ok, cotinue","Debe revisar el valor programado")),"")</f>
        <v/>
      </c>
      <c r="BJ43" s="453">
        <f>IF(OR('Parte Estrategica'!AH43=0,'Parte Estrategica'!AH43=""),0,IF(VLOOKUP($A43,'Matriz de Referencia'!$B$2:$CO$584,39,FALSE)=0,0,"Digite"))</f>
        <v>0</v>
      </c>
      <c r="BK43" s="454">
        <f>IF(OR('Parte Estrategica'!AH43=0,'Parte Estrategica'!AH43=""),0,IF(VLOOKUP($A43,'Matriz de Referencia'!$B$2:$CO$584,40,FALSE)=0,0,"Digite"))</f>
        <v>0</v>
      </c>
      <c r="BL43" s="454">
        <f>IF(OR('Parte Estrategica'!AH43=0,'Parte Estrategica'!AH43=""),0,IF(VLOOKUP($A43,'Matriz de Referencia'!$B$2:$CO$584,41,FALSE)=0,0,"Digite"))</f>
        <v>0</v>
      </c>
      <c r="BM43" s="454">
        <f>IF(OR('Parte Estrategica'!AH43=0,'Parte Estrategica'!AH43=""),0,IF(VLOOKUP($A43,'Matriz de Referencia'!$B$2:$CO$584,42,FALSE)=0,0,"Digite"))</f>
        <v>0</v>
      </c>
      <c r="BN43" s="454">
        <f>IF(OR('Parte Estrategica'!AH43=0,'Parte Estrategica'!AH43=""),0,IF(VLOOKUP($A43,'Matriz de Referencia'!$B$2:$CO$584,43,FALSE)=0,0,"Digite"))</f>
        <v>0</v>
      </c>
      <c r="BO43" s="454">
        <f>IF(OR('Parte Estrategica'!AH43=0,'Parte Estrategica'!AH43=""),0,IF(VLOOKUP($A43,'Matriz de Referencia'!$B$2:$CO$584,44,FALSE)=0,0,"Digite"))</f>
        <v>0</v>
      </c>
      <c r="BP43" s="454">
        <f>IF(OR('Parte Estrategica'!AH43=0,'Parte Estrategica'!AH43=""),0,IF(VLOOKUP($A43,'Matriz de Referencia'!$B$2:$CO$584,45,FALSE)=0,0,"Digite"))</f>
        <v>0</v>
      </c>
      <c r="BQ43" s="454">
        <f>IF(OR('Parte Estrategica'!AH43=0,'Parte Estrategica'!AH43=""),0,IF(VLOOKUP($A43,'Matriz de Referencia'!$B$2:$CO$584,46,FALSE)=0,0,"Digite"))</f>
        <v>0</v>
      </c>
      <c r="BR43" s="382">
        <f t="shared" si="13"/>
        <v>0</v>
      </c>
      <c r="BS43" s="454">
        <f>IF(OR('Parte Estrategica'!CL43=0,'Parte Estrategica'!CL43=""),0,IF(VLOOKUP($A43,'Matriz de Referencia'!$B$2:$CO$584,48,FALSE)=0,0,"Digite"))</f>
        <v>0</v>
      </c>
      <c r="BT43" s="454">
        <f>IF(OR('Parte Estrategica'!CL43=0,'Parte Estrategica'!CL43=""),0,IF(VLOOKUP($A43,'Matriz de Referencia'!$B$2:$CO$584,49,FALSE)=0,0,"Digite"))</f>
        <v>0</v>
      </c>
      <c r="BU43" s="454">
        <f>IF(OR('Parte Estrategica'!CL43=0,'Parte Estrategica'!CL43=""),0,IF(VLOOKUP($A43,'Matriz de Referencia'!$B$2:$CO$584,50,FALSE)=0,0,"Digite"))</f>
        <v>0</v>
      </c>
      <c r="BV43" s="382">
        <f t="shared" si="14"/>
        <v>0</v>
      </c>
      <c r="BW43" s="382">
        <f t="shared" si="15"/>
        <v>0</v>
      </c>
      <c r="BX43" s="453">
        <f>IF(OR('Parte Estrategica'!AI43=0,'Parte Estrategica'!AI43=""),0,IF(VLOOKUP($A43,'Matriz de Referencia'!$B$2:$CO$584,39,FALSE)=0,0,"Digite"))</f>
        <v>0</v>
      </c>
      <c r="BY43" s="454">
        <f>IF(OR('Parte Estrategica'!AI43=0,'Parte Estrategica'!AI43=""),0,IF(VLOOKUP($A43,'Matriz de Referencia'!$B$2:$CO$584,40,FALSE)=0,0,"Digite"))</f>
        <v>0</v>
      </c>
      <c r="BZ43" s="454">
        <f>IF(OR('Parte Estrategica'!AI43=0,'Parte Estrategica'!AI43=""),0,IF(VLOOKUP($A43,'Matriz de Referencia'!$B$2:$CO$584,41,FALSE)=0,0,"Digite"))</f>
        <v>0</v>
      </c>
      <c r="CA43" s="454">
        <f>IF(OR('Parte Estrategica'!AI43=0,'Parte Estrategica'!AI43=""),0,IF(VLOOKUP($A43,'Matriz de Referencia'!$B$2:$CO$584,42,FALSE)=0,0,"Digite"))</f>
        <v>0</v>
      </c>
      <c r="CB43" s="454">
        <f>IF(OR('Parte Estrategica'!AI43=0,'Parte Estrategica'!AI43=""),0,IF(VLOOKUP($A43,'Matriz de Referencia'!$B$2:$CO$584,43,FALSE)=0,0,"Digite"))</f>
        <v>0</v>
      </c>
      <c r="CC43" s="454">
        <f>IF(OR('Parte Estrategica'!AI43=0,'Parte Estrategica'!AI43=""),0,IF(VLOOKUP($A43,'Matriz de Referencia'!$B$2:$CO$584,44,FALSE)=0,0,"Digite"))</f>
        <v>0</v>
      </c>
      <c r="CD43" s="454">
        <f>IF(OR('Parte Estrategica'!AI43=0,'Parte Estrategica'!AI43=""),0,IF(VLOOKUP($A43,'Matriz de Referencia'!$B$2:$CO$584,45,FALSE)=0,0,"Digite"))</f>
        <v>0</v>
      </c>
      <c r="CE43" s="454">
        <f>IF(OR('Parte Estrategica'!AI43=0,'Parte Estrategica'!AI43=""),0,IF(VLOOKUP($A43,'Matriz de Referencia'!$B$2:$CO$584,46,FALSE)=0,0,"Digite"))</f>
        <v>0</v>
      </c>
      <c r="CF43" s="382">
        <f t="shared" si="16"/>
        <v>0</v>
      </c>
      <c r="CG43" s="454">
        <f>IF(OR('Parte Estrategica'!AI43=0,'Parte Estrategica'!AI43=""),0,IF(VLOOKUP($A43,'Matriz de Referencia'!$B$2:$CO$584,48,FALSE)=0,0,"Digite"))</f>
        <v>0</v>
      </c>
      <c r="CH43" s="454">
        <f>IF(OR('Parte Estrategica'!AI43=0,'Parte Estrategica'!AI43=""),0,IF(VLOOKUP($A43,'Matriz de Referencia'!$B$2:$CO$584,49,FALSE)=0,0,"Digite"))</f>
        <v>0</v>
      </c>
      <c r="CI43" s="454">
        <f>IF(OR('Parte Estrategica'!AI43=0,'Parte Estrategica'!AI43=""),0,IF(VLOOKUP($A43,'Matriz de Referencia'!$B$2:$CO$584,50,FALSE)=0,0,"Digite"))</f>
        <v>0</v>
      </c>
      <c r="CJ43" s="382">
        <f t="shared" si="17"/>
        <v>0</v>
      </c>
      <c r="CK43" s="382">
        <f t="shared" si="18"/>
        <v>0</v>
      </c>
      <c r="CL43" s="453">
        <f>IF(OR('Parte Estrategica'!AJ43=0,'Parte Estrategica'!AJ43=""),0,IF(VLOOKUP($A43,'Matriz de Referencia'!$B$2:$CO$584,39,FALSE)=0,0,"Digite"))</f>
        <v>0</v>
      </c>
      <c r="CM43" s="454">
        <f>IF(OR('Parte Estrategica'!AJ43=0,'Parte Estrategica'!AJ43=""),0,IF(VLOOKUP($A43,'Matriz de Referencia'!$B$2:$CO$584,40,FALSE)=0,0,"Digite"))</f>
        <v>0</v>
      </c>
      <c r="CN43" s="454">
        <f>IF(OR('Parte Estrategica'!AJ43=0,'Parte Estrategica'!AJ43=""),0,IF(VLOOKUP($A43,'Matriz de Referencia'!$B$2:$CO$584,41,FALSE)=0,0,"Digite"))</f>
        <v>0</v>
      </c>
      <c r="CO43" s="454">
        <f>IF(OR('Parte Estrategica'!AJ43=0,'Parte Estrategica'!AJ43=""),0,IF(VLOOKUP($A43,'Matriz de Referencia'!$B$2:$CO$584,42,FALSE)=0,0,"Digite"))</f>
        <v>0</v>
      </c>
      <c r="CP43" s="454">
        <f>IF(OR('Parte Estrategica'!AJ43=0,'Parte Estrategica'!AJ43=""),0,IF(VLOOKUP($A43,'Matriz de Referencia'!$B$2:$CO$584,43,FALSE)=0,0,"Digite"))</f>
        <v>0</v>
      </c>
      <c r="CQ43" s="454">
        <f>IF(OR('Parte Estrategica'!AJ43=0,'Parte Estrategica'!AJ43=""),0,IF(VLOOKUP($A43,'Matriz de Referencia'!$B$2:$CO$584,44,FALSE)=0,0,"Digite"))</f>
        <v>0</v>
      </c>
      <c r="CR43" s="454">
        <f>IF(OR('Parte Estrategica'!AJ43=0,'Parte Estrategica'!AJ43=""),0,IF(VLOOKUP($A43,'Matriz de Referencia'!$B$2:$CO$584,45,FALSE)=0,0,"Digite"))</f>
        <v>0</v>
      </c>
      <c r="CS43" s="454">
        <f>IF(OR('Parte Estrategica'!AJ43=0,'Parte Estrategica'!AJ43=""),0,IF(VLOOKUP($A43,'Matriz de Referencia'!$B$2:$CO$584,46,FALSE)=0,0,"Digite"))</f>
        <v>0</v>
      </c>
      <c r="CT43" s="382">
        <f t="shared" si="19"/>
        <v>0</v>
      </c>
      <c r="CU43" s="454">
        <f>IF(OR('Parte Estrategica'!AJ43=0,'Parte Estrategica'!AJ43=""),0,IF(VLOOKUP($A43,'Matriz de Referencia'!$B$2:$CO$584,48,FALSE)=0,0,"Digite"))</f>
        <v>0</v>
      </c>
      <c r="CV43" s="454">
        <f>IF(OR('Parte Estrategica'!AJ43=0,'Parte Estrategica'!AJ43=""),0,IF(VLOOKUP($A43,'Matriz de Referencia'!$B$2:$CO$584,49,FALSE)=0,0,"Digite"))</f>
        <v>0</v>
      </c>
      <c r="CW43" s="454">
        <f>IF(OR('Parte Estrategica'!AJ43=0,'Parte Estrategica'!AJ43=""),0,IF(VLOOKUP($A43,'Matriz de Referencia'!$B$2:$CO$584,50,FALSE)=0,0,"Digite"))</f>
        <v>0</v>
      </c>
      <c r="CX43" s="382">
        <f t="shared" si="20"/>
        <v>0</v>
      </c>
      <c r="CY43" s="382">
        <f t="shared" si="21"/>
        <v>0</v>
      </c>
      <c r="CZ43" s="453">
        <f>IF(OR('Parte Estrategica'!AK43=0,'Parte Estrategica'!AK43=""),0,IF(VLOOKUP($A43,'Matriz de Referencia'!$B$2:$CO$584,39,FALSE)=0,0,"Digite"))</f>
        <v>0</v>
      </c>
      <c r="DA43" s="454">
        <f>IF(OR('Parte Estrategica'!AK43=0,'Parte Estrategica'!AK43=""),0,IF(VLOOKUP($A43,'Matriz de Referencia'!$B$2:$CO$584,40,FALSE)=0,0,"Digite"))</f>
        <v>0</v>
      </c>
      <c r="DB43" s="454">
        <f>IF(OR('Parte Estrategica'!AK43=0,'Parte Estrategica'!AK43=""),0,IF(VLOOKUP($A43,'Matriz de Referencia'!$B$2:$CO$584,41,FALSE)=0,0,"Digite"))</f>
        <v>0</v>
      </c>
      <c r="DC43" s="454">
        <f>IF(OR('Parte Estrategica'!AK43=0,'Parte Estrategica'!AK43=""),0,IF(VLOOKUP($A43,'Matriz de Referencia'!$B$2:$CO$584,42,FALSE)=0,0,"Digite"))</f>
        <v>0</v>
      </c>
      <c r="DD43" s="454">
        <f>IF(OR('Parte Estrategica'!AK43=0,'Parte Estrategica'!AK43=""),0,IF(VLOOKUP($A43,'Matriz de Referencia'!$B$2:$CO$584,43,FALSE)=0,0,"Digite"))</f>
        <v>0</v>
      </c>
      <c r="DE43" s="454">
        <f>IF(OR('Parte Estrategica'!AK43=0,'Parte Estrategica'!AK43=""),0,IF(VLOOKUP($A43,'Matriz de Referencia'!$B$2:$CO$584,44,FALSE)=0,0,"Digite"))</f>
        <v>0</v>
      </c>
      <c r="DF43" s="454">
        <f>IF(OR('Parte Estrategica'!AK43=0,'Parte Estrategica'!AK43=""),0,IF(VLOOKUP($A43,'Matriz de Referencia'!$B$2:$CO$584,45,FALSE)=0,0,"Digite"))</f>
        <v>0</v>
      </c>
      <c r="DG43" s="454">
        <f>IF(OR('Parte Estrategica'!AK43=0,'Parte Estrategica'!AK43=""),0,IF(VLOOKUP($A43,'Matriz de Referencia'!$B$2:$CO$584,46,FALSE)=0,0,"Digite"))</f>
        <v>0</v>
      </c>
      <c r="DH43" s="382">
        <f t="shared" si="22"/>
        <v>0</v>
      </c>
      <c r="DI43" s="454">
        <f>IF(OR('Parte Estrategica'!AK43=0,'Parte Estrategica'!AK43=""),0,IF(VLOOKUP($A43,'Matriz de Referencia'!$B$2:$CO$584,48,FALSE)=0,0,"Digite"))</f>
        <v>0</v>
      </c>
      <c r="DJ43" s="454">
        <f>IF(OR('Parte Estrategica'!AK43=0,'Parte Estrategica'!AK43=""),0,IF(VLOOKUP($A43,'Matriz de Referencia'!$B$2:$CO$584,49,FALSE)=0,0,"Digite"))</f>
        <v>0</v>
      </c>
      <c r="DK43" s="454">
        <f>IF(OR('Parte Estrategica'!AK43=0,'Parte Estrategica'!AK43=""),0,IF(VLOOKUP($A43,'Matriz de Referencia'!$B$2:$CO$584,50,FALSE)=0,0,"Digite"))</f>
        <v>0</v>
      </c>
      <c r="DL43" s="382">
        <f t="shared" si="23"/>
        <v>0</v>
      </c>
      <c r="DM43" s="382">
        <f t="shared" si="24"/>
        <v>0</v>
      </c>
      <c r="DN43" s="382">
        <f t="shared" si="25"/>
        <v>0</v>
      </c>
      <c r="DO43" s="101" t="str">
        <f>IFERROR(IF(DN43=0,"",IF(VLOOKUP($A43,'Matriz de Referencia'!$B$2:$CO$584,52,FALSE)=DN43,"Techos ok, cotinue","Debe revisar el valor programado")),"")</f>
        <v/>
      </c>
      <c r="DP43" s="453">
        <f>IF(OR('Parte Estrategica'!AN43=0,'Parte Estrategica'!AN43=""),0,IF(VLOOKUP($A43,'Matriz de Referencia'!$B$2:$CO$584,53,FALSE)=0,0,"Digite"))</f>
        <v>0</v>
      </c>
      <c r="DQ43" s="454">
        <f>IF(OR('Parte Estrategica'!AN43=0,'Parte Estrategica'!AN43=""),0,IF(VLOOKUP($A43,'Matriz de Referencia'!$B$2:$CO$584,54,FALSE)=0,0,"Digite"))</f>
        <v>0</v>
      </c>
      <c r="DR43" s="454">
        <f>IF(OR('Parte Estrategica'!AN43=0,'Parte Estrategica'!AN43=""),0,IF(VLOOKUP($A43,'Matriz de Referencia'!$B$2:$CO$584,55,FALSE)=0,0,"Digite"))</f>
        <v>0</v>
      </c>
      <c r="DS43" s="454">
        <f>IF(OR('Parte Estrategica'!AN43=0,'Parte Estrategica'!AN43=""),0,IF(VLOOKUP($A43,'Matriz de Referencia'!$B$2:$CO$584,56,FALSE)=0,0,"Digite"))</f>
        <v>0</v>
      </c>
      <c r="DT43" s="454">
        <f>IF(OR('Parte Estrategica'!AN43=0,'Parte Estrategica'!AN43=""),0,IF(VLOOKUP($A43,'Matriz de Referencia'!$B$2:$CO$584,57,FALSE)=0,0,"Digite"))</f>
        <v>0</v>
      </c>
      <c r="DU43" s="454">
        <f>IF(OR('Parte Estrategica'!AN43=0,'Parte Estrategica'!AN43=""),0,IF(VLOOKUP($A43,'Matriz de Referencia'!$B$2:$CO$584,58,FALSE)=0,0,"Digite"))</f>
        <v>0</v>
      </c>
      <c r="DV43" s="454">
        <f>IF(OR('Parte Estrategica'!AN43=0,'Parte Estrategica'!AN43=""),0,IF(VLOOKUP($A43,'Matriz de Referencia'!$B$2:$CO$584,59,FALSE)=0,0,"Digite"))</f>
        <v>0</v>
      </c>
      <c r="DW43" s="454">
        <f>IF(OR('Parte Estrategica'!AN43=0,'Parte Estrategica'!AN43=""),0,IF(VLOOKUP($A43,'Matriz de Referencia'!$B$2:$CO$584,60,FALSE)=0,0,"Digite"))</f>
        <v>0</v>
      </c>
      <c r="DX43" s="382">
        <f t="shared" si="26"/>
        <v>0</v>
      </c>
      <c r="DY43" s="454">
        <f>IF(OR('Parte Estrategica'!AN43=0,'Parte Estrategica'!AN43=""),0,IF(VLOOKUP($A43,'Matriz de Referencia'!$B$2:$CO$584,62,FALSE)=0,0,"Digite"))</f>
        <v>0</v>
      </c>
      <c r="DZ43" s="454">
        <f>IF(OR('Parte Estrategica'!AN43=0,'Parte Estrategica'!AN43=""),0,IF(VLOOKUP($A43,'Matriz de Referencia'!$B$2:$CO$584,63,FALSE)=0,0,"Digite"))</f>
        <v>0</v>
      </c>
      <c r="EA43" s="454" t="str">
        <f>IF(OR('Parte Estrategica'!AN43=0,'Parte Estrategica'!AN43=""),"",IF(VLOOKUP($A43,'Matriz de Referencia'!$B$2:$CO$584,64,FALSE)=0,"","Digite"))</f>
        <v/>
      </c>
      <c r="EB43" s="382">
        <f t="shared" si="27"/>
        <v>0</v>
      </c>
      <c r="EC43" s="382">
        <f t="shared" si="28"/>
        <v>0</v>
      </c>
      <c r="ED43" s="453">
        <f>IF(OR('Parte Estrategica'!AO43=0,'Parte Estrategica'!AO43=""),0,IF(VLOOKUP($A43,'Matriz de Referencia'!$B$2:$CO$584,53,FALSE)=0,0,"Digite"))</f>
        <v>0</v>
      </c>
      <c r="EE43" s="454">
        <f>IF(OR('Parte Estrategica'!AO43=0,'Parte Estrategica'!AO43=""),0,IF(VLOOKUP($A43,'Matriz de Referencia'!$B$2:$CO$584,54,FALSE)=0,0,"Digite"))</f>
        <v>0</v>
      </c>
      <c r="EF43" s="454">
        <f>IF(OR('Parte Estrategica'!AO43=0,'Parte Estrategica'!AO43=""),0,IF(VLOOKUP($A43,'Matriz de Referencia'!$B$2:$CO$584,55,FALSE)=0,0,"Digite"))</f>
        <v>0</v>
      </c>
      <c r="EG43" s="454">
        <f>IF(OR('Parte Estrategica'!AO43=0,'Parte Estrategica'!AO43=""),0,IF(VLOOKUP($A43,'Matriz de Referencia'!$B$2:$CO$584,56,FALSE)=0,0,"Digite"))</f>
        <v>0</v>
      </c>
      <c r="EH43" s="454">
        <f>IF(OR('Parte Estrategica'!AO43=0,'Parte Estrategica'!AO43=""),0,IF(VLOOKUP($A43,'Matriz de Referencia'!$B$2:$CO$584,57,FALSE)=0,0,"Digite"))</f>
        <v>0</v>
      </c>
      <c r="EI43" s="454">
        <f>IF(OR('Parte Estrategica'!AO43=0,'Parte Estrategica'!AO43=""),0,IF(VLOOKUP($A43,'Matriz de Referencia'!$B$2:$CO$584,58,FALSE)=0,0,"Digite"))</f>
        <v>0</v>
      </c>
      <c r="EJ43" s="454">
        <f>IF(OR('Parte Estrategica'!AO43=0,'Parte Estrategica'!AO43=""),0,IF(VLOOKUP($A43,'Matriz de Referencia'!$B$2:$CO$584,59,FALSE)=0,0,"Digite"))</f>
        <v>0</v>
      </c>
      <c r="EK43" s="454">
        <f>IF(OR('Parte Estrategica'!AO43=0,'Parte Estrategica'!AO43=""),0,IF(VLOOKUP($A43,'Matriz de Referencia'!$B$2:$CO$584,60,FALSE)=0,0,"Digite"))</f>
        <v>0</v>
      </c>
      <c r="EL43" s="382">
        <f t="shared" si="29"/>
        <v>0</v>
      </c>
      <c r="EM43" s="454">
        <f>IF(OR('Parte Estrategica'!AO43=0,'Parte Estrategica'!AO43=""),0,IF(VLOOKUP($A43,'Matriz de Referencia'!$B$2:$CO$584,62,FALSE)=0,0,"Digite"))</f>
        <v>0</v>
      </c>
      <c r="EN43" s="454">
        <f>IF(OR('Parte Estrategica'!AO43=0,'Parte Estrategica'!AO43=""),0,IF(VLOOKUP($A43,'Matriz de Referencia'!$B$2:$CO$584,63,FALSE)=0,0,"Digite"))</f>
        <v>0</v>
      </c>
      <c r="EO43" s="454">
        <f>IF(OR('Parte Estrategica'!AO43=0,'Parte Estrategica'!AO43=""),0,IF(VLOOKUP($A43,'Matriz de Referencia'!$B$2:$CO$584,64,FALSE)=0,0,"Digite"))</f>
        <v>0</v>
      </c>
      <c r="EP43" s="382">
        <f t="shared" si="30"/>
        <v>0</v>
      </c>
      <c r="EQ43" s="382">
        <f t="shared" si="31"/>
        <v>0</v>
      </c>
      <c r="ER43" s="453">
        <f>IF(OR('Parte Estrategica'!AP43=0,'Parte Estrategica'!AP43=""),0,IF(VLOOKUP($A43,'Matriz de Referencia'!$B$2:$CO$584,53,FALSE)=0,0,"Digite"))</f>
        <v>0</v>
      </c>
      <c r="ES43" s="454">
        <f>IF(OR('Parte Estrategica'!AP43=0,'Parte Estrategica'!AP43=""),0,IF(VLOOKUP($A43,'Matriz de Referencia'!$B$2:$CO$584,54,FALSE)=0,0,"Digite"))</f>
        <v>0</v>
      </c>
      <c r="ET43" s="454">
        <f>IF(OR('Parte Estrategica'!AP43=0,'Parte Estrategica'!AP43=""),0,IF(VLOOKUP($A43,'Matriz de Referencia'!$B$2:$CO$584,55,FALSE)=0,0,"Digite"))</f>
        <v>0</v>
      </c>
      <c r="EU43" s="454">
        <f>IF(OR('Parte Estrategica'!AP43=0,'Parte Estrategica'!AP43=""),0,IF(VLOOKUP($A43,'Matriz de Referencia'!$B$2:$CO$584,56,FALSE)=0,0,"Digite"))</f>
        <v>0</v>
      </c>
      <c r="EV43" s="454">
        <f>IF(OR('Parte Estrategica'!AP43=0,'Parte Estrategica'!AP43=""),0,IF(VLOOKUP($A43,'Matriz de Referencia'!$B$2:$CO$584,57,FALSE)=0,0,"Digite"))</f>
        <v>0</v>
      </c>
      <c r="EW43" s="454">
        <f>IF(OR('Parte Estrategica'!AP43=0,'Parte Estrategica'!AP43=""),0,IF(VLOOKUP($A43,'Matriz de Referencia'!$B$2:$CO$584,58,FALSE)=0,0,"Digite"))</f>
        <v>0</v>
      </c>
      <c r="EX43" s="454">
        <f>IF(OR('Parte Estrategica'!AP43=0,'Parte Estrategica'!AP43=""),0,IF(VLOOKUP($A43,'Matriz de Referencia'!$B$2:$CO$584,59,FALSE)=0,0,"Digite"))</f>
        <v>0</v>
      </c>
      <c r="EY43" s="454">
        <f>IF(OR('Parte Estrategica'!AP43=0,'Parte Estrategica'!AP43=""),0,IF(VLOOKUP($A43,'Matriz de Referencia'!$B$2:$CO$584,60,FALSE)=0,0,"Digite"))</f>
        <v>0</v>
      </c>
      <c r="EZ43" s="382">
        <f t="shared" si="32"/>
        <v>0</v>
      </c>
      <c r="FA43" s="454">
        <f>IF(OR('Parte Estrategica'!AP43=0,'Parte Estrategica'!AP43=""),0,IF(VLOOKUP($A43,'Matriz de Referencia'!$B$2:$CO$584,62,FALSE)=0,0,"Digite"))</f>
        <v>0</v>
      </c>
      <c r="FB43" s="454">
        <f>IF(OR('Parte Estrategica'!AP43=0,'Parte Estrategica'!AP43=""),0,IF(VLOOKUP($A43,'Matriz de Referencia'!$B$2:$CO$584,63,FALSE)=0,0,"Digite"))</f>
        <v>0</v>
      </c>
      <c r="FC43" s="454">
        <f>IF(OR('Parte Estrategica'!AP43=0,'Parte Estrategica'!AP43=""),0,IF(VLOOKUP($A43,'Matriz de Referencia'!$B$2:$CO$584,64,FALSE)=0,0,"Digite"))</f>
        <v>0</v>
      </c>
      <c r="FD43" s="382">
        <f t="shared" si="33"/>
        <v>0</v>
      </c>
      <c r="FE43" s="382">
        <f t="shared" si="34"/>
        <v>0</v>
      </c>
      <c r="FF43" s="453">
        <f>IF(OR('Parte Estrategica'!AQ43=0,'Parte Estrategica'!AQ43=""),0,IF(VLOOKUP($A43,'Matriz de Referencia'!$B$2:$CO$584,53,FALSE)=0,0,"Digite"))</f>
        <v>0</v>
      </c>
      <c r="FG43" s="454">
        <f>IF(OR('Parte Estrategica'!AQ43=0,'Parte Estrategica'!AQ43=""),0,IF(VLOOKUP($A43,'Matriz de Referencia'!$B$2:$CO$584,54,FALSE)=0,0,"Digite"))</f>
        <v>0</v>
      </c>
      <c r="FH43" s="454">
        <f>IF(OR('Parte Estrategica'!AQ43=0,'Parte Estrategica'!AQ43=""),0,IF(VLOOKUP($A43,'Matriz de Referencia'!$B$2:$CO$584,55,FALSE)=0,0,"Digite"))</f>
        <v>0</v>
      </c>
      <c r="FI43" s="454">
        <f>IF(OR('Parte Estrategica'!AQ43=0,'Parte Estrategica'!AQ43=""),0,IF(VLOOKUP($A43,'Matriz de Referencia'!$B$2:$CO$584,56,FALSE)=0,0,"Digite"))</f>
        <v>0</v>
      </c>
      <c r="FJ43" s="454">
        <f>IF(OR('Parte Estrategica'!AQ43=0,'Parte Estrategica'!AQ43=""),0,IF(VLOOKUP($A43,'Matriz de Referencia'!$B$2:$CO$584,57,FALSE)=0,0,"Digite"))</f>
        <v>0</v>
      </c>
      <c r="FK43" s="454">
        <f>IF(OR('Parte Estrategica'!AQ43=0,'Parte Estrategica'!AQ43=""),0,IF(VLOOKUP($A43,'Matriz de Referencia'!$B$2:$CO$584,58,FALSE)=0,0,"Digite"))</f>
        <v>0</v>
      </c>
      <c r="FL43" s="454">
        <f>IF(OR('Parte Estrategica'!AQ43=0,'Parte Estrategica'!AQ43=""),0,IF(VLOOKUP($A43,'Matriz de Referencia'!$B$2:$CO$584,59,FALSE)=0,0,"Digite"))</f>
        <v>0</v>
      </c>
      <c r="FM43" s="454">
        <f>IF(OR('Parte Estrategica'!AQ43=0,'Parte Estrategica'!AQ43=""),0,IF(VLOOKUP($A43,'Matriz de Referencia'!$B$2:$CO$584,60,FALSE)=0,0,"Digite"))</f>
        <v>0</v>
      </c>
      <c r="FN43" s="382">
        <f t="shared" si="35"/>
        <v>0</v>
      </c>
      <c r="FO43" s="454">
        <f>IF(OR('Parte Estrategica'!AQ43=0,'Parte Estrategica'!AQ43=""),0,IF(VLOOKUP($A43,'Matriz de Referencia'!$B$2:$CO$584,62,FALSE)=0,0,"Digite"))</f>
        <v>0</v>
      </c>
      <c r="FP43" s="454">
        <f>IF(OR('Parte Estrategica'!AQ43=0,'Parte Estrategica'!AQ43=""),0,IF(VLOOKUP($A43,'Matriz de Referencia'!$B$2:$CO$584,63,FALSE)=0,0,"Digite"))</f>
        <v>0</v>
      </c>
      <c r="FQ43" s="454">
        <f>IF(OR('Parte Estrategica'!AQ43=0,'Parte Estrategica'!AQ43=""),0,IF(VLOOKUP($A43,'Matriz de Referencia'!$B$2:$CO$584,64,FALSE)=0,0,"Digite"))</f>
        <v>0</v>
      </c>
      <c r="FR43" s="382">
        <f t="shared" si="36"/>
        <v>0</v>
      </c>
      <c r="FS43" s="382">
        <f t="shared" si="37"/>
        <v>0</v>
      </c>
      <c r="FT43" s="382">
        <f t="shared" si="38"/>
        <v>0</v>
      </c>
      <c r="FU43" s="101" t="str">
        <f>IFERROR(IF(FT43=0,"",IF(VLOOKUP($A43,'Matriz de Referencia'!$B$2:$CO$584,66,FALSE)=FT43,"Techos ok, cotinue","Debe revisar el valor programado")),"")</f>
        <v/>
      </c>
      <c r="FV43" s="453">
        <f>IF(OR('Parte Estrategica'!AT43=0,'Parte Estrategica'!AT43=""),0,IF(VLOOKUP($A43,'Matriz de Referencia'!$B$2:$CO$584,67,FALSE)=0,0,"Digite"))</f>
        <v>0</v>
      </c>
      <c r="FW43" s="454">
        <f>IF(OR('Parte Estrategica'!AT43=0,'Parte Estrategica'!AT43=""),0,IF(VLOOKUP($A43,'Matriz de Referencia'!$B$2:$CO$584,68,FALSE)=0,0,"Digite"))</f>
        <v>0</v>
      </c>
      <c r="FX43" s="454">
        <f>IF(OR('Parte Estrategica'!AT43=0,'Parte Estrategica'!AT43=""),0,IF(VLOOKUP($A43,'Matriz de Referencia'!$B$2:$CO$584,69,FALSE)=0,0,"Digite"))</f>
        <v>0</v>
      </c>
      <c r="FY43" s="454">
        <f>IF(OR('Parte Estrategica'!AT43=0,'Parte Estrategica'!AT43=""),0,IF(VLOOKUP($A43,'Matriz de Referencia'!$B$2:$CO$584,70,FALSE)=0,0,"Digite"))</f>
        <v>0</v>
      </c>
      <c r="FZ43" s="454">
        <f>IF(OR('Parte Estrategica'!AT43=0,'Parte Estrategica'!AT43=""),0,IF(VLOOKUP($A43,'Matriz de Referencia'!$B$2:$CO$584,71,FALSE)=0,0,"Digite"))</f>
        <v>0</v>
      </c>
      <c r="GA43" s="454">
        <f>IF(OR('Parte Estrategica'!AT43=0,'Parte Estrategica'!AT43=""),0,IF(VLOOKUP($A43,'Matriz de Referencia'!$B$2:$CO$584,72,FALSE)=0,0,"Digite"))</f>
        <v>0</v>
      </c>
      <c r="GB43" s="454">
        <f>IF(OR('Parte Estrategica'!AT43=0,'Parte Estrategica'!AT43=""),0,IF(VLOOKUP($A43,'Matriz de Referencia'!$B$2:$CO$584,73,FALSE)=0,0,"Digite"))</f>
        <v>0</v>
      </c>
      <c r="GC43" s="454">
        <f>IF(OR('Parte Estrategica'!AT43=0,'Parte Estrategica'!AT43=""),0,IF(VLOOKUP($A43,'Matriz de Referencia'!$B$2:$CO$584,74,FALSE)=0,0,"Digite"))</f>
        <v>0</v>
      </c>
      <c r="GD43" s="382">
        <f t="shared" si="39"/>
        <v>0</v>
      </c>
      <c r="GE43" s="454">
        <f>IF(OR('Parte Estrategica'!AT43=0,'Parte Estrategica'!AT43=""),0,IF(VLOOKUP($A43,'Matriz de Referencia'!$B$2:$CO$584,76,FALSE)=0,0,"Digite"))</f>
        <v>0</v>
      </c>
      <c r="GF43" s="454">
        <f>IF(OR('Parte Estrategica'!AT43=0,'Parte Estrategica'!AT43=""),0,IF(VLOOKUP($A43,'Matriz de Referencia'!$B$2:$CO$584,77,FALSE)=0,0,"Digite"))</f>
        <v>0</v>
      </c>
      <c r="GG43" s="454">
        <f>IF(OR('Parte Estrategica'!AT43=0,'Parte Estrategica'!AT43=""),0,IF(VLOOKUP($A43,'Matriz de Referencia'!$B$2:$CO$584,78,FALSE)=0,0,"Digite"))</f>
        <v>0</v>
      </c>
      <c r="GH43" s="382">
        <f t="shared" si="40"/>
        <v>0</v>
      </c>
      <c r="GI43" s="382">
        <f t="shared" si="41"/>
        <v>0</v>
      </c>
      <c r="GJ43" s="453">
        <f>IF(OR('Parte Estrategica'!AU43=0,'Parte Estrategica'!AU43=""),0,IF(VLOOKUP($A43,'Matriz de Referencia'!$B$2:$CO$584,67,FALSE)=0,0,"Digite"))</f>
        <v>0</v>
      </c>
      <c r="GK43" s="454">
        <f>IF(OR('Parte Estrategica'!AU43=0,'Parte Estrategica'!AU43=""),0,IF(VLOOKUP($A43,'Matriz de Referencia'!$B$2:$CO$584,68,FALSE)=0,0,"Digite"))</f>
        <v>0</v>
      </c>
      <c r="GL43" s="454">
        <f>IF(OR('Parte Estrategica'!AU43=0,'Parte Estrategica'!AU43=""),0,IF(VLOOKUP($A43,'Matriz de Referencia'!$B$2:$CO$584,69,FALSE)=0,0,"Digite"))</f>
        <v>0</v>
      </c>
      <c r="GM43" s="454">
        <f>IF(OR('Parte Estrategica'!AU43=0,'Parte Estrategica'!AU43=""),0,IF(VLOOKUP($A43,'Matriz de Referencia'!$B$2:$CO$584,70,FALSE)=0,0,"Digite"))</f>
        <v>0</v>
      </c>
      <c r="GN43" s="454">
        <f>IF(OR('Parte Estrategica'!AU43=0,'Parte Estrategica'!AU43=""),0,IF(VLOOKUP($A43,'Matriz de Referencia'!$B$2:$CO$584,71,FALSE)=0,0,"Digite"))</f>
        <v>0</v>
      </c>
      <c r="GO43" s="454">
        <f>IF(OR('Parte Estrategica'!AU43=0,'Parte Estrategica'!AU43=""),0,IF(VLOOKUP($A43,'Matriz de Referencia'!$B$2:$CO$584,72,FALSE)=0,0,"Digite"))</f>
        <v>0</v>
      </c>
      <c r="GP43" s="454">
        <f>IF(OR('Parte Estrategica'!AU43=0,'Parte Estrategica'!AU43=""),0,IF(VLOOKUP($A43,'Matriz de Referencia'!$B$2:$CO$584,73,FALSE)=0,0,"Digite"))</f>
        <v>0</v>
      </c>
      <c r="GQ43" s="454">
        <f>IF(OR('Parte Estrategica'!AU43=0,'Parte Estrategica'!AU43=""),0,IF(VLOOKUP($A43,'Matriz de Referencia'!$B$2:$CO$584,74,FALSE)=0,0,"Digite"))</f>
        <v>0</v>
      </c>
      <c r="GR43" s="382">
        <f t="shared" si="42"/>
        <v>0</v>
      </c>
      <c r="GS43" s="454">
        <f>IF(OR('Parte Estrategica'!AU43=0,'Parte Estrategica'!AU43=""),0,IF(VLOOKUP($A43,'Matriz de Referencia'!$B$2:$CO$584,76,FALSE)=0,0,"Digite"))</f>
        <v>0</v>
      </c>
      <c r="GT43" s="454">
        <f>IF(OR('Parte Estrategica'!AU43=0,'Parte Estrategica'!AU43=""),0,IF(VLOOKUP($A43,'Matriz de Referencia'!$B$2:$CO$584,77,FALSE)=0,0,"Digite"))</f>
        <v>0</v>
      </c>
      <c r="GU43" s="454">
        <f>IF(OR('Parte Estrategica'!AU43=0,'Parte Estrategica'!AU43=""),0,IF(VLOOKUP($A43,'Matriz de Referencia'!$B$2:$CO$584,78,FALSE)=0,0,"Digite"))</f>
        <v>0</v>
      </c>
      <c r="GV43" s="382">
        <f t="shared" si="43"/>
        <v>0</v>
      </c>
      <c r="GW43" s="382">
        <f t="shared" si="44"/>
        <v>0</v>
      </c>
      <c r="GX43" s="453">
        <f>IF(OR('Parte Estrategica'!AV43=0,'Parte Estrategica'!AV43=""),0,IF(VLOOKUP($A43,'Matriz de Referencia'!$B$2:$CO$584,67,FALSE)=0,0,"Digite"))</f>
        <v>0</v>
      </c>
      <c r="GY43" s="454">
        <f>IF(OR('Parte Estrategica'!AV43=0,'Parte Estrategica'!AV43=""),0,IF(VLOOKUP($A43,'Matriz de Referencia'!$B$2:$CO$584,68,FALSE)=0,0,"Digite"))</f>
        <v>0</v>
      </c>
      <c r="GZ43" s="454">
        <f>IF(OR('Parte Estrategica'!AV43=0,'Parte Estrategica'!AV43=""),0,IF(VLOOKUP($A43,'Matriz de Referencia'!$B$2:$CO$584,69,FALSE)=0,0,"Digite"))</f>
        <v>0</v>
      </c>
      <c r="HA43" s="454">
        <f>IF(OR('Parte Estrategica'!AV43=0,'Parte Estrategica'!AV43=""),0,IF(VLOOKUP($A43,'Matriz de Referencia'!$B$2:$CO$584,70,FALSE)=0,0,"Digite"))</f>
        <v>0</v>
      </c>
      <c r="HB43" s="454">
        <f>IF(OR('Parte Estrategica'!AV43=0,'Parte Estrategica'!AV43=""),0,IF(VLOOKUP($A43,'Matriz de Referencia'!$B$2:$CO$584,71,FALSE)=0,0,"Digite"))</f>
        <v>0</v>
      </c>
      <c r="HC43" s="454">
        <f>IF(OR('Parte Estrategica'!AV43=0,'Parte Estrategica'!AV43=""),0,IF(VLOOKUP($A43,'Matriz de Referencia'!$B$2:$CO$584,72,FALSE)=0,0,"Digite"))</f>
        <v>0</v>
      </c>
      <c r="HD43" s="454">
        <f>IF(OR('Parte Estrategica'!AV43=0,'Parte Estrategica'!AV43=""),0,IF(VLOOKUP($A43,'Matriz de Referencia'!$B$2:$CO$584,73,FALSE)=0,0,"Digite"))</f>
        <v>0</v>
      </c>
      <c r="HE43" s="454">
        <f>IF(OR('Parte Estrategica'!AV43=0,'Parte Estrategica'!AV43=""),0,IF(VLOOKUP($A43,'Matriz de Referencia'!$B$2:$CO$584,74,FALSE)=0,0,"Digite"))</f>
        <v>0</v>
      </c>
      <c r="HF43" s="382">
        <f t="shared" si="45"/>
        <v>0</v>
      </c>
      <c r="HG43" s="454">
        <f>IF(OR('Parte Estrategica'!AV43=0,'Parte Estrategica'!AV43=""),0,IF(VLOOKUP($A43,'Matriz de Referencia'!$B$2:$CO$584,76,FALSE)=0,0,"Digite"))</f>
        <v>0</v>
      </c>
      <c r="HH43" s="454">
        <f>IF(OR('Parte Estrategica'!AV43=0,'Parte Estrategica'!AV43=""),0,IF(VLOOKUP($A43,'Matriz de Referencia'!$B$2:$CO$584,77,FALSE)=0,0,"Digite"))</f>
        <v>0</v>
      </c>
      <c r="HI43" s="454">
        <f>IF(OR('Parte Estrategica'!AV43=0,'Parte Estrategica'!AV43=""),0,IF(VLOOKUP($A43,'Matriz de Referencia'!$B$2:$CO$584,78,FALSE)=0,0,"Digite"))</f>
        <v>0</v>
      </c>
      <c r="HJ43" s="382">
        <f t="shared" si="46"/>
        <v>0</v>
      </c>
      <c r="HK43" s="382">
        <f t="shared" si="47"/>
        <v>0</v>
      </c>
      <c r="HL43" s="453">
        <f>IF(OR('Parte Estrategica'!AW43=0,'Parte Estrategica'!AW43=""),0,IF(VLOOKUP($A43,'Matriz de Referencia'!$B$2:$CO$584,67,FALSE)=0,0,"Digite"))</f>
        <v>0</v>
      </c>
      <c r="HM43" s="454">
        <f>IF(OR('Parte Estrategica'!AW43=0,'Parte Estrategica'!AW43=""),0,IF(VLOOKUP($A43,'Matriz de Referencia'!$B$2:$CO$584,68,FALSE)=0,0,"Digite"))</f>
        <v>0</v>
      </c>
      <c r="HN43" s="454">
        <f>IF(OR('Parte Estrategica'!AW43=0,'Parte Estrategica'!AW43=""),0,IF(VLOOKUP($A43,'Matriz de Referencia'!$B$2:$CO$584,69,FALSE)=0,0,"Digite"))</f>
        <v>0</v>
      </c>
      <c r="HO43" s="454">
        <f>IF(OR('Parte Estrategica'!AW43=0,'Parte Estrategica'!AW43=""),0,IF(VLOOKUP($A43,'Matriz de Referencia'!$B$2:$CO$584,70,FALSE)=0,0,"Digite"))</f>
        <v>0</v>
      </c>
      <c r="HP43" s="454">
        <f>IF(OR('Parte Estrategica'!AW43=0,'Parte Estrategica'!AW43=""),0,IF(VLOOKUP($A43,'Matriz de Referencia'!$B$2:$CO$584,71,FALSE)=0,0,"Digite"))</f>
        <v>0</v>
      </c>
      <c r="HQ43" s="454">
        <f>IF(OR('Parte Estrategica'!AW43=0,'Parte Estrategica'!AW43=""),0,IF(VLOOKUP($A43,'Matriz de Referencia'!$B$2:$CO$584,72,FALSE)=0,0,"Digite"))</f>
        <v>0</v>
      </c>
      <c r="HR43" s="454">
        <f>IF(OR('Parte Estrategica'!AW43=0,'Parte Estrategica'!AW43=""),0,IF(VLOOKUP($A43,'Matriz de Referencia'!$B$2:$CO$584,73,FALSE)=0,0,"Digite"))</f>
        <v>0</v>
      </c>
      <c r="HS43" s="454">
        <f>IF(OR('Parte Estrategica'!AW43=0,'Parte Estrategica'!AW43=""),0,IF(VLOOKUP($A43,'Matriz de Referencia'!$B$2:$CO$584,74,FALSE)=0,0,"Digite"))</f>
        <v>0</v>
      </c>
      <c r="HT43" s="382">
        <f t="shared" si="48"/>
        <v>0</v>
      </c>
      <c r="HU43" s="454">
        <f>IF(OR('Parte Estrategica'!AW43=0,'Parte Estrategica'!AW43=""),0,IF(VLOOKUP($A43,'Matriz de Referencia'!$B$2:$CO$584,76,FALSE)=0,0,"Digite"))</f>
        <v>0</v>
      </c>
      <c r="HV43" s="454">
        <f>IF(OR('Parte Estrategica'!AW43=0,'Parte Estrategica'!AW43=""),0,IF(VLOOKUP($A43,'Matriz de Referencia'!$B$2:$CO$584,77,FALSE)=0,0,"Digite"))</f>
        <v>0</v>
      </c>
      <c r="HW43" s="454">
        <f>IF(OR('Parte Estrategica'!AW43=0,'Parte Estrategica'!AW43=""),0,IF(VLOOKUP($A43,'Matriz de Referencia'!$B$2:$CO$584,78,FALSE)=0,0,"Digite"))</f>
        <v>0</v>
      </c>
      <c r="HX43" s="382">
        <f t="shared" si="49"/>
        <v>0</v>
      </c>
      <c r="HY43" s="382">
        <f t="shared" si="50"/>
        <v>0</v>
      </c>
      <c r="HZ43" s="382">
        <f t="shared" si="51"/>
        <v>0</v>
      </c>
      <c r="IA43" s="101" t="str">
        <f>IFERROR(IF(HZ43=0,"",IF(VLOOKUP($A43,'Matriz de Referencia'!$B$2:$CO$584,80,FALSE)=HZ43,"Techos ok, cotinue","Debe revisar el valor programado")),"")</f>
        <v/>
      </c>
      <c r="IB43" s="383">
        <f t="shared" si="52"/>
        <v>0</v>
      </c>
    </row>
    <row r="44" spans="1:236">
      <c r="A44" s="550" t="str">
        <f>IF('Parte Estrategica'!B44=0,"",'Parte Estrategica'!B44)</f>
        <v/>
      </c>
      <c r="B44" s="551" t="str">
        <f>IFERROR(VLOOKUP(A44,'Matriz de Referencia'!$B$2:$P$578,'Matriz de Referencia'!L$1,FALSE),"")</f>
        <v/>
      </c>
      <c r="C44" s="551" t="str">
        <f>IFERROR(VLOOKUP(A44,'Matriz de Referencia'!$B$2:$P$584,'Matriz de Referencia'!M$1,FALSE),"")</f>
        <v/>
      </c>
      <c r="D44" s="455" t="str">
        <f>IF(OR('Parte Estrategica'!AB44=0,'Parte Estrategica'!AB44=""),"",IF(VLOOKUP($A44,'Matriz de Referencia'!$B$2:$CO$584,'Matriz de Referencia'!Z$1,FALSE)=0,"","Digite"))</f>
        <v/>
      </c>
      <c r="E44" s="456">
        <f>IF(OR('Parte Estrategica'!AB44=0,'Parte Estrategica'!AB44=""),0,IF(VLOOKUP($A44,'Matriz de Referencia'!$B$2:$CO$584,26,FALSE)=0,0,"Digite"))</f>
        <v>0</v>
      </c>
      <c r="F44" s="456">
        <f>IF(OR('Parte Estrategica'!AB44=0,'Parte Estrategica'!AB44=""),0,IF(VLOOKUP($A44,'Matriz de Referencia'!$B$2:$CO$584,27,FALSE)=0,0,"Digite"))</f>
        <v>0</v>
      </c>
      <c r="G44" s="456">
        <f>IF(OR('Parte Estrategica'!AB44=0,'Parte Estrategica'!AB44=""),0,IF(VLOOKUP($A44,'Matriz de Referencia'!$B$2:$CO$584,28,FALSE)=0,0,"Digite"))</f>
        <v>0</v>
      </c>
      <c r="H44" s="456">
        <f>IF(OR('Parte Estrategica'!AB44=0,'Parte Estrategica'!AB44=""),0,IF(VLOOKUP($A44,'Matriz de Referencia'!$B$2:$CO$584,29,FALSE)=0,0,"Digite"))</f>
        <v>0</v>
      </c>
      <c r="I44" s="456">
        <f>IF(OR('Parte Estrategica'!AB44=0,'Parte Estrategica'!AB44=""),0,IF(VLOOKUP($A44,'Matriz de Referencia'!$B$2:$CO$584,30,FALSE)=0,0,"Digite"))</f>
        <v>0</v>
      </c>
      <c r="J44" s="456">
        <f>IF(OR('Parte Estrategica'!AB44=0,'Parte Estrategica'!AB44=""),0,IF(VLOOKUP($A44,'Matriz de Referencia'!$B$2:$CO$584,31,FALSE)=0,0,"Digite"))</f>
        <v>0</v>
      </c>
      <c r="K44" s="456">
        <f>IF(OR('Parte Estrategica'!AB44=0,'Parte Estrategica'!AB44=""),0,IF(VLOOKUP($A44,'Matriz de Referencia'!$B$2:$CO$584,32,FALSE)=0,0,"Digite"))</f>
        <v>0</v>
      </c>
      <c r="L44" s="460">
        <f t="shared" si="0"/>
        <v>0</v>
      </c>
      <c r="M44" s="456">
        <f>IF(OR('Parte Estrategica'!AB44=0,'Parte Estrategica'!AB44=""),0,IF(VLOOKUP($A44,'Matriz de Referencia'!$B$2:$CO$584,34,FALSE)=0,0,"Digite"))</f>
        <v>0</v>
      </c>
      <c r="N44" s="456">
        <f>IF(OR('Parte Estrategica'!AB44=0,'Parte Estrategica'!AB44=""),0,IF(VLOOKUP($A44,'Matriz de Referencia'!$B$2:$CO$584,35,FALSE)=0,0,"Digite"))</f>
        <v>0</v>
      </c>
      <c r="O44" s="456">
        <f>IF(OR('Parte Estrategica'!AB44=0,'Parte Estrategica'!AB44=""),0,IF(VLOOKUP($A44,'Matriz de Referencia'!$B$2:$CO$584,36,FALSE)=0,0,"Digite"))</f>
        <v>0</v>
      </c>
      <c r="P44" s="457">
        <f t="shared" si="1"/>
        <v>0</v>
      </c>
      <c r="Q44" s="457">
        <f t="shared" si="2"/>
        <v>0</v>
      </c>
      <c r="R44" s="455">
        <f>IF(OR('Parte Estrategica'!AC44=0,'Parte Estrategica'!AC44=""),0,IF(VLOOKUP($A44,'Matriz de Referencia'!$B$2:$CO$584,25,FALSE)=0,0,"Digite"))</f>
        <v>0</v>
      </c>
      <c r="S44" s="456">
        <f>IF(OR('Parte Estrategica'!AC44=0,'Parte Estrategica'!AC44=""),0,IF(VLOOKUP($A44,'Matriz de Referencia'!$B$2:$CO$584,26,FALSE)=0,0,"Digite"))</f>
        <v>0</v>
      </c>
      <c r="T44" s="456">
        <f>IF(OR('Parte Estrategica'!AC44=0,'Parte Estrategica'!AC44=""),0,IF(VLOOKUP($A44,'Matriz de Referencia'!$B$2:$CO$584,27,FALSE)=0,0,"Digite"))</f>
        <v>0</v>
      </c>
      <c r="U44" s="456">
        <f>IF(OR('Parte Estrategica'!AC44=0,'Parte Estrategica'!AC44=""),0,IF(VLOOKUP($A44,'Matriz de Referencia'!$B$2:$CO$584,28,FALSE)=0,0,"Digite"))</f>
        <v>0</v>
      </c>
      <c r="V44" s="456">
        <f>IF(OR('Parte Estrategica'!AC44=0,'Parte Estrategica'!AC44=""),0,IF(VLOOKUP($A44,'Matriz de Referencia'!$B$2:$CO$584,29,FALSE)=0,0,"Digite"))</f>
        <v>0</v>
      </c>
      <c r="W44" s="456">
        <f>IF(OR('Parte Estrategica'!AC44=0,'Parte Estrategica'!AC44=""),0,IF(VLOOKUP($A44,'Matriz de Referencia'!$B$2:$CO$584,30,FALSE)=0,0,"Digite"))</f>
        <v>0</v>
      </c>
      <c r="X44" s="456">
        <f>IF(OR('Parte Estrategica'!AC44=0,'Parte Estrategica'!AC44=""),0,IF(VLOOKUP($A44,'Matriz de Referencia'!$B$2:$CO$584,31,FALSE)=0,0,"Digite"))</f>
        <v>0</v>
      </c>
      <c r="Y44" s="456">
        <f>IF(OR('Parte Estrategica'!AC44=0,'Parte Estrategica'!AC44=""),0,IF(VLOOKUP($A44,'Matriz de Referencia'!$B$2:$CO$584,32,FALSE)=0,0,"Digite"))</f>
        <v>0</v>
      </c>
      <c r="Z44" s="457">
        <f t="shared" si="3"/>
        <v>0</v>
      </c>
      <c r="AA44" s="456">
        <f>IF(OR('Parte Estrategica'!AC44=0,'Parte Estrategica'!AC44=""),0,IF(VLOOKUP($A44,'Matriz de Referencia'!$B$2:$CO$584,34,FALSE)=0,0,"Digite"))</f>
        <v>0</v>
      </c>
      <c r="AB44" s="456">
        <f>IF(OR('Parte Estrategica'!AC44=0,'Parte Estrategica'!AC44=""),0,IF(VLOOKUP($A44,'Matriz de Referencia'!$B$2:$CO$584,35,FALSE)=0,0,"Digite"))</f>
        <v>0</v>
      </c>
      <c r="AC44" s="456">
        <f>IF(OR('Parte Estrategica'!AC44=0,'Parte Estrategica'!AC44=""),0,IF(VLOOKUP($A44,'Matriz de Referencia'!$B$2:$CO$584,36,FALSE)=0,0,"Digite"))</f>
        <v>0</v>
      </c>
      <c r="AD44" s="457">
        <f t="shared" si="4"/>
        <v>0</v>
      </c>
      <c r="AE44" s="457">
        <f t="shared" si="5"/>
        <v>0</v>
      </c>
      <c r="AF44" s="455">
        <f>IF(OR('Parte Estrategica'!AD44=0,'Parte Estrategica'!AD44=""),0,IF(VLOOKUP($A44,'Matriz de Referencia'!$B$2:$CO$584,25,FALSE)=0,0,"Digite"))</f>
        <v>0</v>
      </c>
      <c r="AG44" s="456">
        <f>IF(OR('Parte Estrategica'!AD44=0,'Parte Estrategica'!AD44=""),0,IF(VLOOKUP($A44,'Matriz de Referencia'!$B$2:$CO$584,26,FALSE)=0,0,"Digite"))</f>
        <v>0</v>
      </c>
      <c r="AH44" s="456">
        <f>IF(OR('Parte Estrategica'!AD44=0,'Parte Estrategica'!AD44=""),0,IF(VLOOKUP($A44,'Matriz de Referencia'!$B$2:$CO$584,27,FALSE)=0,0,"Digite"))</f>
        <v>0</v>
      </c>
      <c r="AI44" s="456">
        <f>IF(OR('Parte Estrategica'!AD44=0,'Parte Estrategica'!AD44=""),0,IF(VLOOKUP($A44,'Matriz de Referencia'!$B$2:$CO$584,28,FALSE)=0,0,"Digite"))</f>
        <v>0</v>
      </c>
      <c r="AJ44" s="456">
        <f>IF(OR('Parte Estrategica'!AD44=0,'Parte Estrategica'!AD44=""),0,IF(VLOOKUP($A44,'Matriz de Referencia'!$B$2:$CO$584,29,FALSE)=0,0,"Digite"))</f>
        <v>0</v>
      </c>
      <c r="AK44" s="456">
        <f>IF(OR('Parte Estrategica'!AD44=0,'Parte Estrategica'!AD44=""),0,IF(VLOOKUP($A44,'Matriz de Referencia'!$B$2:$CO$584,30,FALSE)=0,0,"Digite"))</f>
        <v>0</v>
      </c>
      <c r="AL44" s="456">
        <f>IF(OR('Parte Estrategica'!AD44=0,'Parte Estrategica'!AD44=""),0,IF(VLOOKUP($A44,'Matriz de Referencia'!$B$2:$CO$584,31,FALSE)=0,0,"Digite"))</f>
        <v>0</v>
      </c>
      <c r="AM44" s="456">
        <f>IF(OR('Parte Estrategica'!AD44=0,'Parte Estrategica'!AD44=""),0,IF(VLOOKUP($A44,'Matriz de Referencia'!$B$2:$CO$584,32,FALSE)=0,0,"Digite"))</f>
        <v>0</v>
      </c>
      <c r="AN44" s="457">
        <f t="shared" si="6"/>
        <v>0</v>
      </c>
      <c r="AO44" s="456">
        <f>IF(OR('Parte Estrategica'!AD44=0,'Parte Estrategica'!AD44=""),0,IF(VLOOKUP($A44,'Matriz de Referencia'!$B$2:$CO$584,34,FALSE)=0,0,"Digite"))</f>
        <v>0</v>
      </c>
      <c r="AP44" s="456">
        <f>IF(OR('Parte Estrategica'!AD44=0,'Parte Estrategica'!AD44=""),0,IF(VLOOKUP($A44,'Matriz de Referencia'!$B$2:$CO$584,35,FALSE)=0,0,"Digite"))</f>
        <v>0</v>
      </c>
      <c r="AQ44" s="456">
        <f>IF(OR('Parte Estrategica'!AD44=0,'Parte Estrategica'!AD44=""),0,IF(VLOOKUP($A44,'Matriz de Referencia'!$B$2:$CO$584,36,FALSE)=0,0,"Digite"))</f>
        <v>0</v>
      </c>
      <c r="AR44" s="457">
        <f t="shared" si="7"/>
        <v>0</v>
      </c>
      <c r="AS44" s="457">
        <f t="shared" si="8"/>
        <v>0</v>
      </c>
      <c r="AT44" s="455">
        <f>IF(OR('Parte Estrategica'!AE44=0,'Parte Estrategica'!AE44=""),0,IF(VLOOKUP($A44,'Matriz de Referencia'!$B$2:$CO$584,25,FALSE)=0,0,"Digite"))</f>
        <v>0</v>
      </c>
      <c r="AU44" s="456">
        <f>IF(OR('Parte Estrategica'!AE44=0,'Parte Estrategica'!AE44=""),0,IF(VLOOKUP($A44,'Matriz de Referencia'!$B$2:$CO$584,26,FALSE)=0,0,"Digite"))</f>
        <v>0</v>
      </c>
      <c r="AV44" s="456">
        <f>IF(OR('Parte Estrategica'!AE44=0,'Parte Estrategica'!AE44=""),0,IF(VLOOKUP($A44,'Matriz de Referencia'!$B$2:$CO$584,27,FALSE)=0,0,"Digite"))</f>
        <v>0</v>
      </c>
      <c r="AW44" s="456">
        <f>IF(OR('Parte Estrategica'!AE44=0,'Parte Estrategica'!AE44=""),0,IF(VLOOKUP($A44,'Matriz de Referencia'!$B$2:$CO$584,28,FALSE)=0,0,"Digite"))</f>
        <v>0</v>
      </c>
      <c r="AX44" s="456">
        <f>IF(OR('Parte Estrategica'!AE44=0,'Parte Estrategica'!AE44=""),0,IF(VLOOKUP($A44,'Matriz de Referencia'!$B$2:$CO$584,29,FALSE)=0,0,"Digite"))</f>
        <v>0</v>
      </c>
      <c r="AY44" s="456">
        <f>IF(OR('Parte Estrategica'!AE44=0,'Parte Estrategica'!AE44=""),0,IF(VLOOKUP($A44,'Matriz de Referencia'!$B$2:$CO$584,30,FALSE)=0,0,"Digite"))</f>
        <v>0</v>
      </c>
      <c r="AZ44" s="456">
        <f>IF(OR('Parte Estrategica'!AE44=0,'Parte Estrategica'!AE44=""),0,IF(VLOOKUP($A44,'Matriz de Referencia'!$B$2:$CO$584,31,FALSE)=0,0,"Digite"))</f>
        <v>0</v>
      </c>
      <c r="BA44" s="456">
        <f>IF(OR('Parte Estrategica'!AE44=0,'Parte Estrategica'!AE44=""),0,IF(VLOOKUP($A44,'Matriz de Referencia'!$B$2:$CO$584,32,FALSE)=0,0,"Digite"))</f>
        <v>0</v>
      </c>
      <c r="BB44" s="457">
        <f t="shared" si="9"/>
        <v>0</v>
      </c>
      <c r="BC44" s="456">
        <f>IF(OR('Parte Estrategica'!AE44=0,'Parte Estrategica'!AE44=""),0,IF(VLOOKUP($A44,'Matriz de Referencia'!$B$2:$CO$584,34,FALSE)=0,0,"Digite"))</f>
        <v>0</v>
      </c>
      <c r="BD44" s="456">
        <f>IF(OR('Parte Estrategica'!AE44=0,'Parte Estrategica'!AE44=""),0,IF(VLOOKUP($A44,'Matriz de Referencia'!$B$2:$CO$584,35,FALSE)=0,0,"Digite"))</f>
        <v>0</v>
      </c>
      <c r="BE44" s="456">
        <f>IF(OR('Parte Estrategica'!AE44=0,'Parte Estrategica'!AE44=""),0,IF(VLOOKUP($A44,'Matriz de Referencia'!$B$2:$CO$584,36,FALSE)=0,0,"Digite"))</f>
        <v>0</v>
      </c>
      <c r="BF44" s="457">
        <f t="shared" si="10"/>
        <v>0</v>
      </c>
      <c r="BG44" s="457">
        <f t="shared" si="11"/>
        <v>0</v>
      </c>
      <c r="BH44" s="457">
        <f t="shared" si="12"/>
        <v>0</v>
      </c>
      <c r="BI44" s="101" t="str">
        <f>IFERROR(IF(BH44=0,"",IF(VLOOKUP($A44,'Matriz de Referencia'!$B$2:$CO$584,'Matriz de Referencia'!AM$1,FALSE)=BH44,"Techos ok, cotinue","Debe revisar el valor programado")),"")</f>
        <v/>
      </c>
      <c r="BJ44" s="453">
        <f>IF(OR('Parte Estrategica'!AH44=0,'Parte Estrategica'!AH44=""),0,IF(VLOOKUP($A44,'Matriz de Referencia'!$B$2:$CO$584,39,FALSE)=0,0,"Digite"))</f>
        <v>0</v>
      </c>
      <c r="BK44" s="454">
        <f>IF(OR('Parte Estrategica'!AH44=0,'Parte Estrategica'!AH44=""),0,IF(VLOOKUP($A44,'Matriz de Referencia'!$B$2:$CO$584,40,FALSE)=0,0,"Digite"))</f>
        <v>0</v>
      </c>
      <c r="BL44" s="454">
        <f>IF(OR('Parte Estrategica'!AH44=0,'Parte Estrategica'!AH44=""),0,IF(VLOOKUP($A44,'Matriz de Referencia'!$B$2:$CO$584,41,FALSE)=0,0,"Digite"))</f>
        <v>0</v>
      </c>
      <c r="BM44" s="454">
        <f>IF(OR('Parte Estrategica'!AH44=0,'Parte Estrategica'!AH44=""),0,IF(VLOOKUP($A44,'Matriz de Referencia'!$B$2:$CO$584,42,FALSE)=0,0,"Digite"))</f>
        <v>0</v>
      </c>
      <c r="BN44" s="454">
        <f>IF(OR('Parte Estrategica'!AH44=0,'Parte Estrategica'!AH44=""),0,IF(VLOOKUP($A44,'Matriz de Referencia'!$B$2:$CO$584,43,FALSE)=0,0,"Digite"))</f>
        <v>0</v>
      </c>
      <c r="BO44" s="454">
        <f>IF(OR('Parte Estrategica'!AH44=0,'Parte Estrategica'!AH44=""),0,IF(VLOOKUP($A44,'Matriz de Referencia'!$B$2:$CO$584,44,FALSE)=0,0,"Digite"))</f>
        <v>0</v>
      </c>
      <c r="BP44" s="454">
        <f>IF(OR('Parte Estrategica'!AH44=0,'Parte Estrategica'!AH44=""),0,IF(VLOOKUP($A44,'Matriz de Referencia'!$B$2:$CO$584,45,FALSE)=0,0,"Digite"))</f>
        <v>0</v>
      </c>
      <c r="BQ44" s="454">
        <f>IF(OR('Parte Estrategica'!AH44=0,'Parte Estrategica'!AH44=""),0,IF(VLOOKUP($A44,'Matriz de Referencia'!$B$2:$CO$584,46,FALSE)=0,0,"Digite"))</f>
        <v>0</v>
      </c>
      <c r="BR44" s="382">
        <f t="shared" si="13"/>
        <v>0</v>
      </c>
      <c r="BS44" s="454">
        <f>IF(OR('Parte Estrategica'!CL44=0,'Parte Estrategica'!CL44=""),0,IF(VLOOKUP($A44,'Matriz de Referencia'!$B$2:$CO$584,48,FALSE)=0,0,"Digite"))</f>
        <v>0</v>
      </c>
      <c r="BT44" s="454">
        <f>IF(OR('Parte Estrategica'!CL44=0,'Parte Estrategica'!CL44=""),0,IF(VLOOKUP($A44,'Matriz de Referencia'!$B$2:$CO$584,49,FALSE)=0,0,"Digite"))</f>
        <v>0</v>
      </c>
      <c r="BU44" s="454">
        <f>IF(OR('Parte Estrategica'!CL44=0,'Parte Estrategica'!CL44=""),0,IF(VLOOKUP($A44,'Matriz de Referencia'!$B$2:$CO$584,50,FALSE)=0,0,"Digite"))</f>
        <v>0</v>
      </c>
      <c r="BV44" s="382">
        <f t="shared" si="14"/>
        <v>0</v>
      </c>
      <c r="BW44" s="382">
        <f t="shared" si="15"/>
        <v>0</v>
      </c>
      <c r="BX44" s="453">
        <f>IF(OR('Parte Estrategica'!AI44=0,'Parte Estrategica'!AI44=""),0,IF(VLOOKUP($A44,'Matriz de Referencia'!$B$2:$CO$584,39,FALSE)=0,0,"Digite"))</f>
        <v>0</v>
      </c>
      <c r="BY44" s="454">
        <f>IF(OR('Parte Estrategica'!AI44=0,'Parte Estrategica'!AI44=""),0,IF(VLOOKUP($A44,'Matriz de Referencia'!$B$2:$CO$584,40,FALSE)=0,0,"Digite"))</f>
        <v>0</v>
      </c>
      <c r="BZ44" s="454">
        <f>IF(OR('Parte Estrategica'!AI44=0,'Parte Estrategica'!AI44=""),0,IF(VLOOKUP($A44,'Matriz de Referencia'!$B$2:$CO$584,41,FALSE)=0,0,"Digite"))</f>
        <v>0</v>
      </c>
      <c r="CA44" s="454">
        <f>IF(OR('Parte Estrategica'!AI44=0,'Parte Estrategica'!AI44=""),0,IF(VLOOKUP($A44,'Matriz de Referencia'!$B$2:$CO$584,42,FALSE)=0,0,"Digite"))</f>
        <v>0</v>
      </c>
      <c r="CB44" s="454">
        <f>IF(OR('Parte Estrategica'!AI44=0,'Parte Estrategica'!AI44=""),0,IF(VLOOKUP($A44,'Matriz de Referencia'!$B$2:$CO$584,43,FALSE)=0,0,"Digite"))</f>
        <v>0</v>
      </c>
      <c r="CC44" s="454">
        <f>IF(OR('Parte Estrategica'!AI44=0,'Parte Estrategica'!AI44=""),0,IF(VLOOKUP($A44,'Matriz de Referencia'!$B$2:$CO$584,44,FALSE)=0,0,"Digite"))</f>
        <v>0</v>
      </c>
      <c r="CD44" s="454">
        <f>IF(OR('Parte Estrategica'!AI44=0,'Parte Estrategica'!AI44=""),0,IF(VLOOKUP($A44,'Matriz de Referencia'!$B$2:$CO$584,45,FALSE)=0,0,"Digite"))</f>
        <v>0</v>
      </c>
      <c r="CE44" s="454">
        <f>IF(OR('Parte Estrategica'!AI44=0,'Parte Estrategica'!AI44=""),0,IF(VLOOKUP($A44,'Matriz de Referencia'!$B$2:$CO$584,46,FALSE)=0,0,"Digite"))</f>
        <v>0</v>
      </c>
      <c r="CF44" s="382">
        <f t="shared" si="16"/>
        <v>0</v>
      </c>
      <c r="CG44" s="454">
        <f>IF(OR('Parte Estrategica'!AI44=0,'Parte Estrategica'!AI44=""),0,IF(VLOOKUP($A44,'Matriz de Referencia'!$B$2:$CO$584,48,FALSE)=0,0,"Digite"))</f>
        <v>0</v>
      </c>
      <c r="CH44" s="454">
        <f>IF(OR('Parte Estrategica'!AI44=0,'Parte Estrategica'!AI44=""),0,IF(VLOOKUP($A44,'Matriz de Referencia'!$B$2:$CO$584,49,FALSE)=0,0,"Digite"))</f>
        <v>0</v>
      </c>
      <c r="CI44" s="454">
        <f>IF(OR('Parte Estrategica'!AI44=0,'Parte Estrategica'!AI44=""),0,IF(VLOOKUP($A44,'Matriz de Referencia'!$B$2:$CO$584,50,FALSE)=0,0,"Digite"))</f>
        <v>0</v>
      </c>
      <c r="CJ44" s="382">
        <f t="shared" si="17"/>
        <v>0</v>
      </c>
      <c r="CK44" s="382">
        <f t="shared" si="18"/>
        <v>0</v>
      </c>
      <c r="CL44" s="453">
        <f>IF(OR('Parte Estrategica'!AJ44=0,'Parte Estrategica'!AJ44=""),0,IF(VLOOKUP($A44,'Matriz de Referencia'!$B$2:$CO$584,39,FALSE)=0,0,"Digite"))</f>
        <v>0</v>
      </c>
      <c r="CM44" s="454">
        <f>IF(OR('Parte Estrategica'!AJ44=0,'Parte Estrategica'!AJ44=""),0,IF(VLOOKUP($A44,'Matriz de Referencia'!$B$2:$CO$584,40,FALSE)=0,0,"Digite"))</f>
        <v>0</v>
      </c>
      <c r="CN44" s="454">
        <f>IF(OR('Parte Estrategica'!AJ44=0,'Parte Estrategica'!AJ44=""),0,IF(VLOOKUP($A44,'Matriz de Referencia'!$B$2:$CO$584,41,FALSE)=0,0,"Digite"))</f>
        <v>0</v>
      </c>
      <c r="CO44" s="454">
        <f>IF(OR('Parte Estrategica'!AJ44=0,'Parte Estrategica'!AJ44=""),0,IF(VLOOKUP($A44,'Matriz de Referencia'!$B$2:$CO$584,42,FALSE)=0,0,"Digite"))</f>
        <v>0</v>
      </c>
      <c r="CP44" s="454">
        <f>IF(OR('Parte Estrategica'!AJ44=0,'Parte Estrategica'!AJ44=""),0,IF(VLOOKUP($A44,'Matriz de Referencia'!$B$2:$CO$584,43,FALSE)=0,0,"Digite"))</f>
        <v>0</v>
      </c>
      <c r="CQ44" s="454">
        <f>IF(OR('Parte Estrategica'!AJ44=0,'Parte Estrategica'!AJ44=""),0,IF(VLOOKUP($A44,'Matriz de Referencia'!$B$2:$CO$584,44,FALSE)=0,0,"Digite"))</f>
        <v>0</v>
      </c>
      <c r="CR44" s="454">
        <f>IF(OR('Parte Estrategica'!AJ44=0,'Parte Estrategica'!AJ44=""),0,IF(VLOOKUP($A44,'Matriz de Referencia'!$B$2:$CO$584,45,FALSE)=0,0,"Digite"))</f>
        <v>0</v>
      </c>
      <c r="CS44" s="454">
        <f>IF(OR('Parte Estrategica'!AJ44=0,'Parte Estrategica'!AJ44=""),0,IF(VLOOKUP($A44,'Matriz de Referencia'!$B$2:$CO$584,46,FALSE)=0,0,"Digite"))</f>
        <v>0</v>
      </c>
      <c r="CT44" s="382">
        <f t="shared" si="19"/>
        <v>0</v>
      </c>
      <c r="CU44" s="454">
        <f>IF(OR('Parte Estrategica'!AJ44=0,'Parte Estrategica'!AJ44=""),0,IF(VLOOKUP($A44,'Matriz de Referencia'!$B$2:$CO$584,48,FALSE)=0,0,"Digite"))</f>
        <v>0</v>
      </c>
      <c r="CV44" s="454">
        <f>IF(OR('Parte Estrategica'!AJ44=0,'Parte Estrategica'!AJ44=""),0,IF(VLOOKUP($A44,'Matriz de Referencia'!$B$2:$CO$584,49,FALSE)=0,0,"Digite"))</f>
        <v>0</v>
      </c>
      <c r="CW44" s="454">
        <f>IF(OR('Parte Estrategica'!AJ44=0,'Parte Estrategica'!AJ44=""),0,IF(VLOOKUP($A44,'Matriz de Referencia'!$B$2:$CO$584,50,FALSE)=0,0,"Digite"))</f>
        <v>0</v>
      </c>
      <c r="CX44" s="382">
        <f t="shared" si="20"/>
        <v>0</v>
      </c>
      <c r="CY44" s="382">
        <f t="shared" si="21"/>
        <v>0</v>
      </c>
      <c r="CZ44" s="453">
        <f>IF(OR('Parte Estrategica'!AK44=0,'Parte Estrategica'!AK44=""),0,IF(VLOOKUP($A44,'Matriz de Referencia'!$B$2:$CO$584,39,FALSE)=0,0,"Digite"))</f>
        <v>0</v>
      </c>
      <c r="DA44" s="454">
        <f>IF(OR('Parte Estrategica'!AK44=0,'Parte Estrategica'!AK44=""),0,IF(VLOOKUP($A44,'Matriz de Referencia'!$B$2:$CO$584,40,FALSE)=0,0,"Digite"))</f>
        <v>0</v>
      </c>
      <c r="DB44" s="454">
        <f>IF(OR('Parte Estrategica'!AK44=0,'Parte Estrategica'!AK44=""),0,IF(VLOOKUP($A44,'Matriz de Referencia'!$B$2:$CO$584,41,FALSE)=0,0,"Digite"))</f>
        <v>0</v>
      </c>
      <c r="DC44" s="454">
        <f>IF(OR('Parte Estrategica'!AK44=0,'Parte Estrategica'!AK44=""),0,IF(VLOOKUP($A44,'Matriz de Referencia'!$B$2:$CO$584,42,FALSE)=0,0,"Digite"))</f>
        <v>0</v>
      </c>
      <c r="DD44" s="454">
        <f>IF(OR('Parte Estrategica'!AK44=0,'Parte Estrategica'!AK44=""),0,IF(VLOOKUP($A44,'Matriz de Referencia'!$B$2:$CO$584,43,FALSE)=0,0,"Digite"))</f>
        <v>0</v>
      </c>
      <c r="DE44" s="454">
        <f>IF(OR('Parte Estrategica'!AK44=0,'Parte Estrategica'!AK44=""),0,IF(VLOOKUP($A44,'Matriz de Referencia'!$B$2:$CO$584,44,FALSE)=0,0,"Digite"))</f>
        <v>0</v>
      </c>
      <c r="DF44" s="454">
        <f>IF(OR('Parte Estrategica'!AK44=0,'Parte Estrategica'!AK44=""),0,IF(VLOOKUP($A44,'Matriz de Referencia'!$B$2:$CO$584,45,FALSE)=0,0,"Digite"))</f>
        <v>0</v>
      </c>
      <c r="DG44" s="454">
        <f>IF(OR('Parte Estrategica'!AK44=0,'Parte Estrategica'!AK44=""),0,IF(VLOOKUP($A44,'Matriz de Referencia'!$B$2:$CO$584,46,FALSE)=0,0,"Digite"))</f>
        <v>0</v>
      </c>
      <c r="DH44" s="382">
        <f t="shared" si="22"/>
        <v>0</v>
      </c>
      <c r="DI44" s="454">
        <f>IF(OR('Parte Estrategica'!AK44=0,'Parte Estrategica'!AK44=""),0,IF(VLOOKUP($A44,'Matriz de Referencia'!$B$2:$CO$584,48,FALSE)=0,0,"Digite"))</f>
        <v>0</v>
      </c>
      <c r="DJ44" s="454">
        <f>IF(OR('Parte Estrategica'!AK44=0,'Parte Estrategica'!AK44=""),0,IF(VLOOKUP($A44,'Matriz de Referencia'!$B$2:$CO$584,49,FALSE)=0,0,"Digite"))</f>
        <v>0</v>
      </c>
      <c r="DK44" s="454">
        <f>IF(OR('Parte Estrategica'!AK44=0,'Parte Estrategica'!AK44=""),0,IF(VLOOKUP($A44,'Matriz de Referencia'!$B$2:$CO$584,50,FALSE)=0,0,"Digite"))</f>
        <v>0</v>
      </c>
      <c r="DL44" s="382">
        <f t="shared" si="23"/>
        <v>0</v>
      </c>
      <c r="DM44" s="382">
        <f t="shared" si="24"/>
        <v>0</v>
      </c>
      <c r="DN44" s="382">
        <f t="shared" si="25"/>
        <v>0</v>
      </c>
      <c r="DO44" s="101" t="str">
        <f>IFERROR(IF(DN44=0,"",IF(VLOOKUP($A44,'Matriz de Referencia'!$B$2:$CO$584,52,FALSE)=DN44,"Techos ok, cotinue","Debe revisar el valor programado")),"")</f>
        <v/>
      </c>
      <c r="DP44" s="453">
        <f>IF(OR('Parte Estrategica'!AN44=0,'Parte Estrategica'!AN44=""),0,IF(VLOOKUP($A44,'Matriz de Referencia'!$B$2:$CO$584,53,FALSE)=0,0,"Digite"))</f>
        <v>0</v>
      </c>
      <c r="DQ44" s="454">
        <f>IF(OR('Parte Estrategica'!AN44=0,'Parte Estrategica'!AN44=""),0,IF(VLOOKUP($A44,'Matriz de Referencia'!$B$2:$CO$584,54,FALSE)=0,0,"Digite"))</f>
        <v>0</v>
      </c>
      <c r="DR44" s="454">
        <f>IF(OR('Parte Estrategica'!AN44=0,'Parte Estrategica'!AN44=""),0,IF(VLOOKUP($A44,'Matriz de Referencia'!$B$2:$CO$584,55,FALSE)=0,0,"Digite"))</f>
        <v>0</v>
      </c>
      <c r="DS44" s="454">
        <f>IF(OR('Parte Estrategica'!AN44=0,'Parte Estrategica'!AN44=""),0,IF(VLOOKUP($A44,'Matriz de Referencia'!$B$2:$CO$584,56,FALSE)=0,0,"Digite"))</f>
        <v>0</v>
      </c>
      <c r="DT44" s="454">
        <f>IF(OR('Parte Estrategica'!AN44=0,'Parte Estrategica'!AN44=""),0,IF(VLOOKUP($A44,'Matriz de Referencia'!$B$2:$CO$584,57,FALSE)=0,0,"Digite"))</f>
        <v>0</v>
      </c>
      <c r="DU44" s="454">
        <f>IF(OR('Parte Estrategica'!AN44=0,'Parte Estrategica'!AN44=""),0,IF(VLOOKUP($A44,'Matriz de Referencia'!$B$2:$CO$584,58,FALSE)=0,0,"Digite"))</f>
        <v>0</v>
      </c>
      <c r="DV44" s="454">
        <f>IF(OR('Parte Estrategica'!AN44=0,'Parte Estrategica'!AN44=""),0,IF(VLOOKUP($A44,'Matriz de Referencia'!$B$2:$CO$584,59,FALSE)=0,0,"Digite"))</f>
        <v>0</v>
      </c>
      <c r="DW44" s="454">
        <f>IF(OR('Parte Estrategica'!AN44=0,'Parte Estrategica'!AN44=""),0,IF(VLOOKUP($A44,'Matriz de Referencia'!$B$2:$CO$584,60,FALSE)=0,0,"Digite"))</f>
        <v>0</v>
      </c>
      <c r="DX44" s="382">
        <f t="shared" si="26"/>
        <v>0</v>
      </c>
      <c r="DY44" s="454">
        <f>IF(OR('Parte Estrategica'!AN44=0,'Parte Estrategica'!AN44=""),0,IF(VLOOKUP($A44,'Matriz de Referencia'!$B$2:$CO$584,62,FALSE)=0,0,"Digite"))</f>
        <v>0</v>
      </c>
      <c r="DZ44" s="454">
        <f>IF(OR('Parte Estrategica'!AN44=0,'Parte Estrategica'!AN44=""),0,IF(VLOOKUP($A44,'Matriz de Referencia'!$B$2:$CO$584,63,FALSE)=0,0,"Digite"))</f>
        <v>0</v>
      </c>
      <c r="EA44" s="454" t="str">
        <f>IF(OR('Parte Estrategica'!AN44=0,'Parte Estrategica'!AN44=""),"",IF(VLOOKUP($A44,'Matriz de Referencia'!$B$2:$CO$584,64,FALSE)=0,"","Digite"))</f>
        <v/>
      </c>
      <c r="EB44" s="382">
        <f t="shared" si="27"/>
        <v>0</v>
      </c>
      <c r="EC44" s="382">
        <f t="shared" si="28"/>
        <v>0</v>
      </c>
      <c r="ED44" s="453">
        <f>IF(OR('Parte Estrategica'!AO44=0,'Parte Estrategica'!AO44=""),0,IF(VLOOKUP($A44,'Matriz de Referencia'!$B$2:$CO$584,53,FALSE)=0,0,"Digite"))</f>
        <v>0</v>
      </c>
      <c r="EE44" s="454">
        <f>IF(OR('Parte Estrategica'!AO44=0,'Parte Estrategica'!AO44=""),0,IF(VLOOKUP($A44,'Matriz de Referencia'!$B$2:$CO$584,54,FALSE)=0,0,"Digite"))</f>
        <v>0</v>
      </c>
      <c r="EF44" s="454">
        <f>IF(OR('Parte Estrategica'!AO44=0,'Parte Estrategica'!AO44=""),0,IF(VLOOKUP($A44,'Matriz de Referencia'!$B$2:$CO$584,55,FALSE)=0,0,"Digite"))</f>
        <v>0</v>
      </c>
      <c r="EG44" s="454">
        <f>IF(OR('Parte Estrategica'!AO44=0,'Parte Estrategica'!AO44=""),0,IF(VLOOKUP($A44,'Matriz de Referencia'!$B$2:$CO$584,56,FALSE)=0,0,"Digite"))</f>
        <v>0</v>
      </c>
      <c r="EH44" s="454">
        <f>IF(OR('Parte Estrategica'!AO44=0,'Parte Estrategica'!AO44=""),0,IF(VLOOKUP($A44,'Matriz de Referencia'!$B$2:$CO$584,57,FALSE)=0,0,"Digite"))</f>
        <v>0</v>
      </c>
      <c r="EI44" s="454">
        <f>IF(OR('Parte Estrategica'!AO44=0,'Parte Estrategica'!AO44=""),0,IF(VLOOKUP($A44,'Matriz de Referencia'!$B$2:$CO$584,58,FALSE)=0,0,"Digite"))</f>
        <v>0</v>
      </c>
      <c r="EJ44" s="454">
        <f>IF(OR('Parte Estrategica'!AO44=0,'Parte Estrategica'!AO44=""),0,IF(VLOOKUP($A44,'Matriz de Referencia'!$B$2:$CO$584,59,FALSE)=0,0,"Digite"))</f>
        <v>0</v>
      </c>
      <c r="EK44" s="454">
        <f>IF(OR('Parte Estrategica'!AO44=0,'Parte Estrategica'!AO44=""),0,IF(VLOOKUP($A44,'Matriz de Referencia'!$B$2:$CO$584,60,FALSE)=0,0,"Digite"))</f>
        <v>0</v>
      </c>
      <c r="EL44" s="382">
        <f t="shared" si="29"/>
        <v>0</v>
      </c>
      <c r="EM44" s="454">
        <f>IF(OR('Parte Estrategica'!AO44=0,'Parte Estrategica'!AO44=""),0,IF(VLOOKUP($A44,'Matriz de Referencia'!$B$2:$CO$584,62,FALSE)=0,0,"Digite"))</f>
        <v>0</v>
      </c>
      <c r="EN44" s="454">
        <f>IF(OR('Parte Estrategica'!AO44=0,'Parte Estrategica'!AO44=""),0,IF(VLOOKUP($A44,'Matriz de Referencia'!$B$2:$CO$584,63,FALSE)=0,0,"Digite"))</f>
        <v>0</v>
      </c>
      <c r="EO44" s="454">
        <f>IF(OR('Parte Estrategica'!AO44=0,'Parte Estrategica'!AO44=""),0,IF(VLOOKUP($A44,'Matriz de Referencia'!$B$2:$CO$584,64,FALSE)=0,0,"Digite"))</f>
        <v>0</v>
      </c>
      <c r="EP44" s="382">
        <f t="shared" si="30"/>
        <v>0</v>
      </c>
      <c r="EQ44" s="382">
        <f t="shared" si="31"/>
        <v>0</v>
      </c>
      <c r="ER44" s="453">
        <f>IF(OR('Parte Estrategica'!AP44=0,'Parte Estrategica'!AP44=""),0,IF(VLOOKUP($A44,'Matriz de Referencia'!$B$2:$CO$584,53,FALSE)=0,0,"Digite"))</f>
        <v>0</v>
      </c>
      <c r="ES44" s="454">
        <f>IF(OR('Parte Estrategica'!AP44=0,'Parte Estrategica'!AP44=""),0,IF(VLOOKUP($A44,'Matriz de Referencia'!$B$2:$CO$584,54,FALSE)=0,0,"Digite"))</f>
        <v>0</v>
      </c>
      <c r="ET44" s="454">
        <f>IF(OR('Parte Estrategica'!AP44=0,'Parte Estrategica'!AP44=""),0,IF(VLOOKUP($A44,'Matriz de Referencia'!$B$2:$CO$584,55,FALSE)=0,0,"Digite"))</f>
        <v>0</v>
      </c>
      <c r="EU44" s="454">
        <f>IF(OR('Parte Estrategica'!AP44=0,'Parte Estrategica'!AP44=""),0,IF(VLOOKUP($A44,'Matriz de Referencia'!$B$2:$CO$584,56,FALSE)=0,0,"Digite"))</f>
        <v>0</v>
      </c>
      <c r="EV44" s="454">
        <f>IF(OR('Parte Estrategica'!AP44=0,'Parte Estrategica'!AP44=""),0,IF(VLOOKUP($A44,'Matriz de Referencia'!$B$2:$CO$584,57,FALSE)=0,0,"Digite"))</f>
        <v>0</v>
      </c>
      <c r="EW44" s="454">
        <f>IF(OR('Parte Estrategica'!AP44=0,'Parte Estrategica'!AP44=""),0,IF(VLOOKUP($A44,'Matriz de Referencia'!$B$2:$CO$584,58,FALSE)=0,0,"Digite"))</f>
        <v>0</v>
      </c>
      <c r="EX44" s="454">
        <f>IF(OR('Parte Estrategica'!AP44=0,'Parte Estrategica'!AP44=""),0,IF(VLOOKUP($A44,'Matriz de Referencia'!$B$2:$CO$584,59,FALSE)=0,0,"Digite"))</f>
        <v>0</v>
      </c>
      <c r="EY44" s="454">
        <f>IF(OR('Parte Estrategica'!AP44=0,'Parte Estrategica'!AP44=""),0,IF(VLOOKUP($A44,'Matriz de Referencia'!$B$2:$CO$584,60,FALSE)=0,0,"Digite"))</f>
        <v>0</v>
      </c>
      <c r="EZ44" s="382">
        <f t="shared" si="32"/>
        <v>0</v>
      </c>
      <c r="FA44" s="454">
        <f>IF(OR('Parte Estrategica'!AP44=0,'Parte Estrategica'!AP44=""),0,IF(VLOOKUP($A44,'Matriz de Referencia'!$B$2:$CO$584,62,FALSE)=0,0,"Digite"))</f>
        <v>0</v>
      </c>
      <c r="FB44" s="454">
        <f>IF(OR('Parte Estrategica'!AP44=0,'Parte Estrategica'!AP44=""),0,IF(VLOOKUP($A44,'Matriz de Referencia'!$B$2:$CO$584,63,FALSE)=0,0,"Digite"))</f>
        <v>0</v>
      </c>
      <c r="FC44" s="454">
        <f>IF(OR('Parte Estrategica'!AP44=0,'Parte Estrategica'!AP44=""),0,IF(VLOOKUP($A44,'Matriz de Referencia'!$B$2:$CO$584,64,FALSE)=0,0,"Digite"))</f>
        <v>0</v>
      </c>
      <c r="FD44" s="382">
        <f t="shared" si="33"/>
        <v>0</v>
      </c>
      <c r="FE44" s="382">
        <f t="shared" si="34"/>
        <v>0</v>
      </c>
      <c r="FF44" s="453">
        <f>IF(OR('Parte Estrategica'!AQ44=0,'Parte Estrategica'!AQ44=""),0,IF(VLOOKUP($A44,'Matriz de Referencia'!$B$2:$CO$584,53,FALSE)=0,0,"Digite"))</f>
        <v>0</v>
      </c>
      <c r="FG44" s="454">
        <f>IF(OR('Parte Estrategica'!AQ44=0,'Parte Estrategica'!AQ44=""),0,IF(VLOOKUP($A44,'Matriz de Referencia'!$B$2:$CO$584,54,FALSE)=0,0,"Digite"))</f>
        <v>0</v>
      </c>
      <c r="FH44" s="454">
        <f>IF(OR('Parte Estrategica'!AQ44=0,'Parte Estrategica'!AQ44=""),0,IF(VLOOKUP($A44,'Matriz de Referencia'!$B$2:$CO$584,55,FALSE)=0,0,"Digite"))</f>
        <v>0</v>
      </c>
      <c r="FI44" s="454">
        <f>IF(OR('Parte Estrategica'!AQ44=0,'Parte Estrategica'!AQ44=""),0,IF(VLOOKUP($A44,'Matriz de Referencia'!$B$2:$CO$584,56,FALSE)=0,0,"Digite"))</f>
        <v>0</v>
      </c>
      <c r="FJ44" s="454">
        <f>IF(OR('Parte Estrategica'!AQ44=0,'Parte Estrategica'!AQ44=""),0,IF(VLOOKUP($A44,'Matriz de Referencia'!$B$2:$CO$584,57,FALSE)=0,0,"Digite"))</f>
        <v>0</v>
      </c>
      <c r="FK44" s="454">
        <f>IF(OR('Parte Estrategica'!AQ44=0,'Parte Estrategica'!AQ44=""),0,IF(VLOOKUP($A44,'Matriz de Referencia'!$B$2:$CO$584,58,FALSE)=0,0,"Digite"))</f>
        <v>0</v>
      </c>
      <c r="FL44" s="454">
        <f>IF(OR('Parte Estrategica'!AQ44=0,'Parte Estrategica'!AQ44=""),0,IF(VLOOKUP($A44,'Matriz de Referencia'!$B$2:$CO$584,59,FALSE)=0,0,"Digite"))</f>
        <v>0</v>
      </c>
      <c r="FM44" s="454">
        <f>IF(OR('Parte Estrategica'!AQ44=0,'Parte Estrategica'!AQ44=""),0,IF(VLOOKUP($A44,'Matriz de Referencia'!$B$2:$CO$584,60,FALSE)=0,0,"Digite"))</f>
        <v>0</v>
      </c>
      <c r="FN44" s="382">
        <f t="shared" si="35"/>
        <v>0</v>
      </c>
      <c r="FO44" s="454">
        <f>IF(OR('Parte Estrategica'!AQ44=0,'Parte Estrategica'!AQ44=""),0,IF(VLOOKUP($A44,'Matriz de Referencia'!$B$2:$CO$584,62,FALSE)=0,0,"Digite"))</f>
        <v>0</v>
      </c>
      <c r="FP44" s="454">
        <f>IF(OR('Parte Estrategica'!AQ44=0,'Parte Estrategica'!AQ44=""),0,IF(VLOOKUP($A44,'Matriz de Referencia'!$B$2:$CO$584,63,FALSE)=0,0,"Digite"))</f>
        <v>0</v>
      </c>
      <c r="FQ44" s="454">
        <f>IF(OR('Parte Estrategica'!AQ44=0,'Parte Estrategica'!AQ44=""),0,IF(VLOOKUP($A44,'Matriz de Referencia'!$B$2:$CO$584,64,FALSE)=0,0,"Digite"))</f>
        <v>0</v>
      </c>
      <c r="FR44" s="382">
        <f t="shared" si="36"/>
        <v>0</v>
      </c>
      <c r="FS44" s="382">
        <f t="shared" si="37"/>
        <v>0</v>
      </c>
      <c r="FT44" s="382">
        <f t="shared" si="38"/>
        <v>0</v>
      </c>
      <c r="FU44" s="101" t="str">
        <f>IFERROR(IF(FT44=0,"",IF(VLOOKUP($A44,'Matriz de Referencia'!$B$2:$CO$584,66,FALSE)=FT44,"Techos ok, cotinue","Debe revisar el valor programado")),"")</f>
        <v/>
      </c>
      <c r="FV44" s="453">
        <f>IF(OR('Parte Estrategica'!AT44=0,'Parte Estrategica'!AT44=""),0,IF(VLOOKUP($A44,'Matriz de Referencia'!$B$2:$CO$584,67,FALSE)=0,0,"Digite"))</f>
        <v>0</v>
      </c>
      <c r="FW44" s="454">
        <f>IF(OR('Parte Estrategica'!AT44=0,'Parte Estrategica'!AT44=""),0,IF(VLOOKUP($A44,'Matriz de Referencia'!$B$2:$CO$584,68,FALSE)=0,0,"Digite"))</f>
        <v>0</v>
      </c>
      <c r="FX44" s="454">
        <f>IF(OR('Parte Estrategica'!AT44=0,'Parte Estrategica'!AT44=""),0,IF(VLOOKUP($A44,'Matriz de Referencia'!$B$2:$CO$584,69,FALSE)=0,0,"Digite"))</f>
        <v>0</v>
      </c>
      <c r="FY44" s="454">
        <f>IF(OR('Parte Estrategica'!AT44=0,'Parte Estrategica'!AT44=""),0,IF(VLOOKUP($A44,'Matriz de Referencia'!$B$2:$CO$584,70,FALSE)=0,0,"Digite"))</f>
        <v>0</v>
      </c>
      <c r="FZ44" s="454">
        <f>IF(OR('Parte Estrategica'!AT44=0,'Parte Estrategica'!AT44=""),0,IF(VLOOKUP($A44,'Matriz de Referencia'!$B$2:$CO$584,71,FALSE)=0,0,"Digite"))</f>
        <v>0</v>
      </c>
      <c r="GA44" s="454">
        <f>IF(OR('Parte Estrategica'!AT44=0,'Parte Estrategica'!AT44=""),0,IF(VLOOKUP($A44,'Matriz de Referencia'!$B$2:$CO$584,72,FALSE)=0,0,"Digite"))</f>
        <v>0</v>
      </c>
      <c r="GB44" s="454">
        <f>IF(OR('Parte Estrategica'!AT44=0,'Parte Estrategica'!AT44=""),0,IF(VLOOKUP($A44,'Matriz de Referencia'!$B$2:$CO$584,73,FALSE)=0,0,"Digite"))</f>
        <v>0</v>
      </c>
      <c r="GC44" s="454">
        <f>IF(OR('Parte Estrategica'!AT44=0,'Parte Estrategica'!AT44=""),0,IF(VLOOKUP($A44,'Matriz de Referencia'!$B$2:$CO$584,74,FALSE)=0,0,"Digite"))</f>
        <v>0</v>
      </c>
      <c r="GD44" s="382">
        <f t="shared" si="39"/>
        <v>0</v>
      </c>
      <c r="GE44" s="454">
        <f>IF(OR('Parte Estrategica'!AT44=0,'Parte Estrategica'!AT44=""),0,IF(VLOOKUP($A44,'Matriz de Referencia'!$B$2:$CO$584,76,FALSE)=0,0,"Digite"))</f>
        <v>0</v>
      </c>
      <c r="GF44" s="454">
        <f>IF(OR('Parte Estrategica'!AT44=0,'Parte Estrategica'!AT44=""),0,IF(VLOOKUP($A44,'Matriz de Referencia'!$B$2:$CO$584,77,FALSE)=0,0,"Digite"))</f>
        <v>0</v>
      </c>
      <c r="GG44" s="454">
        <f>IF(OR('Parte Estrategica'!AT44=0,'Parte Estrategica'!AT44=""),0,IF(VLOOKUP($A44,'Matriz de Referencia'!$B$2:$CO$584,78,FALSE)=0,0,"Digite"))</f>
        <v>0</v>
      </c>
      <c r="GH44" s="382">
        <f t="shared" si="40"/>
        <v>0</v>
      </c>
      <c r="GI44" s="382">
        <f t="shared" si="41"/>
        <v>0</v>
      </c>
      <c r="GJ44" s="453">
        <f>IF(OR('Parte Estrategica'!AU44=0,'Parte Estrategica'!AU44=""),0,IF(VLOOKUP($A44,'Matriz de Referencia'!$B$2:$CO$584,67,FALSE)=0,0,"Digite"))</f>
        <v>0</v>
      </c>
      <c r="GK44" s="454">
        <f>IF(OR('Parte Estrategica'!AU44=0,'Parte Estrategica'!AU44=""),0,IF(VLOOKUP($A44,'Matriz de Referencia'!$B$2:$CO$584,68,FALSE)=0,0,"Digite"))</f>
        <v>0</v>
      </c>
      <c r="GL44" s="454">
        <f>IF(OR('Parte Estrategica'!AU44=0,'Parte Estrategica'!AU44=""),0,IF(VLOOKUP($A44,'Matriz de Referencia'!$B$2:$CO$584,69,FALSE)=0,0,"Digite"))</f>
        <v>0</v>
      </c>
      <c r="GM44" s="454">
        <f>IF(OR('Parte Estrategica'!AU44=0,'Parte Estrategica'!AU44=""),0,IF(VLOOKUP($A44,'Matriz de Referencia'!$B$2:$CO$584,70,FALSE)=0,0,"Digite"))</f>
        <v>0</v>
      </c>
      <c r="GN44" s="454">
        <f>IF(OR('Parte Estrategica'!AU44=0,'Parte Estrategica'!AU44=""),0,IF(VLOOKUP($A44,'Matriz de Referencia'!$B$2:$CO$584,71,FALSE)=0,0,"Digite"))</f>
        <v>0</v>
      </c>
      <c r="GO44" s="454">
        <f>IF(OR('Parte Estrategica'!AU44=0,'Parte Estrategica'!AU44=""),0,IF(VLOOKUP($A44,'Matriz de Referencia'!$B$2:$CO$584,72,FALSE)=0,0,"Digite"))</f>
        <v>0</v>
      </c>
      <c r="GP44" s="454">
        <f>IF(OR('Parte Estrategica'!AU44=0,'Parte Estrategica'!AU44=""),0,IF(VLOOKUP($A44,'Matriz de Referencia'!$B$2:$CO$584,73,FALSE)=0,0,"Digite"))</f>
        <v>0</v>
      </c>
      <c r="GQ44" s="454">
        <f>IF(OR('Parte Estrategica'!AU44=0,'Parte Estrategica'!AU44=""),0,IF(VLOOKUP($A44,'Matriz de Referencia'!$B$2:$CO$584,74,FALSE)=0,0,"Digite"))</f>
        <v>0</v>
      </c>
      <c r="GR44" s="382">
        <f t="shared" si="42"/>
        <v>0</v>
      </c>
      <c r="GS44" s="454">
        <f>IF(OR('Parte Estrategica'!AU44=0,'Parte Estrategica'!AU44=""),0,IF(VLOOKUP($A44,'Matriz de Referencia'!$B$2:$CO$584,76,FALSE)=0,0,"Digite"))</f>
        <v>0</v>
      </c>
      <c r="GT44" s="454">
        <f>IF(OR('Parte Estrategica'!AU44=0,'Parte Estrategica'!AU44=""),0,IF(VLOOKUP($A44,'Matriz de Referencia'!$B$2:$CO$584,77,FALSE)=0,0,"Digite"))</f>
        <v>0</v>
      </c>
      <c r="GU44" s="454">
        <f>IF(OR('Parte Estrategica'!AU44=0,'Parte Estrategica'!AU44=""),0,IF(VLOOKUP($A44,'Matriz de Referencia'!$B$2:$CO$584,78,FALSE)=0,0,"Digite"))</f>
        <v>0</v>
      </c>
      <c r="GV44" s="382">
        <f t="shared" si="43"/>
        <v>0</v>
      </c>
      <c r="GW44" s="382">
        <f t="shared" si="44"/>
        <v>0</v>
      </c>
      <c r="GX44" s="453">
        <f>IF(OR('Parte Estrategica'!AV44=0,'Parte Estrategica'!AV44=""),0,IF(VLOOKUP($A44,'Matriz de Referencia'!$B$2:$CO$584,67,FALSE)=0,0,"Digite"))</f>
        <v>0</v>
      </c>
      <c r="GY44" s="454">
        <f>IF(OR('Parte Estrategica'!AV44=0,'Parte Estrategica'!AV44=""),0,IF(VLOOKUP($A44,'Matriz de Referencia'!$B$2:$CO$584,68,FALSE)=0,0,"Digite"))</f>
        <v>0</v>
      </c>
      <c r="GZ44" s="454">
        <f>IF(OR('Parte Estrategica'!AV44=0,'Parte Estrategica'!AV44=""),0,IF(VLOOKUP($A44,'Matriz de Referencia'!$B$2:$CO$584,69,FALSE)=0,0,"Digite"))</f>
        <v>0</v>
      </c>
      <c r="HA44" s="454">
        <f>IF(OR('Parte Estrategica'!AV44=0,'Parte Estrategica'!AV44=""),0,IF(VLOOKUP($A44,'Matriz de Referencia'!$B$2:$CO$584,70,FALSE)=0,0,"Digite"))</f>
        <v>0</v>
      </c>
      <c r="HB44" s="454">
        <f>IF(OR('Parte Estrategica'!AV44=0,'Parte Estrategica'!AV44=""),0,IF(VLOOKUP($A44,'Matriz de Referencia'!$B$2:$CO$584,71,FALSE)=0,0,"Digite"))</f>
        <v>0</v>
      </c>
      <c r="HC44" s="454">
        <f>IF(OR('Parte Estrategica'!AV44=0,'Parte Estrategica'!AV44=""),0,IF(VLOOKUP($A44,'Matriz de Referencia'!$B$2:$CO$584,72,FALSE)=0,0,"Digite"))</f>
        <v>0</v>
      </c>
      <c r="HD44" s="454">
        <f>IF(OR('Parte Estrategica'!AV44=0,'Parte Estrategica'!AV44=""),0,IF(VLOOKUP($A44,'Matriz de Referencia'!$B$2:$CO$584,73,FALSE)=0,0,"Digite"))</f>
        <v>0</v>
      </c>
      <c r="HE44" s="454">
        <f>IF(OR('Parte Estrategica'!AV44=0,'Parte Estrategica'!AV44=""),0,IF(VLOOKUP($A44,'Matriz de Referencia'!$B$2:$CO$584,74,FALSE)=0,0,"Digite"))</f>
        <v>0</v>
      </c>
      <c r="HF44" s="382">
        <f t="shared" si="45"/>
        <v>0</v>
      </c>
      <c r="HG44" s="454">
        <f>IF(OR('Parte Estrategica'!AV44=0,'Parte Estrategica'!AV44=""),0,IF(VLOOKUP($A44,'Matriz de Referencia'!$B$2:$CO$584,76,FALSE)=0,0,"Digite"))</f>
        <v>0</v>
      </c>
      <c r="HH44" s="454">
        <f>IF(OR('Parte Estrategica'!AV44=0,'Parte Estrategica'!AV44=""),0,IF(VLOOKUP($A44,'Matriz de Referencia'!$B$2:$CO$584,77,FALSE)=0,0,"Digite"))</f>
        <v>0</v>
      </c>
      <c r="HI44" s="454">
        <f>IF(OR('Parte Estrategica'!AV44=0,'Parte Estrategica'!AV44=""),0,IF(VLOOKUP($A44,'Matriz de Referencia'!$B$2:$CO$584,78,FALSE)=0,0,"Digite"))</f>
        <v>0</v>
      </c>
      <c r="HJ44" s="382">
        <f t="shared" si="46"/>
        <v>0</v>
      </c>
      <c r="HK44" s="382">
        <f t="shared" si="47"/>
        <v>0</v>
      </c>
      <c r="HL44" s="453">
        <f>IF(OR('Parte Estrategica'!AW44=0,'Parte Estrategica'!AW44=""),0,IF(VLOOKUP($A44,'Matriz de Referencia'!$B$2:$CO$584,67,FALSE)=0,0,"Digite"))</f>
        <v>0</v>
      </c>
      <c r="HM44" s="454">
        <f>IF(OR('Parte Estrategica'!AW44=0,'Parte Estrategica'!AW44=""),0,IF(VLOOKUP($A44,'Matriz de Referencia'!$B$2:$CO$584,68,FALSE)=0,0,"Digite"))</f>
        <v>0</v>
      </c>
      <c r="HN44" s="454">
        <f>IF(OR('Parte Estrategica'!AW44=0,'Parte Estrategica'!AW44=""),0,IF(VLOOKUP($A44,'Matriz de Referencia'!$B$2:$CO$584,69,FALSE)=0,0,"Digite"))</f>
        <v>0</v>
      </c>
      <c r="HO44" s="454">
        <f>IF(OR('Parte Estrategica'!AW44=0,'Parte Estrategica'!AW44=""),0,IF(VLOOKUP($A44,'Matriz de Referencia'!$B$2:$CO$584,70,FALSE)=0,0,"Digite"))</f>
        <v>0</v>
      </c>
      <c r="HP44" s="454">
        <f>IF(OR('Parte Estrategica'!AW44=0,'Parte Estrategica'!AW44=""),0,IF(VLOOKUP($A44,'Matriz de Referencia'!$B$2:$CO$584,71,FALSE)=0,0,"Digite"))</f>
        <v>0</v>
      </c>
      <c r="HQ44" s="454">
        <f>IF(OR('Parte Estrategica'!AW44=0,'Parte Estrategica'!AW44=""),0,IF(VLOOKUP($A44,'Matriz de Referencia'!$B$2:$CO$584,72,FALSE)=0,0,"Digite"))</f>
        <v>0</v>
      </c>
      <c r="HR44" s="454">
        <f>IF(OR('Parte Estrategica'!AW44=0,'Parte Estrategica'!AW44=""),0,IF(VLOOKUP($A44,'Matriz de Referencia'!$B$2:$CO$584,73,FALSE)=0,0,"Digite"))</f>
        <v>0</v>
      </c>
      <c r="HS44" s="454">
        <f>IF(OR('Parte Estrategica'!AW44=0,'Parte Estrategica'!AW44=""),0,IF(VLOOKUP($A44,'Matriz de Referencia'!$B$2:$CO$584,74,FALSE)=0,0,"Digite"))</f>
        <v>0</v>
      </c>
      <c r="HT44" s="382">
        <f t="shared" si="48"/>
        <v>0</v>
      </c>
      <c r="HU44" s="454">
        <f>IF(OR('Parte Estrategica'!AW44=0,'Parte Estrategica'!AW44=""),0,IF(VLOOKUP($A44,'Matriz de Referencia'!$B$2:$CO$584,76,FALSE)=0,0,"Digite"))</f>
        <v>0</v>
      </c>
      <c r="HV44" s="454">
        <f>IF(OR('Parte Estrategica'!AW44=0,'Parte Estrategica'!AW44=""),0,IF(VLOOKUP($A44,'Matriz de Referencia'!$B$2:$CO$584,77,FALSE)=0,0,"Digite"))</f>
        <v>0</v>
      </c>
      <c r="HW44" s="454">
        <f>IF(OR('Parte Estrategica'!AW44=0,'Parte Estrategica'!AW44=""),0,IF(VLOOKUP($A44,'Matriz de Referencia'!$B$2:$CO$584,78,FALSE)=0,0,"Digite"))</f>
        <v>0</v>
      </c>
      <c r="HX44" s="382">
        <f t="shared" si="49"/>
        <v>0</v>
      </c>
      <c r="HY44" s="382">
        <f t="shared" si="50"/>
        <v>0</v>
      </c>
      <c r="HZ44" s="382">
        <f t="shared" si="51"/>
        <v>0</v>
      </c>
      <c r="IA44" s="101" t="str">
        <f>IFERROR(IF(HZ44=0,"",IF(VLOOKUP($A44,'Matriz de Referencia'!$B$2:$CO$584,80,FALSE)=HZ44,"Techos ok, cotinue","Debe revisar el valor programado")),"")</f>
        <v/>
      </c>
      <c r="IB44" s="383">
        <f t="shared" si="52"/>
        <v>0</v>
      </c>
    </row>
    <row r="45" spans="1:236">
      <c r="A45" s="550" t="str">
        <f>IF('Parte Estrategica'!B45=0,"",'Parte Estrategica'!B45)</f>
        <v/>
      </c>
      <c r="B45" s="551" t="str">
        <f>IFERROR(VLOOKUP(A45,'Matriz de Referencia'!$B$2:$P$578,'Matriz de Referencia'!L$1,FALSE),"")</f>
        <v/>
      </c>
      <c r="C45" s="551" t="str">
        <f>IFERROR(VLOOKUP(A45,'Matriz de Referencia'!$B$2:$P$584,'Matriz de Referencia'!M$1,FALSE),"")</f>
        <v/>
      </c>
      <c r="D45" s="455" t="str">
        <f>IF(OR('Parte Estrategica'!AB45=0,'Parte Estrategica'!AB45=""),"",IF(VLOOKUP($A45,'Matriz de Referencia'!$B$2:$CO$584,'Matriz de Referencia'!Z$1,FALSE)=0,"","Digite"))</f>
        <v/>
      </c>
      <c r="E45" s="456">
        <f>IF(OR('Parte Estrategica'!AB45=0,'Parte Estrategica'!AB45=""),0,IF(VLOOKUP($A45,'Matriz de Referencia'!$B$2:$CO$584,26,FALSE)=0,0,"Digite"))</f>
        <v>0</v>
      </c>
      <c r="F45" s="456">
        <f>IF(OR('Parte Estrategica'!AB45=0,'Parte Estrategica'!AB45=""),0,IF(VLOOKUP($A45,'Matriz de Referencia'!$B$2:$CO$584,27,FALSE)=0,0,"Digite"))</f>
        <v>0</v>
      </c>
      <c r="G45" s="456">
        <f>IF(OR('Parte Estrategica'!AB45=0,'Parte Estrategica'!AB45=""),0,IF(VLOOKUP($A45,'Matriz de Referencia'!$B$2:$CO$584,28,FALSE)=0,0,"Digite"))</f>
        <v>0</v>
      </c>
      <c r="H45" s="456">
        <f>IF(OR('Parte Estrategica'!AB45=0,'Parte Estrategica'!AB45=""),0,IF(VLOOKUP($A45,'Matriz de Referencia'!$B$2:$CO$584,29,FALSE)=0,0,"Digite"))</f>
        <v>0</v>
      </c>
      <c r="I45" s="456">
        <f>IF(OR('Parte Estrategica'!AB45=0,'Parte Estrategica'!AB45=""),0,IF(VLOOKUP($A45,'Matriz de Referencia'!$B$2:$CO$584,30,FALSE)=0,0,"Digite"))</f>
        <v>0</v>
      </c>
      <c r="J45" s="456">
        <f>IF(OR('Parte Estrategica'!AB45=0,'Parte Estrategica'!AB45=""),0,IF(VLOOKUP($A45,'Matriz de Referencia'!$B$2:$CO$584,31,FALSE)=0,0,"Digite"))</f>
        <v>0</v>
      </c>
      <c r="K45" s="456">
        <f>IF(OR('Parte Estrategica'!AB45=0,'Parte Estrategica'!AB45=""),0,IF(VLOOKUP($A45,'Matriz de Referencia'!$B$2:$CO$584,32,FALSE)=0,0,"Digite"))</f>
        <v>0</v>
      </c>
      <c r="L45" s="460">
        <f t="shared" si="0"/>
        <v>0</v>
      </c>
      <c r="M45" s="456">
        <f>IF(OR('Parte Estrategica'!AB45=0,'Parte Estrategica'!AB45=""),0,IF(VLOOKUP($A45,'Matriz de Referencia'!$B$2:$CO$584,34,FALSE)=0,0,"Digite"))</f>
        <v>0</v>
      </c>
      <c r="N45" s="456">
        <f>IF(OR('Parte Estrategica'!AB45=0,'Parte Estrategica'!AB45=""),0,IF(VLOOKUP($A45,'Matriz de Referencia'!$B$2:$CO$584,35,FALSE)=0,0,"Digite"))</f>
        <v>0</v>
      </c>
      <c r="O45" s="456">
        <f>IF(OR('Parte Estrategica'!AB45=0,'Parte Estrategica'!AB45=""),0,IF(VLOOKUP($A45,'Matriz de Referencia'!$B$2:$CO$584,36,FALSE)=0,0,"Digite"))</f>
        <v>0</v>
      </c>
      <c r="P45" s="457">
        <f t="shared" si="1"/>
        <v>0</v>
      </c>
      <c r="Q45" s="457">
        <f t="shared" si="2"/>
        <v>0</v>
      </c>
      <c r="R45" s="455">
        <f>IF(OR('Parte Estrategica'!AC45=0,'Parte Estrategica'!AC45=""),0,IF(VLOOKUP($A45,'Matriz de Referencia'!$B$2:$CO$584,25,FALSE)=0,0,"Digite"))</f>
        <v>0</v>
      </c>
      <c r="S45" s="456">
        <f>IF(OR('Parte Estrategica'!AC45=0,'Parte Estrategica'!AC45=""),0,IF(VLOOKUP($A45,'Matriz de Referencia'!$B$2:$CO$584,26,FALSE)=0,0,"Digite"))</f>
        <v>0</v>
      </c>
      <c r="T45" s="456">
        <f>IF(OR('Parte Estrategica'!AC45=0,'Parte Estrategica'!AC45=""),0,IF(VLOOKUP($A45,'Matriz de Referencia'!$B$2:$CO$584,27,FALSE)=0,0,"Digite"))</f>
        <v>0</v>
      </c>
      <c r="U45" s="456">
        <f>IF(OR('Parte Estrategica'!AC45=0,'Parte Estrategica'!AC45=""),0,IF(VLOOKUP($A45,'Matriz de Referencia'!$B$2:$CO$584,28,FALSE)=0,0,"Digite"))</f>
        <v>0</v>
      </c>
      <c r="V45" s="456">
        <f>IF(OR('Parte Estrategica'!AC45=0,'Parte Estrategica'!AC45=""),0,IF(VLOOKUP($A45,'Matriz de Referencia'!$B$2:$CO$584,29,FALSE)=0,0,"Digite"))</f>
        <v>0</v>
      </c>
      <c r="W45" s="456">
        <f>IF(OR('Parte Estrategica'!AC45=0,'Parte Estrategica'!AC45=""),0,IF(VLOOKUP($A45,'Matriz de Referencia'!$B$2:$CO$584,30,FALSE)=0,0,"Digite"))</f>
        <v>0</v>
      </c>
      <c r="X45" s="456">
        <f>IF(OR('Parte Estrategica'!AC45=0,'Parte Estrategica'!AC45=""),0,IF(VLOOKUP($A45,'Matriz de Referencia'!$B$2:$CO$584,31,FALSE)=0,0,"Digite"))</f>
        <v>0</v>
      </c>
      <c r="Y45" s="456">
        <f>IF(OR('Parte Estrategica'!AC45=0,'Parte Estrategica'!AC45=""),0,IF(VLOOKUP($A45,'Matriz de Referencia'!$B$2:$CO$584,32,FALSE)=0,0,"Digite"))</f>
        <v>0</v>
      </c>
      <c r="Z45" s="457">
        <f t="shared" si="3"/>
        <v>0</v>
      </c>
      <c r="AA45" s="456">
        <f>IF(OR('Parte Estrategica'!AC45=0,'Parte Estrategica'!AC45=""),0,IF(VLOOKUP($A45,'Matriz de Referencia'!$B$2:$CO$584,34,FALSE)=0,0,"Digite"))</f>
        <v>0</v>
      </c>
      <c r="AB45" s="456">
        <f>IF(OR('Parte Estrategica'!AC45=0,'Parte Estrategica'!AC45=""),0,IF(VLOOKUP($A45,'Matriz de Referencia'!$B$2:$CO$584,35,FALSE)=0,0,"Digite"))</f>
        <v>0</v>
      </c>
      <c r="AC45" s="456">
        <f>IF(OR('Parte Estrategica'!AC45=0,'Parte Estrategica'!AC45=""),0,IF(VLOOKUP($A45,'Matriz de Referencia'!$B$2:$CO$584,36,FALSE)=0,0,"Digite"))</f>
        <v>0</v>
      </c>
      <c r="AD45" s="457">
        <f t="shared" si="4"/>
        <v>0</v>
      </c>
      <c r="AE45" s="457">
        <f t="shared" si="5"/>
        <v>0</v>
      </c>
      <c r="AF45" s="455">
        <f>IF(OR('Parte Estrategica'!AD45=0,'Parte Estrategica'!AD45=""),0,IF(VLOOKUP($A45,'Matriz de Referencia'!$B$2:$CO$584,25,FALSE)=0,0,"Digite"))</f>
        <v>0</v>
      </c>
      <c r="AG45" s="456">
        <f>IF(OR('Parte Estrategica'!AD45=0,'Parte Estrategica'!AD45=""),0,IF(VLOOKUP($A45,'Matriz de Referencia'!$B$2:$CO$584,26,FALSE)=0,0,"Digite"))</f>
        <v>0</v>
      </c>
      <c r="AH45" s="456">
        <f>IF(OR('Parte Estrategica'!AD45=0,'Parte Estrategica'!AD45=""),0,IF(VLOOKUP($A45,'Matriz de Referencia'!$B$2:$CO$584,27,FALSE)=0,0,"Digite"))</f>
        <v>0</v>
      </c>
      <c r="AI45" s="456">
        <f>IF(OR('Parte Estrategica'!AD45=0,'Parte Estrategica'!AD45=""),0,IF(VLOOKUP($A45,'Matriz de Referencia'!$B$2:$CO$584,28,FALSE)=0,0,"Digite"))</f>
        <v>0</v>
      </c>
      <c r="AJ45" s="456">
        <f>IF(OR('Parte Estrategica'!AD45=0,'Parte Estrategica'!AD45=""),0,IF(VLOOKUP($A45,'Matriz de Referencia'!$B$2:$CO$584,29,FALSE)=0,0,"Digite"))</f>
        <v>0</v>
      </c>
      <c r="AK45" s="456">
        <f>IF(OR('Parte Estrategica'!AD45=0,'Parte Estrategica'!AD45=""),0,IF(VLOOKUP($A45,'Matriz de Referencia'!$B$2:$CO$584,30,FALSE)=0,0,"Digite"))</f>
        <v>0</v>
      </c>
      <c r="AL45" s="456">
        <f>IF(OR('Parte Estrategica'!AD45=0,'Parte Estrategica'!AD45=""),0,IF(VLOOKUP($A45,'Matriz de Referencia'!$B$2:$CO$584,31,FALSE)=0,0,"Digite"))</f>
        <v>0</v>
      </c>
      <c r="AM45" s="456">
        <f>IF(OR('Parte Estrategica'!AD45=0,'Parte Estrategica'!AD45=""),0,IF(VLOOKUP($A45,'Matriz de Referencia'!$B$2:$CO$584,32,FALSE)=0,0,"Digite"))</f>
        <v>0</v>
      </c>
      <c r="AN45" s="457">
        <f t="shared" si="6"/>
        <v>0</v>
      </c>
      <c r="AO45" s="456">
        <f>IF(OR('Parte Estrategica'!AD45=0,'Parte Estrategica'!AD45=""),0,IF(VLOOKUP($A45,'Matriz de Referencia'!$B$2:$CO$584,34,FALSE)=0,0,"Digite"))</f>
        <v>0</v>
      </c>
      <c r="AP45" s="456">
        <f>IF(OR('Parte Estrategica'!AD45=0,'Parte Estrategica'!AD45=""),0,IF(VLOOKUP($A45,'Matriz de Referencia'!$B$2:$CO$584,35,FALSE)=0,0,"Digite"))</f>
        <v>0</v>
      </c>
      <c r="AQ45" s="456">
        <f>IF(OR('Parte Estrategica'!AD45=0,'Parte Estrategica'!AD45=""),0,IF(VLOOKUP($A45,'Matriz de Referencia'!$B$2:$CO$584,36,FALSE)=0,0,"Digite"))</f>
        <v>0</v>
      </c>
      <c r="AR45" s="457">
        <f t="shared" si="7"/>
        <v>0</v>
      </c>
      <c r="AS45" s="457">
        <f t="shared" si="8"/>
        <v>0</v>
      </c>
      <c r="AT45" s="455">
        <f>IF(OR('Parte Estrategica'!AE45=0,'Parte Estrategica'!AE45=""),0,IF(VLOOKUP($A45,'Matriz de Referencia'!$B$2:$CO$584,25,FALSE)=0,0,"Digite"))</f>
        <v>0</v>
      </c>
      <c r="AU45" s="456">
        <f>IF(OR('Parte Estrategica'!AE45=0,'Parte Estrategica'!AE45=""),0,IF(VLOOKUP($A45,'Matriz de Referencia'!$B$2:$CO$584,26,FALSE)=0,0,"Digite"))</f>
        <v>0</v>
      </c>
      <c r="AV45" s="456">
        <f>IF(OR('Parte Estrategica'!AE45=0,'Parte Estrategica'!AE45=""),0,IF(VLOOKUP($A45,'Matriz de Referencia'!$B$2:$CO$584,27,FALSE)=0,0,"Digite"))</f>
        <v>0</v>
      </c>
      <c r="AW45" s="456">
        <f>IF(OR('Parte Estrategica'!AE45=0,'Parte Estrategica'!AE45=""),0,IF(VLOOKUP($A45,'Matriz de Referencia'!$B$2:$CO$584,28,FALSE)=0,0,"Digite"))</f>
        <v>0</v>
      </c>
      <c r="AX45" s="456">
        <f>IF(OR('Parte Estrategica'!AE45=0,'Parte Estrategica'!AE45=""),0,IF(VLOOKUP($A45,'Matriz de Referencia'!$B$2:$CO$584,29,FALSE)=0,0,"Digite"))</f>
        <v>0</v>
      </c>
      <c r="AY45" s="456">
        <f>IF(OR('Parte Estrategica'!AE45=0,'Parte Estrategica'!AE45=""),0,IF(VLOOKUP($A45,'Matriz de Referencia'!$B$2:$CO$584,30,FALSE)=0,0,"Digite"))</f>
        <v>0</v>
      </c>
      <c r="AZ45" s="456">
        <f>IF(OR('Parte Estrategica'!AE45=0,'Parte Estrategica'!AE45=""),0,IF(VLOOKUP($A45,'Matriz de Referencia'!$B$2:$CO$584,31,FALSE)=0,0,"Digite"))</f>
        <v>0</v>
      </c>
      <c r="BA45" s="456">
        <f>IF(OR('Parte Estrategica'!AE45=0,'Parte Estrategica'!AE45=""),0,IF(VLOOKUP($A45,'Matriz de Referencia'!$B$2:$CO$584,32,FALSE)=0,0,"Digite"))</f>
        <v>0</v>
      </c>
      <c r="BB45" s="457">
        <f t="shared" si="9"/>
        <v>0</v>
      </c>
      <c r="BC45" s="456">
        <f>IF(OR('Parte Estrategica'!AE45=0,'Parte Estrategica'!AE45=""),0,IF(VLOOKUP($A45,'Matriz de Referencia'!$B$2:$CO$584,34,FALSE)=0,0,"Digite"))</f>
        <v>0</v>
      </c>
      <c r="BD45" s="456">
        <f>IF(OR('Parte Estrategica'!AE45=0,'Parte Estrategica'!AE45=""),0,IF(VLOOKUP($A45,'Matriz de Referencia'!$B$2:$CO$584,35,FALSE)=0,0,"Digite"))</f>
        <v>0</v>
      </c>
      <c r="BE45" s="456">
        <f>IF(OR('Parte Estrategica'!AE45=0,'Parte Estrategica'!AE45=""),0,IF(VLOOKUP($A45,'Matriz de Referencia'!$B$2:$CO$584,36,FALSE)=0,0,"Digite"))</f>
        <v>0</v>
      </c>
      <c r="BF45" s="457">
        <f t="shared" si="10"/>
        <v>0</v>
      </c>
      <c r="BG45" s="457">
        <f t="shared" si="11"/>
        <v>0</v>
      </c>
      <c r="BH45" s="457">
        <f t="shared" si="12"/>
        <v>0</v>
      </c>
      <c r="BI45" s="101" t="str">
        <f>IFERROR(IF(BH45=0,"",IF(VLOOKUP($A45,'Matriz de Referencia'!$B$2:$CO$584,'Matriz de Referencia'!AM$1,FALSE)=BH45,"Techos ok, cotinue","Debe revisar el valor programado")),"")</f>
        <v/>
      </c>
      <c r="BJ45" s="453">
        <f>IF(OR('Parte Estrategica'!AH45=0,'Parte Estrategica'!AH45=""),0,IF(VLOOKUP($A45,'Matriz de Referencia'!$B$2:$CO$584,39,FALSE)=0,0,"Digite"))</f>
        <v>0</v>
      </c>
      <c r="BK45" s="454">
        <f>IF(OR('Parte Estrategica'!AH45=0,'Parte Estrategica'!AH45=""),0,IF(VLOOKUP($A45,'Matriz de Referencia'!$B$2:$CO$584,40,FALSE)=0,0,"Digite"))</f>
        <v>0</v>
      </c>
      <c r="BL45" s="454">
        <f>IF(OR('Parte Estrategica'!AH45=0,'Parte Estrategica'!AH45=""),0,IF(VLOOKUP($A45,'Matriz de Referencia'!$B$2:$CO$584,41,FALSE)=0,0,"Digite"))</f>
        <v>0</v>
      </c>
      <c r="BM45" s="454">
        <f>IF(OR('Parte Estrategica'!AH45=0,'Parte Estrategica'!AH45=""),0,IF(VLOOKUP($A45,'Matriz de Referencia'!$B$2:$CO$584,42,FALSE)=0,0,"Digite"))</f>
        <v>0</v>
      </c>
      <c r="BN45" s="454">
        <f>IF(OR('Parte Estrategica'!AH45=0,'Parte Estrategica'!AH45=""),0,IF(VLOOKUP($A45,'Matriz de Referencia'!$B$2:$CO$584,43,FALSE)=0,0,"Digite"))</f>
        <v>0</v>
      </c>
      <c r="BO45" s="454">
        <f>IF(OR('Parte Estrategica'!AH45=0,'Parte Estrategica'!AH45=""),0,IF(VLOOKUP($A45,'Matriz de Referencia'!$B$2:$CO$584,44,FALSE)=0,0,"Digite"))</f>
        <v>0</v>
      </c>
      <c r="BP45" s="454">
        <f>IF(OR('Parte Estrategica'!AH45=0,'Parte Estrategica'!AH45=""),0,IF(VLOOKUP($A45,'Matriz de Referencia'!$B$2:$CO$584,45,FALSE)=0,0,"Digite"))</f>
        <v>0</v>
      </c>
      <c r="BQ45" s="454">
        <f>IF(OR('Parte Estrategica'!AH45=0,'Parte Estrategica'!AH45=""),0,IF(VLOOKUP($A45,'Matriz de Referencia'!$B$2:$CO$584,46,FALSE)=0,0,"Digite"))</f>
        <v>0</v>
      </c>
      <c r="BR45" s="382">
        <f t="shared" si="13"/>
        <v>0</v>
      </c>
      <c r="BS45" s="454">
        <f>IF(OR('Parte Estrategica'!CL45=0,'Parte Estrategica'!CL45=""),0,IF(VLOOKUP($A45,'Matriz de Referencia'!$B$2:$CO$584,48,FALSE)=0,0,"Digite"))</f>
        <v>0</v>
      </c>
      <c r="BT45" s="454">
        <f>IF(OR('Parte Estrategica'!CL45=0,'Parte Estrategica'!CL45=""),0,IF(VLOOKUP($A45,'Matriz de Referencia'!$B$2:$CO$584,49,FALSE)=0,0,"Digite"))</f>
        <v>0</v>
      </c>
      <c r="BU45" s="454">
        <f>IF(OR('Parte Estrategica'!CL45=0,'Parte Estrategica'!CL45=""),0,IF(VLOOKUP($A45,'Matriz de Referencia'!$B$2:$CO$584,50,FALSE)=0,0,"Digite"))</f>
        <v>0</v>
      </c>
      <c r="BV45" s="382">
        <f t="shared" si="14"/>
        <v>0</v>
      </c>
      <c r="BW45" s="382">
        <f t="shared" si="15"/>
        <v>0</v>
      </c>
      <c r="BX45" s="453">
        <f>IF(OR('Parte Estrategica'!AI45=0,'Parte Estrategica'!AI45=""),0,IF(VLOOKUP($A45,'Matriz de Referencia'!$B$2:$CO$584,39,FALSE)=0,0,"Digite"))</f>
        <v>0</v>
      </c>
      <c r="BY45" s="454">
        <f>IF(OR('Parte Estrategica'!AI45=0,'Parte Estrategica'!AI45=""),0,IF(VLOOKUP($A45,'Matriz de Referencia'!$B$2:$CO$584,40,FALSE)=0,0,"Digite"))</f>
        <v>0</v>
      </c>
      <c r="BZ45" s="454">
        <f>IF(OR('Parte Estrategica'!AI45=0,'Parte Estrategica'!AI45=""),0,IF(VLOOKUP($A45,'Matriz de Referencia'!$B$2:$CO$584,41,FALSE)=0,0,"Digite"))</f>
        <v>0</v>
      </c>
      <c r="CA45" s="454">
        <f>IF(OR('Parte Estrategica'!AI45=0,'Parte Estrategica'!AI45=""),0,IF(VLOOKUP($A45,'Matriz de Referencia'!$B$2:$CO$584,42,FALSE)=0,0,"Digite"))</f>
        <v>0</v>
      </c>
      <c r="CB45" s="454">
        <f>IF(OR('Parte Estrategica'!AI45=0,'Parte Estrategica'!AI45=""),0,IF(VLOOKUP($A45,'Matriz de Referencia'!$B$2:$CO$584,43,FALSE)=0,0,"Digite"))</f>
        <v>0</v>
      </c>
      <c r="CC45" s="454">
        <f>IF(OR('Parte Estrategica'!AI45=0,'Parte Estrategica'!AI45=""),0,IF(VLOOKUP($A45,'Matriz de Referencia'!$B$2:$CO$584,44,FALSE)=0,0,"Digite"))</f>
        <v>0</v>
      </c>
      <c r="CD45" s="454">
        <f>IF(OR('Parte Estrategica'!AI45=0,'Parte Estrategica'!AI45=""),0,IF(VLOOKUP($A45,'Matriz de Referencia'!$B$2:$CO$584,45,FALSE)=0,0,"Digite"))</f>
        <v>0</v>
      </c>
      <c r="CE45" s="454">
        <f>IF(OR('Parte Estrategica'!AI45=0,'Parte Estrategica'!AI45=""),0,IF(VLOOKUP($A45,'Matriz de Referencia'!$B$2:$CO$584,46,FALSE)=0,0,"Digite"))</f>
        <v>0</v>
      </c>
      <c r="CF45" s="382">
        <f t="shared" si="16"/>
        <v>0</v>
      </c>
      <c r="CG45" s="454">
        <f>IF(OR('Parte Estrategica'!AI45=0,'Parte Estrategica'!AI45=""),0,IF(VLOOKUP($A45,'Matriz de Referencia'!$B$2:$CO$584,48,FALSE)=0,0,"Digite"))</f>
        <v>0</v>
      </c>
      <c r="CH45" s="454">
        <f>IF(OR('Parte Estrategica'!AI45=0,'Parte Estrategica'!AI45=""),0,IF(VLOOKUP($A45,'Matriz de Referencia'!$B$2:$CO$584,49,FALSE)=0,0,"Digite"))</f>
        <v>0</v>
      </c>
      <c r="CI45" s="454">
        <f>IF(OR('Parte Estrategica'!AI45=0,'Parte Estrategica'!AI45=""),0,IF(VLOOKUP($A45,'Matriz de Referencia'!$B$2:$CO$584,50,FALSE)=0,0,"Digite"))</f>
        <v>0</v>
      </c>
      <c r="CJ45" s="382">
        <f t="shared" si="17"/>
        <v>0</v>
      </c>
      <c r="CK45" s="382">
        <f t="shared" si="18"/>
        <v>0</v>
      </c>
      <c r="CL45" s="453">
        <f>IF(OR('Parte Estrategica'!AJ45=0,'Parte Estrategica'!AJ45=""),0,IF(VLOOKUP($A45,'Matriz de Referencia'!$B$2:$CO$584,39,FALSE)=0,0,"Digite"))</f>
        <v>0</v>
      </c>
      <c r="CM45" s="454">
        <f>IF(OR('Parte Estrategica'!AJ45=0,'Parte Estrategica'!AJ45=""),0,IF(VLOOKUP($A45,'Matriz de Referencia'!$B$2:$CO$584,40,FALSE)=0,0,"Digite"))</f>
        <v>0</v>
      </c>
      <c r="CN45" s="454">
        <f>IF(OR('Parte Estrategica'!AJ45=0,'Parte Estrategica'!AJ45=""),0,IF(VLOOKUP($A45,'Matriz de Referencia'!$B$2:$CO$584,41,FALSE)=0,0,"Digite"))</f>
        <v>0</v>
      </c>
      <c r="CO45" s="454">
        <f>IF(OR('Parte Estrategica'!AJ45=0,'Parte Estrategica'!AJ45=""),0,IF(VLOOKUP($A45,'Matriz de Referencia'!$B$2:$CO$584,42,FALSE)=0,0,"Digite"))</f>
        <v>0</v>
      </c>
      <c r="CP45" s="454">
        <f>IF(OR('Parte Estrategica'!AJ45=0,'Parte Estrategica'!AJ45=""),0,IF(VLOOKUP($A45,'Matriz de Referencia'!$B$2:$CO$584,43,FALSE)=0,0,"Digite"))</f>
        <v>0</v>
      </c>
      <c r="CQ45" s="454">
        <f>IF(OR('Parte Estrategica'!AJ45=0,'Parte Estrategica'!AJ45=""),0,IF(VLOOKUP($A45,'Matriz de Referencia'!$B$2:$CO$584,44,FALSE)=0,0,"Digite"))</f>
        <v>0</v>
      </c>
      <c r="CR45" s="454">
        <f>IF(OR('Parte Estrategica'!AJ45=0,'Parte Estrategica'!AJ45=""),0,IF(VLOOKUP($A45,'Matriz de Referencia'!$B$2:$CO$584,45,FALSE)=0,0,"Digite"))</f>
        <v>0</v>
      </c>
      <c r="CS45" s="454">
        <f>IF(OR('Parte Estrategica'!AJ45=0,'Parte Estrategica'!AJ45=""),0,IF(VLOOKUP($A45,'Matriz de Referencia'!$B$2:$CO$584,46,FALSE)=0,0,"Digite"))</f>
        <v>0</v>
      </c>
      <c r="CT45" s="382">
        <f t="shared" si="19"/>
        <v>0</v>
      </c>
      <c r="CU45" s="454">
        <f>IF(OR('Parte Estrategica'!AJ45=0,'Parte Estrategica'!AJ45=""),0,IF(VLOOKUP($A45,'Matriz de Referencia'!$B$2:$CO$584,48,FALSE)=0,0,"Digite"))</f>
        <v>0</v>
      </c>
      <c r="CV45" s="454">
        <f>IF(OR('Parte Estrategica'!AJ45=0,'Parte Estrategica'!AJ45=""),0,IF(VLOOKUP($A45,'Matriz de Referencia'!$B$2:$CO$584,49,FALSE)=0,0,"Digite"))</f>
        <v>0</v>
      </c>
      <c r="CW45" s="454">
        <f>IF(OR('Parte Estrategica'!AJ45=0,'Parte Estrategica'!AJ45=""),0,IF(VLOOKUP($A45,'Matriz de Referencia'!$B$2:$CO$584,50,FALSE)=0,0,"Digite"))</f>
        <v>0</v>
      </c>
      <c r="CX45" s="382">
        <f t="shared" si="20"/>
        <v>0</v>
      </c>
      <c r="CY45" s="382">
        <f t="shared" si="21"/>
        <v>0</v>
      </c>
      <c r="CZ45" s="453">
        <f>IF(OR('Parte Estrategica'!AK45=0,'Parte Estrategica'!AK45=""),0,IF(VLOOKUP($A45,'Matriz de Referencia'!$B$2:$CO$584,39,FALSE)=0,0,"Digite"))</f>
        <v>0</v>
      </c>
      <c r="DA45" s="454">
        <f>IF(OR('Parte Estrategica'!AK45=0,'Parte Estrategica'!AK45=""),0,IF(VLOOKUP($A45,'Matriz de Referencia'!$B$2:$CO$584,40,FALSE)=0,0,"Digite"))</f>
        <v>0</v>
      </c>
      <c r="DB45" s="454">
        <f>IF(OR('Parte Estrategica'!AK45=0,'Parte Estrategica'!AK45=""),0,IF(VLOOKUP($A45,'Matriz de Referencia'!$B$2:$CO$584,41,FALSE)=0,0,"Digite"))</f>
        <v>0</v>
      </c>
      <c r="DC45" s="454">
        <f>IF(OR('Parte Estrategica'!AK45=0,'Parte Estrategica'!AK45=""),0,IF(VLOOKUP($A45,'Matriz de Referencia'!$B$2:$CO$584,42,FALSE)=0,0,"Digite"))</f>
        <v>0</v>
      </c>
      <c r="DD45" s="454">
        <f>IF(OR('Parte Estrategica'!AK45=0,'Parte Estrategica'!AK45=""),0,IF(VLOOKUP($A45,'Matriz de Referencia'!$B$2:$CO$584,43,FALSE)=0,0,"Digite"))</f>
        <v>0</v>
      </c>
      <c r="DE45" s="454">
        <f>IF(OR('Parte Estrategica'!AK45=0,'Parte Estrategica'!AK45=""),0,IF(VLOOKUP($A45,'Matriz de Referencia'!$B$2:$CO$584,44,FALSE)=0,0,"Digite"))</f>
        <v>0</v>
      </c>
      <c r="DF45" s="454">
        <f>IF(OR('Parte Estrategica'!AK45=0,'Parte Estrategica'!AK45=""),0,IF(VLOOKUP($A45,'Matriz de Referencia'!$B$2:$CO$584,45,FALSE)=0,0,"Digite"))</f>
        <v>0</v>
      </c>
      <c r="DG45" s="454">
        <f>IF(OR('Parte Estrategica'!AK45=0,'Parte Estrategica'!AK45=""),0,IF(VLOOKUP($A45,'Matriz de Referencia'!$B$2:$CO$584,46,FALSE)=0,0,"Digite"))</f>
        <v>0</v>
      </c>
      <c r="DH45" s="382">
        <f t="shared" si="22"/>
        <v>0</v>
      </c>
      <c r="DI45" s="454">
        <f>IF(OR('Parte Estrategica'!AK45=0,'Parte Estrategica'!AK45=""),0,IF(VLOOKUP($A45,'Matriz de Referencia'!$B$2:$CO$584,48,FALSE)=0,0,"Digite"))</f>
        <v>0</v>
      </c>
      <c r="DJ45" s="454">
        <f>IF(OR('Parte Estrategica'!AK45=0,'Parte Estrategica'!AK45=""),0,IF(VLOOKUP($A45,'Matriz de Referencia'!$B$2:$CO$584,49,FALSE)=0,0,"Digite"))</f>
        <v>0</v>
      </c>
      <c r="DK45" s="454">
        <f>IF(OR('Parte Estrategica'!AK45=0,'Parte Estrategica'!AK45=""),0,IF(VLOOKUP($A45,'Matriz de Referencia'!$B$2:$CO$584,50,FALSE)=0,0,"Digite"))</f>
        <v>0</v>
      </c>
      <c r="DL45" s="382">
        <f t="shared" si="23"/>
        <v>0</v>
      </c>
      <c r="DM45" s="382">
        <f t="shared" si="24"/>
        <v>0</v>
      </c>
      <c r="DN45" s="382">
        <f t="shared" si="25"/>
        <v>0</v>
      </c>
      <c r="DO45" s="101" t="str">
        <f>IFERROR(IF(DN45=0,"",IF(VLOOKUP($A45,'Matriz de Referencia'!$B$2:$CO$584,52,FALSE)=DN45,"Techos ok, cotinue","Debe revisar el valor programado")),"")</f>
        <v/>
      </c>
      <c r="DP45" s="453">
        <f>IF(OR('Parte Estrategica'!AN45=0,'Parte Estrategica'!AN45=""),0,IF(VLOOKUP($A45,'Matriz de Referencia'!$B$2:$CO$584,53,FALSE)=0,0,"Digite"))</f>
        <v>0</v>
      </c>
      <c r="DQ45" s="454">
        <f>IF(OR('Parte Estrategica'!AN45=0,'Parte Estrategica'!AN45=""),0,IF(VLOOKUP($A45,'Matriz de Referencia'!$B$2:$CO$584,54,FALSE)=0,0,"Digite"))</f>
        <v>0</v>
      </c>
      <c r="DR45" s="454">
        <f>IF(OR('Parte Estrategica'!AN45=0,'Parte Estrategica'!AN45=""),0,IF(VLOOKUP($A45,'Matriz de Referencia'!$B$2:$CO$584,55,FALSE)=0,0,"Digite"))</f>
        <v>0</v>
      </c>
      <c r="DS45" s="454">
        <f>IF(OR('Parte Estrategica'!AN45=0,'Parte Estrategica'!AN45=""),0,IF(VLOOKUP($A45,'Matriz de Referencia'!$B$2:$CO$584,56,FALSE)=0,0,"Digite"))</f>
        <v>0</v>
      </c>
      <c r="DT45" s="454">
        <f>IF(OR('Parte Estrategica'!AN45=0,'Parte Estrategica'!AN45=""),0,IF(VLOOKUP($A45,'Matriz de Referencia'!$B$2:$CO$584,57,FALSE)=0,0,"Digite"))</f>
        <v>0</v>
      </c>
      <c r="DU45" s="454">
        <f>IF(OR('Parte Estrategica'!AN45=0,'Parte Estrategica'!AN45=""),0,IF(VLOOKUP($A45,'Matriz de Referencia'!$B$2:$CO$584,58,FALSE)=0,0,"Digite"))</f>
        <v>0</v>
      </c>
      <c r="DV45" s="454">
        <f>IF(OR('Parte Estrategica'!AN45=0,'Parte Estrategica'!AN45=""),0,IF(VLOOKUP($A45,'Matriz de Referencia'!$B$2:$CO$584,59,FALSE)=0,0,"Digite"))</f>
        <v>0</v>
      </c>
      <c r="DW45" s="454">
        <f>IF(OR('Parte Estrategica'!AN45=0,'Parte Estrategica'!AN45=""),0,IF(VLOOKUP($A45,'Matriz de Referencia'!$B$2:$CO$584,60,FALSE)=0,0,"Digite"))</f>
        <v>0</v>
      </c>
      <c r="DX45" s="382">
        <f t="shared" si="26"/>
        <v>0</v>
      </c>
      <c r="DY45" s="454">
        <f>IF(OR('Parte Estrategica'!AN45=0,'Parte Estrategica'!AN45=""),0,IF(VLOOKUP($A45,'Matriz de Referencia'!$B$2:$CO$584,62,FALSE)=0,0,"Digite"))</f>
        <v>0</v>
      </c>
      <c r="DZ45" s="454">
        <f>IF(OR('Parte Estrategica'!AN45=0,'Parte Estrategica'!AN45=""),0,IF(VLOOKUP($A45,'Matriz de Referencia'!$B$2:$CO$584,63,FALSE)=0,0,"Digite"))</f>
        <v>0</v>
      </c>
      <c r="EA45" s="454" t="str">
        <f>IF(OR('Parte Estrategica'!AN45=0,'Parte Estrategica'!AN45=""),"",IF(VLOOKUP($A45,'Matriz de Referencia'!$B$2:$CO$584,64,FALSE)=0,"","Digite"))</f>
        <v/>
      </c>
      <c r="EB45" s="382">
        <f t="shared" si="27"/>
        <v>0</v>
      </c>
      <c r="EC45" s="382">
        <f t="shared" si="28"/>
        <v>0</v>
      </c>
      <c r="ED45" s="453">
        <f>IF(OR('Parte Estrategica'!AO45=0,'Parte Estrategica'!AO45=""),0,IF(VLOOKUP($A45,'Matriz de Referencia'!$B$2:$CO$584,53,FALSE)=0,0,"Digite"))</f>
        <v>0</v>
      </c>
      <c r="EE45" s="454">
        <f>IF(OR('Parte Estrategica'!AO45=0,'Parte Estrategica'!AO45=""),0,IF(VLOOKUP($A45,'Matriz de Referencia'!$B$2:$CO$584,54,FALSE)=0,0,"Digite"))</f>
        <v>0</v>
      </c>
      <c r="EF45" s="454">
        <f>IF(OR('Parte Estrategica'!AO45=0,'Parte Estrategica'!AO45=""),0,IF(VLOOKUP($A45,'Matriz de Referencia'!$B$2:$CO$584,55,FALSE)=0,0,"Digite"))</f>
        <v>0</v>
      </c>
      <c r="EG45" s="454">
        <f>IF(OR('Parte Estrategica'!AO45=0,'Parte Estrategica'!AO45=""),0,IF(VLOOKUP($A45,'Matriz de Referencia'!$B$2:$CO$584,56,FALSE)=0,0,"Digite"))</f>
        <v>0</v>
      </c>
      <c r="EH45" s="454">
        <f>IF(OR('Parte Estrategica'!AO45=0,'Parte Estrategica'!AO45=""),0,IF(VLOOKUP($A45,'Matriz de Referencia'!$B$2:$CO$584,57,FALSE)=0,0,"Digite"))</f>
        <v>0</v>
      </c>
      <c r="EI45" s="454">
        <f>IF(OR('Parte Estrategica'!AO45=0,'Parte Estrategica'!AO45=""),0,IF(VLOOKUP($A45,'Matriz de Referencia'!$B$2:$CO$584,58,FALSE)=0,0,"Digite"))</f>
        <v>0</v>
      </c>
      <c r="EJ45" s="454">
        <f>IF(OR('Parte Estrategica'!AO45=0,'Parte Estrategica'!AO45=""),0,IF(VLOOKUP($A45,'Matriz de Referencia'!$B$2:$CO$584,59,FALSE)=0,0,"Digite"))</f>
        <v>0</v>
      </c>
      <c r="EK45" s="454">
        <f>IF(OR('Parte Estrategica'!AO45=0,'Parte Estrategica'!AO45=""),0,IF(VLOOKUP($A45,'Matriz de Referencia'!$B$2:$CO$584,60,FALSE)=0,0,"Digite"))</f>
        <v>0</v>
      </c>
      <c r="EL45" s="382">
        <f t="shared" si="29"/>
        <v>0</v>
      </c>
      <c r="EM45" s="454">
        <f>IF(OR('Parte Estrategica'!AO45=0,'Parte Estrategica'!AO45=""),0,IF(VLOOKUP($A45,'Matriz de Referencia'!$B$2:$CO$584,62,FALSE)=0,0,"Digite"))</f>
        <v>0</v>
      </c>
      <c r="EN45" s="454">
        <f>IF(OR('Parte Estrategica'!AO45=0,'Parte Estrategica'!AO45=""),0,IF(VLOOKUP($A45,'Matriz de Referencia'!$B$2:$CO$584,63,FALSE)=0,0,"Digite"))</f>
        <v>0</v>
      </c>
      <c r="EO45" s="454">
        <f>IF(OR('Parte Estrategica'!AO45=0,'Parte Estrategica'!AO45=""),0,IF(VLOOKUP($A45,'Matriz de Referencia'!$B$2:$CO$584,64,FALSE)=0,0,"Digite"))</f>
        <v>0</v>
      </c>
      <c r="EP45" s="382">
        <f t="shared" si="30"/>
        <v>0</v>
      </c>
      <c r="EQ45" s="382">
        <f t="shared" si="31"/>
        <v>0</v>
      </c>
      <c r="ER45" s="453">
        <f>IF(OR('Parte Estrategica'!AP45=0,'Parte Estrategica'!AP45=""),0,IF(VLOOKUP($A45,'Matriz de Referencia'!$B$2:$CO$584,53,FALSE)=0,0,"Digite"))</f>
        <v>0</v>
      </c>
      <c r="ES45" s="454">
        <f>IF(OR('Parte Estrategica'!AP45=0,'Parte Estrategica'!AP45=""),0,IF(VLOOKUP($A45,'Matriz de Referencia'!$B$2:$CO$584,54,FALSE)=0,0,"Digite"))</f>
        <v>0</v>
      </c>
      <c r="ET45" s="454">
        <f>IF(OR('Parte Estrategica'!AP45=0,'Parte Estrategica'!AP45=""),0,IF(VLOOKUP($A45,'Matriz de Referencia'!$B$2:$CO$584,55,FALSE)=0,0,"Digite"))</f>
        <v>0</v>
      </c>
      <c r="EU45" s="454">
        <f>IF(OR('Parte Estrategica'!AP45=0,'Parte Estrategica'!AP45=""),0,IF(VLOOKUP($A45,'Matriz de Referencia'!$B$2:$CO$584,56,FALSE)=0,0,"Digite"))</f>
        <v>0</v>
      </c>
      <c r="EV45" s="454">
        <f>IF(OR('Parte Estrategica'!AP45=0,'Parte Estrategica'!AP45=""),0,IF(VLOOKUP($A45,'Matriz de Referencia'!$B$2:$CO$584,57,FALSE)=0,0,"Digite"))</f>
        <v>0</v>
      </c>
      <c r="EW45" s="454">
        <f>IF(OR('Parte Estrategica'!AP45=0,'Parte Estrategica'!AP45=""),0,IF(VLOOKUP($A45,'Matriz de Referencia'!$B$2:$CO$584,58,FALSE)=0,0,"Digite"))</f>
        <v>0</v>
      </c>
      <c r="EX45" s="454">
        <f>IF(OR('Parte Estrategica'!AP45=0,'Parte Estrategica'!AP45=""),0,IF(VLOOKUP($A45,'Matriz de Referencia'!$B$2:$CO$584,59,FALSE)=0,0,"Digite"))</f>
        <v>0</v>
      </c>
      <c r="EY45" s="454">
        <f>IF(OR('Parte Estrategica'!AP45=0,'Parte Estrategica'!AP45=""),0,IF(VLOOKUP($A45,'Matriz de Referencia'!$B$2:$CO$584,60,FALSE)=0,0,"Digite"))</f>
        <v>0</v>
      </c>
      <c r="EZ45" s="382">
        <f t="shared" si="32"/>
        <v>0</v>
      </c>
      <c r="FA45" s="454">
        <f>IF(OR('Parte Estrategica'!AP45=0,'Parte Estrategica'!AP45=""),0,IF(VLOOKUP($A45,'Matriz de Referencia'!$B$2:$CO$584,62,FALSE)=0,0,"Digite"))</f>
        <v>0</v>
      </c>
      <c r="FB45" s="454">
        <f>IF(OR('Parte Estrategica'!AP45=0,'Parte Estrategica'!AP45=""),0,IF(VLOOKUP($A45,'Matriz de Referencia'!$B$2:$CO$584,63,FALSE)=0,0,"Digite"))</f>
        <v>0</v>
      </c>
      <c r="FC45" s="454">
        <f>IF(OR('Parte Estrategica'!AP45=0,'Parte Estrategica'!AP45=""),0,IF(VLOOKUP($A45,'Matriz de Referencia'!$B$2:$CO$584,64,FALSE)=0,0,"Digite"))</f>
        <v>0</v>
      </c>
      <c r="FD45" s="382">
        <f t="shared" si="33"/>
        <v>0</v>
      </c>
      <c r="FE45" s="382">
        <f t="shared" si="34"/>
        <v>0</v>
      </c>
      <c r="FF45" s="453">
        <f>IF(OR('Parte Estrategica'!AQ45=0,'Parte Estrategica'!AQ45=""),0,IF(VLOOKUP($A45,'Matriz de Referencia'!$B$2:$CO$584,53,FALSE)=0,0,"Digite"))</f>
        <v>0</v>
      </c>
      <c r="FG45" s="454">
        <f>IF(OR('Parte Estrategica'!AQ45=0,'Parte Estrategica'!AQ45=""),0,IF(VLOOKUP($A45,'Matriz de Referencia'!$B$2:$CO$584,54,FALSE)=0,0,"Digite"))</f>
        <v>0</v>
      </c>
      <c r="FH45" s="454">
        <f>IF(OR('Parte Estrategica'!AQ45=0,'Parte Estrategica'!AQ45=""),0,IF(VLOOKUP($A45,'Matriz de Referencia'!$B$2:$CO$584,55,FALSE)=0,0,"Digite"))</f>
        <v>0</v>
      </c>
      <c r="FI45" s="454">
        <f>IF(OR('Parte Estrategica'!AQ45=0,'Parte Estrategica'!AQ45=""),0,IF(VLOOKUP($A45,'Matriz de Referencia'!$B$2:$CO$584,56,FALSE)=0,0,"Digite"))</f>
        <v>0</v>
      </c>
      <c r="FJ45" s="454">
        <f>IF(OR('Parte Estrategica'!AQ45=0,'Parte Estrategica'!AQ45=""),0,IF(VLOOKUP($A45,'Matriz de Referencia'!$B$2:$CO$584,57,FALSE)=0,0,"Digite"))</f>
        <v>0</v>
      </c>
      <c r="FK45" s="454">
        <f>IF(OR('Parte Estrategica'!AQ45=0,'Parte Estrategica'!AQ45=""),0,IF(VLOOKUP($A45,'Matriz de Referencia'!$B$2:$CO$584,58,FALSE)=0,0,"Digite"))</f>
        <v>0</v>
      </c>
      <c r="FL45" s="454">
        <f>IF(OR('Parte Estrategica'!AQ45=0,'Parte Estrategica'!AQ45=""),0,IF(VLOOKUP($A45,'Matriz de Referencia'!$B$2:$CO$584,59,FALSE)=0,0,"Digite"))</f>
        <v>0</v>
      </c>
      <c r="FM45" s="454">
        <f>IF(OR('Parte Estrategica'!AQ45=0,'Parte Estrategica'!AQ45=""),0,IF(VLOOKUP($A45,'Matriz de Referencia'!$B$2:$CO$584,60,FALSE)=0,0,"Digite"))</f>
        <v>0</v>
      </c>
      <c r="FN45" s="382">
        <f t="shared" si="35"/>
        <v>0</v>
      </c>
      <c r="FO45" s="454">
        <f>IF(OR('Parte Estrategica'!AQ45=0,'Parte Estrategica'!AQ45=""),0,IF(VLOOKUP($A45,'Matriz de Referencia'!$B$2:$CO$584,62,FALSE)=0,0,"Digite"))</f>
        <v>0</v>
      </c>
      <c r="FP45" s="454">
        <f>IF(OR('Parte Estrategica'!AQ45=0,'Parte Estrategica'!AQ45=""),0,IF(VLOOKUP($A45,'Matriz de Referencia'!$B$2:$CO$584,63,FALSE)=0,0,"Digite"))</f>
        <v>0</v>
      </c>
      <c r="FQ45" s="454">
        <f>IF(OR('Parte Estrategica'!AQ45=0,'Parte Estrategica'!AQ45=""),0,IF(VLOOKUP($A45,'Matriz de Referencia'!$B$2:$CO$584,64,FALSE)=0,0,"Digite"))</f>
        <v>0</v>
      </c>
      <c r="FR45" s="382">
        <f t="shared" si="36"/>
        <v>0</v>
      </c>
      <c r="FS45" s="382">
        <f t="shared" si="37"/>
        <v>0</v>
      </c>
      <c r="FT45" s="382">
        <f t="shared" si="38"/>
        <v>0</v>
      </c>
      <c r="FU45" s="101" t="str">
        <f>IFERROR(IF(FT45=0,"",IF(VLOOKUP($A45,'Matriz de Referencia'!$B$2:$CO$584,66,FALSE)=FT45,"Techos ok, cotinue","Debe revisar el valor programado")),"")</f>
        <v/>
      </c>
      <c r="FV45" s="453">
        <f>IF(OR('Parte Estrategica'!AT45=0,'Parte Estrategica'!AT45=""),0,IF(VLOOKUP($A45,'Matriz de Referencia'!$B$2:$CO$584,67,FALSE)=0,0,"Digite"))</f>
        <v>0</v>
      </c>
      <c r="FW45" s="454">
        <f>IF(OR('Parte Estrategica'!AT45=0,'Parte Estrategica'!AT45=""),0,IF(VLOOKUP($A45,'Matriz de Referencia'!$B$2:$CO$584,68,FALSE)=0,0,"Digite"))</f>
        <v>0</v>
      </c>
      <c r="FX45" s="454">
        <f>IF(OR('Parte Estrategica'!AT45=0,'Parte Estrategica'!AT45=""),0,IF(VLOOKUP($A45,'Matriz de Referencia'!$B$2:$CO$584,69,FALSE)=0,0,"Digite"))</f>
        <v>0</v>
      </c>
      <c r="FY45" s="454">
        <f>IF(OR('Parte Estrategica'!AT45=0,'Parte Estrategica'!AT45=""),0,IF(VLOOKUP($A45,'Matriz de Referencia'!$B$2:$CO$584,70,FALSE)=0,0,"Digite"))</f>
        <v>0</v>
      </c>
      <c r="FZ45" s="454">
        <f>IF(OR('Parte Estrategica'!AT45=0,'Parte Estrategica'!AT45=""),0,IF(VLOOKUP($A45,'Matriz de Referencia'!$B$2:$CO$584,71,FALSE)=0,0,"Digite"))</f>
        <v>0</v>
      </c>
      <c r="GA45" s="454">
        <f>IF(OR('Parte Estrategica'!AT45=0,'Parte Estrategica'!AT45=""),0,IF(VLOOKUP($A45,'Matriz de Referencia'!$B$2:$CO$584,72,FALSE)=0,0,"Digite"))</f>
        <v>0</v>
      </c>
      <c r="GB45" s="454">
        <f>IF(OR('Parte Estrategica'!AT45=0,'Parte Estrategica'!AT45=""),0,IF(VLOOKUP($A45,'Matriz de Referencia'!$B$2:$CO$584,73,FALSE)=0,0,"Digite"))</f>
        <v>0</v>
      </c>
      <c r="GC45" s="454">
        <f>IF(OR('Parte Estrategica'!AT45=0,'Parte Estrategica'!AT45=""),0,IF(VLOOKUP($A45,'Matriz de Referencia'!$B$2:$CO$584,74,FALSE)=0,0,"Digite"))</f>
        <v>0</v>
      </c>
      <c r="GD45" s="382">
        <f t="shared" si="39"/>
        <v>0</v>
      </c>
      <c r="GE45" s="454">
        <f>IF(OR('Parte Estrategica'!AT45=0,'Parte Estrategica'!AT45=""),0,IF(VLOOKUP($A45,'Matriz de Referencia'!$B$2:$CO$584,76,FALSE)=0,0,"Digite"))</f>
        <v>0</v>
      </c>
      <c r="GF45" s="454">
        <f>IF(OR('Parte Estrategica'!AT45=0,'Parte Estrategica'!AT45=""),0,IF(VLOOKUP($A45,'Matriz de Referencia'!$B$2:$CO$584,77,FALSE)=0,0,"Digite"))</f>
        <v>0</v>
      </c>
      <c r="GG45" s="454">
        <f>IF(OR('Parte Estrategica'!AT45=0,'Parte Estrategica'!AT45=""),0,IF(VLOOKUP($A45,'Matriz de Referencia'!$B$2:$CO$584,78,FALSE)=0,0,"Digite"))</f>
        <v>0</v>
      </c>
      <c r="GH45" s="382">
        <f t="shared" si="40"/>
        <v>0</v>
      </c>
      <c r="GI45" s="382">
        <f t="shared" si="41"/>
        <v>0</v>
      </c>
      <c r="GJ45" s="453">
        <f>IF(OR('Parte Estrategica'!AU45=0,'Parte Estrategica'!AU45=""),0,IF(VLOOKUP($A45,'Matriz de Referencia'!$B$2:$CO$584,67,FALSE)=0,0,"Digite"))</f>
        <v>0</v>
      </c>
      <c r="GK45" s="454">
        <f>IF(OR('Parte Estrategica'!AU45=0,'Parte Estrategica'!AU45=""),0,IF(VLOOKUP($A45,'Matriz de Referencia'!$B$2:$CO$584,68,FALSE)=0,0,"Digite"))</f>
        <v>0</v>
      </c>
      <c r="GL45" s="454">
        <f>IF(OR('Parte Estrategica'!AU45=0,'Parte Estrategica'!AU45=""),0,IF(VLOOKUP($A45,'Matriz de Referencia'!$B$2:$CO$584,69,FALSE)=0,0,"Digite"))</f>
        <v>0</v>
      </c>
      <c r="GM45" s="454">
        <f>IF(OR('Parte Estrategica'!AU45=0,'Parte Estrategica'!AU45=""),0,IF(VLOOKUP($A45,'Matriz de Referencia'!$B$2:$CO$584,70,FALSE)=0,0,"Digite"))</f>
        <v>0</v>
      </c>
      <c r="GN45" s="454">
        <f>IF(OR('Parte Estrategica'!AU45=0,'Parte Estrategica'!AU45=""),0,IF(VLOOKUP($A45,'Matriz de Referencia'!$B$2:$CO$584,71,FALSE)=0,0,"Digite"))</f>
        <v>0</v>
      </c>
      <c r="GO45" s="454">
        <f>IF(OR('Parte Estrategica'!AU45=0,'Parte Estrategica'!AU45=""),0,IF(VLOOKUP($A45,'Matriz de Referencia'!$B$2:$CO$584,72,FALSE)=0,0,"Digite"))</f>
        <v>0</v>
      </c>
      <c r="GP45" s="454">
        <f>IF(OR('Parte Estrategica'!AU45=0,'Parte Estrategica'!AU45=""),0,IF(VLOOKUP($A45,'Matriz de Referencia'!$B$2:$CO$584,73,FALSE)=0,0,"Digite"))</f>
        <v>0</v>
      </c>
      <c r="GQ45" s="454">
        <f>IF(OR('Parte Estrategica'!AU45=0,'Parte Estrategica'!AU45=""),0,IF(VLOOKUP($A45,'Matriz de Referencia'!$B$2:$CO$584,74,FALSE)=0,0,"Digite"))</f>
        <v>0</v>
      </c>
      <c r="GR45" s="382">
        <f t="shared" si="42"/>
        <v>0</v>
      </c>
      <c r="GS45" s="454">
        <f>IF(OR('Parte Estrategica'!AU45=0,'Parte Estrategica'!AU45=""),0,IF(VLOOKUP($A45,'Matriz de Referencia'!$B$2:$CO$584,76,FALSE)=0,0,"Digite"))</f>
        <v>0</v>
      </c>
      <c r="GT45" s="454">
        <f>IF(OR('Parte Estrategica'!AU45=0,'Parte Estrategica'!AU45=""),0,IF(VLOOKUP($A45,'Matriz de Referencia'!$B$2:$CO$584,77,FALSE)=0,0,"Digite"))</f>
        <v>0</v>
      </c>
      <c r="GU45" s="454">
        <f>IF(OR('Parte Estrategica'!AU45=0,'Parte Estrategica'!AU45=""),0,IF(VLOOKUP($A45,'Matriz de Referencia'!$B$2:$CO$584,78,FALSE)=0,0,"Digite"))</f>
        <v>0</v>
      </c>
      <c r="GV45" s="382">
        <f t="shared" si="43"/>
        <v>0</v>
      </c>
      <c r="GW45" s="382">
        <f t="shared" si="44"/>
        <v>0</v>
      </c>
      <c r="GX45" s="453">
        <f>IF(OR('Parte Estrategica'!AV45=0,'Parte Estrategica'!AV45=""),0,IF(VLOOKUP($A45,'Matriz de Referencia'!$B$2:$CO$584,67,FALSE)=0,0,"Digite"))</f>
        <v>0</v>
      </c>
      <c r="GY45" s="454">
        <f>IF(OR('Parte Estrategica'!AV45=0,'Parte Estrategica'!AV45=""),0,IF(VLOOKUP($A45,'Matriz de Referencia'!$B$2:$CO$584,68,FALSE)=0,0,"Digite"))</f>
        <v>0</v>
      </c>
      <c r="GZ45" s="454">
        <f>IF(OR('Parte Estrategica'!AV45=0,'Parte Estrategica'!AV45=""),0,IF(VLOOKUP($A45,'Matriz de Referencia'!$B$2:$CO$584,69,FALSE)=0,0,"Digite"))</f>
        <v>0</v>
      </c>
      <c r="HA45" s="454">
        <f>IF(OR('Parte Estrategica'!AV45=0,'Parte Estrategica'!AV45=""),0,IF(VLOOKUP($A45,'Matriz de Referencia'!$B$2:$CO$584,70,FALSE)=0,0,"Digite"))</f>
        <v>0</v>
      </c>
      <c r="HB45" s="454">
        <f>IF(OR('Parte Estrategica'!AV45=0,'Parte Estrategica'!AV45=""),0,IF(VLOOKUP($A45,'Matriz de Referencia'!$B$2:$CO$584,71,FALSE)=0,0,"Digite"))</f>
        <v>0</v>
      </c>
      <c r="HC45" s="454">
        <f>IF(OR('Parte Estrategica'!AV45=0,'Parte Estrategica'!AV45=""),0,IF(VLOOKUP($A45,'Matriz de Referencia'!$B$2:$CO$584,72,FALSE)=0,0,"Digite"))</f>
        <v>0</v>
      </c>
      <c r="HD45" s="454">
        <f>IF(OR('Parte Estrategica'!AV45=0,'Parte Estrategica'!AV45=""),0,IF(VLOOKUP($A45,'Matriz de Referencia'!$B$2:$CO$584,73,FALSE)=0,0,"Digite"))</f>
        <v>0</v>
      </c>
      <c r="HE45" s="454">
        <f>IF(OR('Parte Estrategica'!AV45=0,'Parte Estrategica'!AV45=""),0,IF(VLOOKUP($A45,'Matriz de Referencia'!$B$2:$CO$584,74,FALSE)=0,0,"Digite"))</f>
        <v>0</v>
      </c>
      <c r="HF45" s="382">
        <f t="shared" si="45"/>
        <v>0</v>
      </c>
      <c r="HG45" s="454">
        <f>IF(OR('Parte Estrategica'!AV45=0,'Parte Estrategica'!AV45=""),0,IF(VLOOKUP($A45,'Matriz de Referencia'!$B$2:$CO$584,76,FALSE)=0,0,"Digite"))</f>
        <v>0</v>
      </c>
      <c r="HH45" s="454">
        <f>IF(OR('Parte Estrategica'!AV45=0,'Parte Estrategica'!AV45=""),0,IF(VLOOKUP($A45,'Matriz de Referencia'!$B$2:$CO$584,77,FALSE)=0,0,"Digite"))</f>
        <v>0</v>
      </c>
      <c r="HI45" s="454">
        <f>IF(OR('Parte Estrategica'!AV45=0,'Parte Estrategica'!AV45=""),0,IF(VLOOKUP($A45,'Matriz de Referencia'!$B$2:$CO$584,78,FALSE)=0,0,"Digite"))</f>
        <v>0</v>
      </c>
      <c r="HJ45" s="382">
        <f t="shared" si="46"/>
        <v>0</v>
      </c>
      <c r="HK45" s="382">
        <f t="shared" si="47"/>
        <v>0</v>
      </c>
      <c r="HL45" s="453">
        <f>IF(OR('Parte Estrategica'!AW45=0,'Parte Estrategica'!AW45=""),0,IF(VLOOKUP($A45,'Matriz de Referencia'!$B$2:$CO$584,67,FALSE)=0,0,"Digite"))</f>
        <v>0</v>
      </c>
      <c r="HM45" s="454">
        <f>IF(OR('Parte Estrategica'!AW45=0,'Parte Estrategica'!AW45=""),0,IF(VLOOKUP($A45,'Matriz de Referencia'!$B$2:$CO$584,68,FALSE)=0,0,"Digite"))</f>
        <v>0</v>
      </c>
      <c r="HN45" s="454">
        <f>IF(OR('Parte Estrategica'!AW45=0,'Parte Estrategica'!AW45=""),0,IF(VLOOKUP($A45,'Matriz de Referencia'!$B$2:$CO$584,69,FALSE)=0,0,"Digite"))</f>
        <v>0</v>
      </c>
      <c r="HO45" s="454">
        <f>IF(OR('Parte Estrategica'!AW45=0,'Parte Estrategica'!AW45=""),0,IF(VLOOKUP($A45,'Matriz de Referencia'!$B$2:$CO$584,70,FALSE)=0,0,"Digite"))</f>
        <v>0</v>
      </c>
      <c r="HP45" s="454">
        <f>IF(OR('Parte Estrategica'!AW45=0,'Parte Estrategica'!AW45=""),0,IF(VLOOKUP($A45,'Matriz de Referencia'!$B$2:$CO$584,71,FALSE)=0,0,"Digite"))</f>
        <v>0</v>
      </c>
      <c r="HQ45" s="454">
        <f>IF(OR('Parte Estrategica'!AW45=0,'Parte Estrategica'!AW45=""),0,IF(VLOOKUP($A45,'Matriz de Referencia'!$B$2:$CO$584,72,FALSE)=0,0,"Digite"))</f>
        <v>0</v>
      </c>
      <c r="HR45" s="454">
        <f>IF(OR('Parte Estrategica'!AW45=0,'Parte Estrategica'!AW45=""),0,IF(VLOOKUP($A45,'Matriz de Referencia'!$B$2:$CO$584,73,FALSE)=0,0,"Digite"))</f>
        <v>0</v>
      </c>
      <c r="HS45" s="454">
        <f>IF(OR('Parte Estrategica'!AW45=0,'Parte Estrategica'!AW45=""),0,IF(VLOOKUP($A45,'Matriz de Referencia'!$B$2:$CO$584,74,FALSE)=0,0,"Digite"))</f>
        <v>0</v>
      </c>
      <c r="HT45" s="382">
        <f t="shared" si="48"/>
        <v>0</v>
      </c>
      <c r="HU45" s="454">
        <f>IF(OR('Parte Estrategica'!AW45=0,'Parte Estrategica'!AW45=""),0,IF(VLOOKUP($A45,'Matriz de Referencia'!$B$2:$CO$584,76,FALSE)=0,0,"Digite"))</f>
        <v>0</v>
      </c>
      <c r="HV45" s="454">
        <f>IF(OR('Parte Estrategica'!AW45=0,'Parte Estrategica'!AW45=""),0,IF(VLOOKUP($A45,'Matriz de Referencia'!$B$2:$CO$584,77,FALSE)=0,0,"Digite"))</f>
        <v>0</v>
      </c>
      <c r="HW45" s="454">
        <f>IF(OR('Parte Estrategica'!AW45=0,'Parte Estrategica'!AW45=""),0,IF(VLOOKUP($A45,'Matriz de Referencia'!$B$2:$CO$584,78,FALSE)=0,0,"Digite"))</f>
        <v>0</v>
      </c>
      <c r="HX45" s="382">
        <f t="shared" si="49"/>
        <v>0</v>
      </c>
      <c r="HY45" s="382">
        <f t="shared" si="50"/>
        <v>0</v>
      </c>
      <c r="HZ45" s="382">
        <f t="shared" si="51"/>
        <v>0</v>
      </c>
      <c r="IA45" s="101" t="str">
        <f>IFERROR(IF(HZ45=0,"",IF(VLOOKUP($A45,'Matriz de Referencia'!$B$2:$CO$584,80,FALSE)=HZ45,"Techos ok, cotinue","Debe revisar el valor programado")),"")</f>
        <v/>
      </c>
      <c r="IB45" s="383">
        <f t="shared" si="52"/>
        <v>0</v>
      </c>
    </row>
    <row r="46" spans="1:236">
      <c r="A46" s="550" t="str">
        <f>IF('Parte Estrategica'!B46=0,"",'Parte Estrategica'!B46)</f>
        <v/>
      </c>
      <c r="B46" s="551" t="str">
        <f>IFERROR(VLOOKUP(A46,'Matriz de Referencia'!$B$2:$P$578,'Matriz de Referencia'!L$1,FALSE),"")</f>
        <v/>
      </c>
      <c r="C46" s="551" t="str">
        <f>IFERROR(VLOOKUP(A46,'Matriz de Referencia'!$B$2:$P$584,'Matriz de Referencia'!M$1,FALSE),"")</f>
        <v/>
      </c>
      <c r="D46" s="455" t="str">
        <f>IF(OR('Parte Estrategica'!AB46=0,'Parte Estrategica'!AB46=""),"",IF(VLOOKUP($A46,'Matriz de Referencia'!$B$2:$CO$584,'Matriz de Referencia'!Z$1,FALSE)=0,"","Digite"))</f>
        <v/>
      </c>
      <c r="E46" s="456">
        <f>IF(OR('Parte Estrategica'!AB46=0,'Parte Estrategica'!AB46=""),0,IF(VLOOKUP($A46,'Matriz de Referencia'!$B$2:$CO$584,26,FALSE)=0,0,"Digite"))</f>
        <v>0</v>
      </c>
      <c r="F46" s="456">
        <f>IF(OR('Parte Estrategica'!AB46=0,'Parte Estrategica'!AB46=""),0,IF(VLOOKUP($A46,'Matriz de Referencia'!$B$2:$CO$584,27,FALSE)=0,0,"Digite"))</f>
        <v>0</v>
      </c>
      <c r="G46" s="456">
        <f>IF(OR('Parte Estrategica'!AB46=0,'Parte Estrategica'!AB46=""),0,IF(VLOOKUP($A46,'Matriz de Referencia'!$B$2:$CO$584,28,FALSE)=0,0,"Digite"))</f>
        <v>0</v>
      </c>
      <c r="H46" s="456">
        <f>IF(OR('Parte Estrategica'!AB46=0,'Parte Estrategica'!AB46=""),0,IF(VLOOKUP($A46,'Matriz de Referencia'!$B$2:$CO$584,29,FALSE)=0,0,"Digite"))</f>
        <v>0</v>
      </c>
      <c r="I46" s="456">
        <f>IF(OR('Parte Estrategica'!AB46=0,'Parte Estrategica'!AB46=""),0,IF(VLOOKUP($A46,'Matriz de Referencia'!$B$2:$CO$584,30,FALSE)=0,0,"Digite"))</f>
        <v>0</v>
      </c>
      <c r="J46" s="456">
        <f>IF(OR('Parte Estrategica'!AB46=0,'Parte Estrategica'!AB46=""),0,IF(VLOOKUP($A46,'Matriz de Referencia'!$B$2:$CO$584,31,FALSE)=0,0,"Digite"))</f>
        <v>0</v>
      </c>
      <c r="K46" s="456">
        <f>IF(OR('Parte Estrategica'!AB46=0,'Parte Estrategica'!AB46=""),0,IF(VLOOKUP($A46,'Matriz de Referencia'!$B$2:$CO$584,32,FALSE)=0,0,"Digite"))</f>
        <v>0</v>
      </c>
      <c r="L46" s="460">
        <f t="shared" si="0"/>
        <v>0</v>
      </c>
      <c r="M46" s="456">
        <f>IF(OR('Parte Estrategica'!AB46=0,'Parte Estrategica'!AB46=""),0,IF(VLOOKUP($A46,'Matriz de Referencia'!$B$2:$CO$584,34,FALSE)=0,0,"Digite"))</f>
        <v>0</v>
      </c>
      <c r="N46" s="456">
        <f>IF(OR('Parte Estrategica'!AB46=0,'Parte Estrategica'!AB46=""),0,IF(VLOOKUP($A46,'Matriz de Referencia'!$B$2:$CO$584,35,FALSE)=0,0,"Digite"))</f>
        <v>0</v>
      </c>
      <c r="O46" s="456">
        <f>IF(OR('Parte Estrategica'!AB46=0,'Parte Estrategica'!AB46=""),0,IF(VLOOKUP($A46,'Matriz de Referencia'!$B$2:$CO$584,36,FALSE)=0,0,"Digite"))</f>
        <v>0</v>
      </c>
      <c r="P46" s="457">
        <f t="shared" si="1"/>
        <v>0</v>
      </c>
      <c r="Q46" s="457">
        <f t="shared" si="2"/>
        <v>0</v>
      </c>
      <c r="R46" s="455">
        <f>IF(OR('Parte Estrategica'!AC46=0,'Parte Estrategica'!AC46=""),0,IF(VLOOKUP($A46,'Matriz de Referencia'!$B$2:$CO$584,25,FALSE)=0,0,"Digite"))</f>
        <v>0</v>
      </c>
      <c r="S46" s="456">
        <f>IF(OR('Parte Estrategica'!AC46=0,'Parte Estrategica'!AC46=""),0,IF(VLOOKUP($A46,'Matriz de Referencia'!$B$2:$CO$584,26,FALSE)=0,0,"Digite"))</f>
        <v>0</v>
      </c>
      <c r="T46" s="456">
        <f>IF(OR('Parte Estrategica'!AC46=0,'Parte Estrategica'!AC46=""),0,IF(VLOOKUP($A46,'Matriz de Referencia'!$B$2:$CO$584,27,FALSE)=0,0,"Digite"))</f>
        <v>0</v>
      </c>
      <c r="U46" s="456">
        <f>IF(OR('Parte Estrategica'!AC46=0,'Parte Estrategica'!AC46=""),0,IF(VLOOKUP($A46,'Matriz de Referencia'!$B$2:$CO$584,28,FALSE)=0,0,"Digite"))</f>
        <v>0</v>
      </c>
      <c r="V46" s="456">
        <f>IF(OR('Parte Estrategica'!AC46=0,'Parte Estrategica'!AC46=""),0,IF(VLOOKUP($A46,'Matriz de Referencia'!$B$2:$CO$584,29,FALSE)=0,0,"Digite"))</f>
        <v>0</v>
      </c>
      <c r="W46" s="456">
        <f>IF(OR('Parte Estrategica'!AC46=0,'Parte Estrategica'!AC46=""),0,IF(VLOOKUP($A46,'Matriz de Referencia'!$B$2:$CO$584,30,FALSE)=0,0,"Digite"))</f>
        <v>0</v>
      </c>
      <c r="X46" s="456">
        <f>IF(OR('Parte Estrategica'!AC46=0,'Parte Estrategica'!AC46=""),0,IF(VLOOKUP($A46,'Matriz de Referencia'!$B$2:$CO$584,31,FALSE)=0,0,"Digite"))</f>
        <v>0</v>
      </c>
      <c r="Y46" s="456">
        <f>IF(OR('Parte Estrategica'!AC46=0,'Parte Estrategica'!AC46=""),0,IF(VLOOKUP($A46,'Matriz de Referencia'!$B$2:$CO$584,32,FALSE)=0,0,"Digite"))</f>
        <v>0</v>
      </c>
      <c r="Z46" s="457">
        <f t="shared" si="3"/>
        <v>0</v>
      </c>
      <c r="AA46" s="456">
        <f>IF(OR('Parte Estrategica'!AC46=0,'Parte Estrategica'!AC46=""),0,IF(VLOOKUP($A46,'Matriz de Referencia'!$B$2:$CO$584,34,FALSE)=0,0,"Digite"))</f>
        <v>0</v>
      </c>
      <c r="AB46" s="456">
        <f>IF(OR('Parte Estrategica'!AC46=0,'Parte Estrategica'!AC46=""),0,IF(VLOOKUP($A46,'Matriz de Referencia'!$B$2:$CO$584,35,FALSE)=0,0,"Digite"))</f>
        <v>0</v>
      </c>
      <c r="AC46" s="456">
        <f>IF(OR('Parte Estrategica'!AC46=0,'Parte Estrategica'!AC46=""),0,IF(VLOOKUP($A46,'Matriz de Referencia'!$B$2:$CO$584,36,FALSE)=0,0,"Digite"))</f>
        <v>0</v>
      </c>
      <c r="AD46" s="457">
        <f t="shared" si="4"/>
        <v>0</v>
      </c>
      <c r="AE46" s="457">
        <f t="shared" si="5"/>
        <v>0</v>
      </c>
      <c r="AF46" s="455">
        <f>IF(OR('Parte Estrategica'!AD46=0,'Parte Estrategica'!AD46=""),0,IF(VLOOKUP($A46,'Matriz de Referencia'!$B$2:$CO$584,25,FALSE)=0,0,"Digite"))</f>
        <v>0</v>
      </c>
      <c r="AG46" s="456">
        <f>IF(OR('Parte Estrategica'!AD46=0,'Parte Estrategica'!AD46=""),0,IF(VLOOKUP($A46,'Matriz de Referencia'!$B$2:$CO$584,26,FALSE)=0,0,"Digite"))</f>
        <v>0</v>
      </c>
      <c r="AH46" s="456">
        <f>IF(OR('Parte Estrategica'!AD46=0,'Parte Estrategica'!AD46=""),0,IF(VLOOKUP($A46,'Matriz de Referencia'!$B$2:$CO$584,27,FALSE)=0,0,"Digite"))</f>
        <v>0</v>
      </c>
      <c r="AI46" s="456">
        <f>IF(OR('Parte Estrategica'!AD46=0,'Parte Estrategica'!AD46=""),0,IF(VLOOKUP($A46,'Matriz de Referencia'!$B$2:$CO$584,28,FALSE)=0,0,"Digite"))</f>
        <v>0</v>
      </c>
      <c r="AJ46" s="456">
        <f>IF(OR('Parte Estrategica'!AD46=0,'Parte Estrategica'!AD46=""),0,IF(VLOOKUP($A46,'Matriz de Referencia'!$B$2:$CO$584,29,FALSE)=0,0,"Digite"))</f>
        <v>0</v>
      </c>
      <c r="AK46" s="456">
        <f>IF(OR('Parte Estrategica'!AD46=0,'Parte Estrategica'!AD46=""),0,IF(VLOOKUP($A46,'Matriz de Referencia'!$B$2:$CO$584,30,FALSE)=0,0,"Digite"))</f>
        <v>0</v>
      </c>
      <c r="AL46" s="456">
        <f>IF(OR('Parte Estrategica'!AD46=0,'Parte Estrategica'!AD46=""),0,IF(VLOOKUP($A46,'Matriz de Referencia'!$B$2:$CO$584,31,FALSE)=0,0,"Digite"))</f>
        <v>0</v>
      </c>
      <c r="AM46" s="456">
        <f>IF(OR('Parte Estrategica'!AD46=0,'Parte Estrategica'!AD46=""),0,IF(VLOOKUP($A46,'Matriz de Referencia'!$B$2:$CO$584,32,FALSE)=0,0,"Digite"))</f>
        <v>0</v>
      </c>
      <c r="AN46" s="457">
        <f t="shared" si="6"/>
        <v>0</v>
      </c>
      <c r="AO46" s="456">
        <f>IF(OR('Parte Estrategica'!AD46=0,'Parte Estrategica'!AD46=""),0,IF(VLOOKUP($A46,'Matriz de Referencia'!$B$2:$CO$584,34,FALSE)=0,0,"Digite"))</f>
        <v>0</v>
      </c>
      <c r="AP46" s="456">
        <f>IF(OR('Parte Estrategica'!AD46=0,'Parte Estrategica'!AD46=""),0,IF(VLOOKUP($A46,'Matriz de Referencia'!$B$2:$CO$584,35,FALSE)=0,0,"Digite"))</f>
        <v>0</v>
      </c>
      <c r="AQ46" s="456">
        <f>IF(OR('Parte Estrategica'!AD46=0,'Parte Estrategica'!AD46=""),0,IF(VLOOKUP($A46,'Matriz de Referencia'!$B$2:$CO$584,36,FALSE)=0,0,"Digite"))</f>
        <v>0</v>
      </c>
      <c r="AR46" s="457">
        <f t="shared" si="7"/>
        <v>0</v>
      </c>
      <c r="AS46" s="457">
        <f t="shared" si="8"/>
        <v>0</v>
      </c>
      <c r="AT46" s="455">
        <f>IF(OR('Parte Estrategica'!AE46=0,'Parte Estrategica'!AE46=""),0,IF(VLOOKUP($A46,'Matriz de Referencia'!$B$2:$CO$584,25,FALSE)=0,0,"Digite"))</f>
        <v>0</v>
      </c>
      <c r="AU46" s="456">
        <f>IF(OR('Parte Estrategica'!AE46=0,'Parte Estrategica'!AE46=""),0,IF(VLOOKUP($A46,'Matriz de Referencia'!$B$2:$CO$584,26,FALSE)=0,0,"Digite"))</f>
        <v>0</v>
      </c>
      <c r="AV46" s="456">
        <f>IF(OR('Parte Estrategica'!AE46=0,'Parte Estrategica'!AE46=""),0,IF(VLOOKUP($A46,'Matriz de Referencia'!$B$2:$CO$584,27,FALSE)=0,0,"Digite"))</f>
        <v>0</v>
      </c>
      <c r="AW46" s="456">
        <f>IF(OR('Parte Estrategica'!AE46=0,'Parte Estrategica'!AE46=""),0,IF(VLOOKUP($A46,'Matriz de Referencia'!$B$2:$CO$584,28,FALSE)=0,0,"Digite"))</f>
        <v>0</v>
      </c>
      <c r="AX46" s="456">
        <f>IF(OR('Parte Estrategica'!AE46=0,'Parte Estrategica'!AE46=""),0,IF(VLOOKUP($A46,'Matriz de Referencia'!$B$2:$CO$584,29,FALSE)=0,0,"Digite"))</f>
        <v>0</v>
      </c>
      <c r="AY46" s="456">
        <f>IF(OR('Parte Estrategica'!AE46=0,'Parte Estrategica'!AE46=""),0,IF(VLOOKUP($A46,'Matriz de Referencia'!$B$2:$CO$584,30,FALSE)=0,0,"Digite"))</f>
        <v>0</v>
      </c>
      <c r="AZ46" s="456">
        <f>IF(OR('Parte Estrategica'!AE46=0,'Parte Estrategica'!AE46=""),0,IF(VLOOKUP($A46,'Matriz de Referencia'!$B$2:$CO$584,31,FALSE)=0,0,"Digite"))</f>
        <v>0</v>
      </c>
      <c r="BA46" s="456">
        <f>IF(OR('Parte Estrategica'!AE46=0,'Parte Estrategica'!AE46=""),0,IF(VLOOKUP($A46,'Matriz de Referencia'!$B$2:$CO$584,32,FALSE)=0,0,"Digite"))</f>
        <v>0</v>
      </c>
      <c r="BB46" s="457">
        <f t="shared" si="9"/>
        <v>0</v>
      </c>
      <c r="BC46" s="456">
        <f>IF(OR('Parte Estrategica'!AE46=0,'Parte Estrategica'!AE46=""),0,IF(VLOOKUP($A46,'Matriz de Referencia'!$B$2:$CO$584,34,FALSE)=0,0,"Digite"))</f>
        <v>0</v>
      </c>
      <c r="BD46" s="456">
        <f>IF(OR('Parte Estrategica'!AE46=0,'Parte Estrategica'!AE46=""),0,IF(VLOOKUP($A46,'Matriz de Referencia'!$B$2:$CO$584,35,FALSE)=0,0,"Digite"))</f>
        <v>0</v>
      </c>
      <c r="BE46" s="456">
        <f>IF(OR('Parte Estrategica'!AE46=0,'Parte Estrategica'!AE46=""),0,IF(VLOOKUP($A46,'Matriz de Referencia'!$B$2:$CO$584,36,FALSE)=0,0,"Digite"))</f>
        <v>0</v>
      </c>
      <c r="BF46" s="457">
        <f t="shared" si="10"/>
        <v>0</v>
      </c>
      <c r="BG46" s="457">
        <f t="shared" si="11"/>
        <v>0</v>
      </c>
      <c r="BH46" s="457">
        <f t="shared" si="12"/>
        <v>0</v>
      </c>
      <c r="BI46" s="101" t="str">
        <f>IFERROR(IF(BH46=0,"",IF(VLOOKUP($A46,'Matriz de Referencia'!$B$2:$CO$584,'Matriz de Referencia'!AM$1,FALSE)=BH46,"Techos ok, cotinue","Debe revisar el valor programado")),"")</f>
        <v/>
      </c>
      <c r="BJ46" s="453">
        <f>IF(OR('Parte Estrategica'!AH46=0,'Parte Estrategica'!AH46=""),0,IF(VLOOKUP($A46,'Matriz de Referencia'!$B$2:$CO$584,39,FALSE)=0,0,"Digite"))</f>
        <v>0</v>
      </c>
      <c r="BK46" s="454">
        <f>IF(OR('Parte Estrategica'!AH46=0,'Parte Estrategica'!AH46=""),0,IF(VLOOKUP($A46,'Matriz de Referencia'!$B$2:$CO$584,40,FALSE)=0,0,"Digite"))</f>
        <v>0</v>
      </c>
      <c r="BL46" s="454">
        <f>IF(OR('Parte Estrategica'!AH46=0,'Parte Estrategica'!AH46=""),0,IF(VLOOKUP($A46,'Matriz de Referencia'!$B$2:$CO$584,41,FALSE)=0,0,"Digite"))</f>
        <v>0</v>
      </c>
      <c r="BM46" s="454">
        <f>IF(OR('Parte Estrategica'!AH46=0,'Parte Estrategica'!AH46=""),0,IF(VLOOKUP($A46,'Matriz de Referencia'!$B$2:$CO$584,42,FALSE)=0,0,"Digite"))</f>
        <v>0</v>
      </c>
      <c r="BN46" s="454">
        <f>IF(OR('Parte Estrategica'!AH46=0,'Parte Estrategica'!AH46=""),0,IF(VLOOKUP($A46,'Matriz de Referencia'!$B$2:$CO$584,43,FALSE)=0,0,"Digite"))</f>
        <v>0</v>
      </c>
      <c r="BO46" s="454">
        <f>IF(OR('Parte Estrategica'!AH46=0,'Parte Estrategica'!AH46=""),0,IF(VLOOKUP($A46,'Matriz de Referencia'!$B$2:$CO$584,44,FALSE)=0,0,"Digite"))</f>
        <v>0</v>
      </c>
      <c r="BP46" s="454">
        <f>IF(OR('Parte Estrategica'!AH46=0,'Parte Estrategica'!AH46=""),0,IF(VLOOKUP($A46,'Matriz de Referencia'!$B$2:$CO$584,45,FALSE)=0,0,"Digite"))</f>
        <v>0</v>
      </c>
      <c r="BQ46" s="454">
        <f>IF(OR('Parte Estrategica'!AH46=0,'Parte Estrategica'!AH46=""),0,IF(VLOOKUP($A46,'Matriz de Referencia'!$B$2:$CO$584,46,FALSE)=0,0,"Digite"))</f>
        <v>0</v>
      </c>
      <c r="BR46" s="382">
        <f t="shared" si="13"/>
        <v>0</v>
      </c>
      <c r="BS46" s="454">
        <f>IF(OR('Parte Estrategica'!CL46=0,'Parte Estrategica'!CL46=""),0,IF(VLOOKUP($A46,'Matriz de Referencia'!$B$2:$CO$584,48,FALSE)=0,0,"Digite"))</f>
        <v>0</v>
      </c>
      <c r="BT46" s="454">
        <f>IF(OR('Parte Estrategica'!CL46=0,'Parte Estrategica'!CL46=""),0,IF(VLOOKUP($A46,'Matriz de Referencia'!$B$2:$CO$584,49,FALSE)=0,0,"Digite"))</f>
        <v>0</v>
      </c>
      <c r="BU46" s="454">
        <f>IF(OR('Parte Estrategica'!CL46=0,'Parte Estrategica'!CL46=""),0,IF(VLOOKUP($A46,'Matriz de Referencia'!$B$2:$CO$584,50,FALSE)=0,0,"Digite"))</f>
        <v>0</v>
      </c>
      <c r="BV46" s="382">
        <f t="shared" si="14"/>
        <v>0</v>
      </c>
      <c r="BW46" s="382">
        <f t="shared" si="15"/>
        <v>0</v>
      </c>
      <c r="BX46" s="453">
        <f>IF(OR('Parte Estrategica'!AI46=0,'Parte Estrategica'!AI46=""),0,IF(VLOOKUP($A46,'Matriz de Referencia'!$B$2:$CO$584,39,FALSE)=0,0,"Digite"))</f>
        <v>0</v>
      </c>
      <c r="BY46" s="454">
        <f>IF(OR('Parte Estrategica'!AI46=0,'Parte Estrategica'!AI46=""),0,IF(VLOOKUP($A46,'Matriz de Referencia'!$B$2:$CO$584,40,FALSE)=0,0,"Digite"))</f>
        <v>0</v>
      </c>
      <c r="BZ46" s="454">
        <f>IF(OR('Parte Estrategica'!AI46=0,'Parte Estrategica'!AI46=""),0,IF(VLOOKUP($A46,'Matriz de Referencia'!$B$2:$CO$584,41,FALSE)=0,0,"Digite"))</f>
        <v>0</v>
      </c>
      <c r="CA46" s="454">
        <f>IF(OR('Parte Estrategica'!AI46=0,'Parte Estrategica'!AI46=""),0,IF(VLOOKUP($A46,'Matriz de Referencia'!$B$2:$CO$584,42,FALSE)=0,0,"Digite"))</f>
        <v>0</v>
      </c>
      <c r="CB46" s="454">
        <f>IF(OR('Parte Estrategica'!AI46=0,'Parte Estrategica'!AI46=""),0,IF(VLOOKUP($A46,'Matriz de Referencia'!$B$2:$CO$584,43,FALSE)=0,0,"Digite"))</f>
        <v>0</v>
      </c>
      <c r="CC46" s="454">
        <f>IF(OR('Parte Estrategica'!AI46=0,'Parte Estrategica'!AI46=""),0,IF(VLOOKUP($A46,'Matriz de Referencia'!$B$2:$CO$584,44,FALSE)=0,0,"Digite"))</f>
        <v>0</v>
      </c>
      <c r="CD46" s="454">
        <f>IF(OR('Parte Estrategica'!AI46=0,'Parte Estrategica'!AI46=""),0,IF(VLOOKUP($A46,'Matriz de Referencia'!$B$2:$CO$584,45,FALSE)=0,0,"Digite"))</f>
        <v>0</v>
      </c>
      <c r="CE46" s="454">
        <f>IF(OR('Parte Estrategica'!AI46=0,'Parte Estrategica'!AI46=""),0,IF(VLOOKUP($A46,'Matriz de Referencia'!$B$2:$CO$584,46,FALSE)=0,0,"Digite"))</f>
        <v>0</v>
      </c>
      <c r="CF46" s="382">
        <f t="shared" si="16"/>
        <v>0</v>
      </c>
      <c r="CG46" s="454">
        <f>IF(OR('Parte Estrategica'!AI46=0,'Parte Estrategica'!AI46=""),0,IF(VLOOKUP($A46,'Matriz de Referencia'!$B$2:$CO$584,48,FALSE)=0,0,"Digite"))</f>
        <v>0</v>
      </c>
      <c r="CH46" s="454">
        <f>IF(OR('Parte Estrategica'!AI46=0,'Parte Estrategica'!AI46=""),0,IF(VLOOKUP($A46,'Matriz de Referencia'!$B$2:$CO$584,49,FALSE)=0,0,"Digite"))</f>
        <v>0</v>
      </c>
      <c r="CI46" s="454">
        <f>IF(OR('Parte Estrategica'!AI46=0,'Parte Estrategica'!AI46=""),0,IF(VLOOKUP($A46,'Matriz de Referencia'!$B$2:$CO$584,50,FALSE)=0,0,"Digite"))</f>
        <v>0</v>
      </c>
      <c r="CJ46" s="382">
        <f t="shared" si="17"/>
        <v>0</v>
      </c>
      <c r="CK46" s="382">
        <f t="shared" si="18"/>
        <v>0</v>
      </c>
      <c r="CL46" s="453">
        <f>IF(OR('Parte Estrategica'!AJ46=0,'Parte Estrategica'!AJ46=""),0,IF(VLOOKUP($A46,'Matriz de Referencia'!$B$2:$CO$584,39,FALSE)=0,0,"Digite"))</f>
        <v>0</v>
      </c>
      <c r="CM46" s="454">
        <f>IF(OR('Parte Estrategica'!AJ46=0,'Parte Estrategica'!AJ46=""),0,IF(VLOOKUP($A46,'Matriz de Referencia'!$B$2:$CO$584,40,FALSE)=0,0,"Digite"))</f>
        <v>0</v>
      </c>
      <c r="CN46" s="454">
        <f>IF(OR('Parte Estrategica'!AJ46=0,'Parte Estrategica'!AJ46=""),0,IF(VLOOKUP($A46,'Matriz de Referencia'!$B$2:$CO$584,41,FALSE)=0,0,"Digite"))</f>
        <v>0</v>
      </c>
      <c r="CO46" s="454">
        <f>IF(OR('Parte Estrategica'!AJ46=0,'Parte Estrategica'!AJ46=""),0,IF(VLOOKUP($A46,'Matriz de Referencia'!$B$2:$CO$584,42,FALSE)=0,0,"Digite"))</f>
        <v>0</v>
      </c>
      <c r="CP46" s="454">
        <f>IF(OR('Parte Estrategica'!AJ46=0,'Parte Estrategica'!AJ46=""),0,IF(VLOOKUP($A46,'Matriz de Referencia'!$B$2:$CO$584,43,FALSE)=0,0,"Digite"))</f>
        <v>0</v>
      </c>
      <c r="CQ46" s="454">
        <f>IF(OR('Parte Estrategica'!AJ46=0,'Parte Estrategica'!AJ46=""),0,IF(VLOOKUP($A46,'Matriz de Referencia'!$B$2:$CO$584,44,FALSE)=0,0,"Digite"))</f>
        <v>0</v>
      </c>
      <c r="CR46" s="454">
        <f>IF(OR('Parte Estrategica'!AJ46=0,'Parte Estrategica'!AJ46=""),0,IF(VLOOKUP($A46,'Matriz de Referencia'!$B$2:$CO$584,45,FALSE)=0,0,"Digite"))</f>
        <v>0</v>
      </c>
      <c r="CS46" s="454">
        <f>IF(OR('Parte Estrategica'!AJ46=0,'Parte Estrategica'!AJ46=""),0,IF(VLOOKUP($A46,'Matriz de Referencia'!$B$2:$CO$584,46,FALSE)=0,0,"Digite"))</f>
        <v>0</v>
      </c>
      <c r="CT46" s="382">
        <f t="shared" si="19"/>
        <v>0</v>
      </c>
      <c r="CU46" s="454">
        <f>IF(OR('Parte Estrategica'!AJ46=0,'Parte Estrategica'!AJ46=""),0,IF(VLOOKUP($A46,'Matriz de Referencia'!$B$2:$CO$584,48,FALSE)=0,0,"Digite"))</f>
        <v>0</v>
      </c>
      <c r="CV46" s="454">
        <f>IF(OR('Parte Estrategica'!AJ46=0,'Parte Estrategica'!AJ46=""),0,IF(VLOOKUP($A46,'Matriz de Referencia'!$B$2:$CO$584,49,FALSE)=0,0,"Digite"))</f>
        <v>0</v>
      </c>
      <c r="CW46" s="454">
        <f>IF(OR('Parte Estrategica'!AJ46=0,'Parte Estrategica'!AJ46=""),0,IF(VLOOKUP($A46,'Matriz de Referencia'!$B$2:$CO$584,50,FALSE)=0,0,"Digite"))</f>
        <v>0</v>
      </c>
      <c r="CX46" s="382">
        <f t="shared" si="20"/>
        <v>0</v>
      </c>
      <c r="CY46" s="382">
        <f t="shared" si="21"/>
        <v>0</v>
      </c>
      <c r="CZ46" s="453">
        <f>IF(OR('Parte Estrategica'!AK46=0,'Parte Estrategica'!AK46=""),0,IF(VLOOKUP($A46,'Matriz de Referencia'!$B$2:$CO$584,39,FALSE)=0,0,"Digite"))</f>
        <v>0</v>
      </c>
      <c r="DA46" s="454">
        <f>IF(OR('Parte Estrategica'!AK46=0,'Parte Estrategica'!AK46=""),0,IF(VLOOKUP($A46,'Matriz de Referencia'!$B$2:$CO$584,40,FALSE)=0,0,"Digite"))</f>
        <v>0</v>
      </c>
      <c r="DB46" s="454">
        <f>IF(OR('Parte Estrategica'!AK46=0,'Parte Estrategica'!AK46=""),0,IF(VLOOKUP($A46,'Matriz de Referencia'!$B$2:$CO$584,41,FALSE)=0,0,"Digite"))</f>
        <v>0</v>
      </c>
      <c r="DC46" s="454">
        <f>IF(OR('Parte Estrategica'!AK46=0,'Parte Estrategica'!AK46=""),0,IF(VLOOKUP($A46,'Matriz de Referencia'!$B$2:$CO$584,42,FALSE)=0,0,"Digite"))</f>
        <v>0</v>
      </c>
      <c r="DD46" s="454">
        <f>IF(OR('Parte Estrategica'!AK46=0,'Parte Estrategica'!AK46=""),0,IF(VLOOKUP($A46,'Matriz de Referencia'!$B$2:$CO$584,43,FALSE)=0,0,"Digite"))</f>
        <v>0</v>
      </c>
      <c r="DE46" s="454">
        <f>IF(OR('Parte Estrategica'!AK46=0,'Parte Estrategica'!AK46=""),0,IF(VLOOKUP($A46,'Matriz de Referencia'!$B$2:$CO$584,44,FALSE)=0,0,"Digite"))</f>
        <v>0</v>
      </c>
      <c r="DF46" s="454">
        <f>IF(OR('Parte Estrategica'!AK46=0,'Parte Estrategica'!AK46=""),0,IF(VLOOKUP($A46,'Matriz de Referencia'!$B$2:$CO$584,45,FALSE)=0,0,"Digite"))</f>
        <v>0</v>
      </c>
      <c r="DG46" s="454">
        <f>IF(OR('Parte Estrategica'!AK46=0,'Parte Estrategica'!AK46=""),0,IF(VLOOKUP($A46,'Matriz de Referencia'!$B$2:$CO$584,46,FALSE)=0,0,"Digite"))</f>
        <v>0</v>
      </c>
      <c r="DH46" s="382">
        <f t="shared" si="22"/>
        <v>0</v>
      </c>
      <c r="DI46" s="454">
        <f>IF(OR('Parte Estrategica'!AK46=0,'Parte Estrategica'!AK46=""),0,IF(VLOOKUP($A46,'Matriz de Referencia'!$B$2:$CO$584,48,FALSE)=0,0,"Digite"))</f>
        <v>0</v>
      </c>
      <c r="DJ46" s="454">
        <f>IF(OR('Parte Estrategica'!AK46=0,'Parte Estrategica'!AK46=""),0,IF(VLOOKUP($A46,'Matriz de Referencia'!$B$2:$CO$584,49,FALSE)=0,0,"Digite"))</f>
        <v>0</v>
      </c>
      <c r="DK46" s="454">
        <f>IF(OR('Parte Estrategica'!AK46=0,'Parte Estrategica'!AK46=""),0,IF(VLOOKUP($A46,'Matriz de Referencia'!$B$2:$CO$584,50,FALSE)=0,0,"Digite"))</f>
        <v>0</v>
      </c>
      <c r="DL46" s="382">
        <f t="shared" si="23"/>
        <v>0</v>
      </c>
      <c r="DM46" s="382">
        <f t="shared" si="24"/>
        <v>0</v>
      </c>
      <c r="DN46" s="382">
        <f t="shared" si="25"/>
        <v>0</v>
      </c>
      <c r="DO46" s="101" t="str">
        <f>IFERROR(IF(DN46=0,"",IF(VLOOKUP($A46,'Matriz de Referencia'!$B$2:$CO$584,52,FALSE)=DN46,"Techos ok, cotinue","Debe revisar el valor programado")),"")</f>
        <v/>
      </c>
      <c r="DP46" s="453">
        <f>IF(OR('Parte Estrategica'!AN46=0,'Parte Estrategica'!AN46=""),0,IF(VLOOKUP($A46,'Matriz de Referencia'!$B$2:$CO$584,53,FALSE)=0,0,"Digite"))</f>
        <v>0</v>
      </c>
      <c r="DQ46" s="454">
        <f>IF(OR('Parte Estrategica'!AN46=0,'Parte Estrategica'!AN46=""),0,IF(VLOOKUP($A46,'Matriz de Referencia'!$B$2:$CO$584,54,FALSE)=0,0,"Digite"))</f>
        <v>0</v>
      </c>
      <c r="DR46" s="454">
        <f>IF(OR('Parte Estrategica'!AN46=0,'Parte Estrategica'!AN46=""),0,IF(VLOOKUP($A46,'Matriz de Referencia'!$B$2:$CO$584,55,FALSE)=0,0,"Digite"))</f>
        <v>0</v>
      </c>
      <c r="DS46" s="454">
        <f>IF(OR('Parte Estrategica'!AN46=0,'Parte Estrategica'!AN46=""),0,IF(VLOOKUP($A46,'Matriz de Referencia'!$B$2:$CO$584,56,FALSE)=0,0,"Digite"))</f>
        <v>0</v>
      </c>
      <c r="DT46" s="454">
        <f>IF(OR('Parte Estrategica'!AN46=0,'Parte Estrategica'!AN46=""),0,IF(VLOOKUP($A46,'Matriz de Referencia'!$B$2:$CO$584,57,FALSE)=0,0,"Digite"))</f>
        <v>0</v>
      </c>
      <c r="DU46" s="454">
        <f>IF(OR('Parte Estrategica'!AN46=0,'Parte Estrategica'!AN46=""),0,IF(VLOOKUP($A46,'Matriz de Referencia'!$B$2:$CO$584,58,FALSE)=0,0,"Digite"))</f>
        <v>0</v>
      </c>
      <c r="DV46" s="454">
        <f>IF(OR('Parte Estrategica'!AN46=0,'Parte Estrategica'!AN46=""),0,IF(VLOOKUP($A46,'Matriz de Referencia'!$B$2:$CO$584,59,FALSE)=0,0,"Digite"))</f>
        <v>0</v>
      </c>
      <c r="DW46" s="454">
        <f>IF(OR('Parte Estrategica'!AN46=0,'Parte Estrategica'!AN46=""),0,IF(VLOOKUP($A46,'Matriz de Referencia'!$B$2:$CO$584,60,FALSE)=0,0,"Digite"))</f>
        <v>0</v>
      </c>
      <c r="DX46" s="382">
        <f t="shared" si="26"/>
        <v>0</v>
      </c>
      <c r="DY46" s="454">
        <f>IF(OR('Parte Estrategica'!AN46=0,'Parte Estrategica'!AN46=""),0,IF(VLOOKUP($A46,'Matriz de Referencia'!$B$2:$CO$584,62,FALSE)=0,0,"Digite"))</f>
        <v>0</v>
      </c>
      <c r="DZ46" s="454">
        <f>IF(OR('Parte Estrategica'!AN46=0,'Parte Estrategica'!AN46=""),0,IF(VLOOKUP($A46,'Matriz de Referencia'!$B$2:$CO$584,63,FALSE)=0,0,"Digite"))</f>
        <v>0</v>
      </c>
      <c r="EA46" s="454" t="str">
        <f>IF(OR('Parte Estrategica'!AN46=0,'Parte Estrategica'!AN46=""),"",IF(VLOOKUP($A46,'Matriz de Referencia'!$B$2:$CO$584,64,FALSE)=0,"","Digite"))</f>
        <v/>
      </c>
      <c r="EB46" s="382">
        <f t="shared" si="27"/>
        <v>0</v>
      </c>
      <c r="EC46" s="382">
        <f t="shared" si="28"/>
        <v>0</v>
      </c>
      <c r="ED46" s="453">
        <f>IF(OR('Parte Estrategica'!AO46=0,'Parte Estrategica'!AO46=""),0,IF(VLOOKUP($A46,'Matriz de Referencia'!$B$2:$CO$584,53,FALSE)=0,0,"Digite"))</f>
        <v>0</v>
      </c>
      <c r="EE46" s="454">
        <f>IF(OR('Parte Estrategica'!AO46=0,'Parte Estrategica'!AO46=""),0,IF(VLOOKUP($A46,'Matriz de Referencia'!$B$2:$CO$584,54,FALSE)=0,0,"Digite"))</f>
        <v>0</v>
      </c>
      <c r="EF46" s="454">
        <f>IF(OR('Parte Estrategica'!AO46=0,'Parte Estrategica'!AO46=""),0,IF(VLOOKUP($A46,'Matriz de Referencia'!$B$2:$CO$584,55,FALSE)=0,0,"Digite"))</f>
        <v>0</v>
      </c>
      <c r="EG46" s="454">
        <f>IF(OR('Parte Estrategica'!AO46=0,'Parte Estrategica'!AO46=""),0,IF(VLOOKUP($A46,'Matriz de Referencia'!$B$2:$CO$584,56,FALSE)=0,0,"Digite"))</f>
        <v>0</v>
      </c>
      <c r="EH46" s="454">
        <f>IF(OR('Parte Estrategica'!AO46=0,'Parte Estrategica'!AO46=""),0,IF(VLOOKUP($A46,'Matriz de Referencia'!$B$2:$CO$584,57,FALSE)=0,0,"Digite"))</f>
        <v>0</v>
      </c>
      <c r="EI46" s="454">
        <f>IF(OR('Parte Estrategica'!AO46=0,'Parte Estrategica'!AO46=""),0,IF(VLOOKUP($A46,'Matriz de Referencia'!$B$2:$CO$584,58,FALSE)=0,0,"Digite"))</f>
        <v>0</v>
      </c>
      <c r="EJ46" s="454">
        <f>IF(OR('Parte Estrategica'!AO46=0,'Parte Estrategica'!AO46=""),0,IF(VLOOKUP($A46,'Matriz de Referencia'!$B$2:$CO$584,59,FALSE)=0,0,"Digite"))</f>
        <v>0</v>
      </c>
      <c r="EK46" s="454">
        <f>IF(OR('Parte Estrategica'!AO46=0,'Parte Estrategica'!AO46=""),0,IF(VLOOKUP($A46,'Matriz de Referencia'!$B$2:$CO$584,60,FALSE)=0,0,"Digite"))</f>
        <v>0</v>
      </c>
      <c r="EL46" s="382">
        <f t="shared" si="29"/>
        <v>0</v>
      </c>
      <c r="EM46" s="454">
        <f>IF(OR('Parte Estrategica'!AO46=0,'Parte Estrategica'!AO46=""),0,IF(VLOOKUP($A46,'Matriz de Referencia'!$B$2:$CO$584,62,FALSE)=0,0,"Digite"))</f>
        <v>0</v>
      </c>
      <c r="EN46" s="454">
        <f>IF(OR('Parte Estrategica'!AO46=0,'Parte Estrategica'!AO46=""),0,IF(VLOOKUP($A46,'Matriz de Referencia'!$B$2:$CO$584,63,FALSE)=0,0,"Digite"))</f>
        <v>0</v>
      </c>
      <c r="EO46" s="454">
        <f>IF(OR('Parte Estrategica'!AO46=0,'Parte Estrategica'!AO46=""),0,IF(VLOOKUP($A46,'Matriz de Referencia'!$B$2:$CO$584,64,FALSE)=0,0,"Digite"))</f>
        <v>0</v>
      </c>
      <c r="EP46" s="382">
        <f t="shared" si="30"/>
        <v>0</v>
      </c>
      <c r="EQ46" s="382">
        <f t="shared" si="31"/>
        <v>0</v>
      </c>
      <c r="ER46" s="453">
        <f>IF(OR('Parte Estrategica'!AP46=0,'Parte Estrategica'!AP46=""),0,IF(VLOOKUP($A46,'Matriz de Referencia'!$B$2:$CO$584,53,FALSE)=0,0,"Digite"))</f>
        <v>0</v>
      </c>
      <c r="ES46" s="454">
        <f>IF(OR('Parte Estrategica'!AP46=0,'Parte Estrategica'!AP46=""),0,IF(VLOOKUP($A46,'Matriz de Referencia'!$B$2:$CO$584,54,FALSE)=0,0,"Digite"))</f>
        <v>0</v>
      </c>
      <c r="ET46" s="454">
        <f>IF(OR('Parte Estrategica'!AP46=0,'Parte Estrategica'!AP46=""),0,IF(VLOOKUP($A46,'Matriz de Referencia'!$B$2:$CO$584,55,FALSE)=0,0,"Digite"))</f>
        <v>0</v>
      </c>
      <c r="EU46" s="454">
        <f>IF(OR('Parte Estrategica'!AP46=0,'Parte Estrategica'!AP46=""),0,IF(VLOOKUP($A46,'Matriz de Referencia'!$B$2:$CO$584,56,FALSE)=0,0,"Digite"))</f>
        <v>0</v>
      </c>
      <c r="EV46" s="454">
        <f>IF(OR('Parte Estrategica'!AP46=0,'Parte Estrategica'!AP46=""),0,IF(VLOOKUP($A46,'Matriz de Referencia'!$B$2:$CO$584,57,FALSE)=0,0,"Digite"))</f>
        <v>0</v>
      </c>
      <c r="EW46" s="454">
        <f>IF(OR('Parte Estrategica'!AP46=0,'Parte Estrategica'!AP46=""),0,IF(VLOOKUP($A46,'Matriz de Referencia'!$B$2:$CO$584,58,FALSE)=0,0,"Digite"))</f>
        <v>0</v>
      </c>
      <c r="EX46" s="454">
        <f>IF(OR('Parte Estrategica'!AP46=0,'Parte Estrategica'!AP46=""),0,IF(VLOOKUP($A46,'Matriz de Referencia'!$B$2:$CO$584,59,FALSE)=0,0,"Digite"))</f>
        <v>0</v>
      </c>
      <c r="EY46" s="454">
        <f>IF(OR('Parte Estrategica'!AP46=0,'Parte Estrategica'!AP46=""),0,IF(VLOOKUP($A46,'Matriz de Referencia'!$B$2:$CO$584,60,FALSE)=0,0,"Digite"))</f>
        <v>0</v>
      </c>
      <c r="EZ46" s="382">
        <f t="shared" si="32"/>
        <v>0</v>
      </c>
      <c r="FA46" s="454">
        <f>IF(OR('Parte Estrategica'!AP46=0,'Parte Estrategica'!AP46=""),0,IF(VLOOKUP($A46,'Matriz de Referencia'!$B$2:$CO$584,62,FALSE)=0,0,"Digite"))</f>
        <v>0</v>
      </c>
      <c r="FB46" s="454">
        <f>IF(OR('Parte Estrategica'!AP46=0,'Parte Estrategica'!AP46=""),0,IF(VLOOKUP($A46,'Matriz de Referencia'!$B$2:$CO$584,63,FALSE)=0,0,"Digite"))</f>
        <v>0</v>
      </c>
      <c r="FC46" s="454">
        <f>IF(OR('Parte Estrategica'!AP46=0,'Parte Estrategica'!AP46=""),0,IF(VLOOKUP($A46,'Matriz de Referencia'!$B$2:$CO$584,64,FALSE)=0,0,"Digite"))</f>
        <v>0</v>
      </c>
      <c r="FD46" s="382">
        <f t="shared" si="33"/>
        <v>0</v>
      </c>
      <c r="FE46" s="382">
        <f t="shared" si="34"/>
        <v>0</v>
      </c>
      <c r="FF46" s="453">
        <f>IF(OR('Parte Estrategica'!AQ46=0,'Parte Estrategica'!AQ46=""),0,IF(VLOOKUP($A46,'Matriz de Referencia'!$B$2:$CO$584,53,FALSE)=0,0,"Digite"))</f>
        <v>0</v>
      </c>
      <c r="FG46" s="454">
        <f>IF(OR('Parte Estrategica'!AQ46=0,'Parte Estrategica'!AQ46=""),0,IF(VLOOKUP($A46,'Matriz de Referencia'!$B$2:$CO$584,54,FALSE)=0,0,"Digite"))</f>
        <v>0</v>
      </c>
      <c r="FH46" s="454">
        <f>IF(OR('Parte Estrategica'!AQ46=0,'Parte Estrategica'!AQ46=""),0,IF(VLOOKUP($A46,'Matriz de Referencia'!$B$2:$CO$584,55,FALSE)=0,0,"Digite"))</f>
        <v>0</v>
      </c>
      <c r="FI46" s="454">
        <f>IF(OR('Parte Estrategica'!AQ46=0,'Parte Estrategica'!AQ46=""),0,IF(VLOOKUP($A46,'Matriz de Referencia'!$B$2:$CO$584,56,FALSE)=0,0,"Digite"))</f>
        <v>0</v>
      </c>
      <c r="FJ46" s="454">
        <f>IF(OR('Parte Estrategica'!AQ46=0,'Parte Estrategica'!AQ46=""),0,IF(VLOOKUP($A46,'Matriz de Referencia'!$B$2:$CO$584,57,FALSE)=0,0,"Digite"))</f>
        <v>0</v>
      </c>
      <c r="FK46" s="454">
        <f>IF(OR('Parte Estrategica'!AQ46=0,'Parte Estrategica'!AQ46=""),0,IF(VLOOKUP($A46,'Matriz de Referencia'!$B$2:$CO$584,58,FALSE)=0,0,"Digite"))</f>
        <v>0</v>
      </c>
      <c r="FL46" s="454">
        <f>IF(OR('Parte Estrategica'!AQ46=0,'Parte Estrategica'!AQ46=""),0,IF(VLOOKUP($A46,'Matriz de Referencia'!$B$2:$CO$584,59,FALSE)=0,0,"Digite"))</f>
        <v>0</v>
      </c>
      <c r="FM46" s="454">
        <f>IF(OR('Parte Estrategica'!AQ46=0,'Parte Estrategica'!AQ46=""),0,IF(VLOOKUP($A46,'Matriz de Referencia'!$B$2:$CO$584,60,FALSE)=0,0,"Digite"))</f>
        <v>0</v>
      </c>
      <c r="FN46" s="382">
        <f t="shared" si="35"/>
        <v>0</v>
      </c>
      <c r="FO46" s="454">
        <f>IF(OR('Parte Estrategica'!AQ46=0,'Parte Estrategica'!AQ46=""),0,IF(VLOOKUP($A46,'Matriz de Referencia'!$B$2:$CO$584,62,FALSE)=0,0,"Digite"))</f>
        <v>0</v>
      </c>
      <c r="FP46" s="454">
        <f>IF(OR('Parte Estrategica'!AQ46=0,'Parte Estrategica'!AQ46=""),0,IF(VLOOKUP($A46,'Matriz de Referencia'!$B$2:$CO$584,63,FALSE)=0,0,"Digite"))</f>
        <v>0</v>
      </c>
      <c r="FQ46" s="454">
        <f>IF(OR('Parte Estrategica'!AQ46=0,'Parte Estrategica'!AQ46=""),0,IF(VLOOKUP($A46,'Matriz de Referencia'!$B$2:$CO$584,64,FALSE)=0,0,"Digite"))</f>
        <v>0</v>
      </c>
      <c r="FR46" s="382">
        <f t="shared" si="36"/>
        <v>0</v>
      </c>
      <c r="FS46" s="382">
        <f t="shared" si="37"/>
        <v>0</v>
      </c>
      <c r="FT46" s="382">
        <f t="shared" si="38"/>
        <v>0</v>
      </c>
      <c r="FU46" s="101" t="str">
        <f>IFERROR(IF(FT46=0,"",IF(VLOOKUP($A46,'Matriz de Referencia'!$B$2:$CO$584,66,FALSE)=FT46,"Techos ok, cotinue","Debe revisar el valor programado")),"")</f>
        <v/>
      </c>
      <c r="FV46" s="453">
        <f>IF(OR('Parte Estrategica'!AT46=0,'Parte Estrategica'!AT46=""),0,IF(VLOOKUP($A46,'Matriz de Referencia'!$B$2:$CO$584,67,FALSE)=0,0,"Digite"))</f>
        <v>0</v>
      </c>
      <c r="FW46" s="454">
        <f>IF(OR('Parte Estrategica'!AT46=0,'Parte Estrategica'!AT46=""),0,IF(VLOOKUP($A46,'Matriz de Referencia'!$B$2:$CO$584,68,FALSE)=0,0,"Digite"))</f>
        <v>0</v>
      </c>
      <c r="FX46" s="454">
        <f>IF(OR('Parte Estrategica'!AT46=0,'Parte Estrategica'!AT46=""),0,IF(VLOOKUP($A46,'Matriz de Referencia'!$B$2:$CO$584,69,FALSE)=0,0,"Digite"))</f>
        <v>0</v>
      </c>
      <c r="FY46" s="454">
        <f>IF(OR('Parte Estrategica'!AT46=0,'Parte Estrategica'!AT46=""),0,IF(VLOOKUP($A46,'Matriz de Referencia'!$B$2:$CO$584,70,FALSE)=0,0,"Digite"))</f>
        <v>0</v>
      </c>
      <c r="FZ46" s="454">
        <f>IF(OR('Parte Estrategica'!AT46=0,'Parte Estrategica'!AT46=""),0,IF(VLOOKUP($A46,'Matriz de Referencia'!$B$2:$CO$584,71,FALSE)=0,0,"Digite"))</f>
        <v>0</v>
      </c>
      <c r="GA46" s="454">
        <f>IF(OR('Parte Estrategica'!AT46=0,'Parte Estrategica'!AT46=""),0,IF(VLOOKUP($A46,'Matriz de Referencia'!$B$2:$CO$584,72,FALSE)=0,0,"Digite"))</f>
        <v>0</v>
      </c>
      <c r="GB46" s="454">
        <f>IF(OR('Parte Estrategica'!AT46=0,'Parte Estrategica'!AT46=""),0,IF(VLOOKUP($A46,'Matriz de Referencia'!$B$2:$CO$584,73,FALSE)=0,0,"Digite"))</f>
        <v>0</v>
      </c>
      <c r="GC46" s="454">
        <f>IF(OR('Parte Estrategica'!AT46=0,'Parte Estrategica'!AT46=""),0,IF(VLOOKUP($A46,'Matriz de Referencia'!$B$2:$CO$584,74,FALSE)=0,0,"Digite"))</f>
        <v>0</v>
      </c>
      <c r="GD46" s="382">
        <f t="shared" si="39"/>
        <v>0</v>
      </c>
      <c r="GE46" s="454">
        <f>IF(OR('Parte Estrategica'!AT46=0,'Parte Estrategica'!AT46=""),0,IF(VLOOKUP($A46,'Matriz de Referencia'!$B$2:$CO$584,76,FALSE)=0,0,"Digite"))</f>
        <v>0</v>
      </c>
      <c r="GF46" s="454">
        <f>IF(OR('Parte Estrategica'!AT46=0,'Parte Estrategica'!AT46=""),0,IF(VLOOKUP($A46,'Matriz de Referencia'!$B$2:$CO$584,77,FALSE)=0,0,"Digite"))</f>
        <v>0</v>
      </c>
      <c r="GG46" s="454">
        <f>IF(OR('Parte Estrategica'!AT46=0,'Parte Estrategica'!AT46=""),0,IF(VLOOKUP($A46,'Matriz de Referencia'!$B$2:$CO$584,78,FALSE)=0,0,"Digite"))</f>
        <v>0</v>
      </c>
      <c r="GH46" s="382">
        <f t="shared" si="40"/>
        <v>0</v>
      </c>
      <c r="GI46" s="382">
        <f t="shared" si="41"/>
        <v>0</v>
      </c>
      <c r="GJ46" s="453">
        <f>IF(OR('Parte Estrategica'!AU46=0,'Parte Estrategica'!AU46=""),0,IF(VLOOKUP($A46,'Matriz de Referencia'!$B$2:$CO$584,67,FALSE)=0,0,"Digite"))</f>
        <v>0</v>
      </c>
      <c r="GK46" s="454">
        <f>IF(OR('Parte Estrategica'!AU46=0,'Parte Estrategica'!AU46=""),0,IF(VLOOKUP($A46,'Matriz de Referencia'!$B$2:$CO$584,68,FALSE)=0,0,"Digite"))</f>
        <v>0</v>
      </c>
      <c r="GL46" s="454">
        <f>IF(OR('Parte Estrategica'!AU46=0,'Parte Estrategica'!AU46=""),0,IF(VLOOKUP($A46,'Matriz de Referencia'!$B$2:$CO$584,69,FALSE)=0,0,"Digite"))</f>
        <v>0</v>
      </c>
      <c r="GM46" s="454">
        <f>IF(OR('Parte Estrategica'!AU46=0,'Parte Estrategica'!AU46=""),0,IF(VLOOKUP($A46,'Matriz de Referencia'!$B$2:$CO$584,70,FALSE)=0,0,"Digite"))</f>
        <v>0</v>
      </c>
      <c r="GN46" s="454">
        <f>IF(OR('Parte Estrategica'!AU46=0,'Parte Estrategica'!AU46=""),0,IF(VLOOKUP($A46,'Matriz de Referencia'!$B$2:$CO$584,71,FALSE)=0,0,"Digite"))</f>
        <v>0</v>
      </c>
      <c r="GO46" s="454">
        <f>IF(OR('Parte Estrategica'!AU46=0,'Parte Estrategica'!AU46=""),0,IF(VLOOKUP($A46,'Matriz de Referencia'!$B$2:$CO$584,72,FALSE)=0,0,"Digite"))</f>
        <v>0</v>
      </c>
      <c r="GP46" s="454">
        <f>IF(OR('Parte Estrategica'!AU46=0,'Parte Estrategica'!AU46=""),0,IF(VLOOKUP($A46,'Matriz de Referencia'!$B$2:$CO$584,73,FALSE)=0,0,"Digite"))</f>
        <v>0</v>
      </c>
      <c r="GQ46" s="454">
        <f>IF(OR('Parte Estrategica'!AU46=0,'Parte Estrategica'!AU46=""),0,IF(VLOOKUP($A46,'Matriz de Referencia'!$B$2:$CO$584,74,FALSE)=0,0,"Digite"))</f>
        <v>0</v>
      </c>
      <c r="GR46" s="382">
        <f t="shared" si="42"/>
        <v>0</v>
      </c>
      <c r="GS46" s="454">
        <f>IF(OR('Parte Estrategica'!AU46=0,'Parte Estrategica'!AU46=""),0,IF(VLOOKUP($A46,'Matriz de Referencia'!$B$2:$CO$584,76,FALSE)=0,0,"Digite"))</f>
        <v>0</v>
      </c>
      <c r="GT46" s="454">
        <f>IF(OR('Parte Estrategica'!AU46=0,'Parte Estrategica'!AU46=""),0,IF(VLOOKUP($A46,'Matriz de Referencia'!$B$2:$CO$584,77,FALSE)=0,0,"Digite"))</f>
        <v>0</v>
      </c>
      <c r="GU46" s="454">
        <f>IF(OR('Parte Estrategica'!AU46=0,'Parte Estrategica'!AU46=""),0,IF(VLOOKUP($A46,'Matriz de Referencia'!$B$2:$CO$584,78,FALSE)=0,0,"Digite"))</f>
        <v>0</v>
      </c>
      <c r="GV46" s="382">
        <f t="shared" si="43"/>
        <v>0</v>
      </c>
      <c r="GW46" s="382">
        <f t="shared" si="44"/>
        <v>0</v>
      </c>
      <c r="GX46" s="453">
        <f>IF(OR('Parte Estrategica'!AV46=0,'Parte Estrategica'!AV46=""),0,IF(VLOOKUP($A46,'Matriz de Referencia'!$B$2:$CO$584,67,FALSE)=0,0,"Digite"))</f>
        <v>0</v>
      </c>
      <c r="GY46" s="454">
        <f>IF(OR('Parte Estrategica'!AV46=0,'Parte Estrategica'!AV46=""),0,IF(VLOOKUP($A46,'Matriz de Referencia'!$B$2:$CO$584,68,FALSE)=0,0,"Digite"))</f>
        <v>0</v>
      </c>
      <c r="GZ46" s="454">
        <f>IF(OR('Parte Estrategica'!AV46=0,'Parte Estrategica'!AV46=""),0,IF(VLOOKUP($A46,'Matriz de Referencia'!$B$2:$CO$584,69,FALSE)=0,0,"Digite"))</f>
        <v>0</v>
      </c>
      <c r="HA46" s="454">
        <f>IF(OR('Parte Estrategica'!AV46=0,'Parte Estrategica'!AV46=""),0,IF(VLOOKUP($A46,'Matriz de Referencia'!$B$2:$CO$584,70,FALSE)=0,0,"Digite"))</f>
        <v>0</v>
      </c>
      <c r="HB46" s="454">
        <f>IF(OR('Parte Estrategica'!AV46=0,'Parte Estrategica'!AV46=""),0,IF(VLOOKUP($A46,'Matriz de Referencia'!$B$2:$CO$584,71,FALSE)=0,0,"Digite"))</f>
        <v>0</v>
      </c>
      <c r="HC46" s="454">
        <f>IF(OR('Parte Estrategica'!AV46=0,'Parte Estrategica'!AV46=""),0,IF(VLOOKUP($A46,'Matriz de Referencia'!$B$2:$CO$584,72,FALSE)=0,0,"Digite"))</f>
        <v>0</v>
      </c>
      <c r="HD46" s="454">
        <f>IF(OR('Parte Estrategica'!AV46=0,'Parte Estrategica'!AV46=""),0,IF(VLOOKUP($A46,'Matriz de Referencia'!$B$2:$CO$584,73,FALSE)=0,0,"Digite"))</f>
        <v>0</v>
      </c>
      <c r="HE46" s="454">
        <f>IF(OR('Parte Estrategica'!AV46=0,'Parte Estrategica'!AV46=""),0,IF(VLOOKUP($A46,'Matriz de Referencia'!$B$2:$CO$584,74,FALSE)=0,0,"Digite"))</f>
        <v>0</v>
      </c>
      <c r="HF46" s="382">
        <f t="shared" si="45"/>
        <v>0</v>
      </c>
      <c r="HG46" s="454">
        <f>IF(OR('Parte Estrategica'!AV46=0,'Parte Estrategica'!AV46=""),0,IF(VLOOKUP($A46,'Matriz de Referencia'!$B$2:$CO$584,76,FALSE)=0,0,"Digite"))</f>
        <v>0</v>
      </c>
      <c r="HH46" s="454">
        <f>IF(OR('Parte Estrategica'!AV46=0,'Parte Estrategica'!AV46=""),0,IF(VLOOKUP($A46,'Matriz de Referencia'!$B$2:$CO$584,77,FALSE)=0,0,"Digite"))</f>
        <v>0</v>
      </c>
      <c r="HI46" s="454">
        <f>IF(OR('Parte Estrategica'!AV46=0,'Parte Estrategica'!AV46=""),0,IF(VLOOKUP($A46,'Matriz de Referencia'!$B$2:$CO$584,78,FALSE)=0,0,"Digite"))</f>
        <v>0</v>
      </c>
      <c r="HJ46" s="382">
        <f t="shared" si="46"/>
        <v>0</v>
      </c>
      <c r="HK46" s="382">
        <f t="shared" si="47"/>
        <v>0</v>
      </c>
      <c r="HL46" s="453">
        <f>IF(OR('Parte Estrategica'!AW46=0,'Parte Estrategica'!AW46=""),0,IF(VLOOKUP($A46,'Matriz de Referencia'!$B$2:$CO$584,67,FALSE)=0,0,"Digite"))</f>
        <v>0</v>
      </c>
      <c r="HM46" s="454">
        <f>IF(OR('Parte Estrategica'!AW46=0,'Parte Estrategica'!AW46=""),0,IF(VLOOKUP($A46,'Matriz de Referencia'!$B$2:$CO$584,68,FALSE)=0,0,"Digite"))</f>
        <v>0</v>
      </c>
      <c r="HN46" s="454">
        <f>IF(OR('Parte Estrategica'!AW46=0,'Parte Estrategica'!AW46=""),0,IF(VLOOKUP($A46,'Matriz de Referencia'!$B$2:$CO$584,69,FALSE)=0,0,"Digite"))</f>
        <v>0</v>
      </c>
      <c r="HO46" s="454">
        <f>IF(OR('Parte Estrategica'!AW46=0,'Parte Estrategica'!AW46=""),0,IF(VLOOKUP($A46,'Matriz de Referencia'!$B$2:$CO$584,70,FALSE)=0,0,"Digite"))</f>
        <v>0</v>
      </c>
      <c r="HP46" s="454">
        <f>IF(OR('Parte Estrategica'!AW46=0,'Parte Estrategica'!AW46=""),0,IF(VLOOKUP($A46,'Matriz de Referencia'!$B$2:$CO$584,71,FALSE)=0,0,"Digite"))</f>
        <v>0</v>
      </c>
      <c r="HQ46" s="454">
        <f>IF(OR('Parte Estrategica'!AW46=0,'Parte Estrategica'!AW46=""),0,IF(VLOOKUP($A46,'Matriz de Referencia'!$B$2:$CO$584,72,FALSE)=0,0,"Digite"))</f>
        <v>0</v>
      </c>
      <c r="HR46" s="454">
        <f>IF(OR('Parte Estrategica'!AW46=0,'Parte Estrategica'!AW46=""),0,IF(VLOOKUP($A46,'Matriz de Referencia'!$B$2:$CO$584,73,FALSE)=0,0,"Digite"))</f>
        <v>0</v>
      </c>
      <c r="HS46" s="454">
        <f>IF(OR('Parte Estrategica'!AW46=0,'Parte Estrategica'!AW46=""),0,IF(VLOOKUP($A46,'Matriz de Referencia'!$B$2:$CO$584,74,FALSE)=0,0,"Digite"))</f>
        <v>0</v>
      </c>
      <c r="HT46" s="382">
        <f t="shared" si="48"/>
        <v>0</v>
      </c>
      <c r="HU46" s="454">
        <f>IF(OR('Parte Estrategica'!AW46=0,'Parte Estrategica'!AW46=""),0,IF(VLOOKUP($A46,'Matriz de Referencia'!$B$2:$CO$584,76,FALSE)=0,0,"Digite"))</f>
        <v>0</v>
      </c>
      <c r="HV46" s="454">
        <f>IF(OR('Parte Estrategica'!AW46=0,'Parte Estrategica'!AW46=""),0,IF(VLOOKUP($A46,'Matriz de Referencia'!$B$2:$CO$584,77,FALSE)=0,0,"Digite"))</f>
        <v>0</v>
      </c>
      <c r="HW46" s="454">
        <f>IF(OR('Parte Estrategica'!AW46=0,'Parte Estrategica'!AW46=""),0,IF(VLOOKUP($A46,'Matriz de Referencia'!$B$2:$CO$584,78,FALSE)=0,0,"Digite"))</f>
        <v>0</v>
      </c>
      <c r="HX46" s="382">
        <f t="shared" si="49"/>
        <v>0</v>
      </c>
      <c r="HY46" s="382">
        <f t="shared" si="50"/>
        <v>0</v>
      </c>
      <c r="HZ46" s="382">
        <f t="shared" si="51"/>
        <v>0</v>
      </c>
      <c r="IA46" s="101" t="str">
        <f>IFERROR(IF(HZ46=0,"",IF(VLOOKUP($A46,'Matriz de Referencia'!$B$2:$CO$584,80,FALSE)=HZ46,"Techos ok, cotinue","Debe revisar el valor programado")),"")</f>
        <v/>
      </c>
      <c r="IB46" s="383">
        <f t="shared" si="52"/>
        <v>0</v>
      </c>
    </row>
    <row r="47" spans="1:236">
      <c r="A47" s="550" t="str">
        <f>IF('Parte Estrategica'!B47=0,"",'Parte Estrategica'!B47)</f>
        <v/>
      </c>
      <c r="B47" s="551" t="str">
        <f>IFERROR(VLOOKUP(A47,'Matriz de Referencia'!$B$2:$P$578,'Matriz de Referencia'!L$1,FALSE),"")</f>
        <v/>
      </c>
      <c r="C47" s="551" t="str">
        <f>IFERROR(VLOOKUP(A47,'Matriz de Referencia'!$B$2:$P$584,'Matriz de Referencia'!M$1,FALSE),"")</f>
        <v/>
      </c>
      <c r="D47" s="455" t="str">
        <f>IF(OR('Parte Estrategica'!AB47=0,'Parte Estrategica'!AB47=""),"",IF(VLOOKUP($A47,'Matriz de Referencia'!$B$2:$CO$584,'Matriz de Referencia'!Z$1,FALSE)=0,"","Digite"))</f>
        <v/>
      </c>
      <c r="E47" s="456">
        <f>IF(OR('Parte Estrategica'!AB47=0,'Parte Estrategica'!AB47=""),0,IF(VLOOKUP($A47,'Matriz de Referencia'!$B$2:$CO$584,26,FALSE)=0,0,"Digite"))</f>
        <v>0</v>
      </c>
      <c r="F47" s="456">
        <f>IF(OR('Parte Estrategica'!AB47=0,'Parte Estrategica'!AB47=""),0,IF(VLOOKUP($A47,'Matriz de Referencia'!$B$2:$CO$584,27,FALSE)=0,0,"Digite"))</f>
        <v>0</v>
      </c>
      <c r="G47" s="456">
        <f>IF(OR('Parte Estrategica'!AB47=0,'Parte Estrategica'!AB47=""),0,IF(VLOOKUP($A47,'Matriz de Referencia'!$B$2:$CO$584,28,FALSE)=0,0,"Digite"))</f>
        <v>0</v>
      </c>
      <c r="H47" s="456">
        <f>IF(OR('Parte Estrategica'!AB47=0,'Parte Estrategica'!AB47=""),0,IF(VLOOKUP($A47,'Matriz de Referencia'!$B$2:$CO$584,29,FALSE)=0,0,"Digite"))</f>
        <v>0</v>
      </c>
      <c r="I47" s="456">
        <f>IF(OR('Parte Estrategica'!AB47=0,'Parte Estrategica'!AB47=""),0,IF(VLOOKUP($A47,'Matriz de Referencia'!$B$2:$CO$584,30,FALSE)=0,0,"Digite"))</f>
        <v>0</v>
      </c>
      <c r="J47" s="456">
        <f>IF(OR('Parte Estrategica'!AB47=0,'Parte Estrategica'!AB47=""),0,IF(VLOOKUP($A47,'Matriz de Referencia'!$B$2:$CO$584,31,FALSE)=0,0,"Digite"))</f>
        <v>0</v>
      </c>
      <c r="K47" s="456">
        <f>IF(OR('Parte Estrategica'!AB47=0,'Parte Estrategica'!AB47=""),0,IF(VLOOKUP($A47,'Matriz de Referencia'!$B$2:$CO$584,32,FALSE)=0,0,"Digite"))</f>
        <v>0</v>
      </c>
      <c r="L47" s="460">
        <f t="shared" si="0"/>
        <v>0</v>
      </c>
      <c r="M47" s="456">
        <f>IF(OR('Parte Estrategica'!AB47=0,'Parte Estrategica'!AB47=""),0,IF(VLOOKUP($A47,'Matriz de Referencia'!$B$2:$CO$584,34,FALSE)=0,0,"Digite"))</f>
        <v>0</v>
      </c>
      <c r="N47" s="456">
        <f>IF(OR('Parte Estrategica'!AB47=0,'Parte Estrategica'!AB47=""),0,IF(VLOOKUP($A47,'Matriz de Referencia'!$B$2:$CO$584,35,FALSE)=0,0,"Digite"))</f>
        <v>0</v>
      </c>
      <c r="O47" s="456">
        <f>IF(OR('Parte Estrategica'!AB47=0,'Parte Estrategica'!AB47=""),0,IF(VLOOKUP($A47,'Matriz de Referencia'!$B$2:$CO$584,36,FALSE)=0,0,"Digite"))</f>
        <v>0</v>
      </c>
      <c r="P47" s="457">
        <f t="shared" si="1"/>
        <v>0</v>
      </c>
      <c r="Q47" s="457">
        <f t="shared" si="2"/>
        <v>0</v>
      </c>
      <c r="R47" s="455">
        <f>IF(OR('Parte Estrategica'!AC47=0,'Parte Estrategica'!AC47=""),0,IF(VLOOKUP($A47,'Matriz de Referencia'!$B$2:$CO$584,25,FALSE)=0,0,"Digite"))</f>
        <v>0</v>
      </c>
      <c r="S47" s="456">
        <f>IF(OR('Parte Estrategica'!AC47=0,'Parte Estrategica'!AC47=""),0,IF(VLOOKUP($A47,'Matriz de Referencia'!$B$2:$CO$584,26,FALSE)=0,0,"Digite"))</f>
        <v>0</v>
      </c>
      <c r="T47" s="456">
        <f>IF(OR('Parte Estrategica'!AC47=0,'Parte Estrategica'!AC47=""),0,IF(VLOOKUP($A47,'Matriz de Referencia'!$B$2:$CO$584,27,FALSE)=0,0,"Digite"))</f>
        <v>0</v>
      </c>
      <c r="U47" s="456">
        <f>IF(OR('Parte Estrategica'!AC47=0,'Parte Estrategica'!AC47=""),0,IF(VLOOKUP($A47,'Matriz de Referencia'!$B$2:$CO$584,28,FALSE)=0,0,"Digite"))</f>
        <v>0</v>
      </c>
      <c r="V47" s="456">
        <f>IF(OR('Parte Estrategica'!AC47=0,'Parte Estrategica'!AC47=""),0,IF(VLOOKUP($A47,'Matriz de Referencia'!$B$2:$CO$584,29,FALSE)=0,0,"Digite"))</f>
        <v>0</v>
      </c>
      <c r="W47" s="456">
        <f>IF(OR('Parte Estrategica'!AC47=0,'Parte Estrategica'!AC47=""),0,IF(VLOOKUP($A47,'Matriz de Referencia'!$B$2:$CO$584,30,FALSE)=0,0,"Digite"))</f>
        <v>0</v>
      </c>
      <c r="X47" s="456">
        <f>IF(OR('Parte Estrategica'!AC47=0,'Parte Estrategica'!AC47=""),0,IF(VLOOKUP($A47,'Matriz de Referencia'!$B$2:$CO$584,31,FALSE)=0,0,"Digite"))</f>
        <v>0</v>
      </c>
      <c r="Y47" s="456">
        <f>IF(OR('Parte Estrategica'!AC47=0,'Parte Estrategica'!AC47=""),0,IF(VLOOKUP($A47,'Matriz de Referencia'!$B$2:$CO$584,32,FALSE)=0,0,"Digite"))</f>
        <v>0</v>
      </c>
      <c r="Z47" s="457">
        <f t="shared" si="3"/>
        <v>0</v>
      </c>
      <c r="AA47" s="456">
        <f>IF(OR('Parte Estrategica'!AC47=0,'Parte Estrategica'!AC47=""),0,IF(VLOOKUP($A47,'Matriz de Referencia'!$B$2:$CO$584,34,FALSE)=0,0,"Digite"))</f>
        <v>0</v>
      </c>
      <c r="AB47" s="456">
        <f>IF(OR('Parte Estrategica'!AC47=0,'Parte Estrategica'!AC47=""),0,IF(VLOOKUP($A47,'Matriz de Referencia'!$B$2:$CO$584,35,FALSE)=0,0,"Digite"))</f>
        <v>0</v>
      </c>
      <c r="AC47" s="456">
        <f>IF(OR('Parte Estrategica'!AC47=0,'Parte Estrategica'!AC47=""),0,IF(VLOOKUP($A47,'Matriz de Referencia'!$B$2:$CO$584,36,FALSE)=0,0,"Digite"))</f>
        <v>0</v>
      </c>
      <c r="AD47" s="457">
        <f t="shared" si="4"/>
        <v>0</v>
      </c>
      <c r="AE47" s="457">
        <f t="shared" si="5"/>
        <v>0</v>
      </c>
      <c r="AF47" s="455">
        <f>IF(OR('Parte Estrategica'!AD47=0,'Parte Estrategica'!AD47=""),0,IF(VLOOKUP($A47,'Matriz de Referencia'!$B$2:$CO$584,25,FALSE)=0,0,"Digite"))</f>
        <v>0</v>
      </c>
      <c r="AG47" s="456">
        <f>IF(OR('Parte Estrategica'!AD47=0,'Parte Estrategica'!AD47=""),0,IF(VLOOKUP($A47,'Matriz de Referencia'!$B$2:$CO$584,26,FALSE)=0,0,"Digite"))</f>
        <v>0</v>
      </c>
      <c r="AH47" s="456">
        <f>IF(OR('Parte Estrategica'!AD47=0,'Parte Estrategica'!AD47=""),0,IF(VLOOKUP($A47,'Matriz de Referencia'!$B$2:$CO$584,27,FALSE)=0,0,"Digite"))</f>
        <v>0</v>
      </c>
      <c r="AI47" s="456">
        <f>IF(OR('Parte Estrategica'!AD47=0,'Parte Estrategica'!AD47=""),0,IF(VLOOKUP($A47,'Matriz de Referencia'!$B$2:$CO$584,28,FALSE)=0,0,"Digite"))</f>
        <v>0</v>
      </c>
      <c r="AJ47" s="456">
        <f>IF(OR('Parte Estrategica'!AD47=0,'Parte Estrategica'!AD47=""),0,IF(VLOOKUP($A47,'Matriz de Referencia'!$B$2:$CO$584,29,FALSE)=0,0,"Digite"))</f>
        <v>0</v>
      </c>
      <c r="AK47" s="456">
        <f>IF(OR('Parte Estrategica'!AD47=0,'Parte Estrategica'!AD47=""),0,IF(VLOOKUP($A47,'Matriz de Referencia'!$B$2:$CO$584,30,FALSE)=0,0,"Digite"))</f>
        <v>0</v>
      </c>
      <c r="AL47" s="456">
        <f>IF(OR('Parte Estrategica'!AD47=0,'Parte Estrategica'!AD47=""),0,IF(VLOOKUP($A47,'Matriz de Referencia'!$B$2:$CO$584,31,FALSE)=0,0,"Digite"))</f>
        <v>0</v>
      </c>
      <c r="AM47" s="456">
        <f>IF(OR('Parte Estrategica'!AD47=0,'Parte Estrategica'!AD47=""),0,IF(VLOOKUP($A47,'Matriz de Referencia'!$B$2:$CO$584,32,FALSE)=0,0,"Digite"))</f>
        <v>0</v>
      </c>
      <c r="AN47" s="457">
        <f t="shared" si="6"/>
        <v>0</v>
      </c>
      <c r="AO47" s="456">
        <f>IF(OR('Parte Estrategica'!AD47=0,'Parte Estrategica'!AD47=""),0,IF(VLOOKUP($A47,'Matriz de Referencia'!$B$2:$CO$584,34,FALSE)=0,0,"Digite"))</f>
        <v>0</v>
      </c>
      <c r="AP47" s="456">
        <f>IF(OR('Parte Estrategica'!AD47=0,'Parte Estrategica'!AD47=""),0,IF(VLOOKUP($A47,'Matriz de Referencia'!$B$2:$CO$584,35,FALSE)=0,0,"Digite"))</f>
        <v>0</v>
      </c>
      <c r="AQ47" s="456">
        <f>IF(OR('Parte Estrategica'!AD47=0,'Parte Estrategica'!AD47=""),0,IF(VLOOKUP($A47,'Matriz de Referencia'!$B$2:$CO$584,36,FALSE)=0,0,"Digite"))</f>
        <v>0</v>
      </c>
      <c r="AR47" s="457">
        <f t="shared" si="7"/>
        <v>0</v>
      </c>
      <c r="AS47" s="457">
        <f t="shared" si="8"/>
        <v>0</v>
      </c>
      <c r="AT47" s="455">
        <f>IF(OR('Parte Estrategica'!AE47=0,'Parte Estrategica'!AE47=""),0,IF(VLOOKUP($A47,'Matriz de Referencia'!$B$2:$CO$584,25,FALSE)=0,0,"Digite"))</f>
        <v>0</v>
      </c>
      <c r="AU47" s="456">
        <f>IF(OR('Parte Estrategica'!AE47=0,'Parte Estrategica'!AE47=""),0,IF(VLOOKUP($A47,'Matriz de Referencia'!$B$2:$CO$584,26,FALSE)=0,0,"Digite"))</f>
        <v>0</v>
      </c>
      <c r="AV47" s="456">
        <f>IF(OR('Parte Estrategica'!AE47=0,'Parte Estrategica'!AE47=""),0,IF(VLOOKUP($A47,'Matriz de Referencia'!$B$2:$CO$584,27,FALSE)=0,0,"Digite"))</f>
        <v>0</v>
      </c>
      <c r="AW47" s="456">
        <f>IF(OR('Parte Estrategica'!AE47=0,'Parte Estrategica'!AE47=""),0,IF(VLOOKUP($A47,'Matriz de Referencia'!$B$2:$CO$584,28,FALSE)=0,0,"Digite"))</f>
        <v>0</v>
      </c>
      <c r="AX47" s="456">
        <f>IF(OR('Parte Estrategica'!AE47=0,'Parte Estrategica'!AE47=""),0,IF(VLOOKUP($A47,'Matriz de Referencia'!$B$2:$CO$584,29,FALSE)=0,0,"Digite"))</f>
        <v>0</v>
      </c>
      <c r="AY47" s="456">
        <f>IF(OR('Parte Estrategica'!AE47=0,'Parte Estrategica'!AE47=""),0,IF(VLOOKUP($A47,'Matriz de Referencia'!$B$2:$CO$584,30,FALSE)=0,0,"Digite"))</f>
        <v>0</v>
      </c>
      <c r="AZ47" s="456">
        <f>IF(OR('Parte Estrategica'!AE47=0,'Parte Estrategica'!AE47=""),0,IF(VLOOKUP($A47,'Matriz de Referencia'!$B$2:$CO$584,31,FALSE)=0,0,"Digite"))</f>
        <v>0</v>
      </c>
      <c r="BA47" s="456">
        <f>IF(OR('Parte Estrategica'!AE47=0,'Parte Estrategica'!AE47=""),0,IF(VLOOKUP($A47,'Matriz de Referencia'!$B$2:$CO$584,32,FALSE)=0,0,"Digite"))</f>
        <v>0</v>
      </c>
      <c r="BB47" s="457">
        <f t="shared" si="9"/>
        <v>0</v>
      </c>
      <c r="BC47" s="456">
        <f>IF(OR('Parte Estrategica'!AE47=0,'Parte Estrategica'!AE47=""),0,IF(VLOOKUP($A47,'Matriz de Referencia'!$B$2:$CO$584,34,FALSE)=0,0,"Digite"))</f>
        <v>0</v>
      </c>
      <c r="BD47" s="456">
        <f>IF(OR('Parte Estrategica'!AE47=0,'Parte Estrategica'!AE47=""),0,IF(VLOOKUP($A47,'Matriz de Referencia'!$B$2:$CO$584,35,FALSE)=0,0,"Digite"))</f>
        <v>0</v>
      </c>
      <c r="BE47" s="456">
        <f>IF(OR('Parte Estrategica'!AE47=0,'Parte Estrategica'!AE47=""),0,IF(VLOOKUP($A47,'Matriz de Referencia'!$B$2:$CO$584,36,FALSE)=0,0,"Digite"))</f>
        <v>0</v>
      </c>
      <c r="BF47" s="457">
        <f t="shared" si="10"/>
        <v>0</v>
      </c>
      <c r="BG47" s="457">
        <f t="shared" si="11"/>
        <v>0</v>
      </c>
      <c r="BH47" s="457">
        <f t="shared" si="12"/>
        <v>0</v>
      </c>
      <c r="BI47" s="101" t="str">
        <f>IFERROR(IF(BH47=0,"",IF(VLOOKUP($A47,'Matriz de Referencia'!$B$2:$CO$584,'Matriz de Referencia'!AM$1,FALSE)=BH47,"Techos ok, cotinue","Debe revisar el valor programado")),"")</f>
        <v/>
      </c>
      <c r="BJ47" s="453">
        <f>IF(OR('Parte Estrategica'!AH47=0,'Parte Estrategica'!AH47=""),0,IF(VLOOKUP($A47,'Matriz de Referencia'!$B$2:$CO$584,39,FALSE)=0,0,"Digite"))</f>
        <v>0</v>
      </c>
      <c r="BK47" s="454">
        <f>IF(OR('Parte Estrategica'!AH47=0,'Parte Estrategica'!AH47=""),0,IF(VLOOKUP($A47,'Matriz de Referencia'!$B$2:$CO$584,40,FALSE)=0,0,"Digite"))</f>
        <v>0</v>
      </c>
      <c r="BL47" s="454">
        <f>IF(OR('Parte Estrategica'!AH47=0,'Parte Estrategica'!AH47=""),0,IF(VLOOKUP($A47,'Matriz de Referencia'!$B$2:$CO$584,41,FALSE)=0,0,"Digite"))</f>
        <v>0</v>
      </c>
      <c r="BM47" s="454">
        <f>IF(OR('Parte Estrategica'!AH47=0,'Parte Estrategica'!AH47=""),0,IF(VLOOKUP($A47,'Matriz de Referencia'!$B$2:$CO$584,42,FALSE)=0,0,"Digite"))</f>
        <v>0</v>
      </c>
      <c r="BN47" s="454">
        <f>IF(OR('Parte Estrategica'!AH47=0,'Parte Estrategica'!AH47=""),0,IF(VLOOKUP($A47,'Matriz de Referencia'!$B$2:$CO$584,43,FALSE)=0,0,"Digite"))</f>
        <v>0</v>
      </c>
      <c r="BO47" s="454">
        <f>IF(OR('Parte Estrategica'!AH47=0,'Parte Estrategica'!AH47=""),0,IF(VLOOKUP($A47,'Matriz de Referencia'!$B$2:$CO$584,44,FALSE)=0,0,"Digite"))</f>
        <v>0</v>
      </c>
      <c r="BP47" s="454">
        <f>IF(OR('Parte Estrategica'!AH47=0,'Parte Estrategica'!AH47=""),0,IF(VLOOKUP($A47,'Matriz de Referencia'!$B$2:$CO$584,45,FALSE)=0,0,"Digite"))</f>
        <v>0</v>
      </c>
      <c r="BQ47" s="454">
        <f>IF(OR('Parte Estrategica'!AH47=0,'Parte Estrategica'!AH47=""),0,IF(VLOOKUP($A47,'Matriz de Referencia'!$B$2:$CO$584,46,FALSE)=0,0,"Digite"))</f>
        <v>0</v>
      </c>
      <c r="BR47" s="382">
        <f t="shared" si="13"/>
        <v>0</v>
      </c>
      <c r="BS47" s="454">
        <f>IF(OR('Parte Estrategica'!CL47=0,'Parte Estrategica'!CL47=""),0,IF(VLOOKUP($A47,'Matriz de Referencia'!$B$2:$CO$584,48,FALSE)=0,0,"Digite"))</f>
        <v>0</v>
      </c>
      <c r="BT47" s="454">
        <f>IF(OR('Parte Estrategica'!CL47=0,'Parte Estrategica'!CL47=""),0,IF(VLOOKUP($A47,'Matriz de Referencia'!$B$2:$CO$584,49,FALSE)=0,0,"Digite"))</f>
        <v>0</v>
      </c>
      <c r="BU47" s="454">
        <f>IF(OR('Parte Estrategica'!CL47=0,'Parte Estrategica'!CL47=""),0,IF(VLOOKUP($A47,'Matriz de Referencia'!$B$2:$CO$584,50,FALSE)=0,0,"Digite"))</f>
        <v>0</v>
      </c>
      <c r="BV47" s="382">
        <f t="shared" si="14"/>
        <v>0</v>
      </c>
      <c r="BW47" s="382">
        <f t="shared" si="15"/>
        <v>0</v>
      </c>
      <c r="BX47" s="453">
        <f>IF(OR('Parte Estrategica'!AI47=0,'Parte Estrategica'!AI47=""),0,IF(VLOOKUP($A47,'Matriz de Referencia'!$B$2:$CO$584,39,FALSE)=0,0,"Digite"))</f>
        <v>0</v>
      </c>
      <c r="BY47" s="454">
        <f>IF(OR('Parte Estrategica'!AI47=0,'Parte Estrategica'!AI47=""),0,IF(VLOOKUP($A47,'Matriz de Referencia'!$B$2:$CO$584,40,FALSE)=0,0,"Digite"))</f>
        <v>0</v>
      </c>
      <c r="BZ47" s="454">
        <f>IF(OR('Parte Estrategica'!AI47=0,'Parte Estrategica'!AI47=""),0,IF(VLOOKUP($A47,'Matriz de Referencia'!$B$2:$CO$584,41,FALSE)=0,0,"Digite"))</f>
        <v>0</v>
      </c>
      <c r="CA47" s="454">
        <f>IF(OR('Parte Estrategica'!AI47=0,'Parte Estrategica'!AI47=""),0,IF(VLOOKUP($A47,'Matriz de Referencia'!$B$2:$CO$584,42,FALSE)=0,0,"Digite"))</f>
        <v>0</v>
      </c>
      <c r="CB47" s="454">
        <f>IF(OR('Parte Estrategica'!AI47=0,'Parte Estrategica'!AI47=""),0,IF(VLOOKUP($A47,'Matriz de Referencia'!$B$2:$CO$584,43,FALSE)=0,0,"Digite"))</f>
        <v>0</v>
      </c>
      <c r="CC47" s="454">
        <f>IF(OR('Parte Estrategica'!AI47=0,'Parte Estrategica'!AI47=""),0,IF(VLOOKUP($A47,'Matriz de Referencia'!$B$2:$CO$584,44,FALSE)=0,0,"Digite"))</f>
        <v>0</v>
      </c>
      <c r="CD47" s="454">
        <f>IF(OR('Parte Estrategica'!AI47=0,'Parte Estrategica'!AI47=""),0,IF(VLOOKUP($A47,'Matriz de Referencia'!$B$2:$CO$584,45,FALSE)=0,0,"Digite"))</f>
        <v>0</v>
      </c>
      <c r="CE47" s="454">
        <f>IF(OR('Parte Estrategica'!AI47=0,'Parte Estrategica'!AI47=""),0,IF(VLOOKUP($A47,'Matriz de Referencia'!$B$2:$CO$584,46,FALSE)=0,0,"Digite"))</f>
        <v>0</v>
      </c>
      <c r="CF47" s="382">
        <f t="shared" si="16"/>
        <v>0</v>
      </c>
      <c r="CG47" s="454">
        <f>IF(OR('Parte Estrategica'!AI47=0,'Parte Estrategica'!AI47=""),0,IF(VLOOKUP($A47,'Matriz de Referencia'!$B$2:$CO$584,48,FALSE)=0,0,"Digite"))</f>
        <v>0</v>
      </c>
      <c r="CH47" s="454">
        <f>IF(OR('Parte Estrategica'!AI47=0,'Parte Estrategica'!AI47=""),0,IF(VLOOKUP($A47,'Matriz de Referencia'!$B$2:$CO$584,49,FALSE)=0,0,"Digite"))</f>
        <v>0</v>
      </c>
      <c r="CI47" s="454">
        <f>IF(OR('Parte Estrategica'!AI47=0,'Parte Estrategica'!AI47=""),0,IF(VLOOKUP($A47,'Matriz de Referencia'!$B$2:$CO$584,50,FALSE)=0,0,"Digite"))</f>
        <v>0</v>
      </c>
      <c r="CJ47" s="382">
        <f t="shared" si="17"/>
        <v>0</v>
      </c>
      <c r="CK47" s="382">
        <f t="shared" si="18"/>
        <v>0</v>
      </c>
      <c r="CL47" s="453">
        <f>IF(OR('Parte Estrategica'!AJ47=0,'Parte Estrategica'!AJ47=""),0,IF(VLOOKUP($A47,'Matriz de Referencia'!$B$2:$CO$584,39,FALSE)=0,0,"Digite"))</f>
        <v>0</v>
      </c>
      <c r="CM47" s="454">
        <f>IF(OR('Parte Estrategica'!AJ47=0,'Parte Estrategica'!AJ47=""),0,IF(VLOOKUP($A47,'Matriz de Referencia'!$B$2:$CO$584,40,FALSE)=0,0,"Digite"))</f>
        <v>0</v>
      </c>
      <c r="CN47" s="454">
        <f>IF(OR('Parte Estrategica'!AJ47=0,'Parte Estrategica'!AJ47=""),0,IF(VLOOKUP($A47,'Matriz de Referencia'!$B$2:$CO$584,41,FALSE)=0,0,"Digite"))</f>
        <v>0</v>
      </c>
      <c r="CO47" s="454">
        <f>IF(OR('Parte Estrategica'!AJ47=0,'Parte Estrategica'!AJ47=""),0,IF(VLOOKUP($A47,'Matriz de Referencia'!$B$2:$CO$584,42,FALSE)=0,0,"Digite"))</f>
        <v>0</v>
      </c>
      <c r="CP47" s="454">
        <f>IF(OR('Parte Estrategica'!AJ47=0,'Parte Estrategica'!AJ47=""),0,IF(VLOOKUP($A47,'Matriz de Referencia'!$B$2:$CO$584,43,FALSE)=0,0,"Digite"))</f>
        <v>0</v>
      </c>
      <c r="CQ47" s="454">
        <f>IF(OR('Parte Estrategica'!AJ47=0,'Parte Estrategica'!AJ47=""),0,IF(VLOOKUP($A47,'Matriz de Referencia'!$B$2:$CO$584,44,FALSE)=0,0,"Digite"))</f>
        <v>0</v>
      </c>
      <c r="CR47" s="454">
        <f>IF(OR('Parte Estrategica'!AJ47=0,'Parte Estrategica'!AJ47=""),0,IF(VLOOKUP($A47,'Matriz de Referencia'!$B$2:$CO$584,45,FALSE)=0,0,"Digite"))</f>
        <v>0</v>
      </c>
      <c r="CS47" s="454">
        <f>IF(OR('Parte Estrategica'!AJ47=0,'Parte Estrategica'!AJ47=""),0,IF(VLOOKUP($A47,'Matriz de Referencia'!$B$2:$CO$584,46,FALSE)=0,0,"Digite"))</f>
        <v>0</v>
      </c>
      <c r="CT47" s="382">
        <f t="shared" si="19"/>
        <v>0</v>
      </c>
      <c r="CU47" s="454">
        <f>IF(OR('Parte Estrategica'!AJ47=0,'Parte Estrategica'!AJ47=""),0,IF(VLOOKUP($A47,'Matriz de Referencia'!$B$2:$CO$584,48,FALSE)=0,0,"Digite"))</f>
        <v>0</v>
      </c>
      <c r="CV47" s="454">
        <f>IF(OR('Parte Estrategica'!AJ47=0,'Parte Estrategica'!AJ47=""),0,IF(VLOOKUP($A47,'Matriz de Referencia'!$B$2:$CO$584,49,FALSE)=0,0,"Digite"))</f>
        <v>0</v>
      </c>
      <c r="CW47" s="454">
        <f>IF(OR('Parte Estrategica'!AJ47=0,'Parte Estrategica'!AJ47=""),0,IF(VLOOKUP($A47,'Matriz de Referencia'!$B$2:$CO$584,50,FALSE)=0,0,"Digite"))</f>
        <v>0</v>
      </c>
      <c r="CX47" s="382">
        <f t="shared" si="20"/>
        <v>0</v>
      </c>
      <c r="CY47" s="382">
        <f t="shared" si="21"/>
        <v>0</v>
      </c>
      <c r="CZ47" s="453">
        <f>IF(OR('Parte Estrategica'!AK47=0,'Parte Estrategica'!AK47=""),0,IF(VLOOKUP($A47,'Matriz de Referencia'!$B$2:$CO$584,39,FALSE)=0,0,"Digite"))</f>
        <v>0</v>
      </c>
      <c r="DA47" s="454">
        <f>IF(OR('Parte Estrategica'!AK47=0,'Parte Estrategica'!AK47=""),0,IF(VLOOKUP($A47,'Matriz de Referencia'!$B$2:$CO$584,40,FALSE)=0,0,"Digite"))</f>
        <v>0</v>
      </c>
      <c r="DB47" s="454">
        <f>IF(OR('Parte Estrategica'!AK47=0,'Parte Estrategica'!AK47=""),0,IF(VLOOKUP($A47,'Matriz de Referencia'!$B$2:$CO$584,41,FALSE)=0,0,"Digite"))</f>
        <v>0</v>
      </c>
      <c r="DC47" s="454">
        <f>IF(OR('Parte Estrategica'!AK47=0,'Parte Estrategica'!AK47=""),0,IF(VLOOKUP($A47,'Matriz de Referencia'!$B$2:$CO$584,42,FALSE)=0,0,"Digite"))</f>
        <v>0</v>
      </c>
      <c r="DD47" s="454">
        <f>IF(OR('Parte Estrategica'!AK47=0,'Parte Estrategica'!AK47=""),0,IF(VLOOKUP($A47,'Matriz de Referencia'!$B$2:$CO$584,43,FALSE)=0,0,"Digite"))</f>
        <v>0</v>
      </c>
      <c r="DE47" s="454">
        <f>IF(OR('Parte Estrategica'!AK47=0,'Parte Estrategica'!AK47=""),0,IF(VLOOKUP($A47,'Matriz de Referencia'!$B$2:$CO$584,44,FALSE)=0,0,"Digite"))</f>
        <v>0</v>
      </c>
      <c r="DF47" s="454">
        <f>IF(OR('Parte Estrategica'!AK47=0,'Parte Estrategica'!AK47=""),0,IF(VLOOKUP($A47,'Matriz de Referencia'!$B$2:$CO$584,45,FALSE)=0,0,"Digite"))</f>
        <v>0</v>
      </c>
      <c r="DG47" s="454">
        <f>IF(OR('Parte Estrategica'!AK47=0,'Parte Estrategica'!AK47=""),0,IF(VLOOKUP($A47,'Matriz de Referencia'!$B$2:$CO$584,46,FALSE)=0,0,"Digite"))</f>
        <v>0</v>
      </c>
      <c r="DH47" s="382">
        <f t="shared" si="22"/>
        <v>0</v>
      </c>
      <c r="DI47" s="454">
        <f>IF(OR('Parte Estrategica'!AK47=0,'Parte Estrategica'!AK47=""),0,IF(VLOOKUP($A47,'Matriz de Referencia'!$B$2:$CO$584,48,FALSE)=0,0,"Digite"))</f>
        <v>0</v>
      </c>
      <c r="DJ47" s="454">
        <f>IF(OR('Parte Estrategica'!AK47=0,'Parte Estrategica'!AK47=""),0,IF(VLOOKUP($A47,'Matriz de Referencia'!$B$2:$CO$584,49,FALSE)=0,0,"Digite"))</f>
        <v>0</v>
      </c>
      <c r="DK47" s="454">
        <f>IF(OR('Parte Estrategica'!AK47=0,'Parte Estrategica'!AK47=""),0,IF(VLOOKUP($A47,'Matriz de Referencia'!$B$2:$CO$584,50,FALSE)=0,0,"Digite"))</f>
        <v>0</v>
      </c>
      <c r="DL47" s="382">
        <f t="shared" si="23"/>
        <v>0</v>
      </c>
      <c r="DM47" s="382">
        <f t="shared" si="24"/>
        <v>0</v>
      </c>
      <c r="DN47" s="382">
        <f t="shared" si="25"/>
        <v>0</v>
      </c>
      <c r="DO47" s="101" t="str">
        <f>IFERROR(IF(DN47=0,"",IF(VLOOKUP($A47,'Matriz de Referencia'!$B$2:$CO$584,52,FALSE)=DN47,"Techos ok, cotinue","Debe revisar el valor programado")),"")</f>
        <v/>
      </c>
      <c r="DP47" s="453">
        <f>IF(OR('Parte Estrategica'!AN47=0,'Parte Estrategica'!AN47=""),0,IF(VLOOKUP($A47,'Matriz de Referencia'!$B$2:$CO$584,53,FALSE)=0,0,"Digite"))</f>
        <v>0</v>
      </c>
      <c r="DQ47" s="454">
        <f>IF(OR('Parte Estrategica'!AN47=0,'Parte Estrategica'!AN47=""),0,IF(VLOOKUP($A47,'Matriz de Referencia'!$B$2:$CO$584,54,FALSE)=0,0,"Digite"))</f>
        <v>0</v>
      </c>
      <c r="DR47" s="454">
        <f>IF(OR('Parte Estrategica'!AN47=0,'Parte Estrategica'!AN47=""),0,IF(VLOOKUP($A47,'Matriz de Referencia'!$B$2:$CO$584,55,FALSE)=0,0,"Digite"))</f>
        <v>0</v>
      </c>
      <c r="DS47" s="454">
        <f>IF(OR('Parte Estrategica'!AN47=0,'Parte Estrategica'!AN47=""),0,IF(VLOOKUP($A47,'Matriz de Referencia'!$B$2:$CO$584,56,FALSE)=0,0,"Digite"))</f>
        <v>0</v>
      </c>
      <c r="DT47" s="454">
        <f>IF(OR('Parte Estrategica'!AN47=0,'Parte Estrategica'!AN47=""),0,IF(VLOOKUP($A47,'Matriz de Referencia'!$B$2:$CO$584,57,FALSE)=0,0,"Digite"))</f>
        <v>0</v>
      </c>
      <c r="DU47" s="454">
        <f>IF(OR('Parte Estrategica'!AN47=0,'Parte Estrategica'!AN47=""),0,IF(VLOOKUP($A47,'Matriz de Referencia'!$B$2:$CO$584,58,FALSE)=0,0,"Digite"))</f>
        <v>0</v>
      </c>
      <c r="DV47" s="454">
        <f>IF(OR('Parte Estrategica'!AN47=0,'Parte Estrategica'!AN47=""),0,IF(VLOOKUP($A47,'Matriz de Referencia'!$B$2:$CO$584,59,FALSE)=0,0,"Digite"))</f>
        <v>0</v>
      </c>
      <c r="DW47" s="454">
        <f>IF(OR('Parte Estrategica'!AN47=0,'Parte Estrategica'!AN47=""),0,IF(VLOOKUP($A47,'Matriz de Referencia'!$B$2:$CO$584,60,FALSE)=0,0,"Digite"))</f>
        <v>0</v>
      </c>
      <c r="DX47" s="382">
        <f t="shared" si="26"/>
        <v>0</v>
      </c>
      <c r="DY47" s="454">
        <f>IF(OR('Parte Estrategica'!AN47=0,'Parte Estrategica'!AN47=""),0,IF(VLOOKUP($A47,'Matriz de Referencia'!$B$2:$CO$584,62,FALSE)=0,0,"Digite"))</f>
        <v>0</v>
      </c>
      <c r="DZ47" s="454">
        <f>IF(OR('Parte Estrategica'!AN47=0,'Parte Estrategica'!AN47=""),0,IF(VLOOKUP($A47,'Matriz de Referencia'!$B$2:$CO$584,63,FALSE)=0,0,"Digite"))</f>
        <v>0</v>
      </c>
      <c r="EA47" s="454" t="str">
        <f>IF(OR('Parte Estrategica'!AN47=0,'Parte Estrategica'!AN47=""),"",IF(VLOOKUP($A47,'Matriz de Referencia'!$B$2:$CO$584,64,FALSE)=0,"","Digite"))</f>
        <v/>
      </c>
      <c r="EB47" s="382">
        <f t="shared" si="27"/>
        <v>0</v>
      </c>
      <c r="EC47" s="382">
        <f t="shared" si="28"/>
        <v>0</v>
      </c>
      <c r="ED47" s="453">
        <f>IF(OR('Parte Estrategica'!AO47=0,'Parte Estrategica'!AO47=""),0,IF(VLOOKUP($A47,'Matriz de Referencia'!$B$2:$CO$584,53,FALSE)=0,0,"Digite"))</f>
        <v>0</v>
      </c>
      <c r="EE47" s="454">
        <f>IF(OR('Parte Estrategica'!AO47=0,'Parte Estrategica'!AO47=""),0,IF(VLOOKUP($A47,'Matriz de Referencia'!$B$2:$CO$584,54,FALSE)=0,0,"Digite"))</f>
        <v>0</v>
      </c>
      <c r="EF47" s="454">
        <f>IF(OR('Parte Estrategica'!AO47=0,'Parte Estrategica'!AO47=""),0,IF(VLOOKUP($A47,'Matriz de Referencia'!$B$2:$CO$584,55,FALSE)=0,0,"Digite"))</f>
        <v>0</v>
      </c>
      <c r="EG47" s="454">
        <f>IF(OR('Parte Estrategica'!AO47=0,'Parte Estrategica'!AO47=""),0,IF(VLOOKUP($A47,'Matriz de Referencia'!$B$2:$CO$584,56,FALSE)=0,0,"Digite"))</f>
        <v>0</v>
      </c>
      <c r="EH47" s="454">
        <f>IF(OR('Parte Estrategica'!AO47=0,'Parte Estrategica'!AO47=""),0,IF(VLOOKUP($A47,'Matriz de Referencia'!$B$2:$CO$584,57,FALSE)=0,0,"Digite"))</f>
        <v>0</v>
      </c>
      <c r="EI47" s="454">
        <f>IF(OR('Parte Estrategica'!AO47=0,'Parte Estrategica'!AO47=""),0,IF(VLOOKUP($A47,'Matriz de Referencia'!$B$2:$CO$584,58,FALSE)=0,0,"Digite"))</f>
        <v>0</v>
      </c>
      <c r="EJ47" s="454">
        <f>IF(OR('Parte Estrategica'!AO47=0,'Parte Estrategica'!AO47=""),0,IF(VLOOKUP($A47,'Matriz de Referencia'!$B$2:$CO$584,59,FALSE)=0,0,"Digite"))</f>
        <v>0</v>
      </c>
      <c r="EK47" s="454">
        <f>IF(OR('Parte Estrategica'!AO47=0,'Parte Estrategica'!AO47=""),0,IF(VLOOKUP($A47,'Matriz de Referencia'!$B$2:$CO$584,60,FALSE)=0,0,"Digite"))</f>
        <v>0</v>
      </c>
      <c r="EL47" s="382">
        <f t="shared" si="29"/>
        <v>0</v>
      </c>
      <c r="EM47" s="454">
        <f>IF(OR('Parte Estrategica'!AO47=0,'Parte Estrategica'!AO47=""),0,IF(VLOOKUP($A47,'Matriz de Referencia'!$B$2:$CO$584,62,FALSE)=0,0,"Digite"))</f>
        <v>0</v>
      </c>
      <c r="EN47" s="454">
        <f>IF(OR('Parte Estrategica'!AO47=0,'Parte Estrategica'!AO47=""),0,IF(VLOOKUP($A47,'Matriz de Referencia'!$B$2:$CO$584,63,FALSE)=0,0,"Digite"))</f>
        <v>0</v>
      </c>
      <c r="EO47" s="454">
        <f>IF(OR('Parte Estrategica'!AO47=0,'Parte Estrategica'!AO47=""),0,IF(VLOOKUP($A47,'Matriz de Referencia'!$B$2:$CO$584,64,FALSE)=0,0,"Digite"))</f>
        <v>0</v>
      </c>
      <c r="EP47" s="382">
        <f t="shared" si="30"/>
        <v>0</v>
      </c>
      <c r="EQ47" s="382">
        <f t="shared" si="31"/>
        <v>0</v>
      </c>
      <c r="ER47" s="453">
        <f>IF(OR('Parte Estrategica'!AP47=0,'Parte Estrategica'!AP47=""),0,IF(VLOOKUP($A47,'Matriz de Referencia'!$B$2:$CO$584,53,FALSE)=0,0,"Digite"))</f>
        <v>0</v>
      </c>
      <c r="ES47" s="454">
        <f>IF(OR('Parte Estrategica'!AP47=0,'Parte Estrategica'!AP47=""),0,IF(VLOOKUP($A47,'Matriz de Referencia'!$B$2:$CO$584,54,FALSE)=0,0,"Digite"))</f>
        <v>0</v>
      </c>
      <c r="ET47" s="454">
        <f>IF(OR('Parte Estrategica'!AP47=0,'Parte Estrategica'!AP47=""),0,IF(VLOOKUP($A47,'Matriz de Referencia'!$B$2:$CO$584,55,FALSE)=0,0,"Digite"))</f>
        <v>0</v>
      </c>
      <c r="EU47" s="454">
        <f>IF(OR('Parte Estrategica'!AP47=0,'Parte Estrategica'!AP47=""),0,IF(VLOOKUP($A47,'Matriz de Referencia'!$B$2:$CO$584,56,FALSE)=0,0,"Digite"))</f>
        <v>0</v>
      </c>
      <c r="EV47" s="454">
        <f>IF(OR('Parte Estrategica'!AP47=0,'Parte Estrategica'!AP47=""),0,IF(VLOOKUP($A47,'Matriz de Referencia'!$B$2:$CO$584,57,FALSE)=0,0,"Digite"))</f>
        <v>0</v>
      </c>
      <c r="EW47" s="454">
        <f>IF(OR('Parte Estrategica'!AP47=0,'Parte Estrategica'!AP47=""),0,IF(VLOOKUP($A47,'Matriz de Referencia'!$B$2:$CO$584,58,FALSE)=0,0,"Digite"))</f>
        <v>0</v>
      </c>
      <c r="EX47" s="454">
        <f>IF(OR('Parte Estrategica'!AP47=0,'Parte Estrategica'!AP47=""),0,IF(VLOOKUP($A47,'Matriz de Referencia'!$B$2:$CO$584,59,FALSE)=0,0,"Digite"))</f>
        <v>0</v>
      </c>
      <c r="EY47" s="454">
        <f>IF(OR('Parte Estrategica'!AP47=0,'Parte Estrategica'!AP47=""),0,IF(VLOOKUP($A47,'Matriz de Referencia'!$B$2:$CO$584,60,FALSE)=0,0,"Digite"))</f>
        <v>0</v>
      </c>
      <c r="EZ47" s="382">
        <f t="shared" si="32"/>
        <v>0</v>
      </c>
      <c r="FA47" s="454">
        <f>IF(OR('Parte Estrategica'!AP47=0,'Parte Estrategica'!AP47=""),0,IF(VLOOKUP($A47,'Matriz de Referencia'!$B$2:$CO$584,62,FALSE)=0,0,"Digite"))</f>
        <v>0</v>
      </c>
      <c r="FB47" s="454">
        <f>IF(OR('Parte Estrategica'!AP47=0,'Parte Estrategica'!AP47=""),0,IF(VLOOKUP($A47,'Matriz de Referencia'!$B$2:$CO$584,63,FALSE)=0,0,"Digite"))</f>
        <v>0</v>
      </c>
      <c r="FC47" s="454">
        <f>IF(OR('Parte Estrategica'!AP47=0,'Parte Estrategica'!AP47=""),0,IF(VLOOKUP($A47,'Matriz de Referencia'!$B$2:$CO$584,64,FALSE)=0,0,"Digite"))</f>
        <v>0</v>
      </c>
      <c r="FD47" s="382">
        <f t="shared" si="33"/>
        <v>0</v>
      </c>
      <c r="FE47" s="382">
        <f t="shared" si="34"/>
        <v>0</v>
      </c>
      <c r="FF47" s="453">
        <f>IF(OR('Parte Estrategica'!AQ47=0,'Parte Estrategica'!AQ47=""),0,IF(VLOOKUP($A47,'Matriz de Referencia'!$B$2:$CO$584,53,FALSE)=0,0,"Digite"))</f>
        <v>0</v>
      </c>
      <c r="FG47" s="454">
        <f>IF(OR('Parte Estrategica'!AQ47=0,'Parte Estrategica'!AQ47=""),0,IF(VLOOKUP($A47,'Matriz de Referencia'!$B$2:$CO$584,54,FALSE)=0,0,"Digite"))</f>
        <v>0</v>
      </c>
      <c r="FH47" s="454">
        <f>IF(OR('Parte Estrategica'!AQ47=0,'Parte Estrategica'!AQ47=""),0,IF(VLOOKUP($A47,'Matriz de Referencia'!$B$2:$CO$584,55,FALSE)=0,0,"Digite"))</f>
        <v>0</v>
      </c>
      <c r="FI47" s="454">
        <f>IF(OR('Parte Estrategica'!AQ47=0,'Parte Estrategica'!AQ47=""),0,IF(VLOOKUP($A47,'Matriz de Referencia'!$B$2:$CO$584,56,FALSE)=0,0,"Digite"))</f>
        <v>0</v>
      </c>
      <c r="FJ47" s="454">
        <f>IF(OR('Parte Estrategica'!AQ47=0,'Parte Estrategica'!AQ47=""),0,IF(VLOOKUP($A47,'Matriz de Referencia'!$B$2:$CO$584,57,FALSE)=0,0,"Digite"))</f>
        <v>0</v>
      </c>
      <c r="FK47" s="454">
        <f>IF(OR('Parte Estrategica'!AQ47=0,'Parte Estrategica'!AQ47=""),0,IF(VLOOKUP($A47,'Matriz de Referencia'!$B$2:$CO$584,58,FALSE)=0,0,"Digite"))</f>
        <v>0</v>
      </c>
      <c r="FL47" s="454">
        <f>IF(OR('Parte Estrategica'!AQ47=0,'Parte Estrategica'!AQ47=""),0,IF(VLOOKUP($A47,'Matriz de Referencia'!$B$2:$CO$584,59,FALSE)=0,0,"Digite"))</f>
        <v>0</v>
      </c>
      <c r="FM47" s="454">
        <f>IF(OR('Parte Estrategica'!AQ47=0,'Parte Estrategica'!AQ47=""),0,IF(VLOOKUP($A47,'Matriz de Referencia'!$B$2:$CO$584,60,FALSE)=0,0,"Digite"))</f>
        <v>0</v>
      </c>
      <c r="FN47" s="382">
        <f t="shared" si="35"/>
        <v>0</v>
      </c>
      <c r="FO47" s="454">
        <f>IF(OR('Parte Estrategica'!AQ47=0,'Parte Estrategica'!AQ47=""),0,IF(VLOOKUP($A47,'Matriz de Referencia'!$B$2:$CO$584,62,FALSE)=0,0,"Digite"))</f>
        <v>0</v>
      </c>
      <c r="FP47" s="454">
        <f>IF(OR('Parte Estrategica'!AQ47=0,'Parte Estrategica'!AQ47=""),0,IF(VLOOKUP($A47,'Matriz de Referencia'!$B$2:$CO$584,63,FALSE)=0,0,"Digite"))</f>
        <v>0</v>
      </c>
      <c r="FQ47" s="454">
        <f>IF(OR('Parte Estrategica'!AQ47=0,'Parte Estrategica'!AQ47=""),0,IF(VLOOKUP($A47,'Matriz de Referencia'!$B$2:$CO$584,64,FALSE)=0,0,"Digite"))</f>
        <v>0</v>
      </c>
      <c r="FR47" s="382">
        <f t="shared" si="36"/>
        <v>0</v>
      </c>
      <c r="FS47" s="382">
        <f t="shared" si="37"/>
        <v>0</v>
      </c>
      <c r="FT47" s="382">
        <f t="shared" si="38"/>
        <v>0</v>
      </c>
      <c r="FU47" s="101" t="str">
        <f>IFERROR(IF(FT47=0,"",IF(VLOOKUP($A47,'Matriz de Referencia'!$B$2:$CO$584,66,FALSE)=FT47,"Techos ok, cotinue","Debe revisar el valor programado")),"")</f>
        <v/>
      </c>
      <c r="FV47" s="453">
        <f>IF(OR('Parte Estrategica'!AT47=0,'Parte Estrategica'!AT47=""),0,IF(VLOOKUP($A47,'Matriz de Referencia'!$B$2:$CO$584,67,FALSE)=0,0,"Digite"))</f>
        <v>0</v>
      </c>
      <c r="FW47" s="454">
        <f>IF(OR('Parte Estrategica'!AT47=0,'Parte Estrategica'!AT47=""),0,IF(VLOOKUP($A47,'Matriz de Referencia'!$B$2:$CO$584,68,FALSE)=0,0,"Digite"))</f>
        <v>0</v>
      </c>
      <c r="FX47" s="454">
        <f>IF(OR('Parte Estrategica'!AT47=0,'Parte Estrategica'!AT47=""),0,IF(VLOOKUP($A47,'Matriz de Referencia'!$B$2:$CO$584,69,FALSE)=0,0,"Digite"))</f>
        <v>0</v>
      </c>
      <c r="FY47" s="454">
        <f>IF(OR('Parte Estrategica'!AT47=0,'Parte Estrategica'!AT47=""),0,IF(VLOOKUP($A47,'Matriz de Referencia'!$B$2:$CO$584,70,FALSE)=0,0,"Digite"))</f>
        <v>0</v>
      </c>
      <c r="FZ47" s="454">
        <f>IF(OR('Parte Estrategica'!AT47=0,'Parte Estrategica'!AT47=""),0,IF(VLOOKUP($A47,'Matriz de Referencia'!$B$2:$CO$584,71,FALSE)=0,0,"Digite"))</f>
        <v>0</v>
      </c>
      <c r="GA47" s="454">
        <f>IF(OR('Parte Estrategica'!AT47=0,'Parte Estrategica'!AT47=""),0,IF(VLOOKUP($A47,'Matriz de Referencia'!$B$2:$CO$584,72,FALSE)=0,0,"Digite"))</f>
        <v>0</v>
      </c>
      <c r="GB47" s="454">
        <f>IF(OR('Parte Estrategica'!AT47=0,'Parte Estrategica'!AT47=""),0,IF(VLOOKUP($A47,'Matriz de Referencia'!$B$2:$CO$584,73,FALSE)=0,0,"Digite"))</f>
        <v>0</v>
      </c>
      <c r="GC47" s="454">
        <f>IF(OR('Parte Estrategica'!AT47=0,'Parte Estrategica'!AT47=""),0,IF(VLOOKUP($A47,'Matriz de Referencia'!$B$2:$CO$584,74,FALSE)=0,0,"Digite"))</f>
        <v>0</v>
      </c>
      <c r="GD47" s="382">
        <f t="shared" si="39"/>
        <v>0</v>
      </c>
      <c r="GE47" s="454">
        <f>IF(OR('Parte Estrategica'!AT47=0,'Parte Estrategica'!AT47=""),0,IF(VLOOKUP($A47,'Matriz de Referencia'!$B$2:$CO$584,76,FALSE)=0,0,"Digite"))</f>
        <v>0</v>
      </c>
      <c r="GF47" s="454">
        <f>IF(OR('Parte Estrategica'!AT47=0,'Parte Estrategica'!AT47=""),0,IF(VLOOKUP($A47,'Matriz de Referencia'!$B$2:$CO$584,77,FALSE)=0,0,"Digite"))</f>
        <v>0</v>
      </c>
      <c r="GG47" s="454">
        <f>IF(OR('Parte Estrategica'!AT47=0,'Parte Estrategica'!AT47=""),0,IF(VLOOKUP($A47,'Matriz de Referencia'!$B$2:$CO$584,78,FALSE)=0,0,"Digite"))</f>
        <v>0</v>
      </c>
      <c r="GH47" s="382">
        <f t="shared" si="40"/>
        <v>0</v>
      </c>
      <c r="GI47" s="382">
        <f t="shared" si="41"/>
        <v>0</v>
      </c>
      <c r="GJ47" s="453">
        <f>IF(OR('Parte Estrategica'!AU47=0,'Parte Estrategica'!AU47=""),0,IF(VLOOKUP($A47,'Matriz de Referencia'!$B$2:$CO$584,67,FALSE)=0,0,"Digite"))</f>
        <v>0</v>
      </c>
      <c r="GK47" s="454">
        <f>IF(OR('Parte Estrategica'!AU47=0,'Parte Estrategica'!AU47=""),0,IF(VLOOKUP($A47,'Matriz de Referencia'!$B$2:$CO$584,68,FALSE)=0,0,"Digite"))</f>
        <v>0</v>
      </c>
      <c r="GL47" s="454">
        <f>IF(OR('Parte Estrategica'!AU47=0,'Parte Estrategica'!AU47=""),0,IF(VLOOKUP($A47,'Matriz de Referencia'!$B$2:$CO$584,69,FALSE)=0,0,"Digite"))</f>
        <v>0</v>
      </c>
      <c r="GM47" s="454">
        <f>IF(OR('Parte Estrategica'!AU47=0,'Parte Estrategica'!AU47=""),0,IF(VLOOKUP($A47,'Matriz de Referencia'!$B$2:$CO$584,70,FALSE)=0,0,"Digite"))</f>
        <v>0</v>
      </c>
      <c r="GN47" s="454">
        <f>IF(OR('Parte Estrategica'!AU47=0,'Parte Estrategica'!AU47=""),0,IF(VLOOKUP($A47,'Matriz de Referencia'!$B$2:$CO$584,71,FALSE)=0,0,"Digite"))</f>
        <v>0</v>
      </c>
      <c r="GO47" s="454">
        <f>IF(OR('Parte Estrategica'!AU47=0,'Parte Estrategica'!AU47=""),0,IF(VLOOKUP($A47,'Matriz de Referencia'!$B$2:$CO$584,72,FALSE)=0,0,"Digite"))</f>
        <v>0</v>
      </c>
      <c r="GP47" s="454">
        <f>IF(OR('Parte Estrategica'!AU47=0,'Parte Estrategica'!AU47=""),0,IF(VLOOKUP($A47,'Matriz de Referencia'!$B$2:$CO$584,73,FALSE)=0,0,"Digite"))</f>
        <v>0</v>
      </c>
      <c r="GQ47" s="454">
        <f>IF(OR('Parte Estrategica'!AU47=0,'Parte Estrategica'!AU47=""),0,IF(VLOOKUP($A47,'Matriz de Referencia'!$B$2:$CO$584,74,FALSE)=0,0,"Digite"))</f>
        <v>0</v>
      </c>
      <c r="GR47" s="382">
        <f t="shared" si="42"/>
        <v>0</v>
      </c>
      <c r="GS47" s="454">
        <f>IF(OR('Parte Estrategica'!AU47=0,'Parte Estrategica'!AU47=""),0,IF(VLOOKUP($A47,'Matriz de Referencia'!$B$2:$CO$584,76,FALSE)=0,0,"Digite"))</f>
        <v>0</v>
      </c>
      <c r="GT47" s="454">
        <f>IF(OR('Parte Estrategica'!AU47=0,'Parte Estrategica'!AU47=""),0,IF(VLOOKUP($A47,'Matriz de Referencia'!$B$2:$CO$584,77,FALSE)=0,0,"Digite"))</f>
        <v>0</v>
      </c>
      <c r="GU47" s="454">
        <f>IF(OR('Parte Estrategica'!AU47=0,'Parte Estrategica'!AU47=""),0,IF(VLOOKUP($A47,'Matriz de Referencia'!$B$2:$CO$584,78,FALSE)=0,0,"Digite"))</f>
        <v>0</v>
      </c>
      <c r="GV47" s="382">
        <f t="shared" si="43"/>
        <v>0</v>
      </c>
      <c r="GW47" s="382">
        <f t="shared" si="44"/>
        <v>0</v>
      </c>
      <c r="GX47" s="453">
        <f>IF(OR('Parte Estrategica'!AV47=0,'Parte Estrategica'!AV47=""),0,IF(VLOOKUP($A47,'Matriz de Referencia'!$B$2:$CO$584,67,FALSE)=0,0,"Digite"))</f>
        <v>0</v>
      </c>
      <c r="GY47" s="454">
        <f>IF(OR('Parte Estrategica'!AV47=0,'Parte Estrategica'!AV47=""),0,IF(VLOOKUP($A47,'Matriz de Referencia'!$B$2:$CO$584,68,FALSE)=0,0,"Digite"))</f>
        <v>0</v>
      </c>
      <c r="GZ47" s="454">
        <f>IF(OR('Parte Estrategica'!AV47=0,'Parte Estrategica'!AV47=""),0,IF(VLOOKUP($A47,'Matriz de Referencia'!$B$2:$CO$584,69,FALSE)=0,0,"Digite"))</f>
        <v>0</v>
      </c>
      <c r="HA47" s="454">
        <f>IF(OR('Parte Estrategica'!AV47=0,'Parte Estrategica'!AV47=""),0,IF(VLOOKUP($A47,'Matriz de Referencia'!$B$2:$CO$584,70,FALSE)=0,0,"Digite"))</f>
        <v>0</v>
      </c>
      <c r="HB47" s="454">
        <f>IF(OR('Parte Estrategica'!AV47=0,'Parte Estrategica'!AV47=""),0,IF(VLOOKUP($A47,'Matriz de Referencia'!$B$2:$CO$584,71,FALSE)=0,0,"Digite"))</f>
        <v>0</v>
      </c>
      <c r="HC47" s="454">
        <f>IF(OR('Parte Estrategica'!AV47=0,'Parte Estrategica'!AV47=""),0,IF(VLOOKUP($A47,'Matriz de Referencia'!$B$2:$CO$584,72,FALSE)=0,0,"Digite"))</f>
        <v>0</v>
      </c>
      <c r="HD47" s="454">
        <f>IF(OR('Parte Estrategica'!AV47=0,'Parte Estrategica'!AV47=""),0,IF(VLOOKUP($A47,'Matriz de Referencia'!$B$2:$CO$584,73,FALSE)=0,0,"Digite"))</f>
        <v>0</v>
      </c>
      <c r="HE47" s="454">
        <f>IF(OR('Parte Estrategica'!AV47=0,'Parte Estrategica'!AV47=""),0,IF(VLOOKUP($A47,'Matriz de Referencia'!$B$2:$CO$584,74,FALSE)=0,0,"Digite"))</f>
        <v>0</v>
      </c>
      <c r="HF47" s="382">
        <f t="shared" si="45"/>
        <v>0</v>
      </c>
      <c r="HG47" s="454">
        <f>IF(OR('Parte Estrategica'!AV47=0,'Parte Estrategica'!AV47=""),0,IF(VLOOKUP($A47,'Matriz de Referencia'!$B$2:$CO$584,76,FALSE)=0,0,"Digite"))</f>
        <v>0</v>
      </c>
      <c r="HH47" s="454">
        <f>IF(OR('Parte Estrategica'!AV47=0,'Parte Estrategica'!AV47=""),0,IF(VLOOKUP($A47,'Matriz de Referencia'!$B$2:$CO$584,77,FALSE)=0,0,"Digite"))</f>
        <v>0</v>
      </c>
      <c r="HI47" s="454">
        <f>IF(OR('Parte Estrategica'!AV47=0,'Parte Estrategica'!AV47=""),0,IF(VLOOKUP($A47,'Matriz de Referencia'!$B$2:$CO$584,78,FALSE)=0,0,"Digite"))</f>
        <v>0</v>
      </c>
      <c r="HJ47" s="382">
        <f t="shared" si="46"/>
        <v>0</v>
      </c>
      <c r="HK47" s="382">
        <f t="shared" si="47"/>
        <v>0</v>
      </c>
      <c r="HL47" s="453">
        <f>IF(OR('Parte Estrategica'!AW47=0,'Parte Estrategica'!AW47=""),0,IF(VLOOKUP($A47,'Matriz de Referencia'!$B$2:$CO$584,67,FALSE)=0,0,"Digite"))</f>
        <v>0</v>
      </c>
      <c r="HM47" s="454">
        <f>IF(OR('Parte Estrategica'!AW47=0,'Parte Estrategica'!AW47=""),0,IF(VLOOKUP($A47,'Matriz de Referencia'!$B$2:$CO$584,68,FALSE)=0,0,"Digite"))</f>
        <v>0</v>
      </c>
      <c r="HN47" s="454">
        <f>IF(OR('Parte Estrategica'!AW47=0,'Parte Estrategica'!AW47=""),0,IF(VLOOKUP($A47,'Matriz de Referencia'!$B$2:$CO$584,69,FALSE)=0,0,"Digite"))</f>
        <v>0</v>
      </c>
      <c r="HO47" s="454">
        <f>IF(OR('Parte Estrategica'!AW47=0,'Parte Estrategica'!AW47=""),0,IF(VLOOKUP($A47,'Matriz de Referencia'!$B$2:$CO$584,70,FALSE)=0,0,"Digite"))</f>
        <v>0</v>
      </c>
      <c r="HP47" s="454">
        <f>IF(OR('Parte Estrategica'!AW47=0,'Parte Estrategica'!AW47=""),0,IF(VLOOKUP($A47,'Matriz de Referencia'!$B$2:$CO$584,71,FALSE)=0,0,"Digite"))</f>
        <v>0</v>
      </c>
      <c r="HQ47" s="454">
        <f>IF(OR('Parte Estrategica'!AW47=0,'Parte Estrategica'!AW47=""),0,IF(VLOOKUP($A47,'Matriz de Referencia'!$B$2:$CO$584,72,FALSE)=0,0,"Digite"))</f>
        <v>0</v>
      </c>
      <c r="HR47" s="454">
        <f>IF(OR('Parte Estrategica'!AW47=0,'Parte Estrategica'!AW47=""),0,IF(VLOOKUP($A47,'Matriz de Referencia'!$B$2:$CO$584,73,FALSE)=0,0,"Digite"))</f>
        <v>0</v>
      </c>
      <c r="HS47" s="454">
        <f>IF(OR('Parte Estrategica'!AW47=0,'Parte Estrategica'!AW47=""),0,IF(VLOOKUP($A47,'Matriz de Referencia'!$B$2:$CO$584,74,FALSE)=0,0,"Digite"))</f>
        <v>0</v>
      </c>
      <c r="HT47" s="382">
        <f t="shared" si="48"/>
        <v>0</v>
      </c>
      <c r="HU47" s="454">
        <f>IF(OR('Parte Estrategica'!AW47=0,'Parte Estrategica'!AW47=""),0,IF(VLOOKUP($A47,'Matriz de Referencia'!$B$2:$CO$584,76,FALSE)=0,0,"Digite"))</f>
        <v>0</v>
      </c>
      <c r="HV47" s="454">
        <f>IF(OR('Parte Estrategica'!AW47=0,'Parte Estrategica'!AW47=""),0,IF(VLOOKUP($A47,'Matriz de Referencia'!$B$2:$CO$584,77,FALSE)=0,0,"Digite"))</f>
        <v>0</v>
      </c>
      <c r="HW47" s="454">
        <f>IF(OR('Parte Estrategica'!AW47=0,'Parte Estrategica'!AW47=""),0,IF(VLOOKUP($A47,'Matriz de Referencia'!$B$2:$CO$584,78,FALSE)=0,0,"Digite"))</f>
        <v>0</v>
      </c>
      <c r="HX47" s="382">
        <f t="shared" si="49"/>
        <v>0</v>
      </c>
      <c r="HY47" s="382">
        <f t="shared" si="50"/>
        <v>0</v>
      </c>
      <c r="HZ47" s="382">
        <f t="shared" si="51"/>
        <v>0</v>
      </c>
      <c r="IA47" s="101" t="str">
        <f>IFERROR(IF(HZ47=0,"",IF(VLOOKUP($A47,'Matriz de Referencia'!$B$2:$CO$584,80,FALSE)=HZ47,"Techos ok, cotinue","Debe revisar el valor programado")),"")</f>
        <v/>
      </c>
      <c r="IB47" s="383">
        <f t="shared" si="52"/>
        <v>0</v>
      </c>
    </row>
    <row r="48" spans="1:236">
      <c r="A48" s="550" t="str">
        <f>IF('Parte Estrategica'!B48=0,"",'Parte Estrategica'!B48)</f>
        <v/>
      </c>
      <c r="B48" s="551" t="str">
        <f>IFERROR(VLOOKUP(A48,'Matriz de Referencia'!$B$2:$P$578,'Matriz de Referencia'!L$1,FALSE),"")</f>
        <v/>
      </c>
      <c r="C48" s="551" t="str">
        <f>IFERROR(VLOOKUP(A48,'Matriz de Referencia'!$B$2:$P$584,'Matriz de Referencia'!M$1,FALSE),"")</f>
        <v/>
      </c>
      <c r="D48" s="455" t="str">
        <f>IF(OR('Parte Estrategica'!AB48=0,'Parte Estrategica'!AB48=""),"",IF(VLOOKUP($A48,'Matriz de Referencia'!$B$2:$CO$584,'Matriz de Referencia'!Z$1,FALSE)=0,"","Digite"))</f>
        <v/>
      </c>
      <c r="E48" s="456">
        <f>IF(OR('Parte Estrategica'!AB48=0,'Parte Estrategica'!AB48=""),0,IF(VLOOKUP($A48,'Matriz de Referencia'!$B$2:$CO$584,26,FALSE)=0,0,"Digite"))</f>
        <v>0</v>
      </c>
      <c r="F48" s="456">
        <f>IF(OR('Parte Estrategica'!AB48=0,'Parte Estrategica'!AB48=""),0,IF(VLOOKUP($A48,'Matriz de Referencia'!$B$2:$CO$584,27,FALSE)=0,0,"Digite"))</f>
        <v>0</v>
      </c>
      <c r="G48" s="456">
        <f>IF(OR('Parte Estrategica'!AB48=0,'Parte Estrategica'!AB48=""),0,IF(VLOOKUP($A48,'Matriz de Referencia'!$B$2:$CO$584,28,FALSE)=0,0,"Digite"))</f>
        <v>0</v>
      </c>
      <c r="H48" s="456">
        <f>IF(OR('Parte Estrategica'!AB48=0,'Parte Estrategica'!AB48=""),0,IF(VLOOKUP($A48,'Matriz de Referencia'!$B$2:$CO$584,29,FALSE)=0,0,"Digite"))</f>
        <v>0</v>
      </c>
      <c r="I48" s="456">
        <f>IF(OR('Parte Estrategica'!AB48=0,'Parte Estrategica'!AB48=""),0,IF(VLOOKUP($A48,'Matriz de Referencia'!$B$2:$CO$584,30,FALSE)=0,0,"Digite"))</f>
        <v>0</v>
      </c>
      <c r="J48" s="456">
        <f>IF(OR('Parte Estrategica'!AB48=0,'Parte Estrategica'!AB48=""),0,IF(VLOOKUP($A48,'Matriz de Referencia'!$B$2:$CO$584,31,FALSE)=0,0,"Digite"))</f>
        <v>0</v>
      </c>
      <c r="K48" s="456">
        <f>IF(OR('Parte Estrategica'!AB48=0,'Parte Estrategica'!AB48=""),0,IF(VLOOKUP($A48,'Matriz de Referencia'!$B$2:$CO$584,32,FALSE)=0,0,"Digite"))</f>
        <v>0</v>
      </c>
      <c r="L48" s="460">
        <f t="shared" si="0"/>
        <v>0</v>
      </c>
      <c r="M48" s="456">
        <f>IF(OR('Parte Estrategica'!AB48=0,'Parte Estrategica'!AB48=""),0,IF(VLOOKUP($A48,'Matriz de Referencia'!$B$2:$CO$584,34,FALSE)=0,0,"Digite"))</f>
        <v>0</v>
      </c>
      <c r="N48" s="456">
        <f>IF(OR('Parte Estrategica'!AB48=0,'Parte Estrategica'!AB48=""),0,IF(VLOOKUP($A48,'Matriz de Referencia'!$B$2:$CO$584,35,FALSE)=0,0,"Digite"))</f>
        <v>0</v>
      </c>
      <c r="O48" s="456">
        <f>IF(OR('Parte Estrategica'!AB48=0,'Parte Estrategica'!AB48=""),0,IF(VLOOKUP($A48,'Matriz de Referencia'!$B$2:$CO$584,36,FALSE)=0,0,"Digite"))</f>
        <v>0</v>
      </c>
      <c r="P48" s="457">
        <f t="shared" si="1"/>
        <v>0</v>
      </c>
      <c r="Q48" s="457">
        <f t="shared" si="2"/>
        <v>0</v>
      </c>
      <c r="R48" s="455">
        <f>IF(OR('Parte Estrategica'!AC48=0,'Parte Estrategica'!AC48=""),0,IF(VLOOKUP($A48,'Matriz de Referencia'!$B$2:$CO$584,25,FALSE)=0,0,"Digite"))</f>
        <v>0</v>
      </c>
      <c r="S48" s="456">
        <f>IF(OR('Parte Estrategica'!AC48=0,'Parte Estrategica'!AC48=""),0,IF(VLOOKUP($A48,'Matriz de Referencia'!$B$2:$CO$584,26,FALSE)=0,0,"Digite"))</f>
        <v>0</v>
      </c>
      <c r="T48" s="456">
        <f>IF(OR('Parte Estrategica'!AC48=0,'Parte Estrategica'!AC48=""),0,IF(VLOOKUP($A48,'Matriz de Referencia'!$B$2:$CO$584,27,FALSE)=0,0,"Digite"))</f>
        <v>0</v>
      </c>
      <c r="U48" s="456">
        <f>IF(OR('Parte Estrategica'!AC48=0,'Parte Estrategica'!AC48=""),0,IF(VLOOKUP($A48,'Matriz de Referencia'!$B$2:$CO$584,28,FALSE)=0,0,"Digite"))</f>
        <v>0</v>
      </c>
      <c r="V48" s="456">
        <f>IF(OR('Parte Estrategica'!AC48=0,'Parte Estrategica'!AC48=""),0,IF(VLOOKUP($A48,'Matriz de Referencia'!$B$2:$CO$584,29,FALSE)=0,0,"Digite"))</f>
        <v>0</v>
      </c>
      <c r="W48" s="456">
        <f>IF(OR('Parte Estrategica'!AC48=0,'Parte Estrategica'!AC48=""),0,IF(VLOOKUP($A48,'Matriz de Referencia'!$B$2:$CO$584,30,FALSE)=0,0,"Digite"))</f>
        <v>0</v>
      </c>
      <c r="X48" s="456">
        <f>IF(OR('Parte Estrategica'!AC48=0,'Parte Estrategica'!AC48=""),0,IF(VLOOKUP($A48,'Matriz de Referencia'!$B$2:$CO$584,31,FALSE)=0,0,"Digite"))</f>
        <v>0</v>
      </c>
      <c r="Y48" s="456">
        <f>IF(OR('Parte Estrategica'!AC48=0,'Parte Estrategica'!AC48=""),0,IF(VLOOKUP($A48,'Matriz de Referencia'!$B$2:$CO$584,32,FALSE)=0,0,"Digite"))</f>
        <v>0</v>
      </c>
      <c r="Z48" s="457">
        <f t="shared" si="3"/>
        <v>0</v>
      </c>
      <c r="AA48" s="456">
        <f>IF(OR('Parte Estrategica'!AC48=0,'Parte Estrategica'!AC48=""),0,IF(VLOOKUP($A48,'Matriz de Referencia'!$B$2:$CO$584,34,FALSE)=0,0,"Digite"))</f>
        <v>0</v>
      </c>
      <c r="AB48" s="456">
        <f>IF(OR('Parte Estrategica'!AC48=0,'Parte Estrategica'!AC48=""),0,IF(VLOOKUP($A48,'Matriz de Referencia'!$B$2:$CO$584,35,FALSE)=0,0,"Digite"))</f>
        <v>0</v>
      </c>
      <c r="AC48" s="456">
        <f>IF(OR('Parte Estrategica'!AC48=0,'Parte Estrategica'!AC48=""),0,IF(VLOOKUP($A48,'Matriz de Referencia'!$B$2:$CO$584,36,FALSE)=0,0,"Digite"))</f>
        <v>0</v>
      </c>
      <c r="AD48" s="457">
        <f t="shared" si="4"/>
        <v>0</v>
      </c>
      <c r="AE48" s="457">
        <f t="shared" si="5"/>
        <v>0</v>
      </c>
      <c r="AF48" s="455">
        <f>IF(OR('Parte Estrategica'!AD48=0,'Parte Estrategica'!AD48=""),0,IF(VLOOKUP($A48,'Matriz de Referencia'!$B$2:$CO$584,25,FALSE)=0,0,"Digite"))</f>
        <v>0</v>
      </c>
      <c r="AG48" s="456">
        <f>IF(OR('Parte Estrategica'!AD48=0,'Parte Estrategica'!AD48=""),0,IF(VLOOKUP($A48,'Matriz de Referencia'!$B$2:$CO$584,26,FALSE)=0,0,"Digite"))</f>
        <v>0</v>
      </c>
      <c r="AH48" s="456">
        <f>IF(OR('Parte Estrategica'!AD48=0,'Parte Estrategica'!AD48=""),0,IF(VLOOKUP($A48,'Matriz de Referencia'!$B$2:$CO$584,27,FALSE)=0,0,"Digite"))</f>
        <v>0</v>
      </c>
      <c r="AI48" s="456">
        <f>IF(OR('Parte Estrategica'!AD48=0,'Parte Estrategica'!AD48=""),0,IF(VLOOKUP($A48,'Matriz de Referencia'!$B$2:$CO$584,28,FALSE)=0,0,"Digite"))</f>
        <v>0</v>
      </c>
      <c r="AJ48" s="456">
        <f>IF(OR('Parte Estrategica'!AD48=0,'Parte Estrategica'!AD48=""),0,IF(VLOOKUP($A48,'Matriz de Referencia'!$B$2:$CO$584,29,FALSE)=0,0,"Digite"))</f>
        <v>0</v>
      </c>
      <c r="AK48" s="456">
        <f>IF(OR('Parte Estrategica'!AD48=0,'Parte Estrategica'!AD48=""),0,IF(VLOOKUP($A48,'Matriz de Referencia'!$B$2:$CO$584,30,FALSE)=0,0,"Digite"))</f>
        <v>0</v>
      </c>
      <c r="AL48" s="456">
        <f>IF(OR('Parte Estrategica'!AD48=0,'Parte Estrategica'!AD48=""),0,IF(VLOOKUP($A48,'Matriz de Referencia'!$B$2:$CO$584,31,FALSE)=0,0,"Digite"))</f>
        <v>0</v>
      </c>
      <c r="AM48" s="456">
        <f>IF(OR('Parte Estrategica'!AD48=0,'Parte Estrategica'!AD48=""),0,IF(VLOOKUP($A48,'Matriz de Referencia'!$B$2:$CO$584,32,FALSE)=0,0,"Digite"))</f>
        <v>0</v>
      </c>
      <c r="AN48" s="457">
        <f t="shared" si="6"/>
        <v>0</v>
      </c>
      <c r="AO48" s="456">
        <f>IF(OR('Parte Estrategica'!AD48=0,'Parte Estrategica'!AD48=""),0,IF(VLOOKUP($A48,'Matriz de Referencia'!$B$2:$CO$584,34,FALSE)=0,0,"Digite"))</f>
        <v>0</v>
      </c>
      <c r="AP48" s="456">
        <f>IF(OR('Parte Estrategica'!AD48=0,'Parte Estrategica'!AD48=""),0,IF(VLOOKUP($A48,'Matriz de Referencia'!$B$2:$CO$584,35,FALSE)=0,0,"Digite"))</f>
        <v>0</v>
      </c>
      <c r="AQ48" s="456">
        <f>IF(OR('Parte Estrategica'!AD48=0,'Parte Estrategica'!AD48=""),0,IF(VLOOKUP($A48,'Matriz de Referencia'!$B$2:$CO$584,36,FALSE)=0,0,"Digite"))</f>
        <v>0</v>
      </c>
      <c r="AR48" s="457">
        <f t="shared" si="7"/>
        <v>0</v>
      </c>
      <c r="AS48" s="457">
        <f t="shared" si="8"/>
        <v>0</v>
      </c>
      <c r="AT48" s="455">
        <f>IF(OR('Parte Estrategica'!AE48=0,'Parte Estrategica'!AE48=""),0,IF(VLOOKUP($A48,'Matriz de Referencia'!$B$2:$CO$584,25,FALSE)=0,0,"Digite"))</f>
        <v>0</v>
      </c>
      <c r="AU48" s="456">
        <f>IF(OR('Parte Estrategica'!AE48=0,'Parte Estrategica'!AE48=""),0,IF(VLOOKUP($A48,'Matriz de Referencia'!$B$2:$CO$584,26,FALSE)=0,0,"Digite"))</f>
        <v>0</v>
      </c>
      <c r="AV48" s="456">
        <f>IF(OR('Parte Estrategica'!AE48=0,'Parte Estrategica'!AE48=""),0,IF(VLOOKUP($A48,'Matriz de Referencia'!$B$2:$CO$584,27,FALSE)=0,0,"Digite"))</f>
        <v>0</v>
      </c>
      <c r="AW48" s="456">
        <f>IF(OR('Parte Estrategica'!AE48=0,'Parte Estrategica'!AE48=""),0,IF(VLOOKUP($A48,'Matriz de Referencia'!$B$2:$CO$584,28,FALSE)=0,0,"Digite"))</f>
        <v>0</v>
      </c>
      <c r="AX48" s="456">
        <f>IF(OR('Parte Estrategica'!AE48=0,'Parte Estrategica'!AE48=""),0,IF(VLOOKUP($A48,'Matriz de Referencia'!$B$2:$CO$584,29,FALSE)=0,0,"Digite"))</f>
        <v>0</v>
      </c>
      <c r="AY48" s="456">
        <f>IF(OR('Parte Estrategica'!AE48=0,'Parte Estrategica'!AE48=""),0,IF(VLOOKUP($A48,'Matriz de Referencia'!$B$2:$CO$584,30,FALSE)=0,0,"Digite"))</f>
        <v>0</v>
      </c>
      <c r="AZ48" s="456">
        <f>IF(OR('Parte Estrategica'!AE48=0,'Parte Estrategica'!AE48=""),0,IF(VLOOKUP($A48,'Matriz de Referencia'!$B$2:$CO$584,31,FALSE)=0,0,"Digite"))</f>
        <v>0</v>
      </c>
      <c r="BA48" s="456">
        <f>IF(OR('Parte Estrategica'!AE48=0,'Parte Estrategica'!AE48=""),0,IF(VLOOKUP($A48,'Matriz de Referencia'!$B$2:$CO$584,32,FALSE)=0,0,"Digite"))</f>
        <v>0</v>
      </c>
      <c r="BB48" s="457">
        <f t="shared" si="9"/>
        <v>0</v>
      </c>
      <c r="BC48" s="456">
        <f>IF(OR('Parte Estrategica'!AE48=0,'Parte Estrategica'!AE48=""),0,IF(VLOOKUP($A48,'Matriz de Referencia'!$B$2:$CO$584,34,FALSE)=0,0,"Digite"))</f>
        <v>0</v>
      </c>
      <c r="BD48" s="456">
        <f>IF(OR('Parte Estrategica'!AE48=0,'Parte Estrategica'!AE48=""),0,IF(VLOOKUP($A48,'Matriz de Referencia'!$B$2:$CO$584,35,FALSE)=0,0,"Digite"))</f>
        <v>0</v>
      </c>
      <c r="BE48" s="456">
        <f>IF(OR('Parte Estrategica'!AE48=0,'Parte Estrategica'!AE48=""),0,IF(VLOOKUP($A48,'Matriz de Referencia'!$B$2:$CO$584,36,FALSE)=0,0,"Digite"))</f>
        <v>0</v>
      </c>
      <c r="BF48" s="457">
        <f t="shared" si="10"/>
        <v>0</v>
      </c>
      <c r="BG48" s="457">
        <f t="shared" si="11"/>
        <v>0</v>
      </c>
      <c r="BH48" s="457">
        <f t="shared" si="12"/>
        <v>0</v>
      </c>
      <c r="BI48" s="101" t="str">
        <f>IFERROR(IF(BH48=0,"",IF(VLOOKUP($A48,'Matriz de Referencia'!$B$2:$CO$584,'Matriz de Referencia'!AM$1,FALSE)=BH48,"Techos ok, cotinue","Debe revisar el valor programado")),"")</f>
        <v/>
      </c>
      <c r="BJ48" s="453">
        <f>IF(OR('Parte Estrategica'!AH48=0,'Parte Estrategica'!AH48=""),0,IF(VLOOKUP($A48,'Matriz de Referencia'!$B$2:$CO$584,39,FALSE)=0,0,"Digite"))</f>
        <v>0</v>
      </c>
      <c r="BK48" s="454">
        <f>IF(OR('Parte Estrategica'!AH48=0,'Parte Estrategica'!AH48=""),0,IF(VLOOKUP($A48,'Matriz de Referencia'!$B$2:$CO$584,40,FALSE)=0,0,"Digite"))</f>
        <v>0</v>
      </c>
      <c r="BL48" s="454">
        <f>IF(OR('Parte Estrategica'!AH48=0,'Parte Estrategica'!AH48=""),0,IF(VLOOKUP($A48,'Matriz de Referencia'!$B$2:$CO$584,41,FALSE)=0,0,"Digite"))</f>
        <v>0</v>
      </c>
      <c r="BM48" s="454">
        <f>IF(OR('Parte Estrategica'!AH48=0,'Parte Estrategica'!AH48=""),0,IF(VLOOKUP($A48,'Matriz de Referencia'!$B$2:$CO$584,42,FALSE)=0,0,"Digite"))</f>
        <v>0</v>
      </c>
      <c r="BN48" s="454">
        <f>IF(OR('Parte Estrategica'!AH48=0,'Parte Estrategica'!AH48=""),0,IF(VLOOKUP($A48,'Matriz de Referencia'!$B$2:$CO$584,43,FALSE)=0,0,"Digite"))</f>
        <v>0</v>
      </c>
      <c r="BO48" s="454">
        <f>IF(OR('Parte Estrategica'!AH48=0,'Parte Estrategica'!AH48=""),0,IF(VLOOKUP($A48,'Matriz de Referencia'!$B$2:$CO$584,44,FALSE)=0,0,"Digite"))</f>
        <v>0</v>
      </c>
      <c r="BP48" s="454">
        <f>IF(OR('Parte Estrategica'!AH48=0,'Parte Estrategica'!AH48=""),0,IF(VLOOKUP($A48,'Matriz de Referencia'!$B$2:$CO$584,45,FALSE)=0,0,"Digite"))</f>
        <v>0</v>
      </c>
      <c r="BQ48" s="454">
        <f>IF(OR('Parte Estrategica'!AH48=0,'Parte Estrategica'!AH48=""),0,IF(VLOOKUP($A48,'Matriz de Referencia'!$B$2:$CO$584,46,FALSE)=0,0,"Digite"))</f>
        <v>0</v>
      </c>
      <c r="BR48" s="382">
        <f t="shared" si="13"/>
        <v>0</v>
      </c>
      <c r="BS48" s="454">
        <f>IF(OR('Parte Estrategica'!CL48=0,'Parte Estrategica'!CL48=""),0,IF(VLOOKUP($A48,'Matriz de Referencia'!$B$2:$CO$584,48,FALSE)=0,0,"Digite"))</f>
        <v>0</v>
      </c>
      <c r="BT48" s="454">
        <f>IF(OR('Parte Estrategica'!CL48=0,'Parte Estrategica'!CL48=""),0,IF(VLOOKUP($A48,'Matriz de Referencia'!$B$2:$CO$584,49,FALSE)=0,0,"Digite"))</f>
        <v>0</v>
      </c>
      <c r="BU48" s="454">
        <f>IF(OR('Parte Estrategica'!CL48=0,'Parte Estrategica'!CL48=""),0,IF(VLOOKUP($A48,'Matriz de Referencia'!$B$2:$CO$584,50,FALSE)=0,0,"Digite"))</f>
        <v>0</v>
      </c>
      <c r="BV48" s="382">
        <f t="shared" si="14"/>
        <v>0</v>
      </c>
      <c r="BW48" s="382">
        <f t="shared" si="15"/>
        <v>0</v>
      </c>
      <c r="BX48" s="453">
        <f>IF(OR('Parte Estrategica'!AI48=0,'Parte Estrategica'!AI48=""),0,IF(VLOOKUP($A48,'Matriz de Referencia'!$B$2:$CO$584,39,FALSE)=0,0,"Digite"))</f>
        <v>0</v>
      </c>
      <c r="BY48" s="454">
        <f>IF(OR('Parte Estrategica'!AI48=0,'Parte Estrategica'!AI48=""),0,IF(VLOOKUP($A48,'Matriz de Referencia'!$B$2:$CO$584,40,FALSE)=0,0,"Digite"))</f>
        <v>0</v>
      </c>
      <c r="BZ48" s="454">
        <f>IF(OR('Parte Estrategica'!AI48=0,'Parte Estrategica'!AI48=""),0,IF(VLOOKUP($A48,'Matriz de Referencia'!$B$2:$CO$584,41,FALSE)=0,0,"Digite"))</f>
        <v>0</v>
      </c>
      <c r="CA48" s="454">
        <f>IF(OR('Parte Estrategica'!AI48=0,'Parte Estrategica'!AI48=""),0,IF(VLOOKUP($A48,'Matriz de Referencia'!$B$2:$CO$584,42,FALSE)=0,0,"Digite"))</f>
        <v>0</v>
      </c>
      <c r="CB48" s="454">
        <f>IF(OR('Parte Estrategica'!AI48=0,'Parte Estrategica'!AI48=""),0,IF(VLOOKUP($A48,'Matriz de Referencia'!$B$2:$CO$584,43,FALSE)=0,0,"Digite"))</f>
        <v>0</v>
      </c>
      <c r="CC48" s="454">
        <f>IF(OR('Parte Estrategica'!AI48=0,'Parte Estrategica'!AI48=""),0,IF(VLOOKUP($A48,'Matriz de Referencia'!$B$2:$CO$584,44,FALSE)=0,0,"Digite"))</f>
        <v>0</v>
      </c>
      <c r="CD48" s="454">
        <f>IF(OR('Parte Estrategica'!AI48=0,'Parte Estrategica'!AI48=""),0,IF(VLOOKUP($A48,'Matriz de Referencia'!$B$2:$CO$584,45,FALSE)=0,0,"Digite"))</f>
        <v>0</v>
      </c>
      <c r="CE48" s="454">
        <f>IF(OR('Parte Estrategica'!AI48=0,'Parte Estrategica'!AI48=""),0,IF(VLOOKUP($A48,'Matriz de Referencia'!$B$2:$CO$584,46,FALSE)=0,0,"Digite"))</f>
        <v>0</v>
      </c>
      <c r="CF48" s="382">
        <f t="shared" si="16"/>
        <v>0</v>
      </c>
      <c r="CG48" s="454">
        <f>IF(OR('Parte Estrategica'!AI48=0,'Parte Estrategica'!AI48=""),0,IF(VLOOKUP($A48,'Matriz de Referencia'!$B$2:$CO$584,48,FALSE)=0,0,"Digite"))</f>
        <v>0</v>
      </c>
      <c r="CH48" s="454">
        <f>IF(OR('Parte Estrategica'!AI48=0,'Parte Estrategica'!AI48=""),0,IF(VLOOKUP($A48,'Matriz de Referencia'!$B$2:$CO$584,49,FALSE)=0,0,"Digite"))</f>
        <v>0</v>
      </c>
      <c r="CI48" s="454">
        <f>IF(OR('Parte Estrategica'!AI48=0,'Parte Estrategica'!AI48=""),0,IF(VLOOKUP($A48,'Matriz de Referencia'!$B$2:$CO$584,50,FALSE)=0,0,"Digite"))</f>
        <v>0</v>
      </c>
      <c r="CJ48" s="382">
        <f t="shared" si="17"/>
        <v>0</v>
      </c>
      <c r="CK48" s="382">
        <f t="shared" si="18"/>
        <v>0</v>
      </c>
      <c r="CL48" s="453">
        <f>IF(OR('Parte Estrategica'!AJ48=0,'Parte Estrategica'!AJ48=""),0,IF(VLOOKUP($A48,'Matriz de Referencia'!$B$2:$CO$584,39,FALSE)=0,0,"Digite"))</f>
        <v>0</v>
      </c>
      <c r="CM48" s="454">
        <f>IF(OR('Parte Estrategica'!AJ48=0,'Parte Estrategica'!AJ48=""),0,IF(VLOOKUP($A48,'Matriz de Referencia'!$B$2:$CO$584,40,FALSE)=0,0,"Digite"))</f>
        <v>0</v>
      </c>
      <c r="CN48" s="454">
        <f>IF(OR('Parte Estrategica'!AJ48=0,'Parte Estrategica'!AJ48=""),0,IF(VLOOKUP($A48,'Matriz de Referencia'!$B$2:$CO$584,41,FALSE)=0,0,"Digite"))</f>
        <v>0</v>
      </c>
      <c r="CO48" s="454">
        <f>IF(OR('Parte Estrategica'!AJ48=0,'Parte Estrategica'!AJ48=""),0,IF(VLOOKUP($A48,'Matriz de Referencia'!$B$2:$CO$584,42,FALSE)=0,0,"Digite"))</f>
        <v>0</v>
      </c>
      <c r="CP48" s="454">
        <f>IF(OR('Parte Estrategica'!AJ48=0,'Parte Estrategica'!AJ48=""),0,IF(VLOOKUP($A48,'Matriz de Referencia'!$B$2:$CO$584,43,FALSE)=0,0,"Digite"))</f>
        <v>0</v>
      </c>
      <c r="CQ48" s="454">
        <f>IF(OR('Parte Estrategica'!AJ48=0,'Parte Estrategica'!AJ48=""),0,IF(VLOOKUP($A48,'Matriz de Referencia'!$B$2:$CO$584,44,FALSE)=0,0,"Digite"))</f>
        <v>0</v>
      </c>
      <c r="CR48" s="454">
        <f>IF(OR('Parte Estrategica'!AJ48=0,'Parte Estrategica'!AJ48=""),0,IF(VLOOKUP($A48,'Matriz de Referencia'!$B$2:$CO$584,45,FALSE)=0,0,"Digite"))</f>
        <v>0</v>
      </c>
      <c r="CS48" s="454">
        <f>IF(OR('Parte Estrategica'!AJ48=0,'Parte Estrategica'!AJ48=""),0,IF(VLOOKUP($A48,'Matriz de Referencia'!$B$2:$CO$584,46,FALSE)=0,0,"Digite"))</f>
        <v>0</v>
      </c>
      <c r="CT48" s="382">
        <f t="shared" si="19"/>
        <v>0</v>
      </c>
      <c r="CU48" s="454">
        <f>IF(OR('Parte Estrategica'!AJ48=0,'Parte Estrategica'!AJ48=""),0,IF(VLOOKUP($A48,'Matriz de Referencia'!$B$2:$CO$584,48,FALSE)=0,0,"Digite"))</f>
        <v>0</v>
      </c>
      <c r="CV48" s="454">
        <f>IF(OR('Parte Estrategica'!AJ48=0,'Parte Estrategica'!AJ48=""),0,IF(VLOOKUP($A48,'Matriz de Referencia'!$B$2:$CO$584,49,FALSE)=0,0,"Digite"))</f>
        <v>0</v>
      </c>
      <c r="CW48" s="454">
        <f>IF(OR('Parte Estrategica'!AJ48=0,'Parte Estrategica'!AJ48=""),0,IF(VLOOKUP($A48,'Matriz de Referencia'!$B$2:$CO$584,50,FALSE)=0,0,"Digite"))</f>
        <v>0</v>
      </c>
      <c r="CX48" s="382">
        <f t="shared" si="20"/>
        <v>0</v>
      </c>
      <c r="CY48" s="382">
        <f t="shared" si="21"/>
        <v>0</v>
      </c>
      <c r="CZ48" s="453">
        <f>IF(OR('Parte Estrategica'!AK48=0,'Parte Estrategica'!AK48=""),0,IF(VLOOKUP($A48,'Matriz de Referencia'!$B$2:$CO$584,39,FALSE)=0,0,"Digite"))</f>
        <v>0</v>
      </c>
      <c r="DA48" s="454">
        <f>IF(OR('Parte Estrategica'!AK48=0,'Parte Estrategica'!AK48=""),0,IF(VLOOKUP($A48,'Matriz de Referencia'!$B$2:$CO$584,40,FALSE)=0,0,"Digite"))</f>
        <v>0</v>
      </c>
      <c r="DB48" s="454">
        <f>IF(OR('Parte Estrategica'!AK48=0,'Parte Estrategica'!AK48=""),0,IF(VLOOKUP($A48,'Matriz de Referencia'!$B$2:$CO$584,41,FALSE)=0,0,"Digite"))</f>
        <v>0</v>
      </c>
      <c r="DC48" s="454">
        <f>IF(OR('Parte Estrategica'!AK48=0,'Parte Estrategica'!AK48=""),0,IF(VLOOKUP($A48,'Matriz de Referencia'!$B$2:$CO$584,42,FALSE)=0,0,"Digite"))</f>
        <v>0</v>
      </c>
      <c r="DD48" s="454">
        <f>IF(OR('Parte Estrategica'!AK48=0,'Parte Estrategica'!AK48=""),0,IF(VLOOKUP($A48,'Matriz de Referencia'!$B$2:$CO$584,43,FALSE)=0,0,"Digite"))</f>
        <v>0</v>
      </c>
      <c r="DE48" s="454">
        <f>IF(OR('Parte Estrategica'!AK48=0,'Parte Estrategica'!AK48=""),0,IF(VLOOKUP($A48,'Matriz de Referencia'!$B$2:$CO$584,44,FALSE)=0,0,"Digite"))</f>
        <v>0</v>
      </c>
      <c r="DF48" s="454">
        <f>IF(OR('Parte Estrategica'!AK48=0,'Parte Estrategica'!AK48=""),0,IF(VLOOKUP($A48,'Matriz de Referencia'!$B$2:$CO$584,45,FALSE)=0,0,"Digite"))</f>
        <v>0</v>
      </c>
      <c r="DG48" s="454">
        <f>IF(OR('Parte Estrategica'!AK48=0,'Parte Estrategica'!AK48=""),0,IF(VLOOKUP($A48,'Matriz de Referencia'!$B$2:$CO$584,46,FALSE)=0,0,"Digite"))</f>
        <v>0</v>
      </c>
      <c r="DH48" s="382">
        <f t="shared" si="22"/>
        <v>0</v>
      </c>
      <c r="DI48" s="454">
        <f>IF(OR('Parte Estrategica'!AK48=0,'Parte Estrategica'!AK48=""),0,IF(VLOOKUP($A48,'Matriz de Referencia'!$B$2:$CO$584,48,FALSE)=0,0,"Digite"))</f>
        <v>0</v>
      </c>
      <c r="DJ48" s="454">
        <f>IF(OR('Parte Estrategica'!AK48=0,'Parte Estrategica'!AK48=""),0,IF(VLOOKUP($A48,'Matriz de Referencia'!$B$2:$CO$584,49,FALSE)=0,0,"Digite"))</f>
        <v>0</v>
      </c>
      <c r="DK48" s="454">
        <f>IF(OR('Parte Estrategica'!AK48=0,'Parte Estrategica'!AK48=""),0,IF(VLOOKUP($A48,'Matriz de Referencia'!$B$2:$CO$584,50,FALSE)=0,0,"Digite"))</f>
        <v>0</v>
      </c>
      <c r="DL48" s="382">
        <f t="shared" si="23"/>
        <v>0</v>
      </c>
      <c r="DM48" s="382">
        <f t="shared" si="24"/>
        <v>0</v>
      </c>
      <c r="DN48" s="382">
        <f t="shared" si="25"/>
        <v>0</v>
      </c>
      <c r="DO48" s="101" t="str">
        <f>IFERROR(IF(DN48=0,"",IF(VLOOKUP($A48,'Matriz de Referencia'!$B$2:$CO$584,52,FALSE)=DN48,"Techos ok, cotinue","Debe revisar el valor programado")),"")</f>
        <v/>
      </c>
      <c r="DP48" s="453">
        <f>IF(OR('Parte Estrategica'!AN48=0,'Parte Estrategica'!AN48=""),0,IF(VLOOKUP($A48,'Matriz de Referencia'!$B$2:$CO$584,53,FALSE)=0,0,"Digite"))</f>
        <v>0</v>
      </c>
      <c r="DQ48" s="454">
        <f>IF(OR('Parte Estrategica'!AN48=0,'Parte Estrategica'!AN48=""),0,IF(VLOOKUP($A48,'Matriz de Referencia'!$B$2:$CO$584,54,FALSE)=0,0,"Digite"))</f>
        <v>0</v>
      </c>
      <c r="DR48" s="454">
        <f>IF(OR('Parte Estrategica'!AN48=0,'Parte Estrategica'!AN48=""),0,IF(VLOOKUP($A48,'Matriz de Referencia'!$B$2:$CO$584,55,FALSE)=0,0,"Digite"))</f>
        <v>0</v>
      </c>
      <c r="DS48" s="454">
        <f>IF(OR('Parte Estrategica'!AN48=0,'Parte Estrategica'!AN48=""),0,IF(VLOOKUP($A48,'Matriz de Referencia'!$B$2:$CO$584,56,FALSE)=0,0,"Digite"))</f>
        <v>0</v>
      </c>
      <c r="DT48" s="454">
        <f>IF(OR('Parte Estrategica'!AN48=0,'Parte Estrategica'!AN48=""),0,IF(VLOOKUP($A48,'Matriz de Referencia'!$B$2:$CO$584,57,FALSE)=0,0,"Digite"))</f>
        <v>0</v>
      </c>
      <c r="DU48" s="454">
        <f>IF(OR('Parte Estrategica'!AN48=0,'Parte Estrategica'!AN48=""),0,IF(VLOOKUP($A48,'Matriz de Referencia'!$B$2:$CO$584,58,FALSE)=0,0,"Digite"))</f>
        <v>0</v>
      </c>
      <c r="DV48" s="454">
        <f>IF(OR('Parte Estrategica'!AN48=0,'Parte Estrategica'!AN48=""),0,IF(VLOOKUP($A48,'Matriz de Referencia'!$B$2:$CO$584,59,FALSE)=0,0,"Digite"))</f>
        <v>0</v>
      </c>
      <c r="DW48" s="454">
        <f>IF(OR('Parte Estrategica'!AN48=0,'Parte Estrategica'!AN48=""),0,IF(VLOOKUP($A48,'Matriz de Referencia'!$B$2:$CO$584,60,FALSE)=0,0,"Digite"))</f>
        <v>0</v>
      </c>
      <c r="DX48" s="382">
        <f t="shared" si="26"/>
        <v>0</v>
      </c>
      <c r="DY48" s="454">
        <f>IF(OR('Parte Estrategica'!AN48=0,'Parte Estrategica'!AN48=""),0,IF(VLOOKUP($A48,'Matriz de Referencia'!$B$2:$CO$584,62,FALSE)=0,0,"Digite"))</f>
        <v>0</v>
      </c>
      <c r="DZ48" s="454">
        <f>IF(OR('Parte Estrategica'!AN48=0,'Parte Estrategica'!AN48=""),0,IF(VLOOKUP($A48,'Matriz de Referencia'!$B$2:$CO$584,63,FALSE)=0,0,"Digite"))</f>
        <v>0</v>
      </c>
      <c r="EA48" s="454" t="str">
        <f>IF(OR('Parte Estrategica'!AN48=0,'Parte Estrategica'!AN48=""),"",IF(VLOOKUP($A48,'Matriz de Referencia'!$B$2:$CO$584,64,FALSE)=0,"","Digite"))</f>
        <v/>
      </c>
      <c r="EB48" s="382">
        <f t="shared" si="27"/>
        <v>0</v>
      </c>
      <c r="EC48" s="382">
        <f t="shared" si="28"/>
        <v>0</v>
      </c>
      <c r="ED48" s="453">
        <f>IF(OR('Parte Estrategica'!AO48=0,'Parte Estrategica'!AO48=""),0,IF(VLOOKUP($A48,'Matriz de Referencia'!$B$2:$CO$584,53,FALSE)=0,0,"Digite"))</f>
        <v>0</v>
      </c>
      <c r="EE48" s="454">
        <f>IF(OR('Parte Estrategica'!AO48=0,'Parte Estrategica'!AO48=""),0,IF(VLOOKUP($A48,'Matriz de Referencia'!$B$2:$CO$584,54,FALSE)=0,0,"Digite"))</f>
        <v>0</v>
      </c>
      <c r="EF48" s="454">
        <f>IF(OR('Parte Estrategica'!AO48=0,'Parte Estrategica'!AO48=""),0,IF(VLOOKUP($A48,'Matriz de Referencia'!$B$2:$CO$584,55,FALSE)=0,0,"Digite"))</f>
        <v>0</v>
      </c>
      <c r="EG48" s="454">
        <f>IF(OR('Parte Estrategica'!AO48=0,'Parte Estrategica'!AO48=""),0,IF(VLOOKUP($A48,'Matriz de Referencia'!$B$2:$CO$584,56,FALSE)=0,0,"Digite"))</f>
        <v>0</v>
      </c>
      <c r="EH48" s="454">
        <f>IF(OR('Parte Estrategica'!AO48=0,'Parte Estrategica'!AO48=""),0,IF(VLOOKUP($A48,'Matriz de Referencia'!$B$2:$CO$584,57,FALSE)=0,0,"Digite"))</f>
        <v>0</v>
      </c>
      <c r="EI48" s="454">
        <f>IF(OR('Parte Estrategica'!AO48=0,'Parte Estrategica'!AO48=""),0,IF(VLOOKUP($A48,'Matriz de Referencia'!$B$2:$CO$584,58,FALSE)=0,0,"Digite"))</f>
        <v>0</v>
      </c>
      <c r="EJ48" s="454">
        <f>IF(OR('Parte Estrategica'!AO48=0,'Parte Estrategica'!AO48=""),0,IF(VLOOKUP($A48,'Matriz de Referencia'!$B$2:$CO$584,59,FALSE)=0,0,"Digite"))</f>
        <v>0</v>
      </c>
      <c r="EK48" s="454">
        <f>IF(OR('Parte Estrategica'!AO48=0,'Parte Estrategica'!AO48=""),0,IF(VLOOKUP($A48,'Matriz de Referencia'!$B$2:$CO$584,60,FALSE)=0,0,"Digite"))</f>
        <v>0</v>
      </c>
      <c r="EL48" s="382">
        <f t="shared" si="29"/>
        <v>0</v>
      </c>
      <c r="EM48" s="454">
        <f>IF(OR('Parte Estrategica'!AO48=0,'Parte Estrategica'!AO48=""),0,IF(VLOOKUP($A48,'Matriz de Referencia'!$B$2:$CO$584,62,FALSE)=0,0,"Digite"))</f>
        <v>0</v>
      </c>
      <c r="EN48" s="454">
        <f>IF(OR('Parte Estrategica'!AO48=0,'Parte Estrategica'!AO48=""),0,IF(VLOOKUP($A48,'Matriz de Referencia'!$B$2:$CO$584,63,FALSE)=0,0,"Digite"))</f>
        <v>0</v>
      </c>
      <c r="EO48" s="454">
        <f>IF(OR('Parte Estrategica'!AO48=0,'Parte Estrategica'!AO48=""),0,IF(VLOOKUP($A48,'Matriz de Referencia'!$B$2:$CO$584,64,FALSE)=0,0,"Digite"))</f>
        <v>0</v>
      </c>
      <c r="EP48" s="382">
        <f t="shared" si="30"/>
        <v>0</v>
      </c>
      <c r="EQ48" s="382">
        <f t="shared" si="31"/>
        <v>0</v>
      </c>
      <c r="ER48" s="453">
        <f>IF(OR('Parte Estrategica'!AP48=0,'Parte Estrategica'!AP48=""),0,IF(VLOOKUP($A48,'Matriz de Referencia'!$B$2:$CO$584,53,FALSE)=0,0,"Digite"))</f>
        <v>0</v>
      </c>
      <c r="ES48" s="454">
        <f>IF(OR('Parte Estrategica'!AP48=0,'Parte Estrategica'!AP48=""),0,IF(VLOOKUP($A48,'Matriz de Referencia'!$B$2:$CO$584,54,FALSE)=0,0,"Digite"))</f>
        <v>0</v>
      </c>
      <c r="ET48" s="454">
        <f>IF(OR('Parte Estrategica'!AP48=0,'Parte Estrategica'!AP48=""),0,IF(VLOOKUP($A48,'Matriz de Referencia'!$B$2:$CO$584,55,FALSE)=0,0,"Digite"))</f>
        <v>0</v>
      </c>
      <c r="EU48" s="454">
        <f>IF(OR('Parte Estrategica'!AP48=0,'Parte Estrategica'!AP48=""),0,IF(VLOOKUP($A48,'Matriz de Referencia'!$B$2:$CO$584,56,FALSE)=0,0,"Digite"))</f>
        <v>0</v>
      </c>
      <c r="EV48" s="454">
        <f>IF(OR('Parte Estrategica'!AP48=0,'Parte Estrategica'!AP48=""),0,IF(VLOOKUP($A48,'Matriz de Referencia'!$B$2:$CO$584,57,FALSE)=0,0,"Digite"))</f>
        <v>0</v>
      </c>
      <c r="EW48" s="454">
        <f>IF(OR('Parte Estrategica'!AP48=0,'Parte Estrategica'!AP48=""),0,IF(VLOOKUP($A48,'Matriz de Referencia'!$B$2:$CO$584,58,FALSE)=0,0,"Digite"))</f>
        <v>0</v>
      </c>
      <c r="EX48" s="454">
        <f>IF(OR('Parte Estrategica'!AP48=0,'Parte Estrategica'!AP48=""),0,IF(VLOOKUP($A48,'Matriz de Referencia'!$B$2:$CO$584,59,FALSE)=0,0,"Digite"))</f>
        <v>0</v>
      </c>
      <c r="EY48" s="454">
        <f>IF(OR('Parte Estrategica'!AP48=0,'Parte Estrategica'!AP48=""),0,IF(VLOOKUP($A48,'Matriz de Referencia'!$B$2:$CO$584,60,FALSE)=0,0,"Digite"))</f>
        <v>0</v>
      </c>
      <c r="EZ48" s="382">
        <f t="shared" si="32"/>
        <v>0</v>
      </c>
      <c r="FA48" s="454">
        <f>IF(OR('Parte Estrategica'!AP48=0,'Parte Estrategica'!AP48=""),0,IF(VLOOKUP($A48,'Matriz de Referencia'!$B$2:$CO$584,62,FALSE)=0,0,"Digite"))</f>
        <v>0</v>
      </c>
      <c r="FB48" s="454">
        <f>IF(OR('Parte Estrategica'!AP48=0,'Parte Estrategica'!AP48=""),0,IF(VLOOKUP($A48,'Matriz de Referencia'!$B$2:$CO$584,63,FALSE)=0,0,"Digite"))</f>
        <v>0</v>
      </c>
      <c r="FC48" s="454">
        <f>IF(OR('Parte Estrategica'!AP48=0,'Parte Estrategica'!AP48=""),0,IF(VLOOKUP($A48,'Matriz de Referencia'!$B$2:$CO$584,64,FALSE)=0,0,"Digite"))</f>
        <v>0</v>
      </c>
      <c r="FD48" s="382">
        <f t="shared" si="33"/>
        <v>0</v>
      </c>
      <c r="FE48" s="382">
        <f t="shared" si="34"/>
        <v>0</v>
      </c>
      <c r="FF48" s="453">
        <f>IF(OR('Parte Estrategica'!AQ48=0,'Parte Estrategica'!AQ48=""),0,IF(VLOOKUP($A48,'Matriz de Referencia'!$B$2:$CO$584,53,FALSE)=0,0,"Digite"))</f>
        <v>0</v>
      </c>
      <c r="FG48" s="454">
        <f>IF(OR('Parte Estrategica'!AQ48=0,'Parte Estrategica'!AQ48=""),0,IF(VLOOKUP($A48,'Matriz de Referencia'!$B$2:$CO$584,54,FALSE)=0,0,"Digite"))</f>
        <v>0</v>
      </c>
      <c r="FH48" s="454">
        <f>IF(OR('Parte Estrategica'!AQ48=0,'Parte Estrategica'!AQ48=""),0,IF(VLOOKUP($A48,'Matriz de Referencia'!$B$2:$CO$584,55,FALSE)=0,0,"Digite"))</f>
        <v>0</v>
      </c>
      <c r="FI48" s="454">
        <f>IF(OR('Parte Estrategica'!AQ48=0,'Parte Estrategica'!AQ48=""),0,IF(VLOOKUP($A48,'Matriz de Referencia'!$B$2:$CO$584,56,FALSE)=0,0,"Digite"))</f>
        <v>0</v>
      </c>
      <c r="FJ48" s="454">
        <f>IF(OR('Parte Estrategica'!AQ48=0,'Parte Estrategica'!AQ48=""),0,IF(VLOOKUP($A48,'Matriz de Referencia'!$B$2:$CO$584,57,FALSE)=0,0,"Digite"))</f>
        <v>0</v>
      </c>
      <c r="FK48" s="454">
        <f>IF(OR('Parte Estrategica'!AQ48=0,'Parte Estrategica'!AQ48=""),0,IF(VLOOKUP($A48,'Matriz de Referencia'!$B$2:$CO$584,58,FALSE)=0,0,"Digite"))</f>
        <v>0</v>
      </c>
      <c r="FL48" s="454">
        <f>IF(OR('Parte Estrategica'!AQ48=0,'Parte Estrategica'!AQ48=""),0,IF(VLOOKUP($A48,'Matriz de Referencia'!$B$2:$CO$584,59,FALSE)=0,0,"Digite"))</f>
        <v>0</v>
      </c>
      <c r="FM48" s="454">
        <f>IF(OR('Parte Estrategica'!AQ48=0,'Parte Estrategica'!AQ48=""),0,IF(VLOOKUP($A48,'Matriz de Referencia'!$B$2:$CO$584,60,FALSE)=0,0,"Digite"))</f>
        <v>0</v>
      </c>
      <c r="FN48" s="382">
        <f t="shared" si="35"/>
        <v>0</v>
      </c>
      <c r="FO48" s="454">
        <f>IF(OR('Parte Estrategica'!AQ48=0,'Parte Estrategica'!AQ48=""),0,IF(VLOOKUP($A48,'Matriz de Referencia'!$B$2:$CO$584,62,FALSE)=0,0,"Digite"))</f>
        <v>0</v>
      </c>
      <c r="FP48" s="454">
        <f>IF(OR('Parte Estrategica'!AQ48=0,'Parte Estrategica'!AQ48=""),0,IF(VLOOKUP($A48,'Matriz de Referencia'!$B$2:$CO$584,63,FALSE)=0,0,"Digite"))</f>
        <v>0</v>
      </c>
      <c r="FQ48" s="454">
        <f>IF(OR('Parte Estrategica'!AQ48=0,'Parte Estrategica'!AQ48=""),0,IF(VLOOKUP($A48,'Matriz de Referencia'!$B$2:$CO$584,64,FALSE)=0,0,"Digite"))</f>
        <v>0</v>
      </c>
      <c r="FR48" s="382">
        <f t="shared" si="36"/>
        <v>0</v>
      </c>
      <c r="FS48" s="382">
        <f t="shared" si="37"/>
        <v>0</v>
      </c>
      <c r="FT48" s="382">
        <f t="shared" si="38"/>
        <v>0</v>
      </c>
      <c r="FU48" s="101" t="str">
        <f>IFERROR(IF(FT48=0,"",IF(VLOOKUP($A48,'Matriz de Referencia'!$B$2:$CO$584,66,FALSE)=FT48,"Techos ok, cotinue","Debe revisar el valor programado")),"")</f>
        <v/>
      </c>
      <c r="FV48" s="453">
        <f>IF(OR('Parte Estrategica'!AT48=0,'Parte Estrategica'!AT48=""),0,IF(VLOOKUP($A48,'Matriz de Referencia'!$B$2:$CO$584,67,FALSE)=0,0,"Digite"))</f>
        <v>0</v>
      </c>
      <c r="FW48" s="454">
        <f>IF(OR('Parte Estrategica'!AT48=0,'Parte Estrategica'!AT48=""),0,IF(VLOOKUP($A48,'Matriz de Referencia'!$B$2:$CO$584,68,FALSE)=0,0,"Digite"))</f>
        <v>0</v>
      </c>
      <c r="FX48" s="454">
        <f>IF(OR('Parte Estrategica'!AT48=0,'Parte Estrategica'!AT48=""),0,IF(VLOOKUP($A48,'Matriz de Referencia'!$B$2:$CO$584,69,FALSE)=0,0,"Digite"))</f>
        <v>0</v>
      </c>
      <c r="FY48" s="454">
        <f>IF(OR('Parte Estrategica'!AT48=0,'Parte Estrategica'!AT48=""),0,IF(VLOOKUP($A48,'Matriz de Referencia'!$B$2:$CO$584,70,FALSE)=0,0,"Digite"))</f>
        <v>0</v>
      </c>
      <c r="FZ48" s="454">
        <f>IF(OR('Parte Estrategica'!AT48=0,'Parte Estrategica'!AT48=""),0,IF(VLOOKUP($A48,'Matriz de Referencia'!$B$2:$CO$584,71,FALSE)=0,0,"Digite"))</f>
        <v>0</v>
      </c>
      <c r="GA48" s="454">
        <f>IF(OR('Parte Estrategica'!AT48=0,'Parte Estrategica'!AT48=""),0,IF(VLOOKUP($A48,'Matriz de Referencia'!$B$2:$CO$584,72,FALSE)=0,0,"Digite"))</f>
        <v>0</v>
      </c>
      <c r="GB48" s="454">
        <f>IF(OR('Parte Estrategica'!AT48=0,'Parte Estrategica'!AT48=""),0,IF(VLOOKUP($A48,'Matriz de Referencia'!$B$2:$CO$584,73,FALSE)=0,0,"Digite"))</f>
        <v>0</v>
      </c>
      <c r="GC48" s="454">
        <f>IF(OR('Parte Estrategica'!AT48=0,'Parte Estrategica'!AT48=""),0,IF(VLOOKUP($A48,'Matriz de Referencia'!$B$2:$CO$584,74,FALSE)=0,0,"Digite"))</f>
        <v>0</v>
      </c>
      <c r="GD48" s="382">
        <f t="shared" si="39"/>
        <v>0</v>
      </c>
      <c r="GE48" s="454">
        <f>IF(OR('Parte Estrategica'!AT48=0,'Parte Estrategica'!AT48=""),0,IF(VLOOKUP($A48,'Matriz de Referencia'!$B$2:$CO$584,76,FALSE)=0,0,"Digite"))</f>
        <v>0</v>
      </c>
      <c r="GF48" s="454">
        <f>IF(OR('Parte Estrategica'!AT48=0,'Parte Estrategica'!AT48=""),0,IF(VLOOKUP($A48,'Matriz de Referencia'!$B$2:$CO$584,77,FALSE)=0,0,"Digite"))</f>
        <v>0</v>
      </c>
      <c r="GG48" s="454">
        <f>IF(OR('Parte Estrategica'!AT48=0,'Parte Estrategica'!AT48=""),0,IF(VLOOKUP($A48,'Matriz de Referencia'!$B$2:$CO$584,78,FALSE)=0,0,"Digite"))</f>
        <v>0</v>
      </c>
      <c r="GH48" s="382">
        <f t="shared" si="40"/>
        <v>0</v>
      </c>
      <c r="GI48" s="382">
        <f t="shared" si="41"/>
        <v>0</v>
      </c>
      <c r="GJ48" s="453">
        <f>IF(OR('Parte Estrategica'!AU48=0,'Parte Estrategica'!AU48=""),0,IF(VLOOKUP($A48,'Matriz de Referencia'!$B$2:$CO$584,67,FALSE)=0,0,"Digite"))</f>
        <v>0</v>
      </c>
      <c r="GK48" s="454">
        <f>IF(OR('Parte Estrategica'!AU48=0,'Parte Estrategica'!AU48=""),0,IF(VLOOKUP($A48,'Matriz de Referencia'!$B$2:$CO$584,68,FALSE)=0,0,"Digite"))</f>
        <v>0</v>
      </c>
      <c r="GL48" s="454">
        <f>IF(OR('Parte Estrategica'!AU48=0,'Parte Estrategica'!AU48=""),0,IF(VLOOKUP($A48,'Matriz de Referencia'!$B$2:$CO$584,69,FALSE)=0,0,"Digite"))</f>
        <v>0</v>
      </c>
      <c r="GM48" s="454">
        <f>IF(OR('Parte Estrategica'!AU48=0,'Parte Estrategica'!AU48=""),0,IF(VLOOKUP($A48,'Matriz de Referencia'!$B$2:$CO$584,70,FALSE)=0,0,"Digite"))</f>
        <v>0</v>
      </c>
      <c r="GN48" s="454">
        <f>IF(OR('Parte Estrategica'!AU48=0,'Parte Estrategica'!AU48=""),0,IF(VLOOKUP($A48,'Matriz de Referencia'!$B$2:$CO$584,71,FALSE)=0,0,"Digite"))</f>
        <v>0</v>
      </c>
      <c r="GO48" s="454">
        <f>IF(OR('Parte Estrategica'!AU48=0,'Parte Estrategica'!AU48=""),0,IF(VLOOKUP($A48,'Matriz de Referencia'!$B$2:$CO$584,72,FALSE)=0,0,"Digite"))</f>
        <v>0</v>
      </c>
      <c r="GP48" s="454">
        <f>IF(OR('Parte Estrategica'!AU48=0,'Parte Estrategica'!AU48=""),0,IF(VLOOKUP($A48,'Matriz de Referencia'!$B$2:$CO$584,73,FALSE)=0,0,"Digite"))</f>
        <v>0</v>
      </c>
      <c r="GQ48" s="454">
        <f>IF(OR('Parte Estrategica'!AU48=0,'Parte Estrategica'!AU48=""),0,IF(VLOOKUP($A48,'Matriz de Referencia'!$B$2:$CO$584,74,FALSE)=0,0,"Digite"))</f>
        <v>0</v>
      </c>
      <c r="GR48" s="382">
        <f t="shared" si="42"/>
        <v>0</v>
      </c>
      <c r="GS48" s="454">
        <f>IF(OR('Parte Estrategica'!AU48=0,'Parte Estrategica'!AU48=""),0,IF(VLOOKUP($A48,'Matriz de Referencia'!$B$2:$CO$584,76,FALSE)=0,0,"Digite"))</f>
        <v>0</v>
      </c>
      <c r="GT48" s="454">
        <f>IF(OR('Parte Estrategica'!AU48=0,'Parte Estrategica'!AU48=""),0,IF(VLOOKUP($A48,'Matriz de Referencia'!$B$2:$CO$584,77,FALSE)=0,0,"Digite"))</f>
        <v>0</v>
      </c>
      <c r="GU48" s="454">
        <f>IF(OR('Parte Estrategica'!AU48=0,'Parte Estrategica'!AU48=""),0,IF(VLOOKUP($A48,'Matriz de Referencia'!$B$2:$CO$584,78,FALSE)=0,0,"Digite"))</f>
        <v>0</v>
      </c>
      <c r="GV48" s="382">
        <f t="shared" si="43"/>
        <v>0</v>
      </c>
      <c r="GW48" s="382">
        <f t="shared" si="44"/>
        <v>0</v>
      </c>
      <c r="GX48" s="453">
        <f>IF(OR('Parte Estrategica'!AV48=0,'Parte Estrategica'!AV48=""),0,IF(VLOOKUP($A48,'Matriz de Referencia'!$B$2:$CO$584,67,FALSE)=0,0,"Digite"))</f>
        <v>0</v>
      </c>
      <c r="GY48" s="454">
        <f>IF(OR('Parte Estrategica'!AV48=0,'Parte Estrategica'!AV48=""),0,IF(VLOOKUP($A48,'Matriz de Referencia'!$B$2:$CO$584,68,FALSE)=0,0,"Digite"))</f>
        <v>0</v>
      </c>
      <c r="GZ48" s="454">
        <f>IF(OR('Parte Estrategica'!AV48=0,'Parte Estrategica'!AV48=""),0,IF(VLOOKUP($A48,'Matriz de Referencia'!$B$2:$CO$584,69,FALSE)=0,0,"Digite"))</f>
        <v>0</v>
      </c>
      <c r="HA48" s="454">
        <f>IF(OR('Parte Estrategica'!AV48=0,'Parte Estrategica'!AV48=""),0,IF(VLOOKUP($A48,'Matriz de Referencia'!$B$2:$CO$584,70,FALSE)=0,0,"Digite"))</f>
        <v>0</v>
      </c>
      <c r="HB48" s="454">
        <f>IF(OR('Parte Estrategica'!AV48=0,'Parte Estrategica'!AV48=""),0,IF(VLOOKUP($A48,'Matriz de Referencia'!$B$2:$CO$584,71,FALSE)=0,0,"Digite"))</f>
        <v>0</v>
      </c>
      <c r="HC48" s="454">
        <f>IF(OR('Parte Estrategica'!AV48=0,'Parte Estrategica'!AV48=""),0,IF(VLOOKUP($A48,'Matriz de Referencia'!$B$2:$CO$584,72,FALSE)=0,0,"Digite"))</f>
        <v>0</v>
      </c>
      <c r="HD48" s="454">
        <f>IF(OR('Parte Estrategica'!AV48=0,'Parte Estrategica'!AV48=""),0,IF(VLOOKUP($A48,'Matriz de Referencia'!$B$2:$CO$584,73,FALSE)=0,0,"Digite"))</f>
        <v>0</v>
      </c>
      <c r="HE48" s="454">
        <f>IF(OR('Parte Estrategica'!AV48=0,'Parte Estrategica'!AV48=""),0,IF(VLOOKUP($A48,'Matriz de Referencia'!$B$2:$CO$584,74,FALSE)=0,0,"Digite"))</f>
        <v>0</v>
      </c>
      <c r="HF48" s="382">
        <f t="shared" si="45"/>
        <v>0</v>
      </c>
      <c r="HG48" s="454">
        <f>IF(OR('Parte Estrategica'!AV48=0,'Parte Estrategica'!AV48=""),0,IF(VLOOKUP($A48,'Matriz de Referencia'!$B$2:$CO$584,76,FALSE)=0,0,"Digite"))</f>
        <v>0</v>
      </c>
      <c r="HH48" s="454">
        <f>IF(OR('Parte Estrategica'!AV48=0,'Parte Estrategica'!AV48=""),0,IF(VLOOKUP($A48,'Matriz de Referencia'!$B$2:$CO$584,77,FALSE)=0,0,"Digite"))</f>
        <v>0</v>
      </c>
      <c r="HI48" s="454">
        <f>IF(OR('Parte Estrategica'!AV48=0,'Parte Estrategica'!AV48=""),0,IF(VLOOKUP($A48,'Matriz de Referencia'!$B$2:$CO$584,78,FALSE)=0,0,"Digite"))</f>
        <v>0</v>
      </c>
      <c r="HJ48" s="382">
        <f t="shared" si="46"/>
        <v>0</v>
      </c>
      <c r="HK48" s="382">
        <f t="shared" si="47"/>
        <v>0</v>
      </c>
      <c r="HL48" s="453">
        <f>IF(OR('Parte Estrategica'!AW48=0,'Parte Estrategica'!AW48=""),0,IF(VLOOKUP($A48,'Matriz de Referencia'!$B$2:$CO$584,67,FALSE)=0,0,"Digite"))</f>
        <v>0</v>
      </c>
      <c r="HM48" s="454">
        <f>IF(OR('Parte Estrategica'!AW48=0,'Parte Estrategica'!AW48=""),0,IF(VLOOKUP($A48,'Matriz de Referencia'!$B$2:$CO$584,68,FALSE)=0,0,"Digite"))</f>
        <v>0</v>
      </c>
      <c r="HN48" s="454">
        <f>IF(OR('Parte Estrategica'!AW48=0,'Parte Estrategica'!AW48=""),0,IF(VLOOKUP($A48,'Matriz de Referencia'!$B$2:$CO$584,69,FALSE)=0,0,"Digite"))</f>
        <v>0</v>
      </c>
      <c r="HO48" s="454">
        <f>IF(OR('Parte Estrategica'!AW48=0,'Parte Estrategica'!AW48=""),0,IF(VLOOKUP($A48,'Matriz de Referencia'!$B$2:$CO$584,70,FALSE)=0,0,"Digite"))</f>
        <v>0</v>
      </c>
      <c r="HP48" s="454">
        <f>IF(OR('Parte Estrategica'!AW48=0,'Parte Estrategica'!AW48=""),0,IF(VLOOKUP($A48,'Matriz de Referencia'!$B$2:$CO$584,71,FALSE)=0,0,"Digite"))</f>
        <v>0</v>
      </c>
      <c r="HQ48" s="454">
        <f>IF(OR('Parte Estrategica'!AW48=0,'Parte Estrategica'!AW48=""),0,IF(VLOOKUP($A48,'Matriz de Referencia'!$B$2:$CO$584,72,FALSE)=0,0,"Digite"))</f>
        <v>0</v>
      </c>
      <c r="HR48" s="454">
        <f>IF(OR('Parte Estrategica'!AW48=0,'Parte Estrategica'!AW48=""),0,IF(VLOOKUP($A48,'Matriz de Referencia'!$B$2:$CO$584,73,FALSE)=0,0,"Digite"))</f>
        <v>0</v>
      </c>
      <c r="HS48" s="454">
        <f>IF(OR('Parte Estrategica'!AW48=0,'Parte Estrategica'!AW48=""),0,IF(VLOOKUP($A48,'Matriz de Referencia'!$B$2:$CO$584,74,FALSE)=0,0,"Digite"))</f>
        <v>0</v>
      </c>
      <c r="HT48" s="382">
        <f t="shared" si="48"/>
        <v>0</v>
      </c>
      <c r="HU48" s="454">
        <f>IF(OR('Parte Estrategica'!AW48=0,'Parte Estrategica'!AW48=""),0,IF(VLOOKUP($A48,'Matriz de Referencia'!$B$2:$CO$584,76,FALSE)=0,0,"Digite"))</f>
        <v>0</v>
      </c>
      <c r="HV48" s="454">
        <f>IF(OR('Parte Estrategica'!AW48=0,'Parte Estrategica'!AW48=""),0,IF(VLOOKUP($A48,'Matriz de Referencia'!$B$2:$CO$584,77,FALSE)=0,0,"Digite"))</f>
        <v>0</v>
      </c>
      <c r="HW48" s="454">
        <f>IF(OR('Parte Estrategica'!AW48=0,'Parte Estrategica'!AW48=""),0,IF(VLOOKUP($A48,'Matriz de Referencia'!$B$2:$CO$584,78,FALSE)=0,0,"Digite"))</f>
        <v>0</v>
      </c>
      <c r="HX48" s="382">
        <f t="shared" si="49"/>
        <v>0</v>
      </c>
      <c r="HY48" s="382">
        <f t="shared" si="50"/>
        <v>0</v>
      </c>
      <c r="HZ48" s="382">
        <f t="shared" si="51"/>
        <v>0</v>
      </c>
      <c r="IA48" s="101" t="str">
        <f>IFERROR(IF(HZ48=0,"",IF(VLOOKUP($A48,'Matriz de Referencia'!$B$2:$CO$584,80,FALSE)=HZ48,"Techos ok, cotinue","Debe revisar el valor programado")),"")</f>
        <v/>
      </c>
      <c r="IB48" s="383">
        <f t="shared" si="52"/>
        <v>0</v>
      </c>
    </row>
    <row r="49" spans="1:236">
      <c r="A49" s="550" t="str">
        <f>IF('Parte Estrategica'!B49=0,"",'Parte Estrategica'!B49)</f>
        <v/>
      </c>
      <c r="B49" s="551" t="str">
        <f>IFERROR(VLOOKUP(A49,'Matriz de Referencia'!$B$2:$P$578,'Matriz de Referencia'!L$1,FALSE),"")</f>
        <v/>
      </c>
      <c r="C49" s="551" t="str">
        <f>IFERROR(VLOOKUP(A49,'Matriz de Referencia'!$B$2:$P$584,'Matriz de Referencia'!M$1,FALSE),"")</f>
        <v/>
      </c>
      <c r="D49" s="455" t="str">
        <f>IF(OR('Parte Estrategica'!AB49=0,'Parte Estrategica'!AB49=""),"",IF(VLOOKUP($A49,'Matriz de Referencia'!$B$2:$CO$584,'Matriz de Referencia'!Z$1,FALSE)=0,"","Digite"))</f>
        <v/>
      </c>
      <c r="E49" s="456">
        <f>IF(OR('Parte Estrategica'!AB49=0,'Parte Estrategica'!AB49=""),0,IF(VLOOKUP($A49,'Matriz de Referencia'!$B$2:$CO$584,26,FALSE)=0,0,"Digite"))</f>
        <v>0</v>
      </c>
      <c r="F49" s="456">
        <f>IF(OR('Parte Estrategica'!AB49=0,'Parte Estrategica'!AB49=""),0,IF(VLOOKUP($A49,'Matriz de Referencia'!$B$2:$CO$584,27,FALSE)=0,0,"Digite"))</f>
        <v>0</v>
      </c>
      <c r="G49" s="456">
        <f>IF(OR('Parte Estrategica'!AB49=0,'Parte Estrategica'!AB49=""),0,IF(VLOOKUP($A49,'Matriz de Referencia'!$B$2:$CO$584,28,FALSE)=0,0,"Digite"))</f>
        <v>0</v>
      </c>
      <c r="H49" s="456">
        <f>IF(OR('Parte Estrategica'!AB49=0,'Parte Estrategica'!AB49=""),0,IF(VLOOKUP($A49,'Matriz de Referencia'!$B$2:$CO$584,29,FALSE)=0,0,"Digite"))</f>
        <v>0</v>
      </c>
      <c r="I49" s="456">
        <f>IF(OR('Parte Estrategica'!AB49=0,'Parte Estrategica'!AB49=""),0,IF(VLOOKUP($A49,'Matriz de Referencia'!$B$2:$CO$584,30,FALSE)=0,0,"Digite"))</f>
        <v>0</v>
      </c>
      <c r="J49" s="456">
        <f>IF(OR('Parte Estrategica'!AB49=0,'Parte Estrategica'!AB49=""),0,IF(VLOOKUP($A49,'Matriz de Referencia'!$B$2:$CO$584,31,FALSE)=0,0,"Digite"))</f>
        <v>0</v>
      </c>
      <c r="K49" s="456">
        <f>IF(OR('Parte Estrategica'!AB49=0,'Parte Estrategica'!AB49=""),0,IF(VLOOKUP($A49,'Matriz de Referencia'!$B$2:$CO$584,32,FALSE)=0,0,"Digite"))</f>
        <v>0</v>
      </c>
      <c r="L49" s="460">
        <f t="shared" si="0"/>
        <v>0</v>
      </c>
      <c r="M49" s="456">
        <f>IF(OR('Parte Estrategica'!AB49=0,'Parte Estrategica'!AB49=""),0,IF(VLOOKUP($A49,'Matriz de Referencia'!$B$2:$CO$584,34,FALSE)=0,0,"Digite"))</f>
        <v>0</v>
      </c>
      <c r="N49" s="456">
        <f>IF(OR('Parte Estrategica'!AB49=0,'Parte Estrategica'!AB49=""),0,IF(VLOOKUP($A49,'Matriz de Referencia'!$B$2:$CO$584,35,FALSE)=0,0,"Digite"))</f>
        <v>0</v>
      </c>
      <c r="O49" s="456">
        <f>IF(OR('Parte Estrategica'!AB49=0,'Parte Estrategica'!AB49=""),0,IF(VLOOKUP($A49,'Matriz de Referencia'!$B$2:$CO$584,36,FALSE)=0,0,"Digite"))</f>
        <v>0</v>
      </c>
      <c r="P49" s="457">
        <f t="shared" si="1"/>
        <v>0</v>
      </c>
      <c r="Q49" s="457">
        <f t="shared" si="2"/>
        <v>0</v>
      </c>
      <c r="R49" s="455">
        <f>IF(OR('Parte Estrategica'!AC49=0,'Parte Estrategica'!AC49=""),0,IF(VLOOKUP($A49,'Matriz de Referencia'!$B$2:$CO$584,25,FALSE)=0,0,"Digite"))</f>
        <v>0</v>
      </c>
      <c r="S49" s="456">
        <f>IF(OR('Parte Estrategica'!AC49=0,'Parte Estrategica'!AC49=""),0,IF(VLOOKUP($A49,'Matriz de Referencia'!$B$2:$CO$584,26,FALSE)=0,0,"Digite"))</f>
        <v>0</v>
      </c>
      <c r="T49" s="456">
        <f>IF(OR('Parte Estrategica'!AC49=0,'Parte Estrategica'!AC49=""),0,IF(VLOOKUP($A49,'Matriz de Referencia'!$B$2:$CO$584,27,FALSE)=0,0,"Digite"))</f>
        <v>0</v>
      </c>
      <c r="U49" s="456">
        <f>IF(OR('Parte Estrategica'!AC49=0,'Parte Estrategica'!AC49=""),0,IF(VLOOKUP($A49,'Matriz de Referencia'!$B$2:$CO$584,28,FALSE)=0,0,"Digite"))</f>
        <v>0</v>
      </c>
      <c r="V49" s="456">
        <f>IF(OR('Parte Estrategica'!AC49=0,'Parte Estrategica'!AC49=""),0,IF(VLOOKUP($A49,'Matriz de Referencia'!$B$2:$CO$584,29,FALSE)=0,0,"Digite"))</f>
        <v>0</v>
      </c>
      <c r="W49" s="456">
        <f>IF(OR('Parte Estrategica'!AC49=0,'Parte Estrategica'!AC49=""),0,IF(VLOOKUP($A49,'Matriz de Referencia'!$B$2:$CO$584,30,FALSE)=0,0,"Digite"))</f>
        <v>0</v>
      </c>
      <c r="X49" s="456">
        <f>IF(OR('Parte Estrategica'!AC49=0,'Parte Estrategica'!AC49=""),0,IF(VLOOKUP($A49,'Matriz de Referencia'!$B$2:$CO$584,31,FALSE)=0,0,"Digite"))</f>
        <v>0</v>
      </c>
      <c r="Y49" s="456">
        <f>IF(OR('Parte Estrategica'!AC49=0,'Parte Estrategica'!AC49=""),0,IF(VLOOKUP($A49,'Matriz de Referencia'!$B$2:$CO$584,32,FALSE)=0,0,"Digite"))</f>
        <v>0</v>
      </c>
      <c r="Z49" s="457">
        <f t="shared" si="3"/>
        <v>0</v>
      </c>
      <c r="AA49" s="456">
        <f>IF(OR('Parte Estrategica'!AC49=0,'Parte Estrategica'!AC49=""),0,IF(VLOOKUP($A49,'Matriz de Referencia'!$B$2:$CO$584,34,FALSE)=0,0,"Digite"))</f>
        <v>0</v>
      </c>
      <c r="AB49" s="456">
        <f>IF(OR('Parte Estrategica'!AC49=0,'Parte Estrategica'!AC49=""),0,IF(VLOOKUP($A49,'Matriz de Referencia'!$B$2:$CO$584,35,FALSE)=0,0,"Digite"))</f>
        <v>0</v>
      </c>
      <c r="AC49" s="456">
        <f>IF(OR('Parte Estrategica'!AC49=0,'Parte Estrategica'!AC49=""),0,IF(VLOOKUP($A49,'Matriz de Referencia'!$B$2:$CO$584,36,FALSE)=0,0,"Digite"))</f>
        <v>0</v>
      </c>
      <c r="AD49" s="457">
        <f t="shared" si="4"/>
        <v>0</v>
      </c>
      <c r="AE49" s="457">
        <f t="shared" si="5"/>
        <v>0</v>
      </c>
      <c r="AF49" s="455">
        <f>IF(OR('Parte Estrategica'!AD49=0,'Parte Estrategica'!AD49=""),0,IF(VLOOKUP($A49,'Matriz de Referencia'!$B$2:$CO$584,25,FALSE)=0,0,"Digite"))</f>
        <v>0</v>
      </c>
      <c r="AG49" s="456">
        <f>IF(OR('Parte Estrategica'!AD49=0,'Parte Estrategica'!AD49=""),0,IF(VLOOKUP($A49,'Matriz de Referencia'!$B$2:$CO$584,26,FALSE)=0,0,"Digite"))</f>
        <v>0</v>
      </c>
      <c r="AH49" s="456">
        <f>IF(OR('Parte Estrategica'!AD49=0,'Parte Estrategica'!AD49=""),0,IF(VLOOKUP($A49,'Matriz de Referencia'!$B$2:$CO$584,27,FALSE)=0,0,"Digite"))</f>
        <v>0</v>
      </c>
      <c r="AI49" s="456">
        <f>IF(OR('Parte Estrategica'!AD49=0,'Parte Estrategica'!AD49=""),0,IF(VLOOKUP($A49,'Matriz de Referencia'!$B$2:$CO$584,28,FALSE)=0,0,"Digite"))</f>
        <v>0</v>
      </c>
      <c r="AJ49" s="456">
        <f>IF(OR('Parte Estrategica'!AD49=0,'Parte Estrategica'!AD49=""),0,IF(VLOOKUP($A49,'Matriz de Referencia'!$B$2:$CO$584,29,FALSE)=0,0,"Digite"))</f>
        <v>0</v>
      </c>
      <c r="AK49" s="456">
        <f>IF(OR('Parte Estrategica'!AD49=0,'Parte Estrategica'!AD49=""),0,IF(VLOOKUP($A49,'Matriz de Referencia'!$B$2:$CO$584,30,FALSE)=0,0,"Digite"))</f>
        <v>0</v>
      </c>
      <c r="AL49" s="456">
        <f>IF(OR('Parte Estrategica'!AD49=0,'Parte Estrategica'!AD49=""),0,IF(VLOOKUP($A49,'Matriz de Referencia'!$B$2:$CO$584,31,FALSE)=0,0,"Digite"))</f>
        <v>0</v>
      </c>
      <c r="AM49" s="456">
        <f>IF(OR('Parte Estrategica'!AD49=0,'Parte Estrategica'!AD49=""),0,IF(VLOOKUP($A49,'Matriz de Referencia'!$B$2:$CO$584,32,FALSE)=0,0,"Digite"))</f>
        <v>0</v>
      </c>
      <c r="AN49" s="457">
        <f t="shared" si="6"/>
        <v>0</v>
      </c>
      <c r="AO49" s="456">
        <f>IF(OR('Parte Estrategica'!AD49=0,'Parte Estrategica'!AD49=""),0,IF(VLOOKUP($A49,'Matriz de Referencia'!$B$2:$CO$584,34,FALSE)=0,0,"Digite"))</f>
        <v>0</v>
      </c>
      <c r="AP49" s="456">
        <f>IF(OR('Parte Estrategica'!AD49=0,'Parte Estrategica'!AD49=""),0,IF(VLOOKUP($A49,'Matriz de Referencia'!$B$2:$CO$584,35,FALSE)=0,0,"Digite"))</f>
        <v>0</v>
      </c>
      <c r="AQ49" s="456">
        <f>IF(OR('Parte Estrategica'!AD49=0,'Parte Estrategica'!AD49=""),0,IF(VLOOKUP($A49,'Matriz de Referencia'!$B$2:$CO$584,36,FALSE)=0,0,"Digite"))</f>
        <v>0</v>
      </c>
      <c r="AR49" s="457">
        <f t="shared" si="7"/>
        <v>0</v>
      </c>
      <c r="AS49" s="457">
        <f t="shared" si="8"/>
        <v>0</v>
      </c>
      <c r="AT49" s="455">
        <f>IF(OR('Parte Estrategica'!AE49=0,'Parte Estrategica'!AE49=""),0,IF(VLOOKUP($A49,'Matriz de Referencia'!$B$2:$CO$584,25,FALSE)=0,0,"Digite"))</f>
        <v>0</v>
      </c>
      <c r="AU49" s="456">
        <f>IF(OR('Parte Estrategica'!AE49=0,'Parte Estrategica'!AE49=""),0,IF(VLOOKUP($A49,'Matriz de Referencia'!$B$2:$CO$584,26,FALSE)=0,0,"Digite"))</f>
        <v>0</v>
      </c>
      <c r="AV49" s="456">
        <f>IF(OR('Parte Estrategica'!AE49=0,'Parte Estrategica'!AE49=""),0,IF(VLOOKUP($A49,'Matriz de Referencia'!$B$2:$CO$584,27,FALSE)=0,0,"Digite"))</f>
        <v>0</v>
      </c>
      <c r="AW49" s="456">
        <f>IF(OR('Parte Estrategica'!AE49=0,'Parte Estrategica'!AE49=""),0,IF(VLOOKUP($A49,'Matriz de Referencia'!$B$2:$CO$584,28,FALSE)=0,0,"Digite"))</f>
        <v>0</v>
      </c>
      <c r="AX49" s="456">
        <f>IF(OR('Parte Estrategica'!AE49=0,'Parte Estrategica'!AE49=""),0,IF(VLOOKUP($A49,'Matriz de Referencia'!$B$2:$CO$584,29,FALSE)=0,0,"Digite"))</f>
        <v>0</v>
      </c>
      <c r="AY49" s="456">
        <f>IF(OR('Parte Estrategica'!AE49=0,'Parte Estrategica'!AE49=""),0,IF(VLOOKUP($A49,'Matriz de Referencia'!$B$2:$CO$584,30,FALSE)=0,0,"Digite"))</f>
        <v>0</v>
      </c>
      <c r="AZ49" s="456">
        <f>IF(OR('Parte Estrategica'!AE49=0,'Parte Estrategica'!AE49=""),0,IF(VLOOKUP($A49,'Matriz de Referencia'!$B$2:$CO$584,31,FALSE)=0,0,"Digite"))</f>
        <v>0</v>
      </c>
      <c r="BA49" s="456">
        <f>IF(OR('Parte Estrategica'!AE49=0,'Parte Estrategica'!AE49=""),0,IF(VLOOKUP($A49,'Matriz de Referencia'!$B$2:$CO$584,32,FALSE)=0,0,"Digite"))</f>
        <v>0</v>
      </c>
      <c r="BB49" s="457">
        <f t="shared" si="9"/>
        <v>0</v>
      </c>
      <c r="BC49" s="456">
        <f>IF(OR('Parte Estrategica'!AE49=0,'Parte Estrategica'!AE49=""),0,IF(VLOOKUP($A49,'Matriz de Referencia'!$B$2:$CO$584,34,FALSE)=0,0,"Digite"))</f>
        <v>0</v>
      </c>
      <c r="BD49" s="456">
        <f>IF(OR('Parte Estrategica'!AE49=0,'Parte Estrategica'!AE49=""),0,IF(VLOOKUP($A49,'Matriz de Referencia'!$B$2:$CO$584,35,FALSE)=0,0,"Digite"))</f>
        <v>0</v>
      </c>
      <c r="BE49" s="456">
        <f>IF(OR('Parte Estrategica'!AE49=0,'Parte Estrategica'!AE49=""),0,IF(VLOOKUP($A49,'Matriz de Referencia'!$B$2:$CO$584,36,FALSE)=0,0,"Digite"))</f>
        <v>0</v>
      </c>
      <c r="BF49" s="457">
        <f t="shared" si="10"/>
        <v>0</v>
      </c>
      <c r="BG49" s="457">
        <f t="shared" si="11"/>
        <v>0</v>
      </c>
      <c r="BH49" s="457">
        <f t="shared" si="12"/>
        <v>0</v>
      </c>
      <c r="BI49" s="101" t="str">
        <f>IFERROR(IF(BH49=0,"",IF(VLOOKUP($A49,'Matriz de Referencia'!$B$2:$CO$584,'Matriz de Referencia'!AM$1,FALSE)=BH49,"Techos ok, cotinue","Debe revisar el valor programado")),"")</f>
        <v/>
      </c>
      <c r="BJ49" s="453">
        <f>IF(OR('Parte Estrategica'!AH49=0,'Parte Estrategica'!AH49=""),0,IF(VLOOKUP($A49,'Matriz de Referencia'!$B$2:$CO$584,39,FALSE)=0,0,"Digite"))</f>
        <v>0</v>
      </c>
      <c r="BK49" s="454">
        <f>IF(OR('Parte Estrategica'!AH49=0,'Parte Estrategica'!AH49=""),0,IF(VLOOKUP($A49,'Matriz de Referencia'!$B$2:$CO$584,40,FALSE)=0,0,"Digite"))</f>
        <v>0</v>
      </c>
      <c r="BL49" s="454">
        <f>IF(OR('Parte Estrategica'!AH49=0,'Parte Estrategica'!AH49=""),0,IF(VLOOKUP($A49,'Matriz de Referencia'!$B$2:$CO$584,41,FALSE)=0,0,"Digite"))</f>
        <v>0</v>
      </c>
      <c r="BM49" s="454">
        <f>IF(OR('Parte Estrategica'!AH49=0,'Parte Estrategica'!AH49=""),0,IF(VLOOKUP($A49,'Matriz de Referencia'!$B$2:$CO$584,42,FALSE)=0,0,"Digite"))</f>
        <v>0</v>
      </c>
      <c r="BN49" s="454">
        <f>IF(OR('Parte Estrategica'!AH49=0,'Parte Estrategica'!AH49=""),0,IF(VLOOKUP($A49,'Matriz de Referencia'!$B$2:$CO$584,43,FALSE)=0,0,"Digite"))</f>
        <v>0</v>
      </c>
      <c r="BO49" s="454">
        <f>IF(OR('Parte Estrategica'!AH49=0,'Parte Estrategica'!AH49=""),0,IF(VLOOKUP($A49,'Matriz de Referencia'!$B$2:$CO$584,44,FALSE)=0,0,"Digite"))</f>
        <v>0</v>
      </c>
      <c r="BP49" s="454">
        <f>IF(OR('Parte Estrategica'!AH49=0,'Parte Estrategica'!AH49=""),0,IF(VLOOKUP($A49,'Matriz de Referencia'!$B$2:$CO$584,45,FALSE)=0,0,"Digite"))</f>
        <v>0</v>
      </c>
      <c r="BQ49" s="454">
        <f>IF(OR('Parte Estrategica'!AH49=0,'Parte Estrategica'!AH49=""),0,IF(VLOOKUP($A49,'Matriz de Referencia'!$B$2:$CO$584,46,FALSE)=0,0,"Digite"))</f>
        <v>0</v>
      </c>
      <c r="BR49" s="382">
        <f t="shared" si="13"/>
        <v>0</v>
      </c>
      <c r="BS49" s="454">
        <f>IF(OR('Parte Estrategica'!CL49=0,'Parte Estrategica'!CL49=""),0,IF(VLOOKUP($A49,'Matriz de Referencia'!$B$2:$CO$584,48,FALSE)=0,0,"Digite"))</f>
        <v>0</v>
      </c>
      <c r="BT49" s="454">
        <f>IF(OR('Parte Estrategica'!CL49=0,'Parte Estrategica'!CL49=""),0,IF(VLOOKUP($A49,'Matriz de Referencia'!$B$2:$CO$584,49,FALSE)=0,0,"Digite"))</f>
        <v>0</v>
      </c>
      <c r="BU49" s="454">
        <f>IF(OR('Parte Estrategica'!CL49=0,'Parte Estrategica'!CL49=""),0,IF(VLOOKUP($A49,'Matriz de Referencia'!$B$2:$CO$584,50,FALSE)=0,0,"Digite"))</f>
        <v>0</v>
      </c>
      <c r="BV49" s="382">
        <f t="shared" si="14"/>
        <v>0</v>
      </c>
      <c r="BW49" s="382">
        <f t="shared" si="15"/>
        <v>0</v>
      </c>
      <c r="BX49" s="453">
        <f>IF(OR('Parte Estrategica'!AI49=0,'Parte Estrategica'!AI49=""),0,IF(VLOOKUP($A49,'Matriz de Referencia'!$B$2:$CO$584,39,FALSE)=0,0,"Digite"))</f>
        <v>0</v>
      </c>
      <c r="BY49" s="454">
        <f>IF(OR('Parte Estrategica'!AI49=0,'Parte Estrategica'!AI49=""),0,IF(VLOOKUP($A49,'Matriz de Referencia'!$B$2:$CO$584,40,FALSE)=0,0,"Digite"))</f>
        <v>0</v>
      </c>
      <c r="BZ49" s="454">
        <f>IF(OR('Parte Estrategica'!AI49=0,'Parte Estrategica'!AI49=""),0,IF(VLOOKUP($A49,'Matriz de Referencia'!$B$2:$CO$584,41,FALSE)=0,0,"Digite"))</f>
        <v>0</v>
      </c>
      <c r="CA49" s="454">
        <f>IF(OR('Parte Estrategica'!AI49=0,'Parte Estrategica'!AI49=""),0,IF(VLOOKUP($A49,'Matriz de Referencia'!$B$2:$CO$584,42,FALSE)=0,0,"Digite"))</f>
        <v>0</v>
      </c>
      <c r="CB49" s="454">
        <f>IF(OR('Parte Estrategica'!AI49=0,'Parte Estrategica'!AI49=""),0,IF(VLOOKUP($A49,'Matriz de Referencia'!$B$2:$CO$584,43,FALSE)=0,0,"Digite"))</f>
        <v>0</v>
      </c>
      <c r="CC49" s="454">
        <f>IF(OR('Parte Estrategica'!AI49=0,'Parte Estrategica'!AI49=""),0,IF(VLOOKUP($A49,'Matriz de Referencia'!$B$2:$CO$584,44,FALSE)=0,0,"Digite"))</f>
        <v>0</v>
      </c>
      <c r="CD49" s="454">
        <f>IF(OR('Parte Estrategica'!AI49=0,'Parte Estrategica'!AI49=""),0,IF(VLOOKUP($A49,'Matriz de Referencia'!$B$2:$CO$584,45,FALSE)=0,0,"Digite"))</f>
        <v>0</v>
      </c>
      <c r="CE49" s="454">
        <f>IF(OR('Parte Estrategica'!AI49=0,'Parte Estrategica'!AI49=""),0,IF(VLOOKUP($A49,'Matriz de Referencia'!$B$2:$CO$584,46,FALSE)=0,0,"Digite"))</f>
        <v>0</v>
      </c>
      <c r="CF49" s="382">
        <f t="shared" si="16"/>
        <v>0</v>
      </c>
      <c r="CG49" s="454">
        <f>IF(OR('Parte Estrategica'!AI49=0,'Parte Estrategica'!AI49=""),0,IF(VLOOKUP($A49,'Matriz de Referencia'!$B$2:$CO$584,48,FALSE)=0,0,"Digite"))</f>
        <v>0</v>
      </c>
      <c r="CH49" s="454">
        <f>IF(OR('Parte Estrategica'!AI49=0,'Parte Estrategica'!AI49=""),0,IF(VLOOKUP($A49,'Matriz de Referencia'!$B$2:$CO$584,49,FALSE)=0,0,"Digite"))</f>
        <v>0</v>
      </c>
      <c r="CI49" s="454">
        <f>IF(OR('Parte Estrategica'!AI49=0,'Parte Estrategica'!AI49=""),0,IF(VLOOKUP($A49,'Matriz de Referencia'!$B$2:$CO$584,50,FALSE)=0,0,"Digite"))</f>
        <v>0</v>
      </c>
      <c r="CJ49" s="382">
        <f t="shared" si="17"/>
        <v>0</v>
      </c>
      <c r="CK49" s="382">
        <f t="shared" si="18"/>
        <v>0</v>
      </c>
      <c r="CL49" s="453">
        <f>IF(OR('Parte Estrategica'!AJ49=0,'Parte Estrategica'!AJ49=""),0,IF(VLOOKUP($A49,'Matriz de Referencia'!$B$2:$CO$584,39,FALSE)=0,0,"Digite"))</f>
        <v>0</v>
      </c>
      <c r="CM49" s="454">
        <f>IF(OR('Parte Estrategica'!AJ49=0,'Parte Estrategica'!AJ49=""),0,IF(VLOOKUP($A49,'Matriz de Referencia'!$B$2:$CO$584,40,FALSE)=0,0,"Digite"))</f>
        <v>0</v>
      </c>
      <c r="CN49" s="454">
        <f>IF(OR('Parte Estrategica'!AJ49=0,'Parte Estrategica'!AJ49=""),0,IF(VLOOKUP($A49,'Matriz de Referencia'!$B$2:$CO$584,41,FALSE)=0,0,"Digite"))</f>
        <v>0</v>
      </c>
      <c r="CO49" s="454">
        <f>IF(OR('Parte Estrategica'!AJ49=0,'Parte Estrategica'!AJ49=""),0,IF(VLOOKUP($A49,'Matriz de Referencia'!$B$2:$CO$584,42,FALSE)=0,0,"Digite"))</f>
        <v>0</v>
      </c>
      <c r="CP49" s="454">
        <f>IF(OR('Parte Estrategica'!AJ49=0,'Parte Estrategica'!AJ49=""),0,IF(VLOOKUP($A49,'Matriz de Referencia'!$B$2:$CO$584,43,FALSE)=0,0,"Digite"))</f>
        <v>0</v>
      </c>
      <c r="CQ49" s="454">
        <f>IF(OR('Parte Estrategica'!AJ49=0,'Parte Estrategica'!AJ49=""),0,IF(VLOOKUP($A49,'Matriz de Referencia'!$B$2:$CO$584,44,FALSE)=0,0,"Digite"))</f>
        <v>0</v>
      </c>
      <c r="CR49" s="454">
        <f>IF(OR('Parte Estrategica'!AJ49=0,'Parte Estrategica'!AJ49=""),0,IF(VLOOKUP($A49,'Matriz de Referencia'!$B$2:$CO$584,45,FALSE)=0,0,"Digite"))</f>
        <v>0</v>
      </c>
      <c r="CS49" s="454">
        <f>IF(OR('Parte Estrategica'!AJ49=0,'Parte Estrategica'!AJ49=""),0,IF(VLOOKUP($A49,'Matriz de Referencia'!$B$2:$CO$584,46,FALSE)=0,0,"Digite"))</f>
        <v>0</v>
      </c>
      <c r="CT49" s="382">
        <f t="shared" si="19"/>
        <v>0</v>
      </c>
      <c r="CU49" s="454">
        <f>IF(OR('Parte Estrategica'!AJ49=0,'Parte Estrategica'!AJ49=""),0,IF(VLOOKUP($A49,'Matriz de Referencia'!$B$2:$CO$584,48,FALSE)=0,0,"Digite"))</f>
        <v>0</v>
      </c>
      <c r="CV49" s="454">
        <f>IF(OR('Parte Estrategica'!AJ49=0,'Parte Estrategica'!AJ49=""),0,IF(VLOOKUP($A49,'Matriz de Referencia'!$B$2:$CO$584,49,FALSE)=0,0,"Digite"))</f>
        <v>0</v>
      </c>
      <c r="CW49" s="454">
        <f>IF(OR('Parte Estrategica'!AJ49=0,'Parte Estrategica'!AJ49=""),0,IF(VLOOKUP($A49,'Matriz de Referencia'!$B$2:$CO$584,50,FALSE)=0,0,"Digite"))</f>
        <v>0</v>
      </c>
      <c r="CX49" s="382">
        <f t="shared" si="20"/>
        <v>0</v>
      </c>
      <c r="CY49" s="382">
        <f t="shared" si="21"/>
        <v>0</v>
      </c>
      <c r="CZ49" s="453">
        <f>IF(OR('Parte Estrategica'!AK49=0,'Parte Estrategica'!AK49=""),0,IF(VLOOKUP($A49,'Matriz de Referencia'!$B$2:$CO$584,39,FALSE)=0,0,"Digite"))</f>
        <v>0</v>
      </c>
      <c r="DA49" s="454">
        <f>IF(OR('Parte Estrategica'!AK49=0,'Parte Estrategica'!AK49=""),0,IF(VLOOKUP($A49,'Matriz de Referencia'!$B$2:$CO$584,40,FALSE)=0,0,"Digite"))</f>
        <v>0</v>
      </c>
      <c r="DB49" s="454">
        <f>IF(OR('Parte Estrategica'!AK49=0,'Parte Estrategica'!AK49=""),0,IF(VLOOKUP($A49,'Matriz de Referencia'!$B$2:$CO$584,41,FALSE)=0,0,"Digite"))</f>
        <v>0</v>
      </c>
      <c r="DC49" s="454">
        <f>IF(OR('Parte Estrategica'!AK49=0,'Parte Estrategica'!AK49=""),0,IF(VLOOKUP($A49,'Matriz de Referencia'!$B$2:$CO$584,42,FALSE)=0,0,"Digite"))</f>
        <v>0</v>
      </c>
      <c r="DD49" s="454">
        <f>IF(OR('Parte Estrategica'!AK49=0,'Parte Estrategica'!AK49=""),0,IF(VLOOKUP($A49,'Matriz de Referencia'!$B$2:$CO$584,43,FALSE)=0,0,"Digite"))</f>
        <v>0</v>
      </c>
      <c r="DE49" s="454">
        <f>IF(OR('Parte Estrategica'!AK49=0,'Parte Estrategica'!AK49=""),0,IF(VLOOKUP($A49,'Matriz de Referencia'!$B$2:$CO$584,44,FALSE)=0,0,"Digite"))</f>
        <v>0</v>
      </c>
      <c r="DF49" s="454">
        <f>IF(OR('Parte Estrategica'!AK49=0,'Parte Estrategica'!AK49=""),0,IF(VLOOKUP($A49,'Matriz de Referencia'!$B$2:$CO$584,45,FALSE)=0,0,"Digite"))</f>
        <v>0</v>
      </c>
      <c r="DG49" s="454">
        <f>IF(OR('Parte Estrategica'!AK49=0,'Parte Estrategica'!AK49=""),0,IF(VLOOKUP($A49,'Matriz de Referencia'!$B$2:$CO$584,46,FALSE)=0,0,"Digite"))</f>
        <v>0</v>
      </c>
      <c r="DH49" s="382">
        <f t="shared" si="22"/>
        <v>0</v>
      </c>
      <c r="DI49" s="454">
        <f>IF(OR('Parte Estrategica'!AK49=0,'Parte Estrategica'!AK49=""),0,IF(VLOOKUP($A49,'Matriz de Referencia'!$B$2:$CO$584,48,FALSE)=0,0,"Digite"))</f>
        <v>0</v>
      </c>
      <c r="DJ49" s="454">
        <f>IF(OR('Parte Estrategica'!AK49=0,'Parte Estrategica'!AK49=""),0,IF(VLOOKUP($A49,'Matriz de Referencia'!$B$2:$CO$584,49,FALSE)=0,0,"Digite"))</f>
        <v>0</v>
      </c>
      <c r="DK49" s="454">
        <f>IF(OR('Parte Estrategica'!AK49=0,'Parte Estrategica'!AK49=""),0,IF(VLOOKUP($A49,'Matriz de Referencia'!$B$2:$CO$584,50,FALSE)=0,0,"Digite"))</f>
        <v>0</v>
      </c>
      <c r="DL49" s="382">
        <f t="shared" si="23"/>
        <v>0</v>
      </c>
      <c r="DM49" s="382">
        <f t="shared" si="24"/>
        <v>0</v>
      </c>
      <c r="DN49" s="382">
        <f t="shared" si="25"/>
        <v>0</v>
      </c>
      <c r="DO49" s="101" t="str">
        <f>IFERROR(IF(DN49=0,"",IF(VLOOKUP($A49,'Matriz de Referencia'!$B$2:$CO$584,52,FALSE)=DN49,"Techos ok, cotinue","Debe revisar el valor programado")),"")</f>
        <v/>
      </c>
      <c r="DP49" s="453">
        <f>IF(OR('Parte Estrategica'!AN49=0,'Parte Estrategica'!AN49=""),0,IF(VLOOKUP($A49,'Matriz de Referencia'!$B$2:$CO$584,53,FALSE)=0,0,"Digite"))</f>
        <v>0</v>
      </c>
      <c r="DQ49" s="454">
        <f>IF(OR('Parte Estrategica'!AN49=0,'Parte Estrategica'!AN49=""),0,IF(VLOOKUP($A49,'Matriz de Referencia'!$B$2:$CO$584,54,FALSE)=0,0,"Digite"))</f>
        <v>0</v>
      </c>
      <c r="DR49" s="454">
        <f>IF(OR('Parte Estrategica'!AN49=0,'Parte Estrategica'!AN49=""),0,IF(VLOOKUP($A49,'Matriz de Referencia'!$B$2:$CO$584,55,FALSE)=0,0,"Digite"))</f>
        <v>0</v>
      </c>
      <c r="DS49" s="454">
        <f>IF(OR('Parte Estrategica'!AN49=0,'Parte Estrategica'!AN49=""),0,IF(VLOOKUP($A49,'Matriz de Referencia'!$B$2:$CO$584,56,FALSE)=0,0,"Digite"))</f>
        <v>0</v>
      </c>
      <c r="DT49" s="454">
        <f>IF(OR('Parte Estrategica'!AN49=0,'Parte Estrategica'!AN49=""),0,IF(VLOOKUP($A49,'Matriz de Referencia'!$B$2:$CO$584,57,FALSE)=0,0,"Digite"))</f>
        <v>0</v>
      </c>
      <c r="DU49" s="454">
        <f>IF(OR('Parte Estrategica'!AN49=0,'Parte Estrategica'!AN49=""),0,IF(VLOOKUP($A49,'Matriz de Referencia'!$B$2:$CO$584,58,FALSE)=0,0,"Digite"))</f>
        <v>0</v>
      </c>
      <c r="DV49" s="454">
        <f>IF(OR('Parte Estrategica'!AN49=0,'Parte Estrategica'!AN49=""),0,IF(VLOOKUP($A49,'Matriz de Referencia'!$B$2:$CO$584,59,FALSE)=0,0,"Digite"))</f>
        <v>0</v>
      </c>
      <c r="DW49" s="454">
        <f>IF(OR('Parte Estrategica'!AN49=0,'Parte Estrategica'!AN49=""),0,IF(VLOOKUP($A49,'Matriz de Referencia'!$B$2:$CO$584,60,FALSE)=0,0,"Digite"))</f>
        <v>0</v>
      </c>
      <c r="DX49" s="382">
        <f t="shared" si="26"/>
        <v>0</v>
      </c>
      <c r="DY49" s="454">
        <f>IF(OR('Parte Estrategica'!AN49=0,'Parte Estrategica'!AN49=""),0,IF(VLOOKUP($A49,'Matriz de Referencia'!$B$2:$CO$584,62,FALSE)=0,0,"Digite"))</f>
        <v>0</v>
      </c>
      <c r="DZ49" s="454">
        <f>IF(OR('Parte Estrategica'!AN49=0,'Parte Estrategica'!AN49=""),0,IF(VLOOKUP($A49,'Matriz de Referencia'!$B$2:$CO$584,63,FALSE)=0,0,"Digite"))</f>
        <v>0</v>
      </c>
      <c r="EA49" s="454" t="str">
        <f>IF(OR('Parte Estrategica'!AN49=0,'Parte Estrategica'!AN49=""),"",IF(VLOOKUP($A49,'Matriz de Referencia'!$B$2:$CO$584,64,FALSE)=0,"","Digite"))</f>
        <v/>
      </c>
      <c r="EB49" s="382">
        <f t="shared" si="27"/>
        <v>0</v>
      </c>
      <c r="EC49" s="382">
        <f t="shared" si="28"/>
        <v>0</v>
      </c>
      <c r="ED49" s="453">
        <f>IF(OR('Parte Estrategica'!AO49=0,'Parte Estrategica'!AO49=""),0,IF(VLOOKUP($A49,'Matriz de Referencia'!$B$2:$CO$584,53,FALSE)=0,0,"Digite"))</f>
        <v>0</v>
      </c>
      <c r="EE49" s="454">
        <f>IF(OR('Parte Estrategica'!AO49=0,'Parte Estrategica'!AO49=""),0,IF(VLOOKUP($A49,'Matriz de Referencia'!$B$2:$CO$584,54,FALSE)=0,0,"Digite"))</f>
        <v>0</v>
      </c>
      <c r="EF49" s="454">
        <f>IF(OR('Parte Estrategica'!AO49=0,'Parte Estrategica'!AO49=""),0,IF(VLOOKUP($A49,'Matriz de Referencia'!$B$2:$CO$584,55,FALSE)=0,0,"Digite"))</f>
        <v>0</v>
      </c>
      <c r="EG49" s="454">
        <f>IF(OR('Parte Estrategica'!AO49=0,'Parte Estrategica'!AO49=""),0,IF(VLOOKUP($A49,'Matriz de Referencia'!$B$2:$CO$584,56,FALSE)=0,0,"Digite"))</f>
        <v>0</v>
      </c>
      <c r="EH49" s="454">
        <f>IF(OR('Parte Estrategica'!AO49=0,'Parte Estrategica'!AO49=""),0,IF(VLOOKUP($A49,'Matriz de Referencia'!$B$2:$CO$584,57,FALSE)=0,0,"Digite"))</f>
        <v>0</v>
      </c>
      <c r="EI49" s="454">
        <f>IF(OR('Parte Estrategica'!AO49=0,'Parte Estrategica'!AO49=""),0,IF(VLOOKUP($A49,'Matriz de Referencia'!$B$2:$CO$584,58,FALSE)=0,0,"Digite"))</f>
        <v>0</v>
      </c>
      <c r="EJ49" s="454">
        <f>IF(OR('Parte Estrategica'!AO49=0,'Parte Estrategica'!AO49=""),0,IF(VLOOKUP($A49,'Matriz de Referencia'!$B$2:$CO$584,59,FALSE)=0,0,"Digite"))</f>
        <v>0</v>
      </c>
      <c r="EK49" s="454">
        <f>IF(OR('Parte Estrategica'!AO49=0,'Parte Estrategica'!AO49=""),0,IF(VLOOKUP($A49,'Matriz de Referencia'!$B$2:$CO$584,60,FALSE)=0,0,"Digite"))</f>
        <v>0</v>
      </c>
      <c r="EL49" s="382">
        <f t="shared" si="29"/>
        <v>0</v>
      </c>
      <c r="EM49" s="454">
        <f>IF(OR('Parte Estrategica'!AO49=0,'Parte Estrategica'!AO49=""),0,IF(VLOOKUP($A49,'Matriz de Referencia'!$B$2:$CO$584,62,FALSE)=0,0,"Digite"))</f>
        <v>0</v>
      </c>
      <c r="EN49" s="454">
        <f>IF(OR('Parte Estrategica'!AO49=0,'Parte Estrategica'!AO49=""),0,IF(VLOOKUP($A49,'Matriz de Referencia'!$B$2:$CO$584,63,FALSE)=0,0,"Digite"))</f>
        <v>0</v>
      </c>
      <c r="EO49" s="454">
        <f>IF(OR('Parte Estrategica'!AO49=0,'Parte Estrategica'!AO49=""),0,IF(VLOOKUP($A49,'Matriz de Referencia'!$B$2:$CO$584,64,FALSE)=0,0,"Digite"))</f>
        <v>0</v>
      </c>
      <c r="EP49" s="382">
        <f t="shared" si="30"/>
        <v>0</v>
      </c>
      <c r="EQ49" s="382">
        <f t="shared" si="31"/>
        <v>0</v>
      </c>
      <c r="ER49" s="453">
        <f>IF(OR('Parte Estrategica'!AP49=0,'Parte Estrategica'!AP49=""),0,IF(VLOOKUP($A49,'Matriz de Referencia'!$B$2:$CO$584,53,FALSE)=0,0,"Digite"))</f>
        <v>0</v>
      </c>
      <c r="ES49" s="454">
        <f>IF(OR('Parte Estrategica'!AP49=0,'Parte Estrategica'!AP49=""),0,IF(VLOOKUP($A49,'Matriz de Referencia'!$B$2:$CO$584,54,FALSE)=0,0,"Digite"))</f>
        <v>0</v>
      </c>
      <c r="ET49" s="454">
        <f>IF(OR('Parte Estrategica'!AP49=0,'Parte Estrategica'!AP49=""),0,IF(VLOOKUP($A49,'Matriz de Referencia'!$B$2:$CO$584,55,FALSE)=0,0,"Digite"))</f>
        <v>0</v>
      </c>
      <c r="EU49" s="454">
        <f>IF(OR('Parte Estrategica'!AP49=0,'Parte Estrategica'!AP49=""),0,IF(VLOOKUP($A49,'Matriz de Referencia'!$B$2:$CO$584,56,FALSE)=0,0,"Digite"))</f>
        <v>0</v>
      </c>
      <c r="EV49" s="454">
        <f>IF(OR('Parte Estrategica'!AP49=0,'Parte Estrategica'!AP49=""),0,IF(VLOOKUP($A49,'Matriz de Referencia'!$B$2:$CO$584,57,FALSE)=0,0,"Digite"))</f>
        <v>0</v>
      </c>
      <c r="EW49" s="454">
        <f>IF(OR('Parte Estrategica'!AP49=0,'Parte Estrategica'!AP49=""),0,IF(VLOOKUP($A49,'Matriz de Referencia'!$B$2:$CO$584,58,FALSE)=0,0,"Digite"))</f>
        <v>0</v>
      </c>
      <c r="EX49" s="454">
        <f>IF(OR('Parte Estrategica'!AP49=0,'Parte Estrategica'!AP49=""),0,IF(VLOOKUP($A49,'Matriz de Referencia'!$B$2:$CO$584,59,FALSE)=0,0,"Digite"))</f>
        <v>0</v>
      </c>
      <c r="EY49" s="454">
        <f>IF(OR('Parte Estrategica'!AP49=0,'Parte Estrategica'!AP49=""),0,IF(VLOOKUP($A49,'Matriz de Referencia'!$B$2:$CO$584,60,FALSE)=0,0,"Digite"))</f>
        <v>0</v>
      </c>
      <c r="EZ49" s="382">
        <f t="shared" si="32"/>
        <v>0</v>
      </c>
      <c r="FA49" s="454">
        <f>IF(OR('Parte Estrategica'!AP49=0,'Parte Estrategica'!AP49=""),0,IF(VLOOKUP($A49,'Matriz de Referencia'!$B$2:$CO$584,62,FALSE)=0,0,"Digite"))</f>
        <v>0</v>
      </c>
      <c r="FB49" s="454">
        <f>IF(OR('Parte Estrategica'!AP49=0,'Parte Estrategica'!AP49=""),0,IF(VLOOKUP($A49,'Matriz de Referencia'!$B$2:$CO$584,63,FALSE)=0,0,"Digite"))</f>
        <v>0</v>
      </c>
      <c r="FC49" s="454">
        <f>IF(OR('Parte Estrategica'!AP49=0,'Parte Estrategica'!AP49=""),0,IF(VLOOKUP($A49,'Matriz de Referencia'!$B$2:$CO$584,64,FALSE)=0,0,"Digite"))</f>
        <v>0</v>
      </c>
      <c r="FD49" s="382">
        <f t="shared" si="33"/>
        <v>0</v>
      </c>
      <c r="FE49" s="382">
        <f t="shared" si="34"/>
        <v>0</v>
      </c>
      <c r="FF49" s="453">
        <f>IF(OR('Parte Estrategica'!AQ49=0,'Parte Estrategica'!AQ49=""),0,IF(VLOOKUP($A49,'Matriz de Referencia'!$B$2:$CO$584,53,FALSE)=0,0,"Digite"))</f>
        <v>0</v>
      </c>
      <c r="FG49" s="454">
        <f>IF(OR('Parte Estrategica'!AQ49=0,'Parte Estrategica'!AQ49=""),0,IF(VLOOKUP($A49,'Matriz de Referencia'!$B$2:$CO$584,54,FALSE)=0,0,"Digite"))</f>
        <v>0</v>
      </c>
      <c r="FH49" s="454">
        <f>IF(OR('Parte Estrategica'!AQ49=0,'Parte Estrategica'!AQ49=""),0,IF(VLOOKUP($A49,'Matriz de Referencia'!$B$2:$CO$584,55,FALSE)=0,0,"Digite"))</f>
        <v>0</v>
      </c>
      <c r="FI49" s="454">
        <f>IF(OR('Parte Estrategica'!AQ49=0,'Parte Estrategica'!AQ49=""),0,IF(VLOOKUP($A49,'Matriz de Referencia'!$B$2:$CO$584,56,FALSE)=0,0,"Digite"))</f>
        <v>0</v>
      </c>
      <c r="FJ49" s="454">
        <f>IF(OR('Parte Estrategica'!AQ49=0,'Parte Estrategica'!AQ49=""),0,IF(VLOOKUP($A49,'Matriz de Referencia'!$B$2:$CO$584,57,FALSE)=0,0,"Digite"))</f>
        <v>0</v>
      </c>
      <c r="FK49" s="454">
        <f>IF(OR('Parte Estrategica'!AQ49=0,'Parte Estrategica'!AQ49=""),0,IF(VLOOKUP($A49,'Matriz de Referencia'!$B$2:$CO$584,58,FALSE)=0,0,"Digite"))</f>
        <v>0</v>
      </c>
      <c r="FL49" s="454">
        <f>IF(OR('Parte Estrategica'!AQ49=0,'Parte Estrategica'!AQ49=""),0,IF(VLOOKUP($A49,'Matriz de Referencia'!$B$2:$CO$584,59,FALSE)=0,0,"Digite"))</f>
        <v>0</v>
      </c>
      <c r="FM49" s="454">
        <f>IF(OR('Parte Estrategica'!AQ49=0,'Parte Estrategica'!AQ49=""),0,IF(VLOOKUP($A49,'Matriz de Referencia'!$B$2:$CO$584,60,FALSE)=0,0,"Digite"))</f>
        <v>0</v>
      </c>
      <c r="FN49" s="382">
        <f t="shared" si="35"/>
        <v>0</v>
      </c>
      <c r="FO49" s="454">
        <f>IF(OR('Parte Estrategica'!AQ49=0,'Parte Estrategica'!AQ49=""),0,IF(VLOOKUP($A49,'Matriz de Referencia'!$B$2:$CO$584,62,FALSE)=0,0,"Digite"))</f>
        <v>0</v>
      </c>
      <c r="FP49" s="454">
        <f>IF(OR('Parte Estrategica'!AQ49=0,'Parte Estrategica'!AQ49=""),0,IF(VLOOKUP($A49,'Matriz de Referencia'!$B$2:$CO$584,63,FALSE)=0,0,"Digite"))</f>
        <v>0</v>
      </c>
      <c r="FQ49" s="454">
        <f>IF(OR('Parte Estrategica'!AQ49=0,'Parte Estrategica'!AQ49=""),0,IF(VLOOKUP($A49,'Matriz de Referencia'!$B$2:$CO$584,64,FALSE)=0,0,"Digite"))</f>
        <v>0</v>
      </c>
      <c r="FR49" s="382">
        <f t="shared" si="36"/>
        <v>0</v>
      </c>
      <c r="FS49" s="382">
        <f t="shared" si="37"/>
        <v>0</v>
      </c>
      <c r="FT49" s="382">
        <f t="shared" si="38"/>
        <v>0</v>
      </c>
      <c r="FU49" s="101" t="str">
        <f>IFERROR(IF(FT49=0,"",IF(VLOOKUP($A49,'Matriz de Referencia'!$B$2:$CO$584,66,FALSE)=FT49,"Techos ok, cotinue","Debe revisar el valor programado")),"")</f>
        <v/>
      </c>
      <c r="FV49" s="453">
        <f>IF(OR('Parte Estrategica'!AT49=0,'Parte Estrategica'!AT49=""),0,IF(VLOOKUP($A49,'Matriz de Referencia'!$B$2:$CO$584,67,FALSE)=0,0,"Digite"))</f>
        <v>0</v>
      </c>
      <c r="FW49" s="454">
        <f>IF(OR('Parte Estrategica'!AT49=0,'Parte Estrategica'!AT49=""),0,IF(VLOOKUP($A49,'Matriz de Referencia'!$B$2:$CO$584,68,FALSE)=0,0,"Digite"))</f>
        <v>0</v>
      </c>
      <c r="FX49" s="454">
        <f>IF(OR('Parte Estrategica'!AT49=0,'Parte Estrategica'!AT49=""),0,IF(VLOOKUP($A49,'Matriz de Referencia'!$B$2:$CO$584,69,FALSE)=0,0,"Digite"))</f>
        <v>0</v>
      </c>
      <c r="FY49" s="454">
        <f>IF(OR('Parte Estrategica'!AT49=0,'Parte Estrategica'!AT49=""),0,IF(VLOOKUP($A49,'Matriz de Referencia'!$B$2:$CO$584,70,FALSE)=0,0,"Digite"))</f>
        <v>0</v>
      </c>
      <c r="FZ49" s="454">
        <f>IF(OR('Parte Estrategica'!AT49=0,'Parte Estrategica'!AT49=""),0,IF(VLOOKUP($A49,'Matriz de Referencia'!$B$2:$CO$584,71,FALSE)=0,0,"Digite"))</f>
        <v>0</v>
      </c>
      <c r="GA49" s="454">
        <f>IF(OR('Parte Estrategica'!AT49=0,'Parte Estrategica'!AT49=""),0,IF(VLOOKUP($A49,'Matriz de Referencia'!$B$2:$CO$584,72,FALSE)=0,0,"Digite"))</f>
        <v>0</v>
      </c>
      <c r="GB49" s="454">
        <f>IF(OR('Parte Estrategica'!AT49=0,'Parte Estrategica'!AT49=""),0,IF(VLOOKUP($A49,'Matriz de Referencia'!$B$2:$CO$584,73,FALSE)=0,0,"Digite"))</f>
        <v>0</v>
      </c>
      <c r="GC49" s="454">
        <f>IF(OR('Parte Estrategica'!AT49=0,'Parte Estrategica'!AT49=""),0,IF(VLOOKUP($A49,'Matriz de Referencia'!$B$2:$CO$584,74,FALSE)=0,0,"Digite"))</f>
        <v>0</v>
      </c>
      <c r="GD49" s="382">
        <f t="shared" si="39"/>
        <v>0</v>
      </c>
      <c r="GE49" s="454">
        <f>IF(OR('Parte Estrategica'!AT49=0,'Parte Estrategica'!AT49=""),0,IF(VLOOKUP($A49,'Matriz de Referencia'!$B$2:$CO$584,76,FALSE)=0,0,"Digite"))</f>
        <v>0</v>
      </c>
      <c r="GF49" s="454">
        <f>IF(OR('Parte Estrategica'!AT49=0,'Parte Estrategica'!AT49=""),0,IF(VLOOKUP($A49,'Matriz de Referencia'!$B$2:$CO$584,77,FALSE)=0,0,"Digite"))</f>
        <v>0</v>
      </c>
      <c r="GG49" s="454">
        <f>IF(OR('Parte Estrategica'!AT49=0,'Parte Estrategica'!AT49=""),0,IF(VLOOKUP($A49,'Matriz de Referencia'!$B$2:$CO$584,78,FALSE)=0,0,"Digite"))</f>
        <v>0</v>
      </c>
      <c r="GH49" s="382">
        <f t="shared" si="40"/>
        <v>0</v>
      </c>
      <c r="GI49" s="382">
        <f t="shared" si="41"/>
        <v>0</v>
      </c>
      <c r="GJ49" s="453">
        <f>IF(OR('Parte Estrategica'!AU49=0,'Parte Estrategica'!AU49=""),0,IF(VLOOKUP($A49,'Matriz de Referencia'!$B$2:$CO$584,67,FALSE)=0,0,"Digite"))</f>
        <v>0</v>
      </c>
      <c r="GK49" s="454">
        <f>IF(OR('Parte Estrategica'!AU49=0,'Parte Estrategica'!AU49=""),0,IF(VLOOKUP($A49,'Matriz de Referencia'!$B$2:$CO$584,68,FALSE)=0,0,"Digite"))</f>
        <v>0</v>
      </c>
      <c r="GL49" s="454">
        <f>IF(OR('Parte Estrategica'!AU49=0,'Parte Estrategica'!AU49=""),0,IF(VLOOKUP($A49,'Matriz de Referencia'!$B$2:$CO$584,69,FALSE)=0,0,"Digite"))</f>
        <v>0</v>
      </c>
      <c r="GM49" s="454">
        <f>IF(OR('Parte Estrategica'!AU49=0,'Parte Estrategica'!AU49=""),0,IF(VLOOKUP($A49,'Matriz de Referencia'!$B$2:$CO$584,70,FALSE)=0,0,"Digite"))</f>
        <v>0</v>
      </c>
      <c r="GN49" s="454">
        <f>IF(OR('Parte Estrategica'!AU49=0,'Parte Estrategica'!AU49=""),0,IF(VLOOKUP($A49,'Matriz de Referencia'!$B$2:$CO$584,71,FALSE)=0,0,"Digite"))</f>
        <v>0</v>
      </c>
      <c r="GO49" s="454">
        <f>IF(OR('Parte Estrategica'!AU49=0,'Parte Estrategica'!AU49=""),0,IF(VLOOKUP($A49,'Matriz de Referencia'!$B$2:$CO$584,72,FALSE)=0,0,"Digite"))</f>
        <v>0</v>
      </c>
      <c r="GP49" s="454">
        <f>IF(OR('Parte Estrategica'!AU49=0,'Parte Estrategica'!AU49=""),0,IF(VLOOKUP($A49,'Matriz de Referencia'!$B$2:$CO$584,73,FALSE)=0,0,"Digite"))</f>
        <v>0</v>
      </c>
      <c r="GQ49" s="454">
        <f>IF(OR('Parte Estrategica'!AU49=0,'Parte Estrategica'!AU49=""),0,IF(VLOOKUP($A49,'Matriz de Referencia'!$B$2:$CO$584,74,FALSE)=0,0,"Digite"))</f>
        <v>0</v>
      </c>
      <c r="GR49" s="382">
        <f t="shared" si="42"/>
        <v>0</v>
      </c>
      <c r="GS49" s="454">
        <f>IF(OR('Parte Estrategica'!AU49=0,'Parte Estrategica'!AU49=""),0,IF(VLOOKUP($A49,'Matriz de Referencia'!$B$2:$CO$584,76,FALSE)=0,0,"Digite"))</f>
        <v>0</v>
      </c>
      <c r="GT49" s="454">
        <f>IF(OR('Parte Estrategica'!AU49=0,'Parte Estrategica'!AU49=""),0,IF(VLOOKUP($A49,'Matriz de Referencia'!$B$2:$CO$584,77,FALSE)=0,0,"Digite"))</f>
        <v>0</v>
      </c>
      <c r="GU49" s="454">
        <f>IF(OR('Parte Estrategica'!AU49=0,'Parte Estrategica'!AU49=""),0,IF(VLOOKUP($A49,'Matriz de Referencia'!$B$2:$CO$584,78,FALSE)=0,0,"Digite"))</f>
        <v>0</v>
      </c>
      <c r="GV49" s="382">
        <f t="shared" si="43"/>
        <v>0</v>
      </c>
      <c r="GW49" s="382">
        <f t="shared" si="44"/>
        <v>0</v>
      </c>
      <c r="GX49" s="453">
        <f>IF(OR('Parte Estrategica'!AV49=0,'Parte Estrategica'!AV49=""),0,IF(VLOOKUP($A49,'Matriz de Referencia'!$B$2:$CO$584,67,FALSE)=0,0,"Digite"))</f>
        <v>0</v>
      </c>
      <c r="GY49" s="454">
        <f>IF(OR('Parte Estrategica'!AV49=0,'Parte Estrategica'!AV49=""),0,IF(VLOOKUP($A49,'Matriz de Referencia'!$B$2:$CO$584,68,FALSE)=0,0,"Digite"))</f>
        <v>0</v>
      </c>
      <c r="GZ49" s="454">
        <f>IF(OR('Parte Estrategica'!AV49=0,'Parte Estrategica'!AV49=""),0,IF(VLOOKUP($A49,'Matriz de Referencia'!$B$2:$CO$584,69,FALSE)=0,0,"Digite"))</f>
        <v>0</v>
      </c>
      <c r="HA49" s="454">
        <f>IF(OR('Parte Estrategica'!AV49=0,'Parte Estrategica'!AV49=""),0,IF(VLOOKUP($A49,'Matriz de Referencia'!$B$2:$CO$584,70,FALSE)=0,0,"Digite"))</f>
        <v>0</v>
      </c>
      <c r="HB49" s="454">
        <f>IF(OR('Parte Estrategica'!AV49=0,'Parte Estrategica'!AV49=""),0,IF(VLOOKUP($A49,'Matriz de Referencia'!$B$2:$CO$584,71,FALSE)=0,0,"Digite"))</f>
        <v>0</v>
      </c>
      <c r="HC49" s="454">
        <f>IF(OR('Parte Estrategica'!AV49=0,'Parte Estrategica'!AV49=""),0,IF(VLOOKUP($A49,'Matriz de Referencia'!$B$2:$CO$584,72,FALSE)=0,0,"Digite"))</f>
        <v>0</v>
      </c>
      <c r="HD49" s="454">
        <f>IF(OR('Parte Estrategica'!AV49=0,'Parte Estrategica'!AV49=""),0,IF(VLOOKUP($A49,'Matriz de Referencia'!$B$2:$CO$584,73,FALSE)=0,0,"Digite"))</f>
        <v>0</v>
      </c>
      <c r="HE49" s="454">
        <f>IF(OR('Parte Estrategica'!AV49=0,'Parte Estrategica'!AV49=""),0,IF(VLOOKUP($A49,'Matriz de Referencia'!$B$2:$CO$584,74,FALSE)=0,0,"Digite"))</f>
        <v>0</v>
      </c>
      <c r="HF49" s="382">
        <f t="shared" si="45"/>
        <v>0</v>
      </c>
      <c r="HG49" s="454">
        <f>IF(OR('Parte Estrategica'!AV49=0,'Parte Estrategica'!AV49=""),0,IF(VLOOKUP($A49,'Matriz de Referencia'!$B$2:$CO$584,76,FALSE)=0,0,"Digite"))</f>
        <v>0</v>
      </c>
      <c r="HH49" s="454">
        <f>IF(OR('Parte Estrategica'!AV49=0,'Parte Estrategica'!AV49=""),0,IF(VLOOKUP($A49,'Matriz de Referencia'!$B$2:$CO$584,77,FALSE)=0,0,"Digite"))</f>
        <v>0</v>
      </c>
      <c r="HI49" s="454">
        <f>IF(OR('Parte Estrategica'!AV49=0,'Parte Estrategica'!AV49=""),0,IF(VLOOKUP($A49,'Matriz de Referencia'!$B$2:$CO$584,78,FALSE)=0,0,"Digite"))</f>
        <v>0</v>
      </c>
      <c r="HJ49" s="382">
        <f t="shared" si="46"/>
        <v>0</v>
      </c>
      <c r="HK49" s="382">
        <f t="shared" si="47"/>
        <v>0</v>
      </c>
      <c r="HL49" s="453">
        <f>IF(OR('Parte Estrategica'!AW49=0,'Parte Estrategica'!AW49=""),0,IF(VLOOKUP($A49,'Matriz de Referencia'!$B$2:$CO$584,67,FALSE)=0,0,"Digite"))</f>
        <v>0</v>
      </c>
      <c r="HM49" s="454">
        <f>IF(OR('Parte Estrategica'!AW49=0,'Parte Estrategica'!AW49=""),0,IF(VLOOKUP($A49,'Matriz de Referencia'!$B$2:$CO$584,68,FALSE)=0,0,"Digite"))</f>
        <v>0</v>
      </c>
      <c r="HN49" s="454">
        <f>IF(OR('Parte Estrategica'!AW49=0,'Parte Estrategica'!AW49=""),0,IF(VLOOKUP($A49,'Matriz de Referencia'!$B$2:$CO$584,69,FALSE)=0,0,"Digite"))</f>
        <v>0</v>
      </c>
      <c r="HO49" s="454">
        <f>IF(OR('Parte Estrategica'!AW49=0,'Parte Estrategica'!AW49=""),0,IF(VLOOKUP($A49,'Matriz de Referencia'!$B$2:$CO$584,70,FALSE)=0,0,"Digite"))</f>
        <v>0</v>
      </c>
      <c r="HP49" s="454">
        <f>IF(OR('Parte Estrategica'!AW49=0,'Parte Estrategica'!AW49=""),0,IF(VLOOKUP($A49,'Matriz de Referencia'!$B$2:$CO$584,71,FALSE)=0,0,"Digite"))</f>
        <v>0</v>
      </c>
      <c r="HQ49" s="454">
        <f>IF(OR('Parte Estrategica'!AW49=0,'Parte Estrategica'!AW49=""),0,IF(VLOOKUP($A49,'Matriz de Referencia'!$B$2:$CO$584,72,FALSE)=0,0,"Digite"))</f>
        <v>0</v>
      </c>
      <c r="HR49" s="454">
        <f>IF(OR('Parte Estrategica'!AW49=0,'Parte Estrategica'!AW49=""),0,IF(VLOOKUP($A49,'Matriz de Referencia'!$B$2:$CO$584,73,FALSE)=0,0,"Digite"))</f>
        <v>0</v>
      </c>
      <c r="HS49" s="454">
        <f>IF(OR('Parte Estrategica'!AW49=0,'Parte Estrategica'!AW49=""),0,IF(VLOOKUP($A49,'Matriz de Referencia'!$B$2:$CO$584,74,FALSE)=0,0,"Digite"))</f>
        <v>0</v>
      </c>
      <c r="HT49" s="382">
        <f t="shared" si="48"/>
        <v>0</v>
      </c>
      <c r="HU49" s="454">
        <f>IF(OR('Parte Estrategica'!AW49=0,'Parte Estrategica'!AW49=""),0,IF(VLOOKUP($A49,'Matriz de Referencia'!$B$2:$CO$584,76,FALSE)=0,0,"Digite"))</f>
        <v>0</v>
      </c>
      <c r="HV49" s="454">
        <f>IF(OR('Parte Estrategica'!AW49=0,'Parte Estrategica'!AW49=""),0,IF(VLOOKUP($A49,'Matriz de Referencia'!$B$2:$CO$584,77,FALSE)=0,0,"Digite"))</f>
        <v>0</v>
      </c>
      <c r="HW49" s="454">
        <f>IF(OR('Parte Estrategica'!AW49=0,'Parte Estrategica'!AW49=""),0,IF(VLOOKUP($A49,'Matriz de Referencia'!$B$2:$CO$584,78,FALSE)=0,0,"Digite"))</f>
        <v>0</v>
      </c>
      <c r="HX49" s="382">
        <f t="shared" si="49"/>
        <v>0</v>
      </c>
      <c r="HY49" s="382">
        <f t="shared" si="50"/>
        <v>0</v>
      </c>
      <c r="HZ49" s="382">
        <f t="shared" si="51"/>
        <v>0</v>
      </c>
      <c r="IA49" s="101" t="str">
        <f>IFERROR(IF(HZ49=0,"",IF(VLOOKUP($A49,'Matriz de Referencia'!$B$2:$CO$584,80,FALSE)=HZ49,"Techos ok, cotinue","Debe revisar el valor programado")),"")</f>
        <v/>
      </c>
      <c r="IB49" s="383">
        <f t="shared" si="52"/>
        <v>0</v>
      </c>
    </row>
    <row r="50" spans="1:236">
      <c r="A50" s="550" t="str">
        <f>IF('Parte Estrategica'!B50=0,"",'Parte Estrategica'!B50)</f>
        <v/>
      </c>
      <c r="B50" s="551" t="str">
        <f>IFERROR(VLOOKUP(A50,'Matriz de Referencia'!$B$2:$P$578,'Matriz de Referencia'!L$1,FALSE),"")</f>
        <v/>
      </c>
      <c r="C50" s="551" t="str">
        <f>IFERROR(VLOOKUP(A50,'Matriz de Referencia'!$B$2:$P$584,'Matriz de Referencia'!M$1,FALSE),"")</f>
        <v/>
      </c>
      <c r="D50" s="455" t="str">
        <f>IF(OR('Parte Estrategica'!AB50=0,'Parte Estrategica'!AB50=""),"",IF(VLOOKUP($A50,'Matriz de Referencia'!$B$2:$CO$584,'Matriz de Referencia'!Z$1,FALSE)=0,"","Digite"))</f>
        <v/>
      </c>
      <c r="E50" s="456">
        <f>IF(OR('Parte Estrategica'!AB50=0,'Parte Estrategica'!AB50=""),0,IF(VLOOKUP($A50,'Matriz de Referencia'!$B$2:$CO$584,26,FALSE)=0,0,"Digite"))</f>
        <v>0</v>
      </c>
      <c r="F50" s="456">
        <f>IF(OR('Parte Estrategica'!AB50=0,'Parte Estrategica'!AB50=""),0,IF(VLOOKUP($A50,'Matriz de Referencia'!$B$2:$CO$584,27,FALSE)=0,0,"Digite"))</f>
        <v>0</v>
      </c>
      <c r="G50" s="456">
        <f>IF(OR('Parte Estrategica'!AB50=0,'Parte Estrategica'!AB50=""),0,IF(VLOOKUP($A50,'Matriz de Referencia'!$B$2:$CO$584,28,FALSE)=0,0,"Digite"))</f>
        <v>0</v>
      </c>
      <c r="H50" s="456">
        <f>IF(OR('Parte Estrategica'!AB50=0,'Parte Estrategica'!AB50=""),0,IF(VLOOKUP($A50,'Matriz de Referencia'!$B$2:$CO$584,29,FALSE)=0,0,"Digite"))</f>
        <v>0</v>
      </c>
      <c r="I50" s="456">
        <f>IF(OR('Parte Estrategica'!AB50=0,'Parte Estrategica'!AB50=""),0,IF(VLOOKUP($A50,'Matriz de Referencia'!$B$2:$CO$584,30,FALSE)=0,0,"Digite"))</f>
        <v>0</v>
      </c>
      <c r="J50" s="456">
        <f>IF(OR('Parte Estrategica'!AB50=0,'Parte Estrategica'!AB50=""),0,IF(VLOOKUP($A50,'Matriz de Referencia'!$B$2:$CO$584,31,FALSE)=0,0,"Digite"))</f>
        <v>0</v>
      </c>
      <c r="K50" s="456">
        <f>IF(OR('Parte Estrategica'!AB50=0,'Parte Estrategica'!AB50=""),0,IF(VLOOKUP($A50,'Matriz de Referencia'!$B$2:$CO$584,32,FALSE)=0,0,"Digite"))</f>
        <v>0</v>
      </c>
      <c r="L50" s="460">
        <f t="shared" si="0"/>
        <v>0</v>
      </c>
      <c r="M50" s="456">
        <f>IF(OR('Parte Estrategica'!AB50=0,'Parte Estrategica'!AB50=""),0,IF(VLOOKUP($A50,'Matriz de Referencia'!$B$2:$CO$584,34,FALSE)=0,0,"Digite"))</f>
        <v>0</v>
      </c>
      <c r="N50" s="456">
        <f>IF(OR('Parte Estrategica'!AB50=0,'Parte Estrategica'!AB50=""),0,IF(VLOOKUP($A50,'Matriz de Referencia'!$B$2:$CO$584,35,FALSE)=0,0,"Digite"))</f>
        <v>0</v>
      </c>
      <c r="O50" s="456">
        <f>IF(OR('Parte Estrategica'!AB50=0,'Parte Estrategica'!AB50=""),0,IF(VLOOKUP($A50,'Matriz de Referencia'!$B$2:$CO$584,36,FALSE)=0,0,"Digite"))</f>
        <v>0</v>
      </c>
      <c r="P50" s="457">
        <f t="shared" si="1"/>
        <v>0</v>
      </c>
      <c r="Q50" s="457">
        <f t="shared" si="2"/>
        <v>0</v>
      </c>
      <c r="R50" s="455">
        <f>IF(OR('Parte Estrategica'!AC50=0,'Parte Estrategica'!AC50=""),0,IF(VLOOKUP($A50,'Matriz de Referencia'!$B$2:$CO$584,25,FALSE)=0,0,"Digite"))</f>
        <v>0</v>
      </c>
      <c r="S50" s="456">
        <f>IF(OR('Parte Estrategica'!AC50=0,'Parte Estrategica'!AC50=""),0,IF(VLOOKUP($A50,'Matriz de Referencia'!$B$2:$CO$584,26,FALSE)=0,0,"Digite"))</f>
        <v>0</v>
      </c>
      <c r="T50" s="456">
        <f>IF(OR('Parte Estrategica'!AC50=0,'Parte Estrategica'!AC50=""),0,IF(VLOOKUP($A50,'Matriz de Referencia'!$B$2:$CO$584,27,FALSE)=0,0,"Digite"))</f>
        <v>0</v>
      </c>
      <c r="U50" s="456">
        <f>IF(OR('Parte Estrategica'!AC50=0,'Parte Estrategica'!AC50=""),0,IF(VLOOKUP($A50,'Matriz de Referencia'!$B$2:$CO$584,28,FALSE)=0,0,"Digite"))</f>
        <v>0</v>
      </c>
      <c r="V50" s="456">
        <f>IF(OR('Parte Estrategica'!AC50=0,'Parte Estrategica'!AC50=""),0,IF(VLOOKUP($A50,'Matriz de Referencia'!$B$2:$CO$584,29,FALSE)=0,0,"Digite"))</f>
        <v>0</v>
      </c>
      <c r="W50" s="456">
        <f>IF(OR('Parte Estrategica'!AC50=0,'Parte Estrategica'!AC50=""),0,IF(VLOOKUP($A50,'Matriz de Referencia'!$B$2:$CO$584,30,FALSE)=0,0,"Digite"))</f>
        <v>0</v>
      </c>
      <c r="X50" s="456">
        <f>IF(OR('Parte Estrategica'!AC50=0,'Parte Estrategica'!AC50=""),0,IF(VLOOKUP($A50,'Matriz de Referencia'!$B$2:$CO$584,31,FALSE)=0,0,"Digite"))</f>
        <v>0</v>
      </c>
      <c r="Y50" s="456">
        <f>IF(OR('Parte Estrategica'!AC50=0,'Parte Estrategica'!AC50=""),0,IF(VLOOKUP($A50,'Matriz de Referencia'!$B$2:$CO$584,32,FALSE)=0,0,"Digite"))</f>
        <v>0</v>
      </c>
      <c r="Z50" s="457">
        <f t="shared" si="3"/>
        <v>0</v>
      </c>
      <c r="AA50" s="456">
        <f>IF(OR('Parte Estrategica'!AC50=0,'Parte Estrategica'!AC50=""),0,IF(VLOOKUP($A50,'Matriz de Referencia'!$B$2:$CO$584,34,FALSE)=0,0,"Digite"))</f>
        <v>0</v>
      </c>
      <c r="AB50" s="456">
        <f>IF(OR('Parte Estrategica'!AC50=0,'Parte Estrategica'!AC50=""),0,IF(VLOOKUP($A50,'Matriz de Referencia'!$B$2:$CO$584,35,FALSE)=0,0,"Digite"))</f>
        <v>0</v>
      </c>
      <c r="AC50" s="456">
        <f>IF(OR('Parte Estrategica'!AC50=0,'Parte Estrategica'!AC50=""),0,IF(VLOOKUP($A50,'Matriz de Referencia'!$B$2:$CO$584,36,FALSE)=0,0,"Digite"))</f>
        <v>0</v>
      </c>
      <c r="AD50" s="457">
        <f t="shared" si="4"/>
        <v>0</v>
      </c>
      <c r="AE50" s="457">
        <f t="shared" si="5"/>
        <v>0</v>
      </c>
      <c r="AF50" s="455">
        <f>IF(OR('Parte Estrategica'!AD50=0,'Parte Estrategica'!AD50=""),0,IF(VLOOKUP($A50,'Matriz de Referencia'!$B$2:$CO$584,25,FALSE)=0,0,"Digite"))</f>
        <v>0</v>
      </c>
      <c r="AG50" s="456">
        <f>IF(OR('Parte Estrategica'!AD50=0,'Parte Estrategica'!AD50=""),0,IF(VLOOKUP($A50,'Matriz de Referencia'!$B$2:$CO$584,26,FALSE)=0,0,"Digite"))</f>
        <v>0</v>
      </c>
      <c r="AH50" s="456">
        <f>IF(OR('Parte Estrategica'!AD50=0,'Parte Estrategica'!AD50=""),0,IF(VLOOKUP($A50,'Matriz de Referencia'!$B$2:$CO$584,27,FALSE)=0,0,"Digite"))</f>
        <v>0</v>
      </c>
      <c r="AI50" s="456">
        <f>IF(OR('Parte Estrategica'!AD50=0,'Parte Estrategica'!AD50=""),0,IF(VLOOKUP($A50,'Matriz de Referencia'!$B$2:$CO$584,28,FALSE)=0,0,"Digite"))</f>
        <v>0</v>
      </c>
      <c r="AJ50" s="456">
        <f>IF(OR('Parte Estrategica'!AD50=0,'Parte Estrategica'!AD50=""),0,IF(VLOOKUP($A50,'Matriz de Referencia'!$B$2:$CO$584,29,FALSE)=0,0,"Digite"))</f>
        <v>0</v>
      </c>
      <c r="AK50" s="456">
        <f>IF(OR('Parte Estrategica'!AD50=0,'Parte Estrategica'!AD50=""),0,IF(VLOOKUP($A50,'Matriz de Referencia'!$B$2:$CO$584,30,FALSE)=0,0,"Digite"))</f>
        <v>0</v>
      </c>
      <c r="AL50" s="456">
        <f>IF(OR('Parte Estrategica'!AD50=0,'Parte Estrategica'!AD50=""),0,IF(VLOOKUP($A50,'Matriz de Referencia'!$B$2:$CO$584,31,FALSE)=0,0,"Digite"))</f>
        <v>0</v>
      </c>
      <c r="AM50" s="456">
        <f>IF(OR('Parte Estrategica'!AD50=0,'Parte Estrategica'!AD50=""),0,IF(VLOOKUP($A50,'Matriz de Referencia'!$B$2:$CO$584,32,FALSE)=0,0,"Digite"))</f>
        <v>0</v>
      </c>
      <c r="AN50" s="457">
        <f t="shared" si="6"/>
        <v>0</v>
      </c>
      <c r="AO50" s="456">
        <f>IF(OR('Parte Estrategica'!AD50=0,'Parte Estrategica'!AD50=""),0,IF(VLOOKUP($A50,'Matriz de Referencia'!$B$2:$CO$584,34,FALSE)=0,0,"Digite"))</f>
        <v>0</v>
      </c>
      <c r="AP50" s="456">
        <f>IF(OR('Parte Estrategica'!AD50=0,'Parte Estrategica'!AD50=""),0,IF(VLOOKUP($A50,'Matriz de Referencia'!$B$2:$CO$584,35,FALSE)=0,0,"Digite"))</f>
        <v>0</v>
      </c>
      <c r="AQ50" s="456">
        <f>IF(OR('Parte Estrategica'!AD50=0,'Parte Estrategica'!AD50=""),0,IF(VLOOKUP($A50,'Matriz de Referencia'!$B$2:$CO$584,36,FALSE)=0,0,"Digite"))</f>
        <v>0</v>
      </c>
      <c r="AR50" s="457">
        <f t="shared" si="7"/>
        <v>0</v>
      </c>
      <c r="AS50" s="457">
        <f t="shared" si="8"/>
        <v>0</v>
      </c>
      <c r="AT50" s="455">
        <f>IF(OR('Parte Estrategica'!AE50=0,'Parte Estrategica'!AE50=""),0,IF(VLOOKUP($A50,'Matriz de Referencia'!$B$2:$CO$584,25,FALSE)=0,0,"Digite"))</f>
        <v>0</v>
      </c>
      <c r="AU50" s="456">
        <f>IF(OR('Parte Estrategica'!AE50=0,'Parte Estrategica'!AE50=""),0,IF(VLOOKUP($A50,'Matriz de Referencia'!$B$2:$CO$584,26,FALSE)=0,0,"Digite"))</f>
        <v>0</v>
      </c>
      <c r="AV50" s="456">
        <f>IF(OR('Parte Estrategica'!AE50=0,'Parte Estrategica'!AE50=""),0,IF(VLOOKUP($A50,'Matriz de Referencia'!$B$2:$CO$584,27,FALSE)=0,0,"Digite"))</f>
        <v>0</v>
      </c>
      <c r="AW50" s="456">
        <f>IF(OR('Parte Estrategica'!AE50=0,'Parte Estrategica'!AE50=""),0,IF(VLOOKUP($A50,'Matriz de Referencia'!$B$2:$CO$584,28,FALSE)=0,0,"Digite"))</f>
        <v>0</v>
      </c>
      <c r="AX50" s="456">
        <f>IF(OR('Parte Estrategica'!AE50=0,'Parte Estrategica'!AE50=""),0,IF(VLOOKUP($A50,'Matriz de Referencia'!$B$2:$CO$584,29,FALSE)=0,0,"Digite"))</f>
        <v>0</v>
      </c>
      <c r="AY50" s="456">
        <f>IF(OR('Parte Estrategica'!AE50=0,'Parte Estrategica'!AE50=""),0,IF(VLOOKUP($A50,'Matriz de Referencia'!$B$2:$CO$584,30,FALSE)=0,0,"Digite"))</f>
        <v>0</v>
      </c>
      <c r="AZ50" s="456">
        <f>IF(OR('Parte Estrategica'!AE50=0,'Parte Estrategica'!AE50=""),0,IF(VLOOKUP($A50,'Matriz de Referencia'!$B$2:$CO$584,31,FALSE)=0,0,"Digite"))</f>
        <v>0</v>
      </c>
      <c r="BA50" s="456">
        <f>IF(OR('Parte Estrategica'!AE50=0,'Parte Estrategica'!AE50=""),0,IF(VLOOKUP($A50,'Matriz de Referencia'!$B$2:$CO$584,32,FALSE)=0,0,"Digite"))</f>
        <v>0</v>
      </c>
      <c r="BB50" s="457">
        <f t="shared" si="9"/>
        <v>0</v>
      </c>
      <c r="BC50" s="456">
        <f>IF(OR('Parte Estrategica'!AE50=0,'Parte Estrategica'!AE50=""),0,IF(VLOOKUP($A50,'Matriz de Referencia'!$B$2:$CO$584,34,FALSE)=0,0,"Digite"))</f>
        <v>0</v>
      </c>
      <c r="BD50" s="456">
        <f>IF(OR('Parte Estrategica'!AE50=0,'Parte Estrategica'!AE50=""),0,IF(VLOOKUP($A50,'Matriz de Referencia'!$B$2:$CO$584,35,FALSE)=0,0,"Digite"))</f>
        <v>0</v>
      </c>
      <c r="BE50" s="456">
        <f>IF(OR('Parte Estrategica'!AE50=0,'Parte Estrategica'!AE50=""),0,IF(VLOOKUP($A50,'Matriz de Referencia'!$B$2:$CO$584,36,FALSE)=0,0,"Digite"))</f>
        <v>0</v>
      </c>
      <c r="BF50" s="457">
        <f t="shared" si="10"/>
        <v>0</v>
      </c>
      <c r="BG50" s="457">
        <f t="shared" si="11"/>
        <v>0</v>
      </c>
      <c r="BH50" s="457">
        <f t="shared" si="12"/>
        <v>0</v>
      </c>
      <c r="BI50" s="101" t="str">
        <f>IFERROR(IF(BH50=0,"",IF(VLOOKUP($A50,'Matriz de Referencia'!$B$2:$CO$584,'Matriz de Referencia'!AM$1,FALSE)=BH50,"Techos ok, cotinue","Debe revisar el valor programado")),"")</f>
        <v/>
      </c>
      <c r="BJ50" s="453">
        <f>IF(OR('Parte Estrategica'!AH50=0,'Parte Estrategica'!AH50=""),0,IF(VLOOKUP($A50,'Matriz de Referencia'!$B$2:$CO$584,39,FALSE)=0,0,"Digite"))</f>
        <v>0</v>
      </c>
      <c r="BK50" s="454">
        <f>IF(OR('Parte Estrategica'!AH50=0,'Parte Estrategica'!AH50=""),0,IF(VLOOKUP($A50,'Matriz de Referencia'!$B$2:$CO$584,40,FALSE)=0,0,"Digite"))</f>
        <v>0</v>
      </c>
      <c r="BL50" s="454">
        <f>IF(OR('Parte Estrategica'!AH50=0,'Parte Estrategica'!AH50=""),0,IF(VLOOKUP($A50,'Matriz de Referencia'!$B$2:$CO$584,41,FALSE)=0,0,"Digite"))</f>
        <v>0</v>
      </c>
      <c r="BM50" s="454">
        <f>IF(OR('Parte Estrategica'!AH50=0,'Parte Estrategica'!AH50=""),0,IF(VLOOKUP($A50,'Matriz de Referencia'!$B$2:$CO$584,42,FALSE)=0,0,"Digite"))</f>
        <v>0</v>
      </c>
      <c r="BN50" s="454">
        <f>IF(OR('Parte Estrategica'!AH50=0,'Parte Estrategica'!AH50=""),0,IF(VLOOKUP($A50,'Matriz de Referencia'!$B$2:$CO$584,43,FALSE)=0,0,"Digite"))</f>
        <v>0</v>
      </c>
      <c r="BO50" s="454">
        <f>IF(OR('Parte Estrategica'!AH50=0,'Parte Estrategica'!AH50=""),0,IF(VLOOKUP($A50,'Matriz de Referencia'!$B$2:$CO$584,44,FALSE)=0,0,"Digite"))</f>
        <v>0</v>
      </c>
      <c r="BP50" s="454">
        <f>IF(OR('Parte Estrategica'!AH50=0,'Parte Estrategica'!AH50=""),0,IF(VLOOKUP($A50,'Matriz de Referencia'!$B$2:$CO$584,45,FALSE)=0,0,"Digite"))</f>
        <v>0</v>
      </c>
      <c r="BQ50" s="454">
        <f>IF(OR('Parte Estrategica'!AH50=0,'Parte Estrategica'!AH50=""),0,IF(VLOOKUP($A50,'Matriz de Referencia'!$B$2:$CO$584,46,FALSE)=0,0,"Digite"))</f>
        <v>0</v>
      </c>
      <c r="BR50" s="382">
        <f t="shared" si="13"/>
        <v>0</v>
      </c>
      <c r="BS50" s="454">
        <f>IF(OR('Parte Estrategica'!CL50=0,'Parte Estrategica'!CL50=""),0,IF(VLOOKUP($A50,'Matriz de Referencia'!$B$2:$CO$584,48,FALSE)=0,0,"Digite"))</f>
        <v>0</v>
      </c>
      <c r="BT50" s="454">
        <f>IF(OR('Parte Estrategica'!CL50=0,'Parte Estrategica'!CL50=""),0,IF(VLOOKUP($A50,'Matriz de Referencia'!$B$2:$CO$584,49,FALSE)=0,0,"Digite"))</f>
        <v>0</v>
      </c>
      <c r="BU50" s="454">
        <f>IF(OR('Parte Estrategica'!CL50=0,'Parte Estrategica'!CL50=""),0,IF(VLOOKUP($A50,'Matriz de Referencia'!$B$2:$CO$584,50,FALSE)=0,0,"Digite"))</f>
        <v>0</v>
      </c>
      <c r="BV50" s="382">
        <f t="shared" si="14"/>
        <v>0</v>
      </c>
      <c r="BW50" s="382">
        <f t="shared" si="15"/>
        <v>0</v>
      </c>
      <c r="BX50" s="453">
        <f>IF(OR('Parte Estrategica'!AI50=0,'Parte Estrategica'!AI50=""),0,IF(VLOOKUP($A50,'Matriz de Referencia'!$B$2:$CO$584,39,FALSE)=0,0,"Digite"))</f>
        <v>0</v>
      </c>
      <c r="BY50" s="454">
        <f>IF(OR('Parte Estrategica'!AI50=0,'Parte Estrategica'!AI50=""),0,IF(VLOOKUP($A50,'Matriz de Referencia'!$B$2:$CO$584,40,FALSE)=0,0,"Digite"))</f>
        <v>0</v>
      </c>
      <c r="BZ50" s="454">
        <f>IF(OR('Parte Estrategica'!AI50=0,'Parte Estrategica'!AI50=""),0,IF(VLOOKUP($A50,'Matriz de Referencia'!$B$2:$CO$584,41,FALSE)=0,0,"Digite"))</f>
        <v>0</v>
      </c>
      <c r="CA50" s="454">
        <f>IF(OR('Parte Estrategica'!AI50=0,'Parte Estrategica'!AI50=""),0,IF(VLOOKUP($A50,'Matriz de Referencia'!$B$2:$CO$584,42,FALSE)=0,0,"Digite"))</f>
        <v>0</v>
      </c>
      <c r="CB50" s="454">
        <f>IF(OR('Parte Estrategica'!AI50=0,'Parte Estrategica'!AI50=""),0,IF(VLOOKUP($A50,'Matriz de Referencia'!$B$2:$CO$584,43,FALSE)=0,0,"Digite"))</f>
        <v>0</v>
      </c>
      <c r="CC50" s="454">
        <f>IF(OR('Parte Estrategica'!AI50=0,'Parte Estrategica'!AI50=""),0,IF(VLOOKUP($A50,'Matriz de Referencia'!$B$2:$CO$584,44,FALSE)=0,0,"Digite"))</f>
        <v>0</v>
      </c>
      <c r="CD50" s="454">
        <f>IF(OR('Parte Estrategica'!AI50=0,'Parte Estrategica'!AI50=""),0,IF(VLOOKUP($A50,'Matriz de Referencia'!$B$2:$CO$584,45,FALSE)=0,0,"Digite"))</f>
        <v>0</v>
      </c>
      <c r="CE50" s="454">
        <f>IF(OR('Parte Estrategica'!AI50=0,'Parte Estrategica'!AI50=""),0,IF(VLOOKUP($A50,'Matriz de Referencia'!$B$2:$CO$584,46,FALSE)=0,0,"Digite"))</f>
        <v>0</v>
      </c>
      <c r="CF50" s="382">
        <f t="shared" si="16"/>
        <v>0</v>
      </c>
      <c r="CG50" s="454">
        <f>IF(OR('Parte Estrategica'!AI50=0,'Parte Estrategica'!AI50=""),0,IF(VLOOKUP($A50,'Matriz de Referencia'!$B$2:$CO$584,48,FALSE)=0,0,"Digite"))</f>
        <v>0</v>
      </c>
      <c r="CH50" s="454">
        <f>IF(OR('Parte Estrategica'!AI50=0,'Parte Estrategica'!AI50=""),0,IF(VLOOKUP($A50,'Matriz de Referencia'!$B$2:$CO$584,49,FALSE)=0,0,"Digite"))</f>
        <v>0</v>
      </c>
      <c r="CI50" s="454">
        <f>IF(OR('Parte Estrategica'!AI50=0,'Parte Estrategica'!AI50=""),0,IF(VLOOKUP($A50,'Matriz de Referencia'!$B$2:$CO$584,50,FALSE)=0,0,"Digite"))</f>
        <v>0</v>
      </c>
      <c r="CJ50" s="382">
        <f t="shared" si="17"/>
        <v>0</v>
      </c>
      <c r="CK50" s="382">
        <f t="shared" si="18"/>
        <v>0</v>
      </c>
      <c r="CL50" s="453">
        <f>IF(OR('Parte Estrategica'!AJ50=0,'Parte Estrategica'!AJ50=""),0,IF(VLOOKUP($A50,'Matriz de Referencia'!$B$2:$CO$584,39,FALSE)=0,0,"Digite"))</f>
        <v>0</v>
      </c>
      <c r="CM50" s="454">
        <f>IF(OR('Parte Estrategica'!AJ50=0,'Parte Estrategica'!AJ50=""),0,IF(VLOOKUP($A50,'Matriz de Referencia'!$B$2:$CO$584,40,FALSE)=0,0,"Digite"))</f>
        <v>0</v>
      </c>
      <c r="CN50" s="454">
        <f>IF(OR('Parte Estrategica'!AJ50=0,'Parte Estrategica'!AJ50=""),0,IF(VLOOKUP($A50,'Matriz de Referencia'!$B$2:$CO$584,41,FALSE)=0,0,"Digite"))</f>
        <v>0</v>
      </c>
      <c r="CO50" s="454">
        <f>IF(OR('Parte Estrategica'!AJ50=0,'Parte Estrategica'!AJ50=""),0,IF(VLOOKUP($A50,'Matriz de Referencia'!$B$2:$CO$584,42,FALSE)=0,0,"Digite"))</f>
        <v>0</v>
      </c>
      <c r="CP50" s="454">
        <f>IF(OR('Parte Estrategica'!AJ50=0,'Parte Estrategica'!AJ50=""),0,IF(VLOOKUP($A50,'Matriz de Referencia'!$B$2:$CO$584,43,FALSE)=0,0,"Digite"))</f>
        <v>0</v>
      </c>
      <c r="CQ50" s="454">
        <f>IF(OR('Parte Estrategica'!AJ50=0,'Parte Estrategica'!AJ50=""),0,IF(VLOOKUP($A50,'Matriz de Referencia'!$B$2:$CO$584,44,FALSE)=0,0,"Digite"))</f>
        <v>0</v>
      </c>
      <c r="CR50" s="454">
        <f>IF(OR('Parte Estrategica'!AJ50=0,'Parte Estrategica'!AJ50=""),0,IF(VLOOKUP($A50,'Matriz de Referencia'!$B$2:$CO$584,45,FALSE)=0,0,"Digite"))</f>
        <v>0</v>
      </c>
      <c r="CS50" s="454">
        <f>IF(OR('Parte Estrategica'!AJ50=0,'Parte Estrategica'!AJ50=""),0,IF(VLOOKUP($A50,'Matriz de Referencia'!$B$2:$CO$584,46,FALSE)=0,0,"Digite"))</f>
        <v>0</v>
      </c>
      <c r="CT50" s="382">
        <f t="shared" si="19"/>
        <v>0</v>
      </c>
      <c r="CU50" s="454">
        <f>IF(OR('Parte Estrategica'!AJ50=0,'Parte Estrategica'!AJ50=""),0,IF(VLOOKUP($A50,'Matriz de Referencia'!$B$2:$CO$584,48,FALSE)=0,0,"Digite"))</f>
        <v>0</v>
      </c>
      <c r="CV50" s="454">
        <f>IF(OR('Parte Estrategica'!AJ50=0,'Parte Estrategica'!AJ50=""),0,IF(VLOOKUP($A50,'Matriz de Referencia'!$B$2:$CO$584,49,FALSE)=0,0,"Digite"))</f>
        <v>0</v>
      </c>
      <c r="CW50" s="454">
        <f>IF(OR('Parte Estrategica'!AJ50=0,'Parte Estrategica'!AJ50=""),0,IF(VLOOKUP($A50,'Matriz de Referencia'!$B$2:$CO$584,50,FALSE)=0,0,"Digite"))</f>
        <v>0</v>
      </c>
      <c r="CX50" s="382">
        <f t="shared" si="20"/>
        <v>0</v>
      </c>
      <c r="CY50" s="382">
        <f t="shared" si="21"/>
        <v>0</v>
      </c>
      <c r="CZ50" s="453">
        <f>IF(OR('Parte Estrategica'!AK50=0,'Parte Estrategica'!AK50=""),0,IF(VLOOKUP($A50,'Matriz de Referencia'!$B$2:$CO$584,39,FALSE)=0,0,"Digite"))</f>
        <v>0</v>
      </c>
      <c r="DA50" s="454">
        <f>IF(OR('Parte Estrategica'!AK50=0,'Parte Estrategica'!AK50=""),0,IF(VLOOKUP($A50,'Matriz de Referencia'!$B$2:$CO$584,40,FALSE)=0,0,"Digite"))</f>
        <v>0</v>
      </c>
      <c r="DB50" s="454">
        <f>IF(OR('Parte Estrategica'!AK50=0,'Parte Estrategica'!AK50=""),0,IF(VLOOKUP($A50,'Matriz de Referencia'!$B$2:$CO$584,41,FALSE)=0,0,"Digite"))</f>
        <v>0</v>
      </c>
      <c r="DC50" s="454">
        <f>IF(OR('Parte Estrategica'!AK50=0,'Parte Estrategica'!AK50=""),0,IF(VLOOKUP($A50,'Matriz de Referencia'!$B$2:$CO$584,42,FALSE)=0,0,"Digite"))</f>
        <v>0</v>
      </c>
      <c r="DD50" s="454">
        <f>IF(OR('Parte Estrategica'!AK50=0,'Parte Estrategica'!AK50=""),0,IF(VLOOKUP($A50,'Matriz de Referencia'!$B$2:$CO$584,43,FALSE)=0,0,"Digite"))</f>
        <v>0</v>
      </c>
      <c r="DE50" s="454">
        <f>IF(OR('Parte Estrategica'!AK50=0,'Parte Estrategica'!AK50=""),0,IF(VLOOKUP($A50,'Matriz de Referencia'!$B$2:$CO$584,44,FALSE)=0,0,"Digite"))</f>
        <v>0</v>
      </c>
      <c r="DF50" s="454">
        <f>IF(OR('Parte Estrategica'!AK50=0,'Parte Estrategica'!AK50=""),0,IF(VLOOKUP($A50,'Matriz de Referencia'!$B$2:$CO$584,45,FALSE)=0,0,"Digite"))</f>
        <v>0</v>
      </c>
      <c r="DG50" s="454">
        <f>IF(OR('Parte Estrategica'!AK50=0,'Parte Estrategica'!AK50=""),0,IF(VLOOKUP($A50,'Matriz de Referencia'!$B$2:$CO$584,46,FALSE)=0,0,"Digite"))</f>
        <v>0</v>
      </c>
      <c r="DH50" s="382">
        <f t="shared" si="22"/>
        <v>0</v>
      </c>
      <c r="DI50" s="454">
        <f>IF(OR('Parte Estrategica'!AK50=0,'Parte Estrategica'!AK50=""),0,IF(VLOOKUP($A50,'Matriz de Referencia'!$B$2:$CO$584,48,FALSE)=0,0,"Digite"))</f>
        <v>0</v>
      </c>
      <c r="DJ50" s="454">
        <f>IF(OR('Parte Estrategica'!AK50=0,'Parte Estrategica'!AK50=""),0,IF(VLOOKUP($A50,'Matriz de Referencia'!$B$2:$CO$584,49,FALSE)=0,0,"Digite"))</f>
        <v>0</v>
      </c>
      <c r="DK50" s="454">
        <f>IF(OR('Parte Estrategica'!AK50=0,'Parte Estrategica'!AK50=""),0,IF(VLOOKUP($A50,'Matriz de Referencia'!$B$2:$CO$584,50,FALSE)=0,0,"Digite"))</f>
        <v>0</v>
      </c>
      <c r="DL50" s="382">
        <f t="shared" si="23"/>
        <v>0</v>
      </c>
      <c r="DM50" s="382">
        <f t="shared" si="24"/>
        <v>0</v>
      </c>
      <c r="DN50" s="382">
        <f t="shared" si="25"/>
        <v>0</v>
      </c>
      <c r="DO50" s="101" t="str">
        <f>IFERROR(IF(DN50=0,"",IF(VLOOKUP($A50,'Matriz de Referencia'!$B$2:$CO$584,52,FALSE)=DN50,"Techos ok, cotinue","Debe revisar el valor programado")),"")</f>
        <v/>
      </c>
      <c r="DP50" s="453">
        <f>IF(OR('Parte Estrategica'!AN50=0,'Parte Estrategica'!AN50=""),0,IF(VLOOKUP($A50,'Matriz de Referencia'!$B$2:$CO$584,53,FALSE)=0,0,"Digite"))</f>
        <v>0</v>
      </c>
      <c r="DQ50" s="454">
        <f>IF(OR('Parte Estrategica'!AN50=0,'Parte Estrategica'!AN50=""),0,IF(VLOOKUP($A50,'Matriz de Referencia'!$B$2:$CO$584,54,FALSE)=0,0,"Digite"))</f>
        <v>0</v>
      </c>
      <c r="DR50" s="454">
        <f>IF(OR('Parte Estrategica'!AN50=0,'Parte Estrategica'!AN50=""),0,IF(VLOOKUP($A50,'Matriz de Referencia'!$B$2:$CO$584,55,FALSE)=0,0,"Digite"))</f>
        <v>0</v>
      </c>
      <c r="DS50" s="454">
        <f>IF(OR('Parte Estrategica'!AN50=0,'Parte Estrategica'!AN50=""),0,IF(VLOOKUP($A50,'Matriz de Referencia'!$B$2:$CO$584,56,FALSE)=0,0,"Digite"))</f>
        <v>0</v>
      </c>
      <c r="DT50" s="454">
        <f>IF(OR('Parte Estrategica'!AN50=0,'Parte Estrategica'!AN50=""),0,IF(VLOOKUP($A50,'Matriz de Referencia'!$B$2:$CO$584,57,FALSE)=0,0,"Digite"))</f>
        <v>0</v>
      </c>
      <c r="DU50" s="454">
        <f>IF(OR('Parte Estrategica'!AN50=0,'Parte Estrategica'!AN50=""),0,IF(VLOOKUP($A50,'Matriz de Referencia'!$B$2:$CO$584,58,FALSE)=0,0,"Digite"))</f>
        <v>0</v>
      </c>
      <c r="DV50" s="454">
        <f>IF(OR('Parte Estrategica'!AN50=0,'Parte Estrategica'!AN50=""),0,IF(VLOOKUP($A50,'Matriz de Referencia'!$B$2:$CO$584,59,FALSE)=0,0,"Digite"))</f>
        <v>0</v>
      </c>
      <c r="DW50" s="454">
        <f>IF(OR('Parte Estrategica'!AN50=0,'Parte Estrategica'!AN50=""),0,IF(VLOOKUP($A50,'Matriz de Referencia'!$B$2:$CO$584,60,FALSE)=0,0,"Digite"))</f>
        <v>0</v>
      </c>
      <c r="DX50" s="382">
        <f t="shared" si="26"/>
        <v>0</v>
      </c>
      <c r="DY50" s="454">
        <f>IF(OR('Parte Estrategica'!AN50=0,'Parte Estrategica'!AN50=""),0,IF(VLOOKUP($A50,'Matriz de Referencia'!$B$2:$CO$584,62,FALSE)=0,0,"Digite"))</f>
        <v>0</v>
      </c>
      <c r="DZ50" s="454">
        <f>IF(OR('Parte Estrategica'!AN50=0,'Parte Estrategica'!AN50=""),0,IF(VLOOKUP($A50,'Matriz de Referencia'!$B$2:$CO$584,63,FALSE)=0,0,"Digite"))</f>
        <v>0</v>
      </c>
      <c r="EA50" s="454" t="str">
        <f>IF(OR('Parte Estrategica'!AN50=0,'Parte Estrategica'!AN50=""),"",IF(VLOOKUP($A50,'Matriz de Referencia'!$B$2:$CO$584,64,FALSE)=0,"","Digite"))</f>
        <v/>
      </c>
      <c r="EB50" s="382">
        <f t="shared" si="27"/>
        <v>0</v>
      </c>
      <c r="EC50" s="382">
        <f t="shared" si="28"/>
        <v>0</v>
      </c>
      <c r="ED50" s="453">
        <f>IF(OR('Parte Estrategica'!AO50=0,'Parte Estrategica'!AO50=""),0,IF(VLOOKUP($A50,'Matriz de Referencia'!$B$2:$CO$584,53,FALSE)=0,0,"Digite"))</f>
        <v>0</v>
      </c>
      <c r="EE50" s="454">
        <f>IF(OR('Parte Estrategica'!AO50=0,'Parte Estrategica'!AO50=""),0,IF(VLOOKUP($A50,'Matriz de Referencia'!$B$2:$CO$584,54,FALSE)=0,0,"Digite"))</f>
        <v>0</v>
      </c>
      <c r="EF50" s="454">
        <f>IF(OR('Parte Estrategica'!AO50=0,'Parte Estrategica'!AO50=""),0,IF(VLOOKUP($A50,'Matriz de Referencia'!$B$2:$CO$584,55,FALSE)=0,0,"Digite"))</f>
        <v>0</v>
      </c>
      <c r="EG50" s="454">
        <f>IF(OR('Parte Estrategica'!AO50=0,'Parte Estrategica'!AO50=""),0,IF(VLOOKUP($A50,'Matriz de Referencia'!$B$2:$CO$584,56,FALSE)=0,0,"Digite"))</f>
        <v>0</v>
      </c>
      <c r="EH50" s="454">
        <f>IF(OR('Parte Estrategica'!AO50=0,'Parte Estrategica'!AO50=""),0,IF(VLOOKUP($A50,'Matriz de Referencia'!$B$2:$CO$584,57,FALSE)=0,0,"Digite"))</f>
        <v>0</v>
      </c>
      <c r="EI50" s="454">
        <f>IF(OR('Parte Estrategica'!AO50=0,'Parte Estrategica'!AO50=""),0,IF(VLOOKUP($A50,'Matriz de Referencia'!$B$2:$CO$584,58,FALSE)=0,0,"Digite"))</f>
        <v>0</v>
      </c>
      <c r="EJ50" s="454">
        <f>IF(OR('Parte Estrategica'!AO50=0,'Parte Estrategica'!AO50=""),0,IF(VLOOKUP($A50,'Matriz de Referencia'!$B$2:$CO$584,59,FALSE)=0,0,"Digite"))</f>
        <v>0</v>
      </c>
      <c r="EK50" s="454">
        <f>IF(OR('Parte Estrategica'!AO50=0,'Parte Estrategica'!AO50=""),0,IF(VLOOKUP($A50,'Matriz de Referencia'!$B$2:$CO$584,60,FALSE)=0,0,"Digite"))</f>
        <v>0</v>
      </c>
      <c r="EL50" s="382">
        <f t="shared" si="29"/>
        <v>0</v>
      </c>
      <c r="EM50" s="454">
        <f>IF(OR('Parte Estrategica'!AO50=0,'Parte Estrategica'!AO50=""),0,IF(VLOOKUP($A50,'Matriz de Referencia'!$B$2:$CO$584,62,FALSE)=0,0,"Digite"))</f>
        <v>0</v>
      </c>
      <c r="EN50" s="454">
        <f>IF(OR('Parte Estrategica'!AO50=0,'Parte Estrategica'!AO50=""),0,IF(VLOOKUP($A50,'Matriz de Referencia'!$B$2:$CO$584,63,FALSE)=0,0,"Digite"))</f>
        <v>0</v>
      </c>
      <c r="EO50" s="454">
        <f>IF(OR('Parte Estrategica'!AO50=0,'Parte Estrategica'!AO50=""),0,IF(VLOOKUP($A50,'Matriz de Referencia'!$B$2:$CO$584,64,FALSE)=0,0,"Digite"))</f>
        <v>0</v>
      </c>
      <c r="EP50" s="382">
        <f t="shared" si="30"/>
        <v>0</v>
      </c>
      <c r="EQ50" s="382">
        <f t="shared" si="31"/>
        <v>0</v>
      </c>
      <c r="ER50" s="453">
        <f>IF(OR('Parte Estrategica'!AP50=0,'Parte Estrategica'!AP50=""),0,IF(VLOOKUP($A50,'Matriz de Referencia'!$B$2:$CO$584,53,FALSE)=0,0,"Digite"))</f>
        <v>0</v>
      </c>
      <c r="ES50" s="454">
        <f>IF(OR('Parte Estrategica'!AP50=0,'Parte Estrategica'!AP50=""),0,IF(VLOOKUP($A50,'Matriz de Referencia'!$B$2:$CO$584,54,FALSE)=0,0,"Digite"))</f>
        <v>0</v>
      </c>
      <c r="ET50" s="454">
        <f>IF(OR('Parte Estrategica'!AP50=0,'Parte Estrategica'!AP50=""),0,IF(VLOOKUP($A50,'Matriz de Referencia'!$B$2:$CO$584,55,FALSE)=0,0,"Digite"))</f>
        <v>0</v>
      </c>
      <c r="EU50" s="454">
        <f>IF(OR('Parte Estrategica'!AP50=0,'Parte Estrategica'!AP50=""),0,IF(VLOOKUP($A50,'Matriz de Referencia'!$B$2:$CO$584,56,FALSE)=0,0,"Digite"))</f>
        <v>0</v>
      </c>
      <c r="EV50" s="454">
        <f>IF(OR('Parte Estrategica'!AP50=0,'Parte Estrategica'!AP50=""),0,IF(VLOOKUP($A50,'Matriz de Referencia'!$B$2:$CO$584,57,FALSE)=0,0,"Digite"))</f>
        <v>0</v>
      </c>
      <c r="EW50" s="454">
        <f>IF(OR('Parte Estrategica'!AP50=0,'Parte Estrategica'!AP50=""),0,IF(VLOOKUP($A50,'Matriz de Referencia'!$B$2:$CO$584,58,FALSE)=0,0,"Digite"))</f>
        <v>0</v>
      </c>
      <c r="EX50" s="454">
        <f>IF(OR('Parte Estrategica'!AP50=0,'Parte Estrategica'!AP50=""),0,IF(VLOOKUP($A50,'Matriz de Referencia'!$B$2:$CO$584,59,FALSE)=0,0,"Digite"))</f>
        <v>0</v>
      </c>
      <c r="EY50" s="454">
        <f>IF(OR('Parte Estrategica'!AP50=0,'Parte Estrategica'!AP50=""),0,IF(VLOOKUP($A50,'Matriz de Referencia'!$B$2:$CO$584,60,FALSE)=0,0,"Digite"))</f>
        <v>0</v>
      </c>
      <c r="EZ50" s="382">
        <f t="shared" si="32"/>
        <v>0</v>
      </c>
      <c r="FA50" s="454">
        <f>IF(OR('Parte Estrategica'!AP50=0,'Parte Estrategica'!AP50=""),0,IF(VLOOKUP($A50,'Matriz de Referencia'!$B$2:$CO$584,62,FALSE)=0,0,"Digite"))</f>
        <v>0</v>
      </c>
      <c r="FB50" s="454">
        <f>IF(OR('Parte Estrategica'!AP50=0,'Parte Estrategica'!AP50=""),0,IF(VLOOKUP($A50,'Matriz de Referencia'!$B$2:$CO$584,63,FALSE)=0,0,"Digite"))</f>
        <v>0</v>
      </c>
      <c r="FC50" s="454">
        <f>IF(OR('Parte Estrategica'!AP50=0,'Parte Estrategica'!AP50=""),0,IF(VLOOKUP($A50,'Matriz de Referencia'!$B$2:$CO$584,64,FALSE)=0,0,"Digite"))</f>
        <v>0</v>
      </c>
      <c r="FD50" s="382">
        <f t="shared" si="33"/>
        <v>0</v>
      </c>
      <c r="FE50" s="382">
        <f t="shared" si="34"/>
        <v>0</v>
      </c>
      <c r="FF50" s="453">
        <f>IF(OR('Parte Estrategica'!AQ50=0,'Parte Estrategica'!AQ50=""),0,IF(VLOOKUP($A50,'Matriz de Referencia'!$B$2:$CO$584,53,FALSE)=0,0,"Digite"))</f>
        <v>0</v>
      </c>
      <c r="FG50" s="454">
        <f>IF(OR('Parte Estrategica'!AQ50=0,'Parte Estrategica'!AQ50=""),0,IF(VLOOKUP($A50,'Matriz de Referencia'!$B$2:$CO$584,54,FALSE)=0,0,"Digite"))</f>
        <v>0</v>
      </c>
      <c r="FH50" s="454">
        <f>IF(OR('Parte Estrategica'!AQ50=0,'Parte Estrategica'!AQ50=""),0,IF(VLOOKUP($A50,'Matriz de Referencia'!$B$2:$CO$584,55,FALSE)=0,0,"Digite"))</f>
        <v>0</v>
      </c>
      <c r="FI50" s="454">
        <f>IF(OR('Parte Estrategica'!AQ50=0,'Parte Estrategica'!AQ50=""),0,IF(VLOOKUP($A50,'Matriz de Referencia'!$B$2:$CO$584,56,FALSE)=0,0,"Digite"))</f>
        <v>0</v>
      </c>
      <c r="FJ50" s="454">
        <f>IF(OR('Parte Estrategica'!AQ50=0,'Parte Estrategica'!AQ50=""),0,IF(VLOOKUP($A50,'Matriz de Referencia'!$B$2:$CO$584,57,FALSE)=0,0,"Digite"))</f>
        <v>0</v>
      </c>
      <c r="FK50" s="454">
        <f>IF(OR('Parte Estrategica'!AQ50=0,'Parte Estrategica'!AQ50=""),0,IF(VLOOKUP($A50,'Matriz de Referencia'!$B$2:$CO$584,58,FALSE)=0,0,"Digite"))</f>
        <v>0</v>
      </c>
      <c r="FL50" s="454">
        <f>IF(OR('Parte Estrategica'!AQ50=0,'Parte Estrategica'!AQ50=""),0,IF(VLOOKUP($A50,'Matriz de Referencia'!$B$2:$CO$584,59,FALSE)=0,0,"Digite"))</f>
        <v>0</v>
      </c>
      <c r="FM50" s="454">
        <f>IF(OR('Parte Estrategica'!AQ50=0,'Parte Estrategica'!AQ50=""),0,IF(VLOOKUP($A50,'Matriz de Referencia'!$B$2:$CO$584,60,FALSE)=0,0,"Digite"))</f>
        <v>0</v>
      </c>
      <c r="FN50" s="382">
        <f t="shared" si="35"/>
        <v>0</v>
      </c>
      <c r="FO50" s="454">
        <f>IF(OR('Parte Estrategica'!AQ50=0,'Parte Estrategica'!AQ50=""),0,IF(VLOOKUP($A50,'Matriz de Referencia'!$B$2:$CO$584,62,FALSE)=0,0,"Digite"))</f>
        <v>0</v>
      </c>
      <c r="FP50" s="454">
        <f>IF(OR('Parte Estrategica'!AQ50=0,'Parte Estrategica'!AQ50=""),0,IF(VLOOKUP($A50,'Matriz de Referencia'!$B$2:$CO$584,63,FALSE)=0,0,"Digite"))</f>
        <v>0</v>
      </c>
      <c r="FQ50" s="454">
        <f>IF(OR('Parte Estrategica'!AQ50=0,'Parte Estrategica'!AQ50=""),0,IF(VLOOKUP($A50,'Matriz de Referencia'!$B$2:$CO$584,64,FALSE)=0,0,"Digite"))</f>
        <v>0</v>
      </c>
      <c r="FR50" s="382">
        <f t="shared" si="36"/>
        <v>0</v>
      </c>
      <c r="FS50" s="382">
        <f t="shared" si="37"/>
        <v>0</v>
      </c>
      <c r="FT50" s="382">
        <f t="shared" si="38"/>
        <v>0</v>
      </c>
      <c r="FU50" s="101" t="str">
        <f>IFERROR(IF(FT50=0,"",IF(VLOOKUP($A50,'Matriz de Referencia'!$B$2:$CO$584,66,FALSE)=FT50,"Techos ok, cotinue","Debe revisar el valor programado")),"")</f>
        <v/>
      </c>
      <c r="FV50" s="453">
        <f>IF(OR('Parte Estrategica'!AT50=0,'Parte Estrategica'!AT50=""),0,IF(VLOOKUP($A50,'Matriz de Referencia'!$B$2:$CO$584,67,FALSE)=0,0,"Digite"))</f>
        <v>0</v>
      </c>
      <c r="FW50" s="454">
        <f>IF(OR('Parte Estrategica'!AT50=0,'Parte Estrategica'!AT50=""),0,IF(VLOOKUP($A50,'Matriz de Referencia'!$B$2:$CO$584,68,FALSE)=0,0,"Digite"))</f>
        <v>0</v>
      </c>
      <c r="FX50" s="454">
        <f>IF(OR('Parte Estrategica'!AT50=0,'Parte Estrategica'!AT50=""),0,IF(VLOOKUP($A50,'Matriz de Referencia'!$B$2:$CO$584,69,FALSE)=0,0,"Digite"))</f>
        <v>0</v>
      </c>
      <c r="FY50" s="454">
        <f>IF(OR('Parte Estrategica'!AT50=0,'Parte Estrategica'!AT50=""),0,IF(VLOOKUP($A50,'Matriz de Referencia'!$B$2:$CO$584,70,FALSE)=0,0,"Digite"))</f>
        <v>0</v>
      </c>
      <c r="FZ50" s="454">
        <f>IF(OR('Parte Estrategica'!AT50=0,'Parte Estrategica'!AT50=""),0,IF(VLOOKUP($A50,'Matriz de Referencia'!$B$2:$CO$584,71,FALSE)=0,0,"Digite"))</f>
        <v>0</v>
      </c>
      <c r="GA50" s="454">
        <f>IF(OR('Parte Estrategica'!AT50=0,'Parte Estrategica'!AT50=""),0,IF(VLOOKUP($A50,'Matriz de Referencia'!$B$2:$CO$584,72,FALSE)=0,0,"Digite"))</f>
        <v>0</v>
      </c>
      <c r="GB50" s="454">
        <f>IF(OR('Parte Estrategica'!AT50=0,'Parte Estrategica'!AT50=""),0,IF(VLOOKUP($A50,'Matriz de Referencia'!$B$2:$CO$584,73,FALSE)=0,0,"Digite"))</f>
        <v>0</v>
      </c>
      <c r="GC50" s="454">
        <f>IF(OR('Parte Estrategica'!AT50=0,'Parte Estrategica'!AT50=""),0,IF(VLOOKUP($A50,'Matriz de Referencia'!$B$2:$CO$584,74,FALSE)=0,0,"Digite"))</f>
        <v>0</v>
      </c>
      <c r="GD50" s="382">
        <f t="shared" si="39"/>
        <v>0</v>
      </c>
      <c r="GE50" s="454">
        <f>IF(OR('Parte Estrategica'!AT50=0,'Parte Estrategica'!AT50=""),0,IF(VLOOKUP($A50,'Matriz de Referencia'!$B$2:$CO$584,76,FALSE)=0,0,"Digite"))</f>
        <v>0</v>
      </c>
      <c r="GF50" s="454">
        <f>IF(OR('Parte Estrategica'!AT50=0,'Parte Estrategica'!AT50=""),0,IF(VLOOKUP($A50,'Matriz de Referencia'!$B$2:$CO$584,77,FALSE)=0,0,"Digite"))</f>
        <v>0</v>
      </c>
      <c r="GG50" s="454">
        <f>IF(OR('Parte Estrategica'!AT50=0,'Parte Estrategica'!AT50=""),0,IF(VLOOKUP($A50,'Matriz de Referencia'!$B$2:$CO$584,78,FALSE)=0,0,"Digite"))</f>
        <v>0</v>
      </c>
      <c r="GH50" s="382">
        <f t="shared" si="40"/>
        <v>0</v>
      </c>
      <c r="GI50" s="382">
        <f t="shared" si="41"/>
        <v>0</v>
      </c>
      <c r="GJ50" s="453">
        <f>IF(OR('Parte Estrategica'!AU50=0,'Parte Estrategica'!AU50=""),0,IF(VLOOKUP($A50,'Matriz de Referencia'!$B$2:$CO$584,67,FALSE)=0,0,"Digite"))</f>
        <v>0</v>
      </c>
      <c r="GK50" s="454">
        <f>IF(OR('Parte Estrategica'!AU50=0,'Parte Estrategica'!AU50=""),0,IF(VLOOKUP($A50,'Matriz de Referencia'!$B$2:$CO$584,68,FALSE)=0,0,"Digite"))</f>
        <v>0</v>
      </c>
      <c r="GL50" s="454">
        <f>IF(OR('Parte Estrategica'!AU50=0,'Parte Estrategica'!AU50=""),0,IF(VLOOKUP($A50,'Matriz de Referencia'!$B$2:$CO$584,69,FALSE)=0,0,"Digite"))</f>
        <v>0</v>
      </c>
      <c r="GM50" s="454">
        <f>IF(OR('Parte Estrategica'!AU50=0,'Parte Estrategica'!AU50=""),0,IF(VLOOKUP($A50,'Matriz de Referencia'!$B$2:$CO$584,70,FALSE)=0,0,"Digite"))</f>
        <v>0</v>
      </c>
      <c r="GN50" s="454">
        <f>IF(OR('Parte Estrategica'!AU50=0,'Parte Estrategica'!AU50=""),0,IF(VLOOKUP($A50,'Matriz de Referencia'!$B$2:$CO$584,71,FALSE)=0,0,"Digite"))</f>
        <v>0</v>
      </c>
      <c r="GO50" s="454">
        <f>IF(OR('Parte Estrategica'!AU50=0,'Parte Estrategica'!AU50=""),0,IF(VLOOKUP($A50,'Matriz de Referencia'!$B$2:$CO$584,72,FALSE)=0,0,"Digite"))</f>
        <v>0</v>
      </c>
      <c r="GP50" s="454">
        <f>IF(OR('Parte Estrategica'!AU50=0,'Parte Estrategica'!AU50=""),0,IF(VLOOKUP($A50,'Matriz de Referencia'!$B$2:$CO$584,73,FALSE)=0,0,"Digite"))</f>
        <v>0</v>
      </c>
      <c r="GQ50" s="454">
        <f>IF(OR('Parte Estrategica'!AU50=0,'Parte Estrategica'!AU50=""),0,IF(VLOOKUP($A50,'Matriz de Referencia'!$B$2:$CO$584,74,FALSE)=0,0,"Digite"))</f>
        <v>0</v>
      </c>
      <c r="GR50" s="382">
        <f t="shared" si="42"/>
        <v>0</v>
      </c>
      <c r="GS50" s="454">
        <f>IF(OR('Parte Estrategica'!AU50=0,'Parte Estrategica'!AU50=""),0,IF(VLOOKUP($A50,'Matriz de Referencia'!$B$2:$CO$584,76,FALSE)=0,0,"Digite"))</f>
        <v>0</v>
      </c>
      <c r="GT50" s="454">
        <f>IF(OR('Parte Estrategica'!AU50=0,'Parte Estrategica'!AU50=""),0,IF(VLOOKUP($A50,'Matriz de Referencia'!$B$2:$CO$584,77,FALSE)=0,0,"Digite"))</f>
        <v>0</v>
      </c>
      <c r="GU50" s="454">
        <f>IF(OR('Parte Estrategica'!AU50=0,'Parte Estrategica'!AU50=""),0,IF(VLOOKUP($A50,'Matriz de Referencia'!$B$2:$CO$584,78,FALSE)=0,0,"Digite"))</f>
        <v>0</v>
      </c>
      <c r="GV50" s="382">
        <f t="shared" si="43"/>
        <v>0</v>
      </c>
      <c r="GW50" s="382">
        <f t="shared" si="44"/>
        <v>0</v>
      </c>
      <c r="GX50" s="453">
        <f>IF(OR('Parte Estrategica'!AV50=0,'Parte Estrategica'!AV50=""),0,IF(VLOOKUP($A50,'Matriz de Referencia'!$B$2:$CO$584,67,FALSE)=0,0,"Digite"))</f>
        <v>0</v>
      </c>
      <c r="GY50" s="454">
        <f>IF(OR('Parte Estrategica'!AV50=0,'Parte Estrategica'!AV50=""),0,IF(VLOOKUP($A50,'Matriz de Referencia'!$B$2:$CO$584,68,FALSE)=0,0,"Digite"))</f>
        <v>0</v>
      </c>
      <c r="GZ50" s="454">
        <f>IF(OR('Parte Estrategica'!AV50=0,'Parte Estrategica'!AV50=""),0,IF(VLOOKUP($A50,'Matriz de Referencia'!$B$2:$CO$584,69,FALSE)=0,0,"Digite"))</f>
        <v>0</v>
      </c>
      <c r="HA50" s="454">
        <f>IF(OR('Parte Estrategica'!AV50=0,'Parte Estrategica'!AV50=""),0,IF(VLOOKUP($A50,'Matriz de Referencia'!$B$2:$CO$584,70,FALSE)=0,0,"Digite"))</f>
        <v>0</v>
      </c>
      <c r="HB50" s="454">
        <f>IF(OR('Parte Estrategica'!AV50=0,'Parte Estrategica'!AV50=""),0,IF(VLOOKUP($A50,'Matriz de Referencia'!$B$2:$CO$584,71,FALSE)=0,0,"Digite"))</f>
        <v>0</v>
      </c>
      <c r="HC50" s="454">
        <f>IF(OR('Parte Estrategica'!AV50=0,'Parte Estrategica'!AV50=""),0,IF(VLOOKUP($A50,'Matriz de Referencia'!$B$2:$CO$584,72,FALSE)=0,0,"Digite"))</f>
        <v>0</v>
      </c>
      <c r="HD50" s="454">
        <f>IF(OR('Parte Estrategica'!AV50=0,'Parte Estrategica'!AV50=""),0,IF(VLOOKUP($A50,'Matriz de Referencia'!$B$2:$CO$584,73,FALSE)=0,0,"Digite"))</f>
        <v>0</v>
      </c>
      <c r="HE50" s="454">
        <f>IF(OR('Parte Estrategica'!AV50=0,'Parte Estrategica'!AV50=""),0,IF(VLOOKUP($A50,'Matriz de Referencia'!$B$2:$CO$584,74,FALSE)=0,0,"Digite"))</f>
        <v>0</v>
      </c>
      <c r="HF50" s="382">
        <f t="shared" si="45"/>
        <v>0</v>
      </c>
      <c r="HG50" s="454">
        <f>IF(OR('Parte Estrategica'!AV50=0,'Parte Estrategica'!AV50=""),0,IF(VLOOKUP($A50,'Matriz de Referencia'!$B$2:$CO$584,76,FALSE)=0,0,"Digite"))</f>
        <v>0</v>
      </c>
      <c r="HH50" s="454">
        <f>IF(OR('Parte Estrategica'!AV50=0,'Parte Estrategica'!AV50=""),0,IF(VLOOKUP($A50,'Matriz de Referencia'!$B$2:$CO$584,77,FALSE)=0,0,"Digite"))</f>
        <v>0</v>
      </c>
      <c r="HI50" s="454">
        <f>IF(OR('Parte Estrategica'!AV50=0,'Parte Estrategica'!AV50=""),0,IF(VLOOKUP($A50,'Matriz de Referencia'!$B$2:$CO$584,78,FALSE)=0,0,"Digite"))</f>
        <v>0</v>
      </c>
      <c r="HJ50" s="382">
        <f t="shared" si="46"/>
        <v>0</v>
      </c>
      <c r="HK50" s="382">
        <f t="shared" si="47"/>
        <v>0</v>
      </c>
      <c r="HL50" s="453">
        <f>IF(OR('Parte Estrategica'!AW50=0,'Parte Estrategica'!AW50=""),0,IF(VLOOKUP($A50,'Matriz de Referencia'!$B$2:$CO$584,67,FALSE)=0,0,"Digite"))</f>
        <v>0</v>
      </c>
      <c r="HM50" s="454">
        <f>IF(OR('Parte Estrategica'!AW50=0,'Parte Estrategica'!AW50=""),0,IF(VLOOKUP($A50,'Matriz de Referencia'!$B$2:$CO$584,68,FALSE)=0,0,"Digite"))</f>
        <v>0</v>
      </c>
      <c r="HN50" s="454">
        <f>IF(OR('Parte Estrategica'!AW50=0,'Parte Estrategica'!AW50=""),0,IF(VLOOKUP($A50,'Matriz de Referencia'!$B$2:$CO$584,69,FALSE)=0,0,"Digite"))</f>
        <v>0</v>
      </c>
      <c r="HO50" s="454">
        <f>IF(OR('Parte Estrategica'!AW50=0,'Parte Estrategica'!AW50=""),0,IF(VLOOKUP($A50,'Matriz de Referencia'!$B$2:$CO$584,70,FALSE)=0,0,"Digite"))</f>
        <v>0</v>
      </c>
      <c r="HP50" s="454">
        <f>IF(OR('Parte Estrategica'!AW50=0,'Parte Estrategica'!AW50=""),0,IF(VLOOKUP($A50,'Matriz de Referencia'!$B$2:$CO$584,71,FALSE)=0,0,"Digite"))</f>
        <v>0</v>
      </c>
      <c r="HQ50" s="454">
        <f>IF(OR('Parte Estrategica'!AW50=0,'Parte Estrategica'!AW50=""),0,IF(VLOOKUP($A50,'Matriz de Referencia'!$B$2:$CO$584,72,FALSE)=0,0,"Digite"))</f>
        <v>0</v>
      </c>
      <c r="HR50" s="454">
        <f>IF(OR('Parte Estrategica'!AW50=0,'Parte Estrategica'!AW50=""),0,IF(VLOOKUP($A50,'Matriz de Referencia'!$B$2:$CO$584,73,FALSE)=0,0,"Digite"))</f>
        <v>0</v>
      </c>
      <c r="HS50" s="454">
        <f>IF(OR('Parte Estrategica'!AW50=0,'Parte Estrategica'!AW50=""),0,IF(VLOOKUP($A50,'Matriz de Referencia'!$B$2:$CO$584,74,FALSE)=0,0,"Digite"))</f>
        <v>0</v>
      </c>
      <c r="HT50" s="382">
        <f t="shared" si="48"/>
        <v>0</v>
      </c>
      <c r="HU50" s="454">
        <f>IF(OR('Parte Estrategica'!AW50=0,'Parte Estrategica'!AW50=""),0,IF(VLOOKUP($A50,'Matriz de Referencia'!$B$2:$CO$584,76,FALSE)=0,0,"Digite"))</f>
        <v>0</v>
      </c>
      <c r="HV50" s="454">
        <f>IF(OR('Parte Estrategica'!AW50=0,'Parte Estrategica'!AW50=""),0,IF(VLOOKUP($A50,'Matriz de Referencia'!$B$2:$CO$584,77,FALSE)=0,0,"Digite"))</f>
        <v>0</v>
      </c>
      <c r="HW50" s="454">
        <f>IF(OR('Parte Estrategica'!AW50=0,'Parte Estrategica'!AW50=""),0,IF(VLOOKUP($A50,'Matriz de Referencia'!$B$2:$CO$584,78,FALSE)=0,0,"Digite"))</f>
        <v>0</v>
      </c>
      <c r="HX50" s="382">
        <f t="shared" si="49"/>
        <v>0</v>
      </c>
      <c r="HY50" s="382">
        <f t="shared" si="50"/>
        <v>0</v>
      </c>
      <c r="HZ50" s="382">
        <f t="shared" si="51"/>
        <v>0</v>
      </c>
      <c r="IA50" s="101" t="str">
        <f>IFERROR(IF(HZ50=0,"",IF(VLOOKUP($A50,'Matriz de Referencia'!$B$2:$CO$584,80,FALSE)=HZ50,"Techos ok, cotinue","Debe revisar el valor programado")),"")</f>
        <v/>
      </c>
      <c r="IB50" s="383">
        <f t="shared" si="52"/>
        <v>0</v>
      </c>
    </row>
    <row r="51" spans="1:236">
      <c r="A51" s="550" t="str">
        <f>IF('Parte Estrategica'!B51=0,"",'Parte Estrategica'!B51)</f>
        <v/>
      </c>
      <c r="B51" s="551" t="str">
        <f>IFERROR(VLOOKUP(A51,'Matriz de Referencia'!$B$2:$P$578,'Matriz de Referencia'!L$1,FALSE),"")</f>
        <v/>
      </c>
      <c r="C51" s="551" t="str">
        <f>IFERROR(VLOOKUP(A51,'Matriz de Referencia'!$B$2:$P$584,'Matriz de Referencia'!M$1,FALSE),"")</f>
        <v/>
      </c>
      <c r="D51" s="455" t="str">
        <f>IF(OR('Parte Estrategica'!AB51=0,'Parte Estrategica'!AB51=""),"",IF(VLOOKUP($A51,'Matriz de Referencia'!$B$2:$CO$584,'Matriz de Referencia'!Z$1,FALSE)=0,"","Digite"))</f>
        <v/>
      </c>
      <c r="E51" s="456">
        <f>IF(OR('Parte Estrategica'!AB51=0,'Parte Estrategica'!AB51=""),0,IF(VLOOKUP($A51,'Matriz de Referencia'!$B$2:$CO$584,26,FALSE)=0,0,"Digite"))</f>
        <v>0</v>
      </c>
      <c r="F51" s="456">
        <f>IF(OR('Parte Estrategica'!AB51=0,'Parte Estrategica'!AB51=""),0,IF(VLOOKUP($A51,'Matriz de Referencia'!$B$2:$CO$584,27,FALSE)=0,0,"Digite"))</f>
        <v>0</v>
      </c>
      <c r="G51" s="456">
        <f>IF(OR('Parte Estrategica'!AB51=0,'Parte Estrategica'!AB51=""),0,IF(VLOOKUP($A51,'Matriz de Referencia'!$B$2:$CO$584,28,FALSE)=0,0,"Digite"))</f>
        <v>0</v>
      </c>
      <c r="H51" s="456">
        <f>IF(OR('Parte Estrategica'!AB51=0,'Parte Estrategica'!AB51=""),0,IF(VLOOKUP($A51,'Matriz de Referencia'!$B$2:$CO$584,29,FALSE)=0,0,"Digite"))</f>
        <v>0</v>
      </c>
      <c r="I51" s="456">
        <f>IF(OR('Parte Estrategica'!AB51=0,'Parte Estrategica'!AB51=""),0,IF(VLOOKUP($A51,'Matriz de Referencia'!$B$2:$CO$584,30,FALSE)=0,0,"Digite"))</f>
        <v>0</v>
      </c>
      <c r="J51" s="456">
        <f>IF(OR('Parte Estrategica'!AB51=0,'Parte Estrategica'!AB51=""),0,IF(VLOOKUP($A51,'Matriz de Referencia'!$B$2:$CO$584,31,FALSE)=0,0,"Digite"))</f>
        <v>0</v>
      </c>
      <c r="K51" s="456">
        <f>IF(OR('Parte Estrategica'!AB51=0,'Parte Estrategica'!AB51=""),0,IF(VLOOKUP($A51,'Matriz de Referencia'!$B$2:$CO$584,32,FALSE)=0,0,"Digite"))</f>
        <v>0</v>
      </c>
      <c r="L51" s="460">
        <f t="shared" si="0"/>
        <v>0</v>
      </c>
      <c r="M51" s="456">
        <f>IF(OR('Parte Estrategica'!AB51=0,'Parte Estrategica'!AB51=""),0,IF(VLOOKUP($A51,'Matriz de Referencia'!$B$2:$CO$584,34,FALSE)=0,0,"Digite"))</f>
        <v>0</v>
      </c>
      <c r="N51" s="456">
        <f>IF(OR('Parte Estrategica'!AB51=0,'Parte Estrategica'!AB51=""),0,IF(VLOOKUP($A51,'Matriz de Referencia'!$B$2:$CO$584,35,FALSE)=0,0,"Digite"))</f>
        <v>0</v>
      </c>
      <c r="O51" s="456">
        <f>IF(OR('Parte Estrategica'!AB51=0,'Parte Estrategica'!AB51=""),0,IF(VLOOKUP($A51,'Matriz de Referencia'!$B$2:$CO$584,36,FALSE)=0,0,"Digite"))</f>
        <v>0</v>
      </c>
      <c r="P51" s="457">
        <f t="shared" si="1"/>
        <v>0</v>
      </c>
      <c r="Q51" s="457">
        <f t="shared" si="2"/>
        <v>0</v>
      </c>
      <c r="R51" s="455">
        <f>IF(OR('Parte Estrategica'!AC51=0,'Parte Estrategica'!AC51=""),0,IF(VLOOKUP($A51,'Matriz de Referencia'!$B$2:$CO$584,25,FALSE)=0,0,"Digite"))</f>
        <v>0</v>
      </c>
      <c r="S51" s="456">
        <f>IF(OR('Parte Estrategica'!AC51=0,'Parte Estrategica'!AC51=""),0,IF(VLOOKUP($A51,'Matriz de Referencia'!$B$2:$CO$584,26,FALSE)=0,0,"Digite"))</f>
        <v>0</v>
      </c>
      <c r="T51" s="456">
        <f>IF(OR('Parte Estrategica'!AC51=0,'Parte Estrategica'!AC51=""),0,IF(VLOOKUP($A51,'Matriz de Referencia'!$B$2:$CO$584,27,FALSE)=0,0,"Digite"))</f>
        <v>0</v>
      </c>
      <c r="U51" s="456">
        <f>IF(OR('Parte Estrategica'!AC51=0,'Parte Estrategica'!AC51=""),0,IF(VLOOKUP($A51,'Matriz de Referencia'!$B$2:$CO$584,28,FALSE)=0,0,"Digite"))</f>
        <v>0</v>
      </c>
      <c r="V51" s="456">
        <f>IF(OR('Parte Estrategica'!AC51=0,'Parte Estrategica'!AC51=""),0,IF(VLOOKUP($A51,'Matriz de Referencia'!$B$2:$CO$584,29,FALSE)=0,0,"Digite"))</f>
        <v>0</v>
      </c>
      <c r="W51" s="456">
        <f>IF(OR('Parte Estrategica'!AC51=0,'Parte Estrategica'!AC51=""),0,IF(VLOOKUP($A51,'Matriz de Referencia'!$B$2:$CO$584,30,FALSE)=0,0,"Digite"))</f>
        <v>0</v>
      </c>
      <c r="X51" s="456">
        <f>IF(OR('Parte Estrategica'!AC51=0,'Parte Estrategica'!AC51=""),0,IF(VLOOKUP($A51,'Matriz de Referencia'!$B$2:$CO$584,31,FALSE)=0,0,"Digite"))</f>
        <v>0</v>
      </c>
      <c r="Y51" s="456">
        <f>IF(OR('Parte Estrategica'!AC51=0,'Parte Estrategica'!AC51=""),0,IF(VLOOKUP($A51,'Matriz de Referencia'!$B$2:$CO$584,32,FALSE)=0,0,"Digite"))</f>
        <v>0</v>
      </c>
      <c r="Z51" s="457">
        <f t="shared" si="3"/>
        <v>0</v>
      </c>
      <c r="AA51" s="456">
        <f>IF(OR('Parte Estrategica'!AC51=0,'Parte Estrategica'!AC51=""),0,IF(VLOOKUP($A51,'Matriz de Referencia'!$B$2:$CO$584,34,FALSE)=0,0,"Digite"))</f>
        <v>0</v>
      </c>
      <c r="AB51" s="456">
        <f>IF(OR('Parte Estrategica'!AC51=0,'Parte Estrategica'!AC51=""),0,IF(VLOOKUP($A51,'Matriz de Referencia'!$B$2:$CO$584,35,FALSE)=0,0,"Digite"))</f>
        <v>0</v>
      </c>
      <c r="AC51" s="456">
        <f>IF(OR('Parte Estrategica'!AC51=0,'Parte Estrategica'!AC51=""),0,IF(VLOOKUP($A51,'Matriz de Referencia'!$B$2:$CO$584,36,FALSE)=0,0,"Digite"))</f>
        <v>0</v>
      </c>
      <c r="AD51" s="457">
        <f t="shared" si="4"/>
        <v>0</v>
      </c>
      <c r="AE51" s="457">
        <f t="shared" si="5"/>
        <v>0</v>
      </c>
      <c r="AF51" s="455">
        <f>IF(OR('Parte Estrategica'!AD51=0,'Parte Estrategica'!AD51=""),0,IF(VLOOKUP($A51,'Matriz de Referencia'!$B$2:$CO$584,25,FALSE)=0,0,"Digite"))</f>
        <v>0</v>
      </c>
      <c r="AG51" s="456">
        <f>IF(OR('Parte Estrategica'!AD51=0,'Parte Estrategica'!AD51=""),0,IF(VLOOKUP($A51,'Matriz de Referencia'!$B$2:$CO$584,26,FALSE)=0,0,"Digite"))</f>
        <v>0</v>
      </c>
      <c r="AH51" s="456">
        <f>IF(OR('Parte Estrategica'!AD51=0,'Parte Estrategica'!AD51=""),0,IF(VLOOKUP($A51,'Matriz de Referencia'!$B$2:$CO$584,27,FALSE)=0,0,"Digite"))</f>
        <v>0</v>
      </c>
      <c r="AI51" s="456">
        <f>IF(OR('Parte Estrategica'!AD51=0,'Parte Estrategica'!AD51=""),0,IF(VLOOKUP($A51,'Matriz de Referencia'!$B$2:$CO$584,28,FALSE)=0,0,"Digite"))</f>
        <v>0</v>
      </c>
      <c r="AJ51" s="456">
        <f>IF(OR('Parte Estrategica'!AD51=0,'Parte Estrategica'!AD51=""),0,IF(VLOOKUP($A51,'Matriz de Referencia'!$B$2:$CO$584,29,FALSE)=0,0,"Digite"))</f>
        <v>0</v>
      </c>
      <c r="AK51" s="456">
        <f>IF(OR('Parte Estrategica'!AD51=0,'Parte Estrategica'!AD51=""),0,IF(VLOOKUP($A51,'Matriz de Referencia'!$B$2:$CO$584,30,FALSE)=0,0,"Digite"))</f>
        <v>0</v>
      </c>
      <c r="AL51" s="456">
        <f>IF(OR('Parte Estrategica'!AD51=0,'Parte Estrategica'!AD51=""),0,IF(VLOOKUP($A51,'Matriz de Referencia'!$B$2:$CO$584,31,FALSE)=0,0,"Digite"))</f>
        <v>0</v>
      </c>
      <c r="AM51" s="456">
        <f>IF(OR('Parte Estrategica'!AD51=0,'Parte Estrategica'!AD51=""),0,IF(VLOOKUP($A51,'Matriz de Referencia'!$B$2:$CO$584,32,FALSE)=0,0,"Digite"))</f>
        <v>0</v>
      </c>
      <c r="AN51" s="457">
        <f t="shared" si="6"/>
        <v>0</v>
      </c>
      <c r="AO51" s="456">
        <f>IF(OR('Parte Estrategica'!AD51=0,'Parte Estrategica'!AD51=""),0,IF(VLOOKUP($A51,'Matriz de Referencia'!$B$2:$CO$584,34,FALSE)=0,0,"Digite"))</f>
        <v>0</v>
      </c>
      <c r="AP51" s="456">
        <f>IF(OR('Parte Estrategica'!AD51=0,'Parte Estrategica'!AD51=""),0,IF(VLOOKUP($A51,'Matriz de Referencia'!$B$2:$CO$584,35,FALSE)=0,0,"Digite"))</f>
        <v>0</v>
      </c>
      <c r="AQ51" s="456">
        <f>IF(OR('Parte Estrategica'!AD51=0,'Parte Estrategica'!AD51=""),0,IF(VLOOKUP($A51,'Matriz de Referencia'!$B$2:$CO$584,36,FALSE)=0,0,"Digite"))</f>
        <v>0</v>
      </c>
      <c r="AR51" s="457">
        <f t="shared" si="7"/>
        <v>0</v>
      </c>
      <c r="AS51" s="457">
        <f t="shared" si="8"/>
        <v>0</v>
      </c>
      <c r="AT51" s="455">
        <f>IF(OR('Parte Estrategica'!AE51=0,'Parte Estrategica'!AE51=""),0,IF(VLOOKUP($A51,'Matriz de Referencia'!$B$2:$CO$584,25,FALSE)=0,0,"Digite"))</f>
        <v>0</v>
      </c>
      <c r="AU51" s="456">
        <f>IF(OR('Parte Estrategica'!AE51=0,'Parte Estrategica'!AE51=""),0,IF(VLOOKUP($A51,'Matriz de Referencia'!$B$2:$CO$584,26,FALSE)=0,0,"Digite"))</f>
        <v>0</v>
      </c>
      <c r="AV51" s="456">
        <f>IF(OR('Parte Estrategica'!AE51=0,'Parte Estrategica'!AE51=""),0,IF(VLOOKUP($A51,'Matriz de Referencia'!$B$2:$CO$584,27,FALSE)=0,0,"Digite"))</f>
        <v>0</v>
      </c>
      <c r="AW51" s="456">
        <f>IF(OR('Parte Estrategica'!AE51=0,'Parte Estrategica'!AE51=""),0,IF(VLOOKUP($A51,'Matriz de Referencia'!$B$2:$CO$584,28,FALSE)=0,0,"Digite"))</f>
        <v>0</v>
      </c>
      <c r="AX51" s="456">
        <f>IF(OR('Parte Estrategica'!AE51=0,'Parte Estrategica'!AE51=""),0,IF(VLOOKUP($A51,'Matriz de Referencia'!$B$2:$CO$584,29,FALSE)=0,0,"Digite"))</f>
        <v>0</v>
      </c>
      <c r="AY51" s="456">
        <f>IF(OR('Parte Estrategica'!AE51=0,'Parte Estrategica'!AE51=""),0,IF(VLOOKUP($A51,'Matriz de Referencia'!$B$2:$CO$584,30,FALSE)=0,0,"Digite"))</f>
        <v>0</v>
      </c>
      <c r="AZ51" s="456">
        <f>IF(OR('Parte Estrategica'!AE51=0,'Parte Estrategica'!AE51=""),0,IF(VLOOKUP($A51,'Matriz de Referencia'!$B$2:$CO$584,31,FALSE)=0,0,"Digite"))</f>
        <v>0</v>
      </c>
      <c r="BA51" s="456">
        <f>IF(OR('Parte Estrategica'!AE51=0,'Parte Estrategica'!AE51=""),0,IF(VLOOKUP($A51,'Matriz de Referencia'!$B$2:$CO$584,32,FALSE)=0,0,"Digite"))</f>
        <v>0</v>
      </c>
      <c r="BB51" s="457">
        <f t="shared" si="9"/>
        <v>0</v>
      </c>
      <c r="BC51" s="456">
        <f>IF(OR('Parte Estrategica'!AE51=0,'Parte Estrategica'!AE51=""),0,IF(VLOOKUP($A51,'Matriz de Referencia'!$B$2:$CO$584,34,FALSE)=0,0,"Digite"))</f>
        <v>0</v>
      </c>
      <c r="BD51" s="456">
        <f>IF(OR('Parte Estrategica'!AE51=0,'Parte Estrategica'!AE51=""),0,IF(VLOOKUP($A51,'Matriz de Referencia'!$B$2:$CO$584,35,FALSE)=0,0,"Digite"))</f>
        <v>0</v>
      </c>
      <c r="BE51" s="456">
        <f>IF(OR('Parte Estrategica'!AE51=0,'Parte Estrategica'!AE51=""),0,IF(VLOOKUP($A51,'Matriz de Referencia'!$B$2:$CO$584,36,FALSE)=0,0,"Digite"))</f>
        <v>0</v>
      </c>
      <c r="BF51" s="457">
        <f t="shared" si="10"/>
        <v>0</v>
      </c>
      <c r="BG51" s="457">
        <f t="shared" si="11"/>
        <v>0</v>
      </c>
      <c r="BH51" s="457">
        <f t="shared" si="12"/>
        <v>0</v>
      </c>
      <c r="BI51" s="101" t="str">
        <f>IFERROR(IF(BH51=0,"",IF(VLOOKUP($A51,'Matriz de Referencia'!$B$2:$CO$584,'Matriz de Referencia'!AM$1,FALSE)=BH51,"Techos ok, cotinue","Debe revisar el valor programado")),"")</f>
        <v/>
      </c>
      <c r="BJ51" s="453">
        <f>IF(OR('Parte Estrategica'!AH51=0,'Parte Estrategica'!AH51=""),0,IF(VLOOKUP($A51,'Matriz de Referencia'!$B$2:$CO$584,39,FALSE)=0,0,"Digite"))</f>
        <v>0</v>
      </c>
      <c r="BK51" s="454">
        <f>IF(OR('Parte Estrategica'!AH51=0,'Parte Estrategica'!AH51=""),0,IF(VLOOKUP($A51,'Matriz de Referencia'!$B$2:$CO$584,40,FALSE)=0,0,"Digite"))</f>
        <v>0</v>
      </c>
      <c r="BL51" s="454">
        <f>IF(OR('Parte Estrategica'!AH51=0,'Parte Estrategica'!AH51=""),0,IF(VLOOKUP($A51,'Matriz de Referencia'!$B$2:$CO$584,41,FALSE)=0,0,"Digite"))</f>
        <v>0</v>
      </c>
      <c r="BM51" s="454">
        <f>IF(OR('Parte Estrategica'!AH51=0,'Parte Estrategica'!AH51=""),0,IF(VLOOKUP($A51,'Matriz de Referencia'!$B$2:$CO$584,42,FALSE)=0,0,"Digite"))</f>
        <v>0</v>
      </c>
      <c r="BN51" s="454">
        <f>IF(OR('Parte Estrategica'!AH51=0,'Parte Estrategica'!AH51=""),0,IF(VLOOKUP($A51,'Matriz de Referencia'!$B$2:$CO$584,43,FALSE)=0,0,"Digite"))</f>
        <v>0</v>
      </c>
      <c r="BO51" s="454">
        <f>IF(OR('Parte Estrategica'!AH51=0,'Parte Estrategica'!AH51=""),0,IF(VLOOKUP($A51,'Matriz de Referencia'!$B$2:$CO$584,44,FALSE)=0,0,"Digite"))</f>
        <v>0</v>
      </c>
      <c r="BP51" s="454">
        <f>IF(OR('Parte Estrategica'!AH51=0,'Parte Estrategica'!AH51=""),0,IF(VLOOKUP($A51,'Matriz de Referencia'!$B$2:$CO$584,45,FALSE)=0,0,"Digite"))</f>
        <v>0</v>
      </c>
      <c r="BQ51" s="454">
        <f>IF(OR('Parte Estrategica'!AH51=0,'Parte Estrategica'!AH51=""),0,IF(VLOOKUP($A51,'Matriz de Referencia'!$B$2:$CO$584,46,FALSE)=0,0,"Digite"))</f>
        <v>0</v>
      </c>
      <c r="BR51" s="382">
        <f t="shared" si="13"/>
        <v>0</v>
      </c>
      <c r="BS51" s="454">
        <f>IF(OR('Parte Estrategica'!CL51=0,'Parte Estrategica'!CL51=""),0,IF(VLOOKUP($A51,'Matriz de Referencia'!$B$2:$CO$584,48,FALSE)=0,0,"Digite"))</f>
        <v>0</v>
      </c>
      <c r="BT51" s="454">
        <f>IF(OR('Parte Estrategica'!CL51=0,'Parte Estrategica'!CL51=""),0,IF(VLOOKUP($A51,'Matriz de Referencia'!$B$2:$CO$584,49,FALSE)=0,0,"Digite"))</f>
        <v>0</v>
      </c>
      <c r="BU51" s="454">
        <f>IF(OR('Parte Estrategica'!CL51=0,'Parte Estrategica'!CL51=""),0,IF(VLOOKUP($A51,'Matriz de Referencia'!$B$2:$CO$584,50,FALSE)=0,0,"Digite"))</f>
        <v>0</v>
      </c>
      <c r="BV51" s="382">
        <f t="shared" si="14"/>
        <v>0</v>
      </c>
      <c r="BW51" s="382">
        <f t="shared" si="15"/>
        <v>0</v>
      </c>
      <c r="BX51" s="453">
        <f>IF(OR('Parte Estrategica'!AI51=0,'Parte Estrategica'!AI51=""),0,IF(VLOOKUP($A51,'Matriz de Referencia'!$B$2:$CO$584,39,FALSE)=0,0,"Digite"))</f>
        <v>0</v>
      </c>
      <c r="BY51" s="454">
        <f>IF(OR('Parte Estrategica'!AI51=0,'Parte Estrategica'!AI51=""),0,IF(VLOOKUP($A51,'Matriz de Referencia'!$B$2:$CO$584,40,FALSE)=0,0,"Digite"))</f>
        <v>0</v>
      </c>
      <c r="BZ51" s="454">
        <f>IF(OR('Parte Estrategica'!AI51=0,'Parte Estrategica'!AI51=""),0,IF(VLOOKUP($A51,'Matriz de Referencia'!$B$2:$CO$584,41,FALSE)=0,0,"Digite"))</f>
        <v>0</v>
      </c>
      <c r="CA51" s="454">
        <f>IF(OR('Parte Estrategica'!AI51=0,'Parte Estrategica'!AI51=""),0,IF(VLOOKUP($A51,'Matriz de Referencia'!$B$2:$CO$584,42,FALSE)=0,0,"Digite"))</f>
        <v>0</v>
      </c>
      <c r="CB51" s="454">
        <f>IF(OR('Parte Estrategica'!AI51=0,'Parte Estrategica'!AI51=""),0,IF(VLOOKUP($A51,'Matriz de Referencia'!$B$2:$CO$584,43,FALSE)=0,0,"Digite"))</f>
        <v>0</v>
      </c>
      <c r="CC51" s="454">
        <f>IF(OR('Parte Estrategica'!AI51=0,'Parte Estrategica'!AI51=""),0,IF(VLOOKUP($A51,'Matriz de Referencia'!$B$2:$CO$584,44,FALSE)=0,0,"Digite"))</f>
        <v>0</v>
      </c>
      <c r="CD51" s="454">
        <f>IF(OR('Parte Estrategica'!AI51=0,'Parte Estrategica'!AI51=""),0,IF(VLOOKUP($A51,'Matriz de Referencia'!$B$2:$CO$584,45,FALSE)=0,0,"Digite"))</f>
        <v>0</v>
      </c>
      <c r="CE51" s="454">
        <f>IF(OR('Parte Estrategica'!AI51=0,'Parte Estrategica'!AI51=""),0,IF(VLOOKUP($A51,'Matriz de Referencia'!$B$2:$CO$584,46,FALSE)=0,0,"Digite"))</f>
        <v>0</v>
      </c>
      <c r="CF51" s="382">
        <f t="shared" si="16"/>
        <v>0</v>
      </c>
      <c r="CG51" s="454">
        <f>IF(OR('Parte Estrategica'!AI51=0,'Parte Estrategica'!AI51=""),0,IF(VLOOKUP($A51,'Matriz de Referencia'!$B$2:$CO$584,48,FALSE)=0,0,"Digite"))</f>
        <v>0</v>
      </c>
      <c r="CH51" s="454">
        <f>IF(OR('Parte Estrategica'!AI51=0,'Parte Estrategica'!AI51=""),0,IF(VLOOKUP($A51,'Matriz de Referencia'!$B$2:$CO$584,49,FALSE)=0,0,"Digite"))</f>
        <v>0</v>
      </c>
      <c r="CI51" s="454">
        <f>IF(OR('Parte Estrategica'!AI51=0,'Parte Estrategica'!AI51=""),0,IF(VLOOKUP($A51,'Matriz de Referencia'!$B$2:$CO$584,50,FALSE)=0,0,"Digite"))</f>
        <v>0</v>
      </c>
      <c r="CJ51" s="382">
        <f t="shared" si="17"/>
        <v>0</v>
      </c>
      <c r="CK51" s="382">
        <f t="shared" si="18"/>
        <v>0</v>
      </c>
      <c r="CL51" s="453">
        <f>IF(OR('Parte Estrategica'!AJ51=0,'Parte Estrategica'!AJ51=""),0,IF(VLOOKUP($A51,'Matriz de Referencia'!$B$2:$CO$584,39,FALSE)=0,0,"Digite"))</f>
        <v>0</v>
      </c>
      <c r="CM51" s="454">
        <f>IF(OR('Parte Estrategica'!AJ51=0,'Parte Estrategica'!AJ51=""),0,IF(VLOOKUP($A51,'Matriz de Referencia'!$B$2:$CO$584,40,FALSE)=0,0,"Digite"))</f>
        <v>0</v>
      </c>
      <c r="CN51" s="454">
        <f>IF(OR('Parte Estrategica'!AJ51=0,'Parte Estrategica'!AJ51=""),0,IF(VLOOKUP($A51,'Matriz de Referencia'!$B$2:$CO$584,41,FALSE)=0,0,"Digite"))</f>
        <v>0</v>
      </c>
      <c r="CO51" s="454">
        <f>IF(OR('Parte Estrategica'!AJ51=0,'Parte Estrategica'!AJ51=""),0,IF(VLOOKUP($A51,'Matriz de Referencia'!$B$2:$CO$584,42,FALSE)=0,0,"Digite"))</f>
        <v>0</v>
      </c>
      <c r="CP51" s="454">
        <f>IF(OR('Parte Estrategica'!AJ51=0,'Parte Estrategica'!AJ51=""),0,IF(VLOOKUP($A51,'Matriz de Referencia'!$B$2:$CO$584,43,FALSE)=0,0,"Digite"))</f>
        <v>0</v>
      </c>
      <c r="CQ51" s="454">
        <f>IF(OR('Parte Estrategica'!AJ51=0,'Parte Estrategica'!AJ51=""),0,IF(VLOOKUP($A51,'Matriz de Referencia'!$B$2:$CO$584,44,FALSE)=0,0,"Digite"))</f>
        <v>0</v>
      </c>
      <c r="CR51" s="454">
        <f>IF(OR('Parte Estrategica'!AJ51=0,'Parte Estrategica'!AJ51=""),0,IF(VLOOKUP($A51,'Matriz de Referencia'!$B$2:$CO$584,45,FALSE)=0,0,"Digite"))</f>
        <v>0</v>
      </c>
      <c r="CS51" s="454">
        <f>IF(OR('Parte Estrategica'!AJ51=0,'Parte Estrategica'!AJ51=""),0,IF(VLOOKUP($A51,'Matriz de Referencia'!$B$2:$CO$584,46,FALSE)=0,0,"Digite"))</f>
        <v>0</v>
      </c>
      <c r="CT51" s="382">
        <f t="shared" si="19"/>
        <v>0</v>
      </c>
      <c r="CU51" s="454">
        <f>IF(OR('Parte Estrategica'!AJ51=0,'Parte Estrategica'!AJ51=""),0,IF(VLOOKUP($A51,'Matriz de Referencia'!$B$2:$CO$584,48,FALSE)=0,0,"Digite"))</f>
        <v>0</v>
      </c>
      <c r="CV51" s="454">
        <f>IF(OR('Parte Estrategica'!AJ51=0,'Parte Estrategica'!AJ51=""),0,IF(VLOOKUP($A51,'Matriz de Referencia'!$B$2:$CO$584,49,FALSE)=0,0,"Digite"))</f>
        <v>0</v>
      </c>
      <c r="CW51" s="454">
        <f>IF(OR('Parte Estrategica'!AJ51=0,'Parte Estrategica'!AJ51=""),0,IF(VLOOKUP($A51,'Matriz de Referencia'!$B$2:$CO$584,50,FALSE)=0,0,"Digite"))</f>
        <v>0</v>
      </c>
      <c r="CX51" s="382">
        <f t="shared" si="20"/>
        <v>0</v>
      </c>
      <c r="CY51" s="382">
        <f t="shared" si="21"/>
        <v>0</v>
      </c>
      <c r="CZ51" s="453">
        <f>IF(OR('Parte Estrategica'!AK51=0,'Parte Estrategica'!AK51=""),0,IF(VLOOKUP($A51,'Matriz de Referencia'!$B$2:$CO$584,39,FALSE)=0,0,"Digite"))</f>
        <v>0</v>
      </c>
      <c r="DA51" s="454">
        <f>IF(OR('Parte Estrategica'!AK51=0,'Parte Estrategica'!AK51=""),0,IF(VLOOKUP($A51,'Matriz de Referencia'!$B$2:$CO$584,40,FALSE)=0,0,"Digite"))</f>
        <v>0</v>
      </c>
      <c r="DB51" s="454">
        <f>IF(OR('Parte Estrategica'!AK51=0,'Parte Estrategica'!AK51=""),0,IF(VLOOKUP($A51,'Matriz de Referencia'!$B$2:$CO$584,41,FALSE)=0,0,"Digite"))</f>
        <v>0</v>
      </c>
      <c r="DC51" s="454">
        <f>IF(OR('Parte Estrategica'!AK51=0,'Parte Estrategica'!AK51=""),0,IF(VLOOKUP($A51,'Matriz de Referencia'!$B$2:$CO$584,42,FALSE)=0,0,"Digite"))</f>
        <v>0</v>
      </c>
      <c r="DD51" s="454">
        <f>IF(OR('Parte Estrategica'!AK51=0,'Parte Estrategica'!AK51=""),0,IF(VLOOKUP($A51,'Matriz de Referencia'!$B$2:$CO$584,43,FALSE)=0,0,"Digite"))</f>
        <v>0</v>
      </c>
      <c r="DE51" s="454">
        <f>IF(OR('Parte Estrategica'!AK51=0,'Parte Estrategica'!AK51=""),0,IF(VLOOKUP($A51,'Matriz de Referencia'!$B$2:$CO$584,44,FALSE)=0,0,"Digite"))</f>
        <v>0</v>
      </c>
      <c r="DF51" s="454">
        <f>IF(OR('Parte Estrategica'!AK51=0,'Parte Estrategica'!AK51=""),0,IF(VLOOKUP($A51,'Matriz de Referencia'!$B$2:$CO$584,45,FALSE)=0,0,"Digite"))</f>
        <v>0</v>
      </c>
      <c r="DG51" s="454">
        <f>IF(OR('Parte Estrategica'!AK51=0,'Parte Estrategica'!AK51=""),0,IF(VLOOKUP($A51,'Matriz de Referencia'!$B$2:$CO$584,46,FALSE)=0,0,"Digite"))</f>
        <v>0</v>
      </c>
      <c r="DH51" s="382">
        <f t="shared" si="22"/>
        <v>0</v>
      </c>
      <c r="DI51" s="454">
        <f>IF(OR('Parte Estrategica'!AK51=0,'Parte Estrategica'!AK51=""),0,IF(VLOOKUP($A51,'Matriz de Referencia'!$B$2:$CO$584,48,FALSE)=0,0,"Digite"))</f>
        <v>0</v>
      </c>
      <c r="DJ51" s="454">
        <f>IF(OR('Parte Estrategica'!AK51=0,'Parte Estrategica'!AK51=""),0,IF(VLOOKUP($A51,'Matriz de Referencia'!$B$2:$CO$584,49,FALSE)=0,0,"Digite"))</f>
        <v>0</v>
      </c>
      <c r="DK51" s="454">
        <f>IF(OR('Parte Estrategica'!AK51=0,'Parte Estrategica'!AK51=""),0,IF(VLOOKUP($A51,'Matriz de Referencia'!$B$2:$CO$584,50,FALSE)=0,0,"Digite"))</f>
        <v>0</v>
      </c>
      <c r="DL51" s="382">
        <f t="shared" si="23"/>
        <v>0</v>
      </c>
      <c r="DM51" s="382">
        <f t="shared" si="24"/>
        <v>0</v>
      </c>
      <c r="DN51" s="382">
        <f t="shared" si="25"/>
        <v>0</v>
      </c>
      <c r="DO51" s="101" t="str">
        <f>IFERROR(IF(DN51=0,"",IF(VLOOKUP($A51,'Matriz de Referencia'!$B$2:$CO$584,52,FALSE)=DN51,"Techos ok, cotinue","Debe revisar el valor programado")),"")</f>
        <v/>
      </c>
      <c r="DP51" s="453">
        <f>IF(OR('Parte Estrategica'!AN51=0,'Parte Estrategica'!AN51=""),0,IF(VLOOKUP($A51,'Matriz de Referencia'!$B$2:$CO$584,53,FALSE)=0,0,"Digite"))</f>
        <v>0</v>
      </c>
      <c r="DQ51" s="454">
        <f>IF(OR('Parte Estrategica'!AN51=0,'Parte Estrategica'!AN51=""),0,IF(VLOOKUP($A51,'Matriz de Referencia'!$B$2:$CO$584,54,FALSE)=0,0,"Digite"))</f>
        <v>0</v>
      </c>
      <c r="DR51" s="454">
        <f>IF(OR('Parte Estrategica'!AN51=0,'Parte Estrategica'!AN51=""),0,IF(VLOOKUP($A51,'Matriz de Referencia'!$B$2:$CO$584,55,FALSE)=0,0,"Digite"))</f>
        <v>0</v>
      </c>
      <c r="DS51" s="454">
        <f>IF(OR('Parte Estrategica'!AN51=0,'Parte Estrategica'!AN51=""),0,IF(VLOOKUP($A51,'Matriz de Referencia'!$B$2:$CO$584,56,FALSE)=0,0,"Digite"))</f>
        <v>0</v>
      </c>
      <c r="DT51" s="454">
        <f>IF(OR('Parte Estrategica'!AN51=0,'Parte Estrategica'!AN51=""),0,IF(VLOOKUP($A51,'Matriz de Referencia'!$B$2:$CO$584,57,FALSE)=0,0,"Digite"))</f>
        <v>0</v>
      </c>
      <c r="DU51" s="454">
        <f>IF(OR('Parte Estrategica'!AN51=0,'Parte Estrategica'!AN51=""),0,IF(VLOOKUP($A51,'Matriz de Referencia'!$B$2:$CO$584,58,FALSE)=0,0,"Digite"))</f>
        <v>0</v>
      </c>
      <c r="DV51" s="454">
        <f>IF(OR('Parte Estrategica'!AN51=0,'Parte Estrategica'!AN51=""),0,IF(VLOOKUP($A51,'Matriz de Referencia'!$B$2:$CO$584,59,FALSE)=0,0,"Digite"))</f>
        <v>0</v>
      </c>
      <c r="DW51" s="454">
        <f>IF(OR('Parte Estrategica'!AN51=0,'Parte Estrategica'!AN51=""),0,IF(VLOOKUP($A51,'Matriz de Referencia'!$B$2:$CO$584,60,FALSE)=0,0,"Digite"))</f>
        <v>0</v>
      </c>
      <c r="DX51" s="382">
        <f t="shared" si="26"/>
        <v>0</v>
      </c>
      <c r="DY51" s="454">
        <f>IF(OR('Parte Estrategica'!AN51=0,'Parte Estrategica'!AN51=""),0,IF(VLOOKUP($A51,'Matriz de Referencia'!$B$2:$CO$584,62,FALSE)=0,0,"Digite"))</f>
        <v>0</v>
      </c>
      <c r="DZ51" s="454">
        <f>IF(OR('Parte Estrategica'!AN51=0,'Parte Estrategica'!AN51=""),0,IF(VLOOKUP($A51,'Matriz de Referencia'!$B$2:$CO$584,63,FALSE)=0,0,"Digite"))</f>
        <v>0</v>
      </c>
      <c r="EA51" s="454" t="str">
        <f>IF(OR('Parte Estrategica'!AN51=0,'Parte Estrategica'!AN51=""),"",IF(VLOOKUP($A51,'Matriz de Referencia'!$B$2:$CO$584,64,FALSE)=0,"","Digite"))</f>
        <v/>
      </c>
      <c r="EB51" s="382">
        <f t="shared" si="27"/>
        <v>0</v>
      </c>
      <c r="EC51" s="382">
        <f t="shared" si="28"/>
        <v>0</v>
      </c>
      <c r="ED51" s="453">
        <f>IF(OR('Parte Estrategica'!AO51=0,'Parte Estrategica'!AO51=""),0,IF(VLOOKUP($A51,'Matriz de Referencia'!$B$2:$CO$584,53,FALSE)=0,0,"Digite"))</f>
        <v>0</v>
      </c>
      <c r="EE51" s="454">
        <f>IF(OR('Parte Estrategica'!AO51=0,'Parte Estrategica'!AO51=""),0,IF(VLOOKUP($A51,'Matriz de Referencia'!$B$2:$CO$584,54,FALSE)=0,0,"Digite"))</f>
        <v>0</v>
      </c>
      <c r="EF51" s="454">
        <f>IF(OR('Parte Estrategica'!AO51=0,'Parte Estrategica'!AO51=""),0,IF(VLOOKUP($A51,'Matriz de Referencia'!$B$2:$CO$584,55,FALSE)=0,0,"Digite"))</f>
        <v>0</v>
      </c>
      <c r="EG51" s="454">
        <f>IF(OR('Parte Estrategica'!AO51=0,'Parte Estrategica'!AO51=""),0,IF(VLOOKUP($A51,'Matriz de Referencia'!$B$2:$CO$584,56,FALSE)=0,0,"Digite"))</f>
        <v>0</v>
      </c>
      <c r="EH51" s="454">
        <f>IF(OR('Parte Estrategica'!AO51=0,'Parte Estrategica'!AO51=""),0,IF(VLOOKUP($A51,'Matriz de Referencia'!$B$2:$CO$584,57,FALSE)=0,0,"Digite"))</f>
        <v>0</v>
      </c>
      <c r="EI51" s="454">
        <f>IF(OR('Parte Estrategica'!AO51=0,'Parte Estrategica'!AO51=""),0,IF(VLOOKUP($A51,'Matriz de Referencia'!$B$2:$CO$584,58,FALSE)=0,0,"Digite"))</f>
        <v>0</v>
      </c>
      <c r="EJ51" s="454">
        <f>IF(OR('Parte Estrategica'!AO51=0,'Parte Estrategica'!AO51=""),0,IF(VLOOKUP($A51,'Matriz de Referencia'!$B$2:$CO$584,59,FALSE)=0,0,"Digite"))</f>
        <v>0</v>
      </c>
      <c r="EK51" s="454">
        <f>IF(OR('Parte Estrategica'!AO51=0,'Parte Estrategica'!AO51=""),0,IF(VLOOKUP($A51,'Matriz de Referencia'!$B$2:$CO$584,60,FALSE)=0,0,"Digite"))</f>
        <v>0</v>
      </c>
      <c r="EL51" s="382">
        <f t="shared" si="29"/>
        <v>0</v>
      </c>
      <c r="EM51" s="454">
        <f>IF(OR('Parte Estrategica'!AO51=0,'Parte Estrategica'!AO51=""),0,IF(VLOOKUP($A51,'Matriz de Referencia'!$B$2:$CO$584,62,FALSE)=0,0,"Digite"))</f>
        <v>0</v>
      </c>
      <c r="EN51" s="454">
        <f>IF(OR('Parte Estrategica'!AO51=0,'Parte Estrategica'!AO51=""),0,IF(VLOOKUP($A51,'Matriz de Referencia'!$B$2:$CO$584,63,FALSE)=0,0,"Digite"))</f>
        <v>0</v>
      </c>
      <c r="EO51" s="454">
        <f>IF(OR('Parte Estrategica'!AO51=0,'Parte Estrategica'!AO51=""),0,IF(VLOOKUP($A51,'Matriz de Referencia'!$B$2:$CO$584,64,FALSE)=0,0,"Digite"))</f>
        <v>0</v>
      </c>
      <c r="EP51" s="382">
        <f t="shared" si="30"/>
        <v>0</v>
      </c>
      <c r="EQ51" s="382">
        <f t="shared" si="31"/>
        <v>0</v>
      </c>
      <c r="ER51" s="453">
        <f>IF(OR('Parte Estrategica'!AP51=0,'Parte Estrategica'!AP51=""),0,IF(VLOOKUP($A51,'Matriz de Referencia'!$B$2:$CO$584,53,FALSE)=0,0,"Digite"))</f>
        <v>0</v>
      </c>
      <c r="ES51" s="454">
        <f>IF(OR('Parte Estrategica'!AP51=0,'Parte Estrategica'!AP51=""),0,IF(VLOOKUP($A51,'Matriz de Referencia'!$B$2:$CO$584,54,FALSE)=0,0,"Digite"))</f>
        <v>0</v>
      </c>
      <c r="ET51" s="454">
        <f>IF(OR('Parte Estrategica'!AP51=0,'Parte Estrategica'!AP51=""),0,IF(VLOOKUP($A51,'Matriz de Referencia'!$B$2:$CO$584,55,FALSE)=0,0,"Digite"))</f>
        <v>0</v>
      </c>
      <c r="EU51" s="454">
        <f>IF(OR('Parte Estrategica'!AP51=0,'Parte Estrategica'!AP51=""),0,IF(VLOOKUP($A51,'Matriz de Referencia'!$B$2:$CO$584,56,FALSE)=0,0,"Digite"))</f>
        <v>0</v>
      </c>
      <c r="EV51" s="454">
        <f>IF(OR('Parte Estrategica'!AP51=0,'Parte Estrategica'!AP51=""),0,IF(VLOOKUP($A51,'Matriz de Referencia'!$B$2:$CO$584,57,FALSE)=0,0,"Digite"))</f>
        <v>0</v>
      </c>
      <c r="EW51" s="454">
        <f>IF(OR('Parte Estrategica'!AP51=0,'Parte Estrategica'!AP51=""),0,IF(VLOOKUP($A51,'Matriz de Referencia'!$B$2:$CO$584,58,FALSE)=0,0,"Digite"))</f>
        <v>0</v>
      </c>
      <c r="EX51" s="454">
        <f>IF(OR('Parte Estrategica'!AP51=0,'Parte Estrategica'!AP51=""),0,IF(VLOOKUP($A51,'Matriz de Referencia'!$B$2:$CO$584,59,FALSE)=0,0,"Digite"))</f>
        <v>0</v>
      </c>
      <c r="EY51" s="454">
        <f>IF(OR('Parte Estrategica'!AP51=0,'Parte Estrategica'!AP51=""),0,IF(VLOOKUP($A51,'Matriz de Referencia'!$B$2:$CO$584,60,FALSE)=0,0,"Digite"))</f>
        <v>0</v>
      </c>
      <c r="EZ51" s="382">
        <f t="shared" si="32"/>
        <v>0</v>
      </c>
      <c r="FA51" s="454">
        <f>IF(OR('Parte Estrategica'!AP51=0,'Parte Estrategica'!AP51=""),0,IF(VLOOKUP($A51,'Matriz de Referencia'!$B$2:$CO$584,62,FALSE)=0,0,"Digite"))</f>
        <v>0</v>
      </c>
      <c r="FB51" s="454">
        <f>IF(OR('Parte Estrategica'!AP51=0,'Parte Estrategica'!AP51=""),0,IF(VLOOKUP($A51,'Matriz de Referencia'!$B$2:$CO$584,63,FALSE)=0,0,"Digite"))</f>
        <v>0</v>
      </c>
      <c r="FC51" s="454">
        <f>IF(OR('Parte Estrategica'!AP51=0,'Parte Estrategica'!AP51=""),0,IF(VLOOKUP($A51,'Matriz de Referencia'!$B$2:$CO$584,64,FALSE)=0,0,"Digite"))</f>
        <v>0</v>
      </c>
      <c r="FD51" s="382">
        <f t="shared" si="33"/>
        <v>0</v>
      </c>
      <c r="FE51" s="382">
        <f t="shared" si="34"/>
        <v>0</v>
      </c>
      <c r="FF51" s="453">
        <f>IF(OR('Parte Estrategica'!AQ51=0,'Parte Estrategica'!AQ51=""),0,IF(VLOOKUP($A51,'Matriz de Referencia'!$B$2:$CO$584,53,FALSE)=0,0,"Digite"))</f>
        <v>0</v>
      </c>
      <c r="FG51" s="454">
        <f>IF(OR('Parte Estrategica'!AQ51=0,'Parte Estrategica'!AQ51=""),0,IF(VLOOKUP($A51,'Matriz de Referencia'!$B$2:$CO$584,54,FALSE)=0,0,"Digite"))</f>
        <v>0</v>
      </c>
      <c r="FH51" s="454">
        <f>IF(OR('Parte Estrategica'!AQ51=0,'Parte Estrategica'!AQ51=""),0,IF(VLOOKUP($A51,'Matriz de Referencia'!$B$2:$CO$584,55,FALSE)=0,0,"Digite"))</f>
        <v>0</v>
      </c>
      <c r="FI51" s="454">
        <f>IF(OR('Parte Estrategica'!AQ51=0,'Parte Estrategica'!AQ51=""),0,IF(VLOOKUP($A51,'Matriz de Referencia'!$B$2:$CO$584,56,FALSE)=0,0,"Digite"))</f>
        <v>0</v>
      </c>
      <c r="FJ51" s="454">
        <f>IF(OR('Parte Estrategica'!AQ51=0,'Parte Estrategica'!AQ51=""),0,IF(VLOOKUP($A51,'Matriz de Referencia'!$B$2:$CO$584,57,FALSE)=0,0,"Digite"))</f>
        <v>0</v>
      </c>
      <c r="FK51" s="454">
        <f>IF(OR('Parte Estrategica'!AQ51=0,'Parte Estrategica'!AQ51=""),0,IF(VLOOKUP($A51,'Matriz de Referencia'!$B$2:$CO$584,58,FALSE)=0,0,"Digite"))</f>
        <v>0</v>
      </c>
      <c r="FL51" s="454">
        <f>IF(OR('Parte Estrategica'!AQ51=0,'Parte Estrategica'!AQ51=""),0,IF(VLOOKUP($A51,'Matriz de Referencia'!$B$2:$CO$584,59,FALSE)=0,0,"Digite"))</f>
        <v>0</v>
      </c>
      <c r="FM51" s="454">
        <f>IF(OR('Parte Estrategica'!AQ51=0,'Parte Estrategica'!AQ51=""),0,IF(VLOOKUP($A51,'Matriz de Referencia'!$B$2:$CO$584,60,FALSE)=0,0,"Digite"))</f>
        <v>0</v>
      </c>
      <c r="FN51" s="382">
        <f t="shared" si="35"/>
        <v>0</v>
      </c>
      <c r="FO51" s="454">
        <f>IF(OR('Parte Estrategica'!AQ51=0,'Parte Estrategica'!AQ51=""),0,IF(VLOOKUP($A51,'Matriz de Referencia'!$B$2:$CO$584,62,FALSE)=0,0,"Digite"))</f>
        <v>0</v>
      </c>
      <c r="FP51" s="454">
        <f>IF(OR('Parte Estrategica'!AQ51=0,'Parte Estrategica'!AQ51=""),0,IF(VLOOKUP($A51,'Matriz de Referencia'!$B$2:$CO$584,63,FALSE)=0,0,"Digite"))</f>
        <v>0</v>
      </c>
      <c r="FQ51" s="454">
        <f>IF(OR('Parte Estrategica'!AQ51=0,'Parte Estrategica'!AQ51=""),0,IF(VLOOKUP($A51,'Matriz de Referencia'!$B$2:$CO$584,64,FALSE)=0,0,"Digite"))</f>
        <v>0</v>
      </c>
      <c r="FR51" s="382">
        <f t="shared" si="36"/>
        <v>0</v>
      </c>
      <c r="FS51" s="382">
        <f t="shared" si="37"/>
        <v>0</v>
      </c>
      <c r="FT51" s="382">
        <f t="shared" si="38"/>
        <v>0</v>
      </c>
      <c r="FU51" s="101" t="str">
        <f>IFERROR(IF(FT51=0,"",IF(VLOOKUP($A51,'Matriz de Referencia'!$B$2:$CO$584,66,FALSE)=FT51,"Techos ok, cotinue","Debe revisar el valor programado")),"")</f>
        <v/>
      </c>
      <c r="FV51" s="453">
        <f>IF(OR('Parte Estrategica'!AT51=0,'Parte Estrategica'!AT51=""),0,IF(VLOOKUP($A51,'Matriz de Referencia'!$B$2:$CO$584,67,FALSE)=0,0,"Digite"))</f>
        <v>0</v>
      </c>
      <c r="FW51" s="454">
        <f>IF(OR('Parte Estrategica'!AT51=0,'Parte Estrategica'!AT51=""),0,IF(VLOOKUP($A51,'Matriz de Referencia'!$B$2:$CO$584,68,FALSE)=0,0,"Digite"))</f>
        <v>0</v>
      </c>
      <c r="FX51" s="454">
        <f>IF(OR('Parte Estrategica'!AT51=0,'Parte Estrategica'!AT51=""),0,IF(VLOOKUP($A51,'Matriz de Referencia'!$B$2:$CO$584,69,FALSE)=0,0,"Digite"))</f>
        <v>0</v>
      </c>
      <c r="FY51" s="454">
        <f>IF(OR('Parte Estrategica'!AT51=0,'Parte Estrategica'!AT51=""),0,IF(VLOOKUP($A51,'Matriz de Referencia'!$B$2:$CO$584,70,FALSE)=0,0,"Digite"))</f>
        <v>0</v>
      </c>
      <c r="FZ51" s="454">
        <f>IF(OR('Parte Estrategica'!AT51=0,'Parte Estrategica'!AT51=""),0,IF(VLOOKUP($A51,'Matriz de Referencia'!$B$2:$CO$584,71,FALSE)=0,0,"Digite"))</f>
        <v>0</v>
      </c>
      <c r="GA51" s="454">
        <f>IF(OR('Parte Estrategica'!AT51=0,'Parte Estrategica'!AT51=""),0,IF(VLOOKUP($A51,'Matriz de Referencia'!$B$2:$CO$584,72,FALSE)=0,0,"Digite"))</f>
        <v>0</v>
      </c>
      <c r="GB51" s="454">
        <f>IF(OR('Parte Estrategica'!AT51=0,'Parte Estrategica'!AT51=""),0,IF(VLOOKUP($A51,'Matriz de Referencia'!$B$2:$CO$584,73,FALSE)=0,0,"Digite"))</f>
        <v>0</v>
      </c>
      <c r="GC51" s="454">
        <f>IF(OR('Parte Estrategica'!AT51=0,'Parte Estrategica'!AT51=""),0,IF(VLOOKUP($A51,'Matriz de Referencia'!$B$2:$CO$584,74,FALSE)=0,0,"Digite"))</f>
        <v>0</v>
      </c>
      <c r="GD51" s="382">
        <f t="shared" si="39"/>
        <v>0</v>
      </c>
      <c r="GE51" s="454">
        <f>IF(OR('Parte Estrategica'!AT51=0,'Parte Estrategica'!AT51=""),0,IF(VLOOKUP($A51,'Matriz de Referencia'!$B$2:$CO$584,76,FALSE)=0,0,"Digite"))</f>
        <v>0</v>
      </c>
      <c r="GF51" s="454">
        <f>IF(OR('Parte Estrategica'!AT51=0,'Parte Estrategica'!AT51=""),0,IF(VLOOKUP($A51,'Matriz de Referencia'!$B$2:$CO$584,77,FALSE)=0,0,"Digite"))</f>
        <v>0</v>
      </c>
      <c r="GG51" s="454">
        <f>IF(OR('Parte Estrategica'!AT51=0,'Parte Estrategica'!AT51=""),0,IF(VLOOKUP($A51,'Matriz de Referencia'!$B$2:$CO$584,78,FALSE)=0,0,"Digite"))</f>
        <v>0</v>
      </c>
      <c r="GH51" s="382">
        <f t="shared" si="40"/>
        <v>0</v>
      </c>
      <c r="GI51" s="382">
        <f t="shared" si="41"/>
        <v>0</v>
      </c>
      <c r="GJ51" s="453">
        <f>IF(OR('Parte Estrategica'!AU51=0,'Parte Estrategica'!AU51=""),0,IF(VLOOKUP($A51,'Matriz de Referencia'!$B$2:$CO$584,67,FALSE)=0,0,"Digite"))</f>
        <v>0</v>
      </c>
      <c r="GK51" s="454">
        <f>IF(OR('Parte Estrategica'!AU51=0,'Parte Estrategica'!AU51=""),0,IF(VLOOKUP($A51,'Matriz de Referencia'!$B$2:$CO$584,68,FALSE)=0,0,"Digite"))</f>
        <v>0</v>
      </c>
      <c r="GL51" s="454">
        <f>IF(OR('Parte Estrategica'!AU51=0,'Parte Estrategica'!AU51=""),0,IF(VLOOKUP($A51,'Matriz de Referencia'!$B$2:$CO$584,69,FALSE)=0,0,"Digite"))</f>
        <v>0</v>
      </c>
      <c r="GM51" s="454">
        <f>IF(OR('Parte Estrategica'!AU51=0,'Parte Estrategica'!AU51=""),0,IF(VLOOKUP($A51,'Matriz de Referencia'!$B$2:$CO$584,70,FALSE)=0,0,"Digite"))</f>
        <v>0</v>
      </c>
      <c r="GN51" s="454">
        <f>IF(OR('Parte Estrategica'!AU51=0,'Parte Estrategica'!AU51=""),0,IF(VLOOKUP($A51,'Matriz de Referencia'!$B$2:$CO$584,71,FALSE)=0,0,"Digite"))</f>
        <v>0</v>
      </c>
      <c r="GO51" s="454">
        <f>IF(OR('Parte Estrategica'!AU51=0,'Parte Estrategica'!AU51=""),0,IF(VLOOKUP($A51,'Matriz de Referencia'!$B$2:$CO$584,72,FALSE)=0,0,"Digite"))</f>
        <v>0</v>
      </c>
      <c r="GP51" s="454">
        <f>IF(OR('Parte Estrategica'!AU51=0,'Parte Estrategica'!AU51=""),0,IF(VLOOKUP($A51,'Matriz de Referencia'!$B$2:$CO$584,73,FALSE)=0,0,"Digite"))</f>
        <v>0</v>
      </c>
      <c r="GQ51" s="454">
        <f>IF(OR('Parte Estrategica'!AU51=0,'Parte Estrategica'!AU51=""),0,IF(VLOOKUP($A51,'Matriz de Referencia'!$B$2:$CO$584,74,FALSE)=0,0,"Digite"))</f>
        <v>0</v>
      </c>
      <c r="GR51" s="382">
        <f t="shared" si="42"/>
        <v>0</v>
      </c>
      <c r="GS51" s="454">
        <f>IF(OR('Parte Estrategica'!AU51=0,'Parte Estrategica'!AU51=""),0,IF(VLOOKUP($A51,'Matriz de Referencia'!$B$2:$CO$584,76,FALSE)=0,0,"Digite"))</f>
        <v>0</v>
      </c>
      <c r="GT51" s="454">
        <f>IF(OR('Parte Estrategica'!AU51=0,'Parte Estrategica'!AU51=""),0,IF(VLOOKUP($A51,'Matriz de Referencia'!$B$2:$CO$584,77,FALSE)=0,0,"Digite"))</f>
        <v>0</v>
      </c>
      <c r="GU51" s="454">
        <f>IF(OR('Parte Estrategica'!AU51=0,'Parte Estrategica'!AU51=""),0,IF(VLOOKUP($A51,'Matriz de Referencia'!$B$2:$CO$584,78,FALSE)=0,0,"Digite"))</f>
        <v>0</v>
      </c>
      <c r="GV51" s="382">
        <f t="shared" si="43"/>
        <v>0</v>
      </c>
      <c r="GW51" s="382">
        <f t="shared" si="44"/>
        <v>0</v>
      </c>
      <c r="GX51" s="453">
        <f>IF(OR('Parte Estrategica'!AV51=0,'Parte Estrategica'!AV51=""),0,IF(VLOOKUP($A51,'Matriz de Referencia'!$B$2:$CO$584,67,FALSE)=0,0,"Digite"))</f>
        <v>0</v>
      </c>
      <c r="GY51" s="454">
        <f>IF(OR('Parte Estrategica'!AV51=0,'Parte Estrategica'!AV51=""),0,IF(VLOOKUP($A51,'Matriz de Referencia'!$B$2:$CO$584,68,FALSE)=0,0,"Digite"))</f>
        <v>0</v>
      </c>
      <c r="GZ51" s="454">
        <f>IF(OR('Parte Estrategica'!AV51=0,'Parte Estrategica'!AV51=""),0,IF(VLOOKUP($A51,'Matriz de Referencia'!$B$2:$CO$584,69,FALSE)=0,0,"Digite"))</f>
        <v>0</v>
      </c>
      <c r="HA51" s="454">
        <f>IF(OR('Parte Estrategica'!AV51=0,'Parte Estrategica'!AV51=""),0,IF(VLOOKUP($A51,'Matriz de Referencia'!$B$2:$CO$584,70,FALSE)=0,0,"Digite"))</f>
        <v>0</v>
      </c>
      <c r="HB51" s="454">
        <f>IF(OR('Parte Estrategica'!AV51=0,'Parte Estrategica'!AV51=""),0,IF(VLOOKUP($A51,'Matriz de Referencia'!$B$2:$CO$584,71,FALSE)=0,0,"Digite"))</f>
        <v>0</v>
      </c>
      <c r="HC51" s="454">
        <f>IF(OR('Parte Estrategica'!AV51=0,'Parte Estrategica'!AV51=""),0,IF(VLOOKUP($A51,'Matriz de Referencia'!$B$2:$CO$584,72,FALSE)=0,0,"Digite"))</f>
        <v>0</v>
      </c>
      <c r="HD51" s="454">
        <f>IF(OR('Parte Estrategica'!AV51=0,'Parte Estrategica'!AV51=""),0,IF(VLOOKUP($A51,'Matriz de Referencia'!$B$2:$CO$584,73,FALSE)=0,0,"Digite"))</f>
        <v>0</v>
      </c>
      <c r="HE51" s="454">
        <f>IF(OR('Parte Estrategica'!AV51=0,'Parte Estrategica'!AV51=""),0,IF(VLOOKUP($A51,'Matriz de Referencia'!$B$2:$CO$584,74,FALSE)=0,0,"Digite"))</f>
        <v>0</v>
      </c>
      <c r="HF51" s="382">
        <f t="shared" si="45"/>
        <v>0</v>
      </c>
      <c r="HG51" s="454">
        <f>IF(OR('Parte Estrategica'!AV51=0,'Parte Estrategica'!AV51=""),0,IF(VLOOKUP($A51,'Matriz de Referencia'!$B$2:$CO$584,76,FALSE)=0,0,"Digite"))</f>
        <v>0</v>
      </c>
      <c r="HH51" s="454">
        <f>IF(OR('Parte Estrategica'!AV51=0,'Parte Estrategica'!AV51=""),0,IF(VLOOKUP($A51,'Matriz de Referencia'!$B$2:$CO$584,77,FALSE)=0,0,"Digite"))</f>
        <v>0</v>
      </c>
      <c r="HI51" s="454">
        <f>IF(OR('Parte Estrategica'!AV51=0,'Parte Estrategica'!AV51=""),0,IF(VLOOKUP($A51,'Matriz de Referencia'!$B$2:$CO$584,78,FALSE)=0,0,"Digite"))</f>
        <v>0</v>
      </c>
      <c r="HJ51" s="382">
        <f t="shared" si="46"/>
        <v>0</v>
      </c>
      <c r="HK51" s="382">
        <f t="shared" si="47"/>
        <v>0</v>
      </c>
      <c r="HL51" s="453">
        <f>IF(OR('Parte Estrategica'!AW51=0,'Parte Estrategica'!AW51=""),0,IF(VLOOKUP($A51,'Matriz de Referencia'!$B$2:$CO$584,67,FALSE)=0,0,"Digite"))</f>
        <v>0</v>
      </c>
      <c r="HM51" s="454">
        <f>IF(OR('Parte Estrategica'!AW51=0,'Parte Estrategica'!AW51=""),0,IF(VLOOKUP($A51,'Matriz de Referencia'!$B$2:$CO$584,68,FALSE)=0,0,"Digite"))</f>
        <v>0</v>
      </c>
      <c r="HN51" s="454">
        <f>IF(OR('Parte Estrategica'!AW51=0,'Parte Estrategica'!AW51=""),0,IF(VLOOKUP($A51,'Matriz de Referencia'!$B$2:$CO$584,69,FALSE)=0,0,"Digite"))</f>
        <v>0</v>
      </c>
      <c r="HO51" s="454">
        <f>IF(OR('Parte Estrategica'!AW51=0,'Parte Estrategica'!AW51=""),0,IF(VLOOKUP($A51,'Matriz de Referencia'!$B$2:$CO$584,70,FALSE)=0,0,"Digite"))</f>
        <v>0</v>
      </c>
      <c r="HP51" s="454">
        <f>IF(OR('Parte Estrategica'!AW51=0,'Parte Estrategica'!AW51=""),0,IF(VLOOKUP($A51,'Matriz de Referencia'!$B$2:$CO$584,71,FALSE)=0,0,"Digite"))</f>
        <v>0</v>
      </c>
      <c r="HQ51" s="454">
        <f>IF(OR('Parte Estrategica'!AW51=0,'Parte Estrategica'!AW51=""),0,IF(VLOOKUP($A51,'Matriz de Referencia'!$B$2:$CO$584,72,FALSE)=0,0,"Digite"))</f>
        <v>0</v>
      </c>
      <c r="HR51" s="454">
        <f>IF(OR('Parte Estrategica'!AW51=0,'Parte Estrategica'!AW51=""),0,IF(VLOOKUP($A51,'Matriz de Referencia'!$B$2:$CO$584,73,FALSE)=0,0,"Digite"))</f>
        <v>0</v>
      </c>
      <c r="HS51" s="454">
        <f>IF(OR('Parte Estrategica'!AW51=0,'Parte Estrategica'!AW51=""),0,IF(VLOOKUP($A51,'Matriz de Referencia'!$B$2:$CO$584,74,FALSE)=0,0,"Digite"))</f>
        <v>0</v>
      </c>
      <c r="HT51" s="382">
        <f t="shared" si="48"/>
        <v>0</v>
      </c>
      <c r="HU51" s="454">
        <f>IF(OR('Parte Estrategica'!AW51=0,'Parte Estrategica'!AW51=""),0,IF(VLOOKUP($A51,'Matriz de Referencia'!$B$2:$CO$584,76,FALSE)=0,0,"Digite"))</f>
        <v>0</v>
      </c>
      <c r="HV51" s="454">
        <f>IF(OR('Parte Estrategica'!AW51=0,'Parte Estrategica'!AW51=""),0,IF(VLOOKUP($A51,'Matriz de Referencia'!$B$2:$CO$584,77,FALSE)=0,0,"Digite"))</f>
        <v>0</v>
      </c>
      <c r="HW51" s="454">
        <f>IF(OR('Parte Estrategica'!AW51=0,'Parte Estrategica'!AW51=""),0,IF(VLOOKUP($A51,'Matriz de Referencia'!$B$2:$CO$584,78,FALSE)=0,0,"Digite"))</f>
        <v>0</v>
      </c>
      <c r="HX51" s="382">
        <f t="shared" si="49"/>
        <v>0</v>
      </c>
      <c r="HY51" s="382">
        <f t="shared" si="50"/>
        <v>0</v>
      </c>
      <c r="HZ51" s="382">
        <f t="shared" si="51"/>
        <v>0</v>
      </c>
      <c r="IA51" s="101" t="str">
        <f>IFERROR(IF(HZ51=0,"",IF(VLOOKUP($A51,'Matriz de Referencia'!$B$2:$CO$584,80,FALSE)=HZ51,"Techos ok, cotinue","Debe revisar el valor programado")),"")</f>
        <v/>
      </c>
      <c r="IB51" s="383">
        <f t="shared" si="52"/>
        <v>0</v>
      </c>
    </row>
    <row r="52" spans="1:236">
      <c r="A52" s="550" t="str">
        <f>IF('Parte Estrategica'!B52=0,"",'Parte Estrategica'!B52)</f>
        <v/>
      </c>
      <c r="B52" s="551" t="str">
        <f>IFERROR(VLOOKUP(A52,'Matriz de Referencia'!$B$2:$P$578,'Matriz de Referencia'!L$1,FALSE),"")</f>
        <v/>
      </c>
      <c r="C52" s="551" t="str">
        <f>IFERROR(VLOOKUP(A52,'Matriz de Referencia'!$B$2:$P$584,'Matriz de Referencia'!M$1,FALSE),"")</f>
        <v/>
      </c>
      <c r="D52" s="455" t="str">
        <f>IF(OR('Parte Estrategica'!AB52=0,'Parte Estrategica'!AB52=""),"",IF(VLOOKUP($A52,'Matriz de Referencia'!$B$2:$CO$584,'Matriz de Referencia'!Z$1,FALSE)=0,"","Digite"))</f>
        <v/>
      </c>
      <c r="E52" s="456">
        <f>IF(OR('Parte Estrategica'!AB52=0,'Parte Estrategica'!AB52=""),0,IF(VLOOKUP($A52,'Matriz de Referencia'!$B$2:$CO$584,26,FALSE)=0,0,"Digite"))</f>
        <v>0</v>
      </c>
      <c r="F52" s="456">
        <f>IF(OR('Parte Estrategica'!AB52=0,'Parte Estrategica'!AB52=""),0,IF(VLOOKUP($A52,'Matriz de Referencia'!$B$2:$CO$584,27,FALSE)=0,0,"Digite"))</f>
        <v>0</v>
      </c>
      <c r="G52" s="456">
        <f>IF(OR('Parte Estrategica'!AB52=0,'Parte Estrategica'!AB52=""),0,IF(VLOOKUP($A52,'Matriz de Referencia'!$B$2:$CO$584,28,FALSE)=0,0,"Digite"))</f>
        <v>0</v>
      </c>
      <c r="H52" s="456">
        <f>IF(OR('Parte Estrategica'!AB52=0,'Parte Estrategica'!AB52=""),0,IF(VLOOKUP($A52,'Matriz de Referencia'!$B$2:$CO$584,29,FALSE)=0,0,"Digite"))</f>
        <v>0</v>
      </c>
      <c r="I52" s="456">
        <f>IF(OR('Parte Estrategica'!AB52=0,'Parte Estrategica'!AB52=""),0,IF(VLOOKUP($A52,'Matriz de Referencia'!$B$2:$CO$584,30,FALSE)=0,0,"Digite"))</f>
        <v>0</v>
      </c>
      <c r="J52" s="456">
        <f>IF(OR('Parte Estrategica'!AB52=0,'Parte Estrategica'!AB52=""),0,IF(VLOOKUP($A52,'Matriz de Referencia'!$B$2:$CO$584,31,FALSE)=0,0,"Digite"))</f>
        <v>0</v>
      </c>
      <c r="K52" s="456">
        <f>IF(OR('Parte Estrategica'!AB52=0,'Parte Estrategica'!AB52=""),0,IF(VLOOKUP($A52,'Matriz de Referencia'!$B$2:$CO$584,32,FALSE)=0,0,"Digite"))</f>
        <v>0</v>
      </c>
      <c r="L52" s="460">
        <f t="shared" si="0"/>
        <v>0</v>
      </c>
      <c r="M52" s="456">
        <f>IF(OR('Parte Estrategica'!AB52=0,'Parte Estrategica'!AB52=""),0,IF(VLOOKUP($A52,'Matriz de Referencia'!$B$2:$CO$584,34,FALSE)=0,0,"Digite"))</f>
        <v>0</v>
      </c>
      <c r="N52" s="456">
        <f>IF(OR('Parte Estrategica'!AB52=0,'Parte Estrategica'!AB52=""),0,IF(VLOOKUP($A52,'Matriz de Referencia'!$B$2:$CO$584,35,FALSE)=0,0,"Digite"))</f>
        <v>0</v>
      </c>
      <c r="O52" s="456">
        <f>IF(OR('Parte Estrategica'!AB52=0,'Parte Estrategica'!AB52=""),0,IF(VLOOKUP($A52,'Matriz de Referencia'!$B$2:$CO$584,36,FALSE)=0,0,"Digite"))</f>
        <v>0</v>
      </c>
      <c r="P52" s="457">
        <f t="shared" si="1"/>
        <v>0</v>
      </c>
      <c r="Q52" s="457">
        <f t="shared" si="2"/>
        <v>0</v>
      </c>
      <c r="R52" s="455">
        <f>IF(OR('Parte Estrategica'!AC52=0,'Parte Estrategica'!AC52=""),0,IF(VLOOKUP($A52,'Matriz de Referencia'!$B$2:$CO$584,25,FALSE)=0,0,"Digite"))</f>
        <v>0</v>
      </c>
      <c r="S52" s="456">
        <f>IF(OR('Parte Estrategica'!AC52=0,'Parte Estrategica'!AC52=""),0,IF(VLOOKUP($A52,'Matriz de Referencia'!$B$2:$CO$584,26,FALSE)=0,0,"Digite"))</f>
        <v>0</v>
      </c>
      <c r="T52" s="456">
        <f>IF(OR('Parte Estrategica'!AC52=0,'Parte Estrategica'!AC52=""),0,IF(VLOOKUP($A52,'Matriz de Referencia'!$B$2:$CO$584,27,FALSE)=0,0,"Digite"))</f>
        <v>0</v>
      </c>
      <c r="U52" s="456">
        <f>IF(OR('Parte Estrategica'!AC52=0,'Parte Estrategica'!AC52=""),0,IF(VLOOKUP($A52,'Matriz de Referencia'!$B$2:$CO$584,28,FALSE)=0,0,"Digite"))</f>
        <v>0</v>
      </c>
      <c r="V52" s="456">
        <f>IF(OR('Parte Estrategica'!AC52=0,'Parte Estrategica'!AC52=""),0,IF(VLOOKUP($A52,'Matriz de Referencia'!$B$2:$CO$584,29,FALSE)=0,0,"Digite"))</f>
        <v>0</v>
      </c>
      <c r="W52" s="456">
        <f>IF(OR('Parte Estrategica'!AC52=0,'Parte Estrategica'!AC52=""),0,IF(VLOOKUP($A52,'Matriz de Referencia'!$B$2:$CO$584,30,FALSE)=0,0,"Digite"))</f>
        <v>0</v>
      </c>
      <c r="X52" s="456">
        <f>IF(OR('Parte Estrategica'!AC52=0,'Parte Estrategica'!AC52=""),0,IF(VLOOKUP($A52,'Matriz de Referencia'!$B$2:$CO$584,31,FALSE)=0,0,"Digite"))</f>
        <v>0</v>
      </c>
      <c r="Y52" s="456">
        <f>IF(OR('Parte Estrategica'!AC52=0,'Parte Estrategica'!AC52=""),0,IF(VLOOKUP($A52,'Matriz de Referencia'!$B$2:$CO$584,32,FALSE)=0,0,"Digite"))</f>
        <v>0</v>
      </c>
      <c r="Z52" s="457">
        <f t="shared" si="3"/>
        <v>0</v>
      </c>
      <c r="AA52" s="456">
        <f>IF(OR('Parte Estrategica'!AC52=0,'Parte Estrategica'!AC52=""),0,IF(VLOOKUP($A52,'Matriz de Referencia'!$B$2:$CO$584,34,FALSE)=0,0,"Digite"))</f>
        <v>0</v>
      </c>
      <c r="AB52" s="456">
        <f>IF(OR('Parte Estrategica'!AC52=0,'Parte Estrategica'!AC52=""),0,IF(VLOOKUP($A52,'Matriz de Referencia'!$B$2:$CO$584,35,FALSE)=0,0,"Digite"))</f>
        <v>0</v>
      </c>
      <c r="AC52" s="456">
        <f>IF(OR('Parte Estrategica'!AC52=0,'Parte Estrategica'!AC52=""),0,IF(VLOOKUP($A52,'Matriz de Referencia'!$B$2:$CO$584,36,FALSE)=0,0,"Digite"))</f>
        <v>0</v>
      </c>
      <c r="AD52" s="457">
        <f t="shared" si="4"/>
        <v>0</v>
      </c>
      <c r="AE52" s="457">
        <f t="shared" si="5"/>
        <v>0</v>
      </c>
      <c r="AF52" s="455">
        <f>IF(OR('Parte Estrategica'!AD52=0,'Parte Estrategica'!AD52=""),0,IF(VLOOKUP($A52,'Matriz de Referencia'!$B$2:$CO$584,25,FALSE)=0,0,"Digite"))</f>
        <v>0</v>
      </c>
      <c r="AG52" s="456">
        <f>IF(OR('Parte Estrategica'!AD52=0,'Parte Estrategica'!AD52=""),0,IF(VLOOKUP($A52,'Matriz de Referencia'!$B$2:$CO$584,26,FALSE)=0,0,"Digite"))</f>
        <v>0</v>
      </c>
      <c r="AH52" s="456">
        <f>IF(OR('Parte Estrategica'!AD52=0,'Parte Estrategica'!AD52=""),0,IF(VLOOKUP($A52,'Matriz de Referencia'!$B$2:$CO$584,27,FALSE)=0,0,"Digite"))</f>
        <v>0</v>
      </c>
      <c r="AI52" s="456">
        <f>IF(OR('Parte Estrategica'!AD52=0,'Parte Estrategica'!AD52=""),0,IF(VLOOKUP($A52,'Matriz de Referencia'!$B$2:$CO$584,28,FALSE)=0,0,"Digite"))</f>
        <v>0</v>
      </c>
      <c r="AJ52" s="456">
        <f>IF(OR('Parte Estrategica'!AD52=0,'Parte Estrategica'!AD52=""),0,IF(VLOOKUP($A52,'Matriz de Referencia'!$B$2:$CO$584,29,FALSE)=0,0,"Digite"))</f>
        <v>0</v>
      </c>
      <c r="AK52" s="456">
        <f>IF(OR('Parte Estrategica'!AD52=0,'Parte Estrategica'!AD52=""),0,IF(VLOOKUP($A52,'Matriz de Referencia'!$B$2:$CO$584,30,FALSE)=0,0,"Digite"))</f>
        <v>0</v>
      </c>
      <c r="AL52" s="456">
        <f>IF(OR('Parte Estrategica'!AD52=0,'Parte Estrategica'!AD52=""),0,IF(VLOOKUP($A52,'Matriz de Referencia'!$B$2:$CO$584,31,FALSE)=0,0,"Digite"))</f>
        <v>0</v>
      </c>
      <c r="AM52" s="456">
        <f>IF(OR('Parte Estrategica'!AD52=0,'Parte Estrategica'!AD52=""),0,IF(VLOOKUP($A52,'Matriz de Referencia'!$B$2:$CO$584,32,FALSE)=0,0,"Digite"))</f>
        <v>0</v>
      </c>
      <c r="AN52" s="457">
        <f t="shared" si="6"/>
        <v>0</v>
      </c>
      <c r="AO52" s="456">
        <f>IF(OR('Parte Estrategica'!AD52=0,'Parte Estrategica'!AD52=""),0,IF(VLOOKUP($A52,'Matriz de Referencia'!$B$2:$CO$584,34,FALSE)=0,0,"Digite"))</f>
        <v>0</v>
      </c>
      <c r="AP52" s="456">
        <f>IF(OR('Parte Estrategica'!AD52=0,'Parte Estrategica'!AD52=""),0,IF(VLOOKUP($A52,'Matriz de Referencia'!$B$2:$CO$584,35,FALSE)=0,0,"Digite"))</f>
        <v>0</v>
      </c>
      <c r="AQ52" s="456">
        <f>IF(OR('Parte Estrategica'!AD52=0,'Parte Estrategica'!AD52=""),0,IF(VLOOKUP($A52,'Matriz de Referencia'!$B$2:$CO$584,36,FALSE)=0,0,"Digite"))</f>
        <v>0</v>
      </c>
      <c r="AR52" s="457">
        <f t="shared" si="7"/>
        <v>0</v>
      </c>
      <c r="AS52" s="457">
        <f t="shared" si="8"/>
        <v>0</v>
      </c>
      <c r="AT52" s="455">
        <f>IF(OR('Parte Estrategica'!AE52=0,'Parte Estrategica'!AE52=""),0,IF(VLOOKUP($A52,'Matriz de Referencia'!$B$2:$CO$584,25,FALSE)=0,0,"Digite"))</f>
        <v>0</v>
      </c>
      <c r="AU52" s="456">
        <f>IF(OR('Parte Estrategica'!AE52=0,'Parte Estrategica'!AE52=""),0,IF(VLOOKUP($A52,'Matriz de Referencia'!$B$2:$CO$584,26,FALSE)=0,0,"Digite"))</f>
        <v>0</v>
      </c>
      <c r="AV52" s="456">
        <f>IF(OR('Parte Estrategica'!AE52=0,'Parte Estrategica'!AE52=""),0,IF(VLOOKUP($A52,'Matriz de Referencia'!$B$2:$CO$584,27,FALSE)=0,0,"Digite"))</f>
        <v>0</v>
      </c>
      <c r="AW52" s="456">
        <f>IF(OR('Parte Estrategica'!AE52=0,'Parte Estrategica'!AE52=""),0,IF(VLOOKUP($A52,'Matriz de Referencia'!$B$2:$CO$584,28,FALSE)=0,0,"Digite"))</f>
        <v>0</v>
      </c>
      <c r="AX52" s="456">
        <f>IF(OR('Parte Estrategica'!AE52=0,'Parte Estrategica'!AE52=""),0,IF(VLOOKUP($A52,'Matriz de Referencia'!$B$2:$CO$584,29,FALSE)=0,0,"Digite"))</f>
        <v>0</v>
      </c>
      <c r="AY52" s="456">
        <f>IF(OR('Parte Estrategica'!AE52=0,'Parte Estrategica'!AE52=""),0,IF(VLOOKUP($A52,'Matriz de Referencia'!$B$2:$CO$584,30,FALSE)=0,0,"Digite"))</f>
        <v>0</v>
      </c>
      <c r="AZ52" s="456">
        <f>IF(OR('Parte Estrategica'!AE52=0,'Parte Estrategica'!AE52=""),0,IF(VLOOKUP($A52,'Matriz de Referencia'!$B$2:$CO$584,31,FALSE)=0,0,"Digite"))</f>
        <v>0</v>
      </c>
      <c r="BA52" s="456">
        <f>IF(OR('Parte Estrategica'!AE52=0,'Parte Estrategica'!AE52=""),0,IF(VLOOKUP($A52,'Matriz de Referencia'!$B$2:$CO$584,32,FALSE)=0,0,"Digite"))</f>
        <v>0</v>
      </c>
      <c r="BB52" s="457">
        <f t="shared" si="9"/>
        <v>0</v>
      </c>
      <c r="BC52" s="456">
        <f>IF(OR('Parte Estrategica'!AE52=0,'Parte Estrategica'!AE52=""),0,IF(VLOOKUP($A52,'Matriz de Referencia'!$B$2:$CO$584,34,FALSE)=0,0,"Digite"))</f>
        <v>0</v>
      </c>
      <c r="BD52" s="456">
        <f>IF(OR('Parte Estrategica'!AE52=0,'Parte Estrategica'!AE52=""),0,IF(VLOOKUP($A52,'Matriz de Referencia'!$B$2:$CO$584,35,FALSE)=0,0,"Digite"))</f>
        <v>0</v>
      </c>
      <c r="BE52" s="456">
        <f>IF(OR('Parte Estrategica'!AE52=0,'Parte Estrategica'!AE52=""),0,IF(VLOOKUP($A52,'Matriz de Referencia'!$B$2:$CO$584,36,FALSE)=0,0,"Digite"))</f>
        <v>0</v>
      </c>
      <c r="BF52" s="457">
        <f t="shared" si="10"/>
        <v>0</v>
      </c>
      <c r="BG52" s="457">
        <f t="shared" si="11"/>
        <v>0</v>
      </c>
      <c r="BH52" s="457">
        <f t="shared" si="12"/>
        <v>0</v>
      </c>
      <c r="BI52" s="101" t="str">
        <f>IFERROR(IF(BH52=0,"",IF(VLOOKUP($A52,'Matriz de Referencia'!$B$2:$CO$584,'Matriz de Referencia'!AM$1,FALSE)=BH52,"Techos ok, cotinue","Debe revisar el valor programado")),"")</f>
        <v/>
      </c>
      <c r="BJ52" s="453">
        <f>IF(OR('Parte Estrategica'!AH52=0,'Parte Estrategica'!AH52=""),0,IF(VLOOKUP($A52,'Matriz de Referencia'!$B$2:$CO$584,39,FALSE)=0,0,"Digite"))</f>
        <v>0</v>
      </c>
      <c r="BK52" s="454">
        <f>IF(OR('Parte Estrategica'!AH52=0,'Parte Estrategica'!AH52=""),0,IF(VLOOKUP($A52,'Matriz de Referencia'!$B$2:$CO$584,40,FALSE)=0,0,"Digite"))</f>
        <v>0</v>
      </c>
      <c r="BL52" s="454">
        <f>IF(OR('Parte Estrategica'!AH52=0,'Parte Estrategica'!AH52=""),0,IF(VLOOKUP($A52,'Matriz de Referencia'!$B$2:$CO$584,41,FALSE)=0,0,"Digite"))</f>
        <v>0</v>
      </c>
      <c r="BM52" s="454">
        <f>IF(OR('Parte Estrategica'!AH52=0,'Parte Estrategica'!AH52=""),0,IF(VLOOKUP($A52,'Matriz de Referencia'!$B$2:$CO$584,42,FALSE)=0,0,"Digite"))</f>
        <v>0</v>
      </c>
      <c r="BN52" s="454">
        <f>IF(OR('Parte Estrategica'!AH52=0,'Parte Estrategica'!AH52=""),0,IF(VLOOKUP($A52,'Matriz de Referencia'!$B$2:$CO$584,43,FALSE)=0,0,"Digite"))</f>
        <v>0</v>
      </c>
      <c r="BO52" s="454">
        <f>IF(OR('Parte Estrategica'!AH52=0,'Parte Estrategica'!AH52=""),0,IF(VLOOKUP($A52,'Matriz de Referencia'!$B$2:$CO$584,44,FALSE)=0,0,"Digite"))</f>
        <v>0</v>
      </c>
      <c r="BP52" s="454">
        <f>IF(OR('Parte Estrategica'!AH52=0,'Parte Estrategica'!AH52=""),0,IF(VLOOKUP($A52,'Matriz de Referencia'!$B$2:$CO$584,45,FALSE)=0,0,"Digite"))</f>
        <v>0</v>
      </c>
      <c r="BQ52" s="454">
        <f>IF(OR('Parte Estrategica'!AH52=0,'Parte Estrategica'!AH52=""),0,IF(VLOOKUP($A52,'Matriz de Referencia'!$B$2:$CO$584,46,FALSE)=0,0,"Digite"))</f>
        <v>0</v>
      </c>
      <c r="BR52" s="382">
        <f t="shared" si="13"/>
        <v>0</v>
      </c>
      <c r="BS52" s="454">
        <f>IF(OR('Parte Estrategica'!CL52=0,'Parte Estrategica'!CL52=""),0,IF(VLOOKUP($A52,'Matriz de Referencia'!$B$2:$CO$584,48,FALSE)=0,0,"Digite"))</f>
        <v>0</v>
      </c>
      <c r="BT52" s="454">
        <f>IF(OR('Parte Estrategica'!CL52=0,'Parte Estrategica'!CL52=""),0,IF(VLOOKUP($A52,'Matriz de Referencia'!$B$2:$CO$584,49,FALSE)=0,0,"Digite"))</f>
        <v>0</v>
      </c>
      <c r="BU52" s="454">
        <f>IF(OR('Parte Estrategica'!CL52=0,'Parte Estrategica'!CL52=""),0,IF(VLOOKUP($A52,'Matriz de Referencia'!$B$2:$CO$584,50,FALSE)=0,0,"Digite"))</f>
        <v>0</v>
      </c>
      <c r="BV52" s="382">
        <f t="shared" si="14"/>
        <v>0</v>
      </c>
      <c r="BW52" s="382">
        <f t="shared" si="15"/>
        <v>0</v>
      </c>
      <c r="BX52" s="453">
        <f>IF(OR('Parte Estrategica'!AI52=0,'Parte Estrategica'!AI52=""),0,IF(VLOOKUP($A52,'Matriz de Referencia'!$B$2:$CO$584,39,FALSE)=0,0,"Digite"))</f>
        <v>0</v>
      </c>
      <c r="BY52" s="454">
        <f>IF(OR('Parte Estrategica'!AI52=0,'Parte Estrategica'!AI52=""),0,IF(VLOOKUP($A52,'Matriz de Referencia'!$B$2:$CO$584,40,FALSE)=0,0,"Digite"))</f>
        <v>0</v>
      </c>
      <c r="BZ52" s="454">
        <f>IF(OR('Parte Estrategica'!AI52=0,'Parte Estrategica'!AI52=""),0,IF(VLOOKUP($A52,'Matriz de Referencia'!$B$2:$CO$584,41,FALSE)=0,0,"Digite"))</f>
        <v>0</v>
      </c>
      <c r="CA52" s="454">
        <f>IF(OR('Parte Estrategica'!AI52=0,'Parte Estrategica'!AI52=""),0,IF(VLOOKUP($A52,'Matriz de Referencia'!$B$2:$CO$584,42,FALSE)=0,0,"Digite"))</f>
        <v>0</v>
      </c>
      <c r="CB52" s="454">
        <f>IF(OR('Parte Estrategica'!AI52=0,'Parte Estrategica'!AI52=""),0,IF(VLOOKUP($A52,'Matriz de Referencia'!$B$2:$CO$584,43,FALSE)=0,0,"Digite"))</f>
        <v>0</v>
      </c>
      <c r="CC52" s="454">
        <f>IF(OR('Parte Estrategica'!AI52=0,'Parte Estrategica'!AI52=""),0,IF(VLOOKUP($A52,'Matriz de Referencia'!$B$2:$CO$584,44,FALSE)=0,0,"Digite"))</f>
        <v>0</v>
      </c>
      <c r="CD52" s="454">
        <f>IF(OR('Parte Estrategica'!AI52=0,'Parte Estrategica'!AI52=""),0,IF(VLOOKUP($A52,'Matriz de Referencia'!$B$2:$CO$584,45,FALSE)=0,0,"Digite"))</f>
        <v>0</v>
      </c>
      <c r="CE52" s="454">
        <f>IF(OR('Parte Estrategica'!AI52=0,'Parte Estrategica'!AI52=""),0,IF(VLOOKUP($A52,'Matriz de Referencia'!$B$2:$CO$584,46,FALSE)=0,0,"Digite"))</f>
        <v>0</v>
      </c>
      <c r="CF52" s="382">
        <f t="shared" si="16"/>
        <v>0</v>
      </c>
      <c r="CG52" s="454">
        <f>IF(OR('Parte Estrategica'!AI52=0,'Parte Estrategica'!AI52=""),0,IF(VLOOKUP($A52,'Matriz de Referencia'!$B$2:$CO$584,48,FALSE)=0,0,"Digite"))</f>
        <v>0</v>
      </c>
      <c r="CH52" s="454">
        <f>IF(OR('Parte Estrategica'!AI52=0,'Parte Estrategica'!AI52=""),0,IF(VLOOKUP($A52,'Matriz de Referencia'!$B$2:$CO$584,49,FALSE)=0,0,"Digite"))</f>
        <v>0</v>
      </c>
      <c r="CI52" s="454">
        <f>IF(OR('Parte Estrategica'!AI52=0,'Parte Estrategica'!AI52=""),0,IF(VLOOKUP($A52,'Matriz de Referencia'!$B$2:$CO$584,50,FALSE)=0,0,"Digite"))</f>
        <v>0</v>
      </c>
      <c r="CJ52" s="382">
        <f t="shared" si="17"/>
        <v>0</v>
      </c>
      <c r="CK52" s="382">
        <f t="shared" si="18"/>
        <v>0</v>
      </c>
      <c r="CL52" s="453">
        <f>IF(OR('Parte Estrategica'!AJ52=0,'Parte Estrategica'!AJ52=""),0,IF(VLOOKUP($A52,'Matriz de Referencia'!$B$2:$CO$584,39,FALSE)=0,0,"Digite"))</f>
        <v>0</v>
      </c>
      <c r="CM52" s="454">
        <f>IF(OR('Parte Estrategica'!AJ52=0,'Parte Estrategica'!AJ52=""),0,IF(VLOOKUP($A52,'Matriz de Referencia'!$B$2:$CO$584,40,FALSE)=0,0,"Digite"))</f>
        <v>0</v>
      </c>
      <c r="CN52" s="454">
        <f>IF(OR('Parte Estrategica'!AJ52=0,'Parte Estrategica'!AJ52=""),0,IF(VLOOKUP($A52,'Matriz de Referencia'!$B$2:$CO$584,41,FALSE)=0,0,"Digite"))</f>
        <v>0</v>
      </c>
      <c r="CO52" s="454">
        <f>IF(OR('Parte Estrategica'!AJ52=0,'Parte Estrategica'!AJ52=""),0,IF(VLOOKUP($A52,'Matriz de Referencia'!$B$2:$CO$584,42,FALSE)=0,0,"Digite"))</f>
        <v>0</v>
      </c>
      <c r="CP52" s="454">
        <f>IF(OR('Parte Estrategica'!AJ52=0,'Parte Estrategica'!AJ52=""),0,IF(VLOOKUP($A52,'Matriz de Referencia'!$B$2:$CO$584,43,FALSE)=0,0,"Digite"))</f>
        <v>0</v>
      </c>
      <c r="CQ52" s="454">
        <f>IF(OR('Parte Estrategica'!AJ52=0,'Parte Estrategica'!AJ52=""),0,IF(VLOOKUP($A52,'Matriz de Referencia'!$B$2:$CO$584,44,FALSE)=0,0,"Digite"))</f>
        <v>0</v>
      </c>
      <c r="CR52" s="454">
        <f>IF(OR('Parte Estrategica'!AJ52=0,'Parte Estrategica'!AJ52=""),0,IF(VLOOKUP($A52,'Matriz de Referencia'!$B$2:$CO$584,45,FALSE)=0,0,"Digite"))</f>
        <v>0</v>
      </c>
      <c r="CS52" s="454">
        <f>IF(OR('Parte Estrategica'!AJ52=0,'Parte Estrategica'!AJ52=""),0,IF(VLOOKUP($A52,'Matriz de Referencia'!$B$2:$CO$584,46,FALSE)=0,0,"Digite"))</f>
        <v>0</v>
      </c>
      <c r="CT52" s="382">
        <f t="shared" si="19"/>
        <v>0</v>
      </c>
      <c r="CU52" s="454">
        <f>IF(OR('Parte Estrategica'!AJ52=0,'Parte Estrategica'!AJ52=""),0,IF(VLOOKUP($A52,'Matriz de Referencia'!$B$2:$CO$584,48,FALSE)=0,0,"Digite"))</f>
        <v>0</v>
      </c>
      <c r="CV52" s="454">
        <f>IF(OR('Parte Estrategica'!AJ52=0,'Parte Estrategica'!AJ52=""),0,IF(VLOOKUP($A52,'Matriz de Referencia'!$B$2:$CO$584,49,FALSE)=0,0,"Digite"))</f>
        <v>0</v>
      </c>
      <c r="CW52" s="454">
        <f>IF(OR('Parte Estrategica'!AJ52=0,'Parte Estrategica'!AJ52=""),0,IF(VLOOKUP($A52,'Matriz de Referencia'!$B$2:$CO$584,50,FALSE)=0,0,"Digite"))</f>
        <v>0</v>
      </c>
      <c r="CX52" s="382">
        <f t="shared" si="20"/>
        <v>0</v>
      </c>
      <c r="CY52" s="382">
        <f t="shared" si="21"/>
        <v>0</v>
      </c>
      <c r="CZ52" s="453">
        <f>IF(OR('Parte Estrategica'!AK52=0,'Parte Estrategica'!AK52=""),0,IF(VLOOKUP($A52,'Matriz de Referencia'!$B$2:$CO$584,39,FALSE)=0,0,"Digite"))</f>
        <v>0</v>
      </c>
      <c r="DA52" s="454">
        <f>IF(OR('Parte Estrategica'!AK52=0,'Parte Estrategica'!AK52=""),0,IF(VLOOKUP($A52,'Matriz de Referencia'!$B$2:$CO$584,40,FALSE)=0,0,"Digite"))</f>
        <v>0</v>
      </c>
      <c r="DB52" s="454">
        <f>IF(OR('Parte Estrategica'!AK52=0,'Parte Estrategica'!AK52=""),0,IF(VLOOKUP($A52,'Matriz de Referencia'!$B$2:$CO$584,41,FALSE)=0,0,"Digite"))</f>
        <v>0</v>
      </c>
      <c r="DC52" s="454">
        <f>IF(OR('Parte Estrategica'!AK52=0,'Parte Estrategica'!AK52=""),0,IF(VLOOKUP($A52,'Matriz de Referencia'!$B$2:$CO$584,42,FALSE)=0,0,"Digite"))</f>
        <v>0</v>
      </c>
      <c r="DD52" s="454">
        <f>IF(OR('Parte Estrategica'!AK52=0,'Parte Estrategica'!AK52=""),0,IF(VLOOKUP($A52,'Matriz de Referencia'!$B$2:$CO$584,43,FALSE)=0,0,"Digite"))</f>
        <v>0</v>
      </c>
      <c r="DE52" s="454">
        <f>IF(OR('Parte Estrategica'!AK52=0,'Parte Estrategica'!AK52=""),0,IF(VLOOKUP($A52,'Matriz de Referencia'!$B$2:$CO$584,44,FALSE)=0,0,"Digite"))</f>
        <v>0</v>
      </c>
      <c r="DF52" s="454">
        <f>IF(OR('Parte Estrategica'!AK52=0,'Parte Estrategica'!AK52=""),0,IF(VLOOKUP($A52,'Matriz de Referencia'!$B$2:$CO$584,45,FALSE)=0,0,"Digite"))</f>
        <v>0</v>
      </c>
      <c r="DG52" s="454">
        <f>IF(OR('Parte Estrategica'!AK52=0,'Parte Estrategica'!AK52=""),0,IF(VLOOKUP($A52,'Matriz de Referencia'!$B$2:$CO$584,46,FALSE)=0,0,"Digite"))</f>
        <v>0</v>
      </c>
      <c r="DH52" s="382">
        <f t="shared" si="22"/>
        <v>0</v>
      </c>
      <c r="DI52" s="454">
        <f>IF(OR('Parte Estrategica'!AK52=0,'Parte Estrategica'!AK52=""),0,IF(VLOOKUP($A52,'Matriz de Referencia'!$B$2:$CO$584,48,FALSE)=0,0,"Digite"))</f>
        <v>0</v>
      </c>
      <c r="DJ52" s="454">
        <f>IF(OR('Parte Estrategica'!AK52=0,'Parte Estrategica'!AK52=""),0,IF(VLOOKUP($A52,'Matriz de Referencia'!$B$2:$CO$584,49,FALSE)=0,0,"Digite"))</f>
        <v>0</v>
      </c>
      <c r="DK52" s="454">
        <f>IF(OR('Parte Estrategica'!AK52=0,'Parte Estrategica'!AK52=""),0,IF(VLOOKUP($A52,'Matriz de Referencia'!$B$2:$CO$584,50,FALSE)=0,0,"Digite"))</f>
        <v>0</v>
      </c>
      <c r="DL52" s="382">
        <f t="shared" si="23"/>
        <v>0</v>
      </c>
      <c r="DM52" s="382">
        <f t="shared" si="24"/>
        <v>0</v>
      </c>
      <c r="DN52" s="382">
        <f t="shared" si="25"/>
        <v>0</v>
      </c>
      <c r="DO52" s="101" t="str">
        <f>IFERROR(IF(DN52=0,"",IF(VLOOKUP($A52,'Matriz de Referencia'!$B$2:$CO$584,52,FALSE)=DN52,"Techos ok, cotinue","Debe revisar el valor programado")),"")</f>
        <v/>
      </c>
      <c r="DP52" s="453">
        <f>IF(OR('Parte Estrategica'!AN52=0,'Parte Estrategica'!AN52=""),0,IF(VLOOKUP($A52,'Matriz de Referencia'!$B$2:$CO$584,53,FALSE)=0,0,"Digite"))</f>
        <v>0</v>
      </c>
      <c r="DQ52" s="454">
        <f>IF(OR('Parte Estrategica'!AN52=0,'Parte Estrategica'!AN52=""),0,IF(VLOOKUP($A52,'Matriz de Referencia'!$B$2:$CO$584,54,FALSE)=0,0,"Digite"))</f>
        <v>0</v>
      </c>
      <c r="DR52" s="454">
        <f>IF(OR('Parte Estrategica'!AN52=0,'Parte Estrategica'!AN52=""),0,IF(VLOOKUP($A52,'Matriz de Referencia'!$B$2:$CO$584,55,FALSE)=0,0,"Digite"))</f>
        <v>0</v>
      </c>
      <c r="DS52" s="454">
        <f>IF(OR('Parte Estrategica'!AN52=0,'Parte Estrategica'!AN52=""),0,IF(VLOOKUP($A52,'Matriz de Referencia'!$B$2:$CO$584,56,FALSE)=0,0,"Digite"))</f>
        <v>0</v>
      </c>
      <c r="DT52" s="454">
        <f>IF(OR('Parte Estrategica'!AN52=0,'Parte Estrategica'!AN52=""),0,IF(VLOOKUP($A52,'Matriz de Referencia'!$B$2:$CO$584,57,FALSE)=0,0,"Digite"))</f>
        <v>0</v>
      </c>
      <c r="DU52" s="454">
        <f>IF(OR('Parte Estrategica'!AN52=0,'Parte Estrategica'!AN52=""),0,IF(VLOOKUP($A52,'Matriz de Referencia'!$B$2:$CO$584,58,FALSE)=0,0,"Digite"))</f>
        <v>0</v>
      </c>
      <c r="DV52" s="454">
        <f>IF(OR('Parte Estrategica'!AN52=0,'Parte Estrategica'!AN52=""),0,IF(VLOOKUP($A52,'Matriz de Referencia'!$B$2:$CO$584,59,FALSE)=0,0,"Digite"))</f>
        <v>0</v>
      </c>
      <c r="DW52" s="454">
        <f>IF(OR('Parte Estrategica'!AN52=0,'Parte Estrategica'!AN52=""),0,IF(VLOOKUP($A52,'Matriz de Referencia'!$B$2:$CO$584,60,FALSE)=0,0,"Digite"))</f>
        <v>0</v>
      </c>
      <c r="DX52" s="382">
        <f t="shared" si="26"/>
        <v>0</v>
      </c>
      <c r="DY52" s="454">
        <f>IF(OR('Parte Estrategica'!AN52=0,'Parte Estrategica'!AN52=""),0,IF(VLOOKUP($A52,'Matriz de Referencia'!$B$2:$CO$584,62,FALSE)=0,0,"Digite"))</f>
        <v>0</v>
      </c>
      <c r="DZ52" s="454">
        <f>IF(OR('Parte Estrategica'!AN52=0,'Parte Estrategica'!AN52=""),0,IF(VLOOKUP($A52,'Matriz de Referencia'!$B$2:$CO$584,63,FALSE)=0,0,"Digite"))</f>
        <v>0</v>
      </c>
      <c r="EA52" s="454" t="str">
        <f>IF(OR('Parte Estrategica'!AN52=0,'Parte Estrategica'!AN52=""),"",IF(VLOOKUP($A52,'Matriz de Referencia'!$B$2:$CO$584,64,FALSE)=0,"","Digite"))</f>
        <v/>
      </c>
      <c r="EB52" s="382">
        <f t="shared" si="27"/>
        <v>0</v>
      </c>
      <c r="EC52" s="382">
        <f t="shared" si="28"/>
        <v>0</v>
      </c>
      <c r="ED52" s="453">
        <f>IF(OR('Parte Estrategica'!AO52=0,'Parte Estrategica'!AO52=""),0,IF(VLOOKUP($A52,'Matriz de Referencia'!$B$2:$CO$584,53,FALSE)=0,0,"Digite"))</f>
        <v>0</v>
      </c>
      <c r="EE52" s="454">
        <f>IF(OR('Parte Estrategica'!AO52=0,'Parte Estrategica'!AO52=""),0,IF(VLOOKUP($A52,'Matriz de Referencia'!$B$2:$CO$584,54,FALSE)=0,0,"Digite"))</f>
        <v>0</v>
      </c>
      <c r="EF52" s="454">
        <f>IF(OR('Parte Estrategica'!AO52=0,'Parte Estrategica'!AO52=""),0,IF(VLOOKUP($A52,'Matriz de Referencia'!$B$2:$CO$584,55,FALSE)=0,0,"Digite"))</f>
        <v>0</v>
      </c>
      <c r="EG52" s="454">
        <f>IF(OR('Parte Estrategica'!AO52=0,'Parte Estrategica'!AO52=""),0,IF(VLOOKUP($A52,'Matriz de Referencia'!$B$2:$CO$584,56,FALSE)=0,0,"Digite"))</f>
        <v>0</v>
      </c>
      <c r="EH52" s="454">
        <f>IF(OR('Parte Estrategica'!AO52=0,'Parte Estrategica'!AO52=""),0,IF(VLOOKUP($A52,'Matriz de Referencia'!$B$2:$CO$584,57,FALSE)=0,0,"Digite"))</f>
        <v>0</v>
      </c>
      <c r="EI52" s="454">
        <f>IF(OR('Parte Estrategica'!AO52=0,'Parte Estrategica'!AO52=""),0,IF(VLOOKUP($A52,'Matriz de Referencia'!$B$2:$CO$584,58,FALSE)=0,0,"Digite"))</f>
        <v>0</v>
      </c>
      <c r="EJ52" s="454">
        <f>IF(OR('Parte Estrategica'!AO52=0,'Parte Estrategica'!AO52=""),0,IF(VLOOKUP($A52,'Matriz de Referencia'!$B$2:$CO$584,59,FALSE)=0,0,"Digite"))</f>
        <v>0</v>
      </c>
      <c r="EK52" s="454">
        <f>IF(OR('Parte Estrategica'!AO52=0,'Parte Estrategica'!AO52=""),0,IF(VLOOKUP($A52,'Matriz de Referencia'!$B$2:$CO$584,60,FALSE)=0,0,"Digite"))</f>
        <v>0</v>
      </c>
      <c r="EL52" s="382">
        <f t="shared" si="29"/>
        <v>0</v>
      </c>
      <c r="EM52" s="454">
        <f>IF(OR('Parte Estrategica'!AO52=0,'Parte Estrategica'!AO52=""),0,IF(VLOOKUP($A52,'Matriz de Referencia'!$B$2:$CO$584,62,FALSE)=0,0,"Digite"))</f>
        <v>0</v>
      </c>
      <c r="EN52" s="454">
        <f>IF(OR('Parte Estrategica'!AO52=0,'Parte Estrategica'!AO52=""),0,IF(VLOOKUP($A52,'Matriz de Referencia'!$B$2:$CO$584,63,FALSE)=0,0,"Digite"))</f>
        <v>0</v>
      </c>
      <c r="EO52" s="454">
        <f>IF(OR('Parte Estrategica'!AO52=0,'Parte Estrategica'!AO52=""),0,IF(VLOOKUP($A52,'Matriz de Referencia'!$B$2:$CO$584,64,FALSE)=0,0,"Digite"))</f>
        <v>0</v>
      </c>
      <c r="EP52" s="382">
        <f t="shared" si="30"/>
        <v>0</v>
      </c>
      <c r="EQ52" s="382">
        <f t="shared" si="31"/>
        <v>0</v>
      </c>
      <c r="ER52" s="453">
        <f>IF(OR('Parte Estrategica'!AP52=0,'Parte Estrategica'!AP52=""),0,IF(VLOOKUP($A52,'Matriz de Referencia'!$B$2:$CO$584,53,FALSE)=0,0,"Digite"))</f>
        <v>0</v>
      </c>
      <c r="ES52" s="454">
        <f>IF(OR('Parte Estrategica'!AP52=0,'Parte Estrategica'!AP52=""),0,IF(VLOOKUP($A52,'Matriz de Referencia'!$B$2:$CO$584,54,FALSE)=0,0,"Digite"))</f>
        <v>0</v>
      </c>
      <c r="ET52" s="454">
        <f>IF(OR('Parte Estrategica'!AP52=0,'Parte Estrategica'!AP52=""),0,IF(VLOOKUP($A52,'Matriz de Referencia'!$B$2:$CO$584,55,FALSE)=0,0,"Digite"))</f>
        <v>0</v>
      </c>
      <c r="EU52" s="454">
        <f>IF(OR('Parte Estrategica'!AP52=0,'Parte Estrategica'!AP52=""),0,IF(VLOOKUP($A52,'Matriz de Referencia'!$B$2:$CO$584,56,FALSE)=0,0,"Digite"))</f>
        <v>0</v>
      </c>
      <c r="EV52" s="454">
        <f>IF(OR('Parte Estrategica'!AP52=0,'Parte Estrategica'!AP52=""),0,IF(VLOOKUP($A52,'Matriz de Referencia'!$B$2:$CO$584,57,FALSE)=0,0,"Digite"))</f>
        <v>0</v>
      </c>
      <c r="EW52" s="454">
        <f>IF(OR('Parte Estrategica'!AP52=0,'Parte Estrategica'!AP52=""),0,IF(VLOOKUP($A52,'Matriz de Referencia'!$B$2:$CO$584,58,FALSE)=0,0,"Digite"))</f>
        <v>0</v>
      </c>
      <c r="EX52" s="454">
        <f>IF(OR('Parte Estrategica'!AP52=0,'Parte Estrategica'!AP52=""),0,IF(VLOOKUP($A52,'Matriz de Referencia'!$B$2:$CO$584,59,FALSE)=0,0,"Digite"))</f>
        <v>0</v>
      </c>
      <c r="EY52" s="454">
        <f>IF(OR('Parte Estrategica'!AP52=0,'Parte Estrategica'!AP52=""),0,IF(VLOOKUP($A52,'Matriz de Referencia'!$B$2:$CO$584,60,FALSE)=0,0,"Digite"))</f>
        <v>0</v>
      </c>
      <c r="EZ52" s="382">
        <f t="shared" si="32"/>
        <v>0</v>
      </c>
      <c r="FA52" s="454">
        <f>IF(OR('Parte Estrategica'!AP52=0,'Parte Estrategica'!AP52=""),0,IF(VLOOKUP($A52,'Matriz de Referencia'!$B$2:$CO$584,62,FALSE)=0,0,"Digite"))</f>
        <v>0</v>
      </c>
      <c r="FB52" s="454">
        <f>IF(OR('Parte Estrategica'!AP52=0,'Parte Estrategica'!AP52=""),0,IF(VLOOKUP($A52,'Matriz de Referencia'!$B$2:$CO$584,63,FALSE)=0,0,"Digite"))</f>
        <v>0</v>
      </c>
      <c r="FC52" s="454">
        <f>IF(OR('Parte Estrategica'!AP52=0,'Parte Estrategica'!AP52=""),0,IF(VLOOKUP($A52,'Matriz de Referencia'!$B$2:$CO$584,64,FALSE)=0,0,"Digite"))</f>
        <v>0</v>
      </c>
      <c r="FD52" s="382">
        <f t="shared" si="33"/>
        <v>0</v>
      </c>
      <c r="FE52" s="382">
        <f t="shared" si="34"/>
        <v>0</v>
      </c>
      <c r="FF52" s="453">
        <f>IF(OR('Parte Estrategica'!AQ52=0,'Parte Estrategica'!AQ52=""),0,IF(VLOOKUP($A52,'Matriz de Referencia'!$B$2:$CO$584,53,FALSE)=0,0,"Digite"))</f>
        <v>0</v>
      </c>
      <c r="FG52" s="454">
        <f>IF(OR('Parte Estrategica'!AQ52=0,'Parte Estrategica'!AQ52=""),0,IF(VLOOKUP($A52,'Matriz de Referencia'!$B$2:$CO$584,54,FALSE)=0,0,"Digite"))</f>
        <v>0</v>
      </c>
      <c r="FH52" s="454">
        <f>IF(OR('Parte Estrategica'!AQ52=0,'Parte Estrategica'!AQ52=""),0,IF(VLOOKUP($A52,'Matriz de Referencia'!$B$2:$CO$584,55,FALSE)=0,0,"Digite"))</f>
        <v>0</v>
      </c>
      <c r="FI52" s="454">
        <f>IF(OR('Parte Estrategica'!AQ52=0,'Parte Estrategica'!AQ52=""),0,IF(VLOOKUP($A52,'Matriz de Referencia'!$B$2:$CO$584,56,FALSE)=0,0,"Digite"))</f>
        <v>0</v>
      </c>
      <c r="FJ52" s="454">
        <f>IF(OR('Parte Estrategica'!AQ52=0,'Parte Estrategica'!AQ52=""),0,IF(VLOOKUP($A52,'Matriz de Referencia'!$B$2:$CO$584,57,FALSE)=0,0,"Digite"))</f>
        <v>0</v>
      </c>
      <c r="FK52" s="454">
        <f>IF(OR('Parte Estrategica'!AQ52=0,'Parte Estrategica'!AQ52=""),0,IF(VLOOKUP($A52,'Matriz de Referencia'!$B$2:$CO$584,58,FALSE)=0,0,"Digite"))</f>
        <v>0</v>
      </c>
      <c r="FL52" s="454">
        <f>IF(OR('Parte Estrategica'!AQ52=0,'Parte Estrategica'!AQ52=""),0,IF(VLOOKUP($A52,'Matriz de Referencia'!$B$2:$CO$584,59,FALSE)=0,0,"Digite"))</f>
        <v>0</v>
      </c>
      <c r="FM52" s="454">
        <f>IF(OR('Parte Estrategica'!AQ52=0,'Parte Estrategica'!AQ52=""),0,IF(VLOOKUP($A52,'Matriz de Referencia'!$B$2:$CO$584,60,FALSE)=0,0,"Digite"))</f>
        <v>0</v>
      </c>
      <c r="FN52" s="382">
        <f t="shared" si="35"/>
        <v>0</v>
      </c>
      <c r="FO52" s="454">
        <f>IF(OR('Parte Estrategica'!AQ52=0,'Parte Estrategica'!AQ52=""),0,IF(VLOOKUP($A52,'Matriz de Referencia'!$B$2:$CO$584,62,FALSE)=0,0,"Digite"))</f>
        <v>0</v>
      </c>
      <c r="FP52" s="454">
        <f>IF(OR('Parte Estrategica'!AQ52=0,'Parte Estrategica'!AQ52=""),0,IF(VLOOKUP($A52,'Matriz de Referencia'!$B$2:$CO$584,63,FALSE)=0,0,"Digite"))</f>
        <v>0</v>
      </c>
      <c r="FQ52" s="454">
        <f>IF(OR('Parte Estrategica'!AQ52=0,'Parte Estrategica'!AQ52=""),0,IF(VLOOKUP($A52,'Matriz de Referencia'!$B$2:$CO$584,64,FALSE)=0,0,"Digite"))</f>
        <v>0</v>
      </c>
      <c r="FR52" s="382">
        <f t="shared" si="36"/>
        <v>0</v>
      </c>
      <c r="FS52" s="382">
        <f t="shared" si="37"/>
        <v>0</v>
      </c>
      <c r="FT52" s="382">
        <f t="shared" si="38"/>
        <v>0</v>
      </c>
      <c r="FU52" s="101" t="str">
        <f>IFERROR(IF(FT52=0,"",IF(VLOOKUP($A52,'Matriz de Referencia'!$B$2:$CO$584,66,FALSE)=FT52,"Techos ok, cotinue","Debe revisar el valor programado")),"")</f>
        <v/>
      </c>
      <c r="FV52" s="453">
        <f>IF(OR('Parte Estrategica'!AT52=0,'Parte Estrategica'!AT52=""),0,IF(VLOOKUP($A52,'Matriz de Referencia'!$B$2:$CO$584,67,FALSE)=0,0,"Digite"))</f>
        <v>0</v>
      </c>
      <c r="FW52" s="454">
        <f>IF(OR('Parte Estrategica'!AT52=0,'Parte Estrategica'!AT52=""),0,IF(VLOOKUP($A52,'Matriz de Referencia'!$B$2:$CO$584,68,FALSE)=0,0,"Digite"))</f>
        <v>0</v>
      </c>
      <c r="FX52" s="454">
        <f>IF(OR('Parte Estrategica'!AT52=0,'Parte Estrategica'!AT52=""),0,IF(VLOOKUP($A52,'Matriz de Referencia'!$B$2:$CO$584,69,FALSE)=0,0,"Digite"))</f>
        <v>0</v>
      </c>
      <c r="FY52" s="454">
        <f>IF(OR('Parte Estrategica'!AT52=0,'Parte Estrategica'!AT52=""),0,IF(VLOOKUP($A52,'Matriz de Referencia'!$B$2:$CO$584,70,FALSE)=0,0,"Digite"))</f>
        <v>0</v>
      </c>
      <c r="FZ52" s="454">
        <f>IF(OR('Parte Estrategica'!AT52=0,'Parte Estrategica'!AT52=""),0,IF(VLOOKUP($A52,'Matriz de Referencia'!$B$2:$CO$584,71,FALSE)=0,0,"Digite"))</f>
        <v>0</v>
      </c>
      <c r="GA52" s="454">
        <f>IF(OR('Parte Estrategica'!AT52=0,'Parte Estrategica'!AT52=""),0,IF(VLOOKUP($A52,'Matriz de Referencia'!$B$2:$CO$584,72,FALSE)=0,0,"Digite"))</f>
        <v>0</v>
      </c>
      <c r="GB52" s="454">
        <f>IF(OR('Parte Estrategica'!AT52=0,'Parte Estrategica'!AT52=""),0,IF(VLOOKUP($A52,'Matriz de Referencia'!$B$2:$CO$584,73,FALSE)=0,0,"Digite"))</f>
        <v>0</v>
      </c>
      <c r="GC52" s="454">
        <f>IF(OR('Parte Estrategica'!AT52=0,'Parte Estrategica'!AT52=""),0,IF(VLOOKUP($A52,'Matriz de Referencia'!$B$2:$CO$584,74,FALSE)=0,0,"Digite"))</f>
        <v>0</v>
      </c>
      <c r="GD52" s="382">
        <f t="shared" si="39"/>
        <v>0</v>
      </c>
      <c r="GE52" s="454">
        <f>IF(OR('Parte Estrategica'!AT52=0,'Parte Estrategica'!AT52=""),0,IF(VLOOKUP($A52,'Matriz de Referencia'!$B$2:$CO$584,76,FALSE)=0,0,"Digite"))</f>
        <v>0</v>
      </c>
      <c r="GF52" s="454">
        <f>IF(OR('Parte Estrategica'!AT52=0,'Parte Estrategica'!AT52=""),0,IF(VLOOKUP($A52,'Matriz de Referencia'!$B$2:$CO$584,77,FALSE)=0,0,"Digite"))</f>
        <v>0</v>
      </c>
      <c r="GG52" s="454">
        <f>IF(OR('Parte Estrategica'!AT52=0,'Parte Estrategica'!AT52=""),0,IF(VLOOKUP($A52,'Matriz de Referencia'!$B$2:$CO$584,78,FALSE)=0,0,"Digite"))</f>
        <v>0</v>
      </c>
      <c r="GH52" s="382">
        <f t="shared" si="40"/>
        <v>0</v>
      </c>
      <c r="GI52" s="382">
        <f t="shared" si="41"/>
        <v>0</v>
      </c>
      <c r="GJ52" s="453">
        <f>IF(OR('Parte Estrategica'!AU52=0,'Parte Estrategica'!AU52=""),0,IF(VLOOKUP($A52,'Matriz de Referencia'!$B$2:$CO$584,67,FALSE)=0,0,"Digite"))</f>
        <v>0</v>
      </c>
      <c r="GK52" s="454">
        <f>IF(OR('Parte Estrategica'!AU52=0,'Parte Estrategica'!AU52=""),0,IF(VLOOKUP($A52,'Matriz de Referencia'!$B$2:$CO$584,68,FALSE)=0,0,"Digite"))</f>
        <v>0</v>
      </c>
      <c r="GL52" s="454">
        <f>IF(OR('Parte Estrategica'!AU52=0,'Parte Estrategica'!AU52=""),0,IF(VLOOKUP($A52,'Matriz de Referencia'!$B$2:$CO$584,69,FALSE)=0,0,"Digite"))</f>
        <v>0</v>
      </c>
      <c r="GM52" s="454">
        <f>IF(OR('Parte Estrategica'!AU52=0,'Parte Estrategica'!AU52=""),0,IF(VLOOKUP($A52,'Matriz de Referencia'!$B$2:$CO$584,70,FALSE)=0,0,"Digite"))</f>
        <v>0</v>
      </c>
      <c r="GN52" s="454">
        <f>IF(OR('Parte Estrategica'!AU52=0,'Parte Estrategica'!AU52=""),0,IF(VLOOKUP($A52,'Matriz de Referencia'!$B$2:$CO$584,71,FALSE)=0,0,"Digite"))</f>
        <v>0</v>
      </c>
      <c r="GO52" s="454">
        <f>IF(OR('Parte Estrategica'!AU52=0,'Parte Estrategica'!AU52=""),0,IF(VLOOKUP($A52,'Matriz de Referencia'!$B$2:$CO$584,72,FALSE)=0,0,"Digite"))</f>
        <v>0</v>
      </c>
      <c r="GP52" s="454">
        <f>IF(OR('Parte Estrategica'!AU52=0,'Parte Estrategica'!AU52=""),0,IF(VLOOKUP($A52,'Matriz de Referencia'!$B$2:$CO$584,73,FALSE)=0,0,"Digite"))</f>
        <v>0</v>
      </c>
      <c r="GQ52" s="454">
        <f>IF(OR('Parte Estrategica'!AU52=0,'Parte Estrategica'!AU52=""),0,IF(VLOOKUP($A52,'Matriz de Referencia'!$B$2:$CO$584,74,FALSE)=0,0,"Digite"))</f>
        <v>0</v>
      </c>
      <c r="GR52" s="382">
        <f t="shared" si="42"/>
        <v>0</v>
      </c>
      <c r="GS52" s="454">
        <f>IF(OR('Parte Estrategica'!AU52=0,'Parte Estrategica'!AU52=""),0,IF(VLOOKUP($A52,'Matriz de Referencia'!$B$2:$CO$584,76,FALSE)=0,0,"Digite"))</f>
        <v>0</v>
      </c>
      <c r="GT52" s="454">
        <f>IF(OR('Parte Estrategica'!AU52=0,'Parte Estrategica'!AU52=""),0,IF(VLOOKUP($A52,'Matriz de Referencia'!$B$2:$CO$584,77,FALSE)=0,0,"Digite"))</f>
        <v>0</v>
      </c>
      <c r="GU52" s="454">
        <f>IF(OR('Parte Estrategica'!AU52=0,'Parte Estrategica'!AU52=""),0,IF(VLOOKUP($A52,'Matriz de Referencia'!$B$2:$CO$584,78,FALSE)=0,0,"Digite"))</f>
        <v>0</v>
      </c>
      <c r="GV52" s="382">
        <f t="shared" si="43"/>
        <v>0</v>
      </c>
      <c r="GW52" s="382">
        <f t="shared" si="44"/>
        <v>0</v>
      </c>
      <c r="GX52" s="453">
        <f>IF(OR('Parte Estrategica'!AV52=0,'Parte Estrategica'!AV52=""),0,IF(VLOOKUP($A52,'Matriz de Referencia'!$B$2:$CO$584,67,FALSE)=0,0,"Digite"))</f>
        <v>0</v>
      </c>
      <c r="GY52" s="454">
        <f>IF(OR('Parte Estrategica'!AV52=0,'Parte Estrategica'!AV52=""),0,IF(VLOOKUP($A52,'Matriz de Referencia'!$B$2:$CO$584,68,FALSE)=0,0,"Digite"))</f>
        <v>0</v>
      </c>
      <c r="GZ52" s="454">
        <f>IF(OR('Parte Estrategica'!AV52=0,'Parte Estrategica'!AV52=""),0,IF(VLOOKUP($A52,'Matriz de Referencia'!$B$2:$CO$584,69,FALSE)=0,0,"Digite"))</f>
        <v>0</v>
      </c>
      <c r="HA52" s="454">
        <f>IF(OR('Parte Estrategica'!AV52=0,'Parte Estrategica'!AV52=""),0,IF(VLOOKUP($A52,'Matriz de Referencia'!$B$2:$CO$584,70,FALSE)=0,0,"Digite"))</f>
        <v>0</v>
      </c>
      <c r="HB52" s="454">
        <f>IF(OR('Parte Estrategica'!AV52=0,'Parte Estrategica'!AV52=""),0,IF(VLOOKUP($A52,'Matriz de Referencia'!$B$2:$CO$584,71,FALSE)=0,0,"Digite"))</f>
        <v>0</v>
      </c>
      <c r="HC52" s="454">
        <f>IF(OR('Parte Estrategica'!AV52=0,'Parte Estrategica'!AV52=""),0,IF(VLOOKUP($A52,'Matriz de Referencia'!$B$2:$CO$584,72,FALSE)=0,0,"Digite"))</f>
        <v>0</v>
      </c>
      <c r="HD52" s="454">
        <f>IF(OR('Parte Estrategica'!AV52=0,'Parte Estrategica'!AV52=""),0,IF(VLOOKUP($A52,'Matriz de Referencia'!$B$2:$CO$584,73,FALSE)=0,0,"Digite"))</f>
        <v>0</v>
      </c>
      <c r="HE52" s="454">
        <f>IF(OR('Parte Estrategica'!AV52=0,'Parte Estrategica'!AV52=""),0,IF(VLOOKUP($A52,'Matriz de Referencia'!$B$2:$CO$584,74,FALSE)=0,0,"Digite"))</f>
        <v>0</v>
      </c>
      <c r="HF52" s="382">
        <f t="shared" si="45"/>
        <v>0</v>
      </c>
      <c r="HG52" s="454">
        <f>IF(OR('Parte Estrategica'!AV52=0,'Parte Estrategica'!AV52=""),0,IF(VLOOKUP($A52,'Matriz de Referencia'!$B$2:$CO$584,76,FALSE)=0,0,"Digite"))</f>
        <v>0</v>
      </c>
      <c r="HH52" s="454">
        <f>IF(OR('Parte Estrategica'!AV52=0,'Parte Estrategica'!AV52=""),0,IF(VLOOKUP($A52,'Matriz de Referencia'!$B$2:$CO$584,77,FALSE)=0,0,"Digite"))</f>
        <v>0</v>
      </c>
      <c r="HI52" s="454">
        <f>IF(OR('Parte Estrategica'!AV52=0,'Parte Estrategica'!AV52=""),0,IF(VLOOKUP($A52,'Matriz de Referencia'!$B$2:$CO$584,78,FALSE)=0,0,"Digite"))</f>
        <v>0</v>
      </c>
      <c r="HJ52" s="382">
        <f t="shared" si="46"/>
        <v>0</v>
      </c>
      <c r="HK52" s="382">
        <f t="shared" si="47"/>
        <v>0</v>
      </c>
      <c r="HL52" s="453">
        <f>IF(OR('Parte Estrategica'!AW52=0,'Parte Estrategica'!AW52=""),0,IF(VLOOKUP($A52,'Matriz de Referencia'!$B$2:$CO$584,67,FALSE)=0,0,"Digite"))</f>
        <v>0</v>
      </c>
      <c r="HM52" s="454">
        <f>IF(OR('Parte Estrategica'!AW52=0,'Parte Estrategica'!AW52=""),0,IF(VLOOKUP($A52,'Matriz de Referencia'!$B$2:$CO$584,68,FALSE)=0,0,"Digite"))</f>
        <v>0</v>
      </c>
      <c r="HN52" s="454">
        <f>IF(OR('Parte Estrategica'!AW52=0,'Parte Estrategica'!AW52=""),0,IF(VLOOKUP($A52,'Matriz de Referencia'!$B$2:$CO$584,69,FALSE)=0,0,"Digite"))</f>
        <v>0</v>
      </c>
      <c r="HO52" s="454">
        <f>IF(OR('Parte Estrategica'!AW52=0,'Parte Estrategica'!AW52=""),0,IF(VLOOKUP($A52,'Matriz de Referencia'!$B$2:$CO$584,70,FALSE)=0,0,"Digite"))</f>
        <v>0</v>
      </c>
      <c r="HP52" s="454">
        <f>IF(OR('Parte Estrategica'!AW52=0,'Parte Estrategica'!AW52=""),0,IF(VLOOKUP($A52,'Matriz de Referencia'!$B$2:$CO$584,71,FALSE)=0,0,"Digite"))</f>
        <v>0</v>
      </c>
      <c r="HQ52" s="454">
        <f>IF(OR('Parte Estrategica'!AW52=0,'Parte Estrategica'!AW52=""),0,IF(VLOOKUP($A52,'Matriz de Referencia'!$B$2:$CO$584,72,FALSE)=0,0,"Digite"))</f>
        <v>0</v>
      </c>
      <c r="HR52" s="454">
        <f>IF(OR('Parte Estrategica'!AW52=0,'Parte Estrategica'!AW52=""),0,IF(VLOOKUP($A52,'Matriz de Referencia'!$B$2:$CO$584,73,FALSE)=0,0,"Digite"))</f>
        <v>0</v>
      </c>
      <c r="HS52" s="454">
        <f>IF(OR('Parte Estrategica'!AW52=0,'Parte Estrategica'!AW52=""),0,IF(VLOOKUP($A52,'Matriz de Referencia'!$B$2:$CO$584,74,FALSE)=0,0,"Digite"))</f>
        <v>0</v>
      </c>
      <c r="HT52" s="382">
        <f t="shared" si="48"/>
        <v>0</v>
      </c>
      <c r="HU52" s="454">
        <f>IF(OR('Parte Estrategica'!AW52=0,'Parte Estrategica'!AW52=""),0,IF(VLOOKUP($A52,'Matriz de Referencia'!$B$2:$CO$584,76,FALSE)=0,0,"Digite"))</f>
        <v>0</v>
      </c>
      <c r="HV52" s="454">
        <f>IF(OR('Parte Estrategica'!AW52=0,'Parte Estrategica'!AW52=""),0,IF(VLOOKUP($A52,'Matriz de Referencia'!$B$2:$CO$584,77,FALSE)=0,0,"Digite"))</f>
        <v>0</v>
      </c>
      <c r="HW52" s="454">
        <f>IF(OR('Parte Estrategica'!AW52=0,'Parte Estrategica'!AW52=""),0,IF(VLOOKUP($A52,'Matriz de Referencia'!$B$2:$CO$584,78,FALSE)=0,0,"Digite"))</f>
        <v>0</v>
      </c>
      <c r="HX52" s="382">
        <f t="shared" si="49"/>
        <v>0</v>
      </c>
      <c r="HY52" s="382">
        <f t="shared" si="50"/>
        <v>0</v>
      </c>
      <c r="HZ52" s="382">
        <f t="shared" si="51"/>
        <v>0</v>
      </c>
      <c r="IA52" s="101" t="str">
        <f>IFERROR(IF(HZ52=0,"",IF(VLOOKUP($A52,'Matriz de Referencia'!$B$2:$CO$584,80,FALSE)=HZ52,"Techos ok, cotinue","Debe revisar el valor programado")),"")</f>
        <v/>
      </c>
      <c r="IB52" s="383">
        <f t="shared" si="52"/>
        <v>0</v>
      </c>
    </row>
    <row r="53" spans="1:236">
      <c r="A53" s="550" t="str">
        <f>IF('Parte Estrategica'!B53=0,"",'Parte Estrategica'!B53)</f>
        <v/>
      </c>
      <c r="B53" s="551" t="str">
        <f>IFERROR(VLOOKUP(A53,'Matriz de Referencia'!$B$2:$P$578,'Matriz de Referencia'!L$1,FALSE),"")</f>
        <v/>
      </c>
      <c r="C53" s="551" t="str">
        <f>IFERROR(VLOOKUP(A53,'Matriz de Referencia'!$B$2:$P$584,'Matriz de Referencia'!M$1,FALSE),"")</f>
        <v/>
      </c>
      <c r="D53" s="455" t="str">
        <f>IF(OR('Parte Estrategica'!AB53=0,'Parte Estrategica'!AB53=""),"",IF(VLOOKUP($A53,'Matriz de Referencia'!$B$2:$CO$584,'Matriz de Referencia'!Z$1,FALSE)=0,"","Digite"))</f>
        <v/>
      </c>
      <c r="E53" s="456">
        <f>IF(OR('Parte Estrategica'!AB53=0,'Parte Estrategica'!AB53=""),0,IF(VLOOKUP($A53,'Matriz de Referencia'!$B$2:$CO$584,26,FALSE)=0,0,"Digite"))</f>
        <v>0</v>
      </c>
      <c r="F53" s="456">
        <f>IF(OR('Parte Estrategica'!AB53=0,'Parte Estrategica'!AB53=""),0,IF(VLOOKUP($A53,'Matriz de Referencia'!$B$2:$CO$584,27,FALSE)=0,0,"Digite"))</f>
        <v>0</v>
      </c>
      <c r="G53" s="456">
        <f>IF(OR('Parte Estrategica'!AB53=0,'Parte Estrategica'!AB53=""),0,IF(VLOOKUP($A53,'Matriz de Referencia'!$B$2:$CO$584,28,FALSE)=0,0,"Digite"))</f>
        <v>0</v>
      </c>
      <c r="H53" s="456">
        <f>IF(OR('Parte Estrategica'!AB53=0,'Parte Estrategica'!AB53=""),0,IF(VLOOKUP($A53,'Matriz de Referencia'!$B$2:$CO$584,29,FALSE)=0,0,"Digite"))</f>
        <v>0</v>
      </c>
      <c r="I53" s="456">
        <f>IF(OR('Parte Estrategica'!AB53=0,'Parte Estrategica'!AB53=""),0,IF(VLOOKUP($A53,'Matriz de Referencia'!$B$2:$CO$584,30,FALSE)=0,0,"Digite"))</f>
        <v>0</v>
      </c>
      <c r="J53" s="456">
        <f>IF(OR('Parte Estrategica'!AB53=0,'Parte Estrategica'!AB53=""),0,IF(VLOOKUP($A53,'Matriz de Referencia'!$B$2:$CO$584,31,FALSE)=0,0,"Digite"))</f>
        <v>0</v>
      </c>
      <c r="K53" s="456">
        <f>IF(OR('Parte Estrategica'!AB53=0,'Parte Estrategica'!AB53=""),0,IF(VLOOKUP($A53,'Matriz de Referencia'!$B$2:$CO$584,32,FALSE)=0,0,"Digite"))</f>
        <v>0</v>
      </c>
      <c r="L53" s="460">
        <f t="shared" si="0"/>
        <v>0</v>
      </c>
      <c r="M53" s="456">
        <f>IF(OR('Parte Estrategica'!AB53=0,'Parte Estrategica'!AB53=""),0,IF(VLOOKUP($A53,'Matriz de Referencia'!$B$2:$CO$584,34,FALSE)=0,0,"Digite"))</f>
        <v>0</v>
      </c>
      <c r="N53" s="456">
        <f>IF(OR('Parte Estrategica'!AB53=0,'Parte Estrategica'!AB53=""),0,IF(VLOOKUP($A53,'Matriz de Referencia'!$B$2:$CO$584,35,FALSE)=0,0,"Digite"))</f>
        <v>0</v>
      </c>
      <c r="O53" s="456">
        <f>IF(OR('Parte Estrategica'!AB53=0,'Parte Estrategica'!AB53=""),0,IF(VLOOKUP($A53,'Matriz de Referencia'!$B$2:$CO$584,36,FALSE)=0,0,"Digite"))</f>
        <v>0</v>
      </c>
      <c r="P53" s="457">
        <f t="shared" si="1"/>
        <v>0</v>
      </c>
      <c r="Q53" s="457">
        <f t="shared" si="2"/>
        <v>0</v>
      </c>
      <c r="R53" s="455">
        <f>IF(OR('Parte Estrategica'!AC53=0,'Parte Estrategica'!AC53=""),0,IF(VLOOKUP($A53,'Matriz de Referencia'!$B$2:$CO$584,25,FALSE)=0,0,"Digite"))</f>
        <v>0</v>
      </c>
      <c r="S53" s="456">
        <f>IF(OR('Parte Estrategica'!AC53=0,'Parte Estrategica'!AC53=""),0,IF(VLOOKUP($A53,'Matriz de Referencia'!$B$2:$CO$584,26,FALSE)=0,0,"Digite"))</f>
        <v>0</v>
      </c>
      <c r="T53" s="456">
        <f>IF(OR('Parte Estrategica'!AC53=0,'Parte Estrategica'!AC53=""),0,IF(VLOOKUP($A53,'Matriz de Referencia'!$B$2:$CO$584,27,FALSE)=0,0,"Digite"))</f>
        <v>0</v>
      </c>
      <c r="U53" s="456">
        <f>IF(OR('Parte Estrategica'!AC53=0,'Parte Estrategica'!AC53=""),0,IF(VLOOKUP($A53,'Matriz de Referencia'!$B$2:$CO$584,28,FALSE)=0,0,"Digite"))</f>
        <v>0</v>
      </c>
      <c r="V53" s="456">
        <f>IF(OR('Parte Estrategica'!AC53=0,'Parte Estrategica'!AC53=""),0,IF(VLOOKUP($A53,'Matriz de Referencia'!$B$2:$CO$584,29,FALSE)=0,0,"Digite"))</f>
        <v>0</v>
      </c>
      <c r="W53" s="456">
        <f>IF(OR('Parte Estrategica'!AC53=0,'Parte Estrategica'!AC53=""),0,IF(VLOOKUP($A53,'Matriz de Referencia'!$B$2:$CO$584,30,FALSE)=0,0,"Digite"))</f>
        <v>0</v>
      </c>
      <c r="X53" s="456">
        <f>IF(OR('Parte Estrategica'!AC53=0,'Parte Estrategica'!AC53=""),0,IF(VLOOKUP($A53,'Matriz de Referencia'!$B$2:$CO$584,31,FALSE)=0,0,"Digite"))</f>
        <v>0</v>
      </c>
      <c r="Y53" s="456">
        <f>IF(OR('Parte Estrategica'!AC53=0,'Parte Estrategica'!AC53=""),0,IF(VLOOKUP($A53,'Matriz de Referencia'!$B$2:$CO$584,32,FALSE)=0,0,"Digite"))</f>
        <v>0</v>
      </c>
      <c r="Z53" s="457">
        <f t="shared" si="3"/>
        <v>0</v>
      </c>
      <c r="AA53" s="456">
        <f>IF(OR('Parte Estrategica'!AC53=0,'Parte Estrategica'!AC53=""),0,IF(VLOOKUP($A53,'Matriz de Referencia'!$B$2:$CO$584,34,FALSE)=0,0,"Digite"))</f>
        <v>0</v>
      </c>
      <c r="AB53" s="456">
        <f>IF(OR('Parte Estrategica'!AC53=0,'Parte Estrategica'!AC53=""),0,IF(VLOOKUP($A53,'Matriz de Referencia'!$B$2:$CO$584,35,FALSE)=0,0,"Digite"))</f>
        <v>0</v>
      </c>
      <c r="AC53" s="456">
        <f>IF(OR('Parte Estrategica'!AC53=0,'Parte Estrategica'!AC53=""),0,IF(VLOOKUP($A53,'Matriz de Referencia'!$B$2:$CO$584,36,FALSE)=0,0,"Digite"))</f>
        <v>0</v>
      </c>
      <c r="AD53" s="457">
        <f t="shared" si="4"/>
        <v>0</v>
      </c>
      <c r="AE53" s="457">
        <f t="shared" si="5"/>
        <v>0</v>
      </c>
      <c r="AF53" s="455">
        <f>IF(OR('Parte Estrategica'!AD53=0,'Parte Estrategica'!AD53=""),0,IF(VLOOKUP($A53,'Matriz de Referencia'!$B$2:$CO$584,25,FALSE)=0,0,"Digite"))</f>
        <v>0</v>
      </c>
      <c r="AG53" s="456">
        <f>IF(OR('Parte Estrategica'!AD53=0,'Parte Estrategica'!AD53=""),0,IF(VLOOKUP($A53,'Matriz de Referencia'!$B$2:$CO$584,26,FALSE)=0,0,"Digite"))</f>
        <v>0</v>
      </c>
      <c r="AH53" s="456">
        <f>IF(OR('Parte Estrategica'!AD53=0,'Parte Estrategica'!AD53=""),0,IF(VLOOKUP($A53,'Matriz de Referencia'!$B$2:$CO$584,27,FALSE)=0,0,"Digite"))</f>
        <v>0</v>
      </c>
      <c r="AI53" s="456">
        <f>IF(OR('Parte Estrategica'!AD53=0,'Parte Estrategica'!AD53=""),0,IF(VLOOKUP($A53,'Matriz de Referencia'!$B$2:$CO$584,28,FALSE)=0,0,"Digite"))</f>
        <v>0</v>
      </c>
      <c r="AJ53" s="456">
        <f>IF(OR('Parte Estrategica'!AD53=0,'Parte Estrategica'!AD53=""),0,IF(VLOOKUP($A53,'Matriz de Referencia'!$B$2:$CO$584,29,FALSE)=0,0,"Digite"))</f>
        <v>0</v>
      </c>
      <c r="AK53" s="456">
        <f>IF(OR('Parte Estrategica'!AD53=0,'Parte Estrategica'!AD53=""),0,IF(VLOOKUP($A53,'Matriz de Referencia'!$B$2:$CO$584,30,FALSE)=0,0,"Digite"))</f>
        <v>0</v>
      </c>
      <c r="AL53" s="456">
        <f>IF(OR('Parte Estrategica'!AD53=0,'Parte Estrategica'!AD53=""),0,IF(VLOOKUP($A53,'Matriz de Referencia'!$B$2:$CO$584,31,FALSE)=0,0,"Digite"))</f>
        <v>0</v>
      </c>
      <c r="AM53" s="456">
        <f>IF(OR('Parte Estrategica'!AD53=0,'Parte Estrategica'!AD53=""),0,IF(VLOOKUP($A53,'Matriz de Referencia'!$B$2:$CO$584,32,FALSE)=0,0,"Digite"))</f>
        <v>0</v>
      </c>
      <c r="AN53" s="457">
        <f t="shared" si="6"/>
        <v>0</v>
      </c>
      <c r="AO53" s="456">
        <f>IF(OR('Parte Estrategica'!AD53=0,'Parte Estrategica'!AD53=""),0,IF(VLOOKUP($A53,'Matriz de Referencia'!$B$2:$CO$584,34,FALSE)=0,0,"Digite"))</f>
        <v>0</v>
      </c>
      <c r="AP53" s="456">
        <f>IF(OR('Parte Estrategica'!AD53=0,'Parte Estrategica'!AD53=""),0,IF(VLOOKUP($A53,'Matriz de Referencia'!$B$2:$CO$584,35,FALSE)=0,0,"Digite"))</f>
        <v>0</v>
      </c>
      <c r="AQ53" s="456">
        <f>IF(OR('Parte Estrategica'!AD53=0,'Parte Estrategica'!AD53=""),0,IF(VLOOKUP($A53,'Matriz de Referencia'!$B$2:$CO$584,36,FALSE)=0,0,"Digite"))</f>
        <v>0</v>
      </c>
      <c r="AR53" s="457">
        <f t="shared" si="7"/>
        <v>0</v>
      </c>
      <c r="AS53" s="457">
        <f t="shared" si="8"/>
        <v>0</v>
      </c>
      <c r="AT53" s="455">
        <f>IF(OR('Parte Estrategica'!AE53=0,'Parte Estrategica'!AE53=""),0,IF(VLOOKUP($A53,'Matriz de Referencia'!$B$2:$CO$584,25,FALSE)=0,0,"Digite"))</f>
        <v>0</v>
      </c>
      <c r="AU53" s="456">
        <f>IF(OR('Parte Estrategica'!AE53=0,'Parte Estrategica'!AE53=""),0,IF(VLOOKUP($A53,'Matriz de Referencia'!$B$2:$CO$584,26,FALSE)=0,0,"Digite"))</f>
        <v>0</v>
      </c>
      <c r="AV53" s="456">
        <f>IF(OR('Parte Estrategica'!AE53=0,'Parte Estrategica'!AE53=""),0,IF(VLOOKUP($A53,'Matriz de Referencia'!$B$2:$CO$584,27,FALSE)=0,0,"Digite"))</f>
        <v>0</v>
      </c>
      <c r="AW53" s="456">
        <f>IF(OR('Parte Estrategica'!AE53=0,'Parte Estrategica'!AE53=""),0,IF(VLOOKUP($A53,'Matriz de Referencia'!$B$2:$CO$584,28,FALSE)=0,0,"Digite"))</f>
        <v>0</v>
      </c>
      <c r="AX53" s="456">
        <f>IF(OR('Parte Estrategica'!AE53=0,'Parte Estrategica'!AE53=""),0,IF(VLOOKUP($A53,'Matriz de Referencia'!$B$2:$CO$584,29,FALSE)=0,0,"Digite"))</f>
        <v>0</v>
      </c>
      <c r="AY53" s="456">
        <f>IF(OR('Parte Estrategica'!AE53=0,'Parte Estrategica'!AE53=""),0,IF(VLOOKUP($A53,'Matriz de Referencia'!$B$2:$CO$584,30,FALSE)=0,0,"Digite"))</f>
        <v>0</v>
      </c>
      <c r="AZ53" s="456">
        <f>IF(OR('Parte Estrategica'!AE53=0,'Parte Estrategica'!AE53=""),0,IF(VLOOKUP($A53,'Matriz de Referencia'!$B$2:$CO$584,31,FALSE)=0,0,"Digite"))</f>
        <v>0</v>
      </c>
      <c r="BA53" s="456">
        <f>IF(OR('Parte Estrategica'!AE53=0,'Parte Estrategica'!AE53=""),0,IF(VLOOKUP($A53,'Matriz de Referencia'!$B$2:$CO$584,32,FALSE)=0,0,"Digite"))</f>
        <v>0</v>
      </c>
      <c r="BB53" s="457">
        <f t="shared" si="9"/>
        <v>0</v>
      </c>
      <c r="BC53" s="456">
        <f>IF(OR('Parte Estrategica'!AE53=0,'Parte Estrategica'!AE53=""),0,IF(VLOOKUP($A53,'Matriz de Referencia'!$B$2:$CO$584,34,FALSE)=0,0,"Digite"))</f>
        <v>0</v>
      </c>
      <c r="BD53" s="456">
        <f>IF(OR('Parte Estrategica'!AE53=0,'Parte Estrategica'!AE53=""),0,IF(VLOOKUP($A53,'Matriz de Referencia'!$B$2:$CO$584,35,FALSE)=0,0,"Digite"))</f>
        <v>0</v>
      </c>
      <c r="BE53" s="456">
        <f>IF(OR('Parte Estrategica'!AE53=0,'Parte Estrategica'!AE53=""),0,IF(VLOOKUP($A53,'Matriz de Referencia'!$B$2:$CO$584,36,FALSE)=0,0,"Digite"))</f>
        <v>0</v>
      </c>
      <c r="BF53" s="457">
        <f t="shared" si="10"/>
        <v>0</v>
      </c>
      <c r="BG53" s="457">
        <f t="shared" si="11"/>
        <v>0</v>
      </c>
      <c r="BH53" s="457">
        <f t="shared" si="12"/>
        <v>0</v>
      </c>
      <c r="BI53" s="101" t="str">
        <f>IFERROR(IF(BH53=0,"",IF(VLOOKUP($A53,'Matriz de Referencia'!$B$2:$CO$584,'Matriz de Referencia'!AM$1,FALSE)=BH53,"Techos ok, cotinue","Debe revisar el valor programado")),"")</f>
        <v/>
      </c>
      <c r="BJ53" s="453">
        <f>IF(OR('Parte Estrategica'!AH53=0,'Parte Estrategica'!AH53=""),0,IF(VLOOKUP($A53,'Matriz de Referencia'!$B$2:$CO$584,39,FALSE)=0,0,"Digite"))</f>
        <v>0</v>
      </c>
      <c r="BK53" s="454">
        <f>IF(OR('Parte Estrategica'!AH53=0,'Parte Estrategica'!AH53=""),0,IF(VLOOKUP($A53,'Matriz de Referencia'!$B$2:$CO$584,40,FALSE)=0,0,"Digite"))</f>
        <v>0</v>
      </c>
      <c r="BL53" s="454">
        <f>IF(OR('Parte Estrategica'!AH53=0,'Parte Estrategica'!AH53=""),0,IF(VLOOKUP($A53,'Matriz de Referencia'!$B$2:$CO$584,41,FALSE)=0,0,"Digite"))</f>
        <v>0</v>
      </c>
      <c r="BM53" s="454">
        <f>IF(OR('Parte Estrategica'!AH53=0,'Parte Estrategica'!AH53=""),0,IF(VLOOKUP($A53,'Matriz de Referencia'!$B$2:$CO$584,42,FALSE)=0,0,"Digite"))</f>
        <v>0</v>
      </c>
      <c r="BN53" s="454">
        <f>IF(OR('Parte Estrategica'!AH53=0,'Parte Estrategica'!AH53=""),0,IF(VLOOKUP($A53,'Matriz de Referencia'!$B$2:$CO$584,43,FALSE)=0,0,"Digite"))</f>
        <v>0</v>
      </c>
      <c r="BO53" s="454">
        <f>IF(OR('Parte Estrategica'!AH53=0,'Parte Estrategica'!AH53=""),0,IF(VLOOKUP($A53,'Matriz de Referencia'!$B$2:$CO$584,44,FALSE)=0,0,"Digite"))</f>
        <v>0</v>
      </c>
      <c r="BP53" s="454">
        <f>IF(OR('Parte Estrategica'!AH53=0,'Parte Estrategica'!AH53=""),0,IF(VLOOKUP($A53,'Matriz de Referencia'!$B$2:$CO$584,45,FALSE)=0,0,"Digite"))</f>
        <v>0</v>
      </c>
      <c r="BQ53" s="454">
        <f>IF(OR('Parte Estrategica'!AH53=0,'Parte Estrategica'!AH53=""),0,IF(VLOOKUP($A53,'Matriz de Referencia'!$B$2:$CO$584,46,FALSE)=0,0,"Digite"))</f>
        <v>0</v>
      </c>
      <c r="BR53" s="382">
        <f t="shared" si="13"/>
        <v>0</v>
      </c>
      <c r="BS53" s="454">
        <f>IF(OR('Parte Estrategica'!CL53=0,'Parte Estrategica'!CL53=""),0,IF(VLOOKUP($A53,'Matriz de Referencia'!$B$2:$CO$584,48,FALSE)=0,0,"Digite"))</f>
        <v>0</v>
      </c>
      <c r="BT53" s="454">
        <f>IF(OR('Parte Estrategica'!CL53=0,'Parte Estrategica'!CL53=""),0,IF(VLOOKUP($A53,'Matriz de Referencia'!$B$2:$CO$584,49,FALSE)=0,0,"Digite"))</f>
        <v>0</v>
      </c>
      <c r="BU53" s="454">
        <f>IF(OR('Parte Estrategica'!CL53=0,'Parte Estrategica'!CL53=""),0,IF(VLOOKUP($A53,'Matriz de Referencia'!$B$2:$CO$584,50,FALSE)=0,0,"Digite"))</f>
        <v>0</v>
      </c>
      <c r="BV53" s="382">
        <f t="shared" si="14"/>
        <v>0</v>
      </c>
      <c r="BW53" s="382">
        <f t="shared" si="15"/>
        <v>0</v>
      </c>
      <c r="BX53" s="453">
        <f>IF(OR('Parte Estrategica'!AI53=0,'Parte Estrategica'!AI53=""),0,IF(VLOOKUP($A53,'Matriz de Referencia'!$B$2:$CO$584,39,FALSE)=0,0,"Digite"))</f>
        <v>0</v>
      </c>
      <c r="BY53" s="454">
        <f>IF(OR('Parte Estrategica'!AI53=0,'Parte Estrategica'!AI53=""),0,IF(VLOOKUP($A53,'Matriz de Referencia'!$B$2:$CO$584,40,FALSE)=0,0,"Digite"))</f>
        <v>0</v>
      </c>
      <c r="BZ53" s="454">
        <f>IF(OR('Parte Estrategica'!AI53=0,'Parte Estrategica'!AI53=""),0,IF(VLOOKUP($A53,'Matriz de Referencia'!$B$2:$CO$584,41,FALSE)=0,0,"Digite"))</f>
        <v>0</v>
      </c>
      <c r="CA53" s="454">
        <f>IF(OR('Parte Estrategica'!AI53=0,'Parte Estrategica'!AI53=""),0,IF(VLOOKUP($A53,'Matriz de Referencia'!$B$2:$CO$584,42,FALSE)=0,0,"Digite"))</f>
        <v>0</v>
      </c>
      <c r="CB53" s="454">
        <f>IF(OR('Parte Estrategica'!AI53=0,'Parte Estrategica'!AI53=""),0,IF(VLOOKUP($A53,'Matriz de Referencia'!$B$2:$CO$584,43,FALSE)=0,0,"Digite"))</f>
        <v>0</v>
      </c>
      <c r="CC53" s="454">
        <f>IF(OR('Parte Estrategica'!AI53=0,'Parte Estrategica'!AI53=""),0,IF(VLOOKUP($A53,'Matriz de Referencia'!$B$2:$CO$584,44,FALSE)=0,0,"Digite"))</f>
        <v>0</v>
      </c>
      <c r="CD53" s="454">
        <f>IF(OR('Parte Estrategica'!AI53=0,'Parte Estrategica'!AI53=""),0,IF(VLOOKUP($A53,'Matriz de Referencia'!$B$2:$CO$584,45,FALSE)=0,0,"Digite"))</f>
        <v>0</v>
      </c>
      <c r="CE53" s="454">
        <f>IF(OR('Parte Estrategica'!AI53=0,'Parte Estrategica'!AI53=""),0,IF(VLOOKUP($A53,'Matriz de Referencia'!$B$2:$CO$584,46,FALSE)=0,0,"Digite"))</f>
        <v>0</v>
      </c>
      <c r="CF53" s="382">
        <f t="shared" si="16"/>
        <v>0</v>
      </c>
      <c r="CG53" s="454">
        <f>IF(OR('Parte Estrategica'!AI53=0,'Parte Estrategica'!AI53=""),0,IF(VLOOKUP($A53,'Matriz de Referencia'!$B$2:$CO$584,48,FALSE)=0,0,"Digite"))</f>
        <v>0</v>
      </c>
      <c r="CH53" s="454">
        <f>IF(OR('Parte Estrategica'!AI53=0,'Parte Estrategica'!AI53=""),0,IF(VLOOKUP($A53,'Matriz de Referencia'!$B$2:$CO$584,49,FALSE)=0,0,"Digite"))</f>
        <v>0</v>
      </c>
      <c r="CI53" s="454">
        <f>IF(OR('Parte Estrategica'!AI53=0,'Parte Estrategica'!AI53=""),0,IF(VLOOKUP($A53,'Matriz de Referencia'!$B$2:$CO$584,50,FALSE)=0,0,"Digite"))</f>
        <v>0</v>
      </c>
      <c r="CJ53" s="382">
        <f t="shared" si="17"/>
        <v>0</v>
      </c>
      <c r="CK53" s="382">
        <f t="shared" si="18"/>
        <v>0</v>
      </c>
      <c r="CL53" s="453">
        <f>IF(OR('Parte Estrategica'!AJ53=0,'Parte Estrategica'!AJ53=""),0,IF(VLOOKUP($A53,'Matriz de Referencia'!$B$2:$CO$584,39,FALSE)=0,0,"Digite"))</f>
        <v>0</v>
      </c>
      <c r="CM53" s="454">
        <f>IF(OR('Parte Estrategica'!AJ53=0,'Parte Estrategica'!AJ53=""),0,IF(VLOOKUP($A53,'Matriz de Referencia'!$B$2:$CO$584,40,FALSE)=0,0,"Digite"))</f>
        <v>0</v>
      </c>
      <c r="CN53" s="454">
        <f>IF(OR('Parte Estrategica'!AJ53=0,'Parte Estrategica'!AJ53=""),0,IF(VLOOKUP($A53,'Matriz de Referencia'!$B$2:$CO$584,41,FALSE)=0,0,"Digite"))</f>
        <v>0</v>
      </c>
      <c r="CO53" s="454">
        <f>IF(OR('Parte Estrategica'!AJ53=0,'Parte Estrategica'!AJ53=""),0,IF(VLOOKUP($A53,'Matriz de Referencia'!$B$2:$CO$584,42,FALSE)=0,0,"Digite"))</f>
        <v>0</v>
      </c>
      <c r="CP53" s="454">
        <f>IF(OR('Parte Estrategica'!AJ53=0,'Parte Estrategica'!AJ53=""),0,IF(VLOOKUP($A53,'Matriz de Referencia'!$B$2:$CO$584,43,FALSE)=0,0,"Digite"))</f>
        <v>0</v>
      </c>
      <c r="CQ53" s="454">
        <f>IF(OR('Parte Estrategica'!AJ53=0,'Parte Estrategica'!AJ53=""),0,IF(VLOOKUP($A53,'Matriz de Referencia'!$B$2:$CO$584,44,FALSE)=0,0,"Digite"))</f>
        <v>0</v>
      </c>
      <c r="CR53" s="454">
        <f>IF(OR('Parte Estrategica'!AJ53=0,'Parte Estrategica'!AJ53=""),0,IF(VLOOKUP($A53,'Matriz de Referencia'!$B$2:$CO$584,45,FALSE)=0,0,"Digite"))</f>
        <v>0</v>
      </c>
      <c r="CS53" s="454">
        <f>IF(OR('Parte Estrategica'!AJ53=0,'Parte Estrategica'!AJ53=""),0,IF(VLOOKUP($A53,'Matriz de Referencia'!$B$2:$CO$584,46,FALSE)=0,0,"Digite"))</f>
        <v>0</v>
      </c>
      <c r="CT53" s="382">
        <f t="shared" si="19"/>
        <v>0</v>
      </c>
      <c r="CU53" s="454">
        <f>IF(OR('Parte Estrategica'!AJ53=0,'Parte Estrategica'!AJ53=""),0,IF(VLOOKUP($A53,'Matriz de Referencia'!$B$2:$CO$584,48,FALSE)=0,0,"Digite"))</f>
        <v>0</v>
      </c>
      <c r="CV53" s="454">
        <f>IF(OR('Parte Estrategica'!AJ53=0,'Parte Estrategica'!AJ53=""),0,IF(VLOOKUP($A53,'Matriz de Referencia'!$B$2:$CO$584,49,FALSE)=0,0,"Digite"))</f>
        <v>0</v>
      </c>
      <c r="CW53" s="454">
        <f>IF(OR('Parte Estrategica'!AJ53=0,'Parte Estrategica'!AJ53=""),0,IF(VLOOKUP($A53,'Matriz de Referencia'!$B$2:$CO$584,50,FALSE)=0,0,"Digite"))</f>
        <v>0</v>
      </c>
      <c r="CX53" s="382">
        <f t="shared" si="20"/>
        <v>0</v>
      </c>
      <c r="CY53" s="382">
        <f t="shared" si="21"/>
        <v>0</v>
      </c>
      <c r="CZ53" s="453">
        <f>IF(OR('Parte Estrategica'!AK53=0,'Parte Estrategica'!AK53=""),0,IF(VLOOKUP($A53,'Matriz de Referencia'!$B$2:$CO$584,39,FALSE)=0,0,"Digite"))</f>
        <v>0</v>
      </c>
      <c r="DA53" s="454">
        <f>IF(OR('Parte Estrategica'!AK53=0,'Parte Estrategica'!AK53=""),0,IF(VLOOKUP($A53,'Matriz de Referencia'!$B$2:$CO$584,40,FALSE)=0,0,"Digite"))</f>
        <v>0</v>
      </c>
      <c r="DB53" s="454">
        <f>IF(OR('Parte Estrategica'!AK53=0,'Parte Estrategica'!AK53=""),0,IF(VLOOKUP($A53,'Matriz de Referencia'!$B$2:$CO$584,41,FALSE)=0,0,"Digite"))</f>
        <v>0</v>
      </c>
      <c r="DC53" s="454">
        <f>IF(OR('Parte Estrategica'!AK53=0,'Parte Estrategica'!AK53=""),0,IF(VLOOKUP($A53,'Matriz de Referencia'!$B$2:$CO$584,42,FALSE)=0,0,"Digite"))</f>
        <v>0</v>
      </c>
      <c r="DD53" s="454">
        <f>IF(OR('Parte Estrategica'!AK53=0,'Parte Estrategica'!AK53=""),0,IF(VLOOKUP($A53,'Matriz de Referencia'!$B$2:$CO$584,43,FALSE)=0,0,"Digite"))</f>
        <v>0</v>
      </c>
      <c r="DE53" s="454">
        <f>IF(OR('Parte Estrategica'!AK53=0,'Parte Estrategica'!AK53=""),0,IF(VLOOKUP($A53,'Matriz de Referencia'!$B$2:$CO$584,44,FALSE)=0,0,"Digite"))</f>
        <v>0</v>
      </c>
      <c r="DF53" s="454">
        <f>IF(OR('Parte Estrategica'!AK53=0,'Parte Estrategica'!AK53=""),0,IF(VLOOKUP($A53,'Matriz de Referencia'!$B$2:$CO$584,45,FALSE)=0,0,"Digite"))</f>
        <v>0</v>
      </c>
      <c r="DG53" s="454">
        <f>IF(OR('Parte Estrategica'!AK53=0,'Parte Estrategica'!AK53=""),0,IF(VLOOKUP($A53,'Matriz de Referencia'!$B$2:$CO$584,46,FALSE)=0,0,"Digite"))</f>
        <v>0</v>
      </c>
      <c r="DH53" s="382">
        <f t="shared" si="22"/>
        <v>0</v>
      </c>
      <c r="DI53" s="454">
        <f>IF(OR('Parte Estrategica'!AK53=0,'Parte Estrategica'!AK53=""),0,IF(VLOOKUP($A53,'Matriz de Referencia'!$B$2:$CO$584,48,FALSE)=0,0,"Digite"))</f>
        <v>0</v>
      </c>
      <c r="DJ53" s="454">
        <f>IF(OR('Parte Estrategica'!AK53=0,'Parte Estrategica'!AK53=""),0,IF(VLOOKUP($A53,'Matriz de Referencia'!$B$2:$CO$584,49,FALSE)=0,0,"Digite"))</f>
        <v>0</v>
      </c>
      <c r="DK53" s="454">
        <f>IF(OR('Parte Estrategica'!AK53=0,'Parte Estrategica'!AK53=""),0,IF(VLOOKUP($A53,'Matriz de Referencia'!$B$2:$CO$584,50,FALSE)=0,0,"Digite"))</f>
        <v>0</v>
      </c>
      <c r="DL53" s="382">
        <f t="shared" si="23"/>
        <v>0</v>
      </c>
      <c r="DM53" s="382">
        <f t="shared" si="24"/>
        <v>0</v>
      </c>
      <c r="DN53" s="382">
        <f t="shared" si="25"/>
        <v>0</v>
      </c>
      <c r="DO53" s="101" t="str">
        <f>IFERROR(IF(DN53=0,"",IF(VLOOKUP($A53,'Matriz de Referencia'!$B$2:$CO$584,52,FALSE)=DN53,"Techos ok, cotinue","Debe revisar el valor programado")),"")</f>
        <v/>
      </c>
      <c r="DP53" s="453">
        <f>IF(OR('Parte Estrategica'!AN53=0,'Parte Estrategica'!AN53=""),0,IF(VLOOKUP($A53,'Matriz de Referencia'!$B$2:$CO$584,53,FALSE)=0,0,"Digite"))</f>
        <v>0</v>
      </c>
      <c r="DQ53" s="454">
        <f>IF(OR('Parte Estrategica'!AN53=0,'Parte Estrategica'!AN53=""),0,IF(VLOOKUP($A53,'Matriz de Referencia'!$B$2:$CO$584,54,FALSE)=0,0,"Digite"))</f>
        <v>0</v>
      </c>
      <c r="DR53" s="454">
        <f>IF(OR('Parte Estrategica'!AN53=0,'Parte Estrategica'!AN53=""),0,IF(VLOOKUP($A53,'Matriz de Referencia'!$B$2:$CO$584,55,FALSE)=0,0,"Digite"))</f>
        <v>0</v>
      </c>
      <c r="DS53" s="454">
        <f>IF(OR('Parte Estrategica'!AN53=0,'Parte Estrategica'!AN53=""),0,IF(VLOOKUP($A53,'Matriz de Referencia'!$B$2:$CO$584,56,FALSE)=0,0,"Digite"))</f>
        <v>0</v>
      </c>
      <c r="DT53" s="454">
        <f>IF(OR('Parte Estrategica'!AN53=0,'Parte Estrategica'!AN53=""),0,IF(VLOOKUP($A53,'Matriz de Referencia'!$B$2:$CO$584,57,FALSE)=0,0,"Digite"))</f>
        <v>0</v>
      </c>
      <c r="DU53" s="454">
        <f>IF(OR('Parte Estrategica'!AN53=0,'Parte Estrategica'!AN53=""),0,IF(VLOOKUP($A53,'Matriz de Referencia'!$B$2:$CO$584,58,FALSE)=0,0,"Digite"))</f>
        <v>0</v>
      </c>
      <c r="DV53" s="454">
        <f>IF(OR('Parte Estrategica'!AN53=0,'Parte Estrategica'!AN53=""),0,IF(VLOOKUP($A53,'Matriz de Referencia'!$B$2:$CO$584,59,FALSE)=0,0,"Digite"))</f>
        <v>0</v>
      </c>
      <c r="DW53" s="454">
        <f>IF(OR('Parte Estrategica'!AN53=0,'Parte Estrategica'!AN53=""),0,IF(VLOOKUP($A53,'Matriz de Referencia'!$B$2:$CO$584,60,FALSE)=0,0,"Digite"))</f>
        <v>0</v>
      </c>
      <c r="DX53" s="382">
        <f t="shared" si="26"/>
        <v>0</v>
      </c>
      <c r="DY53" s="454">
        <f>IF(OR('Parte Estrategica'!AN53=0,'Parte Estrategica'!AN53=""),0,IF(VLOOKUP($A53,'Matriz de Referencia'!$B$2:$CO$584,62,FALSE)=0,0,"Digite"))</f>
        <v>0</v>
      </c>
      <c r="DZ53" s="454">
        <f>IF(OR('Parte Estrategica'!AN53=0,'Parte Estrategica'!AN53=""),0,IF(VLOOKUP($A53,'Matriz de Referencia'!$B$2:$CO$584,63,FALSE)=0,0,"Digite"))</f>
        <v>0</v>
      </c>
      <c r="EA53" s="454" t="str">
        <f>IF(OR('Parte Estrategica'!AN53=0,'Parte Estrategica'!AN53=""),"",IF(VLOOKUP($A53,'Matriz de Referencia'!$B$2:$CO$584,64,FALSE)=0,"","Digite"))</f>
        <v/>
      </c>
      <c r="EB53" s="382">
        <f t="shared" si="27"/>
        <v>0</v>
      </c>
      <c r="EC53" s="382">
        <f t="shared" si="28"/>
        <v>0</v>
      </c>
      <c r="ED53" s="453">
        <f>IF(OR('Parte Estrategica'!AO53=0,'Parte Estrategica'!AO53=""),0,IF(VLOOKUP($A53,'Matriz de Referencia'!$B$2:$CO$584,53,FALSE)=0,0,"Digite"))</f>
        <v>0</v>
      </c>
      <c r="EE53" s="454">
        <f>IF(OR('Parte Estrategica'!AO53=0,'Parte Estrategica'!AO53=""),0,IF(VLOOKUP($A53,'Matriz de Referencia'!$B$2:$CO$584,54,FALSE)=0,0,"Digite"))</f>
        <v>0</v>
      </c>
      <c r="EF53" s="454">
        <f>IF(OR('Parte Estrategica'!AO53=0,'Parte Estrategica'!AO53=""),0,IF(VLOOKUP($A53,'Matriz de Referencia'!$B$2:$CO$584,55,FALSE)=0,0,"Digite"))</f>
        <v>0</v>
      </c>
      <c r="EG53" s="454">
        <f>IF(OR('Parte Estrategica'!AO53=0,'Parte Estrategica'!AO53=""),0,IF(VLOOKUP($A53,'Matriz de Referencia'!$B$2:$CO$584,56,FALSE)=0,0,"Digite"))</f>
        <v>0</v>
      </c>
      <c r="EH53" s="454">
        <f>IF(OR('Parte Estrategica'!AO53=0,'Parte Estrategica'!AO53=""),0,IF(VLOOKUP($A53,'Matriz de Referencia'!$B$2:$CO$584,57,FALSE)=0,0,"Digite"))</f>
        <v>0</v>
      </c>
      <c r="EI53" s="454">
        <f>IF(OR('Parte Estrategica'!AO53=0,'Parte Estrategica'!AO53=""),0,IF(VLOOKUP($A53,'Matriz de Referencia'!$B$2:$CO$584,58,FALSE)=0,0,"Digite"))</f>
        <v>0</v>
      </c>
      <c r="EJ53" s="454">
        <f>IF(OR('Parte Estrategica'!AO53=0,'Parte Estrategica'!AO53=""),0,IF(VLOOKUP($A53,'Matriz de Referencia'!$B$2:$CO$584,59,FALSE)=0,0,"Digite"))</f>
        <v>0</v>
      </c>
      <c r="EK53" s="454">
        <f>IF(OR('Parte Estrategica'!AO53=0,'Parte Estrategica'!AO53=""),0,IF(VLOOKUP($A53,'Matriz de Referencia'!$B$2:$CO$584,60,FALSE)=0,0,"Digite"))</f>
        <v>0</v>
      </c>
      <c r="EL53" s="382">
        <f t="shared" si="29"/>
        <v>0</v>
      </c>
      <c r="EM53" s="454">
        <f>IF(OR('Parte Estrategica'!AO53=0,'Parte Estrategica'!AO53=""),0,IF(VLOOKUP($A53,'Matriz de Referencia'!$B$2:$CO$584,62,FALSE)=0,0,"Digite"))</f>
        <v>0</v>
      </c>
      <c r="EN53" s="454">
        <f>IF(OR('Parte Estrategica'!AO53=0,'Parte Estrategica'!AO53=""),0,IF(VLOOKUP($A53,'Matriz de Referencia'!$B$2:$CO$584,63,FALSE)=0,0,"Digite"))</f>
        <v>0</v>
      </c>
      <c r="EO53" s="454">
        <f>IF(OR('Parte Estrategica'!AO53=0,'Parte Estrategica'!AO53=""),0,IF(VLOOKUP($A53,'Matriz de Referencia'!$B$2:$CO$584,64,FALSE)=0,0,"Digite"))</f>
        <v>0</v>
      </c>
      <c r="EP53" s="382">
        <f t="shared" si="30"/>
        <v>0</v>
      </c>
      <c r="EQ53" s="382">
        <f t="shared" si="31"/>
        <v>0</v>
      </c>
      <c r="ER53" s="453">
        <f>IF(OR('Parte Estrategica'!AP53=0,'Parte Estrategica'!AP53=""),0,IF(VLOOKUP($A53,'Matriz de Referencia'!$B$2:$CO$584,53,FALSE)=0,0,"Digite"))</f>
        <v>0</v>
      </c>
      <c r="ES53" s="454">
        <f>IF(OR('Parte Estrategica'!AP53=0,'Parte Estrategica'!AP53=""),0,IF(VLOOKUP($A53,'Matriz de Referencia'!$B$2:$CO$584,54,FALSE)=0,0,"Digite"))</f>
        <v>0</v>
      </c>
      <c r="ET53" s="454">
        <f>IF(OR('Parte Estrategica'!AP53=0,'Parte Estrategica'!AP53=""),0,IF(VLOOKUP($A53,'Matriz de Referencia'!$B$2:$CO$584,55,FALSE)=0,0,"Digite"))</f>
        <v>0</v>
      </c>
      <c r="EU53" s="454">
        <f>IF(OR('Parte Estrategica'!AP53=0,'Parte Estrategica'!AP53=""),0,IF(VLOOKUP($A53,'Matriz de Referencia'!$B$2:$CO$584,56,FALSE)=0,0,"Digite"))</f>
        <v>0</v>
      </c>
      <c r="EV53" s="454">
        <f>IF(OR('Parte Estrategica'!AP53=0,'Parte Estrategica'!AP53=""),0,IF(VLOOKUP($A53,'Matriz de Referencia'!$B$2:$CO$584,57,FALSE)=0,0,"Digite"))</f>
        <v>0</v>
      </c>
      <c r="EW53" s="454">
        <f>IF(OR('Parte Estrategica'!AP53=0,'Parte Estrategica'!AP53=""),0,IF(VLOOKUP($A53,'Matriz de Referencia'!$B$2:$CO$584,58,FALSE)=0,0,"Digite"))</f>
        <v>0</v>
      </c>
      <c r="EX53" s="454">
        <f>IF(OR('Parte Estrategica'!AP53=0,'Parte Estrategica'!AP53=""),0,IF(VLOOKUP($A53,'Matriz de Referencia'!$B$2:$CO$584,59,FALSE)=0,0,"Digite"))</f>
        <v>0</v>
      </c>
      <c r="EY53" s="454">
        <f>IF(OR('Parte Estrategica'!AP53=0,'Parte Estrategica'!AP53=""),0,IF(VLOOKUP($A53,'Matriz de Referencia'!$B$2:$CO$584,60,FALSE)=0,0,"Digite"))</f>
        <v>0</v>
      </c>
      <c r="EZ53" s="382">
        <f t="shared" si="32"/>
        <v>0</v>
      </c>
      <c r="FA53" s="454">
        <f>IF(OR('Parte Estrategica'!AP53=0,'Parte Estrategica'!AP53=""),0,IF(VLOOKUP($A53,'Matriz de Referencia'!$B$2:$CO$584,62,FALSE)=0,0,"Digite"))</f>
        <v>0</v>
      </c>
      <c r="FB53" s="454">
        <f>IF(OR('Parte Estrategica'!AP53=0,'Parte Estrategica'!AP53=""),0,IF(VLOOKUP($A53,'Matriz de Referencia'!$B$2:$CO$584,63,FALSE)=0,0,"Digite"))</f>
        <v>0</v>
      </c>
      <c r="FC53" s="454">
        <f>IF(OR('Parte Estrategica'!AP53=0,'Parte Estrategica'!AP53=""),0,IF(VLOOKUP($A53,'Matriz de Referencia'!$B$2:$CO$584,64,FALSE)=0,0,"Digite"))</f>
        <v>0</v>
      </c>
      <c r="FD53" s="382">
        <f t="shared" si="33"/>
        <v>0</v>
      </c>
      <c r="FE53" s="382">
        <f t="shared" si="34"/>
        <v>0</v>
      </c>
      <c r="FF53" s="453">
        <f>IF(OR('Parte Estrategica'!AQ53=0,'Parte Estrategica'!AQ53=""),0,IF(VLOOKUP($A53,'Matriz de Referencia'!$B$2:$CO$584,53,FALSE)=0,0,"Digite"))</f>
        <v>0</v>
      </c>
      <c r="FG53" s="454">
        <f>IF(OR('Parte Estrategica'!AQ53=0,'Parte Estrategica'!AQ53=""),0,IF(VLOOKUP($A53,'Matriz de Referencia'!$B$2:$CO$584,54,FALSE)=0,0,"Digite"))</f>
        <v>0</v>
      </c>
      <c r="FH53" s="454">
        <f>IF(OR('Parte Estrategica'!AQ53=0,'Parte Estrategica'!AQ53=""),0,IF(VLOOKUP($A53,'Matriz de Referencia'!$B$2:$CO$584,55,FALSE)=0,0,"Digite"))</f>
        <v>0</v>
      </c>
      <c r="FI53" s="454">
        <f>IF(OR('Parte Estrategica'!AQ53=0,'Parte Estrategica'!AQ53=""),0,IF(VLOOKUP($A53,'Matriz de Referencia'!$B$2:$CO$584,56,FALSE)=0,0,"Digite"))</f>
        <v>0</v>
      </c>
      <c r="FJ53" s="454">
        <f>IF(OR('Parte Estrategica'!AQ53=0,'Parte Estrategica'!AQ53=""),0,IF(VLOOKUP($A53,'Matriz de Referencia'!$B$2:$CO$584,57,FALSE)=0,0,"Digite"))</f>
        <v>0</v>
      </c>
      <c r="FK53" s="454">
        <f>IF(OR('Parte Estrategica'!AQ53=0,'Parte Estrategica'!AQ53=""),0,IF(VLOOKUP($A53,'Matriz de Referencia'!$B$2:$CO$584,58,FALSE)=0,0,"Digite"))</f>
        <v>0</v>
      </c>
      <c r="FL53" s="454">
        <f>IF(OR('Parte Estrategica'!AQ53=0,'Parte Estrategica'!AQ53=""),0,IF(VLOOKUP($A53,'Matriz de Referencia'!$B$2:$CO$584,59,FALSE)=0,0,"Digite"))</f>
        <v>0</v>
      </c>
      <c r="FM53" s="454">
        <f>IF(OR('Parte Estrategica'!AQ53=0,'Parte Estrategica'!AQ53=""),0,IF(VLOOKUP($A53,'Matriz de Referencia'!$B$2:$CO$584,60,FALSE)=0,0,"Digite"))</f>
        <v>0</v>
      </c>
      <c r="FN53" s="382">
        <f t="shared" si="35"/>
        <v>0</v>
      </c>
      <c r="FO53" s="454">
        <f>IF(OR('Parte Estrategica'!AQ53=0,'Parte Estrategica'!AQ53=""),0,IF(VLOOKUP($A53,'Matriz de Referencia'!$B$2:$CO$584,62,FALSE)=0,0,"Digite"))</f>
        <v>0</v>
      </c>
      <c r="FP53" s="454">
        <f>IF(OR('Parte Estrategica'!AQ53=0,'Parte Estrategica'!AQ53=""),0,IF(VLOOKUP($A53,'Matriz de Referencia'!$B$2:$CO$584,63,FALSE)=0,0,"Digite"))</f>
        <v>0</v>
      </c>
      <c r="FQ53" s="454">
        <f>IF(OR('Parte Estrategica'!AQ53=0,'Parte Estrategica'!AQ53=""),0,IF(VLOOKUP($A53,'Matriz de Referencia'!$B$2:$CO$584,64,FALSE)=0,0,"Digite"))</f>
        <v>0</v>
      </c>
      <c r="FR53" s="382">
        <f t="shared" si="36"/>
        <v>0</v>
      </c>
      <c r="FS53" s="382">
        <f t="shared" si="37"/>
        <v>0</v>
      </c>
      <c r="FT53" s="382">
        <f t="shared" si="38"/>
        <v>0</v>
      </c>
      <c r="FU53" s="101" t="str">
        <f>IFERROR(IF(FT53=0,"",IF(VLOOKUP($A53,'Matriz de Referencia'!$B$2:$CO$584,66,FALSE)=FT53,"Techos ok, cotinue","Debe revisar el valor programado")),"")</f>
        <v/>
      </c>
      <c r="FV53" s="453">
        <f>IF(OR('Parte Estrategica'!AT53=0,'Parte Estrategica'!AT53=""),0,IF(VLOOKUP($A53,'Matriz de Referencia'!$B$2:$CO$584,67,FALSE)=0,0,"Digite"))</f>
        <v>0</v>
      </c>
      <c r="FW53" s="454">
        <f>IF(OR('Parte Estrategica'!AT53=0,'Parte Estrategica'!AT53=""),0,IF(VLOOKUP($A53,'Matriz de Referencia'!$B$2:$CO$584,68,FALSE)=0,0,"Digite"))</f>
        <v>0</v>
      </c>
      <c r="FX53" s="454">
        <f>IF(OR('Parte Estrategica'!AT53=0,'Parte Estrategica'!AT53=""),0,IF(VLOOKUP($A53,'Matriz de Referencia'!$B$2:$CO$584,69,FALSE)=0,0,"Digite"))</f>
        <v>0</v>
      </c>
      <c r="FY53" s="454">
        <f>IF(OR('Parte Estrategica'!AT53=0,'Parte Estrategica'!AT53=""),0,IF(VLOOKUP($A53,'Matriz de Referencia'!$B$2:$CO$584,70,FALSE)=0,0,"Digite"))</f>
        <v>0</v>
      </c>
      <c r="FZ53" s="454">
        <f>IF(OR('Parte Estrategica'!AT53=0,'Parte Estrategica'!AT53=""),0,IF(VLOOKUP($A53,'Matriz de Referencia'!$B$2:$CO$584,71,FALSE)=0,0,"Digite"))</f>
        <v>0</v>
      </c>
      <c r="GA53" s="454">
        <f>IF(OR('Parte Estrategica'!AT53=0,'Parte Estrategica'!AT53=""),0,IF(VLOOKUP($A53,'Matriz de Referencia'!$B$2:$CO$584,72,FALSE)=0,0,"Digite"))</f>
        <v>0</v>
      </c>
      <c r="GB53" s="454">
        <f>IF(OR('Parte Estrategica'!AT53=0,'Parte Estrategica'!AT53=""),0,IF(VLOOKUP($A53,'Matriz de Referencia'!$B$2:$CO$584,73,FALSE)=0,0,"Digite"))</f>
        <v>0</v>
      </c>
      <c r="GC53" s="454">
        <f>IF(OR('Parte Estrategica'!AT53=0,'Parte Estrategica'!AT53=""),0,IF(VLOOKUP($A53,'Matriz de Referencia'!$B$2:$CO$584,74,FALSE)=0,0,"Digite"))</f>
        <v>0</v>
      </c>
      <c r="GD53" s="382">
        <f t="shared" si="39"/>
        <v>0</v>
      </c>
      <c r="GE53" s="454">
        <f>IF(OR('Parte Estrategica'!AT53=0,'Parte Estrategica'!AT53=""),0,IF(VLOOKUP($A53,'Matriz de Referencia'!$B$2:$CO$584,76,FALSE)=0,0,"Digite"))</f>
        <v>0</v>
      </c>
      <c r="GF53" s="454">
        <f>IF(OR('Parte Estrategica'!AT53=0,'Parte Estrategica'!AT53=""),0,IF(VLOOKUP($A53,'Matriz de Referencia'!$B$2:$CO$584,77,FALSE)=0,0,"Digite"))</f>
        <v>0</v>
      </c>
      <c r="GG53" s="454">
        <f>IF(OR('Parte Estrategica'!AT53=0,'Parte Estrategica'!AT53=""),0,IF(VLOOKUP($A53,'Matriz de Referencia'!$B$2:$CO$584,78,FALSE)=0,0,"Digite"))</f>
        <v>0</v>
      </c>
      <c r="GH53" s="382">
        <f t="shared" si="40"/>
        <v>0</v>
      </c>
      <c r="GI53" s="382">
        <f t="shared" si="41"/>
        <v>0</v>
      </c>
      <c r="GJ53" s="453">
        <f>IF(OR('Parte Estrategica'!AU53=0,'Parte Estrategica'!AU53=""),0,IF(VLOOKUP($A53,'Matriz de Referencia'!$B$2:$CO$584,67,FALSE)=0,0,"Digite"))</f>
        <v>0</v>
      </c>
      <c r="GK53" s="454">
        <f>IF(OR('Parte Estrategica'!AU53=0,'Parte Estrategica'!AU53=""),0,IF(VLOOKUP($A53,'Matriz de Referencia'!$B$2:$CO$584,68,FALSE)=0,0,"Digite"))</f>
        <v>0</v>
      </c>
      <c r="GL53" s="454">
        <f>IF(OR('Parte Estrategica'!AU53=0,'Parte Estrategica'!AU53=""),0,IF(VLOOKUP($A53,'Matriz de Referencia'!$B$2:$CO$584,69,FALSE)=0,0,"Digite"))</f>
        <v>0</v>
      </c>
      <c r="GM53" s="454">
        <f>IF(OR('Parte Estrategica'!AU53=0,'Parte Estrategica'!AU53=""),0,IF(VLOOKUP($A53,'Matriz de Referencia'!$B$2:$CO$584,70,FALSE)=0,0,"Digite"))</f>
        <v>0</v>
      </c>
      <c r="GN53" s="454">
        <f>IF(OR('Parte Estrategica'!AU53=0,'Parte Estrategica'!AU53=""),0,IF(VLOOKUP($A53,'Matriz de Referencia'!$B$2:$CO$584,71,FALSE)=0,0,"Digite"))</f>
        <v>0</v>
      </c>
      <c r="GO53" s="454">
        <f>IF(OR('Parte Estrategica'!AU53=0,'Parte Estrategica'!AU53=""),0,IF(VLOOKUP($A53,'Matriz de Referencia'!$B$2:$CO$584,72,FALSE)=0,0,"Digite"))</f>
        <v>0</v>
      </c>
      <c r="GP53" s="454">
        <f>IF(OR('Parte Estrategica'!AU53=0,'Parte Estrategica'!AU53=""),0,IF(VLOOKUP($A53,'Matriz de Referencia'!$B$2:$CO$584,73,FALSE)=0,0,"Digite"))</f>
        <v>0</v>
      </c>
      <c r="GQ53" s="454">
        <f>IF(OR('Parte Estrategica'!AU53=0,'Parte Estrategica'!AU53=""),0,IF(VLOOKUP($A53,'Matriz de Referencia'!$B$2:$CO$584,74,FALSE)=0,0,"Digite"))</f>
        <v>0</v>
      </c>
      <c r="GR53" s="382">
        <f t="shared" si="42"/>
        <v>0</v>
      </c>
      <c r="GS53" s="454">
        <f>IF(OR('Parte Estrategica'!AU53=0,'Parte Estrategica'!AU53=""),0,IF(VLOOKUP($A53,'Matriz de Referencia'!$B$2:$CO$584,76,FALSE)=0,0,"Digite"))</f>
        <v>0</v>
      </c>
      <c r="GT53" s="454">
        <f>IF(OR('Parte Estrategica'!AU53=0,'Parte Estrategica'!AU53=""),0,IF(VLOOKUP($A53,'Matriz de Referencia'!$B$2:$CO$584,77,FALSE)=0,0,"Digite"))</f>
        <v>0</v>
      </c>
      <c r="GU53" s="454">
        <f>IF(OR('Parte Estrategica'!AU53=0,'Parte Estrategica'!AU53=""),0,IF(VLOOKUP($A53,'Matriz de Referencia'!$B$2:$CO$584,78,FALSE)=0,0,"Digite"))</f>
        <v>0</v>
      </c>
      <c r="GV53" s="382">
        <f t="shared" si="43"/>
        <v>0</v>
      </c>
      <c r="GW53" s="382">
        <f t="shared" si="44"/>
        <v>0</v>
      </c>
      <c r="GX53" s="453">
        <f>IF(OR('Parte Estrategica'!AV53=0,'Parte Estrategica'!AV53=""),0,IF(VLOOKUP($A53,'Matriz de Referencia'!$B$2:$CO$584,67,FALSE)=0,0,"Digite"))</f>
        <v>0</v>
      </c>
      <c r="GY53" s="454">
        <f>IF(OR('Parte Estrategica'!AV53=0,'Parte Estrategica'!AV53=""),0,IF(VLOOKUP($A53,'Matriz de Referencia'!$B$2:$CO$584,68,FALSE)=0,0,"Digite"))</f>
        <v>0</v>
      </c>
      <c r="GZ53" s="454">
        <f>IF(OR('Parte Estrategica'!AV53=0,'Parte Estrategica'!AV53=""),0,IF(VLOOKUP($A53,'Matriz de Referencia'!$B$2:$CO$584,69,FALSE)=0,0,"Digite"))</f>
        <v>0</v>
      </c>
      <c r="HA53" s="454">
        <f>IF(OR('Parte Estrategica'!AV53=0,'Parte Estrategica'!AV53=""),0,IF(VLOOKUP($A53,'Matriz de Referencia'!$B$2:$CO$584,70,FALSE)=0,0,"Digite"))</f>
        <v>0</v>
      </c>
      <c r="HB53" s="454">
        <f>IF(OR('Parte Estrategica'!AV53=0,'Parte Estrategica'!AV53=""),0,IF(VLOOKUP($A53,'Matriz de Referencia'!$B$2:$CO$584,71,FALSE)=0,0,"Digite"))</f>
        <v>0</v>
      </c>
      <c r="HC53" s="454">
        <f>IF(OR('Parte Estrategica'!AV53=0,'Parte Estrategica'!AV53=""),0,IF(VLOOKUP($A53,'Matriz de Referencia'!$B$2:$CO$584,72,FALSE)=0,0,"Digite"))</f>
        <v>0</v>
      </c>
      <c r="HD53" s="454">
        <f>IF(OR('Parte Estrategica'!AV53=0,'Parte Estrategica'!AV53=""),0,IF(VLOOKUP($A53,'Matriz de Referencia'!$B$2:$CO$584,73,FALSE)=0,0,"Digite"))</f>
        <v>0</v>
      </c>
      <c r="HE53" s="454">
        <f>IF(OR('Parte Estrategica'!AV53=0,'Parte Estrategica'!AV53=""),0,IF(VLOOKUP($A53,'Matriz de Referencia'!$B$2:$CO$584,74,FALSE)=0,0,"Digite"))</f>
        <v>0</v>
      </c>
      <c r="HF53" s="382">
        <f t="shared" si="45"/>
        <v>0</v>
      </c>
      <c r="HG53" s="454">
        <f>IF(OR('Parte Estrategica'!AV53=0,'Parte Estrategica'!AV53=""),0,IF(VLOOKUP($A53,'Matriz de Referencia'!$B$2:$CO$584,76,FALSE)=0,0,"Digite"))</f>
        <v>0</v>
      </c>
      <c r="HH53" s="454">
        <f>IF(OR('Parte Estrategica'!AV53=0,'Parte Estrategica'!AV53=""),0,IF(VLOOKUP($A53,'Matriz de Referencia'!$B$2:$CO$584,77,FALSE)=0,0,"Digite"))</f>
        <v>0</v>
      </c>
      <c r="HI53" s="454">
        <f>IF(OR('Parte Estrategica'!AV53=0,'Parte Estrategica'!AV53=""),0,IF(VLOOKUP($A53,'Matriz de Referencia'!$B$2:$CO$584,78,FALSE)=0,0,"Digite"))</f>
        <v>0</v>
      </c>
      <c r="HJ53" s="382">
        <f t="shared" si="46"/>
        <v>0</v>
      </c>
      <c r="HK53" s="382">
        <f t="shared" si="47"/>
        <v>0</v>
      </c>
      <c r="HL53" s="453">
        <f>IF(OR('Parte Estrategica'!AW53=0,'Parte Estrategica'!AW53=""),0,IF(VLOOKUP($A53,'Matriz de Referencia'!$B$2:$CO$584,67,FALSE)=0,0,"Digite"))</f>
        <v>0</v>
      </c>
      <c r="HM53" s="454">
        <f>IF(OR('Parte Estrategica'!AW53=0,'Parte Estrategica'!AW53=""),0,IF(VLOOKUP($A53,'Matriz de Referencia'!$B$2:$CO$584,68,FALSE)=0,0,"Digite"))</f>
        <v>0</v>
      </c>
      <c r="HN53" s="454">
        <f>IF(OR('Parte Estrategica'!AW53=0,'Parte Estrategica'!AW53=""),0,IF(VLOOKUP($A53,'Matriz de Referencia'!$B$2:$CO$584,69,FALSE)=0,0,"Digite"))</f>
        <v>0</v>
      </c>
      <c r="HO53" s="454">
        <f>IF(OR('Parte Estrategica'!AW53=0,'Parte Estrategica'!AW53=""),0,IF(VLOOKUP($A53,'Matriz de Referencia'!$B$2:$CO$584,70,FALSE)=0,0,"Digite"))</f>
        <v>0</v>
      </c>
      <c r="HP53" s="454">
        <f>IF(OR('Parte Estrategica'!AW53=0,'Parte Estrategica'!AW53=""),0,IF(VLOOKUP($A53,'Matriz de Referencia'!$B$2:$CO$584,71,FALSE)=0,0,"Digite"))</f>
        <v>0</v>
      </c>
      <c r="HQ53" s="454">
        <f>IF(OR('Parte Estrategica'!AW53=0,'Parte Estrategica'!AW53=""),0,IF(VLOOKUP($A53,'Matriz de Referencia'!$B$2:$CO$584,72,FALSE)=0,0,"Digite"))</f>
        <v>0</v>
      </c>
      <c r="HR53" s="454">
        <f>IF(OR('Parte Estrategica'!AW53=0,'Parte Estrategica'!AW53=""),0,IF(VLOOKUP($A53,'Matriz de Referencia'!$B$2:$CO$584,73,FALSE)=0,0,"Digite"))</f>
        <v>0</v>
      </c>
      <c r="HS53" s="454">
        <f>IF(OR('Parte Estrategica'!AW53=0,'Parte Estrategica'!AW53=""),0,IF(VLOOKUP($A53,'Matriz de Referencia'!$B$2:$CO$584,74,FALSE)=0,0,"Digite"))</f>
        <v>0</v>
      </c>
      <c r="HT53" s="382">
        <f t="shared" si="48"/>
        <v>0</v>
      </c>
      <c r="HU53" s="454">
        <f>IF(OR('Parte Estrategica'!AW53=0,'Parte Estrategica'!AW53=""),0,IF(VLOOKUP($A53,'Matriz de Referencia'!$B$2:$CO$584,76,FALSE)=0,0,"Digite"))</f>
        <v>0</v>
      </c>
      <c r="HV53" s="454">
        <f>IF(OR('Parte Estrategica'!AW53=0,'Parte Estrategica'!AW53=""),0,IF(VLOOKUP($A53,'Matriz de Referencia'!$B$2:$CO$584,77,FALSE)=0,0,"Digite"))</f>
        <v>0</v>
      </c>
      <c r="HW53" s="454">
        <f>IF(OR('Parte Estrategica'!AW53=0,'Parte Estrategica'!AW53=""),0,IF(VLOOKUP($A53,'Matriz de Referencia'!$B$2:$CO$584,78,FALSE)=0,0,"Digite"))</f>
        <v>0</v>
      </c>
      <c r="HX53" s="382">
        <f t="shared" si="49"/>
        <v>0</v>
      </c>
      <c r="HY53" s="382">
        <f t="shared" si="50"/>
        <v>0</v>
      </c>
      <c r="HZ53" s="382">
        <f t="shared" si="51"/>
        <v>0</v>
      </c>
      <c r="IA53" s="101" t="str">
        <f>IFERROR(IF(HZ53=0,"",IF(VLOOKUP($A53,'Matriz de Referencia'!$B$2:$CO$584,80,FALSE)=HZ53,"Techos ok, cotinue","Debe revisar el valor programado")),"")</f>
        <v/>
      </c>
      <c r="IB53" s="383">
        <f t="shared" si="52"/>
        <v>0</v>
      </c>
    </row>
    <row r="54" spans="1:236">
      <c r="A54" s="550" t="str">
        <f>IF('Parte Estrategica'!B54=0,"",'Parte Estrategica'!B54)</f>
        <v/>
      </c>
      <c r="B54" s="551" t="str">
        <f>IFERROR(VLOOKUP(A54,'Matriz de Referencia'!$B$2:$P$578,'Matriz de Referencia'!L$1,FALSE),"")</f>
        <v/>
      </c>
      <c r="C54" s="551" t="str">
        <f>IFERROR(VLOOKUP(A54,'Matriz de Referencia'!$B$2:$P$584,'Matriz de Referencia'!M$1,FALSE),"")</f>
        <v/>
      </c>
      <c r="D54" s="455" t="str">
        <f>IF(OR('Parte Estrategica'!AB54=0,'Parte Estrategica'!AB54=""),"",IF(VLOOKUP($A54,'Matriz de Referencia'!$B$2:$CO$584,'Matriz de Referencia'!Z$1,FALSE)=0,"","Digite"))</f>
        <v/>
      </c>
      <c r="E54" s="456">
        <f>IF(OR('Parte Estrategica'!AB54=0,'Parte Estrategica'!AB54=""),0,IF(VLOOKUP($A54,'Matriz de Referencia'!$B$2:$CO$584,26,FALSE)=0,0,"Digite"))</f>
        <v>0</v>
      </c>
      <c r="F54" s="456">
        <f>IF(OR('Parte Estrategica'!AB54=0,'Parte Estrategica'!AB54=""),0,IF(VLOOKUP($A54,'Matriz de Referencia'!$B$2:$CO$584,27,FALSE)=0,0,"Digite"))</f>
        <v>0</v>
      </c>
      <c r="G54" s="456">
        <f>IF(OR('Parte Estrategica'!AB54=0,'Parte Estrategica'!AB54=""),0,IF(VLOOKUP($A54,'Matriz de Referencia'!$B$2:$CO$584,28,FALSE)=0,0,"Digite"))</f>
        <v>0</v>
      </c>
      <c r="H54" s="456">
        <f>IF(OR('Parte Estrategica'!AB54=0,'Parte Estrategica'!AB54=""),0,IF(VLOOKUP($A54,'Matriz de Referencia'!$B$2:$CO$584,29,FALSE)=0,0,"Digite"))</f>
        <v>0</v>
      </c>
      <c r="I54" s="456">
        <f>IF(OR('Parte Estrategica'!AB54=0,'Parte Estrategica'!AB54=""),0,IF(VLOOKUP($A54,'Matriz de Referencia'!$B$2:$CO$584,30,FALSE)=0,0,"Digite"))</f>
        <v>0</v>
      </c>
      <c r="J54" s="456">
        <f>IF(OR('Parte Estrategica'!AB54=0,'Parte Estrategica'!AB54=""),0,IF(VLOOKUP($A54,'Matriz de Referencia'!$B$2:$CO$584,31,FALSE)=0,0,"Digite"))</f>
        <v>0</v>
      </c>
      <c r="K54" s="456">
        <f>IF(OR('Parte Estrategica'!AB54=0,'Parte Estrategica'!AB54=""),0,IF(VLOOKUP($A54,'Matriz de Referencia'!$B$2:$CO$584,32,FALSE)=0,0,"Digite"))</f>
        <v>0</v>
      </c>
      <c r="L54" s="460">
        <f t="shared" si="0"/>
        <v>0</v>
      </c>
      <c r="M54" s="456">
        <f>IF(OR('Parte Estrategica'!AB54=0,'Parte Estrategica'!AB54=""),0,IF(VLOOKUP($A54,'Matriz de Referencia'!$B$2:$CO$584,34,FALSE)=0,0,"Digite"))</f>
        <v>0</v>
      </c>
      <c r="N54" s="456">
        <f>IF(OR('Parte Estrategica'!AB54=0,'Parte Estrategica'!AB54=""),0,IF(VLOOKUP($A54,'Matriz de Referencia'!$B$2:$CO$584,35,FALSE)=0,0,"Digite"))</f>
        <v>0</v>
      </c>
      <c r="O54" s="456">
        <f>IF(OR('Parte Estrategica'!AB54=0,'Parte Estrategica'!AB54=""),0,IF(VLOOKUP($A54,'Matriz de Referencia'!$B$2:$CO$584,36,FALSE)=0,0,"Digite"))</f>
        <v>0</v>
      </c>
      <c r="P54" s="457">
        <f t="shared" si="1"/>
        <v>0</v>
      </c>
      <c r="Q54" s="457">
        <f t="shared" si="2"/>
        <v>0</v>
      </c>
      <c r="R54" s="455">
        <f>IF(OR('Parte Estrategica'!AC54=0,'Parte Estrategica'!AC54=""),0,IF(VLOOKUP($A54,'Matriz de Referencia'!$B$2:$CO$584,25,FALSE)=0,0,"Digite"))</f>
        <v>0</v>
      </c>
      <c r="S54" s="456">
        <f>IF(OR('Parte Estrategica'!AC54=0,'Parte Estrategica'!AC54=""),0,IF(VLOOKUP($A54,'Matriz de Referencia'!$B$2:$CO$584,26,FALSE)=0,0,"Digite"))</f>
        <v>0</v>
      </c>
      <c r="T54" s="456">
        <f>IF(OR('Parte Estrategica'!AC54=0,'Parte Estrategica'!AC54=""),0,IF(VLOOKUP($A54,'Matriz de Referencia'!$B$2:$CO$584,27,FALSE)=0,0,"Digite"))</f>
        <v>0</v>
      </c>
      <c r="U54" s="456">
        <f>IF(OR('Parte Estrategica'!AC54=0,'Parte Estrategica'!AC54=""),0,IF(VLOOKUP($A54,'Matriz de Referencia'!$B$2:$CO$584,28,FALSE)=0,0,"Digite"))</f>
        <v>0</v>
      </c>
      <c r="V54" s="456">
        <f>IF(OR('Parte Estrategica'!AC54=0,'Parte Estrategica'!AC54=""),0,IF(VLOOKUP($A54,'Matriz de Referencia'!$B$2:$CO$584,29,FALSE)=0,0,"Digite"))</f>
        <v>0</v>
      </c>
      <c r="W54" s="456">
        <f>IF(OR('Parte Estrategica'!AC54=0,'Parte Estrategica'!AC54=""),0,IF(VLOOKUP($A54,'Matriz de Referencia'!$B$2:$CO$584,30,FALSE)=0,0,"Digite"))</f>
        <v>0</v>
      </c>
      <c r="X54" s="456">
        <f>IF(OR('Parte Estrategica'!AC54=0,'Parte Estrategica'!AC54=""),0,IF(VLOOKUP($A54,'Matriz de Referencia'!$B$2:$CO$584,31,FALSE)=0,0,"Digite"))</f>
        <v>0</v>
      </c>
      <c r="Y54" s="456">
        <f>IF(OR('Parte Estrategica'!AC54=0,'Parte Estrategica'!AC54=""),0,IF(VLOOKUP($A54,'Matriz de Referencia'!$B$2:$CO$584,32,FALSE)=0,0,"Digite"))</f>
        <v>0</v>
      </c>
      <c r="Z54" s="457">
        <f t="shared" si="3"/>
        <v>0</v>
      </c>
      <c r="AA54" s="456">
        <f>IF(OR('Parte Estrategica'!AC54=0,'Parte Estrategica'!AC54=""),0,IF(VLOOKUP($A54,'Matriz de Referencia'!$B$2:$CO$584,34,FALSE)=0,0,"Digite"))</f>
        <v>0</v>
      </c>
      <c r="AB54" s="456">
        <f>IF(OR('Parte Estrategica'!AC54=0,'Parte Estrategica'!AC54=""),0,IF(VLOOKUP($A54,'Matriz de Referencia'!$B$2:$CO$584,35,FALSE)=0,0,"Digite"))</f>
        <v>0</v>
      </c>
      <c r="AC54" s="456">
        <f>IF(OR('Parte Estrategica'!AC54=0,'Parte Estrategica'!AC54=""),0,IF(VLOOKUP($A54,'Matriz de Referencia'!$B$2:$CO$584,36,FALSE)=0,0,"Digite"))</f>
        <v>0</v>
      </c>
      <c r="AD54" s="457">
        <f t="shared" si="4"/>
        <v>0</v>
      </c>
      <c r="AE54" s="457">
        <f t="shared" si="5"/>
        <v>0</v>
      </c>
      <c r="AF54" s="455">
        <f>IF(OR('Parte Estrategica'!AD54=0,'Parte Estrategica'!AD54=""),0,IF(VLOOKUP($A54,'Matriz de Referencia'!$B$2:$CO$584,25,FALSE)=0,0,"Digite"))</f>
        <v>0</v>
      </c>
      <c r="AG54" s="456">
        <f>IF(OR('Parte Estrategica'!AD54=0,'Parte Estrategica'!AD54=""),0,IF(VLOOKUP($A54,'Matriz de Referencia'!$B$2:$CO$584,26,FALSE)=0,0,"Digite"))</f>
        <v>0</v>
      </c>
      <c r="AH54" s="456">
        <f>IF(OR('Parte Estrategica'!AD54=0,'Parte Estrategica'!AD54=""),0,IF(VLOOKUP($A54,'Matriz de Referencia'!$B$2:$CO$584,27,FALSE)=0,0,"Digite"))</f>
        <v>0</v>
      </c>
      <c r="AI54" s="456">
        <f>IF(OR('Parte Estrategica'!AD54=0,'Parte Estrategica'!AD54=""),0,IF(VLOOKUP($A54,'Matriz de Referencia'!$B$2:$CO$584,28,FALSE)=0,0,"Digite"))</f>
        <v>0</v>
      </c>
      <c r="AJ54" s="456">
        <f>IF(OR('Parte Estrategica'!AD54=0,'Parte Estrategica'!AD54=""),0,IF(VLOOKUP($A54,'Matriz de Referencia'!$B$2:$CO$584,29,FALSE)=0,0,"Digite"))</f>
        <v>0</v>
      </c>
      <c r="AK54" s="456">
        <f>IF(OR('Parte Estrategica'!AD54=0,'Parte Estrategica'!AD54=""),0,IF(VLOOKUP($A54,'Matriz de Referencia'!$B$2:$CO$584,30,FALSE)=0,0,"Digite"))</f>
        <v>0</v>
      </c>
      <c r="AL54" s="456">
        <f>IF(OR('Parte Estrategica'!AD54=0,'Parte Estrategica'!AD54=""),0,IF(VLOOKUP($A54,'Matriz de Referencia'!$B$2:$CO$584,31,FALSE)=0,0,"Digite"))</f>
        <v>0</v>
      </c>
      <c r="AM54" s="456">
        <f>IF(OR('Parte Estrategica'!AD54=0,'Parte Estrategica'!AD54=""),0,IF(VLOOKUP($A54,'Matriz de Referencia'!$B$2:$CO$584,32,FALSE)=0,0,"Digite"))</f>
        <v>0</v>
      </c>
      <c r="AN54" s="457">
        <f t="shared" si="6"/>
        <v>0</v>
      </c>
      <c r="AO54" s="456">
        <f>IF(OR('Parte Estrategica'!AD54=0,'Parte Estrategica'!AD54=""),0,IF(VLOOKUP($A54,'Matriz de Referencia'!$B$2:$CO$584,34,FALSE)=0,0,"Digite"))</f>
        <v>0</v>
      </c>
      <c r="AP54" s="456">
        <f>IF(OR('Parte Estrategica'!AD54=0,'Parte Estrategica'!AD54=""),0,IF(VLOOKUP($A54,'Matriz de Referencia'!$B$2:$CO$584,35,FALSE)=0,0,"Digite"))</f>
        <v>0</v>
      </c>
      <c r="AQ54" s="456">
        <f>IF(OR('Parte Estrategica'!AD54=0,'Parte Estrategica'!AD54=""),0,IF(VLOOKUP($A54,'Matriz de Referencia'!$B$2:$CO$584,36,FALSE)=0,0,"Digite"))</f>
        <v>0</v>
      </c>
      <c r="AR54" s="457">
        <f t="shared" si="7"/>
        <v>0</v>
      </c>
      <c r="AS54" s="457">
        <f t="shared" si="8"/>
        <v>0</v>
      </c>
      <c r="AT54" s="455">
        <f>IF(OR('Parte Estrategica'!AE54=0,'Parte Estrategica'!AE54=""),0,IF(VLOOKUP($A54,'Matriz de Referencia'!$B$2:$CO$584,25,FALSE)=0,0,"Digite"))</f>
        <v>0</v>
      </c>
      <c r="AU54" s="456">
        <f>IF(OR('Parte Estrategica'!AE54=0,'Parte Estrategica'!AE54=""),0,IF(VLOOKUP($A54,'Matriz de Referencia'!$B$2:$CO$584,26,FALSE)=0,0,"Digite"))</f>
        <v>0</v>
      </c>
      <c r="AV54" s="456">
        <f>IF(OR('Parte Estrategica'!AE54=0,'Parte Estrategica'!AE54=""),0,IF(VLOOKUP($A54,'Matriz de Referencia'!$B$2:$CO$584,27,FALSE)=0,0,"Digite"))</f>
        <v>0</v>
      </c>
      <c r="AW54" s="456">
        <f>IF(OR('Parte Estrategica'!AE54=0,'Parte Estrategica'!AE54=""),0,IF(VLOOKUP($A54,'Matriz de Referencia'!$B$2:$CO$584,28,FALSE)=0,0,"Digite"))</f>
        <v>0</v>
      </c>
      <c r="AX54" s="456">
        <f>IF(OR('Parte Estrategica'!AE54=0,'Parte Estrategica'!AE54=""),0,IF(VLOOKUP($A54,'Matriz de Referencia'!$B$2:$CO$584,29,FALSE)=0,0,"Digite"))</f>
        <v>0</v>
      </c>
      <c r="AY54" s="456">
        <f>IF(OR('Parte Estrategica'!AE54=0,'Parte Estrategica'!AE54=""),0,IF(VLOOKUP($A54,'Matriz de Referencia'!$B$2:$CO$584,30,FALSE)=0,0,"Digite"))</f>
        <v>0</v>
      </c>
      <c r="AZ54" s="456">
        <f>IF(OR('Parte Estrategica'!AE54=0,'Parte Estrategica'!AE54=""),0,IF(VLOOKUP($A54,'Matriz de Referencia'!$B$2:$CO$584,31,FALSE)=0,0,"Digite"))</f>
        <v>0</v>
      </c>
      <c r="BA54" s="456">
        <f>IF(OR('Parte Estrategica'!AE54=0,'Parte Estrategica'!AE54=""),0,IF(VLOOKUP($A54,'Matriz de Referencia'!$B$2:$CO$584,32,FALSE)=0,0,"Digite"))</f>
        <v>0</v>
      </c>
      <c r="BB54" s="457">
        <f t="shared" si="9"/>
        <v>0</v>
      </c>
      <c r="BC54" s="456">
        <f>IF(OR('Parte Estrategica'!AE54=0,'Parte Estrategica'!AE54=""),0,IF(VLOOKUP($A54,'Matriz de Referencia'!$B$2:$CO$584,34,FALSE)=0,0,"Digite"))</f>
        <v>0</v>
      </c>
      <c r="BD54" s="456">
        <f>IF(OR('Parte Estrategica'!AE54=0,'Parte Estrategica'!AE54=""),0,IF(VLOOKUP($A54,'Matriz de Referencia'!$B$2:$CO$584,35,FALSE)=0,0,"Digite"))</f>
        <v>0</v>
      </c>
      <c r="BE54" s="456">
        <f>IF(OR('Parte Estrategica'!AE54=0,'Parte Estrategica'!AE54=""),0,IF(VLOOKUP($A54,'Matriz de Referencia'!$B$2:$CO$584,36,FALSE)=0,0,"Digite"))</f>
        <v>0</v>
      </c>
      <c r="BF54" s="457">
        <f t="shared" si="10"/>
        <v>0</v>
      </c>
      <c r="BG54" s="457">
        <f t="shared" si="11"/>
        <v>0</v>
      </c>
      <c r="BH54" s="457">
        <f t="shared" si="12"/>
        <v>0</v>
      </c>
      <c r="BI54" s="101" t="str">
        <f>IFERROR(IF(BH54=0,"",IF(VLOOKUP($A54,'Matriz de Referencia'!$B$2:$CO$584,'Matriz de Referencia'!AM$1,FALSE)=BH54,"Techos ok, cotinue","Debe revisar el valor programado")),"")</f>
        <v/>
      </c>
      <c r="BJ54" s="453">
        <f>IF(OR('Parte Estrategica'!AH54=0,'Parte Estrategica'!AH54=""),0,IF(VLOOKUP($A54,'Matriz de Referencia'!$B$2:$CO$584,39,FALSE)=0,0,"Digite"))</f>
        <v>0</v>
      </c>
      <c r="BK54" s="454">
        <f>IF(OR('Parte Estrategica'!AH54=0,'Parte Estrategica'!AH54=""),0,IF(VLOOKUP($A54,'Matriz de Referencia'!$B$2:$CO$584,40,FALSE)=0,0,"Digite"))</f>
        <v>0</v>
      </c>
      <c r="BL54" s="454">
        <f>IF(OR('Parte Estrategica'!AH54=0,'Parte Estrategica'!AH54=""),0,IF(VLOOKUP($A54,'Matriz de Referencia'!$B$2:$CO$584,41,FALSE)=0,0,"Digite"))</f>
        <v>0</v>
      </c>
      <c r="BM54" s="454">
        <f>IF(OR('Parte Estrategica'!AH54=0,'Parte Estrategica'!AH54=""),0,IF(VLOOKUP($A54,'Matriz de Referencia'!$B$2:$CO$584,42,FALSE)=0,0,"Digite"))</f>
        <v>0</v>
      </c>
      <c r="BN54" s="454">
        <f>IF(OR('Parte Estrategica'!AH54=0,'Parte Estrategica'!AH54=""),0,IF(VLOOKUP($A54,'Matriz de Referencia'!$B$2:$CO$584,43,FALSE)=0,0,"Digite"))</f>
        <v>0</v>
      </c>
      <c r="BO54" s="454">
        <f>IF(OR('Parte Estrategica'!AH54=0,'Parte Estrategica'!AH54=""),0,IF(VLOOKUP($A54,'Matriz de Referencia'!$B$2:$CO$584,44,FALSE)=0,0,"Digite"))</f>
        <v>0</v>
      </c>
      <c r="BP54" s="454">
        <f>IF(OR('Parte Estrategica'!AH54=0,'Parte Estrategica'!AH54=""),0,IF(VLOOKUP($A54,'Matriz de Referencia'!$B$2:$CO$584,45,FALSE)=0,0,"Digite"))</f>
        <v>0</v>
      </c>
      <c r="BQ54" s="454">
        <f>IF(OR('Parte Estrategica'!AH54=0,'Parte Estrategica'!AH54=""),0,IF(VLOOKUP($A54,'Matriz de Referencia'!$B$2:$CO$584,46,FALSE)=0,0,"Digite"))</f>
        <v>0</v>
      </c>
      <c r="BR54" s="382">
        <f t="shared" si="13"/>
        <v>0</v>
      </c>
      <c r="BS54" s="454">
        <f>IF(OR('Parte Estrategica'!CL54=0,'Parte Estrategica'!CL54=""),0,IF(VLOOKUP($A54,'Matriz de Referencia'!$B$2:$CO$584,48,FALSE)=0,0,"Digite"))</f>
        <v>0</v>
      </c>
      <c r="BT54" s="454">
        <f>IF(OR('Parte Estrategica'!CL54=0,'Parte Estrategica'!CL54=""),0,IF(VLOOKUP($A54,'Matriz de Referencia'!$B$2:$CO$584,49,FALSE)=0,0,"Digite"))</f>
        <v>0</v>
      </c>
      <c r="BU54" s="454">
        <f>IF(OR('Parte Estrategica'!CL54=0,'Parte Estrategica'!CL54=""),0,IF(VLOOKUP($A54,'Matriz de Referencia'!$B$2:$CO$584,50,FALSE)=0,0,"Digite"))</f>
        <v>0</v>
      </c>
      <c r="BV54" s="382">
        <f t="shared" si="14"/>
        <v>0</v>
      </c>
      <c r="BW54" s="382">
        <f t="shared" si="15"/>
        <v>0</v>
      </c>
      <c r="BX54" s="453">
        <f>IF(OR('Parte Estrategica'!AI54=0,'Parte Estrategica'!AI54=""),0,IF(VLOOKUP($A54,'Matriz de Referencia'!$B$2:$CO$584,39,FALSE)=0,0,"Digite"))</f>
        <v>0</v>
      </c>
      <c r="BY54" s="454">
        <f>IF(OR('Parte Estrategica'!AI54=0,'Parte Estrategica'!AI54=""),0,IF(VLOOKUP($A54,'Matriz de Referencia'!$B$2:$CO$584,40,FALSE)=0,0,"Digite"))</f>
        <v>0</v>
      </c>
      <c r="BZ54" s="454">
        <f>IF(OR('Parte Estrategica'!AI54=0,'Parte Estrategica'!AI54=""),0,IF(VLOOKUP($A54,'Matriz de Referencia'!$B$2:$CO$584,41,FALSE)=0,0,"Digite"))</f>
        <v>0</v>
      </c>
      <c r="CA54" s="454">
        <f>IF(OR('Parte Estrategica'!AI54=0,'Parte Estrategica'!AI54=""),0,IF(VLOOKUP($A54,'Matriz de Referencia'!$B$2:$CO$584,42,FALSE)=0,0,"Digite"))</f>
        <v>0</v>
      </c>
      <c r="CB54" s="454">
        <f>IF(OR('Parte Estrategica'!AI54=0,'Parte Estrategica'!AI54=""),0,IF(VLOOKUP($A54,'Matriz de Referencia'!$B$2:$CO$584,43,FALSE)=0,0,"Digite"))</f>
        <v>0</v>
      </c>
      <c r="CC54" s="454">
        <f>IF(OR('Parte Estrategica'!AI54=0,'Parte Estrategica'!AI54=""),0,IF(VLOOKUP($A54,'Matriz de Referencia'!$B$2:$CO$584,44,FALSE)=0,0,"Digite"))</f>
        <v>0</v>
      </c>
      <c r="CD54" s="454">
        <f>IF(OR('Parte Estrategica'!AI54=0,'Parte Estrategica'!AI54=""),0,IF(VLOOKUP($A54,'Matriz de Referencia'!$B$2:$CO$584,45,FALSE)=0,0,"Digite"))</f>
        <v>0</v>
      </c>
      <c r="CE54" s="454">
        <f>IF(OR('Parte Estrategica'!AI54=0,'Parte Estrategica'!AI54=""),0,IF(VLOOKUP($A54,'Matriz de Referencia'!$B$2:$CO$584,46,FALSE)=0,0,"Digite"))</f>
        <v>0</v>
      </c>
      <c r="CF54" s="382">
        <f t="shared" si="16"/>
        <v>0</v>
      </c>
      <c r="CG54" s="454">
        <f>IF(OR('Parte Estrategica'!AI54=0,'Parte Estrategica'!AI54=""),0,IF(VLOOKUP($A54,'Matriz de Referencia'!$B$2:$CO$584,48,FALSE)=0,0,"Digite"))</f>
        <v>0</v>
      </c>
      <c r="CH54" s="454">
        <f>IF(OR('Parte Estrategica'!AI54=0,'Parte Estrategica'!AI54=""),0,IF(VLOOKUP($A54,'Matriz de Referencia'!$B$2:$CO$584,49,FALSE)=0,0,"Digite"))</f>
        <v>0</v>
      </c>
      <c r="CI54" s="454">
        <f>IF(OR('Parte Estrategica'!AI54=0,'Parte Estrategica'!AI54=""),0,IF(VLOOKUP($A54,'Matriz de Referencia'!$B$2:$CO$584,50,FALSE)=0,0,"Digite"))</f>
        <v>0</v>
      </c>
      <c r="CJ54" s="382">
        <f t="shared" si="17"/>
        <v>0</v>
      </c>
      <c r="CK54" s="382">
        <f t="shared" si="18"/>
        <v>0</v>
      </c>
      <c r="CL54" s="453">
        <f>IF(OR('Parte Estrategica'!AJ54=0,'Parte Estrategica'!AJ54=""),0,IF(VLOOKUP($A54,'Matriz de Referencia'!$B$2:$CO$584,39,FALSE)=0,0,"Digite"))</f>
        <v>0</v>
      </c>
      <c r="CM54" s="454">
        <f>IF(OR('Parte Estrategica'!AJ54=0,'Parte Estrategica'!AJ54=""),0,IF(VLOOKUP($A54,'Matriz de Referencia'!$B$2:$CO$584,40,FALSE)=0,0,"Digite"))</f>
        <v>0</v>
      </c>
      <c r="CN54" s="454">
        <f>IF(OR('Parte Estrategica'!AJ54=0,'Parte Estrategica'!AJ54=""),0,IF(VLOOKUP($A54,'Matriz de Referencia'!$B$2:$CO$584,41,FALSE)=0,0,"Digite"))</f>
        <v>0</v>
      </c>
      <c r="CO54" s="454">
        <f>IF(OR('Parte Estrategica'!AJ54=0,'Parte Estrategica'!AJ54=""),0,IF(VLOOKUP($A54,'Matriz de Referencia'!$B$2:$CO$584,42,FALSE)=0,0,"Digite"))</f>
        <v>0</v>
      </c>
      <c r="CP54" s="454">
        <f>IF(OR('Parte Estrategica'!AJ54=0,'Parte Estrategica'!AJ54=""),0,IF(VLOOKUP($A54,'Matriz de Referencia'!$B$2:$CO$584,43,FALSE)=0,0,"Digite"))</f>
        <v>0</v>
      </c>
      <c r="CQ54" s="454">
        <f>IF(OR('Parte Estrategica'!AJ54=0,'Parte Estrategica'!AJ54=""),0,IF(VLOOKUP($A54,'Matriz de Referencia'!$B$2:$CO$584,44,FALSE)=0,0,"Digite"))</f>
        <v>0</v>
      </c>
      <c r="CR54" s="454">
        <f>IF(OR('Parte Estrategica'!AJ54=0,'Parte Estrategica'!AJ54=""),0,IF(VLOOKUP($A54,'Matriz de Referencia'!$B$2:$CO$584,45,FALSE)=0,0,"Digite"))</f>
        <v>0</v>
      </c>
      <c r="CS54" s="454">
        <f>IF(OR('Parte Estrategica'!AJ54=0,'Parte Estrategica'!AJ54=""),0,IF(VLOOKUP($A54,'Matriz de Referencia'!$B$2:$CO$584,46,FALSE)=0,0,"Digite"))</f>
        <v>0</v>
      </c>
      <c r="CT54" s="382">
        <f t="shared" si="19"/>
        <v>0</v>
      </c>
      <c r="CU54" s="454">
        <f>IF(OR('Parte Estrategica'!AJ54=0,'Parte Estrategica'!AJ54=""),0,IF(VLOOKUP($A54,'Matriz de Referencia'!$B$2:$CO$584,48,FALSE)=0,0,"Digite"))</f>
        <v>0</v>
      </c>
      <c r="CV54" s="454">
        <f>IF(OR('Parte Estrategica'!AJ54=0,'Parte Estrategica'!AJ54=""),0,IF(VLOOKUP($A54,'Matriz de Referencia'!$B$2:$CO$584,49,FALSE)=0,0,"Digite"))</f>
        <v>0</v>
      </c>
      <c r="CW54" s="454">
        <f>IF(OR('Parte Estrategica'!AJ54=0,'Parte Estrategica'!AJ54=""),0,IF(VLOOKUP($A54,'Matriz de Referencia'!$B$2:$CO$584,50,FALSE)=0,0,"Digite"))</f>
        <v>0</v>
      </c>
      <c r="CX54" s="382">
        <f t="shared" si="20"/>
        <v>0</v>
      </c>
      <c r="CY54" s="382">
        <f t="shared" si="21"/>
        <v>0</v>
      </c>
      <c r="CZ54" s="453">
        <f>IF(OR('Parte Estrategica'!AK54=0,'Parte Estrategica'!AK54=""),0,IF(VLOOKUP($A54,'Matriz de Referencia'!$B$2:$CO$584,39,FALSE)=0,0,"Digite"))</f>
        <v>0</v>
      </c>
      <c r="DA54" s="454">
        <f>IF(OR('Parte Estrategica'!AK54=0,'Parte Estrategica'!AK54=""),0,IF(VLOOKUP($A54,'Matriz de Referencia'!$B$2:$CO$584,40,FALSE)=0,0,"Digite"))</f>
        <v>0</v>
      </c>
      <c r="DB54" s="454">
        <f>IF(OR('Parte Estrategica'!AK54=0,'Parte Estrategica'!AK54=""),0,IF(VLOOKUP($A54,'Matriz de Referencia'!$B$2:$CO$584,41,FALSE)=0,0,"Digite"))</f>
        <v>0</v>
      </c>
      <c r="DC54" s="454">
        <f>IF(OR('Parte Estrategica'!AK54=0,'Parte Estrategica'!AK54=""),0,IF(VLOOKUP($A54,'Matriz de Referencia'!$B$2:$CO$584,42,FALSE)=0,0,"Digite"))</f>
        <v>0</v>
      </c>
      <c r="DD54" s="454">
        <f>IF(OR('Parte Estrategica'!AK54=0,'Parte Estrategica'!AK54=""),0,IF(VLOOKUP($A54,'Matriz de Referencia'!$B$2:$CO$584,43,FALSE)=0,0,"Digite"))</f>
        <v>0</v>
      </c>
      <c r="DE54" s="454">
        <f>IF(OR('Parte Estrategica'!AK54=0,'Parte Estrategica'!AK54=""),0,IF(VLOOKUP($A54,'Matriz de Referencia'!$B$2:$CO$584,44,FALSE)=0,0,"Digite"))</f>
        <v>0</v>
      </c>
      <c r="DF54" s="454">
        <f>IF(OR('Parte Estrategica'!AK54=0,'Parte Estrategica'!AK54=""),0,IF(VLOOKUP($A54,'Matriz de Referencia'!$B$2:$CO$584,45,FALSE)=0,0,"Digite"))</f>
        <v>0</v>
      </c>
      <c r="DG54" s="454">
        <f>IF(OR('Parte Estrategica'!AK54=0,'Parte Estrategica'!AK54=""),0,IF(VLOOKUP($A54,'Matriz de Referencia'!$B$2:$CO$584,46,FALSE)=0,0,"Digite"))</f>
        <v>0</v>
      </c>
      <c r="DH54" s="382">
        <f t="shared" si="22"/>
        <v>0</v>
      </c>
      <c r="DI54" s="454">
        <f>IF(OR('Parte Estrategica'!AK54=0,'Parte Estrategica'!AK54=""),0,IF(VLOOKUP($A54,'Matriz de Referencia'!$B$2:$CO$584,48,FALSE)=0,0,"Digite"))</f>
        <v>0</v>
      </c>
      <c r="DJ54" s="454">
        <f>IF(OR('Parte Estrategica'!AK54=0,'Parte Estrategica'!AK54=""),0,IF(VLOOKUP($A54,'Matriz de Referencia'!$B$2:$CO$584,49,FALSE)=0,0,"Digite"))</f>
        <v>0</v>
      </c>
      <c r="DK54" s="454">
        <f>IF(OR('Parte Estrategica'!AK54=0,'Parte Estrategica'!AK54=""),0,IF(VLOOKUP($A54,'Matriz de Referencia'!$B$2:$CO$584,50,FALSE)=0,0,"Digite"))</f>
        <v>0</v>
      </c>
      <c r="DL54" s="382">
        <f t="shared" si="23"/>
        <v>0</v>
      </c>
      <c r="DM54" s="382">
        <f t="shared" si="24"/>
        <v>0</v>
      </c>
      <c r="DN54" s="382">
        <f t="shared" si="25"/>
        <v>0</v>
      </c>
      <c r="DO54" s="101" t="str">
        <f>IFERROR(IF(DN54=0,"",IF(VLOOKUP($A54,'Matriz de Referencia'!$B$2:$CO$584,52,FALSE)=DN54,"Techos ok, cotinue","Debe revisar el valor programado")),"")</f>
        <v/>
      </c>
      <c r="DP54" s="453">
        <f>IF(OR('Parte Estrategica'!AN54=0,'Parte Estrategica'!AN54=""),0,IF(VLOOKUP($A54,'Matriz de Referencia'!$B$2:$CO$584,53,FALSE)=0,0,"Digite"))</f>
        <v>0</v>
      </c>
      <c r="DQ54" s="454">
        <f>IF(OR('Parte Estrategica'!AN54=0,'Parte Estrategica'!AN54=""),0,IF(VLOOKUP($A54,'Matriz de Referencia'!$B$2:$CO$584,54,FALSE)=0,0,"Digite"))</f>
        <v>0</v>
      </c>
      <c r="DR54" s="454">
        <f>IF(OR('Parte Estrategica'!AN54=0,'Parte Estrategica'!AN54=""),0,IF(VLOOKUP($A54,'Matriz de Referencia'!$B$2:$CO$584,55,FALSE)=0,0,"Digite"))</f>
        <v>0</v>
      </c>
      <c r="DS54" s="454">
        <f>IF(OR('Parte Estrategica'!AN54=0,'Parte Estrategica'!AN54=""),0,IF(VLOOKUP($A54,'Matriz de Referencia'!$B$2:$CO$584,56,FALSE)=0,0,"Digite"))</f>
        <v>0</v>
      </c>
      <c r="DT54" s="454">
        <f>IF(OR('Parte Estrategica'!AN54=0,'Parte Estrategica'!AN54=""),0,IF(VLOOKUP($A54,'Matriz de Referencia'!$B$2:$CO$584,57,FALSE)=0,0,"Digite"))</f>
        <v>0</v>
      </c>
      <c r="DU54" s="454">
        <f>IF(OR('Parte Estrategica'!AN54=0,'Parte Estrategica'!AN54=""),0,IF(VLOOKUP($A54,'Matriz de Referencia'!$B$2:$CO$584,58,FALSE)=0,0,"Digite"))</f>
        <v>0</v>
      </c>
      <c r="DV54" s="454">
        <f>IF(OR('Parte Estrategica'!AN54=0,'Parte Estrategica'!AN54=""),0,IF(VLOOKUP($A54,'Matriz de Referencia'!$B$2:$CO$584,59,FALSE)=0,0,"Digite"))</f>
        <v>0</v>
      </c>
      <c r="DW54" s="454">
        <f>IF(OR('Parte Estrategica'!AN54=0,'Parte Estrategica'!AN54=""),0,IF(VLOOKUP($A54,'Matriz de Referencia'!$B$2:$CO$584,60,FALSE)=0,0,"Digite"))</f>
        <v>0</v>
      </c>
      <c r="DX54" s="382">
        <f t="shared" si="26"/>
        <v>0</v>
      </c>
      <c r="DY54" s="454">
        <f>IF(OR('Parte Estrategica'!AN54=0,'Parte Estrategica'!AN54=""),0,IF(VLOOKUP($A54,'Matriz de Referencia'!$B$2:$CO$584,62,FALSE)=0,0,"Digite"))</f>
        <v>0</v>
      </c>
      <c r="DZ54" s="454">
        <f>IF(OR('Parte Estrategica'!AN54=0,'Parte Estrategica'!AN54=""),0,IF(VLOOKUP($A54,'Matriz de Referencia'!$B$2:$CO$584,63,FALSE)=0,0,"Digite"))</f>
        <v>0</v>
      </c>
      <c r="EA54" s="454" t="str">
        <f>IF(OR('Parte Estrategica'!AN54=0,'Parte Estrategica'!AN54=""),"",IF(VLOOKUP($A54,'Matriz de Referencia'!$B$2:$CO$584,64,FALSE)=0,"","Digite"))</f>
        <v/>
      </c>
      <c r="EB54" s="382">
        <f t="shared" si="27"/>
        <v>0</v>
      </c>
      <c r="EC54" s="382">
        <f t="shared" si="28"/>
        <v>0</v>
      </c>
      <c r="ED54" s="453">
        <f>IF(OR('Parte Estrategica'!AO54=0,'Parte Estrategica'!AO54=""),0,IF(VLOOKUP($A54,'Matriz de Referencia'!$B$2:$CO$584,53,FALSE)=0,0,"Digite"))</f>
        <v>0</v>
      </c>
      <c r="EE54" s="454">
        <f>IF(OR('Parte Estrategica'!AO54=0,'Parte Estrategica'!AO54=""),0,IF(VLOOKUP($A54,'Matriz de Referencia'!$B$2:$CO$584,54,FALSE)=0,0,"Digite"))</f>
        <v>0</v>
      </c>
      <c r="EF54" s="454">
        <f>IF(OR('Parte Estrategica'!AO54=0,'Parte Estrategica'!AO54=""),0,IF(VLOOKUP($A54,'Matriz de Referencia'!$B$2:$CO$584,55,FALSE)=0,0,"Digite"))</f>
        <v>0</v>
      </c>
      <c r="EG54" s="454">
        <f>IF(OR('Parte Estrategica'!AO54=0,'Parte Estrategica'!AO54=""),0,IF(VLOOKUP($A54,'Matriz de Referencia'!$B$2:$CO$584,56,FALSE)=0,0,"Digite"))</f>
        <v>0</v>
      </c>
      <c r="EH54" s="454">
        <f>IF(OR('Parte Estrategica'!AO54=0,'Parte Estrategica'!AO54=""),0,IF(VLOOKUP($A54,'Matriz de Referencia'!$B$2:$CO$584,57,FALSE)=0,0,"Digite"))</f>
        <v>0</v>
      </c>
      <c r="EI54" s="454">
        <f>IF(OR('Parte Estrategica'!AO54=0,'Parte Estrategica'!AO54=""),0,IF(VLOOKUP($A54,'Matriz de Referencia'!$B$2:$CO$584,58,FALSE)=0,0,"Digite"))</f>
        <v>0</v>
      </c>
      <c r="EJ54" s="454">
        <f>IF(OR('Parte Estrategica'!AO54=0,'Parte Estrategica'!AO54=""),0,IF(VLOOKUP($A54,'Matriz de Referencia'!$B$2:$CO$584,59,FALSE)=0,0,"Digite"))</f>
        <v>0</v>
      </c>
      <c r="EK54" s="454">
        <f>IF(OR('Parte Estrategica'!AO54=0,'Parte Estrategica'!AO54=""),0,IF(VLOOKUP($A54,'Matriz de Referencia'!$B$2:$CO$584,60,FALSE)=0,0,"Digite"))</f>
        <v>0</v>
      </c>
      <c r="EL54" s="382">
        <f t="shared" si="29"/>
        <v>0</v>
      </c>
      <c r="EM54" s="454">
        <f>IF(OR('Parte Estrategica'!AO54=0,'Parte Estrategica'!AO54=""),0,IF(VLOOKUP($A54,'Matriz de Referencia'!$B$2:$CO$584,62,FALSE)=0,0,"Digite"))</f>
        <v>0</v>
      </c>
      <c r="EN54" s="454">
        <f>IF(OR('Parte Estrategica'!AO54=0,'Parte Estrategica'!AO54=""),0,IF(VLOOKUP($A54,'Matriz de Referencia'!$B$2:$CO$584,63,FALSE)=0,0,"Digite"))</f>
        <v>0</v>
      </c>
      <c r="EO54" s="454">
        <f>IF(OR('Parte Estrategica'!AO54=0,'Parte Estrategica'!AO54=""),0,IF(VLOOKUP($A54,'Matriz de Referencia'!$B$2:$CO$584,64,FALSE)=0,0,"Digite"))</f>
        <v>0</v>
      </c>
      <c r="EP54" s="382">
        <f t="shared" si="30"/>
        <v>0</v>
      </c>
      <c r="EQ54" s="382">
        <f t="shared" si="31"/>
        <v>0</v>
      </c>
      <c r="ER54" s="453">
        <f>IF(OR('Parte Estrategica'!AP54=0,'Parte Estrategica'!AP54=""),0,IF(VLOOKUP($A54,'Matriz de Referencia'!$B$2:$CO$584,53,FALSE)=0,0,"Digite"))</f>
        <v>0</v>
      </c>
      <c r="ES54" s="454">
        <f>IF(OR('Parte Estrategica'!AP54=0,'Parte Estrategica'!AP54=""),0,IF(VLOOKUP($A54,'Matriz de Referencia'!$B$2:$CO$584,54,FALSE)=0,0,"Digite"))</f>
        <v>0</v>
      </c>
      <c r="ET54" s="454">
        <f>IF(OR('Parte Estrategica'!AP54=0,'Parte Estrategica'!AP54=""),0,IF(VLOOKUP($A54,'Matriz de Referencia'!$B$2:$CO$584,55,FALSE)=0,0,"Digite"))</f>
        <v>0</v>
      </c>
      <c r="EU54" s="454">
        <f>IF(OR('Parte Estrategica'!AP54=0,'Parte Estrategica'!AP54=""),0,IF(VLOOKUP($A54,'Matriz de Referencia'!$B$2:$CO$584,56,FALSE)=0,0,"Digite"))</f>
        <v>0</v>
      </c>
      <c r="EV54" s="454">
        <f>IF(OR('Parte Estrategica'!AP54=0,'Parte Estrategica'!AP54=""),0,IF(VLOOKUP($A54,'Matriz de Referencia'!$B$2:$CO$584,57,FALSE)=0,0,"Digite"))</f>
        <v>0</v>
      </c>
      <c r="EW54" s="454">
        <f>IF(OR('Parte Estrategica'!AP54=0,'Parte Estrategica'!AP54=""),0,IF(VLOOKUP($A54,'Matriz de Referencia'!$B$2:$CO$584,58,FALSE)=0,0,"Digite"))</f>
        <v>0</v>
      </c>
      <c r="EX54" s="454">
        <f>IF(OR('Parte Estrategica'!AP54=0,'Parte Estrategica'!AP54=""),0,IF(VLOOKUP($A54,'Matriz de Referencia'!$B$2:$CO$584,59,FALSE)=0,0,"Digite"))</f>
        <v>0</v>
      </c>
      <c r="EY54" s="454">
        <f>IF(OR('Parte Estrategica'!AP54=0,'Parte Estrategica'!AP54=""),0,IF(VLOOKUP($A54,'Matriz de Referencia'!$B$2:$CO$584,60,FALSE)=0,0,"Digite"))</f>
        <v>0</v>
      </c>
      <c r="EZ54" s="382">
        <f t="shared" si="32"/>
        <v>0</v>
      </c>
      <c r="FA54" s="454">
        <f>IF(OR('Parte Estrategica'!AP54=0,'Parte Estrategica'!AP54=""),0,IF(VLOOKUP($A54,'Matriz de Referencia'!$B$2:$CO$584,62,FALSE)=0,0,"Digite"))</f>
        <v>0</v>
      </c>
      <c r="FB54" s="454">
        <f>IF(OR('Parte Estrategica'!AP54=0,'Parte Estrategica'!AP54=""),0,IF(VLOOKUP($A54,'Matriz de Referencia'!$B$2:$CO$584,63,FALSE)=0,0,"Digite"))</f>
        <v>0</v>
      </c>
      <c r="FC54" s="454">
        <f>IF(OR('Parte Estrategica'!AP54=0,'Parte Estrategica'!AP54=""),0,IF(VLOOKUP($A54,'Matriz de Referencia'!$B$2:$CO$584,64,FALSE)=0,0,"Digite"))</f>
        <v>0</v>
      </c>
      <c r="FD54" s="382">
        <f t="shared" si="33"/>
        <v>0</v>
      </c>
      <c r="FE54" s="382">
        <f t="shared" si="34"/>
        <v>0</v>
      </c>
      <c r="FF54" s="453">
        <f>IF(OR('Parte Estrategica'!AQ54=0,'Parte Estrategica'!AQ54=""),0,IF(VLOOKUP($A54,'Matriz de Referencia'!$B$2:$CO$584,53,FALSE)=0,0,"Digite"))</f>
        <v>0</v>
      </c>
      <c r="FG54" s="454">
        <f>IF(OR('Parte Estrategica'!AQ54=0,'Parte Estrategica'!AQ54=""),0,IF(VLOOKUP($A54,'Matriz de Referencia'!$B$2:$CO$584,54,FALSE)=0,0,"Digite"))</f>
        <v>0</v>
      </c>
      <c r="FH54" s="454">
        <f>IF(OR('Parte Estrategica'!AQ54=0,'Parte Estrategica'!AQ54=""),0,IF(VLOOKUP($A54,'Matriz de Referencia'!$B$2:$CO$584,55,FALSE)=0,0,"Digite"))</f>
        <v>0</v>
      </c>
      <c r="FI54" s="454">
        <f>IF(OR('Parte Estrategica'!AQ54=0,'Parte Estrategica'!AQ54=""),0,IF(VLOOKUP($A54,'Matriz de Referencia'!$B$2:$CO$584,56,FALSE)=0,0,"Digite"))</f>
        <v>0</v>
      </c>
      <c r="FJ54" s="454">
        <f>IF(OR('Parte Estrategica'!AQ54=0,'Parte Estrategica'!AQ54=""),0,IF(VLOOKUP($A54,'Matriz de Referencia'!$B$2:$CO$584,57,FALSE)=0,0,"Digite"))</f>
        <v>0</v>
      </c>
      <c r="FK54" s="454">
        <f>IF(OR('Parte Estrategica'!AQ54=0,'Parte Estrategica'!AQ54=""),0,IF(VLOOKUP($A54,'Matriz de Referencia'!$B$2:$CO$584,58,FALSE)=0,0,"Digite"))</f>
        <v>0</v>
      </c>
      <c r="FL54" s="454">
        <f>IF(OR('Parte Estrategica'!AQ54=0,'Parte Estrategica'!AQ54=""),0,IF(VLOOKUP($A54,'Matriz de Referencia'!$B$2:$CO$584,59,FALSE)=0,0,"Digite"))</f>
        <v>0</v>
      </c>
      <c r="FM54" s="454">
        <f>IF(OR('Parte Estrategica'!AQ54=0,'Parte Estrategica'!AQ54=""),0,IF(VLOOKUP($A54,'Matriz de Referencia'!$B$2:$CO$584,60,FALSE)=0,0,"Digite"))</f>
        <v>0</v>
      </c>
      <c r="FN54" s="382">
        <f t="shared" si="35"/>
        <v>0</v>
      </c>
      <c r="FO54" s="454">
        <f>IF(OR('Parte Estrategica'!AQ54=0,'Parte Estrategica'!AQ54=""),0,IF(VLOOKUP($A54,'Matriz de Referencia'!$B$2:$CO$584,62,FALSE)=0,0,"Digite"))</f>
        <v>0</v>
      </c>
      <c r="FP54" s="454">
        <f>IF(OR('Parte Estrategica'!AQ54=0,'Parte Estrategica'!AQ54=""),0,IF(VLOOKUP($A54,'Matriz de Referencia'!$B$2:$CO$584,63,FALSE)=0,0,"Digite"))</f>
        <v>0</v>
      </c>
      <c r="FQ54" s="454">
        <f>IF(OR('Parte Estrategica'!AQ54=0,'Parte Estrategica'!AQ54=""),0,IF(VLOOKUP($A54,'Matriz de Referencia'!$B$2:$CO$584,64,FALSE)=0,0,"Digite"))</f>
        <v>0</v>
      </c>
      <c r="FR54" s="382">
        <f t="shared" si="36"/>
        <v>0</v>
      </c>
      <c r="FS54" s="382">
        <f t="shared" si="37"/>
        <v>0</v>
      </c>
      <c r="FT54" s="382">
        <f t="shared" si="38"/>
        <v>0</v>
      </c>
      <c r="FU54" s="101" t="str">
        <f>IFERROR(IF(FT54=0,"",IF(VLOOKUP($A54,'Matriz de Referencia'!$B$2:$CO$584,66,FALSE)=FT54,"Techos ok, cotinue","Debe revisar el valor programado")),"")</f>
        <v/>
      </c>
      <c r="FV54" s="453">
        <f>IF(OR('Parte Estrategica'!AT54=0,'Parte Estrategica'!AT54=""),0,IF(VLOOKUP($A54,'Matriz de Referencia'!$B$2:$CO$584,67,FALSE)=0,0,"Digite"))</f>
        <v>0</v>
      </c>
      <c r="FW54" s="454">
        <f>IF(OR('Parte Estrategica'!AT54=0,'Parte Estrategica'!AT54=""),0,IF(VLOOKUP($A54,'Matriz de Referencia'!$B$2:$CO$584,68,FALSE)=0,0,"Digite"))</f>
        <v>0</v>
      </c>
      <c r="FX54" s="454">
        <f>IF(OR('Parte Estrategica'!AT54=0,'Parte Estrategica'!AT54=""),0,IF(VLOOKUP($A54,'Matriz de Referencia'!$B$2:$CO$584,69,FALSE)=0,0,"Digite"))</f>
        <v>0</v>
      </c>
      <c r="FY54" s="454">
        <f>IF(OR('Parte Estrategica'!AT54=0,'Parte Estrategica'!AT54=""),0,IF(VLOOKUP($A54,'Matriz de Referencia'!$B$2:$CO$584,70,FALSE)=0,0,"Digite"))</f>
        <v>0</v>
      </c>
      <c r="FZ54" s="454">
        <f>IF(OR('Parte Estrategica'!AT54=0,'Parte Estrategica'!AT54=""),0,IF(VLOOKUP($A54,'Matriz de Referencia'!$B$2:$CO$584,71,FALSE)=0,0,"Digite"))</f>
        <v>0</v>
      </c>
      <c r="GA54" s="454">
        <f>IF(OR('Parte Estrategica'!AT54=0,'Parte Estrategica'!AT54=""),0,IF(VLOOKUP($A54,'Matriz de Referencia'!$B$2:$CO$584,72,FALSE)=0,0,"Digite"))</f>
        <v>0</v>
      </c>
      <c r="GB54" s="454">
        <f>IF(OR('Parte Estrategica'!AT54=0,'Parte Estrategica'!AT54=""),0,IF(VLOOKUP($A54,'Matriz de Referencia'!$B$2:$CO$584,73,FALSE)=0,0,"Digite"))</f>
        <v>0</v>
      </c>
      <c r="GC54" s="454">
        <f>IF(OR('Parte Estrategica'!AT54=0,'Parte Estrategica'!AT54=""),0,IF(VLOOKUP($A54,'Matriz de Referencia'!$B$2:$CO$584,74,FALSE)=0,0,"Digite"))</f>
        <v>0</v>
      </c>
      <c r="GD54" s="382">
        <f t="shared" si="39"/>
        <v>0</v>
      </c>
      <c r="GE54" s="454">
        <f>IF(OR('Parte Estrategica'!AT54=0,'Parte Estrategica'!AT54=""),0,IF(VLOOKUP($A54,'Matriz de Referencia'!$B$2:$CO$584,76,FALSE)=0,0,"Digite"))</f>
        <v>0</v>
      </c>
      <c r="GF54" s="454">
        <f>IF(OR('Parte Estrategica'!AT54=0,'Parte Estrategica'!AT54=""),0,IF(VLOOKUP($A54,'Matriz de Referencia'!$B$2:$CO$584,77,FALSE)=0,0,"Digite"))</f>
        <v>0</v>
      </c>
      <c r="GG54" s="454">
        <f>IF(OR('Parte Estrategica'!AT54=0,'Parte Estrategica'!AT54=""),0,IF(VLOOKUP($A54,'Matriz de Referencia'!$B$2:$CO$584,78,FALSE)=0,0,"Digite"))</f>
        <v>0</v>
      </c>
      <c r="GH54" s="382">
        <f t="shared" si="40"/>
        <v>0</v>
      </c>
      <c r="GI54" s="382">
        <f t="shared" si="41"/>
        <v>0</v>
      </c>
      <c r="GJ54" s="453">
        <f>IF(OR('Parte Estrategica'!AU54=0,'Parte Estrategica'!AU54=""),0,IF(VLOOKUP($A54,'Matriz de Referencia'!$B$2:$CO$584,67,FALSE)=0,0,"Digite"))</f>
        <v>0</v>
      </c>
      <c r="GK54" s="454">
        <f>IF(OR('Parte Estrategica'!AU54=0,'Parte Estrategica'!AU54=""),0,IF(VLOOKUP($A54,'Matriz de Referencia'!$B$2:$CO$584,68,FALSE)=0,0,"Digite"))</f>
        <v>0</v>
      </c>
      <c r="GL54" s="454">
        <f>IF(OR('Parte Estrategica'!AU54=0,'Parte Estrategica'!AU54=""),0,IF(VLOOKUP($A54,'Matriz de Referencia'!$B$2:$CO$584,69,FALSE)=0,0,"Digite"))</f>
        <v>0</v>
      </c>
      <c r="GM54" s="454">
        <f>IF(OR('Parte Estrategica'!AU54=0,'Parte Estrategica'!AU54=""),0,IF(VLOOKUP($A54,'Matriz de Referencia'!$B$2:$CO$584,70,FALSE)=0,0,"Digite"))</f>
        <v>0</v>
      </c>
      <c r="GN54" s="454">
        <f>IF(OR('Parte Estrategica'!AU54=0,'Parte Estrategica'!AU54=""),0,IF(VLOOKUP($A54,'Matriz de Referencia'!$B$2:$CO$584,71,FALSE)=0,0,"Digite"))</f>
        <v>0</v>
      </c>
      <c r="GO54" s="454">
        <f>IF(OR('Parte Estrategica'!AU54=0,'Parte Estrategica'!AU54=""),0,IF(VLOOKUP($A54,'Matriz de Referencia'!$B$2:$CO$584,72,FALSE)=0,0,"Digite"))</f>
        <v>0</v>
      </c>
      <c r="GP54" s="454">
        <f>IF(OR('Parte Estrategica'!AU54=0,'Parte Estrategica'!AU54=""),0,IF(VLOOKUP($A54,'Matriz de Referencia'!$B$2:$CO$584,73,FALSE)=0,0,"Digite"))</f>
        <v>0</v>
      </c>
      <c r="GQ54" s="454">
        <f>IF(OR('Parte Estrategica'!AU54=0,'Parte Estrategica'!AU54=""),0,IF(VLOOKUP($A54,'Matriz de Referencia'!$B$2:$CO$584,74,FALSE)=0,0,"Digite"))</f>
        <v>0</v>
      </c>
      <c r="GR54" s="382">
        <f t="shared" si="42"/>
        <v>0</v>
      </c>
      <c r="GS54" s="454">
        <f>IF(OR('Parte Estrategica'!AU54=0,'Parte Estrategica'!AU54=""),0,IF(VLOOKUP($A54,'Matriz de Referencia'!$B$2:$CO$584,76,FALSE)=0,0,"Digite"))</f>
        <v>0</v>
      </c>
      <c r="GT54" s="454">
        <f>IF(OR('Parte Estrategica'!AU54=0,'Parte Estrategica'!AU54=""),0,IF(VLOOKUP($A54,'Matriz de Referencia'!$B$2:$CO$584,77,FALSE)=0,0,"Digite"))</f>
        <v>0</v>
      </c>
      <c r="GU54" s="454">
        <f>IF(OR('Parte Estrategica'!AU54=0,'Parte Estrategica'!AU54=""),0,IF(VLOOKUP($A54,'Matriz de Referencia'!$B$2:$CO$584,78,FALSE)=0,0,"Digite"))</f>
        <v>0</v>
      </c>
      <c r="GV54" s="382">
        <f t="shared" si="43"/>
        <v>0</v>
      </c>
      <c r="GW54" s="382">
        <f t="shared" si="44"/>
        <v>0</v>
      </c>
      <c r="GX54" s="453">
        <f>IF(OR('Parte Estrategica'!AV54=0,'Parte Estrategica'!AV54=""),0,IF(VLOOKUP($A54,'Matriz de Referencia'!$B$2:$CO$584,67,FALSE)=0,0,"Digite"))</f>
        <v>0</v>
      </c>
      <c r="GY54" s="454">
        <f>IF(OR('Parte Estrategica'!AV54=0,'Parte Estrategica'!AV54=""),0,IF(VLOOKUP($A54,'Matriz de Referencia'!$B$2:$CO$584,68,FALSE)=0,0,"Digite"))</f>
        <v>0</v>
      </c>
      <c r="GZ54" s="454">
        <f>IF(OR('Parte Estrategica'!AV54=0,'Parte Estrategica'!AV54=""),0,IF(VLOOKUP($A54,'Matriz de Referencia'!$B$2:$CO$584,69,FALSE)=0,0,"Digite"))</f>
        <v>0</v>
      </c>
      <c r="HA54" s="454">
        <f>IF(OR('Parte Estrategica'!AV54=0,'Parte Estrategica'!AV54=""),0,IF(VLOOKUP($A54,'Matriz de Referencia'!$B$2:$CO$584,70,FALSE)=0,0,"Digite"))</f>
        <v>0</v>
      </c>
      <c r="HB54" s="454">
        <f>IF(OR('Parte Estrategica'!AV54=0,'Parte Estrategica'!AV54=""),0,IF(VLOOKUP($A54,'Matriz de Referencia'!$B$2:$CO$584,71,FALSE)=0,0,"Digite"))</f>
        <v>0</v>
      </c>
      <c r="HC54" s="454">
        <f>IF(OR('Parte Estrategica'!AV54=0,'Parte Estrategica'!AV54=""),0,IF(VLOOKUP($A54,'Matriz de Referencia'!$B$2:$CO$584,72,FALSE)=0,0,"Digite"))</f>
        <v>0</v>
      </c>
      <c r="HD54" s="454">
        <f>IF(OR('Parte Estrategica'!AV54=0,'Parte Estrategica'!AV54=""),0,IF(VLOOKUP($A54,'Matriz de Referencia'!$B$2:$CO$584,73,FALSE)=0,0,"Digite"))</f>
        <v>0</v>
      </c>
      <c r="HE54" s="454">
        <f>IF(OR('Parte Estrategica'!AV54=0,'Parte Estrategica'!AV54=""),0,IF(VLOOKUP($A54,'Matriz de Referencia'!$B$2:$CO$584,74,FALSE)=0,0,"Digite"))</f>
        <v>0</v>
      </c>
      <c r="HF54" s="382">
        <f t="shared" si="45"/>
        <v>0</v>
      </c>
      <c r="HG54" s="454">
        <f>IF(OR('Parte Estrategica'!AV54=0,'Parte Estrategica'!AV54=""),0,IF(VLOOKUP($A54,'Matriz de Referencia'!$B$2:$CO$584,76,FALSE)=0,0,"Digite"))</f>
        <v>0</v>
      </c>
      <c r="HH54" s="454">
        <f>IF(OR('Parte Estrategica'!AV54=0,'Parte Estrategica'!AV54=""),0,IF(VLOOKUP($A54,'Matriz de Referencia'!$B$2:$CO$584,77,FALSE)=0,0,"Digite"))</f>
        <v>0</v>
      </c>
      <c r="HI54" s="454">
        <f>IF(OR('Parte Estrategica'!AV54=0,'Parte Estrategica'!AV54=""),0,IF(VLOOKUP($A54,'Matriz de Referencia'!$B$2:$CO$584,78,FALSE)=0,0,"Digite"))</f>
        <v>0</v>
      </c>
      <c r="HJ54" s="382">
        <f t="shared" si="46"/>
        <v>0</v>
      </c>
      <c r="HK54" s="382">
        <f t="shared" si="47"/>
        <v>0</v>
      </c>
      <c r="HL54" s="453">
        <f>IF(OR('Parte Estrategica'!AW54=0,'Parte Estrategica'!AW54=""),0,IF(VLOOKUP($A54,'Matriz de Referencia'!$B$2:$CO$584,67,FALSE)=0,0,"Digite"))</f>
        <v>0</v>
      </c>
      <c r="HM54" s="454">
        <f>IF(OR('Parte Estrategica'!AW54=0,'Parte Estrategica'!AW54=""),0,IF(VLOOKUP($A54,'Matriz de Referencia'!$B$2:$CO$584,68,FALSE)=0,0,"Digite"))</f>
        <v>0</v>
      </c>
      <c r="HN54" s="454">
        <f>IF(OR('Parte Estrategica'!AW54=0,'Parte Estrategica'!AW54=""),0,IF(VLOOKUP($A54,'Matriz de Referencia'!$B$2:$CO$584,69,FALSE)=0,0,"Digite"))</f>
        <v>0</v>
      </c>
      <c r="HO54" s="454">
        <f>IF(OR('Parte Estrategica'!AW54=0,'Parte Estrategica'!AW54=""),0,IF(VLOOKUP($A54,'Matriz de Referencia'!$B$2:$CO$584,70,FALSE)=0,0,"Digite"))</f>
        <v>0</v>
      </c>
      <c r="HP54" s="454">
        <f>IF(OR('Parte Estrategica'!AW54=0,'Parte Estrategica'!AW54=""),0,IF(VLOOKUP($A54,'Matriz de Referencia'!$B$2:$CO$584,71,FALSE)=0,0,"Digite"))</f>
        <v>0</v>
      </c>
      <c r="HQ54" s="454">
        <f>IF(OR('Parte Estrategica'!AW54=0,'Parte Estrategica'!AW54=""),0,IF(VLOOKUP($A54,'Matriz de Referencia'!$B$2:$CO$584,72,FALSE)=0,0,"Digite"))</f>
        <v>0</v>
      </c>
      <c r="HR54" s="454">
        <f>IF(OR('Parte Estrategica'!AW54=0,'Parte Estrategica'!AW54=""),0,IF(VLOOKUP($A54,'Matriz de Referencia'!$B$2:$CO$584,73,FALSE)=0,0,"Digite"))</f>
        <v>0</v>
      </c>
      <c r="HS54" s="454">
        <f>IF(OR('Parte Estrategica'!AW54=0,'Parte Estrategica'!AW54=""),0,IF(VLOOKUP($A54,'Matriz de Referencia'!$B$2:$CO$584,74,FALSE)=0,0,"Digite"))</f>
        <v>0</v>
      </c>
      <c r="HT54" s="382">
        <f t="shared" si="48"/>
        <v>0</v>
      </c>
      <c r="HU54" s="454">
        <f>IF(OR('Parte Estrategica'!AW54=0,'Parte Estrategica'!AW54=""),0,IF(VLOOKUP($A54,'Matriz de Referencia'!$B$2:$CO$584,76,FALSE)=0,0,"Digite"))</f>
        <v>0</v>
      </c>
      <c r="HV54" s="454">
        <f>IF(OR('Parte Estrategica'!AW54=0,'Parte Estrategica'!AW54=""),0,IF(VLOOKUP($A54,'Matriz de Referencia'!$B$2:$CO$584,77,FALSE)=0,0,"Digite"))</f>
        <v>0</v>
      </c>
      <c r="HW54" s="454">
        <f>IF(OR('Parte Estrategica'!AW54=0,'Parte Estrategica'!AW54=""),0,IF(VLOOKUP($A54,'Matriz de Referencia'!$B$2:$CO$584,78,FALSE)=0,0,"Digite"))</f>
        <v>0</v>
      </c>
      <c r="HX54" s="382">
        <f t="shared" si="49"/>
        <v>0</v>
      </c>
      <c r="HY54" s="382">
        <f t="shared" si="50"/>
        <v>0</v>
      </c>
      <c r="HZ54" s="382">
        <f t="shared" si="51"/>
        <v>0</v>
      </c>
      <c r="IA54" s="101" t="str">
        <f>IFERROR(IF(HZ54=0,"",IF(VLOOKUP($A54,'Matriz de Referencia'!$B$2:$CO$584,80,FALSE)=HZ54,"Techos ok, cotinue","Debe revisar el valor programado")),"")</f>
        <v/>
      </c>
      <c r="IB54" s="383">
        <f t="shared" si="52"/>
        <v>0</v>
      </c>
    </row>
    <row r="55" spans="1:236">
      <c r="A55" s="550" t="str">
        <f>IF('Parte Estrategica'!B55=0,"",'Parte Estrategica'!B55)</f>
        <v/>
      </c>
      <c r="B55" s="551" t="str">
        <f>IFERROR(VLOOKUP(A55,'Matriz de Referencia'!$B$2:$P$578,'Matriz de Referencia'!L$1,FALSE),"")</f>
        <v/>
      </c>
      <c r="C55" s="551" t="str">
        <f>IFERROR(VLOOKUP(A55,'Matriz de Referencia'!$B$2:$P$584,'Matriz de Referencia'!M$1,FALSE),"")</f>
        <v/>
      </c>
      <c r="D55" s="455" t="str">
        <f>IF(OR('Parte Estrategica'!AB55=0,'Parte Estrategica'!AB55=""),"",IF(VLOOKUP($A55,'Matriz de Referencia'!$B$2:$CO$584,'Matriz de Referencia'!Z$1,FALSE)=0,"","Digite"))</f>
        <v/>
      </c>
      <c r="E55" s="456">
        <f>IF(OR('Parte Estrategica'!AB55=0,'Parte Estrategica'!AB55=""),0,IF(VLOOKUP($A55,'Matriz de Referencia'!$B$2:$CO$584,26,FALSE)=0,0,"Digite"))</f>
        <v>0</v>
      </c>
      <c r="F55" s="456">
        <f>IF(OR('Parte Estrategica'!AB55=0,'Parte Estrategica'!AB55=""),0,IF(VLOOKUP($A55,'Matriz de Referencia'!$B$2:$CO$584,27,FALSE)=0,0,"Digite"))</f>
        <v>0</v>
      </c>
      <c r="G55" s="456">
        <f>IF(OR('Parte Estrategica'!AB55=0,'Parte Estrategica'!AB55=""),0,IF(VLOOKUP($A55,'Matriz de Referencia'!$B$2:$CO$584,28,FALSE)=0,0,"Digite"))</f>
        <v>0</v>
      </c>
      <c r="H55" s="456">
        <f>IF(OR('Parte Estrategica'!AB55=0,'Parte Estrategica'!AB55=""),0,IF(VLOOKUP($A55,'Matriz de Referencia'!$B$2:$CO$584,29,FALSE)=0,0,"Digite"))</f>
        <v>0</v>
      </c>
      <c r="I55" s="456">
        <f>IF(OR('Parte Estrategica'!AB55=0,'Parte Estrategica'!AB55=""),0,IF(VLOOKUP($A55,'Matriz de Referencia'!$B$2:$CO$584,30,FALSE)=0,0,"Digite"))</f>
        <v>0</v>
      </c>
      <c r="J55" s="456">
        <f>IF(OR('Parte Estrategica'!AB55=0,'Parte Estrategica'!AB55=""),0,IF(VLOOKUP($A55,'Matriz de Referencia'!$B$2:$CO$584,31,FALSE)=0,0,"Digite"))</f>
        <v>0</v>
      </c>
      <c r="K55" s="456">
        <f>IF(OR('Parte Estrategica'!AB55=0,'Parte Estrategica'!AB55=""),0,IF(VLOOKUP($A55,'Matriz de Referencia'!$B$2:$CO$584,32,FALSE)=0,0,"Digite"))</f>
        <v>0</v>
      </c>
      <c r="L55" s="460">
        <f t="shared" si="0"/>
        <v>0</v>
      </c>
      <c r="M55" s="456">
        <f>IF(OR('Parte Estrategica'!AB55=0,'Parte Estrategica'!AB55=""),0,IF(VLOOKUP($A55,'Matriz de Referencia'!$B$2:$CO$584,34,FALSE)=0,0,"Digite"))</f>
        <v>0</v>
      </c>
      <c r="N55" s="456">
        <f>IF(OR('Parte Estrategica'!AB55=0,'Parte Estrategica'!AB55=""),0,IF(VLOOKUP($A55,'Matriz de Referencia'!$B$2:$CO$584,35,FALSE)=0,0,"Digite"))</f>
        <v>0</v>
      </c>
      <c r="O55" s="456">
        <f>IF(OR('Parte Estrategica'!AB55=0,'Parte Estrategica'!AB55=""),0,IF(VLOOKUP($A55,'Matriz de Referencia'!$B$2:$CO$584,36,FALSE)=0,0,"Digite"))</f>
        <v>0</v>
      </c>
      <c r="P55" s="457">
        <f t="shared" si="1"/>
        <v>0</v>
      </c>
      <c r="Q55" s="457">
        <f t="shared" si="2"/>
        <v>0</v>
      </c>
      <c r="R55" s="455">
        <f>IF(OR('Parte Estrategica'!AC55=0,'Parte Estrategica'!AC55=""),0,IF(VLOOKUP($A55,'Matriz de Referencia'!$B$2:$CO$584,25,FALSE)=0,0,"Digite"))</f>
        <v>0</v>
      </c>
      <c r="S55" s="456">
        <f>IF(OR('Parte Estrategica'!AC55=0,'Parte Estrategica'!AC55=""),0,IF(VLOOKUP($A55,'Matriz de Referencia'!$B$2:$CO$584,26,FALSE)=0,0,"Digite"))</f>
        <v>0</v>
      </c>
      <c r="T55" s="456">
        <f>IF(OR('Parte Estrategica'!AC55=0,'Parte Estrategica'!AC55=""),0,IF(VLOOKUP($A55,'Matriz de Referencia'!$B$2:$CO$584,27,FALSE)=0,0,"Digite"))</f>
        <v>0</v>
      </c>
      <c r="U55" s="456">
        <f>IF(OR('Parte Estrategica'!AC55=0,'Parte Estrategica'!AC55=""),0,IF(VLOOKUP($A55,'Matriz de Referencia'!$B$2:$CO$584,28,FALSE)=0,0,"Digite"))</f>
        <v>0</v>
      </c>
      <c r="V55" s="456">
        <f>IF(OR('Parte Estrategica'!AC55=0,'Parte Estrategica'!AC55=""),0,IF(VLOOKUP($A55,'Matriz de Referencia'!$B$2:$CO$584,29,FALSE)=0,0,"Digite"))</f>
        <v>0</v>
      </c>
      <c r="W55" s="456">
        <f>IF(OR('Parte Estrategica'!AC55=0,'Parte Estrategica'!AC55=""),0,IF(VLOOKUP($A55,'Matriz de Referencia'!$B$2:$CO$584,30,FALSE)=0,0,"Digite"))</f>
        <v>0</v>
      </c>
      <c r="X55" s="456">
        <f>IF(OR('Parte Estrategica'!AC55=0,'Parte Estrategica'!AC55=""),0,IF(VLOOKUP($A55,'Matriz de Referencia'!$B$2:$CO$584,31,FALSE)=0,0,"Digite"))</f>
        <v>0</v>
      </c>
      <c r="Y55" s="456">
        <f>IF(OR('Parte Estrategica'!AC55=0,'Parte Estrategica'!AC55=""),0,IF(VLOOKUP($A55,'Matriz de Referencia'!$B$2:$CO$584,32,FALSE)=0,0,"Digite"))</f>
        <v>0</v>
      </c>
      <c r="Z55" s="457">
        <f t="shared" si="3"/>
        <v>0</v>
      </c>
      <c r="AA55" s="456">
        <f>IF(OR('Parte Estrategica'!AC55=0,'Parte Estrategica'!AC55=""),0,IF(VLOOKUP($A55,'Matriz de Referencia'!$B$2:$CO$584,34,FALSE)=0,0,"Digite"))</f>
        <v>0</v>
      </c>
      <c r="AB55" s="456">
        <f>IF(OR('Parte Estrategica'!AC55=0,'Parte Estrategica'!AC55=""),0,IF(VLOOKUP($A55,'Matriz de Referencia'!$B$2:$CO$584,35,FALSE)=0,0,"Digite"))</f>
        <v>0</v>
      </c>
      <c r="AC55" s="456">
        <f>IF(OR('Parte Estrategica'!AC55=0,'Parte Estrategica'!AC55=""),0,IF(VLOOKUP($A55,'Matriz de Referencia'!$B$2:$CO$584,36,FALSE)=0,0,"Digite"))</f>
        <v>0</v>
      </c>
      <c r="AD55" s="457">
        <f t="shared" si="4"/>
        <v>0</v>
      </c>
      <c r="AE55" s="457">
        <f t="shared" si="5"/>
        <v>0</v>
      </c>
      <c r="AF55" s="455">
        <f>IF(OR('Parte Estrategica'!AD55=0,'Parte Estrategica'!AD55=""),0,IF(VLOOKUP($A55,'Matriz de Referencia'!$B$2:$CO$584,25,FALSE)=0,0,"Digite"))</f>
        <v>0</v>
      </c>
      <c r="AG55" s="456">
        <f>IF(OR('Parte Estrategica'!AD55=0,'Parte Estrategica'!AD55=""),0,IF(VLOOKUP($A55,'Matriz de Referencia'!$B$2:$CO$584,26,FALSE)=0,0,"Digite"))</f>
        <v>0</v>
      </c>
      <c r="AH55" s="456">
        <f>IF(OR('Parte Estrategica'!AD55=0,'Parte Estrategica'!AD55=""),0,IF(VLOOKUP($A55,'Matriz de Referencia'!$B$2:$CO$584,27,FALSE)=0,0,"Digite"))</f>
        <v>0</v>
      </c>
      <c r="AI55" s="456">
        <f>IF(OR('Parte Estrategica'!AD55=0,'Parte Estrategica'!AD55=""),0,IF(VLOOKUP($A55,'Matriz de Referencia'!$B$2:$CO$584,28,FALSE)=0,0,"Digite"))</f>
        <v>0</v>
      </c>
      <c r="AJ55" s="456">
        <f>IF(OR('Parte Estrategica'!AD55=0,'Parte Estrategica'!AD55=""),0,IF(VLOOKUP($A55,'Matriz de Referencia'!$B$2:$CO$584,29,FALSE)=0,0,"Digite"))</f>
        <v>0</v>
      </c>
      <c r="AK55" s="456">
        <f>IF(OR('Parte Estrategica'!AD55=0,'Parte Estrategica'!AD55=""),0,IF(VLOOKUP($A55,'Matriz de Referencia'!$B$2:$CO$584,30,FALSE)=0,0,"Digite"))</f>
        <v>0</v>
      </c>
      <c r="AL55" s="456">
        <f>IF(OR('Parte Estrategica'!AD55=0,'Parte Estrategica'!AD55=""),0,IF(VLOOKUP($A55,'Matriz de Referencia'!$B$2:$CO$584,31,FALSE)=0,0,"Digite"))</f>
        <v>0</v>
      </c>
      <c r="AM55" s="456">
        <f>IF(OR('Parte Estrategica'!AD55=0,'Parte Estrategica'!AD55=""),0,IF(VLOOKUP($A55,'Matriz de Referencia'!$B$2:$CO$584,32,FALSE)=0,0,"Digite"))</f>
        <v>0</v>
      </c>
      <c r="AN55" s="457">
        <f t="shared" si="6"/>
        <v>0</v>
      </c>
      <c r="AO55" s="456">
        <f>IF(OR('Parte Estrategica'!AD55=0,'Parte Estrategica'!AD55=""),0,IF(VLOOKUP($A55,'Matriz de Referencia'!$B$2:$CO$584,34,FALSE)=0,0,"Digite"))</f>
        <v>0</v>
      </c>
      <c r="AP55" s="456">
        <f>IF(OR('Parte Estrategica'!AD55=0,'Parte Estrategica'!AD55=""),0,IF(VLOOKUP($A55,'Matriz de Referencia'!$B$2:$CO$584,35,FALSE)=0,0,"Digite"))</f>
        <v>0</v>
      </c>
      <c r="AQ55" s="456">
        <f>IF(OR('Parte Estrategica'!AD55=0,'Parte Estrategica'!AD55=""),0,IF(VLOOKUP($A55,'Matriz de Referencia'!$B$2:$CO$584,36,FALSE)=0,0,"Digite"))</f>
        <v>0</v>
      </c>
      <c r="AR55" s="457">
        <f t="shared" si="7"/>
        <v>0</v>
      </c>
      <c r="AS55" s="457">
        <f t="shared" si="8"/>
        <v>0</v>
      </c>
      <c r="AT55" s="455">
        <f>IF(OR('Parte Estrategica'!AE55=0,'Parte Estrategica'!AE55=""),0,IF(VLOOKUP($A55,'Matriz de Referencia'!$B$2:$CO$584,25,FALSE)=0,0,"Digite"))</f>
        <v>0</v>
      </c>
      <c r="AU55" s="456">
        <f>IF(OR('Parte Estrategica'!AE55=0,'Parte Estrategica'!AE55=""),0,IF(VLOOKUP($A55,'Matriz de Referencia'!$B$2:$CO$584,26,FALSE)=0,0,"Digite"))</f>
        <v>0</v>
      </c>
      <c r="AV55" s="456">
        <f>IF(OR('Parte Estrategica'!AE55=0,'Parte Estrategica'!AE55=""),0,IF(VLOOKUP($A55,'Matriz de Referencia'!$B$2:$CO$584,27,FALSE)=0,0,"Digite"))</f>
        <v>0</v>
      </c>
      <c r="AW55" s="456">
        <f>IF(OR('Parte Estrategica'!AE55=0,'Parte Estrategica'!AE55=""),0,IF(VLOOKUP($A55,'Matriz de Referencia'!$B$2:$CO$584,28,FALSE)=0,0,"Digite"))</f>
        <v>0</v>
      </c>
      <c r="AX55" s="456">
        <f>IF(OR('Parte Estrategica'!AE55=0,'Parte Estrategica'!AE55=""),0,IF(VLOOKUP($A55,'Matriz de Referencia'!$B$2:$CO$584,29,FALSE)=0,0,"Digite"))</f>
        <v>0</v>
      </c>
      <c r="AY55" s="456">
        <f>IF(OR('Parte Estrategica'!AE55=0,'Parte Estrategica'!AE55=""),0,IF(VLOOKUP($A55,'Matriz de Referencia'!$B$2:$CO$584,30,FALSE)=0,0,"Digite"))</f>
        <v>0</v>
      </c>
      <c r="AZ55" s="456">
        <f>IF(OR('Parte Estrategica'!AE55=0,'Parte Estrategica'!AE55=""),0,IF(VLOOKUP($A55,'Matriz de Referencia'!$B$2:$CO$584,31,FALSE)=0,0,"Digite"))</f>
        <v>0</v>
      </c>
      <c r="BA55" s="456">
        <f>IF(OR('Parte Estrategica'!AE55=0,'Parte Estrategica'!AE55=""),0,IF(VLOOKUP($A55,'Matriz de Referencia'!$B$2:$CO$584,32,FALSE)=0,0,"Digite"))</f>
        <v>0</v>
      </c>
      <c r="BB55" s="457">
        <f t="shared" si="9"/>
        <v>0</v>
      </c>
      <c r="BC55" s="456">
        <f>IF(OR('Parte Estrategica'!AE55=0,'Parte Estrategica'!AE55=""),0,IF(VLOOKUP($A55,'Matriz de Referencia'!$B$2:$CO$584,34,FALSE)=0,0,"Digite"))</f>
        <v>0</v>
      </c>
      <c r="BD55" s="456">
        <f>IF(OR('Parte Estrategica'!AE55=0,'Parte Estrategica'!AE55=""),0,IF(VLOOKUP($A55,'Matriz de Referencia'!$B$2:$CO$584,35,FALSE)=0,0,"Digite"))</f>
        <v>0</v>
      </c>
      <c r="BE55" s="456">
        <f>IF(OR('Parte Estrategica'!AE55=0,'Parte Estrategica'!AE55=""),0,IF(VLOOKUP($A55,'Matriz de Referencia'!$B$2:$CO$584,36,FALSE)=0,0,"Digite"))</f>
        <v>0</v>
      </c>
      <c r="BF55" s="457">
        <f t="shared" si="10"/>
        <v>0</v>
      </c>
      <c r="BG55" s="457">
        <f t="shared" si="11"/>
        <v>0</v>
      </c>
      <c r="BH55" s="457">
        <f t="shared" si="12"/>
        <v>0</v>
      </c>
      <c r="BI55" s="101" t="str">
        <f>IFERROR(IF(BH55=0,"",IF(VLOOKUP($A55,'Matriz de Referencia'!$B$2:$CO$584,'Matriz de Referencia'!AM$1,FALSE)=BH55,"Techos ok, cotinue","Debe revisar el valor programado")),"")</f>
        <v/>
      </c>
      <c r="BJ55" s="453">
        <f>IF(OR('Parte Estrategica'!AH55=0,'Parte Estrategica'!AH55=""),0,IF(VLOOKUP($A55,'Matriz de Referencia'!$B$2:$CO$584,39,FALSE)=0,0,"Digite"))</f>
        <v>0</v>
      </c>
      <c r="BK55" s="454">
        <f>IF(OR('Parte Estrategica'!AH55=0,'Parte Estrategica'!AH55=""),0,IF(VLOOKUP($A55,'Matriz de Referencia'!$B$2:$CO$584,40,FALSE)=0,0,"Digite"))</f>
        <v>0</v>
      </c>
      <c r="BL55" s="454">
        <f>IF(OR('Parte Estrategica'!AH55=0,'Parte Estrategica'!AH55=""),0,IF(VLOOKUP($A55,'Matriz de Referencia'!$B$2:$CO$584,41,FALSE)=0,0,"Digite"))</f>
        <v>0</v>
      </c>
      <c r="BM55" s="454">
        <f>IF(OR('Parte Estrategica'!AH55=0,'Parte Estrategica'!AH55=""),0,IF(VLOOKUP($A55,'Matriz de Referencia'!$B$2:$CO$584,42,FALSE)=0,0,"Digite"))</f>
        <v>0</v>
      </c>
      <c r="BN55" s="454">
        <f>IF(OR('Parte Estrategica'!AH55=0,'Parte Estrategica'!AH55=""),0,IF(VLOOKUP($A55,'Matriz de Referencia'!$B$2:$CO$584,43,FALSE)=0,0,"Digite"))</f>
        <v>0</v>
      </c>
      <c r="BO55" s="454">
        <f>IF(OR('Parte Estrategica'!AH55=0,'Parte Estrategica'!AH55=""),0,IF(VLOOKUP($A55,'Matriz de Referencia'!$B$2:$CO$584,44,FALSE)=0,0,"Digite"))</f>
        <v>0</v>
      </c>
      <c r="BP55" s="454">
        <f>IF(OR('Parte Estrategica'!AH55=0,'Parte Estrategica'!AH55=""),0,IF(VLOOKUP($A55,'Matriz de Referencia'!$B$2:$CO$584,45,FALSE)=0,0,"Digite"))</f>
        <v>0</v>
      </c>
      <c r="BQ55" s="454">
        <f>IF(OR('Parte Estrategica'!AH55=0,'Parte Estrategica'!AH55=""),0,IF(VLOOKUP($A55,'Matriz de Referencia'!$B$2:$CO$584,46,FALSE)=0,0,"Digite"))</f>
        <v>0</v>
      </c>
      <c r="BR55" s="382">
        <f t="shared" si="13"/>
        <v>0</v>
      </c>
      <c r="BS55" s="454">
        <f>IF(OR('Parte Estrategica'!CL55=0,'Parte Estrategica'!CL55=""),0,IF(VLOOKUP($A55,'Matriz de Referencia'!$B$2:$CO$584,48,FALSE)=0,0,"Digite"))</f>
        <v>0</v>
      </c>
      <c r="BT55" s="454">
        <f>IF(OR('Parte Estrategica'!CL55=0,'Parte Estrategica'!CL55=""),0,IF(VLOOKUP($A55,'Matriz de Referencia'!$B$2:$CO$584,49,FALSE)=0,0,"Digite"))</f>
        <v>0</v>
      </c>
      <c r="BU55" s="454">
        <f>IF(OR('Parte Estrategica'!CL55=0,'Parte Estrategica'!CL55=""),0,IF(VLOOKUP($A55,'Matriz de Referencia'!$B$2:$CO$584,50,FALSE)=0,0,"Digite"))</f>
        <v>0</v>
      </c>
      <c r="BV55" s="382">
        <f t="shared" si="14"/>
        <v>0</v>
      </c>
      <c r="BW55" s="382">
        <f t="shared" si="15"/>
        <v>0</v>
      </c>
      <c r="BX55" s="453">
        <f>IF(OR('Parte Estrategica'!AI55=0,'Parte Estrategica'!AI55=""),0,IF(VLOOKUP($A55,'Matriz de Referencia'!$B$2:$CO$584,39,FALSE)=0,0,"Digite"))</f>
        <v>0</v>
      </c>
      <c r="BY55" s="454">
        <f>IF(OR('Parte Estrategica'!AI55=0,'Parte Estrategica'!AI55=""),0,IF(VLOOKUP($A55,'Matriz de Referencia'!$B$2:$CO$584,40,FALSE)=0,0,"Digite"))</f>
        <v>0</v>
      </c>
      <c r="BZ55" s="454">
        <f>IF(OR('Parte Estrategica'!AI55=0,'Parte Estrategica'!AI55=""),0,IF(VLOOKUP($A55,'Matriz de Referencia'!$B$2:$CO$584,41,FALSE)=0,0,"Digite"))</f>
        <v>0</v>
      </c>
      <c r="CA55" s="454">
        <f>IF(OR('Parte Estrategica'!AI55=0,'Parte Estrategica'!AI55=""),0,IF(VLOOKUP($A55,'Matriz de Referencia'!$B$2:$CO$584,42,FALSE)=0,0,"Digite"))</f>
        <v>0</v>
      </c>
      <c r="CB55" s="454">
        <f>IF(OR('Parte Estrategica'!AI55=0,'Parte Estrategica'!AI55=""),0,IF(VLOOKUP($A55,'Matriz de Referencia'!$B$2:$CO$584,43,FALSE)=0,0,"Digite"))</f>
        <v>0</v>
      </c>
      <c r="CC55" s="454">
        <f>IF(OR('Parte Estrategica'!AI55=0,'Parte Estrategica'!AI55=""),0,IF(VLOOKUP($A55,'Matriz de Referencia'!$B$2:$CO$584,44,FALSE)=0,0,"Digite"))</f>
        <v>0</v>
      </c>
      <c r="CD55" s="454">
        <f>IF(OR('Parte Estrategica'!AI55=0,'Parte Estrategica'!AI55=""),0,IF(VLOOKUP($A55,'Matriz de Referencia'!$B$2:$CO$584,45,FALSE)=0,0,"Digite"))</f>
        <v>0</v>
      </c>
      <c r="CE55" s="454">
        <f>IF(OR('Parte Estrategica'!AI55=0,'Parte Estrategica'!AI55=""),0,IF(VLOOKUP($A55,'Matriz de Referencia'!$B$2:$CO$584,46,FALSE)=0,0,"Digite"))</f>
        <v>0</v>
      </c>
      <c r="CF55" s="382">
        <f t="shared" si="16"/>
        <v>0</v>
      </c>
      <c r="CG55" s="454">
        <f>IF(OR('Parte Estrategica'!AI55=0,'Parte Estrategica'!AI55=""),0,IF(VLOOKUP($A55,'Matriz de Referencia'!$B$2:$CO$584,48,FALSE)=0,0,"Digite"))</f>
        <v>0</v>
      </c>
      <c r="CH55" s="454">
        <f>IF(OR('Parte Estrategica'!AI55=0,'Parte Estrategica'!AI55=""),0,IF(VLOOKUP($A55,'Matriz de Referencia'!$B$2:$CO$584,49,FALSE)=0,0,"Digite"))</f>
        <v>0</v>
      </c>
      <c r="CI55" s="454">
        <f>IF(OR('Parte Estrategica'!AI55=0,'Parte Estrategica'!AI55=""),0,IF(VLOOKUP($A55,'Matriz de Referencia'!$B$2:$CO$584,50,FALSE)=0,0,"Digite"))</f>
        <v>0</v>
      </c>
      <c r="CJ55" s="382">
        <f t="shared" si="17"/>
        <v>0</v>
      </c>
      <c r="CK55" s="382">
        <f t="shared" si="18"/>
        <v>0</v>
      </c>
      <c r="CL55" s="453">
        <f>IF(OR('Parte Estrategica'!AJ55=0,'Parte Estrategica'!AJ55=""),0,IF(VLOOKUP($A55,'Matriz de Referencia'!$B$2:$CO$584,39,FALSE)=0,0,"Digite"))</f>
        <v>0</v>
      </c>
      <c r="CM55" s="454">
        <f>IF(OR('Parte Estrategica'!AJ55=0,'Parte Estrategica'!AJ55=""),0,IF(VLOOKUP($A55,'Matriz de Referencia'!$B$2:$CO$584,40,FALSE)=0,0,"Digite"))</f>
        <v>0</v>
      </c>
      <c r="CN55" s="454">
        <f>IF(OR('Parte Estrategica'!AJ55=0,'Parte Estrategica'!AJ55=""),0,IF(VLOOKUP($A55,'Matriz de Referencia'!$B$2:$CO$584,41,FALSE)=0,0,"Digite"))</f>
        <v>0</v>
      </c>
      <c r="CO55" s="454">
        <f>IF(OR('Parte Estrategica'!AJ55=0,'Parte Estrategica'!AJ55=""),0,IF(VLOOKUP($A55,'Matriz de Referencia'!$B$2:$CO$584,42,FALSE)=0,0,"Digite"))</f>
        <v>0</v>
      </c>
      <c r="CP55" s="454">
        <f>IF(OR('Parte Estrategica'!AJ55=0,'Parte Estrategica'!AJ55=""),0,IF(VLOOKUP($A55,'Matriz de Referencia'!$B$2:$CO$584,43,FALSE)=0,0,"Digite"))</f>
        <v>0</v>
      </c>
      <c r="CQ55" s="454">
        <f>IF(OR('Parte Estrategica'!AJ55=0,'Parte Estrategica'!AJ55=""),0,IF(VLOOKUP($A55,'Matriz de Referencia'!$B$2:$CO$584,44,FALSE)=0,0,"Digite"))</f>
        <v>0</v>
      </c>
      <c r="CR55" s="454">
        <f>IF(OR('Parte Estrategica'!AJ55=0,'Parte Estrategica'!AJ55=""),0,IF(VLOOKUP($A55,'Matriz de Referencia'!$B$2:$CO$584,45,FALSE)=0,0,"Digite"))</f>
        <v>0</v>
      </c>
      <c r="CS55" s="454">
        <f>IF(OR('Parte Estrategica'!AJ55=0,'Parte Estrategica'!AJ55=""),0,IF(VLOOKUP($A55,'Matriz de Referencia'!$B$2:$CO$584,46,FALSE)=0,0,"Digite"))</f>
        <v>0</v>
      </c>
      <c r="CT55" s="382">
        <f t="shared" si="19"/>
        <v>0</v>
      </c>
      <c r="CU55" s="454">
        <f>IF(OR('Parte Estrategica'!AJ55=0,'Parte Estrategica'!AJ55=""),0,IF(VLOOKUP($A55,'Matriz de Referencia'!$B$2:$CO$584,48,FALSE)=0,0,"Digite"))</f>
        <v>0</v>
      </c>
      <c r="CV55" s="454">
        <f>IF(OR('Parte Estrategica'!AJ55=0,'Parte Estrategica'!AJ55=""),0,IF(VLOOKUP($A55,'Matriz de Referencia'!$B$2:$CO$584,49,FALSE)=0,0,"Digite"))</f>
        <v>0</v>
      </c>
      <c r="CW55" s="454">
        <f>IF(OR('Parte Estrategica'!AJ55=0,'Parte Estrategica'!AJ55=""),0,IF(VLOOKUP($A55,'Matriz de Referencia'!$B$2:$CO$584,50,FALSE)=0,0,"Digite"))</f>
        <v>0</v>
      </c>
      <c r="CX55" s="382">
        <f t="shared" si="20"/>
        <v>0</v>
      </c>
      <c r="CY55" s="382">
        <f t="shared" si="21"/>
        <v>0</v>
      </c>
      <c r="CZ55" s="453">
        <f>IF(OR('Parte Estrategica'!AK55=0,'Parte Estrategica'!AK55=""),0,IF(VLOOKUP($A55,'Matriz de Referencia'!$B$2:$CO$584,39,FALSE)=0,0,"Digite"))</f>
        <v>0</v>
      </c>
      <c r="DA55" s="454">
        <f>IF(OR('Parte Estrategica'!AK55=0,'Parte Estrategica'!AK55=""),0,IF(VLOOKUP($A55,'Matriz de Referencia'!$B$2:$CO$584,40,FALSE)=0,0,"Digite"))</f>
        <v>0</v>
      </c>
      <c r="DB55" s="454">
        <f>IF(OR('Parte Estrategica'!AK55=0,'Parte Estrategica'!AK55=""),0,IF(VLOOKUP($A55,'Matriz de Referencia'!$B$2:$CO$584,41,FALSE)=0,0,"Digite"))</f>
        <v>0</v>
      </c>
      <c r="DC55" s="454">
        <f>IF(OR('Parte Estrategica'!AK55=0,'Parte Estrategica'!AK55=""),0,IF(VLOOKUP($A55,'Matriz de Referencia'!$B$2:$CO$584,42,FALSE)=0,0,"Digite"))</f>
        <v>0</v>
      </c>
      <c r="DD55" s="454">
        <f>IF(OR('Parte Estrategica'!AK55=0,'Parte Estrategica'!AK55=""),0,IF(VLOOKUP($A55,'Matriz de Referencia'!$B$2:$CO$584,43,FALSE)=0,0,"Digite"))</f>
        <v>0</v>
      </c>
      <c r="DE55" s="454">
        <f>IF(OR('Parte Estrategica'!AK55=0,'Parte Estrategica'!AK55=""),0,IF(VLOOKUP($A55,'Matriz de Referencia'!$B$2:$CO$584,44,FALSE)=0,0,"Digite"))</f>
        <v>0</v>
      </c>
      <c r="DF55" s="454">
        <f>IF(OR('Parte Estrategica'!AK55=0,'Parte Estrategica'!AK55=""),0,IF(VLOOKUP($A55,'Matriz de Referencia'!$B$2:$CO$584,45,FALSE)=0,0,"Digite"))</f>
        <v>0</v>
      </c>
      <c r="DG55" s="454">
        <f>IF(OR('Parte Estrategica'!AK55=0,'Parte Estrategica'!AK55=""),0,IF(VLOOKUP($A55,'Matriz de Referencia'!$B$2:$CO$584,46,FALSE)=0,0,"Digite"))</f>
        <v>0</v>
      </c>
      <c r="DH55" s="382">
        <f t="shared" si="22"/>
        <v>0</v>
      </c>
      <c r="DI55" s="454">
        <f>IF(OR('Parte Estrategica'!AK55=0,'Parte Estrategica'!AK55=""),0,IF(VLOOKUP($A55,'Matriz de Referencia'!$B$2:$CO$584,48,FALSE)=0,0,"Digite"))</f>
        <v>0</v>
      </c>
      <c r="DJ55" s="454">
        <f>IF(OR('Parte Estrategica'!AK55=0,'Parte Estrategica'!AK55=""),0,IF(VLOOKUP($A55,'Matriz de Referencia'!$B$2:$CO$584,49,FALSE)=0,0,"Digite"))</f>
        <v>0</v>
      </c>
      <c r="DK55" s="454">
        <f>IF(OR('Parte Estrategica'!AK55=0,'Parte Estrategica'!AK55=""),0,IF(VLOOKUP($A55,'Matriz de Referencia'!$B$2:$CO$584,50,FALSE)=0,0,"Digite"))</f>
        <v>0</v>
      </c>
      <c r="DL55" s="382">
        <f t="shared" si="23"/>
        <v>0</v>
      </c>
      <c r="DM55" s="382">
        <f t="shared" si="24"/>
        <v>0</v>
      </c>
      <c r="DN55" s="382">
        <f t="shared" si="25"/>
        <v>0</v>
      </c>
      <c r="DO55" s="101" t="str">
        <f>IFERROR(IF(DN55=0,"",IF(VLOOKUP($A55,'Matriz de Referencia'!$B$2:$CO$584,52,FALSE)=DN55,"Techos ok, cotinue","Debe revisar el valor programado")),"")</f>
        <v/>
      </c>
      <c r="DP55" s="453">
        <f>IF(OR('Parte Estrategica'!AN55=0,'Parte Estrategica'!AN55=""),0,IF(VLOOKUP($A55,'Matriz de Referencia'!$B$2:$CO$584,53,FALSE)=0,0,"Digite"))</f>
        <v>0</v>
      </c>
      <c r="DQ55" s="454">
        <f>IF(OR('Parte Estrategica'!AN55=0,'Parte Estrategica'!AN55=""),0,IF(VLOOKUP($A55,'Matriz de Referencia'!$B$2:$CO$584,54,FALSE)=0,0,"Digite"))</f>
        <v>0</v>
      </c>
      <c r="DR55" s="454">
        <f>IF(OR('Parte Estrategica'!AN55=0,'Parte Estrategica'!AN55=""),0,IF(VLOOKUP($A55,'Matriz de Referencia'!$B$2:$CO$584,55,FALSE)=0,0,"Digite"))</f>
        <v>0</v>
      </c>
      <c r="DS55" s="454">
        <f>IF(OR('Parte Estrategica'!AN55=0,'Parte Estrategica'!AN55=""),0,IF(VLOOKUP($A55,'Matriz de Referencia'!$B$2:$CO$584,56,FALSE)=0,0,"Digite"))</f>
        <v>0</v>
      </c>
      <c r="DT55" s="454">
        <f>IF(OR('Parte Estrategica'!AN55=0,'Parte Estrategica'!AN55=""),0,IF(VLOOKUP($A55,'Matriz de Referencia'!$B$2:$CO$584,57,FALSE)=0,0,"Digite"))</f>
        <v>0</v>
      </c>
      <c r="DU55" s="454">
        <f>IF(OR('Parte Estrategica'!AN55=0,'Parte Estrategica'!AN55=""),0,IF(VLOOKUP($A55,'Matriz de Referencia'!$B$2:$CO$584,58,FALSE)=0,0,"Digite"))</f>
        <v>0</v>
      </c>
      <c r="DV55" s="454">
        <f>IF(OR('Parte Estrategica'!AN55=0,'Parte Estrategica'!AN55=""),0,IF(VLOOKUP($A55,'Matriz de Referencia'!$B$2:$CO$584,59,FALSE)=0,0,"Digite"))</f>
        <v>0</v>
      </c>
      <c r="DW55" s="454">
        <f>IF(OR('Parte Estrategica'!AN55=0,'Parte Estrategica'!AN55=""),0,IF(VLOOKUP($A55,'Matriz de Referencia'!$B$2:$CO$584,60,FALSE)=0,0,"Digite"))</f>
        <v>0</v>
      </c>
      <c r="DX55" s="382">
        <f t="shared" si="26"/>
        <v>0</v>
      </c>
      <c r="DY55" s="454">
        <f>IF(OR('Parte Estrategica'!AN55=0,'Parte Estrategica'!AN55=""),0,IF(VLOOKUP($A55,'Matriz de Referencia'!$B$2:$CO$584,62,FALSE)=0,0,"Digite"))</f>
        <v>0</v>
      </c>
      <c r="DZ55" s="454">
        <f>IF(OR('Parte Estrategica'!AN55=0,'Parte Estrategica'!AN55=""),0,IF(VLOOKUP($A55,'Matriz de Referencia'!$B$2:$CO$584,63,FALSE)=0,0,"Digite"))</f>
        <v>0</v>
      </c>
      <c r="EA55" s="454" t="str">
        <f>IF(OR('Parte Estrategica'!AN55=0,'Parte Estrategica'!AN55=""),"",IF(VLOOKUP($A55,'Matriz de Referencia'!$B$2:$CO$584,64,FALSE)=0,"","Digite"))</f>
        <v/>
      </c>
      <c r="EB55" s="382">
        <f t="shared" si="27"/>
        <v>0</v>
      </c>
      <c r="EC55" s="382">
        <f t="shared" si="28"/>
        <v>0</v>
      </c>
      <c r="ED55" s="453">
        <f>IF(OR('Parte Estrategica'!AO55=0,'Parte Estrategica'!AO55=""),0,IF(VLOOKUP($A55,'Matriz de Referencia'!$B$2:$CO$584,53,FALSE)=0,0,"Digite"))</f>
        <v>0</v>
      </c>
      <c r="EE55" s="454">
        <f>IF(OR('Parte Estrategica'!AO55=0,'Parte Estrategica'!AO55=""),0,IF(VLOOKUP($A55,'Matriz de Referencia'!$B$2:$CO$584,54,FALSE)=0,0,"Digite"))</f>
        <v>0</v>
      </c>
      <c r="EF55" s="454">
        <f>IF(OR('Parte Estrategica'!AO55=0,'Parte Estrategica'!AO55=""),0,IF(VLOOKUP($A55,'Matriz de Referencia'!$B$2:$CO$584,55,FALSE)=0,0,"Digite"))</f>
        <v>0</v>
      </c>
      <c r="EG55" s="454">
        <f>IF(OR('Parte Estrategica'!AO55=0,'Parte Estrategica'!AO55=""),0,IF(VLOOKUP($A55,'Matriz de Referencia'!$B$2:$CO$584,56,FALSE)=0,0,"Digite"))</f>
        <v>0</v>
      </c>
      <c r="EH55" s="454">
        <f>IF(OR('Parte Estrategica'!AO55=0,'Parte Estrategica'!AO55=""),0,IF(VLOOKUP($A55,'Matriz de Referencia'!$B$2:$CO$584,57,FALSE)=0,0,"Digite"))</f>
        <v>0</v>
      </c>
      <c r="EI55" s="454">
        <f>IF(OR('Parte Estrategica'!AO55=0,'Parte Estrategica'!AO55=""),0,IF(VLOOKUP($A55,'Matriz de Referencia'!$B$2:$CO$584,58,FALSE)=0,0,"Digite"))</f>
        <v>0</v>
      </c>
      <c r="EJ55" s="454">
        <f>IF(OR('Parte Estrategica'!AO55=0,'Parte Estrategica'!AO55=""),0,IF(VLOOKUP($A55,'Matriz de Referencia'!$B$2:$CO$584,59,FALSE)=0,0,"Digite"))</f>
        <v>0</v>
      </c>
      <c r="EK55" s="454">
        <f>IF(OR('Parte Estrategica'!AO55=0,'Parte Estrategica'!AO55=""),0,IF(VLOOKUP($A55,'Matriz de Referencia'!$B$2:$CO$584,60,FALSE)=0,0,"Digite"))</f>
        <v>0</v>
      </c>
      <c r="EL55" s="382">
        <f t="shared" si="29"/>
        <v>0</v>
      </c>
      <c r="EM55" s="454">
        <f>IF(OR('Parte Estrategica'!AO55=0,'Parte Estrategica'!AO55=""),0,IF(VLOOKUP($A55,'Matriz de Referencia'!$B$2:$CO$584,62,FALSE)=0,0,"Digite"))</f>
        <v>0</v>
      </c>
      <c r="EN55" s="454">
        <f>IF(OR('Parte Estrategica'!AO55=0,'Parte Estrategica'!AO55=""),0,IF(VLOOKUP($A55,'Matriz de Referencia'!$B$2:$CO$584,63,FALSE)=0,0,"Digite"))</f>
        <v>0</v>
      </c>
      <c r="EO55" s="454">
        <f>IF(OR('Parte Estrategica'!AO55=0,'Parte Estrategica'!AO55=""),0,IF(VLOOKUP($A55,'Matriz de Referencia'!$B$2:$CO$584,64,FALSE)=0,0,"Digite"))</f>
        <v>0</v>
      </c>
      <c r="EP55" s="382">
        <f t="shared" si="30"/>
        <v>0</v>
      </c>
      <c r="EQ55" s="382">
        <f t="shared" si="31"/>
        <v>0</v>
      </c>
      <c r="ER55" s="453">
        <f>IF(OR('Parte Estrategica'!AP55=0,'Parte Estrategica'!AP55=""),0,IF(VLOOKUP($A55,'Matriz de Referencia'!$B$2:$CO$584,53,FALSE)=0,0,"Digite"))</f>
        <v>0</v>
      </c>
      <c r="ES55" s="454">
        <f>IF(OR('Parte Estrategica'!AP55=0,'Parte Estrategica'!AP55=""),0,IF(VLOOKUP($A55,'Matriz de Referencia'!$B$2:$CO$584,54,FALSE)=0,0,"Digite"))</f>
        <v>0</v>
      </c>
      <c r="ET55" s="454">
        <f>IF(OR('Parte Estrategica'!AP55=0,'Parte Estrategica'!AP55=""),0,IF(VLOOKUP($A55,'Matriz de Referencia'!$B$2:$CO$584,55,FALSE)=0,0,"Digite"))</f>
        <v>0</v>
      </c>
      <c r="EU55" s="454">
        <f>IF(OR('Parte Estrategica'!AP55=0,'Parte Estrategica'!AP55=""),0,IF(VLOOKUP($A55,'Matriz de Referencia'!$B$2:$CO$584,56,FALSE)=0,0,"Digite"))</f>
        <v>0</v>
      </c>
      <c r="EV55" s="454">
        <f>IF(OR('Parte Estrategica'!AP55=0,'Parte Estrategica'!AP55=""),0,IF(VLOOKUP($A55,'Matriz de Referencia'!$B$2:$CO$584,57,FALSE)=0,0,"Digite"))</f>
        <v>0</v>
      </c>
      <c r="EW55" s="454">
        <f>IF(OR('Parte Estrategica'!AP55=0,'Parte Estrategica'!AP55=""),0,IF(VLOOKUP($A55,'Matriz de Referencia'!$B$2:$CO$584,58,FALSE)=0,0,"Digite"))</f>
        <v>0</v>
      </c>
      <c r="EX55" s="454">
        <f>IF(OR('Parte Estrategica'!AP55=0,'Parte Estrategica'!AP55=""),0,IF(VLOOKUP($A55,'Matriz de Referencia'!$B$2:$CO$584,59,FALSE)=0,0,"Digite"))</f>
        <v>0</v>
      </c>
      <c r="EY55" s="454">
        <f>IF(OR('Parte Estrategica'!AP55=0,'Parte Estrategica'!AP55=""),0,IF(VLOOKUP($A55,'Matriz de Referencia'!$B$2:$CO$584,60,FALSE)=0,0,"Digite"))</f>
        <v>0</v>
      </c>
      <c r="EZ55" s="382">
        <f t="shared" si="32"/>
        <v>0</v>
      </c>
      <c r="FA55" s="454">
        <f>IF(OR('Parte Estrategica'!AP55=0,'Parte Estrategica'!AP55=""),0,IF(VLOOKUP($A55,'Matriz de Referencia'!$B$2:$CO$584,62,FALSE)=0,0,"Digite"))</f>
        <v>0</v>
      </c>
      <c r="FB55" s="454">
        <f>IF(OR('Parte Estrategica'!AP55=0,'Parte Estrategica'!AP55=""),0,IF(VLOOKUP($A55,'Matriz de Referencia'!$B$2:$CO$584,63,FALSE)=0,0,"Digite"))</f>
        <v>0</v>
      </c>
      <c r="FC55" s="454">
        <f>IF(OR('Parte Estrategica'!AP55=0,'Parte Estrategica'!AP55=""),0,IF(VLOOKUP($A55,'Matriz de Referencia'!$B$2:$CO$584,64,FALSE)=0,0,"Digite"))</f>
        <v>0</v>
      </c>
      <c r="FD55" s="382">
        <f t="shared" si="33"/>
        <v>0</v>
      </c>
      <c r="FE55" s="382">
        <f t="shared" si="34"/>
        <v>0</v>
      </c>
      <c r="FF55" s="453">
        <f>IF(OR('Parte Estrategica'!AQ55=0,'Parte Estrategica'!AQ55=""),0,IF(VLOOKUP($A55,'Matriz de Referencia'!$B$2:$CO$584,53,FALSE)=0,0,"Digite"))</f>
        <v>0</v>
      </c>
      <c r="FG55" s="454">
        <f>IF(OR('Parte Estrategica'!AQ55=0,'Parte Estrategica'!AQ55=""),0,IF(VLOOKUP($A55,'Matriz de Referencia'!$B$2:$CO$584,54,FALSE)=0,0,"Digite"))</f>
        <v>0</v>
      </c>
      <c r="FH55" s="454">
        <f>IF(OR('Parte Estrategica'!AQ55=0,'Parte Estrategica'!AQ55=""),0,IF(VLOOKUP($A55,'Matriz de Referencia'!$B$2:$CO$584,55,FALSE)=0,0,"Digite"))</f>
        <v>0</v>
      </c>
      <c r="FI55" s="454">
        <f>IF(OR('Parte Estrategica'!AQ55=0,'Parte Estrategica'!AQ55=""),0,IF(VLOOKUP($A55,'Matriz de Referencia'!$B$2:$CO$584,56,FALSE)=0,0,"Digite"))</f>
        <v>0</v>
      </c>
      <c r="FJ55" s="454">
        <f>IF(OR('Parte Estrategica'!AQ55=0,'Parte Estrategica'!AQ55=""),0,IF(VLOOKUP($A55,'Matriz de Referencia'!$B$2:$CO$584,57,FALSE)=0,0,"Digite"))</f>
        <v>0</v>
      </c>
      <c r="FK55" s="454">
        <f>IF(OR('Parte Estrategica'!AQ55=0,'Parte Estrategica'!AQ55=""),0,IF(VLOOKUP($A55,'Matriz de Referencia'!$B$2:$CO$584,58,FALSE)=0,0,"Digite"))</f>
        <v>0</v>
      </c>
      <c r="FL55" s="454">
        <f>IF(OR('Parte Estrategica'!AQ55=0,'Parte Estrategica'!AQ55=""),0,IF(VLOOKUP($A55,'Matriz de Referencia'!$B$2:$CO$584,59,FALSE)=0,0,"Digite"))</f>
        <v>0</v>
      </c>
      <c r="FM55" s="454">
        <f>IF(OR('Parte Estrategica'!AQ55=0,'Parte Estrategica'!AQ55=""),0,IF(VLOOKUP($A55,'Matriz de Referencia'!$B$2:$CO$584,60,FALSE)=0,0,"Digite"))</f>
        <v>0</v>
      </c>
      <c r="FN55" s="382">
        <f t="shared" si="35"/>
        <v>0</v>
      </c>
      <c r="FO55" s="454">
        <f>IF(OR('Parte Estrategica'!AQ55=0,'Parte Estrategica'!AQ55=""),0,IF(VLOOKUP($A55,'Matriz de Referencia'!$B$2:$CO$584,62,FALSE)=0,0,"Digite"))</f>
        <v>0</v>
      </c>
      <c r="FP55" s="454">
        <f>IF(OR('Parte Estrategica'!AQ55=0,'Parte Estrategica'!AQ55=""),0,IF(VLOOKUP($A55,'Matriz de Referencia'!$B$2:$CO$584,63,FALSE)=0,0,"Digite"))</f>
        <v>0</v>
      </c>
      <c r="FQ55" s="454">
        <f>IF(OR('Parte Estrategica'!AQ55=0,'Parte Estrategica'!AQ55=""),0,IF(VLOOKUP($A55,'Matriz de Referencia'!$B$2:$CO$584,64,FALSE)=0,0,"Digite"))</f>
        <v>0</v>
      </c>
      <c r="FR55" s="382">
        <f t="shared" si="36"/>
        <v>0</v>
      </c>
      <c r="FS55" s="382">
        <f t="shared" si="37"/>
        <v>0</v>
      </c>
      <c r="FT55" s="382">
        <f t="shared" si="38"/>
        <v>0</v>
      </c>
      <c r="FU55" s="101" t="str">
        <f>IFERROR(IF(FT55=0,"",IF(VLOOKUP($A55,'Matriz de Referencia'!$B$2:$CO$584,66,FALSE)=FT55,"Techos ok, cotinue","Debe revisar el valor programado")),"")</f>
        <v/>
      </c>
      <c r="FV55" s="453">
        <f>IF(OR('Parte Estrategica'!AT55=0,'Parte Estrategica'!AT55=""),0,IF(VLOOKUP($A55,'Matriz de Referencia'!$B$2:$CO$584,67,FALSE)=0,0,"Digite"))</f>
        <v>0</v>
      </c>
      <c r="FW55" s="454">
        <f>IF(OR('Parte Estrategica'!AT55=0,'Parte Estrategica'!AT55=""),0,IF(VLOOKUP($A55,'Matriz de Referencia'!$B$2:$CO$584,68,FALSE)=0,0,"Digite"))</f>
        <v>0</v>
      </c>
      <c r="FX55" s="454">
        <f>IF(OR('Parte Estrategica'!AT55=0,'Parte Estrategica'!AT55=""),0,IF(VLOOKUP($A55,'Matriz de Referencia'!$B$2:$CO$584,69,FALSE)=0,0,"Digite"))</f>
        <v>0</v>
      </c>
      <c r="FY55" s="454">
        <f>IF(OR('Parte Estrategica'!AT55=0,'Parte Estrategica'!AT55=""),0,IF(VLOOKUP($A55,'Matriz de Referencia'!$B$2:$CO$584,70,FALSE)=0,0,"Digite"))</f>
        <v>0</v>
      </c>
      <c r="FZ55" s="454">
        <f>IF(OR('Parte Estrategica'!AT55=0,'Parte Estrategica'!AT55=""),0,IF(VLOOKUP($A55,'Matriz de Referencia'!$B$2:$CO$584,71,FALSE)=0,0,"Digite"))</f>
        <v>0</v>
      </c>
      <c r="GA55" s="454">
        <f>IF(OR('Parte Estrategica'!AT55=0,'Parte Estrategica'!AT55=""),0,IF(VLOOKUP($A55,'Matriz de Referencia'!$B$2:$CO$584,72,FALSE)=0,0,"Digite"))</f>
        <v>0</v>
      </c>
      <c r="GB55" s="454">
        <f>IF(OR('Parte Estrategica'!AT55=0,'Parte Estrategica'!AT55=""),0,IF(VLOOKUP($A55,'Matriz de Referencia'!$B$2:$CO$584,73,FALSE)=0,0,"Digite"))</f>
        <v>0</v>
      </c>
      <c r="GC55" s="454">
        <f>IF(OR('Parte Estrategica'!AT55=0,'Parte Estrategica'!AT55=""),0,IF(VLOOKUP($A55,'Matriz de Referencia'!$B$2:$CO$584,74,FALSE)=0,0,"Digite"))</f>
        <v>0</v>
      </c>
      <c r="GD55" s="382">
        <f t="shared" si="39"/>
        <v>0</v>
      </c>
      <c r="GE55" s="454">
        <f>IF(OR('Parte Estrategica'!AT55=0,'Parte Estrategica'!AT55=""),0,IF(VLOOKUP($A55,'Matriz de Referencia'!$B$2:$CO$584,76,FALSE)=0,0,"Digite"))</f>
        <v>0</v>
      </c>
      <c r="GF55" s="454">
        <f>IF(OR('Parte Estrategica'!AT55=0,'Parte Estrategica'!AT55=""),0,IF(VLOOKUP($A55,'Matriz de Referencia'!$B$2:$CO$584,77,FALSE)=0,0,"Digite"))</f>
        <v>0</v>
      </c>
      <c r="GG55" s="454">
        <f>IF(OR('Parte Estrategica'!AT55=0,'Parte Estrategica'!AT55=""),0,IF(VLOOKUP($A55,'Matriz de Referencia'!$B$2:$CO$584,78,FALSE)=0,0,"Digite"))</f>
        <v>0</v>
      </c>
      <c r="GH55" s="382">
        <f t="shared" si="40"/>
        <v>0</v>
      </c>
      <c r="GI55" s="382">
        <f t="shared" si="41"/>
        <v>0</v>
      </c>
      <c r="GJ55" s="453">
        <f>IF(OR('Parte Estrategica'!AU55=0,'Parte Estrategica'!AU55=""),0,IF(VLOOKUP($A55,'Matriz de Referencia'!$B$2:$CO$584,67,FALSE)=0,0,"Digite"))</f>
        <v>0</v>
      </c>
      <c r="GK55" s="454">
        <f>IF(OR('Parte Estrategica'!AU55=0,'Parte Estrategica'!AU55=""),0,IF(VLOOKUP($A55,'Matriz de Referencia'!$B$2:$CO$584,68,FALSE)=0,0,"Digite"))</f>
        <v>0</v>
      </c>
      <c r="GL55" s="454">
        <f>IF(OR('Parte Estrategica'!AU55=0,'Parte Estrategica'!AU55=""),0,IF(VLOOKUP($A55,'Matriz de Referencia'!$B$2:$CO$584,69,FALSE)=0,0,"Digite"))</f>
        <v>0</v>
      </c>
      <c r="GM55" s="454">
        <f>IF(OR('Parte Estrategica'!AU55=0,'Parte Estrategica'!AU55=""),0,IF(VLOOKUP($A55,'Matriz de Referencia'!$B$2:$CO$584,70,FALSE)=0,0,"Digite"))</f>
        <v>0</v>
      </c>
      <c r="GN55" s="454">
        <f>IF(OR('Parte Estrategica'!AU55=0,'Parte Estrategica'!AU55=""),0,IF(VLOOKUP($A55,'Matriz de Referencia'!$B$2:$CO$584,71,FALSE)=0,0,"Digite"))</f>
        <v>0</v>
      </c>
      <c r="GO55" s="454">
        <f>IF(OR('Parte Estrategica'!AU55=0,'Parte Estrategica'!AU55=""),0,IF(VLOOKUP($A55,'Matriz de Referencia'!$B$2:$CO$584,72,FALSE)=0,0,"Digite"))</f>
        <v>0</v>
      </c>
      <c r="GP55" s="454">
        <f>IF(OR('Parte Estrategica'!AU55=0,'Parte Estrategica'!AU55=""),0,IF(VLOOKUP($A55,'Matriz de Referencia'!$B$2:$CO$584,73,FALSE)=0,0,"Digite"))</f>
        <v>0</v>
      </c>
      <c r="GQ55" s="454">
        <f>IF(OR('Parte Estrategica'!AU55=0,'Parte Estrategica'!AU55=""),0,IF(VLOOKUP($A55,'Matriz de Referencia'!$B$2:$CO$584,74,FALSE)=0,0,"Digite"))</f>
        <v>0</v>
      </c>
      <c r="GR55" s="382">
        <f t="shared" si="42"/>
        <v>0</v>
      </c>
      <c r="GS55" s="454">
        <f>IF(OR('Parte Estrategica'!AU55=0,'Parte Estrategica'!AU55=""),0,IF(VLOOKUP($A55,'Matriz de Referencia'!$B$2:$CO$584,76,FALSE)=0,0,"Digite"))</f>
        <v>0</v>
      </c>
      <c r="GT55" s="454">
        <f>IF(OR('Parte Estrategica'!AU55=0,'Parte Estrategica'!AU55=""),0,IF(VLOOKUP($A55,'Matriz de Referencia'!$B$2:$CO$584,77,FALSE)=0,0,"Digite"))</f>
        <v>0</v>
      </c>
      <c r="GU55" s="454">
        <f>IF(OR('Parte Estrategica'!AU55=0,'Parte Estrategica'!AU55=""),0,IF(VLOOKUP($A55,'Matriz de Referencia'!$B$2:$CO$584,78,FALSE)=0,0,"Digite"))</f>
        <v>0</v>
      </c>
      <c r="GV55" s="382">
        <f t="shared" si="43"/>
        <v>0</v>
      </c>
      <c r="GW55" s="382">
        <f t="shared" si="44"/>
        <v>0</v>
      </c>
      <c r="GX55" s="453">
        <f>IF(OR('Parte Estrategica'!AV55=0,'Parte Estrategica'!AV55=""),0,IF(VLOOKUP($A55,'Matriz de Referencia'!$B$2:$CO$584,67,FALSE)=0,0,"Digite"))</f>
        <v>0</v>
      </c>
      <c r="GY55" s="454">
        <f>IF(OR('Parte Estrategica'!AV55=0,'Parte Estrategica'!AV55=""),0,IF(VLOOKUP($A55,'Matriz de Referencia'!$B$2:$CO$584,68,FALSE)=0,0,"Digite"))</f>
        <v>0</v>
      </c>
      <c r="GZ55" s="454">
        <f>IF(OR('Parte Estrategica'!AV55=0,'Parte Estrategica'!AV55=""),0,IF(VLOOKUP($A55,'Matriz de Referencia'!$B$2:$CO$584,69,FALSE)=0,0,"Digite"))</f>
        <v>0</v>
      </c>
      <c r="HA55" s="454">
        <f>IF(OR('Parte Estrategica'!AV55=0,'Parte Estrategica'!AV55=""),0,IF(VLOOKUP($A55,'Matriz de Referencia'!$B$2:$CO$584,70,FALSE)=0,0,"Digite"))</f>
        <v>0</v>
      </c>
      <c r="HB55" s="454">
        <f>IF(OR('Parte Estrategica'!AV55=0,'Parte Estrategica'!AV55=""),0,IF(VLOOKUP($A55,'Matriz de Referencia'!$B$2:$CO$584,71,FALSE)=0,0,"Digite"))</f>
        <v>0</v>
      </c>
      <c r="HC55" s="454">
        <f>IF(OR('Parte Estrategica'!AV55=0,'Parte Estrategica'!AV55=""),0,IF(VLOOKUP($A55,'Matriz de Referencia'!$B$2:$CO$584,72,FALSE)=0,0,"Digite"))</f>
        <v>0</v>
      </c>
      <c r="HD55" s="454">
        <f>IF(OR('Parte Estrategica'!AV55=0,'Parte Estrategica'!AV55=""),0,IF(VLOOKUP($A55,'Matriz de Referencia'!$B$2:$CO$584,73,FALSE)=0,0,"Digite"))</f>
        <v>0</v>
      </c>
      <c r="HE55" s="454">
        <f>IF(OR('Parte Estrategica'!AV55=0,'Parte Estrategica'!AV55=""),0,IF(VLOOKUP($A55,'Matriz de Referencia'!$B$2:$CO$584,74,FALSE)=0,0,"Digite"))</f>
        <v>0</v>
      </c>
      <c r="HF55" s="382">
        <f t="shared" si="45"/>
        <v>0</v>
      </c>
      <c r="HG55" s="454">
        <f>IF(OR('Parte Estrategica'!AV55=0,'Parte Estrategica'!AV55=""),0,IF(VLOOKUP($A55,'Matriz de Referencia'!$B$2:$CO$584,76,FALSE)=0,0,"Digite"))</f>
        <v>0</v>
      </c>
      <c r="HH55" s="454">
        <f>IF(OR('Parte Estrategica'!AV55=0,'Parte Estrategica'!AV55=""),0,IF(VLOOKUP($A55,'Matriz de Referencia'!$B$2:$CO$584,77,FALSE)=0,0,"Digite"))</f>
        <v>0</v>
      </c>
      <c r="HI55" s="454">
        <f>IF(OR('Parte Estrategica'!AV55=0,'Parte Estrategica'!AV55=""),0,IF(VLOOKUP($A55,'Matriz de Referencia'!$B$2:$CO$584,78,FALSE)=0,0,"Digite"))</f>
        <v>0</v>
      </c>
      <c r="HJ55" s="382">
        <f t="shared" si="46"/>
        <v>0</v>
      </c>
      <c r="HK55" s="382">
        <f t="shared" si="47"/>
        <v>0</v>
      </c>
      <c r="HL55" s="453">
        <f>IF(OR('Parte Estrategica'!AW55=0,'Parte Estrategica'!AW55=""),0,IF(VLOOKUP($A55,'Matriz de Referencia'!$B$2:$CO$584,67,FALSE)=0,0,"Digite"))</f>
        <v>0</v>
      </c>
      <c r="HM55" s="454">
        <f>IF(OR('Parte Estrategica'!AW55=0,'Parte Estrategica'!AW55=""),0,IF(VLOOKUP($A55,'Matriz de Referencia'!$B$2:$CO$584,68,FALSE)=0,0,"Digite"))</f>
        <v>0</v>
      </c>
      <c r="HN55" s="454">
        <f>IF(OR('Parte Estrategica'!AW55=0,'Parte Estrategica'!AW55=""),0,IF(VLOOKUP($A55,'Matriz de Referencia'!$B$2:$CO$584,69,FALSE)=0,0,"Digite"))</f>
        <v>0</v>
      </c>
      <c r="HO55" s="454">
        <f>IF(OR('Parte Estrategica'!AW55=0,'Parte Estrategica'!AW55=""),0,IF(VLOOKUP($A55,'Matriz de Referencia'!$B$2:$CO$584,70,FALSE)=0,0,"Digite"))</f>
        <v>0</v>
      </c>
      <c r="HP55" s="454">
        <f>IF(OR('Parte Estrategica'!AW55=0,'Parte Estrategica'!AW55=""),0,IF(VLOOKUP($A55,'Matriz de Referencia'!$B$2:$CO$584,71,FALSE)=0,0,"Digite"))</f>
        <v>0</v>
      </c>
      <c r="HQ55" s="454">
        <f>IF(OR('Parte Estrategica'!AW55=0,'Parte Estrategica'!AW55=""),0,IF(VLOOKUP($A55,'Matriz de Referencia'!$B$2:$CO$584,72,FALSE)=0,0,"Digite"))</f>
        <v>0</v>
      </c>
      <c r="HR55" s="454">
        <f>IF(OR('Parte Estrategica'!AW55=0,'Parte Estrategica'!AW55=""),0,IF(VLOOKUP($A55,'Matriz de Referencia'!$B$2:$CO$584,73,FALSE)=0,0,"Digite"))</f>
        <v>0</v>
      </c>
      <c r="HS55" s="454">
        <f>IF(OR('Parte Estrategica'!AW55=0,'Parte Estrategica'!AW55=""),0,IF(VLOOKUP($A55,'Matriz de Referencia'!$B$2:$CO$584,74,FALSE)=0,0,"Digite"))</f>
        <v>0</v>
      </c>
      <c r="HT55" s="382">
        <f t="shared" si="48"/>
        <v>0</v>
      </c>
      <c r="HU55" s="454">
        <f>IF(OR('Parte Estrategica'!AW55=0,'Parte Estrategica'!AW55=""),0,IF(VLOOKUP($A55,'Matriz de Referencia'!$B$2:$CO$584,76,FALSE)=0,0,"Digite"))</f>
        <v>0</v>
      </c>
      <c r="HV55" s="454">
        <f>IF(OR('Parte Estrategica'!AW55=0,'Parte Estrategica'!AW55=""),0,IF(VLOOKUP($A55,'Matriz de Referencia'!$B$2:$CO$584,77,FALSE)=0,0,"Digite"))</f>
        <v>0</v>
      </c>
      <c r="HW55" s="454">
        <f>IF(OR('Parte Estrategica'!AW55=0,'Parte Estrategica'!AW55=""),0,IF(VLOOKUP($A55,'Matriz de Referencia'!$B$2:$CO$584,78,FALSE)=0,0,"Digite"))</f>
        <v>0</v>
      </c>
      <c r="HX55" s="382">
        <f t="shared" si="49"/>
        <v>0</v>
      </c>
      <c r="HY55" s="382">
        <f t="shared" si="50"/>
        <v>0</v>
      </c>
      <c r="HZ55" s="382">
        <f t="shared" si="51"/>
        <v>0</v>
      </c>
      <c r="IA55" s="101" t="str">
        <f>IFERROR(IF(HZ55=0,"",IF(VLOOKUP($A55,'Matriz de Referencia'!$B$2:$CO$584,80,FALSE)=HZ55,"Techos ok, cotinue","Debe revisar el valor programado")),"")</f>
        <v/>
      </c>
      <c r="IB55" s="383">
        <f t="shared" si="52"/>
        <v>0</v>
      </c>
    </row>
    <row r="56" spans="1:236">
      <c r="A56" s="550" t="str">
        <f>IF('Parte Estrategica'!B56=0,"",'Parte Estrategica'!B56)</f>
        <v/>
      </c>
      <c r="B56" s="551" t="str">
        <f>IFERROR(VLOOKUP(A56,'Matriz de Referencia'!$B$2:$P$578,'Matriz de Referencia'!L$1,FALSE),"")</f>
        <v/>
      </c>
      <c r="C56" s="551" t="str">
        <f>IFERROR(VLOOKUP(A56,'Matriz de Referencia'!$B$2:$P$584,'Matriz de Referencia'!M$1,FALSE),"")</f>
        <v/>
      </c>
      <c r="D56" s="455" t="str">
        <f>IF(OR('Parte Estrategica'!AB56=0,'Parte Estrategica'!AB56=""),"",IF(VLOOKUP($A56,'Matriz de Referencia'!$B$2:$CO$584,'Matriz de Referencia'!Z$1,FALSE)=0,"","Digite"))</f>
        <v/>
      </c>
      <c r="E56" s="456">
        <f>IF(OR('Parte Estrategica'!AB56=0,'Parte Estrategica'!AB56=""),0,IF(VLOOKUP($A56,'Matriz de Referencia'!$B$2:$CO$584,26,FALSE)=0,0,"Digite"))</f>
        <v>0</v>
      </c>
      <c r="F56" s="456">
        <f>IF(OR('Parte Estrategica'!AB56=0,'Parte Estrategica'!AB56=""),0,IF(VLOOKUP($A56,'Matriz de Referencia'!$B$2:$CO$584,27,FALSE)=0,0,"Digite"))</f>
        <v>0</v>
      </c>
      <c r="G56" s="456">
        <f>IF(OR('Parte Estrategica'!AB56=0,'Parte Estrategica'!AB56=""),0,IF(VLOOKUP($A56,'Matriz de Referencia'!$B$2:$CO$584,28,FALSE)=0,0,"Digite"))</f>
        <v>0</v>
      </c>
      <c r="H56" s="456">
        <f>IF(OR('Parte Estrategica'!AB56=0,'Parte Estrategica'!AB56=""),0,IF(VLOOKUP($A56,'Matriz de Referencia'!$B$2:$CO$584,29,FALSE)=0,0,"Digite"))</f>
        <v>0</v>
      </c>
      <c r="I56" s="456">
        <f>IF(OR('Parte Estrategica'!AB56=0,'Parte Estrategica'!AB56=""),0,IF(VLOOKUP($A56,'Matriz de Referencia'!$B$2:$CO$584,30,FALSE)=0,0,"Digite"))</f>
        <v>0</v>
      </c>
      <c r="J56" s="456">
        <f>IF(OR('Parte Estrategica'!AB56=0,'Parte Estrategica'!AB56=""),0,IF(VLOOKUP($A56,'Matriz de Referencia'!$B$2:$CO$584,31,FALSE)=0,0,"Digite"))</f>
        <v>0</v>
      </c>
      <c r="K56" s="456">
        <f>IF(OR('Parte Estrategica'!AB56=0,'Parte Estrategica'!AB56=""),0,IF(VLOOKUP($A56,'Matriz de Referencia'!$B$2:$CO$584,32,FALSE)=0,0,"Digite"))</f>
        <v>0</v>
      </c>
      <c r="L56" s="460">
        <f t="shared" si="0"/>
        <v>0</v>
      </c>
      <c r="M56" s="456">
        <f>IF(OR('Parte Estrategica'!AB56=0,'Parte Estrategica'!AB56=""),0,IF(VLOOKUP($A56,'Matriz de Referencia'!$B$2:$CO$584,34,FALSE)=0,0,"Digite"))</f>
        <v>0</v>
      </c>
      <c r="N56" s="456">
        <f>IF(OR('Parte Estrategica'!AB56=0,'Parte Estrategica'!AB56=""),0,IF(VLOOKUP($A56,'Matriz de Referencia'!$B$2:$CO$584,35,FALSE)=0,0,"Digite"))</f>
        <v>0</v>
      </c>
      <c r="O56" s="456">
        <f>IF(OR('Parte Estrategica'!AB56=0,'Parte Estrategica'!AB56=""),0,IF(VLOOKUP($A56,'Matriz de Referencia'!$B$2:$CO$584,36,FALSE)=0,0,"Digite"))</f>
        <v>0</v>
      </c>
      <c r="P56" s="457">
        <f t="shared" si="1"/>
        <v>0</v>
      </c>
      <c r="Q56" s="457">
        <f t="shared" si="2"/>
        <v>0</v>
      </c>
      <c r="R56" s="455">
        <f>IF(OR('Parte Estrategica'!AC56=0,'Parte Estrategica'!AC56=""),0,IF(VLOOKUP($A56,'Matriz de Referencia'!$B$2:$CO$584,25,FALSE)=0,0,"Digite"))</f>
        <v>0</v>
      </c>
      <c r="S56" s="456">
        <f>IF(OR('Parte Estrategica'!AC56=0,'Parte Estrategica'!AC56=""),0,IF(VLOOKUP($A56,'Matriz de Referencia'!$B$2:$CO$584,26,FALSE)=0,0,"Digite"))</f>
        <v>0</v>
      </c>
      <c r="T56" s="456">
        <f>IF(OR('Parte Estrategica'!AC56=0,'Parte Estrategica'!AC56=""),0,IF(VLOOKUP($A56,'Matriz de Referencia'!$B$2:$CO$584,27,FALSE)=0,0,"Digite"))</f>
        <v>0</v>
      </c>
      <c r="U56" s="456">
        <f>IF(OR('Parte Estrategica'!AC56=0,'Parte Estrategica'!AC56=""),0,IF(VLOOKUP($A56,'Matriz de Referencia'!$B$2:$CO$584,28,FALSE)=0,0,"Digite"))</f>
        <v>0</v>
      </c>
      <c r="V56" s="456">
        <f>IF(OR('Parte Estrategica'!AC56=0,'Parte Estrategica'!AC56=""),0,IF(VLOOKUP($A56,'Matriz de Referencia'!$B$2:$CO$584,29,FALSE)=0,0,"Digite"))</f>
        <v>0</v>
      </c>
      <c r="W56" s="456">
        <f>IF(OR('Parte Estrategica'!AC56=0,'Parte Estrategica'!AC56=""),0,IF(VLOOKUP($A56,'Matriz de Referencia'!$B$2:$CO$584,30,FALSE)=0,0,"Digite"))</f>
        <v>0</v>
      </c>
      <c r="X56" s="456">
        <f>IF(OR('Parte Estrategica'!AC56=0,'Parte Estrategica'!AC56=""),0,IF(VLOOKUP($A56,'Matriz de Referencia'!$B$2:$CO$584,31,FALSE)=0,0,"Digite"))</f>
        <v>0</v>
      </c>
      <c r="Y56" s="456">
        <f>IF(OR('Parte Estrategica'!AC56=0,'Parte Estrategica'!AC56=""),0,IF(VLOOKUP($A56,'Matriz de Referencia'!$B$2:$CO$584,32,FALSE)=0,0,"Digite"))</f>
        <v>0</v>
      </c>
      <c r="Z56" s="457">
        <f t="shared" si="3"/>
        <v>0</v>
      </c>
      <c r="AA56" s="456">
        <f>IF(OR('Parte Estrategica'!AC56=0,'Parte Estrategica'!AC56=""),0,IF(VLOOKUP($A56,'Matriz de Referencia'!$B$2:$CO$584,34,FALSE)=0,0,"Digite"))</f>
        <v>0</v>
      </c>
      <c r="AB56" s="456">
        <f>IF(OR('Parte Estrategica'!AC56=0,'Parte Estrategica'!AC56=""),0,IF(VLOOKUP($A56,'Matriz de Referencia'!$B$2:$CO$584,35,FALSE)=0,0,"Digite"))</f>
        <v>0</v>
      </c>
      <c r="AC56" s="456">
        <f>IF(OR('Parte Estrategica'!AC56=0,'Parte Estrategica'!AC56=""),0,IF(VLOOKUP($A56,'Matriz de Referencia'!$B$2:$CO$584,36,FALSE)=0,0,"Digite"))</f>
        <v>0</v>
      </c>
      <c r="AD56" s="457">
        <f t="shared" si="4"/>
        <v>0</v>
      </c>
      <c r="AE56" s="457">
        <f t="shared" si="5"/>
        <v>0</v>
      </c>
      <c r="AF56" s="455">
        <f>IF(OR('Parte Estrategica'!AD56=0,'Parte Estrategica'!AD56=""),0,IF(VLOOKUP($A56,'Matriz de Referencia'!$B$2:$CO$584,25,FALSE)=0,0,"Digite"))</f>
        <v>0</v>
      </c>
      <c r="AG56" s="456">
        <f>IF(OR('Parte Estrategica'!AD56=0,'Parte Estrategica'!AD56=""),0,IF(VLOOKUP($A56,'Matriz de Referencia'!$B$2:$CO$584,26,FALSE)=0,0,"Digite"))</f>
        <v>0</v>
      </c>
      <c r="AH56" s="456">
        <f>IF(OR('Parte Estrategica'!AD56=0,'Parte Estrategica'!AD56=""),0,IF(VLOOKUP($A56,'Matriz de Referencia'!$B$2:$CO$584,27,FALSE)=0,0,"Digite"))</f>
        <v>0</v>
      </c>
      <c r="AI56" s="456">
        <f>IF(OR('Parte Estrategica'!AD56=0,'Parte Estrategica'!AD56=""),0,IF(VLOOKUP($A56,'Matriz de Referencia'!$B$2:$CO$584,28,FALSE)=0,0,"Digite"))</f>
        <v>0</v>
      </c>
      <c r="AJ56" s="456">
        <f>IF(OR('Parte Estrategica'!AD56=0,'Parte Estrategica'!AD56=""),0,IF(VLOOKUP($A56,'Matriz de Referencia'!$B$2:$CO$584,29,FALSE)=0,0,"Digite"))</f>
        <v>0</v>
      </c>
      <c r="AK56" s="456">
        <f>IF(OR('Parte Estrategica'!AD56=0,'Parte Estrategica'!AD56=""),0,IF(VLOOKUP($A56,'Matriz de Referencia'!$B$2:$CO$584,30,FALSE)=0,0,"Digite"))</f>
        <v>0</v>
      </c>
      <c r="AL56" s="456">
        <f>IF(OR('Parte Estrategica'!AD56=0,'Parte Estrategica'!AD56=""),0,IF(VLOOKUP($A56,'Matriz de Referencia'!$B$2:$CO$584,31,FALSE)=0,0,"Digite"))</f>
        <v>0</v>
      </c>
      <c r="AM56" s="456">
        <f>IF(OR('Parte Estrategica'!AD56=0,'Parte Estrategica'!AD56=""),0,IF(VLOOKUP($A56,'Matriz de Referencia'!$B$2:$CO$584,32,FALSE)=0,0,"Digite"))</f>
        <v>0</v>
      </c>
      <c r="AN56" s="457">
        <f t="shared" si="6"/>
        <v>0</v>
      </c>
      <c r="AO56" s="456">
        <f>IF(OR('Parte Estrategica'!AD56=0,'Parte Estrategica'!AD56=""),0,IF(VLOOKUP($A56,'Matriz de Referencia'!$B$2:$CO$584,34,FALSE)=0,0,"Digite"))</f>
        <v>0</v>
      </c>
      <c r="AP56" s="456">
        <f>IF(OR('Parte Estrategica'!AD56=0,'Parte Estrategica'!AD56=""),0,IF(VLOOKUP($A56,'Matriz de Referencia'!$B$2:$CO$584,35,FALSE)=0,0,"Digite"))</f>
        <v>0</v>
      </c>
      <c r="AQ56" s="456">
        <f>IF(OR('Parte Estrategica'!AD56=0,'Parte Estrategica'!AD56=""),0,IF(VLOOKUP($A56,'Matriz de Referencia'!$B$2:$CO$584,36,FALSE)=0,0,"Digite"))</f>
        <v>0</v>
      </c>
      <c r="AR56" s="457">
        <f t="shared" si="7"/>
        <v>0</v>
      </c>
      <c r="AS56" s="457">
        <f t="shared" si="8"/>
        <v>0</v>
      </c>
      <c r="AT56" s="455">
        <f>IF(OR('Parte Estrategica'!AE56=0,'Parte Estrategica'!AE56=""),0,IF(VLOOKUP($A56,'Matriz de Referencia'!$B$2:$CO$584,25,FALSE)=0,0,"Digite"))</f>
        <v>0</v>
      </c>
      <c r="AU56" s="456">
        <f>IF(OR('Parte Estrategica'!AE56=0,'Parte Estrategica'!AE56=""),0,IF(VLOOKUP($A56,'Matriz de Referencia'!$B$2:$CO$584,26,FALSE)=0,0,"Digite"))</f>
        <v>0</v>
      </c>
      <c r="AV56" s="456">
        <f>IF(OR('Parte Estrategica'!AE56=0,'Parte Estrategica'!AE56=""),0,IF(VLOOKUP($A56,'Matriz de Referencia'!$B$2:$CO$584,27,FALSE)=0,0,"Digite"))</f>
        <v>0</v>
      </c>
      <c r="AW56" s="456">
        <f>IF(OR('Parte Estrategica'!AE56=0,'Parte Estrategica'!AE56=""),0,IF(VLOOKUP($A56,'Matriz de Referencia'!$B$2:$CO$584,28,FALSE)=0,0,"Digite"))</f>
        <v>0</v>
      </c>
      <c r="AX56" s="456">
        <f>IF(OR('Parte Estrategica'!AE56=0,'Parte Estrategica'!AE56=""),0,IF(VLOOKUP($A56,'Matriz de Referencia'!$B$2:$CO$584,29,FALSE)=0,0,"Digite"))</f>
        <v>0</v>
      </c>
      <c r="AY56" s="456">
        <f>IF(OR('Parte Estrategica'!AE56=0,'Parte Estrategica'!AE56=""),0,IF(VLOOKUP($A56,'Matriz de Referencia'!$B$2:$CO$584,30,FALSE)=0,0,"Digite"))</f>
        <v>0</v>
      </c>
      <c r="AZ56" s="456">
        <f>IF(OR('Parte Estrategica'!AE56=0,'Parte Estrategica'!AE56=""),0,IF(VLOOKUP($A56,'Matriz de Referencia'!$B$2:$CO$584,31,FALSE)=0,0,"Digite"))</f>
        <v>0</v>
      </c>
      <c r="BA56" s="456">
        <f>IF(OR('Parte Estrategica'!AE56=0,'Parte Estrategica'!AE56=""),0,IF(VLOOKUP($A56,'Matriz de Referencia'!$B$2:$CO$584,32,FALSE)=0,0,"Digite"))</f>
        <v>0</v>
      </c>
      <c r="BB56" s="457">
        <f t="shared" si="9"/>
        <v>0</v>
      </c>
      <c r="BC56" s="456">
        <f>IF(OR('Parte Estrategica'!AE56=0,'Parte Estrategica'!AE56=""),0,IF(VLOOKUP($A56,'Matriz de Referencia'!$B$2:$CO$584,34,FALSE)=0,0,"Digite"))</f>
        <v>0</v>
      </c>
      <c r="BD56" s="456">
        <f>IF(OR('Parte Estrategica'!AE56=0,'Parte Estrategica'!AE56=""),0,IF(VLOOKUP($A56,'Matriz de Referencia'!$B$2:$CO$584,35,FALSE)=0,0,"Digite"))</f>
        <v>0</v>
      </c>
      <c r="BE56" s="456">
        <f>IF(OR('Parte Estrategica'!AE56=0,'Parte Estrategica'!AE56=""),0,IF(VLOOKUP($A56,'Matriz de Referencia'!$B$2:$CO$584,36,FALSE)=0,0,"Digite"))</f>
        <v>0</v>
      </c>
      <c r="BF56" s="457">
        <f t="shared" si="10"/>
        <v>0</v>
      </c>
      <c r="BG56" s="457">
        <f t="shared" si="11"/>
        <v>0</v>
      </c>
      <c r="BH56" s="457">
        <f t="shared" si="12"/>
        <v>0</v>
      </c>
      <c r="BI56" s="101" t="str">
        <f>IFERROR(IF(BH56=0,"",IF(VLOOKUP($A56,'Matriz de Referencia'!$B$2:$CO$584,'Matriz de Referencia'!AM$1,FALSE)=BH56,"Techos ok, cotinue","Debe revisar el valor programado")),"")</f>
        <v/>
      </c>
      <c r="BJ56" s="453">
        <f>IF(OR('Parte Estrategica'!AH56=0,'Parte Estrategica'!AH56=""),0,IF(VLOOKUP($A56,'Matriz de Referencia'!$B$2:$CO$584,39,FALSE)=0,0,"Digite"))</f>
        <v>0</v>
      </c>
      <c r="BK56" s="454">
        <f>IF(OR('Parte Estrategica'!AH56=0,'Parte Estrategica'!AH56=""),0,IF(VLOOKUP($A56,'Matriz de Referencia'!$B$2:$CO$584,40,FALSE)=0,0,"Digite"))</f>
        <v>0</v>
      </c>
      <c r="BL56" s="454">
        <f>IF(OR('Parte Estrategica'!AH56=0,'Parte Estrategica'!AH56=""),0,IF(VLOOKUP($A56,'Matriz de Referencia'!$B$2:$CO$584,41,FALSE)=0,0,"Digite"))</f>
        <v>0</v>
      </c>
      <c r="BM56" s="454">
        <f>IF(OR('Parte Estrategica'!AH56=0,'Parte Estrategica'!AH56=""),0,IF(VLOOKUP($A56,'Matriz de Referencia'!$B$2:$CO$584,42,FALSE)=0,0,"Digite"))</f>
        <v>0</v>
      </c>
      <c r="BN56" s="454">
        <f>IF(OR('Parte Estrategica'!AH56=0,'Parte Estrategica'!AH56=""),0,IF(VLOOKUP($A56,'Matriz de Referencia'!$B$2:$CO$584,43,FALSE)=0,0,"Digite"))</f>
        <v>0</v>
      </c>
      <c r="BO56" s="454">
        <f>IF(OR('Parte Estrategica'!AH56=0,'Parte Estrategica'!AH56=""),0,IF(VLOOKUP($A56,'Matriz de Referencia'!$B$2:$CO$584,44,FALSE)=0,0,"Digite"))</f>
        <v>0</v>
      </c>
      <c r="BP56" s="454">
        <f>IF(OR('Parte Estrategica'!AH56=0,'Parte Estrategica'!AH56=""),0,IF(VLOOKUP($A56,'Matriz de Referencia'!$B$2:$CO$584,45,FALSE)=0,0,"Digite"))</f>
        <v>0</v>
      </c>
      <c r="BQ56" s="454">
        <f>IF(OR('Parte Estrategica'!AH56=0,'Parte Estrategica'!AH56=""),0,IF(VLOOKUP($A56,'Matriz de Referencia'!$B$2:$CO$584,46,FALSE)=0,0,"Digite"))</f>
        <v>0</v>
      </c>
      <c r="BR56" s="382">
        <f t="shared" si="13"/>
        <v>0</v>
      </c>
      <c r="BS56" s="454">
        <f>IF(OR('Parte Estrategica'!CL56=0,'Parte Estrategica'!CL56=""),0,IF(VLOOKUP($A56,'Matriz de Referencia'!$B$2:$CO$584,48,FALSE)=0,0,"Digite"))</f>
        <v>0</v>
      </c>
      <c r="BT56" s="454">
        <f>IF(OR('Parte Estrategica'!CL56=0,'Parte Estrategica'!CL56=""),0,IF(VLOOKUP($A56,'Matriz de Referencia'!$B$2:$CO$584,49,FALSE)=0,0,"Digite"))</f>
        <v>0</v>
      </c>
      <c r="BU56" s="454">
        <f>IF(OR('Parte Estrategica'!CL56=0,'Parte Estrategica'!CL56=""),0,IF(VLOOKUP($A56,'Matriz de Referencia'!$B$2:$CO$584,50,FALSE)=0,0,"Digite"))</f>
        <v>0</v>
      </c>
      <c r="BV56" s="382">
        <f t="shared" si="14"/>
        <v>0</v>
      </c>
      <c r="BW56" s="382">
        <f t="shared" si="15"/>
        <v>0</v>
      </c>
      <c r="BX56" s="453">
        <f>IF(OR('Parte Estrategica'!AI56=0,'Parte Estrategica'!AI56=""),0,IF(VLOOKUP($A56,'Matriz de Referencia'!$B$2:$CO$584,39,FALSE)=0,0,"Digite"))</f>
        <v>0</v>
      </c>
      <c r="BY56" s="454">
        <f>IF(OR('Parte Estrategica'!AI56=0,'Parte Estrategica'!AI56=""),0,IF(VLOOKUP($A56,'Matriz de Referencia'!$B$2:$CO$584,40,FALSE)=0,0,"Digite"))</f>
        <v>0</v>
      </c>
      <c r="BZ56" s="454">
        <f>IF(OR('Parte Estrategica'!AI56=0,'Parte Estrategica'!AI56=""),0,IF(VLOOKUP($A56,'Matriz de Referencia'!$B$2:$CO$584,41,FALSE)=0,0,"Digite"))</f>
        <v>0</v>
      </c>
      <c r="CA56" s="454">
        <f>IF(OR('Parte Estrategica'!AI56=0,'Parte Estrategica'!AI56=""),0,IF(VLOOKUP($A56,'Matriz de Referencia'!$B$2:$CO$584,42,FALSE)=0,0,"Digite"))</f>
        <v>0</v>
      </c>
      <c r="CB56" s="454">
        <f>IF(OR('Parte Estrategica'!AI56=0,'Parte Estrategica'!AI56=""),0,IF(VLOOKUP($A56,'Matriz de Referencia'!$B$2:$CO$584,43,FALSE)=0,0,"Digite"))</f>
        <v>0</v>
      </c>
      <c r="CC56" s="454">
        <f>IF(OR('Parte Estrategica'!AI56=0,'Parte Estrategica'!AI56=""),0,IF(VLOOKUP($A56,'Matriz de Referencia'!$B$2:$CO$584,44,FALSE)=0,0,"Digite"))</f>
        <v>0</v>
      </c>
      <c r="CD56" s="454">
        <f>IF(OR('Parte Estrategica'!AI56=0,'Parte Estrategica'!AI56=""),0,IF(VLOOKUP($A56,'Matriz de Referencia'!$B$2:$CO$584,45,FALSE)=0,0,"Digite"))</f>
        <v>0</v>
      </c>
      <c r="CE56" s="454">
        <f>IF(OR('Parte Estrategica'!AI56=0,'Parte Estrategica'!AI56=""),0,IF(VLOOKUP($A56,'Matriz de Referencia'!$B$2:$CO$584,46,FALSE)=0,0,"Digite"))</f>
        <v>0</v>
      </c>
      <c r="CF56" s="382">
        <f t="shared" si="16"/>
        <v>0</v>
      </c>
      <c r="CG56" s="454">
        <f>IF(OR('Parte Estrategica'!AI56=0,'Parte Estrategica'!AI56=""),0,IF(VLOOKUP($A56,'Matriz de Referencia'!$B$2:$CO$584,48,FALSE)=0,0,"Digite"))</f>
        <v>0</v>
      </c>
      <c r="CH56" s="454">
        <f>IF(OR('Parte Estrategica'!AI56=0,'Parte Estrategica'!AI56=""),0,IF(VLOOKUP($A56,'Matriz de Referencia'!$B$2:$CO$584,49,FALSE)=0,0,"Digite"))</f>
        <v>0</v>
      </c>
      <c r="CI56" s="454">
        <f>IF(OR('Parte Estrategica'!AI56=0,'Parte Estrategica'!AI56=""),0,IF(VLOOKUP($A56,'Matriz de Referencia'!$B$2:$CO$584,50,FALSE)=0,0,"Digite"))</f>
        <v>0</v>
      </c>
      <c r="CJ56" s="382">
        <f t="shared" si="17"/>
        <v>0</v>
      </c>
      <c r="CK56" s="382">
        <f t="shared" si="18"/>
        <v>0</v>
      </c>
      <c r="CL56" s="453">
        <f>IF(OR('Parte Estrategica'!AJ56=0,'Parte Estrategica'!AJ56=""),0,IF(VLOOKUP($A56,'Matriz de Referencia'!$B$2:$CO$584,39,FALSE)=0,0,"Digite"))</f>
        <v>0</v>
      </c>
      <c r="CM56" s="454">
        <f>IF(OR('Parte Estrategica'!AJ56=0,'Parte Estrategica'!AJ56=""),0,IF(VLOOKUP($A56,'Matriz de Referencia'!$B$2:$CO$584,40,FALSE)=0,0,"Digite"))</f>
        <v>0</v>
      </c>
      <c r="CN56" s="454">
        <f>IF(OR('Parte Estrategica'!AJ56=0,'Parte Estrategica'!AJ56=""),0,IF(VLOOKUP($A56,'Matriz de Referencia'!$B$2:$CO$584,41,FALSE)=0,0,"Digite"))</f>
        <v>0</v>
      </c>
      <c r="CO56" s="454">
        <f>IF(OR('Parte Estrategica'!AJ56=0,'Parte Estrategica'!AJ56=""),0,IF(VLOOKUP($A56,'Matriz de Referencia'!$B$2:$CO$584,42,FALSE)=0,0,"Digite"))</f>
        <v>0</v>
      </c>
      <c r="CP56" s="454">
        <f>IF(OR('Parte Estrategica'!AJ56=0,'Parte Estrategica'!AJ56=""),0,IF(VLOOKUP($A56,'Matriz de Referencia'!$B$2:$CO$584,43,FALSE)=0,0,"Digite"))</f>
        <v>0</v>
      </c>
      <c r="CQ56" s="454">
        <f>IF(OR('Parte Estrategica'!AJ56=0,'Parte Estrategica'!AJ56=""),0,IF(VLOOKUP($A56,'Matriz de Referencia'!$B$2:$CO$584,44,FALSE)=0,0,"Digite"))</f>
        <v>0</v>
      </c>
      <c r="CR56" s="454">
        <f>IF(OR('Parte Estrategica'!AJ56=0,'Parte Estrategica'!AJ56=""),0,IF(VLOOKUP($A56,'Matriz de Referencia'!$B$2:$CO$584,45,FALSE)=0,0,"Digite"))</f>
        <v>0</v>
      </c>
      <c r="CS56" s="454">
        <f>IF(OR('Parte Estrategica'!AJ56=0,'Parte Estrategica'!AJ56=""),0,IF(VLOOKUP($A56,'Matriz de Referencia'!$B$2:$CO$584,46,FALSE)=0,0,"Digite"))</f>
        <v>0</v>
      </c>
      <c r="CT56" s="382">
        <f t="shared" si="19"/>
        <v>0</v>
      </c>
      <c r="CU56" s="454">
        <f>IF(OR('Parte Estrategica'!AJ56=0,'Parte Estrategica'!AJ56=""),0,IF(VLOOKUP($A56,'Matriz de Referencia'!$B$2:$CO$584,48,FALSE)=0,0,"Digite"))</f>
        <v>0</v>
      </c>
      <c r="CV56" s="454">
        <f>IF(OR('Parte Estrategica'!AJ56=0,'Parte Estrategica'!AJ56=""),0,IF(VLOOKUP($A56,'Matriz de Referencia'!$B$2:$CO$584,49,FALSE)=0,0,"Digite"))</f>
        <v>0</v>
      </c>
      <c r="CW56" s="454">
        <f>IF(OR('Parte Estrategica'!AJ56=0,'Parte Estrategica'!AJ56=""),0,IF(VLOOKUP($A56,'Matriz de Referencia'!$B$2:$CO$584,50,FALSE)=0,0,"Digite"))</f>
        <v>0</v>
      </c>
      <c r="CX56" s="382">
        <f t="shared" si="20"/>
        <v>0</v>
      </c>
      <c r="CY56" s="382">
        <f t="shared" si="21"/>
        <v>0</v>
      </c>
      <c r="CZ56" s="453">
        <f>IF(OR('Parte Estrategica'!AK56=0,'Parte Estrategica'!AK56=""),0,IF(VLOOKUP($A56,'Matriz de Referencia'!$B$2:$CO$584,39,FALSE)=0,0,"Digite"))</f>
        <v>0</v>
      </c>
      <c r="DA56" s="454">
        <f>IF(OR('Parte Estrategica'!AK56=0,'Parte Estrategica'!AK56=""),0,IF(VLOOKUP($A56,'Matriz de Referencia'!$B$2:$CO$584,40,FALSE)=0,0,"Digite"))</f>
        <v>0</v>
      </c>
      <c r="DB56" s="454">
        <f>IF(OR('Parte Estrategica'!AK56=0,'Parte Estrategica'!AK56=""),0,IF(VLOOKUP($A56,'Matriz de Referencia'!$B$2:$CO$584,41,FALSE)=0,0,"Digite"))</f>
        <v>0</v>
      </c>
      <c r="DC56" s="454">
        <f>IF(OR('Parte Estrategica'!AK56=0,'Parte Estrategica'!AK56=""),0,IF(VLOOKUP($A56,'Matriz de Referencia'!$B$2:$CO$584,42,FALSE)=0,0,"Digite"))</f>
        <v>0</v>
      </c>
      <c r="DD56" s="454">
        <f>IF(OR('Parte Estrategica'!AK56=0,'Parte Estrategica'!AK56=""),0,IF(VLOOKUP($A56,'Matriz de Referencia'!$B$2:$CO$584,43,FALSE)=0,0,"Digite"))</f>
        <v>0</v>
      </c>
      <c r="DE56" s="454">
        <f>IF(OR('Parte Estrategica'!AK56=0,'Parte Estrategica'!AK56=""),0,IF(VLOOKUP($A56,'Matriz de Referencia'!$B$2:$CO$584,44,FALSE)=0,0,"Digite"))</f>
        <v>0</v>
      </c>
      <c r="DF56" s="454">
        <f>IF(OR('Parte Estrategica'!AK56=0,'Parte Estrategica'!AK56=""),0,IF(VLOOKUP($A56,'Matriz de Referencia'!$B$2:$CO$584,45,FALSE)=0,0,"Digite"))</f>
        <v>0</v>
      </c>
      <c r="DG56" s="454">
        <f>IF(OR('Parte Estrategica'!AK56=0,'Parte Estrategica'!AK56=""),0,IF(VLOOKUP($A56,'Matriz de Referencia'!$B$2:$CO$584,46,FALSE)=0,0,"Digite"))</f>
        <v>0</v>
      </c>
      <c r="DH56" s="382">
        <f t="shared" si="22"/>
        <v>0</v>
      </c>
      <c r="DI56" s="454">
        <f>IF(OR('Parte Estrategica'!AK56=0,'Parte Estrategica'!AK56=""),0,IF(VLOOKUP($A56,'Matriz de Referencia'!$B$2:$CO$584,48,FALSE)=0,0,"Digite"))</f>
        <v>0</v>
      </c>
      <c r="DJ56" s="454">
        <f>IF(OR('Parte Estrategica'!AK56=0,'Parte Estrategica'!AK56=""),0,IF(VLOOKUP($A56,'Matriz de Referencia'!$B$2:$CO$584,49,FALSE)=0,0,"Digite"))</f>
        <v>0</v>
      </c>
      <c r="DK56" s="454">
        <f>IF(OR('Parte Estrategica'!AK56=0,'Parte Estrategica'!AK56=""),0,IF(VLOOKUP($A56,'Matriz de Referencia'!$B$2:$CO$584,50,FALSE)=0,0,"Digite"))</f>
        <v>0</v>
      </c>
      <c r="DL56" s="382">
        <f t="shared" si="23"/>
        <v>0</v>
      </c>
      <c r="DM56" s="382">
        <f t="shared" si="24"/>
        <v>0</v>
      </c>
      <c r="DN56" s="382">
        <f t="shared" si="25"/>
        <v>0</v>
      </c>
      <c r="DO56" s="101" t="str">
        <f>IFERROR(IF(DN56=0,"",IF(VLOOKUP($A56,'Matriz de Referencia'!$B$2:$CO$584,52,FALSE)=DN56,"Techos ok, cotinue","Debe revisar el valor programado")),"")</f>
        <v/>
      </c>
      <c r="DP56" s="453">
        <f>IF(OR('Parte Estrategica'!AN56=0,'Parte Estrategica'!AN56=""),0,IF(VLOOKUP($A56,'Matriz de Referencia'!$B$2:$CO$584,53,FALSE)=0,0,"Digite"))</f>
        <v>0</v>
      </c>
      <c r="DQ56" s="454">
        <f>IF(OR('Parte Estrategica'!AN56=0,'Parte Estrategica'!AN56=""),0,IF(VLOOKUP($A56,'Matriz de Referencia'!$B$2:$CO$584,54,FALSE)=0,0,"Digite"))</f>
        <v>0</v>
      </c>
      <c r="DR56" s="454">
        <f>IF(OR('Parte Estrategica'!AN56=0,'Parte Estrategica'!AN56=""),0,IF(VLOOKUP($A56,'Matriz de Referencia'!$B$2:$CO$584,55,FALSE)=0,0,"Digite"))</f>
        <v>0</v>
      </c>
      <c r="DS56" s="454">
        <f>IF(OR('Parte Estrategica'!AN56=0,'Parte Estrategica'!AN56=""),0,IF(VLOOKUP($A56,'Matriz de Referencia'!$B$2:$CO$584,56,FALSE)=0,0,"Digite"))</f>
        <v>0</v>
      </c>
      <c r="DT56" s="454">
        <f>IF(OR('Parte Estrategica'!AN56=0,'Parte Estrategica'!AN56=""),0,IF(VLOOKUP($A56,'Matriz de Referencia'!$B$2:$CO$584,57,FALSE)=0,0,"Digite"))</f>
        <v>0</v>
      </c>
      <c r="DU56" s="454">
        <f>IF(OR('Parte Estrategica'!AN56=0,'Parte Estrategica'!AN56=""),0,IF(VLOOKUP($A56,'Matriz de Referencia'!$B$2:$CO$584,58,FALSE)=0,0,"Digite"))</f>
        <v>0</v>
      </c>
      <c r="DV56" s="454">
        <f>IF(OR('Parte Estrategica'!AN56=0,'Parte Estrategica'!AN56=""),0,IF(VLOOKUP($A56,'Matriz de Referencia'!$B$2:$CO$584,59,FALSE)=0,0,"Digite"))</f>
        <v>0</v>
      </c>
      <c r="DW56" s="454">
        <f>IF(OR('Parte Estrategica'!AN56=0,'Parte Estrategica'!AN56=""),0,IF(VLOOKUP($A56,'Matriz de Referencia'!$B$2:$CO$584,60,FALSE)=0,0,"Digite"))</f>
        <v>0</v>
      </c>
      <c r="DX56" s="382">
        <f t="shared" si="26"/>
        <v>0</v>
      </c>
      <c r="DY56" s="454">
        <f>IF(OR('Parte Estrategica'!AN56=0,'Parte Estrategica'!AN56=""),0,IF(VLOOKUP($A56,'Matriz de Referencia'!$B$2:$CO$584,62,FALSE)=0,0,"Digite"))</f>
        <v>0</v>
      </c>
      <c r="DZ56" s="454">
        <f>IF(OR('Parte Estrategica'!AN56=0,'Parte Estrategica'!AN56=""),0,IF(VLOOKUP($A56,'Matriz de Referencia'!$B$2:$CO$584,63,FALSE)=0,0,"Digite"))</f>
        <v>0</v>
      </c>
      <c r="EA56" s="454" t="str">
        <f>IF(OR('Parte Estrategica'!AN56=0,'Parte Estrategica'!AN56=""),"",IF(VLOOKUP($A56,'Matriz de Referencia'!$B$2:$CO$584,64,FALSE)=0,"","Digite"))</f>
        <v/>
      </c>
      <c r="EB56" s="382">
        <f t="shared" si="27"/>
        <v>0</v>
      </c>
      <c r="EC56" s="382">
        <f t="shared" si="28"/>
        <v>0</v>
      </c>
      <c r="ED56" s="453">
        <f>IF(OR('Parte Estrategica'!AO56=0,'Parte Estrategica'!AO56=""),0,IF(VLOOKUP($A56,'Matriz de Referencia'!$B$2:$CO$584,53,FALSE)=0,0,"Digite"))</f>
        <v>0</v>
      </c>
      <c r="EE56" s="454">
        <f>IF(OR('Parte Estrategica'!AO56=0,'Parte Estrategica'!AO56=""),0,IF(VLOOKUP($A56,'Matriz de Referencia'!$B$2:$CO$584,54,FALSE)=0,0,"Digite"))</f>
        <v>0</v>
      </c>
      <c r="EF56" s="454">
        <f>IF(OR('Parte Estrategica'!AO56=0,'Parte Estrategica'!AO56=""),0,IF(VLOOKUP($A56,'Matriz de Referencia'!$B$2:$CO$584,55,FALSE)=0,0,"Digite"))</f>
        <v>0</v>
      </c>
      <c r="EG56" s="454">
        <f>IF(OR('Parte Estrategica'!AO56=0,'Parte Estrategica'!AO56=""),0,IF(VLOOKUP($A56,'Matriz de Referencia'!$B$2:$CO$584,56,FALSE)=0,0,"Digite"))</f>
        <v>0</v>
      </c>
      <c r="EH56" s="454">
        <f>IF(OR('Parte Estrategica'!AO56=0,'Parte Estrategica'!AO56=""),0,IF(VLOOKUP($A56,'Matriz de Referencia'!$B$2:$CO$584,57,FALSE)=0,0,"Digite"))</f>
        <v>0</v>
      </c>
      <c r="EI56" s="454">
        <f>IF(OR('Parte Estrategica'!AO56=0,'Parte Estrategica'!AO56=""),0,IF(VLOOKUP($A56,'Matriz de Referencia'!$B$2:$CO$584,58,FALSE)=0,0,"Digite"))</f>
        <v>0</v>
      </c>
      <c r="EJ56" s="454">
        <f>IF(OR('Parte Estrategica'!AO56=0,'Parte Estrategica'!AO56=""),0,IF(VLOOKUP($A56,'Matriz de Referencia'!$B$2:$CO$584,59,FALSE)=0,0,"Digite"))</f>
        <v>0</v>
      </c>
      <c r="EK56" s="454">
        <f>IF(OR('Parte Estrategica'!AO56=0,'Parte Estrategica'!AO56=""),0,IF(VLOOKUP($A56,'Matriz de Referencia'!$B$2:$CO$584,60,FALSE)=0,0,"Digite"))</f>
        <v>0</v>
      </c>
      <c r="EL56" s="382">
        <f t="shared" si="29"/>
        <v>0</v>
      </c>
      <c r="EM56" s="454">
        <f>IF(OR('Parte Estrategica'!AO56=0,'Parte Estrategica'!AO56=""),0,IF(VLOOKUP($A56,'Matriz de Referencia'!$B$2:$CO$584,62,FALSE)=0,0,"Digite"))</f>
        <v>0</v>
      </c>
      <c r="EN56" s="454">
        <f>IF(OR('Parte Estrategica'!AO56=0,'Parte Estrategica'!AO56=""),0,IF(VLOOKUP($A56,'Matriz de Referencia'!$B$2:$CO$584,63,FALSE)=0,0,"Digite"))</f>
        <v>0</v>
      </c>
      <c r="EO56" s="454">
        <f>IF(OR('Parte Estrategica'!AO56=0,'Parte Estrategica'!AO56=""),0,IF(VLOOKUP($A56,'Matriz de Referencia'!$B$2:$CO$584,64,FALSE)=0,0,"Digite"))</f>
        <v>0</v>
      </c>
      <c r="EP56" s="382">
        <f t="shared" si="30"/>
        <v>0</v>
      </c>
      <c r="EQ56" s="382">
        <f t="shared" si="31"/>
        <v>0</v>
      </c>
      <c r="ER56" s="453">
        <f>IF(OR('Parte Estrategica'!AP56=0,'Parte Estrategica'!AP56=""),0,IF(VLOOKUP($A56,'Matriz de Referencia'!$B$2:$CO$584,53,FALSE)=0,0,"Digite"))</f>
        <v>0</v>
      </c>
      <c r="ES56" s="454">
        <f>IF(OR('Parte Estrategica'!AP56=0,'Parte Estrategica'!AP56=""),0,IF(VLOOKUP($A56,'Matriz de Referencia'!$B$2:$CO$584,54,FALSE)=0,0,"Digite"))</f>
        <v>0</v>
      </c>
      <c r="ET56" s="454">
        <f>IF(OR('Parte Estrategica'!AP56=0,'Parte Estrategica'!AP56=""),0,IF(VLOOKUP($A56,'Matriz de Referencia'!$B$2:$CO$584,55,FALSE)=0,0,"Digite"))</f>
        <v>0</v>
      </c>
      <c r="EU56" s="454">
        <f>IF(OR('Parte Estrategica'!AP56=0,'Parte Estrategica'!AP56=""),0,IF(VLOOKUP($A56,'Matriz de Referencia'!$B$2:$CO$584,56,FALSE)=0,0,"Digite"))</f>
        <v>0</v>
      </c>
      <c r="EV56" s="454">
        <f>IF(OR('Parte Estrategica'!AP56=0,'Parte Estrategica'!AP56=""),0,IF(VLOOKUP($A56,'Matriz de Referencia'!$B$2:$CO$584,57,FALSE)=0,0,"Digite"))</f>
        <v>0</v>
      </c>
      <c r="EW56" s="454">
        <f>IF(OR('Parte Estrategica'!AP56=0,'Parte Estrategica'!AP56=""),0,IF(VLOOKUP($A56,'Matriz de Referencia'!$B$2:$CO$584,58,FALSE)=0,0,"Digite"))</f>
        <v>0</v>
      </c>
      <c r="EX56" s="454">
        <f>IF(OR('Parte Estrategica'!AP56=0,'Parte Estrategica'!AP56=""),0,IF(VLOOKUP($A56,'Matriz de Referencia'!$B$2:$CO$584,59,FALSE)=0,0,"Digite"))</f>
        <v>0</v>
      </c>
      <c r="EY56" s="454">
        <f>IF(OR('Parte Estrategica'!AP56=0,'Parte Estrategica'!AP56=""),0,IF(VLOOKUP($A56,'Matriz de Referencia'!$B$2:$CO$584,60,FALSE)=0,0,"Digite"))</f>
        <v>0</v>
      </c>
      <c r="EZ56" s="382">
        <f t="shared" si="32"/>
        <v>0</v>
      </c>
      <c r="FA56" s="454">
        <f>IF(OR('Parte Estrategica'!AP56=0,'Parte Estrategica'!AP56=""),0,IF(VLOOKUP($A56,'Matriz de Referencia'!$B$2:$CO$584,62,FALSE)=0,0,"Digite"))</f>
        <v>0</v>
      </c>
      <c r="FB56" s="454">
        <f>IF(OR('Parte Estrategica'!AP56=0,'Parte Estrategica'!AP56=""),0,IF(VLOOKUP($A56,'Matriz de Referencia'!$B$2:$CO$584,63,FALSE)=0,0,"Digite"))</f>
        <v>0</v>
      </c>
      <c r="FC56" s="454">
        <f>IF(OR('Parte Estrategica'!AP56=0,'Parte Estrategica'!AP56=""),0,IF(VLOOKUP($A56,'Matriz de Referencia'!$B$2:$CO$584,64,FALSE)=0,0,"Digite"))</f>
        <v>0</v>
      </c>
      <c r="FD56" s="382">
        <f t="shared" si="33"/>
        <v>0</v>
      </c>
      <c r="FE56" s="382">
        <f t="shared" si="34"/>
        <v>0</v>
      </c>
      <c r="FF56" s="453">
        <f>IF(OR('Parte Estrategica'!AQ56=0,'Parte Estrategica'!AQ56=""),0,IF(VLOOKUP($A56,'Matriz de Referencia'!$B$2:$CO$584,53,FALSE)=0,0,"Digite"))</f>
        <v>0</v>
      </c>
      <c r="FG56" s="454">
        <f>IF(OR('Parte Estrategica'!AQ56=0,'Parte Estrategica'!AQ56=""),0,IF(VLOOKUP($A56,'Matriz de Referencia'!$B$2:$CO$584,54,FALSE)=0,0,"Digite"))</f>
        <v>0</v>
      </c>
      <c r="FH56" s="454">
        <f>IF(OR('Parte Estrategica'!AQ56=0,'Parte Estrategica'!AQ56=""),0,IF(VLOOKUP($A56,'Matriz de Referencia'!$B$2:$CO$584,55,FALSE)=0,0,"Digite"))</f>
        <v>0</v>
      </c>
      <c r="FI56" s="454">
        <f>IF(OR('Parte Estrategica'!AQ56=0,'Parte Estrategica'!AQ56=""),0,IF(VLOOKUP($A56,'Matriz de Referencia'!$B$2:$CO$584,56,FALSE)=0,0,"Digite"))</f>
        <v>0</v>
      </c>
      <c r="FJ56" s="454">
        <f>IF(OR('Parte Estrategica'!AQ56=0,'Parte Estrategica'!AQ56=""),0,IF(VLOOKUP($A56,'Matriz de Referencia'!$B$2:$CO$584,57,FALSE)=0,0,"Digite"))</f>
        <v>0</v>
      </c>
      <c r="FK56" s="454">
        <f>IF(OR('Parte Estrategica'!AQ56=0,'Parte Estrategica'!AQ56=""),0,IF(VLOOKUP($A56,'Matriz de Referencia'!$B$2:$CO$584,58,FALSE)=0,0,"Digite"))</f>
        <v>0</v>
      </c>
      <c r="FL56" s="454">
        <f>IF(OR('Parte Estrategica'!AQ56=0,'Parte Estrategica'!AQ56=""),0,IF(VLOOKUP($A56,'Matriz de Referencia'!$B$2:$CO$584,59,FALSE)=0,0,"Digite"))</f>
        <v>0</v>
      </c>
      <c r="FM56" s="454">
        <f>IF(OR('Parte Estrategica'!AQ56=0,'Parte Estrategica'!AQ56=""),0,IF(VLOOKUP($A56,'Matriz de Referencia'!$B$2:$CO$584,60,FALSE)=0,0,"Digite"))</f>
        <v>0</v>
      </c>
      <c r="FN56" s="382">
        <f t="shared" si="35"/>
        <v>0</v>
      </c>
      <c r="FO56" s="454">
        <f>IF(OR('Parte Estrategica'!AQ56=0,'Parte Estrategica'!AQ56=""),0,IF(VLOOKUP($A56,'Matriz de Referencia'!$B$2:$CO$584,62,FALSE)=0,0,"Digite"))</f>
        <v>0</v>
      </c>
      <c r="FP56" s="454">
        <f>IF(OR('Parte Estrategica'!AQ56=0,'Parte Estrategica'!AQ56=""),0,IF(VLOOKUP($A56,'Matriz de Referencia'!$B$2:$CO$584,63,FALSE)=0,0,"Digite"))</f>
        <v>0</v>
      </c>
      <c r="FQ56" s="454">
        <f>IF(OR('Parte Estrategica'!AQ56=0,'Parte Estrategica'!AQ56=""),0,IF(VLOOKUP($A56,'Matriz de Referencia'!$B$2:$CO$584,64,FALSE)=0,0,"Digite"))</f>
        <v>0</v>
      </c>
      <c r="FR56" s="382">
        <f t="shared" si="36"/>
        <v>0</v>
      </c>
      <c r="FS56" s="382">
        <f t="shared" si="37"/>
        <v>0</v>
      </c>
      <c r="FT56" s="382">
        <f t="shared" si="38"/>
        <v>0</v>
      </c>
      <c r="FU56" s="101" t="str">
        <f>IFERROR(IF(FT56=0,"",IF(VLOOKUP($A56,'Matriz de Referencia'!$B$2:$CO$584,66,FALSE)=FT56,"Techos ok, cotinue","Debe revisar el valor programado")),"")</f>
        <v/>
      </c>
      <c r="FV56" s="453">
        <f>IF(OR('Parte Estrategica'!AT56=0,'Parte Estrategica'!AT56=""),0,IF(VLOOKUP($A56,'Matriz de Referencia'!$B$2:$CO$584,67,FALSE)=0,0,"Digite"))</f>
        <v>0</v>
      </c>
      <c r="FW56" s="454">
        <f>IF(OR('Parte Estrategica'!AT56=0,'Parte Estrategica'!AT56=""),0,IF(VLOOKUP($A56,'Matriz de Referencia'!$B$2:$CO$584,68,FALSE)=0,0,"Digite"))</f>
        <v>0</v>
      </c>
      <c r="FX56" s="454">
        <f>IF(OR('Parte Estrategica'!AT56=0,'Parte Estrategica'!AT56=""),0,IF(VLOOKUP($A56,'Matriz de Referencia'!$B$2:$CO$584,69,FALSE)=0,0,"Digite"))</f>
        <v>0</v>
      </c>
      <c r="FY56" s="454">
        <f>IF(OR('Parte Estrategica'!AT56=0,'Parte Estrategica'!AT56=""),0,IF(VLOOKUP($A56,'Matriz de Referencia'!$B$2:$CO$584,70,FALSE)=0,0,"Digite"))</f>
        <v>0</v>
      </c>
      <c r="FZ56" s="454">
        <f>IF(OR('Parte Estrategica'!AT56=0,'Parte Estrategica'!AT56=""),0,IF(VLOOKUP($A56,'Matriz de Referencia'!$B$2:$CO$584,71,FALSE)=0,0,"Digite"))</f>
        <v>0</v>
      </c>
      <c r="GA56" s="454">
        <f>IF(OR('Parte Estrategica'!AT56=0,'Parte Estrategica'!AT56=""),0,IF(VLOOKUP($A56,'Matriz de Referencia'!$B$2:$CO$584,72,FALSE)=0,0,"Digite"))</f>
        <v>0</v>
      </c>
      <c r="GB56" s="454">
        <f>IF(OR('Parte Estrategica'!AT56=0,'Parte Estrategica'!AT56=""),0,IF(VLOOKUP($A56,'Matriz de Referencia'!$B$2:$CO$584,73,FALSE)=0,0,"Digite"))</f>
        <v>0</v>
      </c>
      <c r="GC56" s="454">
        <f>IF(OR('Parte Estrategica'!AT56=0,'Parte Estrategica'!AT56=""),0,IF(VLOOKUP($A56,'Matriz de Referencia'!$B$2:$CO$584,74,FALSE)=0,0,"Digite"))</f>
        <v>0</v>
      </c>
      <c r="GD56" s="382">
        <f t="shared" si="39"/>
        <v>0</v>
      </c>
      <c r="GE56" s="454">
        <f>IF(OR('Parte Estrategica'!AT56=0,'Parte Estrategica'!AT56=""),0,IF(VLOOKUP($A56,'Matriz de Referencia'!$B$2:$CO$584,76,FALSE)=0,0,"Digite"))</f>
        <v>0</v>
      </c>
      <c r="GF56" s="454">
        <f>IF(OR('Parte Estrategica'!AT56=0,'Parte Estrategica'!AT56=""),0,IF(VLOOKUP($A56,'Matriz de Referencia'!$B$2:$CO$584,77,FALSE)=0,0,"Digite"))</f>
        <v>0</v>
      </c>
      <c r="GG56" s="454">
        <f>IF(OR('Parte Estrategica'!AT56=0,'Parte Estrategica'!AT56=""),0,IF(VLOOKUP($A56,'Matriz de Referencia'!$B$2:$CO$584,78,FALSE)=0,0,"Digite"))</f>
        <v>0</v>
      </c>
      <c r="GH56" s="382">
        <f t="shared" si="40"/>
        <v>0</v>
      </c>
      <c r="GI56" s="382">
        <f t="shared" si="41"/>
        <v>0</v>
      </c>
      <c r="GJ56" s="453">
        <f>IF(OR('Parte Estrategica'!AU56=0,'Parte Estrategica'!AU56=""),0,IF(VLOOKUP($A56,'Matriz de Referencia'!$B$2:$CO$584,67,FALSE)=0,0,"Digite"))</f>
        <v>0</v>
      </c>
      <c r="GK56" s="454">
        <f>IF(OR('Parte Estrategica'!AU56=0,'Parte Estrategica'!AU56=""),0,IF(VLOOKUP($A56,'Matriz de Referencia'!$B$2:$CO$584,68,FALSE)=0,0,"Digite"))</f>
        <v>0</v>
      </c>
      <c r="GL56" s="454">
        <f>IF(OR('Parte Estrategica'!AU56=0,'Parte Estrategica'!AU56=""),0,IF(VLOOKUP($A56,'Matriz de Referencia'!$B$2:$CO$584,69,FALSE)=0,0,"Digite"))</f>
        <v>0</v>
      </c>
      <c r="GM56" s="454">
        <f>IF(OR('Parte Estrategica'!AU56=0,'Parte Estrategica'!AU56=""),0,IF(VLOOKUP($A56,'Matriz de Referencia'!$B$2:$CO$584,70,FALSE)=0,0,"Digite"))</f>
        <v>0</v>
      </c>
      <c r="GN56" s="454">
        <f>IF(OR('Parte Estrategica'!AU56=0,'Parte Estrategica'!AU56=""),0,IF(VLOOKUP($A56,'Matriz de Referencia'!$B$2:$CO$584,71,FALSE)=0,0,"Digite"))</f>
        <v>0</v>
      </c>
      <c r="GO56" s="454">
        <f>IF(OR('Parte Estrategica'!AU56=0,'Parte Estrategica'!AU56=""),0,IF(VLOOKUP($A56,'Matriz de Referencia'!$B$2:$CO$584,72,FALSE)=0,0,"Digite"))</f>
        <v>0</v>
      </c>
      <c r="GP56" s="454">
        <f>IF(OR('Parte Estrategica'!AU56=0,'Parte Estrategica'!AU56=""),0,IF(VLOOKUP($A56,'Matriz de Referencia'!$B$2:$CO$584,73,FALSE)=0,0,"Digite"))</f>
        <v>0</v>
      </c>
      <c r="GQ56" s="454">
        <f>IF(OR('Parte Estrategica'!AU56=0,'Parte Estrategica'!AU56=""),0,IF(VLOOKUP($A56,'Matriz de Referencia'!$B$2:$CO$584,74,FALSE)=0,0,"Digite"))</f>
        <v>0</v>
      </c>
      <c r="GR56" s="382">
        <f t="shared" si="42"/>
        <v>0</v>
      </c>
      <c r="GS56" s="454">
        <f>IF(OR('Parte Estrategica'!AU56=0,'Parte Estrategica'!AU56=""),0,IF(VLOOKUP($A56,'Matriz de Referencia'!$B$2:$CO$584,76,FALSE)=0,0,"Digite"))</f>
        <v>0</v>
      </c>
      <c r="GT56" s="454">
        <f>IF(OR('Parte Estrategica'!AU56=0,'Parte Estrategica'!AU56=""),0,IF(VLOOKUP($A56,'Matriz de Referencia'!$B$2:$CO$584,77,FALSE)=0,0,"Digite"))</f>
        <v>0</v>
      </c>
      <c r="GU56" s="454">
        <f>IF(OR('Parte Estrategica'!AU56=0,'Parte Estrategica'!AU56=""),0,IF(VLOOKUP($A56,'Matriz de Referencia'!$B$2:$CO$584,78,FALSE)=0,0,"Digite"))</f>
        <v>0</v>
      </c>
      <c r="GV56" s="382">
        <f t="shared" si="43"/>
        <v>0</v>
      </c>
      <c r="GW56" s="382">
        <f t="shared" si="44"/>
        <v>0</v>
      </c>
      <c r="GX56" s="453">
        <f>IF(OR('Parte Estrategica'!AV56=0,'Parte Estrategica'!AV56=""),0,IF(VLOOKUP($A56,'Matriz de Referencia'!$B$2:$CO$584,67,FALSE)=0,0,"Digite"))</f>
        <v>0</v>
      </c>
      <c r="GY56" s="454">
        <f>IF(OR('Parte Estrategica'!AV56=0,'Parte Estrategica'!AV56=""),0,IF(VLOOKUP($A56,'Matriz de Referencia'!$B$2:$CO$584,68,FALSE)=0,0,"Digite"))</f>
        <v>0</v>
      </c>
      <c r="GZ56" s="454">
        <f>IF(OR('Parte Estrategica'!AV56=0,'Parte Estrategica'!AV56=""),0,IF(VLOOKUP($A56,'Matriz de Referencia'!$B$2:$CO$584,69,FALSE)=0,0,"Digite"))</f>
        <v>0</v>
      </c>
      <c r="HA56" s="454">
        <f>IF(OR('Parte Estrategica'!AV56=0,'Parte Estrategica'!AV56=""),0,IF(VLOOKUP($A56,'Matriz de Referencia'!$B$2:$CO$584,70,FALSE)=0,0,"Digite"))</f>
        <v>0</v>
      </c>
      <c r="HB56" s="454">
        <f>IF(OR('Parte Estrategica'!AV56=0,'Parte Estrategica'!AV56=""),0,IF(VLOOKUP($A56,'Matriz de Referencia'!$B$2:$CO$584,71,FALSE)=0,0,"Digite"))</f>
        <v>0</v>
      </c>
      <c r="HC56" s="454">
        <f>IF(OR('Parte Estrategica'!AV56=0,'Parte Estrategica'!AV56=""),0,IF(VLOOKUP($A56,'Matriz de Referencia'!$B$2:$CO$584,72,FALSE)=0,0,"Digite"))</f>
        <v>0</v>
      </c>
      <c r="HD56" s="454">
        <f>IF(OR('Parte Estrategica'!AV56=0,'Parte Estrategica'!AV56=""),0,IF(VLOOKUP($A56,'Matriz de Referencia'!$B$2:$CO$584,73,FALSE)=0,0,"Digite"))</f>
        <v>0</v>
      </c>
      <c r="HE56" s="454">
        <f>IF(OR('Parte Estrategica'!AV56=0,'Parte Estrategica'!AV56=""),0,IF(VLOOKUP($A56,'Matriz de Referencia'!$B$2:$CO$584,74,FALSE)=0,0,"Digite"))</f>
        <v>0</v>
      </c>
      <c r="HF56" s="382">
        <f t="shared" si="45"/>
        <v>0</v>
      </c>
      <c r="HG56" s="454">
        <f>IF(OR('Parte Estrategica'!AV56=0,'Parte Estrategica'!AV56=""),0,IF(VLOOKUP($A56,'Matriz de Referencia'!$B$2:$CO$584,76,FALSE)=0,0,"Digite"))</f>
        <v>0</v>
      </c>
      <c r="HH56" s="454">
        <f>IF(OR('Parte Estrategica'!AV56=0,'Parte Estrategica'!AV56=""),0,IF(VLOOKUP($A56,'Matriz de Referencia'!$B$2:$CO$584,77,FALSE)=0,0,"Digite"))</f>
        <v>0</v>
      </c>
      <c r="HI56" s="454">
        <f>IF(OR('Parte Estrategica'!AV56=0,'Parte Estrategica'!AV56=""),0,IF(VLOOKUP($A56,'Matriz de Referencia'!$B$2:$CO$584,78,FALSE)=0,0,"Digite"))</f>
        <v>0</v>
      </c>
      <c r="HJ56" s="382">
        <f t="shared" si="46"/>
        <v>0</v>
      </c>
      <c r="HK56" s="382">
        <f t="shared" si="47"/>
        <v>0</v>
      </c>
      <c r="HL56" s="453">
        <f>IF(OR('Parte Estrategica'!AW56=0,'Parte Estrategica'!AW56=""),0,IF(VLOOKUP($A56,'Matriz de Referencia'!$B$2:$CO$584,67,FALSE)=0,0,"Digite"))</f>
        <v>0</v>
      </c>
      <c r="HM56" s="454">
        <f>IF(OR('Parte Estrategica'!AW56=0,'Parte Estrategica'!AW56=""),0,IF(VLOOKUP($A56,'Matriz de Referencia'!$B$2:$CO$584,68,FALSE)=0,0,"Digite"))</f>
        <v>0</v>
      </c>
      <c r="HN56" s="454">
        <f>IF(OR('Parte Estrategica'!AW56=0,'Parte Estrategica'!AW56=""),0,IF(VLOOKUP($A56,'Matriz de Referencia'!$B$2:$CO$584,69,FALSE)=0,0,"Digite"))</f>
        <v>0</v>
      </c>
      <c r="HO56" s="454">
        <f>IF(OR('Parte Estrategica'!AW56=0,'Parte Estrategica'!AW56=""),0,IF(VLOOKUP($A56,'Matriz de Referencia'!$B$2:$CO$584,70,FALSE)=0,0,"Digite"))</f>
        <v>0</v>
      </c>
      <c r="HP56" s="454">
        <f>IF(OR('Parte Estrategica'!AW56=0,'Parte Estrategica'!AW56=""),0,IF(VLOOKUP($A56,'Matriz de Referencia'!$B$2:$CO$584,71,FALSE)=0,0,"Digite"))</f>
        <v>0</v>
      </c>
      <c r="HQ56" s="454">
        <f>IF(OR('Parte Estrategica'!AW56=0,'Parte Estrategica'!AW56=""),0,IF(VLOOKUP($A56,'Matriz de Referencia'!$B$2:$CO$584,72,FALSE)=0,0,"Digite"))</f>
        <v>0</v>
      </c>
      <c r="HR56" s="454">
        <f>IF(OR('Parte Estrategica'!AW56=0,'Parte Estrategica'!AW56=""),0,IF(VLOOKUP($A56,'Matriz de Referencia'!$B$2:$CO$584,73,FALSE)=0,0,"Digite"))</f>
        <v>0</v>
      </c>
      <c r="HS56" s="454">
        <f>IF(OR('Parte Estrategica'!AW56=0,'Parte Estrategica'!AW56=""),0,IF(VLOOKUP($A56,'Matriz de Referencia'!$B$2:$CO$584,74,FALSE)=0,0,"Digite"))</f>
        <v>0</v>
      </c>
      <c r="HT56" s="382">
        <f t="shared" si="48"/>
        <v>0</v>
      </c>
      <c r="HU56" s="454">
        <f>IF(OR('Parte Estrategica'!AW56=0,'Parte Estrategica'!AW56=""),0,IF(VLOOKUP($A56,'Matriz de Referencia'!$B$2:$CO$584,76,FALSE)=0,0,"Digite"))</f>
        <v>0</v>
      </c>
      <c r="HV56" s="454">
        <f>IF(OR('Parte Estrategica'!AW56=0,'Parte Estrategica'!AW56=""),0,IF(VLOOKUP($A56,'Matriz de Referencia'!$B$2:$CO$584,77,FALSE)=0,0,"Digite"))</f>
        <v>0</v>
      </c>
      <c r="HW56" s="454">
        <f>IF(OR('Parte Estrategica'!AW56=0,'Parte Estrategica'!AW56=""),0,IF(VLOOKUP($A56,'Matriz de Referencia'!$B$2:$CO$584,78,FALSE)=0,0,"Digite"))</f>
        <v>0</v>
      </c>
      <c r="HX56" s="382">
        <f t="shared" si="49"/>
        <v>0</v>
      </c>
      <c r="HY56" s="382">
        <f t="shared" si="50"/>
        <v>0</v>
      </c>
      <c r="HZ56" s="382">
        <f t="shared" si="51"/>
        <v>0</v>
      </c>
      <c r="IA56" s="101" t="str">
        <f>IFERROR(IF(HZ56=0,"",IF(VLOOKUP($A56,'Matriz de Referencia'!$B$2:$CO$584,80,FALSE)=HZ56,"Techos ok, cotinue","Debe revisar el valor programado")),"")</f>
        <v/>
      </c>
      <c r="IB56" s="383">
        <f t="shared" si="52"/>
        <v>0</v>
      </c>
    </row>
    <row r="57" spans="1:236">
      <c r="A57" s="550" t="str">
        <f>IF('Parte Estrategica'!B57=0,"",'Parte Estrategica'!B57)</f>
        <v/>
      </c>
      <c r="B57" s="551" t="str">
        <f>IFERROR(VLOOKUP(A57,'Matriz de Referencia'!$B$2:$P$578,'Matriz de Referencia'!L$1,FALSE),"")</f>
        <v/>
      </c>
      <c r="C57" s="551" t="str">
        <f>IFERROR(VLOOKUP(A57,'Matriz de Referencia'!$B$2:$P$584,'Matriz de Referencia'!M$1,FALSE),"")</f>
        <v/>
      </c>
      <c r="D57" s="455" t="str">
        <f>IF(OR('Parte Estrategica'!AB57=0,'Parte Estrategica'!AB57=""),"",IF(VLOOKUP($A57,'Matriz de Referencia'!$B$2:$CO$584,'Matriz de Referencia'!Z$1,FALSE)=0,"","Digite"))</f>
        <v/>
      </c>
      <c r="E57" s="456">
        <f>IF(OR('Parte Estrategica'!AB57=0,'Parte Estrategica'!AB57=""),0,IF(VLOOKUP($A57,'Matriz de Referencia'!$B$2:$CO$584,26,FALSE)=0,0,"Digite"))</f>
        <v>0</v>
      </c>
      <c r="F57" s="456">
        <f>IF(OR('Parte Estrategica'!AB57=0,'Parte Estrategica'!AB57=""),0,IF(VLOOKUP($A57,'Matriz de Referencia'!$B$2:$CO$584,27,FALSE)=0,0,"Digite"))</f>
        <v>0</v>
      </c>
      <c r="G57" s="456">
        <f>IF(OR('Parte Estrategica'!AB57=0,'Parte Estrategica'!AB57=""),0,IF(VLOOKUP($A57,'Matriz de Referencia'!$B$2:$CO$584,28,FALSE)=0,0,"Digite"))</f>
        <v>0</v>
      </c>
      <c r="H57" s="456">
        <f>IF(OR('Parte Estrategica'!AB57=0,'Parte Estrategica'!AB57=""),0,IF(VLOOKUP($A57,'Matriz de Referencia'!$B$2:$CO$584,29,FALSE)=0,0,"Digite"))</f>
        <v>0</v>
      </c>
      <c r="I57" s="456">
        <f>IF(OR('Parte Estrategica'!AB57=0,'Parte Estrategica'!AB57=""),0,IF(VLOOKUP($A57,'Matriz de Referencia'!$B$2:$CO$584,30,FALSE)=0,0,"Digite"))</f>
        <v>0</v>
      </c>
      <c r="J57" s="456">
        <f>IF(OR('Parte Estrategica'!AB57=0,'Parte Estrategica'!AB57=""),0,IF(VLOOKUP($A57,'Matriz de Referencia'!$B$2:$CO$584,31,FALSE)=0,0,"Digite"))</f>
        <v>0</v>
      </c>
      <c r="K57" s="456">
        <f>IF(OR('Parte Estrategica'!AB57=0,'Parte Estrategica'!AB57=""),0,IF(VLOOKUP($A57,'Matriz de Referencia'!$B$2:$CO$584,32,FALSE)=0,0,"Digite"))</f>
        <v>0</v>
      </c>
      <c r="L57" s="460">
        <f t="shared" si="0"/>
        <v>0</v>
      </c>
      <c r="M57" s="456">
        <f>IF(OR('Parte Estrategica'!AB57=0,'Parte Estrategica'!AB57=""),0,IF(VLOOKUP($A57,'Matriz de Referencia'!$B$2:$CO$584,34,FALSE)=0,0,"Digite"))</f>
        <v>0</v>
      </c>
      <c r="N57" s="456">
        <f>IF(OR('Parte Estrategica'!AB57=0,'Parte Estrategica'!AB57=""),0,IF(VLOOKUP($A57,'Matriz de Referencia'!$B$2:$CO$584,35,FALSE)=0,0,"Digite"))</f>
        <v>0</v>
      </c>
      <c r="O57" s="456">
        <f>IF(OR('Parte Estrategica'!AB57=0,'Parte Estrategica'!AB57=""),0,IF(VLOOKUP($A57,'Matriz de Referencia'!$B$2:$CO$584,36,FALSE)=0,0,"Digite"))</f>
        <v>0</v>
      </c>
      <c r="P57" s="457">
        <f t="shared" si="1"/>
        <v>0</v>
      </c>
      <c r="Q57" s="457">
        <f t="shared" si="2"/>
        <v>0</v>
      </c>
      <c r="R57" s="455">
        <f>IF(OR('Parte Estrategica'!AC57=0,'Parte Estrategica'!AC57=""),0,IF(VLOOKUP($A57,'Matriz de Referencia'!$B$2:$CO$584,25,FALSE)=0,0,"Digite"))</f>
        <v>0</v>
      </c>
      <c r="S57" s="456">
        <f>IF(OR('Parte Estrategica'!AC57=0,'Parte Estrategica'!AC57=""),0,IF(VLOOKUP($A57,'Matriz de Referencia'!$B$2:$CO$584,26,FALSE)=0,0,"Digite"))</f>
        <v>0</v>
      </c>
      <c r="T57" s="456">
        <f>IF(OR('Parte Estrategica'!AC57=0,'Parte Estrategica'!AC57=""),0,IF(VLOOKUP($A57,'Matriz de Referencia'!$B$2:$CO$584,27,FALSE)=0,0,"Digite"))</f>
        <v>0</v>
      </c>
      <c r="U57" s="456">
        <f>IF(OR('Parte Estrategica'!AC57=0,'Parte Estrategica'!AC57=""),0,IF(VLOOKUP($A57,'Matriz de Referencia'!$B$2:$CO$584,28,FALSE)=0,0,"Digite"))</f>
        <v>0</v>
      </c>
      <c r="V57" s="456">
        <f>IF(OR('Parte Estrategica'!AC57=0,'Parte Estrategica'!AC57=""),0,IF(VLOOKUP($A57,'Matriz de Referencia'!$B$2:$CO$584,29,FALSE)=0,0,"Digite"))</f>
        <v>0</v>
      </c>
      <c r="W57" s="456">
        <f>IF(OR('Parte Estrategica'!AC57=0,'Parte Estrategica'!AC57=""),0,IF(VLOOKUP($A57,'Matriz de Referencia'!$B$2:$CO$584,30,FALSE)=0,0,"Digite"))</f>
        <v>0</v>
      </c>
      <c r="X57" s="456">
        <f>IF(OR('Parte Estrategica'!AC57=0,'Parte Estrategica'!AC57=""),0,IF(VLOOKUP($A57,'Matriz de Referencia'!$B$2:$CO$584,31,FALSE)=0,0,"Digite"))</f>
        <v>0</v>
      </c>
      <c r="Y57" s="456">
        <f>IF(OR('Parte Estrategica'!AC57=0,'Parte Estrategica'!AC57=""),0,IF(VLOOKUP($A57,'Matriz de Referencia'!$B$2:$CO$584,32,FALSE)=0,0,"Digite"))</f>
        <v>0</v>
      </c>
      <c r="Z57" s="457">
        <f t="shared" si="3"/>
        <v>0</v>
      </c>
      <c r="AA57" s="456">
        <f>IF(OR('Parte Estrategica'!AC57=0,'Parte Estrategica'!AC57=""),0,IF(VLOOKUP($A57,'Matriz de Referencia'!$B$2:$CO$584,34,FALSE)=0,0,"Digite"))</f>
        <v>0</v>
      </c>
      <c r="AB57" s="456">
        <f>IF(OR('Parte Estrategica'!AC57=0,'Parte Estrategica'!AC57=""),0,IF(VLOOKUP($A57,'Matriz de Referencia'!$B$2:$CO$584,35,FALSE)=0,0,"Digite"))</f>
        <v>0</v>
      </c>
      <c r="AC57" s="456">
        <f>IF(OR('Parte Estrategica'!AC57=0,'Parte Estrategica'!AC57=""),0,IF(VLOOKUP($A57,'Matriz de Referencia'!$B$2:$CO$584,36,FALSE)=0,0,"Digite"))</f>
        <v>0</v>
      </c>
      <c r="AD57" s="457">
        <f t="shared" si="4"/>
        <v>0</v>
      </c>
      <c r="AE57" s="457">
        <f t="shared" si="5"/>
        <v>0</v>
      </c>
      <c r="AF57" s="455">
        <f>IF(OR('Parte Estrategica'!AD57=0,'Parte Estrategica'!AD57=""),0,IF(VLOOKUP($A57,'Matriz de Referencia'!$B$2:$CO$584,25,FALSE)=0,0,"Digite"))</f>
        <v>0</v>
      </c>
      <c r="AG57" s="456">
        <f>IF(OR('Parte Estrategica'!AD57=0,'Parte Estrategica'!AD57=""),0,IF(VLOOKUP($A57,'Matriz de Referencia'!$B$2:$CO$584,26,FALSE)=0,0,"Digite"))</f>
        <v>0</v>
      </c>
      <c r="AH57" s="456">
        <f>IF(OR('Parte Estrategica'!AD57=0,'Parte Estrategica'!AD57=""),0,IF(VLOOKUP($A57,'Matriz de Referencia'!$B$2:$CO$584,27,FALSE)=0,0,"Digite"))</f>
        <v>0</v>
      </c>
      <c r="AI57" s="456">
        <f>IF(OR('Parte Estrategica'!AD57=0,'Parte Estrategica'!AD57=""),0,IF(VLOOKUP($A57,'Matriz de Referencia'!$B$2:$CO$584,28,FALSE)=0,0,"Digite"))</f>
        <v>0</v>
      </c>
      <c r="AJ57" s="456">
        <f>IF(OR('Parte Estrategica'!AD57=0,'Parte Estrategica'!AD57=""),0,IF(VLOOKUP($A57,'Matriz de Referencia'!$B$2:$CO$584,29,FALSE)=0,0,"Digite"))</f>
        <v>0</v>
      </c>
      <c r="AK57" s="456">
        <f>IF(OR('Parte Estrategica'!AD57=0,'Parte Estrategica'!AD57=""),0,IF(VLOOKUP($A57,'Matriz de Referencia'!$B$2:$CO$584,30,FALSE)=0,0,"Digite"))</f>
        <v>0</v>
      </c>
      <c r="AL57" s="456">
        <f>IF(OR('Parte Estrategica'!AD57=0,'Parte Estrategica'!AD57=""),0,IF(VLOOKUP($A57,'Matriz de Referencia'!$B$2:$CO$584,31,FALSE)=0,0,"Digite"))</f>
        <v>0</v>
      </c>
      <c r="AM57" s="456">
        <f>IF(OR('Parte Estrategica'!AD57=0,'Parte Estrategica'!AD57=""),0,IF(VLOOKUP($A57,'Matriz de Referencia'!$B$2:$CO$584,32,FALSE)=0,0,"Digite"))</f>
        <v>0</v>
      </c>
      <c r="AN57" s="457">
        <f t="shared" si="6"/>
        <v>0</v>
      </c>
      <c r="AO57" s="456">
        <f>IF(OR('Parte Estrategica'!AD57=0,'Parte Estrategica'!AD57=""),0,IF(VLOOKUP($A57,'Matriz de Referencia'!$B$2:$CO$584,34,FALSE)=0,0,"Digite"))</f>
        <v>0</v>
      </c>
      <c r="AP57" s="456">
        <f>IF(OR('Parte Estrategica'!AD57=0,'Parte Estrategica'!AD57=""),0,IF(VLOOKUP($A57,'Matriz de Referencia'!$B$2:$CO$584,35,FALSE)=0,0,"Digite"))</f>
        <v>0</v>
      </c>
      <c r="AQ57" s="456">
        <f>IF(OR('Parte Estrategica'!AD57=0,'Parte Estrategica'!AD57=""),0,IF(VLOOKUP($A57,'Matriz de Referencia'!$B$2:$CO$584,36,FALSE)=0,0,"Digite"))</f>
        <v>0</v>
      </c>
      <c r="AR57" s="457">
        <f t="shared" si="7"/>
        <v>0</v>
      </c>
      <c r="AS57" s="457">
        <f t="shared" si="8"/>
        <v>0</v>
      </c>
      <c r="AT57" s="455">
        <f>IF(OR('Parte Estrategica'!AE57=0,'Parte Estrategica'!AE57=""),0,IF(VLOOKUP($A57,'Matriz de Referencia'!$B$2:$CO$584,25,FALSE)=0,0,"Digite"))</f>
        <v>0</v>
      </c>
      <c r="AU57" s="456">
        <f>IF(OR('Parte Estrategica'!AE57=0,'Parte Estrategica'!AE57=""),0,IF(VLOOKUP($A57,'Matriz de Referencia'!$B$2:$CO$584,26,FALSE)=0,0,"Digite"))</f>
        <v>0</v>
      </c>
      <c r="AV57" s="456">
        <f>IF(OR('Parte Estrategica'!AE57=0,'Parte Estrategica'!AE57=""),0,IF(VLOOKUP($A57,'Matriz de Referencia'!$B$2:$CO$584,27,FALSE)=0,0,"Digite"))</f>
        <v>0</v>
      </c>
      <c r="AW57" s="456">
        <f>IF(OR('Parte Estrategica'!AE57=0,'Parte Estrategica'!AE57=""),0,IF(VLOOKUP($A57,'Matriz de Referencia'!$B$2:$CO$584,28,FALSE)=0,0,"Digite"))</f>
        <v>0</v>
      </c>
      <c r="AX57" s="456">
        <f>IF(OR('Parte Estrategica'!AE57=0,'Parte Estrategica'!AE57=""),0,IF(VLOOKUP($A57,'Matriz de Referencia'!$B$2:$CO$584,29,FALSE)=0,0,"Digite"))</f>
        <v>0</v>
      </c>
      <c r="AY57" s="456">
        <f>IF(OR('Parte Estrategica'!AE57=0,'Parte Estrategica'!AE57=""),0,IF(VLOOKUP($A57,'Matriz de Referencia'!$B$2:$CO$584,30,FALSE)=0,0,"Digite"))</f>
        <v>0</v>
      </c>
      <c r="AZ57" s="456">
        <f>IF(OR('Parte Estrategica'!AE57=0,'Parte Estrategica'!AE57=""),0,IF(VLOOKUP($A57,'Matriz de Referencia'!$B$2:$CO$584,31,FALSE)=0,0,"Digite"))</f>
        <v>0</v>
      </c>
      <c r="BA57" s="456">
        <f>IF(OR('Parte Estrategica'!AE57=0,'Parte Estrategica'!AE57=""),0,IF(VLOOKUP($A57,'Matriz de Referencia'!$B$2:$CO$584,32,FALSE)=0,0,"Digite"))</f>
        <v>0</v>
      </c>
      <c r="BB57" s="457">
        <f t="shared" si="9"/>
        <v>0</v>
      </c>
      <c r="BC57" s="456">
        <f>IF(OR('Parte Estrategica'!AE57=0,'Parte Estrategica'!AE57=""),0,IF(VLOOKUP($A57,'Matriz de Referencia'!$B$2:$CO$584,34,FALSE)=0,0,"Digite"))</f>
        <v>0</v>
      </c>
      <c r="BD57" s="456">
        <f>IF(OR('Parte Estrategica'!AE57=0,'Parte Estrategica'!AE57=""),0,IF(VLOOKUP($A57,'Matriz de Referencia'!$B$2:$CO$584,35,FALSE)=0,0,"Digite"))</f>
        <v>0</v>
      </c>
      <c r="BE57" s="456">
        <f>IF(OR('Parte Estrategica'!AE57=0,'Parte Estrategica'!AE57=""),0,IF(VLOOKUP($A57,'Matriz de Referencia'!$B$2:$CO$584,36,FALSE)=0,0,"Digite"))</f>
        <v>0</v>
      </c>
      <c r="BF57" s="457">
        <f t="shared" si="10"/>
        <v>0</v>
      </c>
      <c r="BG57" s="457">
        <f t="shared" si="11"/>
        <v>0</v>
      </c>
      <c r="BH57" s="457">
        <f t="shared" si="12"/>
        <v>0</v>
      </c>
      <c r="BI57" s="101" t="str">
        <f>IFERROR(IF(BH57=0,"",IF(VLOOKUP($A57,'Matriz de Referencia'!$B$2:$CO$584,'Matriz de Referencia'!AM$1,FALSE)=BH57,"Techos ok, cotinue","Debe revisar el valor programado")),"")</f>
        <v/>
      </c>
      <c r="BJ57" s="453">
        <f>IF(OR('Parte Estrategica'!AH57=0,'Parte Estrategica'!AH57=""),0,IF(VLOOKUP($A57,'Matriz de Referencia'!$B$2:$CO$584,39,FALSE)=0,0,"Digite"))</f>
        <v>0</v>
      </c>
      <c r="BK57" s="454">
        <f>IF(OR('Parte Estrategica'!AH57=0,'Parte Estrategica'!AH57=""),0,IF(VLOOKUP($A57,'Matriz de Referencia'!$B$2:$CO$584,40,FALSE)=0,0,"Digite"))</f>
        <v>0</v>
      </c>
      <c r="BL57" s="454">
        <f>IF(OR('Parte Estrategica'!AH57=0,'Parte Estrategica'!AH57=""),0,IF(VLOOKUP($A57,'Matriz de Referencia'!$B$2:$CO$584,41,FALSE)=0,0,"Digite"))</f>
        <v>0</v>
      </c>
      <c r="BM57" s="454">
        <f>IF(OR('Parte Estrategica'!AH57=0,'Parte Estrategica'!AH57=""),0,IF(VLOOKUP($A57,'Matriz de Referencia'!$B$2:$CO$584,42,FALSE)=0,0,"Digite"))</f>
        <v>0</v>
      </c>
      <c r="BN57" s="454">
        <f>IF(OR('Parte Estrategica'!AH57=0,'Parte Estrategica'!AH57=""),0,IF(VLOOKUP($A57,'Matriz de Referencia'!$B$2:$CO$584,43,FALSE)=0,0,"Digite"))</f>
        <v>0</v>
      </c>
      <c r="BO57" s="454">
        <f>IF(OR('Parte Estrategica'!AH57=0,'Parte Estrategica'!AH57=""),0,IF(VLOOKUP($A57,'Matriz de Referencia'!$B$2:$CO$584,44,FALSE)=0,0,"Digite"))</f>
        <v>0</v>
      </c>
      <c r="BP57" s="454">
        <f>IF(OR('Parte Estrategica'!AH57=0,'Parte Estrategica'!AH57=""),0,IF(VLOOKUP($A57,'Matriz de Referencia'!$B$2:$CO$584,45,FALSE)=0,0,"Digite"))</f>
        <v>0</v>
      </c>
      <c r="BQ57" s="454">
        <f>IF(OR('Parte Estrategica'!AH57=0,'Parte Estrategica'!AH57=""),0,IF(VLOOKUP($A57,'Matriz de Referencia'!$B$2:$CO$584,46,FALSE)=0,0,"Digite"))</f>
        <v>0</v>
      </c>
      <c r="BR57" s="382">
        <f t="shared" si="13"/>
        <v>0</v>
      </c>
      <c r="BS57" s="454">
        <f>IF(OR('Parte Estrategica'!CL57=0,'Parte Estrategica'!CL57=""),0,IF(VLOOKUP($A57,'Matriz de Referencia'!$B$2:$CO$584,48,FALSE)=0,0,"Digite"))</f>
        <v>0</v>
      </c>
      <c r="BT57" s="454">
        <f>IF(OR('Parte Estrategica'!CL57=0,'Parte Estrategica'!CL57=""),0,IF(VLOOKUP($A57,'Matriz de Referencia'!$B$2:$CO$584,49,FALSE)=0,0,"Digite"))</f>
        <v>0</v>
      </c>
      <c r="BU57" s="454">
        <f>IF(OR('Parte Estrategica'!CL57=0,'Parte Estrategica'!CL57=""),0,IF(VLOOKUP($A57,'Matriz de Referencia'!$B$2:$CO$584,50,FALSE)=0,0,"Digite"))</f>
        <v>0</v>
      </c>
      <c r="BV57" s="382">
        <f t="shared" si="14"/>
        <v>0</v>
      </c>
      <c r="BW57" s="382">
        <f t="shared" si="15"/>
        <v>0</v>
      </c>
      <c r="BX57" s="453">
        <f>IF(OR('Parte Estrategica'!AI57=0,'Parte Estrategica'!AI57=""),0,IF(VLOOKUP($A57,'Matriz de Referencia'!$B$2:$CO$584,39,FALSE)=0,0,"Digite"))</f>
        <v>0</v>
      </c>
      <c r="BY57" s="454">
        <f>IF(OR('Parte Estrategica'!AI57=0,'Parte Estrategica'!AI57=""),0,IF(VLOOKUP($A57,'Matriz de Referencia'!$B$2:$CO$584,40,FALSE)=0,0,"Digite"))</f>
        <v>0</v>
      </c>
      <c r="BZ57" s="454">
        <f>IF(OR('Parte Estrategica'!AI57=0,'Parte Estrategica'!AI57=""),0,IF(VLOOKUP($A57,'Matriz de Referencia'!$B$2:$CO$584,41,FALSE)=0,0,"Digite"))</f>
        <v>0</v>
      </c>
      <c r="CA57" s="454">
        <f>IF(OR('Parte Estrategica'!AI57=0,'Parte Estrategica'!AI57=""),0,IF(VLOOKUP($A57,'Matriz de Referencia'!$B$2:$CO$584,42,FALSE)=0,0,"Digite"))</f>
        <v>0</v>
      </c>
      <c r="CB57" s="454">
        <f>IF(OR('Parte Estrategica'!AI57=0,'Parte Estrategica'!AI57=""),0,IF(VLOOKUP($A57,'Matriz de Referencia'!$B$2:$CO$584,43,FALSE)=0,0,"Digite"))</f>
        <v>0</v>
      </c>
      <c r="CC57" s="454">
        <f>IF(OR('Parte Estrategica'!AI57=0,'Parte Estrategica'!AI57=""),0,IF(VLOOKUP($A57,'Matriz de Referencia'!$B$2:$CO$584,44,FALSE)=0,0,"Digite"))</f>
        <v>0</v>
      </c>
      <c r="CD57" s="454">
        <f>IF(OR('Parte Estrategica'!AI57=0,'Parte Estrategica'!AI57=""),0,IF(VLOOKUP($A57,'Matriz de Referencia'!$B$2:$CO$584,45,FALSE)=0,0,"Digite"))</f>
        <v>0</v>
      </c>
      <c r="CE57" s="454">
        <f>IF(OR('Parte Estrategica'!AI57=0,'Parte Estrategica'!AI57=""),0,IF(VLOOKUP($A57,'Matriz de Referencia'!$B$2:$CO$584,46,FALSE)=0,0,"Digite"))</f>
        <v>0</v>
      </c>
      <c r="CF57" s="382">
        <f t="shared" si="16"/>
        <v>0</v>
      </c>
      <c r="CG57" s="454">
        <f>IF(OR('Parte Estrategica'!AI57=0,'Parte Estrategica'!AI57=""),0,IF(VLOOKUP($A57,'Matriz de Referencia'!$B$2:$CO$584,48,FALSE)=0,0,"Digite"))</f>
        <v>0</v>
      </c>
      <c r="CH57" s="454">
        <f>IF(OR('Parte Estrategica'!AI57=0,'Parte Estrategica'!AI57=""),0,IF(VLOOKUP($A57,'Matriz de Referencia'!$B$2:$CO$584,49,FALSE)=0,0,"Digite"))</f>
        <v>0</v>
      </c>
      <c r="CI57" s="454">
        <f>IF(OR('Parte Estrategica'!AI57=0,'Parte Estrategica'!AI57=""),0,IF(VLOOKUP($A57,'Matriz de Referencia'!$B$2:$CO$584,50,FALSE)=0,0,"Digite"))</f>
        <v>0</v>
      </c>
      <c r="CJ57" s="382">
        <f t="shared" si="17"/>
        <v>0</v>
      </c>
      <c r="CK57" s="382">
        <f t="shared" si="18"/>
        <v>0</v>
      </c>
      <c r="CL57" s="453">
        <f>IF(OR('Parte Estrategica'!AJ57=0,'Parte Estrategica'!AJ57=""),0,IF(VLOOKUP($A57,'Matriz de Referencia'!$B$2:$CO$584,39,FALSE)=0,0,"Digite"))</f>
        <v>0</v>
      </c>
      <c r="CM57" s="454">
        <f>IF(OR('Parte Estrategica'!AJ57=0,'Parte Estrategica'!AJ57=""),0,IF(VLOOKUP($A57,'Matriz de Referencia'!$B$2:$CO$584,40,FALSE)=0,0,"Digite"))</f>
        <v>0</v>
      </c>
      <c r="CN57" s="454">
        <f>IF(OR('Parte Estrategica'!AJ57=0,'Parte Estrategica'!AJ57=""),0,IF(VLOOKUP($A57,'Matriz de Referencia'!$B$2:$CO$584,41,FALSE)=0,0,"Digite"))</f>
        <v>0</v>
      </c>
      <c r="CO57" s="454">
        <f>IF(OR('Parte Estrategica'!AJ57=0,'Parte Estrategica'!AJ57=""),0,IF(VLOOKUP($A57,'Matriz de Referencia'!$B$2:$CO$584,42,FALSE)=0,0,"Digite"))</f>
        <v>0</v>
      </c>
      <c r="CP57" s="454">
        <f>IF(OR('Parte Estrategica'!AJ57=0,'Parte Estrategica'!AJ57=""),0,IF(VLOOKUP($A57,'Matriz de Referencia'!$B$2:$CO$584,43,FALSE)=0,0,"Digite"))</f>
        <v>0</v>
      </c>
      <c r="CQ57" s="454">
        <f>IF(OR('Parte Estrategica'!AJ57=0,'Parte Estrategica'!AJ57=""),0,IF(VLOOKUP($A57,'Matriz de Referencia'!$B$2:$CO$584,44,FALSE)=0,0,"Digite"))</f>
        <v>0</v>
      </c>
      <c r="CR57" s="454">
        <f>IF(OR('Parte Estrategica'!AJ57=0,'Parte Estrategica'!AJ57=""),0,IF(VLOOKUP($A57,'Matriz de Referencia'!$B$2:$CO$584,45,FALSE)=0,0,"Digite"))</f>
        <v>0</v>
      </c>
      <c r="CS57" s="454">
        <f>IF(OR('Parte Estrategica'!AJ57=0,'Parte Estrategica'!AJ57=""),0,IF(VLOOKUP($A57,'Matriz de Referencia'!$B$2:$CO$584,46,FALSE)=0,0,"Digite"))</f>
        <v>0</v>
      </c>
      <c r="CT57" s="382">
        <f t="shared" si="19"/>
        <v>0</v>
      </c>
      <c r="CU57" s="454">
        <f>IF(OR('Parte Estrategica'!AJ57=0,'Parte Estrategica'!AJ57=""),0,IF(VLOOKUP($A57,'Matriz de Referencia'!$B$2:$CO$584,48,FALSE)=0,0,"Digite"))</f>
        <v>0</v>
      </c>
      <c r="CV57" s="454">
        <f>IF(OR('Parte Estrategica'!AJ57=0,'Parte Estrategica'!AJ57=""),0,IF(VLOOKUP($A57,'Matriz de Referencia'!$B$2:$CO$584,49,FALSE)=0,0,"Digite"))</f>
        <v>0</v>
      </c>
      <c r="CW57" s="454">
        <f>IF(OR('Parte Estrategica'!AJ57=0,'Parte Estrategica'!AJ57=""),0,IF(VLOOKUP($A57,'Matriz de Referencia'!$B$2:$CO$584,50,FALSE)=0,0,"Digite"))</f>
        <v>0</v>
      </c>
      <c r="CX57" s="382">
        <f t="shared" si="20"/>
        <v>0</v>
      </c>
      <c r="CY57" s="382">
        <f t="shared" si="21"/>
        <v>0</v>
      </c>
      <c r="CZ57" s="453">
        <f>IF(OR('Parte Estrategica'!AK57=0,'Parte Estrategica'!AK57=""),0,IF(VLOOKUP($A57,'Matriz de Referencia'!$B$2:$CO$584,39,FALSE)=0,0,"Digite"))</f>
        <v>0</v>
      </c>
      <c r="DA57" s="454">
        <f>IF(OR('Parte Estrategica'!AK57=0,'Parte Estrategica'!AK57=""),0,IF(VLOOKUP($A57,'Matriz de Referencia'!$B$2:$CO$584,40,FALSE)=0,0,"Digite"))</f>
        <v>0</v>
      </c>
      <c r="DB57" s="454">
        <f>IF(OR('Parte Estrategica'!AK57=0,'Parte Estrategica'!AK57=""),0,IF(VLOOKUP($A57,'Matriz de Referencia'!$B$2:$CO$584,41,FALSE)=0,0,"Digite"))</f>
        <v>0</v>
      </c>
      <c r="DC57" s="454">
        <f>IF(OR('Parte Estrategica'!AK57=0,'Parte Estrategica'!AK57=""),0,IF(VLOOKUP($A57,'Matriz de Referencia'!$B$2:$CO$584,42,FALSE)=0,0,"Digite"))</f>
        <v>0</v>
      </c>
      <c r="DD57" s="454">
        <f>IF(OR('Parte Estrategica'!AK57=0,'Parte Estrategica'!AK57=""),0,IF(VLOOKUP($A57,'Matriz de Referencia'!$B$2:$CO$584,43,FALSE)=0,0,"Digite"))</f>
        <v>0</v>
      </c>
      <c r="DE57" s="454">
        <f>IF(OR('Parte Estrategica'!AK57=0,'Parte Estrategica'!AK57=""),0,IF(VLOOKUP($A57,'Matriz de Referencia'!$B$2:$CO$584,44,FALSE)=0,0,"Digite"))</f>
        <v>0</v>
      </c>
      <c r="DF57" s="454">
        <f>IF(OR('Parte Estrategica'!AK57=0,'Parte Estrategica'!AK57=""),0,IF(VLOOKUP($A57,'Matriz de Referencia'!$B$2:$CO$584,45,FALSE)=0,0,"Digite"))</f>
        <v>0</v>
      </c>
      <c r="DG57" s="454">
        <f>IF(OR('Parte Estrategica'!AK57=0,'Parte Estrategica'!AK57=""),0,IF(VLOOKUP($A57,'Matriz de Referencia'!$B$2:$CO$584,46,FALSE)=0,0,"Digite"))</f>
        <v>0</v>
      </c>
      <c r="DH57" s="382">
        <f t="shared" si="22"/>
        <v>0</v>
      </c>
      <c r="DI57" s="454">
        <f>IF(OR('Parte Estrategica'!AK57=0,'Parte Estrategica'!AK57=""),0,IF(VLOOKUP($A57,'Matriz de Referencia'!$B$2:$CO$584,48,FALSE)=0,0,"Digite"))</f>
        <v>0</v>
      </c>
      <c r="DJ57" s="454">
        <f>IF(OR('Parte Estrategica'!AK57=0,'Parte Estrategica'!AK57=""),0,IF(VLOOKUP($A57,'Matriz de Referencia'!$B$2:$CO$584,49,FALSE)=0,0,"Digite"))</f>
        <v>0</v>
      </c>
      <c r="DK57" s="454">
        <f>IF(OR('Parte Estrategica'!AK57=0,'Parte Estrategica'!AK57=""),0,IF(VLOOKUP($A57,'Matriz de Referencia'!$B$2:$CO$584,50,FALSE)=0,0,"Digite"))</f>
        <v>0</v>
      </c>
      <c r="DL57" s="382">
        <f t="shared" si="23"/>
        <v>0</v>
      </c>
      <c r="DM57" s="382">
        <f t="shared" si="24"/>
        <v>0</v>
      </c>
      <c r="DN57" s="382">
        <f t="shared" si="25"/>
        <v>0</v>
      </c>
      <c r="DO57" s="101" t="str">
        <f>IFERROR(IF(DN57=0,"",IF(VLOOKUP($A57,'Matriz de Referencia'!$B$2:$CO$584,52,FALSE)=DN57,"Techos ok, cotinue","Debe revisar el valor programado")),"")</f>
        <v/>
      </c>
      <c r="DP57" s="453">
        <f>IF(OR('Parte Estrategica'!AN57=0,'Parte Estrategica'!AN57=""),0,IF(VLOOKUP($A57,'Matriz de Referencia'!$B$2:$CO$584,53,FALSE)=0,0,"Digite"))</f>
        <v>0</v>
      </c>
      <c r="DQ57" s="454">
        <f>IF(OR('Parte Estrategica'!AN57=0,'Parte Estrategica'!AN57=""),0,IF(VLOOKUP($A57,'Matriz de Referencia'!$B$2:$CO$584,54,FALSE)=0,0,"Digite"))</f>
        <v>0</v>
      </c>
      <c r="DR57" s="454">
        <f>IF(OR('Parte Estrategica'!AN57=0,'Parte Estrategica'!AN57=""),0,IF(VLOOKUP($A57,'Matriz de Referencia'!$B$2:$CO$584,55,FALSE)=0,0,"Digite"))</f>
        <v>0</v>
      </c>
      <c r="DS57" s="454">
        <f>IF(OR('Parte Estrategica'!AN57=0,'Parte Estrategica'!AN57=""),0,IF(VLOOKUP($A57,'Matriz de Referencia'!$B$2:$CO$584,56,FALSE)=0,0,"Digite"))</f>
        <v>0</v>
      </c>
      <c r="DT57" s="454">
        <f>IF(OR('Parte Estrategica'!AN57=0,'Parte Estrategica'!AN57=""),0,IF(VLOOKUP($A57,'Matriz de Referencia'!$B$2:$CO$584,57,FALSE)=0,0,"Digite"))</f>
        <v>0</v>
      </c>
      <c r="DU57" s="454">
        <f>IF(OR('Parte Estrategica'!AN57=0,'Parte Estrategica'!AN57=""),0,IF(VLOOKUP($A57,'Matriz de Referencia'!$B$2:$CO$584,58,FALSE)=0,0,"Digite"))</f>
        <v>0</v>
      </c>
      <c r="DV57" s="454">
        <f>IF(OR('Parte Estrategica'!AN57=0,'Parte Estrategica'!AN57=""),0,IF(VLOOKUP($A57,'Matriz de Referencia'!$B$2:$CO$584,59,FALSE)=0,0,"Digite"))</f>
        <v>0</v>
      </c>
      <c r="DW57" s="454">
        <f>IF(OR('Parte Estrategica'!AN57=0,'Parte Estrategica'!AN57=""),0,IF(VLOOKUP($A57,'Matriz de Referencia'!$B$2:$CO$584,60,FALSE)=0,0,"Digite"))</f>
        <v>0</v>
      </c>
      <c r="DX57" s="382">
        <f t="shared" si="26"/>
        <v>0</v>
      </c>
      <c r="DY57" s="454">
        <f>IF(OR('Parte Estrategica'!AN57=0,'Parte Estrategica'!AN57=""),0,IF(VLOOKUP($A57,'Matriz de Referencia'!$B$2:$CO$584,62,FALSE)=0,0,"Digite"))</f>
        <v>0</v>
      </c>
      <c r="DZ57" s="454">
        <f>IF(OR('Parte Estrategica'!AN57=0,'Parte Estrategica'!AN57=""),0,IF(VLOOKUP($A57,'Matriz de Referencia'!$B$2:$CO$584,63,FALSE)=0,0,"Digite"))</f>
        <v>0</v>
      </c>
      <c r="EA57" s="454" t="str">
        <f>IF(OR('Parte Estrategica'!AN57=0,'Parte Estrategica'!AN57=""),"",IF(VLOOKUP($A57,'Matriz de Referencia'!$B$2:$CO$584,64,FALSE)=0,"","Digite"))</f>
        <v/>
      </c>
      <c r="EB57" s="382">
        <f t="shared" si="27"/>
        <v>0</v>
      </c>
      <c r="EC57" s="382">
        <f t="shared" si="28"/>
        <v>0</v>
      </c>
      <c r="ED57" s="453">
        <f>IF(OR('Parte Estrategica'!AO57=0,'Parte Estrategica'!AO57=""),0,IF(VLOOKUP($A57,'Matriz de Referencia'!$B$2:$CO$584,53,FALSE)=0,0,"Digite"))</f>
        <v>0</v>
      </c>
      <c r="EE57" s="454">
        <f>IF(OR('Parte Estrategica'!AO57=0,'Parte Estrategica'!AO57=""),0,IF(VLOOKUP($A57,'Matriz de Referencia'!$B$2:$CO$584,54,FALSE)=0,0,"Digite"))</f>
        <v>0</v>
      </c>
      <c r="EF57" s="454">
        <f>IF(OR('Parte Estrategica'!AO57=0,'Parte Estrategica'!AO57=""),0,IF(VLOOKUP($A57,'Matriz de Referencia'!$B$2:$CO$584,55,FALSE)=0,0,"Digite"))</f>
        <v>0</v>
      </c>
      <c r="EG57" s="454">
        <f>IF(OR('Parte Estrategica'!AO57=0,'Parte Estrategica'!AO57=""),0,IF(VLOOKUP($A57,'Matriz de Referencia'!$B$2:$CO$584,56,FALSE)=0,0,"Digite"))</f>
        <v>0</v>
      </c>
      <c r="EH57" s="454">
        <f>IF(OR('Parte Estrategica'!AO57=0,'Parte Estrategica'!AO57=""),0,IF(VLOOKUP($A57,'Matriz de Referencia'!$B$2:$CO$584,57,FALSE)=0,0,"Digite"))</f>
        <v>0</v>
      </c>
      <c r="EI57" s="454">
        <f>IF(OR('Parte Estrategica'!AO57=0,'Parte Estrategica'!AO57=""),0,IF(VLOOKUP($A57,'Matriz de Referencia'!$B$2:$CO$584,58,FALSE)=0,0,"Digite"))</f>
        <v>0</v>
      </c>
      <c r="EJ57" s="454">
        <f>IF(OR('Parte Estrategica'!AO57=0,'Parte Estrategica'!AO57=""),0,IF(VLOOKUP($A57,'Matriz de Referencia'!$B$2:$CO$584,59,FALSE)=0,0,"Digite"))</f>
        <v>0</v>
      </c>
      <c r="EK57" s="454">
        <f>IF(OR('Parte Estrategica'!AO57=0,'Parte Estrategica'!AO57=""),0,IF(VLOOKUP($A57,'Matriz de Referencia'!$B$2:$CO$584,60,FALSE)=0,0,"Digite"))</f>
        <v>0</v>
      </c>
      <c r="EL57" s="382">
        <f t="shared" si="29"/>
        <v>0</v>
      </c>
      <c r="EM57" s="454">
        <f>IF(OR('Parte Estrategica'!AO57=0,'Parte Estrategica'!AO57=""),0,IF(VLOOKUP($A57,'Matriz de Referencia'!$B$2:$CO$584,62,FALSE)=0,0,"Digite"))</f>
        <v>0</v>
      </c>
      <c r="EN57" s="454">
        <f>IF(OR('Parte Estrategica'!AO57=0,'Parte Estrategica'!AO57=""),0,IF(VLOOKUP($A57,'Matriz de Referencia'!$B$2:$CO$584,63,FALSE)=0,0,"Digite"))</f>
        <v>0</v>
      </c>
      <c r="EO57" s="454">
        <f>IF(OR('Parte Estrategica'!AO57=0,'Parte Estrategica'!AO57=""),0,IF(VLOOKUP($A57,'Matriz de Referencia'!$B$2:$CO$584,64,FALSE)=0,0,"Digite"))</f>
        <v>0</v>
      </c>
      <c r="EP57" s="382">
        <f t="shared" si="30"/>
        <v>0</v>
      </c>
      <c r="EQ57" s="382">
        <f t="shared" si="31"/>
        <v>0</v>
      </c>
      <c r="ER57" s="453">
        <f>IF(OR('Parte Estrategica'!AP57=0,'Parte Estrategica'!AP57=""),0,IF(VLOOKUP($A57,'Matriz de Referencia'!$B$2:$CO$584,53,FALSE)=0,0,"Digite"))</f>
        <v>0</v>
      </c>
      <c r="ES57" s="454">
        <f>IF(OR('Parte Estrategica'!AP57=0,'Parte Estrategica'!AP57=""),0,IF(VLOOKUP($A57,'Matriz de Referencia'!$B$2:$CO$584,54,FALSE)=0,0,"Digite"))</f>
        <v>0</v>
      </c>
      <c r="ET57" s="454">
        <f>IF(OR('Parte Estrategica'!AP57=0,'Parte Estrategica'!AP57=""),0,IF(VLOOKUP($A57,'Matriz de Referencia'!$B$2:$CO$584,55,FALSE)=0,0,"Digite"))</f>
        <v>0</v>
      </c>
      <c r="EU57" s="454">
        <f>IF(OR('Parte Estrategica'!AP57=0,'Parte Estrategica'!AP57=""),0,IF(VLOOKUP($A57,'Matriz de Referencia'!$B$2:$CO$584,56,FALSE)=0,0,"Digite"))</f>
        <v>0</v>
      </c>
      <c r="EV57" s="454">
        <f>IF(OR('Parte Estrategica'!AP57=0,'Parte Estrategica'!AP57=""),0,IF(VLOOKUP($A57,'Matriz de Referencia'!$B$2:$CO$584,57,FALSE)=0,0,"Digite"))</f>
        <v>0</v>
      </c>
      <c r="EW57" s="454">
        <f>IF(OR('Parte Estrategica'!AP57=0,'Parte Estrategica'!AP57=""),0,IF(VLOOKUP($A57,'Matriz de Referencia'!$B$2:$CO$584,58,FALSE)=0,0,"Digite"))</f>
        <v>0</v>
      </c>
      <c r="EX57" s="454">
        <f>IF(OR('Parte Estrategica'!AP57=0,'Parte Estrategica'!AP57=""),0,IF(VLOOKUP($A57,'Matriz de Referencia'!$B$2:$CO$584,59,FALSE)=0,0,"Digite"))</f>
        <v>0</v>
      </c>
      <c r="EY57" s="454">
        <f>IF(OR('Parte Estrategica'!AP57=0,'Parte Estrategica'!AP57=""),0,IF(VLOOKUP($A57,'Matriz de Referencia'!$B$2:$CO$584,60,FALSE)=0,0,"Digite"))</f>
        <v>0</v>
      </c>
      <c r="EZ57" s="382">
        <f t="shared" si="32"/>
        <v>0</v>
      </c>
      <c r="FA57" s="454">
        <f>IF(OR('Parte Estrategica'!AP57=0,'Parte Estrategica'!AP57=""),0,IF(VLOOKUP($A57,'Matriz de Referencia'!$B$2:$CO$584,62,FALSE)=0,0,"Digite"))</f>
        <v>0</v>
      </c>
      <c r="FB57" s="454">
        <f>IF(OR('Parte Estrategica'!AP57=0,'Parte Estrategica'!AP57=""),0,IF(VLOOKUP($A57,'Matriz de Referencia'!$B$2:$CO$584,63,FALSE)=0,0,"Digite"))</f>
        <v>0</v>
      </c>
      <c r="FC57" s="454">
        <f>IF(OR('Parte Estrategica'!AP57=0,'Parte Estrategica'!AP57=""),0,IF(VLOOKUP($A57,'Matriz de Referencia'!$B$2:$CO$584,64,FALSE)=0,0,"Digite"))</f>
        <v>0</v>
      </c>
      <c r="FD57" s="382">
        <f t="shared" si="33"/>
        <v>0</v>
      </c>
      <c r="FE57" s="382">
        <f t="shared" si="34"/>
        <v>0</v>
      </c>
      <c r="FF57" s="453">
        <f>IF(OR('Parte Estrategica'!AQ57=0,'Parte Estrategica'!AQ57=""),0,IF(VLOOKUP($A57,'Matriz de Referencia'!$B$2:$CO$584,53,FALSE)=0,0,"Digite"))</f>
        <v>0</v>
      </c>
      <c r="FG57" s="454">
        <f>IF(OR('Parte Estrategica'!AQ57=0,'Parte Estrategica'!AQ57=""),0,IF(VLOOKUP($A57,'Matriz de Referencia'!$B$2:$CO$584,54,FALSE)=0,0,"Digite"))</f>
        <v>0</v>
      </c>
      <c r="FH57" s="454">
        <f>IF(OR('Parte Estrategica'!AQ57=0,'Parte Estrategica'!AQ57=""),0,IF(VLOOKUP($A57,'Matriz de Referencia'!$B$2:$CO$584,55,FALSE)=0,0,"Digite"))</f>
        <v>0</v>
      </c>
      <c r="FI57" s="454">
        <f>IF(OR('Parte Estrategica'!AQ57=0,'Parte Estrategica'!AQ57=""),0,IF(VLOOKUP($A57,'Matriz de Referencia'!$B$2:$CO$584,56,FALSE)=0,0,"Digite"))</f>
        <v>0</v>
      </c>
      <c r="FJ57" s="454">
        <f>IF(OR('Parte Estrategica'!AQ57=0,'Parte Estrategica'!AQ57=""),0,IF(VLOOKUP($A57,'Matriz de Referencia'!$B$2:$CO$584,57,FALSE)=0,0,"Digite"))</f>
        <v>0</v>
      </c>
      <c r="FK57" s="454">
        <f>IF(OR('Parte Estrategica'!AQ57=0,'Parte Estrategica'!AQ57=""),0,IF(VLOOKUP($A57,'Matriz de Referencia'!$B$2:$CO$584,58,FALSE)=0,0,"Digite"))</f>
        <v>0</v>
      </c>
      <c r="FL57" s="454">
        <f>IF(OR('Parte Estrategica'!AQ57=0,'Parte Estrategica'!AQ57=""),0,IF(VLOOKUP($A57,'Matriz de Referencia'!$B$2:$CO$584,59,FALSE)=0,0,"Digite"))</f>
        <v>0</v>
      </c>
      <c r="FM57" s="454">
        <f>IF(OR('Parte Estrategica'!AQ57=0,'Parte Estrategica'!AQ57=""),0,IF(VLOOKUP($A57,'Matriz de Referencia'!$B$2:$CO$584,60,FALSE)=0,0,"Digite"))</f>
        <v>0</v>
      </c>
      <c r="FN57" s="382">
        <f t="shared" si="35"/>
        <v>0</v>
      </c>
      <c r="FO57" s="454">
        <f>IF(OR('Parte Estrategica'!AQ57=0,'Parte Estrategica'!AQ57=""),0,IF(VLOOKUP($A57,'Matriz de Referencia'!$B$2:$CO$584,62,FALSE)=0,0,"Digite"))</f>
        <v>0</v>
      </c>
      <c r="FP57" s="454">
        <f>IF(OR('Parte Estrategica'!AQ57=0,'Parte Estrategica'!AQ57=""),0,IF(VLOOKUP($A57,'Matriz de Referencia'!$B$2:$CO$584,63,FALSE)=0,0,"Digite"))</f>
        <v>0</v>
      </c>
      <c r="FQ57" s="454">
        <f>IF(OR('Parte Estrategica'!AQ57=0,'Parte Estrategica'!AQ57=""),0,IF(VLOOKUP($A57,'Matriz de Referencia'!$B$2:$CO$584,64,FALSE)=0,0,"Digite"))</f>
        <v>0</v>
      </c>
      <c r="FR57" s="382">
        <f t="shared" si="36"/>
        <v>0</v>
      </c>
      <c r="FS57" s="382">
        <f t="shared" si="37"/>
        <v>0</v>
      </c>
      <c r="FT57" s="382">
        <f t="shared" si="38"/>
        <v>0</v>
      </c>
      <c r="FU57" s="101" t="str">
        <f>IFERROR(IF(FT57=0,"",IF(VLOOKUP($A57,'Matriz de Referencia'!$B$2:$CO$584,66,FALSE)=FT57,"Techos ok, cotinue","Debe revisar el valor programado")),"")</f>
        <v/>
      </c>
      <c r="FV57" s="453">
        <f>IF(OR('Parte Estrategica'!AT57=0,'Parte Estrategica'!AT57=""),0,IF(VLOOKUP($A57,'Matriz de Referencia'!$B$2:$CO$584,67,FALSE)=0,0,"Digite"))</f>
        <v>0</v>
      </c>
      <c r="FW57" s="454">
        <f>IF(OR('Parte Estrategica'!AT57=0,'Parte Estrategica'!AT57=""),0,IF(VLOOKUP($A57,'Matriz de Referencia'!$B$2:$CO$584,68,FALSE)=0,0,"Digite"))</f>
        <v>0</v>
      </c>
      <c r="FX57" s="454">
        <f>IF(OR('Parte Estrategica'!AT57=0,'Parte Estrategica'!AT57=""),0,IF(VLOOKUP($A57,'Matriz de Referencia'!$B$2:$CO$584,69,FALSE)=0,0,"Digite"))</f>
        <v>0</v>
      </c>
      <c r="FY57" s="454">
        <f>IF(OR('Parte Estrategica'!AT57=0,'Parte Estrategica'!AT57=""),0,IF(VLOOKUP($A57,'Matriz de Referencia'!$B$2:$CO$584,70,FALSE)=0,0,"Digite"))</f>
        <v>0</v>
      </c>
      <c r="FZ57" s="454">
        <f>IF(OR('Parte Estrategica'!AT57=0,'Parte Estrategica'!AT57=""),0,IF(VLOOKUP($A57,'Matriz de Referencia'!$B$2:$CO$584,71,FALSE)=0,0,"Digite"))</f>
        <v>0</v>
      </c>
      <c r="GA57" s="454">
        <f>IF(OR('Parte Estrategica'!AT57=0,'Parte Estrategica'!AT57=""),0,IF(VLOOKUP($A57,'Matriz de Referencia'!$B$2:$CO$584,72,FALSE)=0,0,"Digite"))</f>
        <v>0</v>
      </c>
      <c r="GB57" s="454">
        <f>IF(OR('Parte Estrategica'!AT57=0,'Parte Estrategica'!AT57=""),0,IF(VLOOKUP($A57,'Matriz de Referencia'!$B$2:$CO$584,73,FALSE)=0,0,"Digite"))</f>
        <v>0</v>
      </c>
      <c r="GC57" s="454">
        <f>IF(OR('Parte Estrategica'!AT57=0,'Parte Estrategica'!AT57=""),0,IF(VLOOKUP($A57,'Matriz de Referencia'!$B$2:$CO$584,74,FALSE)=0,0,"Digite"))</f>
        <v>0</v>
      </c>
      <c r="GD57" s="382">
        <f t="shared" si="39"/>
        <v>0</v>
      </c>
      <c r="GE57" s="454">
        <f>IF(OR('Parte Estrategica'!AT57=0,'Parte Estrategica'!AT57=""),0,IF(VLOOKUP($A57,'Matriz de Referencia'!$B$2:$CO$584,76,FALSE)=0,0,"Digite"))</f>
        <v>0</v>
      </c>
      <c r="GF57" s="454">
        <f>IF(OR('Parte Estrategica'!AT57=0,'Parte Estrategica'!AT57=""),0,IF(VLOOKUP($A57,'Matriz de Referencia'!$B$2:$CO$584,77,FALSE)=0,0,"Digite"))</f>
        <v>0</v>
      </c>
      <c r="GG57" s="454">
        <f>IF(OR('Parte Estrategica'!AT57=0,'Parte Estrategica'!AT57=""),0,IF(VLOOKUP($A57,'Matriz de Referencia'!$B$2:$CO$584,78,FALSE)=0,0,"Digite"))</f>
        <v>0</v>
      </c>
      <c r="GH57" s="382">
        <f t="shared" si="40"/>
        <v>0</v>
      </c>
      <c r="GI57" s="382">
        <f t="shared" si="41"/>
        <v>0</v>
      </c>
      <c r="GJ57" s="453">
        <f>IF(OR('Parte Estrategica'!AU57=0,'Parte Estrategica'!AU57=""),0,IF(VLOOKUP($A57,'Matriz de Referencia'!$B$2:$CO$584,67,FALSE)=0,0,"Digite"))</f>
        <v>0</v>
      </c>
      <c r="GK57" s="454">
        <f>IF(OR('Parte Estrategica'!AU57=0,'Parte Estrategica'!AU57=""),0,IF(VLOOKUP($A57,'Matriz de Referencia'!$B$2:$CO$584,68,FALSE)=0,0,"Digite"))</f>
        <v>0</v>
      </c>
      <c r="GL57" s="454">
        <f>IF(OR('Parte Estrategica'!AU57=0,'Parte Estrategica'!AU57=""),0,IF(VLOOKUP($A57,'Matriz de Referencia'!$B$2:$CO$584,69,FALSE)=0,0,"Digite"))</f>
        <v>0</v>
      </c>
      <c r="GM57" s="454">
        <f>IF(OR('Parte Estrategica'!AU57=0,'Parte Estrategica'!AU57=""),0,IF(VLOOKUP($A57,'Matriz de Referencia'!$B$2:$CO$584,70,FALSE)=0,0,"Digite"))</f>
        <v>0</v>
      </c>
      <c r="GN57" s="454">
        <f>IF(OR('Parte Estrategica'!AU57=0,'Parte Estrategica'!AU57=""),0,IF(VLOOKUP($A57,'Matriz de Referencia'!$B$2:$CO$584,71,FALSE)=0,0,"Digite"))</f>
        <v>0</v>
      </c>
      <c r="GO57" s="454">
        <f>IF(OR('Parte Estrategica'!AU57=0,'Parte Estrategica'!AU57=""),0,IF(VLOOKUP($A57,'Matriz de Referencia'!$B$2:$CO$584,72,FALSE)=0,0,"Digite"))</f>
        <v>0</v>
      </c>
      <c r="GP57" s="454">
        <f>IF(OR('Parte Estrategica'!AU57=0,'Parte Estrategica'!AU57=""),0,IF(VLOOKUP($A57,'Matriz de Referencia'!$B$2:$CO$584,73,FALSE)=0,0,"Digite"))</f>
        <v>0</v>
      </c>
      <c r="GQ57" s="454">
        <f>IF(OR('Parte Estrategica'!AU57=0,'Parte Estrategica'!AU57=""),0,IF(VLOOKUP($A57,'Matriz de Referencia'!$B$2:$CO$584,74,FALSE)=0,0,"Digite"))</f>
        <v>0</v>
      </c>
      <c r="GR57" s="382">
        <f t="shared" si="42"/>
        <v>0</v>
      </c>
      <c r="GS57" s="454">
        <f>IF(OR('Parte Estrategica'!AU57=0,'Parte Estrategica'!AU57=""),0,IF(VLOOKUP($A57,'Matriz de Referencia'!$B$2:$CO$584,76,FALSE)=0,0,"Digite"))</f>
        <v>0</v>
      </c>
      <c r="GT57" s="454">
        <f>IF(OR('Parte Estrategica'!AU57=0,'Parte Estrategica'!AU57=""),0,IF(VLOOKUP($A57,'Matriz de Referencia'!$B$2:$CO$584,77,FALSE)=0,0,"Digite"))</f>
        <v>0</v>
      </c>
      <c r="GU57" s="454">
        <f>IF(OR('Parte Estrategica'!AU57=0,'Parte Estrategica'!AU57=""),0,IF(VLOOKUP($A57,'Matriz de Referencia'!$B$2:$CO$584,78,FALSE)=0,0,"Digite"))</f>
        <v>0</v>
      </c>
      <c r="GV57" s="382">
        <f t="shared" si="43"/>
        <v>0</v>
      </c>
      <c r="GW57" s="382">
        <f t="shared" si="44"/>
        <v>0</v>
      </c>
      <c r="GX57" s="453">
        <f>IF(OR('Parte Estrategica'!AV57=0,'Parte Estrategica'!AV57=""),0,IF(VLOOKUP($A57,'Matriz de Referencia'!$B$2:$CO$584,67,FALSE)=0,0,"Digite"))</f>
        <v>0</v>
      </c>
      <c r="GY57" s="454">
        <f>IF(OR('Parte Estrategica'!AV57=0,'Parte Estrategica'!AV57=""),0,IF(VLOOKUP($A57,'Matriz de Referencia'!$B$2:$CO$584,68,FALSE)=0,0,"Digite"))</f>
        <v>0</v>
      </c>
      <c r="GZ57" s="454">
        <f>IF(OR('Parte Estrategica'!AV57=0,'Parte Estrategica'!AV57=""),0,IF(VLOOKUP($A57,'Matriz de Referencia'!$B$2:$CO$584,69,FALSE)=0,0,"Digite"))</f>
        <v>0</v>
      </c>
      <c r="HA57" s="454">
        <f>IF(OR('Parte Estrategica'!AV57=0,'Parte Estrategica'!AV57=""),0,IF(VLOOKUP($A57,'Matriz de Referencia'!$B$2:$CO$584,70,FALSE)=0,0,"Digite"))</f>
        <v>0</v>
      </c>
      <c r="HB57" s="454">
        <f>IF(OR('Parte Estrategica'!AV57=0,'Parte Estrategica'!AV57=""),0,IF(VLOOKUP($A57,'Matriz de Referencia'!$B$2:$CO$584,71,FALSE)=0,0,"Digite"))</f>
        <v>0</v>
      </c>
      <c r="HC57" s="454">
        <f>IF(OR('Parte Estrategica'!AV57=0,'Parte Estrategica'!AV57=""),0,IF(VLOOKUP($A57,'Matriz de Referencia'!$B$2:$CO$584,72,FALSE)=0,0,"Digite"))</f>
        <v>0</v>
      </c>
      <c r="HD57" s="454">
        <f>IF(OR('Parte Estrategica'!AV57=0,'Parte Estrategica'!AV57=""),0,IF(VLOOKUP($A57,'Matriz de Referencia'!$B$2:$CO$584,73,FALSE)=0,0,"Digite"))</f>
        <v>0</v>
      </c>
      <c r="HE57" s="454">
        <f>IF(OR('Parte Estrategica'!AV57=0,'Parte Estrategica'!AV57=""),0,IF(VLOOKUP($A57,'Matriz de Referencia'!$B$2:$CO$584,74,FALSE)=0,0,"Digite"))</f>
        <v>0</v>
      </c>
      <c r="HF57" s="382">
        <f t="shared" si="45"/>
        <v>0</v>
      </c>
      <c r="HG57" s="454">
        <f>IF(OR('Parte Estrategica'!AV57=0,'Parte Estrategica'!AV57=""),0,IF(VLOOKUP($A57,'Matriz de Referencia'!$B$2:$CO$584,76,FALSE)=0,0,"Digite"))</f>
        <v>0</v>
      </c>
      <c r="HH57" s="454">
        <f>IF(OR('Parte Estrategica'!AV57=0,'Parte Estrategica'!AV57=""),0,IF(VLOOKUP($A57,'Matriz de Referencia'!$B$2:$CO$584,77,FALSE)=0,0,"Digite"))</f>
        <v>0</v>
      </c>
      <c r="HI57" s="454">
        <f>IF(OR('Parte Estrategica'!AV57=0,'Parte Estrategica'!AV57=""),0,IF(VLOOKUP($A57,'Matriz de Referencia'!$B$2:$CO$584,78,FALSE)=0,0,"Digite"))</f>
        <v>0</v>
      </c>
      <c r="HJ57" s="382">
        <f t="shared" si="46"/>
        <v>0</v>
      </c>
      <c r="HK57" s="382">
        <f t="shared" si="47"/>
        <v>0</v>
      </c>
      <c r="HL57" s="453">
        <f>IF(OR('Parte Estrategica'!AW57=0,'Parte Estrategica'!AW57=""),0,IF(VLOOKUP($A57,'Matriz de Referencia'!$B$2:$CO$584,67,FALSE)=0,0,"Digite"))</f>
        <v>0</v>
      </c>
      <c r="HM57" s="454">
        <f>IF(OR('Parte Estrategica'!AW57=0,'Parte Estrategica'!AW57=""),0,IF(VLOOKUP($A57,'Matriz de Referencia'!$B$2:$CO$584,68,FALSE)=0,0,"Digite"))</f>
        <v>0</v>
      </c>
      <c r="HN57" s="454">
        <f>IF(OR('Parte Estrategica'!AW57=0,'Parte Estrategica'!AW57=""),0,IF(VLOOKUP($A57,'Matriz de Referencia'!$B$2:$CO$584,69,FALSE)=0,0,"Digite"))</f>
        <v>0</v>
      </c>
      <c r="HO57" s="454">
        <f>IF(OR('Parte Estrategica'!AW57=0,'Parte Estrategica'!AW57=""),0,IF(VLOOKUP($A57,'Matriz de Referencia'!$B$2:$CO$584,70,FALSE)=0,0,"Digite"))</f>
        <v>0</v>
      </c>
      <c r="HP57" s="454">
        <f>IF(OR('Parte Estrategica'!AW57=0,'Parte Estrategica'!AW57=""),0,IF(VLOOKUP($A57,'Matriz de Referencia'!$B$2:$CO$584,71,FALSE)=0,0,"Digite"))</f>
        <v>0</v>
      </c>
      <c r="HQ57" s="454">
        <f>IF(OR('Parte Estrategica'!AW57=0,'Parte Estrategica'!AW57=""),0,IF(VLOOKUP($A57,'Matriz de Referencia'!$B$2:$CO$584,72,FALSE)=0,0,"Digite"))</f>
        <v>0</v>
      </c>
      <c r="HR57" s="454">
        <f>IF(OR('Parte Estrategica'!AW57=0,'Parte Estrategica'!AW57=""),0,IF(VLOOKUP($A57,'Matriz de Referencia'!$B$2:$CO$584,73,FALSE)=0,0,"Digite"))</f>
        <v>0</v>
      </c>
      <c r="HS57" s="454">
        <f>IF(OR('Parte Estrategica'!AW57=0,'Parte Estrategica'!AW57=""),0,IF(VLOOKUP($A57,'Matriz de Referencia'!$B$2:$CO$584,74,FALSE)=0,0,"Digite"))</f>
        <v>0</v>
      </c>
      <c r="HT57" s="382">
        <f t="shared" si="48"/>
        <v>0</v>
      </c>
      <c r="HU57" s="454">
        <f>IF(OR('Parte Estrategica'!AW57=0,'Parte Estrategica'!AW57=""),0,IF(VLOOKUP($A57,'Matriz de Referencia'!$B$2:$CO$584,76,FALSE)=0,0,"Digite"))</f>
        <v>0</v>
      </c>
      <c r="HV57" s="454">
        <f>IF(OR('Parte Estrategica'!AW57=0,'Parte Estrategica'!AW57=""),0,IF(VLOOKUP($A57,'Matriz de Referencia'!$B$2:$CO$584,77,FALSE)=0,0,"Digite"))</f>
        <v>0</v>
      </c>
      <c r="HW57" s="454">
        <f>IF(OR('Parte Estrategica'!AW57=0,'Parte Estrategica'!AW57=""),0,IF(VLOOKUP($A57,'Matriz de Referencia'!$B$2:$CO$584,78,FALSE)=0,0,"Digite"))</f>
        <v>0</v>
      </c>
      <c r="HX57" s="382">
        <f t="shared" si="49"/>
        <v>0</v>
      </c>
      <c r="HY57" s="382">
        <f t="shared" si="50"/>
        <v>0</v>
      </c>
      <c r="HZ57" s="382">
        <f t="shared" si="51"/>
        <v>0</v>
      </c>
      <c r="IA57" s="101" t="str">
        <f>IFERROR(IF(HZ57=0,"",IF(VLOOKUP($A57,'Matriz de Referencia'!$B$2:$CO$584,80,FALSE)=HZ57,"Techos ok, cotinue","Debe revisar el valor programado")),"")</f>
        <v/>
      </c>
      <c r="IB57" s="383">
        <f t="shared" si="52"/>
        <v>0</v>
      </c>
    </row>
    <row r="58" spans="1:236">
      <c r="A58" s="550" t="str">
        <f>IF('Parte Estrategica'!B58=0,"",'Parte Estrategica'!B58)</f>
        <v/>
      </c>
      <c r="B58" s="551" t="str">
        <f>IFERROR(VLOOKUP(A58,'Matriz de Referencia'!$B$2:$P$578,'Matriz de Referencia'!L$1,FALSE),"")</f>
        <v/>
      </c>
      <c r="C58" s="551" t="str">
        <f>IFERROR(VLOOKUP(A58,'Matriz de Referencia'!$B$2:$P$584,'Matriz de Referencia'!M$1,FALSE),"")</f>
        <v/>
      </c>
      <c r="D58" s="455" t="str">
        <f>IF(OR('Parte Estrategica'!AB58=0,'Parte Estrategica'!AB58=""),"",IF(VLOOKUP($A58,'Matriz de Referencia'!$B$2:$CO$584,'Matriz de Referencia'!Z$1,FALSE)=0,"","Digite"))</f>
        <v/>
      </c>
      <c r="E58" s="456">
        <f>IF(OR('Parte Estrategica'!AB58=0,'Parte Estrategica'!AB58=""),0,IF(VLOOKUP($A58,'Matriz de Referencia'!$B$2:$CO$584,26,FALSE)=0,0,"Digite"))</f>
        <v>0</v>
      </c>
      <c r="F58" s="456">
        <f>IF(OR('Parte Estrategica'!AB58=0,'Parte Estrategica'!AB58=""),0,IF(VLOOKUP($A58,'Matriz de Referencia'!$B$2:$CO$584,27,FALSE)=0,0,"Digite"))</f>
        <v>0</v>
      </c>
      <c r="G58" s="456">
        <f>IF(OR('Parte Estrategica'!AB58=0,'Parte Estrategica'!AB58=""),0,IF(VLOOKUP($A58,'Matriz de Referencia'!$B$2:$CO$584,28,FALSE)=0,0,"Digite"))</f>
        <v>0</v>
      </c>
      <c r="H58" s="456">
        <f>IF(OR('Parte Estrategica'!AB58=0,'Parte Estrategica'!AB58=""),0,IF(VLOOKUP($A58,'Matriz de Referencia'!$B$2:$CO$584,29,FALSE)=0,0,"Digite"))</f>
        <v>0</v>
      </c>
      <c r="I58" s="456">
        <f>IF(OR('Parte Estrategica'!AB58=0,'Parte Estrategica'!AB58=""),0,IF(VLOOKUP($A58,'Matriz de Referencia'!$B$2:$CO$584,30,FALSE)=0,0,"Digite"))</f>
        <v>0</v>
      </c>
      <c r="J58" s="456">
        <f>IF(OR('Parte Estrategica'!AB58=0,'Parte Estrategica'!AB58=""),0,IF(VLOOKUP($A58,'Matriz de Referencia'!$B$2:$CO$584,31,FALSE)=0,0,"Digite"))</f>
        <v>0</v>
      </c>
      <c r="K58" s="456">
        <f>IF(OR('Parte Estrategica'!AB58=0,'Parte Estrategica'!AB58=""),0,IF(VLOOKUP($A58,'Matriz de Referencia'!$B$2:$CO$584,32,FALSE)=0,0,"Digite"))</f>
        <v>0</v>
      </c>
      <c r="L58" s="460">
        <f t="shared" si="0"/>
        <v>0</v>
      </c>
      <c r="M58" s="456">
        <f>IF(OR('Parte Estrategica'!AB58=0,'Parte Estrategica'!AB58=""),0,IF(VLOOKUP($A58,'Matriz de Referencia'!$B$2:$CO$584,34,FALSE)=0,0,"Digite"))</f>
        <v>0</v>
      </c>
      <c r="N58" s="456">
        <f>IF(OR('Parte Estrategica'!AB58=0,'Parte Estrategica'!AB58=""),0,IF(VLOOKUP($A58,'Matriz de Referencia'!$B$2:$CO$584,35,FALSE)=0,0,"Digite"))</f>
        <v>0</v>
      </c>
      <c r="O58" s="456">
        <f>IF(OR('Parte Estrategica'!AB58=0,'Parte Estrategica'!AB58=""),0,IF(VLOOKUP($A58,'Matriz de Referencia'!$B$2:$CO$584,36,FALSE)=0,0,"Digite"))</f>
        <v>0</v>
      </c>
      <c r="P58" s="457">
        <f t="shared" si="1"/>
        <v>0</v>
      </c>
      <c r="Q58" s="457">
        <f t="shared" si="2"/>
        <v>0</v>
      </c>
      <c r="R58" s="455">
        <f>IF(OR('Parte Estrategica'!AC58=0,'Parte Estrategica'!AC58=""),0,IF(VLOOKUP($A58,'Matriz de Referencia'!$B$2:$CO$584,25,FALSE)=0,0,"Digite"))</f>
        <v>0</v>
      </c>
      <c r="S58" s="456">
        <f>IF(OR('Parte Estrategica'!AC58=0,'Parte Estrategica'!AC58=""),0,IF(VLOOKUP($A58,'Matriz de Referencia'!$B$2:$CO$584,26,FALSE)=0,0,"Digite"))</f>
        <v>0</v>
      </c>
      <c r="T58" s="456">
        <f>IF(OR('Parte Estrategica'!AC58=0,'Parte Estrategica'!AC58=""),0,IF(VLOOKUP($A58,'Matriz de Referencia'!$B$2:$CO$584,27,FALSE)=0,0,"Digite"))</f>
        <v>0</v>
      </c>
      <c r="U58" s="456">
        <f>IF(OR('Parte Estrategica'!AC58=0,'Parte Estrategica'!AC58=""),0,IF(VLOOKUP($A58,'Matriz de Referencia'!$B$2:$CO$584,28,FALSE)=0,0,"Digite"))</f>
        <v>0</v>
      </c>
      <c r="V58" s="456">
        <f>IF(OR('Parte Estrategica'!AC58=0,'Parte Estrategica'!AC58=""),0,IF(VLOOKUP($A58,'Matriz de Referencia'!$B$2:$CO$584,29,FALSE)=0,0,"Digite"))</f>
        <v>0</v>
      </c>
      <c r="W58" s="456">
        <f>IF(OR('Parte Estrategica'!AC58=0,'Parte Estrategica'!AC58=""),0,IF(VLOOKUP($A58,'Matriz de Referencia'!$B$2:$CO$584,30,FALSE)=0,0,"Digite"))</f>
        <v>0</v>
      </c>
      <c r="X58" s="456">
        <f>IF(OR('Parte Estrategica'!AC58=0,'Parte Estrategica'!AC58=""),0,IF(VLOOKUP($A58,'Matriz de Referencia'!$B$2:$CO$584,31,FALSE)=0,0,"Digite"))</f>
        <v>0</v>
      </c>
      <c r="Y58" s="456">
        <f>IF(OR('Parte Estrategica'!AC58=0,'Parte Estrategica'!AC58=""),0,IF(VLOOKUP($A58,'Matriz de Referencia'!$B$2:$CO$584,32,FALSE)=0,0,"Digite"))</f>
        <v>0</v>
      </c>
      <c r="Z58" s="457">
        <f t="shared" si="3"/>
        <v>0</v>
      </c>
      <c r="AA58" s="456">
        <f>IF(OR('Parte Estrategica'!AC58=0,'Parte Estrategica'!AC58=""),0,IF(VLOOKUP($A58,'Matriz de Referencia'!$B$2:$CO$584,34,FALSE)=0,0,"Digite"))</f>
        <v>0</v>
      </c>
      <c r="AB58" s="456">
        <f>IF(OR('Parte Estrategica'!AC58=0,'Parte Estrategica'!AC58=""),0,IF(VLOOKUP($A58,'Matriz de Referencia'!$B$2:$CO$584,35,FALSE)=0,0,"Digite"))</f>
        <v>0</v>
      </c>
      <c r="AC58" s="456">
        <f>IF(OR('Parte Estrategica'!AC58=0,'Parte Estrategica'!AC58=""),0,IF(VLOOKUP($A58,'Matriz de Referencia'!$B$2:$CO$584,36,FALSE)=0,0,"Digite"))</f>
        <v>0</v>
      </c>
      <c r="AD58" s="457">
        <f t="shared" si="4"/>
        <v>0</v>
      </c>
      <c r="AE58" s="457">
        <f t="shared" si="5"/>
        <v>0</v>
      </c>
      <c r="AF58" s="455">
        <f>IF(OR('Parte Estrategica'!AD58=0,'Parte Estrategica'!AD58=""),0,IF(VLOOKUP($A58,'Matriz de Referencia'!$B$2:$CO$584,25,FALSE)=0,0,"Digite"))</f>
        <v>0</v>
      </c>
      <c r="AG58" s="456">
        <f>IF(OR('Parte Estrategica'!AD58=0,'Parte Estrategica'!AD58=""),0,IF(VLOOKUP($A58,'Matriz de Referencia'!$B$2:$CO$584,26,FALSE)=0,0,"Digite"))</f>
        <v>0</v>
      </c>
      <c r="AH58" s="456">
        <f>IF(OR('Parte Estrategica'!AD58=0,'Parte Estrategica'!AD58=""),0,IF(VLOOKUP($A58,'Matriz de Referencia'!$B$2:$CO$584,27,FALSE)=0,0,"Digite"))</f>
        <v>0</v>
      </c>
      <c r="AI58" s="456">
        <f>IF(OR('Parte Estrategica'!AD58=0,'Parte Estrategica'!AD58=""),0,IF(VLOOKUP($A58,'Matriz de Referencia'!$B$2:$CO$584,28,FALSE)=0,0,"Digite"))</f>
        <v>0</v>
      </c>
      <c r="AJ58" s="456">
        <f>IF(OR('Parte Estrategica'!AD58=0,'Parte Estrategica'!AD58=""),0,IF(VLOOKUP($A58,'Matriz de Referencia'!$B$2:$CO$584,29,FALSE)=0,0,"Digite"))</f>
        <v>0</v>
      </c>
      <c r="AK58" s="456">
        <f>IF(OR('Parte Estrategica'!AD58=0,'Parte Estrategica'!AD58=""),0,IF(VLOOKUP($A58,'Matriz de Referencia'!$B$2:$CO$584,30,FALSE)=0,0,"Digite"))</f>
        <v>0</v>
      </c>
      <c r="AL58" s="456">
        <f>IF(OR('Parte Estrategica'!AD58=0,'Parte Estrategica'!AD58=""),0,IF(VLOOKUP($A58,'Matriz de Referencia'!$B$2:$CO$584,31,FALSE)=0,0,"Digite"))</f>
        <v>0</v>
      </c>
      <c r="AM58" s="456">
        <f>IF(OR('Parte Estrategica'!AD58=0,'Parte Estrategica'!AD58=""),0,IF(VLOOKUP($A58,'Matriz de Referencia'!$B$2:$CO$584,32,FALSE)=0,0,"Digite"))</f>
        <v>0</v>
      </c>
      <c r="AN58" s="457">
        <f t="shared" si="6"/>
        <v>0</v>
      </c>
      <c r="AO58" s="456">
        <f>IF(OR('Parte Estrategica'!AD58=0,'Parte Estrategica'!AD58=""),0,IF(VLOOKUP($A58,'Matriz de Referencia'!$B$2:$CO$584,34,FALSE)=0,0,"Digite"))</f>
        <v>0</v>
      </c>
      <c r="AP58" s="456">
        <f>IF(OR('Parte Estrategica'!AD58=0,'Parte Estrategica'!AD58=""),0,IF(VLOOKUP($A58,'Matriz de Referencia'!$B$2:$CO$584,35,FALSE)=0,0,"Digite"))</f>
        <v>0</v>
      </c>
      <c r="AQ58" s="456">
        <f>IF(OR('Parte Estrategica'!AD58=0,'Parte Estrategica'!AD58=""),0,IF(VLOOKUP($A58,'Matriz de Referencia'!$B$2:$CO$584,36,FALSE)=0,0,"Digite"))</f>
        <v>0</v>
      </c>
      <c r="AR58" s="457">
        <f t="shared" si="7"/>
        <v>0</v>
      </c>
      <c r="AS58" s="457">
        <f t="shared" si="8"/>
        <v>0</v>
      </c>
      <c r="AT58" s="455">
        <f>IF(OR('Parte Estrategica'!AE58=0,'Parte Estrategica'!AE58=""),0,IF(VLOOKUP($A58,'Matriz de Referencia'!$B$2:$CO$584,25,FALSE)=0,0,"Digite"))</f>
        <v>0</v>
      </c>
      <c r="AU58" s="456">
        <f>IF(OR('Parte Estrategica'!AE58=0,'Parte Estrategica'!AE58=""),0,IF(VLOOKUP($A58,'Matriz de Referencia'!$B$2:$CO$584,26,FALSE)=0,0,"Digite"))</f>
        <v>0</v>
      </c>
      <c r="AV58" s="456">
        <f>IF(OR('Parte Estrategica'!AE58=0,'Parte Estrategica'!AE58=""),0,IF(VLOOKUP($A58,'Matriz de Referencia'!$B$2:$CO$584,27,FALSE)=0,0,"Digite"))</f>
        <v>0</v>
      </c>
      <c r="AW58" s="456">
        <f>IF(OR('Parte Estrategica'!AE58=0,'Parte Estrategica'!AE58=""),0,IF(VLOOKUP($A58,'Matriz de Referencia'!$B$2:$CO$584,28,FALSE)=0,0,"Digite"))</f>
        <v>0</v>
      </c>
      <c r="AX58" s="456">
        <f>IF(OR('Parte Estrategica'!AE58=0,'Parte Estrategica'!AE58=""),0,IF(VLOOKUP($A58,'Matriz de Referencia'!$B$2:$CO$584,29,FALSE)=0,0,"Digite"))</f>
        <v>0</v>
      </c>
      <c r="AY58" s="456">
        <f>IF(OR('Parte Estrategica'!AE58=0,'Parte Estrategica'!AE58=""),0,IF(VLOOKUP($A58,'Matriz de Referencia'!$B$2:$CO$584,30,FALSE)=0,0,"Digite"))</f>
        <v>0</v>
      </c>
      <c r="AZ58" s="456">
        <f>IF(OR('Parte Estrategica'!AE58=0,'Parte Estrategica'!AE58=""),0,IF(VLOOKUP($A58,'Matriz de Referencia'!$B$2:$CO$584,31,FALSE)=0,0,"Digite"))</f>
        <v>0</v>
      </c>
      <c r="BA58" s="456">
        <f>IF(OR('Parte Estrategica'!AE58=0,'Parte Estrategica'!AE58=""),0,IF(VLOOKUP($A58,'Matriz de Referencia'!$B$2:$CO$584,32,FALSE)=0,0,"Digite"))</f>
        <v>0</v>
      </c>
      <c r="BB58" s="457">
        <f t="shared" si="9"/>
        <v>0</v>
      </c>
      <c r="BC58" s="456">
        <f>IF(OR('Parte Estrategica'!AE58=0,'Parte Estrategica'!AE58=""),0,IF(VLOOKUP($A58,'Matriz de Referencia'!$B$2:$CO$584,34,FALSE)=0,0,"Digite"))</f>
        <v>0</v>
      </c>
      <c r="BD58" s="456">
        <f>IF(OR('Parte Estrategica'!AE58=0,'Parte Estrategica'!AE58=""),0,IF(VLOOKUP($A58,'Matriz de Referencia'!$B$2:$CO$584,35,FALSE)=0,0,"Digite"))</f>
        <v>0</v>
      </c>
      <c r="BE58" s="456">
        <f>IF(OR('Parte Estrategica'!AE58=0,'Parte Estrategica'!AE58=""),0,IF(VLOOKUP($A58,'Matriz de Referencia'!$B$2:$CO$584,36,FALSE)=0,0,"Digite"))</f>
        <v>0</v>
      </c>
      <c r="BF58" s="457">
        <f t="shared" si="10"/>
        <v>0</v>
      </c>
      <c r="BG58" s="457">
        <f t="shared" si="11"/>
        <v>0</v>
      </c>
      <c r="BH58" s="457">
        <f t="shared" si="12"/>
        <v>0</v>
      </c>
      <c r="BI58" s="101" t="str">
        <f>IFERROR(IF(BH58=0,"",IF(VLOOKUP($A58,'Matriz de Referencia'!$B$2:$CO$584,'Matriz de Referencia'!AM$1,FALSE)=BH58,"Techos ok, cotinue","Debe revisar el valor programado")),"")</f>
        <v/>
      </c>
      <c r="BJ58" s="453">
        <f>IF(OR('Parte Estrategica'!AH58=0,'Parte Estrategica'!AH58=""),0,IF(VLOOKUP($A58,'Matriz de Referencia'!$B$2:$CO$584,39,FALSE)=0,0,"Digite"))</f>
        <v>0</v>
      </c>
      <c r="BK58" s="454">
        <f>IF(OR('Parte Estrategica'!AH58=0,'Parte Estrategica'!AH58=""),0,IF(VLOOKUP($A58,'Matriz de Referencia'!$B$2:$CO$584,40,FALSE)=0,0,"Digite"))</f>
        <v>0</v>
      </c>
      <c r="BL58" s="454">
        <f>IF(OR('Parte Estrategica'!AH58=0,'Parte Estrategica'!AH58=""),0,IF(VLOOKUP($A58,'Matriz de Referencia'!$B$2:$CO$584,41,FALSE)=0,0,"Digite"))</f>
        <v>0</v>
      </c>
      <c r="BM58" s="454">
        <f>IF(OR('Parte Estrategica'!AH58=0,'Parte Estrategica'!AH58=""),0,IF(VLOOKUP($A58,'Matriz de Referencia'!$B$2:$CO$584,42,FALSE)=0,0,"Digite"))</f>
        <v>0</v>
      </c>
      <c r="BN58" s="454">
        <f>IF(OR('Parte Estrategica'!AH58=0,'Parte Estrategica'!AH58=""),0,IF(VLOOKUP($A58,'Matriz de Referencia'!$B$2:$CO$584,43,FALSE)=0,0,"Digite"))</f>
        <v>0</v>
      </c>
      <c r="BO58" s="454">
        <f>IF(OR('Parte Estrategica'!AH58=0,'Parte Estrategica'!AH58=""),0,IF(VLOOKUP($A58,'Matriz de Referencia'!$B$2:$CO$584,44,FALSE)=0,0,"Digite"))</f>
        <v>0</v>
      </c>
      <c r="BP58" s="454">
        <f>IF(OR('Parte Estrategica'!AH58=0,'Parte Estrategica'!AH58=""),0,IF(VLOOKUP($A58,'Matriz de Referencia'!$B$2:$CO$584,45,FALSE)=0,0,"Digite"))</f>
        <v>0</v>
      </c>
      <c r="BQ58" s="454">
        <f>IF(OR('Parte Estrategica'!AH58=0,'Parte Estrategica'!AH58=""),0,IF(VLOOKUP($A58,'Matriz de Referencia'!$B$2:$CO$584,46,FALSE)=0,0,"Digite"))</f>
        <v>0</v>
      </c>
      <c r="BR58" s="382">
        <f t="shared" si="13"/>
        <v>0</v>
      </c>
      <c r="BS58" s="454">
        <f>IF(OR('Parte Estrategica'!CL58=0,'Parte Estrategica'!CL58=""),0,IF(VLOOKUP($A58,'Matriz de Referencia'!$B$2:$CO$584,48,FALSE)=0,0,"Digite"))</f>
        <v>0</v>
      </c>
      <c r="BT58" s="454">
        <f>IF(OR('Parte Estrategica'!CL58=0,'Parte Estrategica'!CL58=""),0,IF(VLOOKUP($A58,'Matriz de Referencia'!$B$2:$CO$584,49,FALSE)=0,0,"Digite"))</f>
        <v>0</v>
      </c>
      <c r="BU58" s="454">
        <f>IF(OR('Parte Estrategica'!CL58=0,'Parte Estrategica'!CL58=""),0,IF(VLOOKUP($A58,'Matriz de Referencia'!$B$2:$CO$584,50,FALSE)=0,0,"Digite"))</f>
        <v>0</v>
      </c>
      <c r="BV58" s="382">
        <f t="shared" si="14"/>
        <v>0</v>
      </c>
      <c r="BW58" s="382">
        <f t="shared" si="15"/>
        <v>0</v>
      </c>
      <c r="BX58" s="453">
        <f>IF(OR('Parte Estrategica'!AI58=0,'Parte Estrategica'!AI58=""),0,IF(VLOOKUP($A58,'Matriz de Referencia'!$B$2:$CO$584,39,FALSE)=0,0,"Digite"))</f>
        <v>0</v>
      </c>
      <c r="BY58" s="454">
        <f>IF(OR('Parte Estrategica'!AI58=0,'Parte Estrategica'!AI58=""),0,IF(VLOOKUP($A58,'Matriz de Referencia'!$B$2:$CO$584,40,FALSE)=0,0,"Digite"))</f>
        <v>0</v>
      </c>
      <c r="BZ58" s="454">
        <f>IF(OR('Parte Estrategica'!AI58=0,'Parte Estrategica'!AI58=""),0,IF(VLOOKUP($A58,'Matriz de Referencia'!$B$2:$CO$584,41,FALSE)=0,0,"Digite"))</f>
        <v>0</v>
      </c>
      <c r="CA58" s="454">
        <f>IF(OR('Parte Estrategica'!AI58=0,'Parte Estrategica'!AI58=""),0,IF(VLOOKUP($A58,'Matriz de Referencia'!$B$2:$CO$584,42,FALSE)=0,0,"Digite"))</f>
        <v>0</v>
      </c>
      <c r="CB58" s="454">
        <f>IF(OR('Parte Estrategica'!AI58=0,'Parte Estrategica'!AI58=""),0,IF(VLOOKUP($A58,'Matriz de Referencia'!$B$2:$CO$584,43,FALSE)=0,0,"Digite"))</f>
        <v>0</v>
      </c>
      <c r="CC58" s="454">
        <f>IF(OR('Parte Estrategica'!AI58=0,'Parte Estrategica'!AI58=""),0,IF(VLOOKUP($A58,'Matriz de Referencia'!$B$2:$CO$584,44,FALSE)=0,0,"Digite"))</f>
        <v>0</v>
      </c>
      <c r="CD58" s="454">
        <f>IF(OR('Parte Estrategica'!AI58=0,'Parte Estrategica'!AI58=""),0,IF(VLOOKUP($A58,'Matriz de Referencia'!$B$2:$CO$584,45,FALSE)=0,0,"Digite"))</f>
        <v>0</v>
      </c>
      <c r="CE58" s="454">
        <f>IF(OR('Parte Estrategica'!AI58=0,'Parte Estrategica'!AI58=""),0,IF(VLOOKUP($A58,'Matriz de Referencia'!$B$2:$CO$584,46,FALSE)=0,0,"Digite"))</f>
        <v>0</v>
      </c>
      <c r="CF58" s="382">
        <f t="shared" si="16"/>
        <v>0</v>
      </c>
      <c r="CG58" s="454">
        <f>IF(OR('Parte Estrategica'!AI58=0,'Parte Estrategica'!AI58=""),0,IF(VLOOKUP($A58,'Matriz de Referencia'!$B$2:$CO$584,48,FALSE)=0,0,"Digite"))</f>
        <v>0</v>
      </c>
      <c r="CH58" s="454">
        <f>IF(OR('Parte Estrategica'!AI58=0,'Parte Estrategica'!AI58=""),0,IF(VLOOKUP($A58,'Matriz de Referencia'!$B$2:$CO$584,49,FALSE)=0,0,"Digite"))</f>
        <v>0</v>
      </c>
      <c r="CI58" s="454">
        <f>IF(OR('Parte Estrategica'!AI58=0,'Parte Estrategica'!AI58=""),0,IF(VLOOKUP($A58,'Matriz de Referencia'!$B$2:$CO$584,50,FALSE)=0,0,"Digite"))</f>
        <v>0</v>
      </c>
      <c r="CJ58" s="382">
        <f t="shared" si="17"/>
        <v>0</v>
      </c>
      <c r="CK58" s="382">
        <f t="shared" si="18"/>
        <v>0</v>
      </c>
      <c r="CL58" s="453">
        <f>IF(OR('Parte Estrategica'!AJ58=0,'Parte Estrategica'!AJ58=""),0,IF(VLOOKUP($A58,'Matriz de Referencia'!$B$2:$CO$584,39,FALSE)=0,0,"Digite"))</f>
        <v>0</v>
      </c>
      <c r="CM58" s="454">
        <f>IF(OR('Parte Estrategica'!AJ58=0,'Parte Estrategica'!AJ58=""),0,IF(VLOOKUP($A58,'Matriz de Referencia'!$B$2:$CO$584,40,FALSE)=0,0,"Digite"))</f>
        <v>0</v>
      </c>
      <c r="CN58" s="454">
        <f>IF(OR('Parte Estrategica'!AJ58=0,'Parte Estrategica'!AJ58=""),0,IF(VLOOKUP($A58,'Matriz de Referencia'!$B$2:$CO$584,41,FALSE)=0,0,"Digite"))</f>
        <v>0</v>
      </c>
      <c r="CO58" s="454">
        <f>IF(OR('Parte Estrategica'!AJ58=0,'Parte Estrategica'!AJ58=""),0,IF(VLOOKUP($A58,'Matriz de Referencia'!$B$2:$CO$584,42,FALSE)=0,0,"Digite"))</f>
        <v>0</v>
      </c>
      <c r="CP58" s="454">
        <f>IF(OR('Parte Estrategica'!AJ58=0,'Parte Estrategica'!AJ58=""),0,IF(VLOOKUP($A58,'Matriz de Referencia'!$B$2:$CO$584,43,FALSE)=0,0,"Digite"))</f>
        <v>0</v>
      </c>
      <c r="CQ58" s="454">
        <f>IF(OR('Parte Estrategica'!AJ58=0,'Parte Estrategica'!AJ58=""),0,IF(VLOOKUP($A58,'Matriz de Referencia'!$B$2:$CO$584,44,FALSE)=0,0,"Digite"))</f>
        <v>0</v>
      </c>
      <c r="CR58" s="454">
        <f>IF(OR('Parte Estrategica'!AJ58=0,'Parte Estrategica'!AJ58=""),0,IF(VLOOKUP($A58,'Matriz de Referencia'!$B$2:$CO$584,45,FALSE)=0,0,"Digite"))</f>
        <v>0</v>
      </c>
      <c r="CS58" s="454">
        <f>IF(OR('Parte Estrategica'!AJ58=0,'Parte Estrategica'!AJ58=""),0,IF(VLOOKUP($A58,'Matriz de Referencia'!$B$2:$CO$584,46,FALSE)=0,0,"Digite"))</f>
        <v>0</v>
      </c>
      <c r="CT58" s="382">
        <f t="shared" si="19"/>
        <v>0</v>
      </c>
      <c r="CU58" s="454">
        <f>IF(OR('Parte Estrategica'!AJ58=0,'Parte Estrategica'!AJ58=""),0,IF(VLOOKUP($A58,'Matriz de Referencia'!$B$2:$CO$584,48,FALSE)=0,0,"Digite"))</f>
        <v>0</v>
      </c>
      <c r="CV58" s="454">
        <f>IF(OR('Parte Estrategica'!AJ58=0,'Parte Estrategica'!AJ58=""),0,IF(VLOOKUP($A58,'Matriz de Referencia'!$B$2:$CO$584,49,FALSE)=0,0,"Digite"))</f>
        <v>0</v>
      </c>
      <c r="CW58" s="454">
        <f>IF(OR('Parte Estrategica'!AJ58=0,'Parte Estrategica'!AJ58=""),0,IF(VLOOKUP($A58,'Matriz de Referencia'!$B$2:$CO$584,50,FALSE)=0,0,"Digite"))</f>
        <v>0</v>
      </c>
      <c r="CX58" s="382">
        <f t="shared" si="20"/>
        <v>0</v>
      </c>
      <c r="CY58" s="382">
        <f t="shared" si="21"/>
        <v>0</v>
      </c>
      <c r="CZ58" s="453">
        <f>IF(OR('Parte Estrategica'!AK58=0,'Parte Estrategica'!AK58=""),0,IF(VLOOKUP($A58,'Matriz de Referencia'!$B$2:$CO$584,39,FALSE)=0,0,"Digite"))</f>
        <v>0</v>
      </c>
      <c r="DA58" s="454">
        <f>IF(OR('Parte Estrategica'!AK58=0,'Parte Estrategica'!AK58=""),0,IF(VLOOKUP($A58,'Matriz de Referencia'!$B$2:$CO$584,40,FALSE)=0,0,"Digite"))</f>
        <v>0</v>
      </c>
      <c r="DB58" s="454">
        <f>IF(OR('Parte Estrategica'!AK58=0,'Parte Estrategica'!AK58=""),0,IF(VLOOKUP($A58,'Matriz de Referencia'!$B$2:$CO$584,41,FALSE)=0,0,"Digite"))</f>
        <v>0</v>
      </c>
      <c r="DC58" s="454">
        <f>IF(OR('Parte Estrategica'!AK58=0,'Parte Estrategica'!AK58=""),0,IF(VLOOKUP($A58,'Matriz de Referencia'!$B$2:$CO$584,42,FALSE)=0,0,"Digite"))</f>
        <v>0</v>
      </c>
      <c r="DD58" s="454">
        <f>IF(OR('Parte Estrategica'!AK58=0,'Parte Estrategica'!AK58=""),0,IF(VLOOKUP($A58,'Matriz de Referencia'!$B$2:$CO$584,43,FALSE)=0,0,"Digite"))</f>
        <v>0</v>
      </c>
      <c r="DE58" s="454">
        <f>IF(OR('Parte Estrategica'!AK58=0,'Parte Estrategica'!AK58=""),0,IF(VLOOKUP($A58,'Matriz de Referencia'!$B$2:$CO$584,44,FALSE)=0,0,"Digite"))</f>
        <v>0</v>
      </c>
      <c r="DF58" s="454">
        <f>IF(OR('Parte Estrategica'!AK58=0,'Parte Estrategica'!AK58=""),0,IF(VLOOKUP($A58,'Matriz de Referencia'!$B$2:$CO$584,45,FALSE)=0,0,"Digite"))</f>
        <v>0</v>
      </c>
      <c r="DG58" s="454">
        <f>IF(OR('Parte Estrategica'!AK58=0,'Parte Estrategica'!AK58=""),0,IF(VLOOKUP($A58,'Matriz de Referencia'!$B$2:$CO$584,46,FALSE)=0,0,"Digite"))</f>
        <v>0</v>
      </c>
      <c r="DH58" s="382">
        <f t="shared" si="22"/>
        <v>0</v>
      </c>
      <c r="DI58" s="454">
        <f>IF(OR('Parte Estrategica'!AK58=0,'Parte Estrategica'!AK58=""),0,IF(VLOOKUP($A58,'Matriz de Referencia'!$B$2:$CO$584,48,FALSE)=0,0,"Digite"))</f>
        <v>0</v>
      </c>
      <c r="DJ58" s="454">
        <f>IF(OR('Parte Estrategica'!AK58=0,'Parte Estrategica'!AK58=""),0,IF(VLOOKUP($A58,'Matriz de Referencia'!$B$2:$CO$584,49,FALSE)=0,0,"Digite"))</f>
        <v>0</v>
      </c>
      <c r="DK58" s="454">
        <f>IF(OR('Parte Estrategica'!AK58=0,'Parte Estrategica'!AK58=""),0,IF(VLOOKUP($A58,'Matriz de Referencia'!$B$2:$CO$584,50,FALSE)=0,0,"Digite"))</f>
        <v>0</v>
      </c>
      <c r="DL58" s="382">
        <f t="shared" si="23"/>
        <v>0</v>
      </c>
      <c r="DM58" s="382">
        <f t="shared" si="24"/>
        <v>0</v>
      </c>
      <c r="DN58" s="382">
        <f t="shared" si="25"/>
        <v>0</v>
      </c>
      <c r="DO58" s="101" t="str">
        <f>IFERROR(IF(DN58=0,"",IF(VLOOKUP($A58,'Matriz de Referencia'!$B$2:$CO$584,52,FALSE)=DN58,"Techos ok, cotinue","Debe revisar el valor programado")),"")</f>
        <v/>
      </c>
      <c r="DP58" s="453">
        <f>IF(OR('Parte Estrategica'!AN58=0,'Parte Estrategica'!AN58=""),0,IF(VLOOKUP($A58,'Matriz de Referencia'!$B$2:$CO$584,53,FALSE)=0,0,"Digite"))</f>
        <v>0</v>
      </c>
      <c r="DQ58" s="454">
        <f>IF(OR('Parte Estrategica'!AN58=0,'Parte Estrategica'!AN58=""),0,IF(VLOOKUP($A58,'Matriz de Referencia'!$B$2:$CO$584,54,FALSE)=0,0,"Digite"))</f>
        <v>0</v>
      </c>
      <c r="DR58" s="454">
        <f>IF(OR('Parte Estrategica'!AN58=0,'Parte Estrategica'!AN58=""),0,IF(VLOOKUP($A58,'Matriz de Referencia'!$B$2:$CO$584,55,FALSE)=0,0,"Digite"))</f>
        <v>0</v>
      </c>
      <c r="DS58" s="454">
        <f>IF(OR('Parte Estrategica'!AN58=0,'Parte Estrategica'!AN58=""),0,IF(VLOOKUP($A58,'Matriz de Referencia'!$B$2:$CO$584,56,FALSE)=0,0,"Digite"))</f>
        <v>0</v>
      </c>
      <c r="DT58" s="454">
        <f>IF(OR('Parte Estrategica'!AN58=0,'Parte Estrategica'!AN58=""),0,IF(VLOOKUP($A58,'Matriz de Referencia'!$B$2:$CO$584,57,FALSE)=0,0,"Digite"))</f>
        <v>0</v>
      </c>
      <c r="DU58" s="454">
        <f>IF(OR('Parte Estrategica'!AN58=0,'Parte Estrategica'!AN58=""),0,IF(VLOOKUP($A58,'Matriz de Referencia'!$B$2:$CO$584,58,FALSE)=0,0,"Digite"))</f>
        <v>0</v>
      </c>
      <c r="DV58" s="454">
        <f>IF(OR('Parte Estrategica'!AN58=0,'Parte Estrategica'!AN58=""),0,IF(VLOOKUP($A58,'Matriz de Referencia'!$B$2:$CO$584,59,FALSE)=0,0,"Digite"))</f>
        <v>0</v>
      </c>
      <c r="DW58" s="454">
        <f>IF(OR('Parte Estrategica'!AN58=0,'Parte Estrategica'!AN58=""),0,IF(VLOOKUP($A58,'Matriz de Referencia'!$B$2:$CO$584,60,FALSE)=0,0,"Digite"))</f>
        <v>0</v>
      </c>
      <c r="DX58" s="382">
        <f t="shared" si="26"/>
        <v>0</v>
      </c>
      <c r="DY58" s="454">
        <f>IF(OR('Parte Estrategica'!AN58=0,'Parte Estrategica'!AN58=""),0,IF(VLOOKUP($A58,'Matriz de Referencia'!$B$2:$CO$584,62,FALSE)=0,0,"Digite"))</f>
        <v>0</v>
      </c>
      <c r="DZ58" s="454">
        <f>IF(OR('Parte Estrategica'!AN58=0,'Parte Estrategica'!AN58=""),0,IF(VLOOKUP($A58,'Matriz de Referencia'!$B$2:$CO$584,63,FALSE)=0,0,"Digite"))</f>
        <v>0</v>
      </c>
      <c r="EA58" s="454" t="str">
        <f>IF(OR('Parte Estrategica'!AN58=0,'Parte Estrategica'!AN58=""),"",IF(VLOOKUP($A58,'Matriz de Referencia'!$B$2:$CO$584,64,FALSE)=0,"","Digite"))</f>
        <v/>
      </c>
      <c r="EB58" s="382">
        <f t="shared" si="27"/>
        <v>0</v>
      </c>
      <c r="EC58" s="382">
        <f t="shared" si="28"/>
        <v>0</v>
      </c>
      <c r="ED58" s="453">
        <f>IF(OR('Parte Estrategica'!AO58=0,'Parte Estrategica'!AO58=""),0,IF(VLOOKUP($A58,'Matriz de Referencia'!$B$2:$CO$584,53,FALSE)=0,0,"Digite"))</f>
        <v>0</v>
      </c>
      <c r="EE58" s="454">
        <f>IF(OR('Parte Estrategica'!AO58=0,'Parte Estrategica'!AO58=""),0,IF(VLOOKUP($A58,'Matriz de Referencia'!$B$2:$CO$584,54,FALSE)=0,0,"Digite"))</f>
        <v>0</v>
      </c>
      <c r="EF58" s="454">
        <f>IF(OR('Parte Estrategica'!AO58=0,'Parte Estrategica'!AO58=""),0,IF(VLOOKUP($A58,'Matriz de Referencia'!$B$2:$CO$584,55,FALSE)=0,0,"Digite"))</f>
        <v>0</v>
      </c>
      <c r="EG58" s="454">
        <f>IF(OR('Parte Estrategica'!AO58=0,'Parte Estrategica'!AO58=""),0,IF(VLOOKUP($A58,'Matriz de Referencia'!$B$2:$CO$584,56,FALSE)=0,0,"Digite"))</f>
        <v>0</v>
      </c>
      <c r="EH58" s="454">
        <f>IF(OR('Parte Estrategica'!AO58=0,'Parte Estrategica'!AO58=""),0,IF(VLOOKUP($A58,'Matriz de Referencia'!$B$2:$CO$584,57,FALSE)=0,0,"Digite"))</f>
        <v>0</v>
      </c>
      <c r="EI58" s="454">
        <f>IF(OR('Parte Estrategica'!AO58=0,'Parte Estrategica'!AO58=""),0,IF(VLOOKUP($A58,'Matriz de Referencia'!$B$2:$CO$584,58,FALSE)=0,0,"Digite"))</f>
        <v>0</v>
      </c>
      <c r="EJ58" s="454">
        <f>IF(OR('Parte Estrategica'!AO58=0,'Parte Estrategica'!AO58=""),0,IF(VLOOKUP($A58,'Matriz de Referencia'!$B$2:$CO$584,59,FALSE)=0,0,"Digite"))</f>
        <v>0</v>
      </c>
      <c r="EK58" s="454">
        <f>IF(OR('Parte Estrategica'!AO58=0,'Parte Estrategica'!AO58=""),0,IF(VLOOKUP($A58,'Matriz de Referencia'!$B$2:$CO$584,60,FALSE)=0,0,"Digite"))</f>
        <v>0</v>
      </c>
      <c r="EL58" s="382">
        <f t="shared" si="29"/>
        <v>0</v>
      </c>
      <c r="EM58" s="454">
        <f>IF(OR('Parte Estrategica'!AO58=0,'Parte Estrategica'!AO58=""),0,IF(VLOOKUP($A58,'Matriz de Referencia'!$B$2:$CO$584,62,FALSE)=0,0,"Digite"))</f>
        <v>0</v>
      </c>
      <c r="EN58" s="454">
        <f>IF(OR('Parte Estrategica'!AO58=0,'Parte Estrategica'!AO58=""),0,IF(VLOOKUP($A58,'Matriz de Referencia'!$B$2:$CO$584,63,FALSE)=0,0,"Digite"))</f>
        <v>0</v>
      </c>
      <c r="EO58" s="454">
        <f>IF(OR('Parte Estrategica'!AO58=0,'Parte Estrategica'!AO58=""),0,IF(VLOOKUP($A58,'Matriz de Referencia'!$B$2:$CO$584,64,FALSE)=0,0,"Digite"))</f>
        <v>0</v>
      </c>
      <c r="EP58" s="382">
        <f t="shared" si="30"/>
        <v>0</v>
      </c>
      <c r="EQ58" s="382">
        <f t="shared" si="31"/>
        <v>0</v>
      </c>
      <c r="ER58" s="453">
        <f>IF(OR('Parte Estrategica'!AP58=0,'Parte Estrategica'!AP58=""),0,IF(VLOOKUP($A58,'Matriz de Referencia'!$B$2:$CO$584,53,FALSE)=0,0,"Digite"))</f>
        <v>0</v>
      </c>
      <c r="ES58" s="454">
        <f>IF(OR('Parte Estrategica'!AP58=0,'Parte Estrategica'!AP58=""),0,IF(VLOOKUP($A58,'Matriz de Referencia'!$B$2:$CO$584,54,FALSE)=0,0,"Digite"))</f>
        <v>0</v>
      </c>
      <c r="ET58" s="454">
        <f>IF(OR('Parte Estrategica'!AP58=0,'Parte Estrategica'!AP58=""),0,IF(VLOOKUP($A58,'Matriz de Referencia'!$B$2:$CO$584,55,FALSE)=0,0,"Digite"))</f>
        <v>0</v>
      </c>
      <c r="EU58" s="454">
        <f>IF(OR('Parte Estrategica'!AP58=0,'Parte Estrategica'!AP58=""),0,IF(VLOOKUP($A58,'Matriz de Referencia'!$B$2:$CO$584,56,FALSE)=0,0,"Digite"))</f>
        <v>0</v>
      </c>
      <c r="EV58" s="454">
        <f>IF(OR('Parte Estrategica'!AP58=0,'Parte Estrategica'!AP58=""),0,IF(VLOOKUP($A58,'Matriz de Referencia'!$B$2:$CO$584,57,FALSE)=0,0,"Digite"))</f>
        <v>0</v>
      </c>
      <c r="EW58" s="454">
        <f>IF(OR('Parte Estrategica'!AP58=0,'Parte Estrategica'!AP58=""),0,IF(VLOOKUP($A58,'Matriz de Referencia'!$B$2:$CO$584,58,FALSE)=0,0,"Digite"))</f>
        <v>0</v>
      </c>
      <c r="EX58" s="454">
        <f>IF(OR('Parte Estrategica'!AP58=0,'Parte Estrategica'!AP58=""),0,IF(VLOOKUP($A58,'Matriz de Referencia'!$B$2:$CO$584,59,FALSE)=0,0,"Digite"))</f>
        <v>0</v>
      </c>
      <c r="EY58" s="454">
        <f>IF(OR('Parte Estrategica'!AP58=0,'Parte Estrategica'!AP58=""),0,IF(VLOOKUP($A58,'Matriz de Referencia'!$B$2:$CO$584,60,FALSE)=0,0,"Digite"))</f>
        <v>0</v>
      </c>
      <c r="EZ58" s="382">
        <f t="shared" si="32"/>
        <v>0</v>
      </c>
      <c r="FA58" s="454">
        <f>IF(OR('Parte Estrategica'!AP58=0,'Parte Estrategica'!AP58=""),0,IF(VLOOKUP($A58,'Matriz de Referencia'!$B$2:$CO$584,62,FALSE)=0,0,"Digite"))</f>
        <v>0</v>
      </c>
      <c r="FB58" s="454">
        <f>IF(OR('Parte Estrategica'!AP58=0,'Parte Estrategica'!AP58=""),0,IF(VLOOKUP($A58,'Matriz de Referencia'!$B$2:$CO$584,63,FALSE)=0,0,"Digite"))</f>
        <v>0</v>
      </c>
      <c r="FC58" s="454">
        <f>IF(OR('Parte Estrategica'!AP58=0,'Parte Estrategica'!AP58=""),0,IF(VLOOKUP($A58,'Matriz de Referencia'!$B$2:$CO$584,64,FALSE)=0,0,"Digite"))</f>
        <v>0</v>
      </c>
      <c r="FD58" s="382">
        <f t="shared" si="33"/>
        <v>0</v>
      </c>
      <c r="FE58" s="382">
        <f t="shared" si="34"/>
        <v>0</v>
      </c>
      <c r="FF58" s="453">
        <f>IF(OR('Parte Estrategica'!AQ58=0,'Parte Estrategica'!AQ58=""),0,IF(VLOOKUP($A58,'Matriz de Referencia'!$B$2:$CO$584,53,FALSE)=0,0,"Digite"))</f>
        <v>0</v>
      </c>
      <c r="FG58" s="454">
        <f>IF(OR('Parte Estrategica'!AQ58=0,'Parte Estrategica'!AQ58=""),0,IF(VLOOKUP($A58,'Matriz de Referencia'!$B$2:$CO$584,54,FALSE)=0,0,"Digite"))</f>
        <v>0</v>
      </c>
      <c r="FH58" s="454">
        <f>IF(OR('Parte Estrategica'!AQ58=0,'Parte Estrategica'!AQ58=""),0,IF(VLOOKUP($A58,'Matriz de Referencia'!$B$2:$CO$584,55,FALSE)=0,0,"Digite"))</f>
        <v>0</v>
      </c>
      <c r="FI58" s="454">
        <f>IF(OR('Parte Estrategica'!AQ58=0,'Parte Estrategica'!AQ58=""),0,IF(VLOOKUP($A58,'Matriz de Referencia'!$B$2:$CO$584,56,FALSE)=0,0,"Digite"))</f>
        <v>0</v>
      </c>
      <c r="FJ58" s="454">
        <f>IF(OR('Parte Estrategica'!AQ58=0,'Parte Estrategica'!AQ58=""),0,IF(VLOOKUP($A58,'Matriz de Referencia'!$B$2:$CO$584,57,FALSE)=0,0,"Digite"))</f>
        <v>0</v>
      </c>
      <c r="FK58" s="454">
        <f>IF(OR('Parte Estrategica'!AQ58=0,'Parte Estrategica'!AQ58=""),0,IF(VLOOKUP($A58,'Matriz de Referencia'!$B$2:$CO$584,58,FALSE)=0,0,"Digite"))</f>
        <v>0</v>
      </c>
      <c r="FL58" s="454">
        <f>IF(OR('Parte Estrategica'!AQ58=0,'Parte Estrategica'!AQ58=""),0,IF(VLOOKUP($A58,'Matriz de Referencia'!$B$2:$CO$584,59,FALSE)=0,0,"Digite"))</f>
        <v>0</v>
      </c>
      <c r="FM58" s="454">
        <f>IF(OR('Parte Estrategica'!AQ58=0,'Parte Estrategica'!AQ58=""),0,IF(VLOOKUP($A58,'Matriz de Referencia'!$B$2:$CO$584,60,FALSE)=0,0,"Digite"))</f>
        <v>0</v>
      </c>
      <c r="FN58" s="382">
        <f t="shared" si="35"/>
        <v>0</v>
      </c>
      <c r="FO58" s="454">
        <f>IF(OR('Parte Estrategica'!AQ58=0,'Parte Estrategica'!AQ58=""),0,IF(VLOOKUP($A58,'Matriz de Referencia'!$B$2:$CO$584,62,FALSE)=0,0,"Digite"))</f>
        <v>0</v>
      </c>
      <c r="FP58" s="454">
        <f>IF(OR('Parte Estrategica'!AQ58=0,'Parte Estrategica'!AQ58=""),0,IF(VLOOKUP($A58,'Matriz de Referencia'!$B$2:$CO$584,63,FALSE)=0,0,"Digite"))</f>
        <v>0</v>
      </c>
      <c r="FQ58" s="454">
        <f>IF(OR('Parte Estrategica'!AQ58=0,'Parte Estrategica'!AQ58=""),0,IF(VLOOKUP($A58,'Matriz de Referencia'!$B$2:$CO$584,64,FALSE)=0,0,"Digite"))</f>
        <v>0</v>
      </c>
      <c r="FR58" s="382">
        <f t="shared" si="36"/>
        <v>0</v>
      </c>
      <c r="FS58" s="382">
        <f t="shared" si="37"/>
        <v>0</v>
      </c>
      <c r="FT58" s="382">
        <f t="shared" si="38"/>
        <v>0</v>
      </c>
      <c r="FU58" s="101" t="str">
        <f>IFERROR(IF(FT58=0,"",IF(VLOOKUP($A58,'Matriz de Referencia'!$B$2:$CO$584,66,FALSE)=FT58,"Techos ok, cotinue","Debe revisar el valor programado")),"")</f>
        <v/>
      </c>
      <c r="FV58" s="453">
        <f>IF(OR('Parte Estrategica'!AT58=0,'Parte Estrategica'!AT58=""),0,IF(VLOOKUP($A58,'Matriz de Referencia'!$B$2:$CO$584,67,FALSE)=0,0,"Digite"))</f>
        <v>0</v>
      </c>
      <c r="FW58" s="454">
        <f>IF(OR('Parte Estrategica'!AT58=0,'Parte Estrategica'!AT58=""),0,IF(VLOOKUP($A58,'Matriz de Referencia'!$B$2:$CO$584,68,FALSE)=0,0,"Digite"))</f>
        <v>0</v>
      </c>
      <c r="FX58" s="454">
        <f>IF(OR('Parte Estrategica'!AT58=0,'Parte Estrategica'!AT58=""),0,IF(VLOOKUP($A58,'Matriz de Referencia'!$B$2:$CO$584,69,FALSE)=0,0,"Digite"))</f>
        <v>0</v>
      </c>
      <c r="FY58" s="454">
        <f>IF(OR('Parte Estrategica'!AT58=0,'Parte Estrategica'!AT58=""),0,IF(VLOOKUP($A58,'Matriz de Referencia'!$B$2:$CO$584,70,FALSE)=0,0,"Digite"))</f>
        <v>0</v>
      </c>
      <c r="FZ58" s="454">
        <f>IF(OR('Parte Estrategica'!AT58=0,'Parte Estrategica'!AT58=""),0,IF(VLOOKUP($A58,'Matriz de Referencia'!$B$2:$CO$584,71,FALSE)=0,0,"Digite"))</f>
        <v>0</v>
      </c>
      <c r="GA58" s="454">
        <f>IF(OR('Parte Estrategica'!AT58=0,'Parte Estrategica'!AT58=""),0,IF(VLOOKUP($A58,'Matriz de Referencia'!$B$2:$CO$584,72,FALSE)=0,0,"Digite"))</f>
        <v>0</v>
      </c>
      <c r="GB58" s="454">
        <f>IF(OR('Parte Estrategica'!AT58=0,'Parte Estrategica'!AT58=""),0,IF(VLOOKUP($A58,'Matriz de Referencia'!$B$2:$CO$584,73,FALSE)=0,0,"Digite"))</f>
        <v>0</v>
      </c>
      <c r="GC58" s="454">
        <f>IF(OR('Parte Estrategica'!AT58=0,'Parte Estrategica'!AT58=""),0,IF(VLOOKUP($A58,'Matriz de Referencia'!$B$2:$CO$584,74,FALSE)=0,0,"Digite"))</f>
        <v>0</v>
      </c>
      <c r="GD58" s="382">
        <f t="shared" si="39"/>
        <v>0</v>
      </c>
      <c r="GE58" s="454">
        <f>IF(OR('Parte Estrategica'!AT58=0,'Parte Estrategica'!AT58=""),0,IF(VLOOKUP($A58,'Matriz de Referencia'!$B$2:$CO$584,76,FALSE)=0,0,"Digite"))</f>
        <v>0</v>
      </c>
      <c r="GF58" s="454">
        <f>IF(OR('Parte Estrategica'!AT58=0,'Parte Estrategica'!AT58=""),0,IF(VLOOKUP($A58,'Matriz de Referencia'!$B$2:$CO$584,77,FALSE)=0,0,"Digite"))</f>
        <v>0</v>
      </c>
      <c r="GG58" s="454">
        <f>IF(OR('Parte Estrategica'!AT58=0,'Parte Estrategica'!AT58=""),0,IF(VLOOKUP($A58,'Matriz de Referencia'!$B$2:$CO$584,78,FALSE)=0,0,"Digite"))</f>
        <v>0</v>
      </c>
      <c r="GH58" s="382">
        <f t="shared" si="40"/>
        <v>0</v>
      </c>
      <c r="GI58" s="382">
        <f t="shared" si="41"/>
        <v>0</v>
      </c>
      <c r="GJ58" s="453">
        <f>IF(OR('Parte Estrategica'!AU58=0,'Parte Estrategica'!AU58=""),0,IF(VLOOKUP($A58,'Matriz de Referencia'!$B$2:$CO$584,67,FALSE)=0,0,"Digite"))</f>
        <v>0</v>
      </c>
      <c r="GK58" s="454">
        <f>IF(OR('Parte Estrategica'!AU58=0,'Parte Estrategica'!AU58=""),0,IF(VLOOKUP($A58,'Matriz de Referencia'!$B$2:$CO$584,68,FALSE)=0,0,"Digite"))</f>
        <v>0</v>
      </c>
      <c r="GL58" s="454">
        <f>IF(OR('Parte Estrategica'!AU58=0,'Parte Estrategica'!AU58=""),0,IF(VLOOKUP($A58,'Matriz de Referencia'!$B$2:$CO$584,69,FALSE)=0,0,"Digite"))</f>
        <v>0</v>
      </c>
      <c r="GM58" s="454">
        <f>IF(OR('Parte Estrategica'!AU58=0,'Parte Estrategica'!AU58=""),0,IF(VLOOKUP($A58,'Matriz de Referencia'!$B$2:$CO$584,70,FALSE)=0,0,"Digite"))</f>
        <v>0</v>
      </c>
      <c r="GN58" s="454">
        <f>IF(OR('Parte Estrategica'!AU58=0,'Parte Estrategica'!AU58=""),0,IF(VLOOKUP($A58,'Matriz de Referencia'!$B$2:$CO$584,71,FALSE)=0,0,"Digite"))</f>
        <v>0</v>
      </c>
      <c r="GO58" s="454">
        <f>IF(OR('Parte Estrategica'!AU58=0,'Parte Estrategica'!AU58=""),0,IF(VLOOKUP($A58,'Matriz de Referencia'!$B$2:$CO$584,72,FALSE)=0,0,"Digite"))</f>
        <v>0</v>
      </c>
      <c r="GP58" s="454">
        <f>IF(OR('Parte Estrategica'!AU58=0,'Parte Estrategica'!AU58=""),0,IF(VLOOKUP($A58,'Matriz de Referencia'!$B$2:$CO$584,73,FALSE)=0,0,"Digite"))</f>
        <v>0</v>
      </c>
      <c r="GQ58" s="454">
        <f>IF(OR('Parte Estrategica'!AU58=0,'Parte Estrategica'!AU58=""),0,IF(VLOOKUP($A58,'Matriz de Referencia'!$B$2:$CO$584,74,FALSE)=0,0,"Digite"))</f>
        <v>0</v>
      </c>
      <c r="GR58" s="382">
        <f t="shared" si="42"/>
        <v>0</v>
      </c>
      <c r="GS58" s="454">
        <f>IF(OR('Parte Estrategica'!AU58=0,'Parte Estrategica'!AU58=""),0,IF(VLOOKUP($A58,'Matriz de Referencia'!$B$2:$CO$584,76,FALSE)=0,0,"Digite"))</f>
        <v>0</v>
      </c>
      <c r="GT58" s="454">
        <f>IF(OR('Parte Estrategica'!AU58=0,'Parte Estrategica'!AU58=""),0,IF(VLOOKUP($A58,'Matriz de Referencia'!$B$2:$CO$584,77,FALSE)=0,0,"Digite"))</f>
        <v>0</v>
      </c>
      <c r="GU58" s="454">
        <f>IF(OR('Parte Estrategica'!AU58=0,'Parte Estrategica'!AU58=""),0,IF(VLOOKUP($A58,'Matriz de Referencia'!$B$2:$CO$584,78,FALSE)=0,0,"Digite"))</f>
        <v>0</v>
      </c>
      <c r="GV58" s="382">
        <f t="shared" si="43"/>
        <v>0</v>
      </c>
      <c r="GW58" s="382">
        <f t="shared" si="44"/>
        <v>0</v>
      </c>
      <c r="GX58" s="453">
        <f>IF(OR('Parte Estrategica'!AV58=0,'Parte Estrategica'!AV58=""),0,IF(VLOOKUP($A58,'Matriz de Referencia'!$B$2:$CO$584,67,FALSE)=0,0,"Digite"))</f>
        <v>0</v>
      </c>
      <c r="GY58" s="454">
        <f>IF(OR('Parte Estrategica'!AV58=0,'Parte Estrategica'!AV58=""),0,IF(VLOOKUP($A58,'Matriz de Referencia'!$B$2:$CO$584,68,FALSE)=0,0,"Digite"))</f>
        <v>0</v>
      </c>
      <c r="GZ58" s="454">
        <f>IF(OR('Parte Estrategica'!AV58=0,'Parte Estrategica'!AV58=""),0,IF(VLOOKUP($A58,'Matriz de Referencia'!$B$2:$CO$584,69,FALSE)=0,0,"Digite"))</f>
        <v>0</v>
      </c>
      <c r="HA58" s="454">
        <f>IF(OR('Parte Estrategica'!AV58=0,'Parte Estrategica'!AV58=""),0,IF(VLOOKUP($A58,'Matriz de Referencia'!$B$2:$CO$584,70,FALSE)=0,0,"Digite"))</f>
        <v>0</v>
      </c>
      <c r="HB58" s="454">
        <f>IF(OR('Parte Estrategica'!AV58=0,'Parte Estrategica'!AV58=""),0,IF(VLOOKUP($A58,'Matriz de Referencia'!$B$2:$CO$584,71,FALSE)=0,0,"Digite"))</f>
        <v>0</v>
      </c>
      <c r="HC58" s="454">
        <f>IF(OR('Parte Estrategica'!AV58=0,'Parte Estrategica'!AV58=""),0,IF(VLOOKUP($A58,'Matriz de Referencia'!$B$2:$CO$584,72,FALSE)=0,0,"Digite"))</f>
        <v>0</v>
      </c>
      <c r="HD58" s="454">
        <f>IF(OR('Parte Estrategica'!AV58=0,'Parte Estrategica'!AV58=""),0,IF(VLOOKUP($A58,'Matriz de Referencia'!$B$2:$CO$584,73,FALSE)=0,0,"Digite"))</f>
        <v>0</v>
      </c>
      <c r="HE58" s="454">
        <f>IF(OR('Parte Estrategica'!AV58=0,'Parte Estrategica'!AV58=""),0,IF(VLOOKUP($A58,'Matriz de Referencia'!$B$2:$CO$584,74,FALSE)=0,0,"Digite"))</f>
        <v>0</v>
      </c>
      <c r="HF58" s="382">
        <f t="shared" si="45"/>
        <v>0</v>
      </c>
      <c r="HG58" s="454">
        <f>IF(OR('Parte Estrategica'!AV58=0,'Parte Estrategica'!AV58=""),0,IF(VLOOKUP($A58,'Matriz de Referencia'!$B$2:$CO$584,76,FALSE)=0,0,"Digite"))</f>
        <v>0</v>
      </c>
      <c r="HH58" s="454">
        <f>IF(OR('Parte Estrategica'!AV58=0,'Parte Estrategica'!AV58=""),0,IF(VLOOKUP($A58,'Matriz de Referencia'!$B$2:$CO$584,77,FALSE)=0,0,"Digite"))</f>
        <v>0</v>
      </c>
      <c r="HI58" s="454">
        <f>IF(OR('Parte Estrategica'!AV58=0,'Parte Estrategica'!AV58=""),0,IF(VLOOKUP($A58,'Matriz de Referencia'!$B$2:$CO$584,78,FALSE)=0,0,"Digite"))</f>
        <v>0</v>
      </c>
      <c r="HJ58" s="382">
        <f t="shared" si="46"/>
        <v>0</v>
      </c>
      <c r="HK58" s="382">
        <f t="shared" si="47"/>
        <v>0</v>
      </c>
      <c r="HL58" s="453">
        <f>IF(OR('Parte Estrategica'!AW58=0,'Parte Estrategica'!AW58=""),0,IF(VLOOKUP($A58,'Matriz de Referencia'!$B$2:$CO$584,67,FALSE)=0,0,"Digite"))</f>
        <v>0</v>
      </c>
      <c r="HM58" s="454">
        <f>IF(OR('Parte Estrategica'!AW58=0,'Parte Estrategica'!AW58=""),0,IF(VLOOKUP($A58,'Matriz de Referencia'!$B$2:$CO$584,68,FALSE)=0,0,"Digite"))</f>
        <v>0</v>
      </c>
      <c r="HN58" s="454">
        <f>IF(OR('Parte Estrategica'!AW58=0,'Parte Estrategica'!AW58=""),0,IF(VLOOKUP($A58,'Matriz de Referencia'!$B$2:$CO$584,69,FALSE)=0,0,"Digite"))</f>
        <v>0</v>
      </c>
      <c r="HO58" s="454">
        <f>IF(OR('Parte Estrategica'!AW58=0,'Parte Estrategica'!AW58=""),0,IF(VLOOKUP($A58,'Matriz de Referencia'!$B$2:$CO$584,70,FALSE)=0,0,"Digite"))</f>
        <v>0</v>
      </c>
      <c r="HP58" s="454">
        <f>IF(OR('Parte Estrategica'!AW58=0,'Parte Estrategica'!AW58=""),0,IF(VLOOKUP($A58,'Matriz de Referencia'!$B$2:$CO$584,71,FALSE)=0,0,"Digite"))</f>
        <v>0</v>
      </c>
      <c r="HQ58" s="454">
        <f>IF(OR('Parte Estrategica'!AW58=0,'Parte Estrategica'!AW58=""),0,IF(VLOOKUP($A58,'Matriz de Referencia'!$B$2:$CO$584,72,FALSE)=0,0,"Digite"))</f>
        <v>0</v>
      </c>
      <c r="HR58" s="454">
        <f>IF(OR('Parte Estrategica'!AW58=0,'Parte Estrategica'!AW58=""),0,IF(VLOOKUP($A58,'Matriz de Referencia'!$B$2:$CO$584,73,FALSE)=0,0,"Digite"))</f>
        <v>0</v>
      </c>
      <c r="HS58" s="454">
        <f>IF(OR('Parte Estrategica'!AW58=0,'Parte Estrategica'!AW58=""),0,IF(VLOOKUP($A58,'Matriz de Referencia'!$B$2:$CO$584,74,FALSE)=0,0,"Digite"))</f>
        <v>0</v>
      </c>
      <c r="HT58" s="382">
        <f t="shared" si="48"/>
        <v>0</v>
      </c>
      <c r="HU58" s="454">
        <f>IF(OR('Parte Estrategica'!AW58=0,'Parte Estrategica'!AW58=""),0,IF(VLOOKUP($A58,'Matriz de Referencia'!$B$2:$CO$584,76,FALSE)=0,0,"Digite"))</f>
        <v>0</v>
      </c>
      <c r="HV58" s="454">
        <f>IF(OR('Parte Estrategica'!AW58=0,'Parte Estrategica'!AW58=""),0,IF(VLOOKUP($A58,'Matriz de Referencia'!$B$2:$CO$584,77,FALSE)=0,0,"Digite"))</f>
        <v>0</v>
      </c>
      <c r="HW58" s="454">
        <f>IF(OR('Parte Estrategica'!AW58=0,'Parte Estrategica'!AW58=""),0,IF(VLOOKUP($A58,'Matriz de Referencia'!$B$2:$CO$584,78,FALSE)=0,0,"Digite"))</f>
        <v>0</v>
      </c>
      <c r="HX58" s="382">
        <f t="shared" si="49"/>
        <v>0</v>
      </c>
      <c r="HY58" s="382">
        <f t="shared" si="50"/>
        <v>0</v>
      </c>
      <c r="HZ58" s="382">
        <f t="shared" si="51"/>
        <v>0</v>
      </c>
      <c r="IA58" s="101" t="str">
        <f>IFERROR(IF(HZ58=0,"",IF(VLOOKUP($A58,'Matriz de Referencia'!$B$2:$CO$584,80,FALSE)=HZ58,"Techos ok, cotinue","Debe revisar el valor programado")),"")</f>
        <v/>
      </c>
      <c r="IB58" s="383">
        <f t="shared" si="52"/>
        <v>0</v>
      </c>
    </row>
    <row r="59" spans="1:236">
      <c r="A59" s="550" t="str">
        <f>IF('Parte Estrategica'!B59=0,"",'Parte Estrategica'!B59)</f>
        <v/>
      </c>
      <c r="B59" s="551" t="str">
        <f>IFERROR(VLOOKUP(A59,'Matriz de Referencia'!$B$2:$P$578,'Matriz de Referencia'!L$1,FALSE),"")</f>
        <v/>
      </c>
      <c r="C59" s="551" t="str">
        <f>IFERROR(VLOOKUP(A59,'Matriz de Referencia'!$B$2:$P$584,'Matriz de Referencia'!M$1,FALSE),"")</f>
        <v/>
      </c>
      <c r="D59" s="455" t="str">
        <f>IF(OR('Parte Estrategica'!AB59=0,'Parte Estrategica'!AB59=""),"",IF(VLOOKUP($A59,'Matriz de Referencia'!$B$2:$CO$584,'Matriz de Referencia'!Z$1,FALSE)=0,"","Digite"))</f>
        <v/>
      </c>
      <c r="E59" s="456">
        <f>IF(OR('Parte Estrategica'!AB59=0,'Parte Estrategica'!AB59=""),0,IF(VLOOKUP($A59,'Matriz de Referencia'!$B$2:$CO$584,26,FALSE)=0,0,"Digite"))</f>
        <v>0</v>
      </c>
      <c r="F59" s="456">
        <f>IF(OR('Parte Estrategica'!AB59=0,'Parte Estrategica'!AB59=""),0,IF(VLOOKUP($A59,'Matriz de Referencia'!$B$2:$CO$584,27,FALSE)=0,0,"Digite"))</f>
        <v>0</v>
      </c>
      <c r="G59" s="456">
        <f>IF(OR('Parte Estrategica'!AB59=0,'Parte Estrategica'!AB59=""),0,IF(VLOOKUP($A59,'Matriz de Referencia'!$B$2:$CO$584,28,FALSE)=0,0,"Digite"))</f>
        <v>0</v>
      </c>
      <c r="H59" s="456">
        <f>IF(OR('Parte Estrategica'!AB59=0,'Parte Estrategica'!AB59=""),0,IF(VLOOKUP($A59,'Matriz de Referencia'!$B$2:$CO$584,29,FALSE)=0,0,"Digite"))</f>
        <v>0</v>
      </c>
      <c r="I59" s="456">
        <f>IF(OR('Parte Estrategica'!AB59=0,'Parte Estrategica'!AB59=""),0,IF(VLOOKUP($A59,'Matriz de Referencia'!$B$2:$CO$584,30,FALSE)=0,0,"Digite"))</f>
        <v>0</v>
      </c>
      <c r="J59" s="456">
        <f>IF(OR('Parte Estrategica'!AB59=0,'Parte Estrategica'!AB59=""),0,IF(VLOOKUP($A59,'Matriz de Referencia'!$B$2:$CO$584,31,FALSE)=0,0,"Digite"))</f>
        <v>0</v>
      </c>
      <c r="K59" s="456">
        <f>IF(OR('Parte Estrategica'!AB59=0,'Parte Estrategica'!AB59=""),0,IF(VLOOKUP($A59,'Matriz de Referencia'!$B$2:$CO$584,32,FALSE)=0,0,"Digite"))</f>
        <v>0</v>
      </c>
      <c r="L59" s="460">
        <f t="shared" si="0"/>
        <v>0</v>
      </c>
      <c r="M59" s="456">
        <f>IF(OR('Parte Estrategica'!AB59=0,'Parte Estrategica'!AB59=""),0,IF(VLOOKUP($A59,'Matriz de Referencia'!$B$2:$CO$584,34,FALSE)=0,0,"Digite"))</f>
        <v>0</v>
      </c>
      <c r="N59" s="456">
        <f>IF(OR('Parte Estrategica'!AB59=0,'Parte Estrategica'!AB59=""),0,IF(VLOOKUP($A59,'Matriz de Referencia'!$B$2:$CO$584,35,FALSE)=0,0,"Digite"))</f>
        <v>0</v>
      </c>
      <c r="O59" s="456">
        <f>IF(OR('Parte Estrategica'!AB59=0,'Parte Estrategica'!AB59=""),0,IF(VLOOKUP($A59,'Matriz de Referencia'!$B$2:$CO$584,36,FALSE)=0,0,"Digite"))</f>
        <v>0</v>
      </c>
      <c r="P59" s="457">
        <f t="shared" si="1"/>
        <v>0</v>
      </c>
      <c r="Q59" s="457">
        <f t="shared" si="2"/>
        <v>0</v>
      </c>
      <c r="R59" s="455">
        <f>IF(OR('Parte Estrategica'!AC59=0,'Parte Estrategica'!AC59=""),0,IF(VLOOKUP($A59,'Matriz de Referencia'!$B$2:$CO$584,25,FALSE)=0,0,"Digite"))</f>
        <v>0</v>
      </c>
      <c r="S59" s="456">
        <f>IF(OR('Parte Estrategica'!AC59=0,'Parte Estrategica'!AC59=""),0,IF(VLOOKUP($A59,'Matriz de Referencia'!$B$2:$CO$584,26,FALSE)=0,0,"Digite"))</f>
        <v>0</v>
      </c>
      <c r="T59" s="456">
        <f>IF(OR('Parte Estrategica'!AC59=0,'Parte Estrategica'!AC59=""),0,IF(VLOOKUP($A59,'Matriz de Referencia'!$B$2:$CO$584,27,FALSE)=0,0,"Digite"))</f>
        <v>0</v>
      </c>
      <c r="U59" s="456">
        <f>IF(OR('Parte Estrategica'!AC59=0,'Parte Estrategica'!AC59=""),0,IF(VLOOKUP($A59,'Matriz de Referencia'!$B$2:$CO$584,28,FALSE)=0,0,"Digite"))</f>
        <v>0</v>
      </c>
      <c r="V59" s="456">
        <f>IF(OR('Parte Estrategica'!AC59=0,'Parte Estrategica'!AC59=""),0,IF(VLOOKUP($A59,'Matriz de Referencia'!$B$2:$CO$584,29,FALSE)=0,0,"Digite"))</f>
        <v>0</v>
      </c>
      <c r="W59" s="456">
        <f>IF(OR('Parte Estrategica'!AC59=0,'Parte Estrategica'!AC59=""),0,IF(VLOOKUP($A59,'Matriz de Referencia'!$B$2:$CO$584,30,FALSE)=0,0,"Digite"))</f>
        <v>0</v>
      </c>
      <c r="X59" s="456">
        <f>IF(OR('Parte Estrategica'!AC59=0,'Parte Estrategica'!AC59=""),0,IF(VLOOKUP($A59,'Matriz de Referencia'!$B$2:$CO$584,31,FALSE)=0,0,"Digite"))</f>
        <v>0</v>
      </c>
      <c r="Y59" s="456">
        <f>IF(OR('Parte Estrategica'!AC59=0,'Parte Estrategica'!AC59=""),0,IF(VLOOKUP($A59,'Matriz de Referencia'!$B$2:$CO$584,32,FALSE)=0,0,"Digite"))</f>
        <v>0</v>
      </c>
      <c r="Z59" s="457">
        <f t="shared" si="3"/>
        <v>0</v>
      </c>
      <c r="AA59" s="456">
        <f>IF(OR('Parte Estrategica'!AC59=0,'Parte Estrategica'!AC59=""),0,IF(VLOOKUP($A59,'Matriz de Referencia'!$B$2:$CO$584,34,FALSE)=0,0,"Digite"))</f>
        <v>0</v>
      </c>
      <c r="AB59" s="456">
        <f>IF(OR('Parte Estrategica'!AC59=0,'Parte Estrategica'!AC59=""),0,IF(VLOOKUP($A59,'Matriz de Referencia'!$B$2:$CO$584,35,FALSE)=0,0,"Digite"))</f>
        <v>0</v>
      </c>
      <c r="AC59" s="456">
        <f>IF(OR('Parte Estrategica'!AC59=0,'Parte Estrategica'!AC59=""),0,IF(VLOOKUP($A59,'Matriz de Referencia'!$B$2:$CO$584,36,FALSE)=0,0,"Digite"))</f>
        <v>0</v>
      </c>
      <c r="AD59" s="457">
        <f t="shared" si="4"/>
        <v>0</v>
      </c>
      <c r="AE59" s="457">
        <f t="shared" si="5"/>
        <v>0</v>
      </c>
      <c r="AF59" s="455">
        <f>IF(OR('Parte Estrategica'!AD59=0,'Parte Estrategica'!AD59=""),0,IF(VLOOKUP($A59,'Matriz de Referencia'!$B$2:$CO$584,25,FALSE)=0,0,"Digite"))</f>
        <v>0</v>
      </c>
      <c r="AG59" s="456">
        <f>IF(OR('Parte Estrategica'!AD59=0,'Parte Estrategica'!AD59=""),0,IF(VLOOKUP($A59,'Matriz de Referencia'!$B$2:$CO$584,26,FALSE)=0,0,"Digite"))</f>
        <v>0</v>
      </c>
      <c r="AH59" s="456">
        <f>IF(OR('Parte Estrategica'!AD59=0,'Parte Estrategica'!AD59=""),0,IF(VLOOKUP($A59,'Matriz de Referencia'!$B$2:$CO$584,27,FALSE)=0,0,"Digite"))</f>
        <v>0</v>
      </c>
      <c r="AI59" s="456">
        <f>IF(OR('Parte Estrategica'!AD59=0,'Parte Estrategica'!AD59=""),0,IF(VLOOKUP($A59,'Matriz de Referencia'!$B$2:$CO$584,28,FALSE)=0,0,"Digite"))</f>
        <v>0</v>
      </c>
      <c r="AJ59" s="456">
        <f>IF(OR('Parte Estrategica'!AD59=0,'Parte Estrategica'!AD59=""),0,IF(VLOOKUP($A59,'Matriz de Referencia'!$B$2:$CO$584,29,FALSE)=0,0,"Digite"))</f>
        <v>0</v>
      </c>
      <c r="AK59" s="456">
        <f>IF(OR('Parte Estrategica'!AD59=0,'Parte Estrategica'!AD59=""),0,IF(VLOOKUP($A59,'Matriz de Referencia'!$B$2:$CO$584,30,FALSE)=0,0,"Digite"))</f>
        <v>0</v>
      </c>
      <c r="AL59" s="456">
        <f>IF(OR('Parte Estrategica'!AD59=0,'Parte Estrategica'!AD59=""),0,IF(VLOOKUP($A59,'Matriz de Referencia'!$B$2:$CO$584,31,FALSE)=0,0,"Digite"))</f>
        <v>0</v>
      </c>
      <c r="AM59" s="456">
        <f>IF(OR('Parte Estrategica'!AD59=0,'Parte Estrategica'!AD59=""),0,IF(VLOOKUP($A59,'Matriz de Referencia'!$B$2:$CO$584,32,FALSE)=0,0,"Digite"))</f>
        <v>0</v>
      </c>
      <c r="AN59" s="457">
        <f t="shared" si="6"/>
        <v>0</v>
      </c>
      <c r="AO59" s="456">
        <f>IF(OR('Parte Estrategica'!AD59=0,'Parte Estrategica'!AD59=""),0,IF(VLOOKUP($A59,'Matriz de Referencia'!$B$2:$CO$584,34,FALSE)=0,0,"Digite"))</f>
        <v>0</v>
      </c>
      <c r="AP59" s="456">
        <f>IF(OR('Parte Estrategica'!AD59=0,'Parte Estrategica'!AD59=""),0,IF(VLOOKUP($A59,'Matriz de Referencia'!$B$2:$CO$584,35,FALSE)=0,0,"Digite"))</f>
        <v>0</v>
      </c>
      <c r="AQ59" s="456">
        <f>IF(OR('Parte Estrategica'!AD59=0,'Parte Estrategica'!AD59=""),0,IF(VLOOKUP($A59,'Matriz de Referencia'!$B$2:$CO$584,36,FALSE)=0,0,"Digite"))</f>
        <v>0</v>
      </c>
      <c r="AR59" s="457">
        <f t="shared" si="7"/>
        <v>0</v>
      </c>
      <c r="AS59" s="457">
        <f t="shared" si="8"/>
        <v>0</v>
      </c>
      <c r="AT59" s="455">
        <f>IF(OR('Parte Estrategica'!AE59=0,'Parte Estrategica'!AE59=""),0,IF(VLOOKUP($A59,'Matriz de Referencia'!$B$2:$CO$584,25,FALSE)=0,0,"Digite"))</f>
        <v>0</v>
      </c>
      <c r="AU59" s="456">
        <f>IF(OR('Parte Estrategica'!AE59=0,'Parte Estrategica'!AE59=""),0,IF(VLOOKUP($A59,'Matriz de Referencia'!$B$2:$CO$584,26,FALSE)=0,0,"Digite"))</f>
        <v>0</v>
      </c>
      <c r="AV59" s="456">
        <f>IF(OR('Parte Estrategica'!AE59=0,'Parte Estrategica'!AE59=""),0,IF(VLOOKUP($A59,'Matriz de Referencia'!$B$2:$CO$584,27,FALSE)=0,0,"Digite"))</f>
        <v>0</v>
      </c>
      <c r="AW59" s="456">
        <f>IF(OR('Parte Estrategica'!AE59=0,'Parte Estrategica'!AE59=""),0,IF(VLOOKUP($A59,'Matriz de Referencia'!$B$2:$CO$584,28,FALSE)=0,0,"Digite"))</f>
        <v>0</v>
      </c>
      <c r="AX59" s="456">
        <f>IF(OR('Parte Estrategica'!AE59=0,'Parte Estrategica'!AE59=""),0,IF(VLOOKUP($A59,'Matriz de Referencia'!$B$2:$CO$584,29,FALSE)=0,0,"Digite"))</f>
        <v>0</v>
      </c>
      <c r="AY59" s="456">
        <f>IF(OR('Parte Estrategica'!AE59=0,'Parte Estrategica'!AE59=""),0,IF(VLOOKUP($A59,'Matriz de Referencia'!$B$2:$CO$584,30,FALSE)=0,0,"Digite"))</f>
        <v>0</v>
      </c>
      <c r="AZ59" s="456">
        <f>IF(OR('Parte Estrategica'!AE59=0,'Parte Estrategica'!AE59=""),0,IF(VLOOKUP($A59,'Matriz de Referencia'!$B$2:$CO$584,31,FALSE)=0,0,"Digite"))</f>
        <v>0</v>
      </c>
      <c r="BA59" s="456">
        <f>IF(OR('Parte Estrategica'!AE59=0,'Parte Estrategica'!AE59=""),0,IF(VLOOKUP($A59,'Matriz de Referencia'!$B$2:$CO$584,32,FALSE)=0,0,"Digite"))</f>
        <v>0</v>
      </c>
      <c r="BB59" s="457">
        <f t="shared" si="9"/>
        <v>0</v>
      </c>
      <c r="BC59" s="456">
        <f>IF(OR('Parte Estrategica'!AE59=0,'Parte Estrategica'!AE59=""),0,IF(VLOOKUP($A59,'Matriz de Referencia'!$B$2:$CO$584,34,FALSE)=0,0,"Digite"))</f>
        <v>0</v>
      </c>
      <c r="BD59" s="456">
        <f>IF(OR('Parte Estrategica'!AE59=0,'Parte Estrategica'!AE59=""),0,IF(VLOOKUP($A59,'Matriz de Referencia'!$B$2:$CO$584,35,FALSE)=0,0,"Digite"))</f>
        <v>0</v>
      </c>
      <c r="BE59" s="456">
        <f>IF(OR('Parte Estrategica'!AE59=0,'Parte Estrategica'!AE59=""),0,IF(VLOOKUP($A59,'Matriz de Referencia'!$B$2:$CO$584,36,FALSE)=0,0,"Digite"))</f>
        <v>0</v>
      </c>
      <c r="BF59" s="457">
        <f t="shared" si="10"/>
        <v>0</v>
      </c>
      <c r="BG59" s="457">
        <f t="shared" si="11"/>
        <v>0</v>
      </c>
      <c r="BH59" s="457">
        <f t="shared" si="12"/>
        <v>0</v>
      </c>
      <c r="BI59" s="101" t="str">
        <f>IFERROR(IF(BH59=0,"",IF(VLOOKUP($A59,'Matriz de Referencia'!$B$2:$CO$584,'Matriz de Referencia'!AM$1,FALSE)=BH59,"Techos ok, cotinue","Debe revisar el valor programado")),"")</f>
        <v/>
      </c>
      <c r="BJ59" s="453">
        <f>IF(OR('Parte Estrategica'!AH59=0,'Parte Estrategica'!AH59=""),0,IF(VLOOKUP($A59,'Matriz de Referencia'!$B$2:$CO$584,39,FALSE)=0,0,"Digite"))</f>
        <v>0</v>
      </c>
      <c r="BK59" s="454">
        <f>IF(OR('Parte Estrategica'!AH59=0,'Parte Estrategica'!AH59=""),0,IF(VLOOKUP($A59,'Matriz de Referencia'!$B$2:$CO$584,40,FALSE)=0,0,"Digite"))</f>
        <v>0</v>
      </c>
      <c r="BL59" s="454">
        <f>IF(OR('Parte Estrategica'!AH59=0,'Parte Estrategica'!AH59=""),0,IF(VLOOKUP($A59,'Matriz de Referencia'!$B$2:$CO$584,41,FALSE)=0,0,"Digite"))</f>
        <v>0</v>
      </c>
      <c r="BM59" s="454">
        <f>IF(OR('Parte Estrategica'!AH59=0,'Parte Estrategica'!AH59=""),0,IF(VLOOKUP($A59,'Matriz de Referencia'!$B$2:$CO$584,42,FALSE)=0,0,"Digite"))</f>
        <v>0</v>
      </c>
      <c r="BN59" s="454">
        <f>IF(OR('Parte Estrategica'!AH59=0,'Parte Estrategica'!AH59=""),0,IF(VLOOKUP($A59,'Matriz de Referencia'!$B$2:$CO$584,43,FALSE)=0,0,"Digite"))</f>
        <v>0</v>
      </c>
      <c r="BO59" s="454">
        <f>IF(OR('Parte Estrategica'!AH59=0,'Parte Estrategica'!AH59=""),0,IF(VLOOKUP($A59,'Matriz de Referencia'!$B$2:$CO$584,44,FALSE)=0,0,"Digite"))</f>
        <v>0</v>
      </c>
      <c r="BP59" s="454">
        <f>IF(OR('Parte Estrategica'!AH59=0,'Parte Estrategica'!AH59=""),0,IF(VLOOKUP($A59,'Matriz de Referencia'!$B$2:$CO$584,45,FALSE)=0,0,"Digite"))</f>
        <v>0</v>
      </c>
      <c r="BQ59" s="454">
        <f>IF(OR('Parte Estrategica'!AH59=0,'Parte Estrategica'!AH59=""),0,IF(VLOOKUP($A59,'Matriz de Referencia'!$B$2:$CO$584,46,FALSE)=0,0,"Digite"))</f>
        <v>0</v>
      </c>
      <c r="BR59" s="382">
        <f t="shared" si="13"/>
        <v>0</v>
      </c>
      <c r="BS59" s="454">
        <f>IF(OR('Parte Estrategica'!CL59=0,'Parte Estrategica'!CL59=""),0,IF(VLOOKUP($A59,'Matriz de Referencia'!$B$2:$CO$584,48,FALSE)=0,0,"Digite"))</f>
        <v>0</v>
      </c>
      <c r="BT59" s="454">
        <f>IF(OR('Parte Estrategica'!CL59=0,'Parte Estrategica'!CL59=""),0,IF(VLOOKUP($A59,'Matriz de Referencia'!$B$2:$CO$584,49,FALSE)=0,0,"Digite"))</f>
        <v>0</v>
      </c>
      <c r="BU59" s="454">
        <f>IF(OR('Parte Estrategica'!CL59=0,'Parte Estrategica'!CL59=""),0,IF(VLOOKUP($A59,'Matriz de Referencia'!$B$2:$CO$584,50,FALSE)=0,0,"Digite"))</f>
        <v>0</v>
      </c>
      <c r="BV59" s="382">
        <f t="shared" si="14"/>
        <v>0</v>
      </c>
      <c r="BW59" s="382">
        <f t="shared" si="15"/>
        <v>0</v>
      </c>
      <c r="BX59" s="453">
        <f>IF(OR('Parte Estrategica'!AI59=0,'Parte Estrategica'!AI59=""),0,IF(VLOOKUP($A59,'Matriz de Referencia'!$B$2:$CO$584,39,FALSE)=0,0,"Digite"))</f>
        <v>0</v>
      </c>
      <c r="BY59" s="454">
        <f>IF(OR('Parte Estrategica'!AI59=0,'Parte Estrategica'!AI59=""),0,IF(VLOOKUP($A59,'Matriz de Referencia'!$B$2:$CO$584,40,FALSE)=0,0,"Digite"))</f>
        <v>0</v>
      </c>
      <c r="BZ59" s="454">
        <f>IF(OR('Parte Estrategica'!AI59=0,'Parte Estrategica'!AI59=""),0,IF(VLOOKUP($A59,'Matriz de Referencia'!$B$2:$CO$584,41,FALSE)=0,0,"Digite"))</f>
        <v>0</v>
      </c>
      <c r="CA59" s="454">
        <f>IF(OR('Parte Estrategica'!AI59=0,'Parte Estrategica'!AI59=""),0,IF(VLOOKUP($A59,'Matriz de Referencia'!$B$2:$CO$584,42,FALSE)=0,0,"Digite"))</f>
        <v>0</v>
      </c>
      <c r="CB59" s="454">
        <f>IF(OR('Parte Estrategica'!AI59=0,'Parte Estrategica'!AI59=""),0,IF(VLOOKUP($A59,'Matriz de Referencia'!$B$2:$CO$584,43,FALSE)=0,0,"Digite"))</f>
        <v>0</v>
      </c>
      <c r="CC59" s="454">
        <f>IF(OR('Parte Estrategica'!AI59=0,'Parte Estrategica'!AI59=""),0,IF(VLOOKUP($A59,'Matriz de Referencia'!$B$2:$CO$584,44,FALSE)=0,0,"Digite"))</f>
        <v>0</v>
      </c>
      <c r="CD59" s="454">
        <f>IF(OR('Parte Estrategica'!AI59=0,'Parte Estrategica'!AI59=""),0,IF(VLOOKUP($A59,'Matriz de Referencia'!$B$2:$CO$584,45,FALSE)=0,0,"Digite"))</f>
        <v>0</v>
      </c>
      <c r="CE59" s="454">
        <f>IF(OR('Parte Estrategica'!AI59=0,'Parte Estrategica'!AI59=""),0,IF(VLOOKUP($A59,'Matriz de Referencia'!$B$2:$CO$584,46,FALSE)=0,0,"Digite"))</f>
        <v>0</v>
      </c>
      <c r="CF59" s="382">
        <f t="shared" si="16"/>
        <v>0</v>
      </c>
      <c r="CG59" s="454">
        <f>IF(OR('Parte Estrategica'!AI59=0,'Parte Estrategica'!AI59=""),0,IF(VLOOKUP($A59,'Matriz de Referencia'!$B$2:$CO$584,48,FALSE)=0,0,"Digite"))</f>
        <v>0</v>
      </c>
      <c r="CH59" s="454">
        <f>IF(OR('Parte Estrategica'!AI59=0,'Parte Estrategica'!AI59=""),0,IF(VLOOKUP($A59,'Matriz de Referencia'!$B$2:$CO$584,49,FALSE)=0,0,"Digite"))</f>
        <v>0</v>
      </c>
      <c r="CI59" s="454">
        <f>IF(OR('Parte Estrategica'!AI59=0,'Parte Estrategica'!AI59=""),0,IF(VLOOKUP($A59,'Matriz de Referencia'!$B$2:$CO$584,50,FALSE)=0,0,"Digite"))</f>
        <v>0</v>
      </c>
      <c r="CJ59" s="382">
        <f t="shared" si="17"/>
        <v>0</v>
      </c>
      <c r="CK59" s="382">
        <f t="shared" si="18"/>
        <v>0</v>
      </c>
      <c r="CL59" s="453">
        <f>IF(OR('Parte Estrategica'!AJ59=0,'Parte Estrategica'!AJ59=""),0,IF(VLOOKUP($A59,'Matriz de Referencia'!$B$2:$CO$584,39,FALSE)=0,0,"Digite"))</f>
        <v>0</v>
      </c>
      <c r="CM59" s="454">
        <f>IF(OR('Parte Estrategica'!AJ59=0,'Parte Estrategica'!AJ59=""),0,IF(VLOOKUP($A59,'Matriz de Referencia'!$B$2:$CO$584,40,FALSE)=0,0,"Digite"))</f>
        <v>0</v>
      </c>
      <c r="CN59" s="454">
        <f>IF(OR('Parte Estrategica'!AJ59=0,'Parte Estrategica'!AJ59=""),0,IF(VLOOKUP($A59,'Matriz de Referencia'!$B$2:$CO$584,41,FALSE)=0,0,"Digite"))</f>
        <v>0</v>
      </c>
      <c r="CO59" s="454">
        <f>IF(OR('Parte Estrategica'!AJ59=0,'Parte Estrategica'!AJ59=""),0,IF(VLOOKUP($A59,'Matriz de Referencia'!$B$2:$CO$584,42,FALSE)=0,0,"Digite"))</f>
        <v>0</v>
      </c>
      <c r="CP59" s="454">
        <f>IF(OR('Parte Estrategica'!AJ59=0,'Parte Estrategica'!AJ59=""),0,IF(VLOOKUP($A59,'Matriz de Referencia'!$B$2:$CO$584,43,FALSE)=0,0,"Digite"))</f>
        <v>0</v>
      </c>
      <c r="CQ59" s="454">
        <f>IF(OR('Parte Estrategica'!AJ59=0,'Parte Estrategica'!AJ59=""),0,IF(VLOOKUP($A59,'Matriz de Referencia'!$B$2:$CO$584,44,FALSE)=0,0,"Digite"))</f>
        <v>0</v>
      </c>
      <c r="CR59" s="454">
        <f>IF(OR('Parte Estrategica'!AJ59=0,'Parte Estrategica'!AJ59=""),0,IF(VLOOKUP($A59,'Matriz de Referencia'!$B$2:$CO$584,45,FALSE)=0,0,"Digite"))</f>
        <v>0</v>
      </c>
      <c r="CS59" s="454">
        <f>IF(OR('Parte Estrategica'!AJ59=0,'Parte Estrategica'!AJ59=""),0,IF(VLOOKUP($A59,'Matriz de Referencia'!$B$2:$CO$584,46,FALSE)=0,0,"Digite"))</f>
        <v>0</v>
      </c>
      <c r="CT59" s="382">
        <f t="shared" si="19"/>
        <v>0</v>
      </c>
      <c r="CU59" s="454">
        <f>IF(OR('Parte Estrategica'!AJ59=0,'Parte Estrategica'!AJ59=""),0,IF(VLOOKUP($A59,'Matriz de Referencia'!$B$2:$CO$584,48,FALSE)=0,0,"Digite"))</f>
        <v>0</v>
      </c>
      <c r="CV59" s="454">
        <f>IF(OR('Parte Estrategica'!AJ59=0,'Parte Estrategica'!AJ59=""),0,IF(VLOOKUP($A59,'Matriz de Referencia'!$B$2:$CO$584,49,FALSE)=0,0,"Digite"))</f>
        <v>0</v>
      </c>
      <c r="CW59" s="454">
        <f>IF(OR('Parte Estrategica'!AJ59=0,'Parte Estrategica'!AJ59=""),0,IF(VLOOKUP($A59,'Matriz de Referencia'!$B$2:$CO$584,50,FALSE)=0,0,"Digite"))</f>
        <v>0</v>
      </c>
      <c r="CX59" s="382">
        <f t="shared" si="20"/>
        <v>0</v>
      </c>
      <c r="CY59" s="382">
        <f t="shared" si="21"/>
        <v>0</v>
      </c>
      <c r="CZ59" s="453">
        <f>IF(OR('Parte Estrategica'!AK59=0,'Parte Estrategica'!AK59=""),0,IF(VLOOKUP($A59,'Matriz de Referencia'!$B$2:$CO$584,39,FALSE)=0,0,"Digite"))</f>
        <v>0</v>
      </c>
      <c r="DA59" s="454">
        <f>IF(OR('Parte Estrategica'!AK59=0,'Parte Estrategica'!AK59=""),0,IF(VLOOKUP($A59,'Matriz de Referencia'!$B$2:$CO$584,40,FALSE)=0,0,"Digite"))</f>
        <v>0</v>
      </c>
      <c r="DB59" s="454">
        <f>IF(OR('Parte Estrategica'!AK59=0,'Parte Estrategica'!AK59=""),0,IF(VLOOKUP($A59,'Matriz de Referencia'!$B$2:$CO$584,41,FALSE)=0,0,"Digite"))</f>
        <v>0</v>
      </c>
      <c r="DC59" s="454">
        <f>IF(OR('Parte Estrategica'!AK59=0,'Parte Estrategica'!AK59=""),0,IF(VLOOKUP($A59,'Matriz de Referencia'!$B$2:$CO$584,42,FALSE)=0,0,"Digite"))</f>
        <v>0</v>
      </c>
      <c r="DD59" s="454">
        <f>IF(OR('Parte Estrategica'!AK59=0,'Parte Estrategica'!AK59=""),0,IF(VLOOKUP($A59,'Matriz de Referencia'!$B$2:$CO$584,43,FALSE)=0,0,"Digite"))</f>
        <v>0</v>
      </c>
      <c r="DE59" s="454">
        <f>IF(OR('Parte Estrategica'!AK59=0,'Parte Estrategica'!AK59=""),0,IF(VLOOKUP($A59,'Matriz de Referencia'!$B$2:$CO$584,44,FALSE)=0,0,"Digite"))</f>
        <v>0</v>
      </c>
      <c r="DF59" s="454">
        <f>IF(OR('Parte Estrategica'!AK59=0,'Parte Estrategica'!AK59=""),0,IF(VLOOKUP($A59,'Matriz de Referencia'!$B$2:$CO$584,45,FALSE)=0,0,"Digite"))</f>
        <v>0</v>
      </c>
      <c r="DG59" s="454">
        <f>IF(OR('Parte Estrategica'!AK59=0,'Parte Estrategica'!AK59=""),0,IF(VLOOKUP($A59,'Matriz de Referencia'!$B$2:$CO$584,46,FALSE)=0,0,"Digite"))</f>
        <v>0</v>
      </c>
      <c r="DH59" s="382">
        <f t="shared" si="22"/>
        <v>0</v>
      </c>
      <c r="DI59" s="454">
        <f>IF(OR('Parte Estrategica'!AK59=0,'Parte Estrategica'!AK59=""),0,IF(VLOOKUP($A59,'Matriz de Referencia'!$B$2:$CO$584,48,FALSE)=0,0,"Digite"))</f>
        <v>0</v>
      </c>
      <c r="DJ59" s="454">
        <f>IF(OR('Parte Estrategica'!AK59=0,'Parte Estrategica'!AK59=""),0,IF(VLOOKUP($A59,'Matriz de Referencia'!$B$2:$CO$584,49,FALSE)=0,0,"Digite"))</f>
        <v>0</v>
      </c>
      <c r="DK59" s="454">
        <f>IF(OR('Parte Estrategica'!AK59=0,'Parte Estrategica'!AK59=""),0,IF(VLOOKUP($A59,'Matriz de Referencia'!$B$2:$CO$584,50,FALSE)=0,0,"Digite"))</f>
        <v>0</v>
      </c>
      <c r="DL59" s="382">
        <f t="shared" si="23"/>
        <v>0</v>
      </c>
      <c r="DM59" s="382">
        <f t="shared" si="24"/>
        <v>0</v>
      </c>
      <c r="DN59" s="382">
        <f t="shared" si="25"/>
        <v>0</v>
      </c>
      <c r="DO59" s="101" t="str">
        <f>IFERROR(IF(DN59=0,"",IF(VLOOKUP($A59,'Matriz de Referencia'!$B$2:$CO$584,52,FALSE)=DN59,"Techos ok, cotinue","Debe revisar el valor programado")),"")</f>
        <v/>
      </c>
      <c r="DP59" s="453">
        <f>IF(OR('Parte Estrategica'!AN59=0,'Parte Estrategica'!AN59=""),0,IF(VLOOKUP($A59,'Matriz de Referencia'!$B$2:$CO$584,53,FALSE)=0,0,"Digite"))</f>
        <v>0</v>
      </c>
      <c r="DQ59" s="454">
        <f>IF(OR('Parte Estrategica'!AN59=0,'Parte Estrategica'!AN59=""),0,IF(VLOOKUP($A59,'Matriz de Referencia'!$B$2:$CO$584,54,FALSE)=0,0,"Digite"))</f>
        <v>0</v>
      </c>
      <c r="DR59" s="454">
        <f>IF(OR('Parte Estrategica'!AN59=0,'Parte Estrategica'!AN59=""),0,IF(VLOOKUP($A59,'Matriz de Referencia'!$B$2:$CO$584,55,FALSE)=0,0,"Digite"))</f>
        <v>0</v>
      </c>
      <c r="DS59" s="454">
        <f>IF(OR('Parte Estrategica'!AN59=0,'Parte Estrategica'!AN59=""),0,IF(VLOOKUP($A59,'Matriz de Referencia'!$B$2:$CO$584,56,FALSE)=0,0,"Digite"))</f>
        <v>0</v>
      </c>
      <c r="DT59" s="454">
        <f>IF(OR('Parte Estrategica'!AN59=0,'Parte Estrategica'!AN59=""),0,IF(VLOOKUP($A59,'Matriz de Referencia'!$B$2:$CO$584,57,FALSE)=0,0,"Digite"))</f>
        <v>0</v>
      </c>
      <c r="DU59" s="454">
        <f>IF(OR('Parte Estrategica'!AN59=0,'Parte Estrategica'!AN59=""),0,IF(VLOOKUP($A59,'Matriz de Referencia'!$B$2:$CO$584,58,FALSE)=0,0,"Digite"))</f>
        <v>0</v>
      </c>
      <c r="DV59" s="454">
        <f>IF(OR('Parte Estrategica'!AN59=0,'Parte Estrategica'!AN59=""),0,IF(VLOOKUP($A59,'Matriz de Referencia'!$B$2:$CO$584,59,FALSE)=0,0,"Digite"))</f>
        <v>0</v>
      </c>
      <c r="DW59" s="454">
        <f>IF(OR('Parte Estrategica'!AN59=0,'Parte Estrategica'!AN59=""),0,IF(VLOOKUP($A59,'Matriz de Referencia'!$B$2:$CO$584,60,FALSE)=0,0,"Digite"))</f>
        <v>0</v>
      </c>
      <c r="DX59" s="382">
        <f t="shared" si="26"/>
        <v>0</v>
      </c>
      <c r="DY59" s="454">
        <f>IF(OR('Parte Estrategica'!AN59=0,'Parte Estrategica'!AN59=""),0,IF(VLOOKUP($A59,'Matriz de Referencia'!$B$2:$CO$584,62,FALSE)=0,0,"Digite"))</f>
        <v>0</v>
      </c>
      <c r="DZ59" s="454">
        <f>IF(OR('Parte Estrategica'!AN59=0,'Parte Estrategica'!AN59=""),0,IF(VLOOKUP($A59,'Matriz de Referencia'!$B$2:$CO$584,63,FALSE)=0,0,"Digite"))</f>
        <v>0</v>
      </c>
      <c r="EA59" s="454" t="str">
        <f>IF(OR('Parte Estrategica'!AN59=0,'Parte Estrategica'!AN59=""),"",IF(VLOOKUP($A59,'Matriz de Referencia'!$B$2:$CO$584,64,FALSE)=0,"","Digite"))</f>
        <v/>
      </c>
      <c r="EB59" s="382">
        <f t="shared" si="27"/>
        <v>0</v>
      </c>
      <c r="EC59" s="382">
        <f t="shared" si="28"/>
        <v>0</v>
      </c>
      <c r="ED59" s="453">
        <f>IF(OR('Parte Estrategica'!AO59=0,'Parte Estrategica'!AO59=""),0,IF(VLOOKUP($A59,'Matriz de Referencia'!$B$2:$CO$584,53,FALSE)=0,0,"Digite"))</f>
        <v>0</v>
      </c>
      <c r="EE59" s="454">
        <f>IF(OR('Parte Estrategica'!AO59=0,'Parte Estrategica'!AO59=""),0,IF(VLOOKUP($A59,'Matriz de Referencia'!$B$2:$CO$584,54,FALSE)=0,0,"Digite"))</f>
        <v>0</v>
      </c>
      <c r="EF59" s="454">
        <f>IF(OR('Parte Estrategica'!AO59=0,'Parte Estrategica'!AO59=""),0,IF(VLOOKUP($A59,'Matriz de Referencia'!$B$2:$CO$584,55,FALSE)=0,0,"Digite"))</f>
        <v>0</v>
      </c>
      <c r="EG59" s="454">
        <f>IF(OR('Parte Estrategica'!AO59=0,'Parte Estrategica'!AO59=""),0,IF(VLOOKUP($A59,'Matriz de Referencia'!$B$2:$CO$584,56,FALSE)=0,0,"Digite"))</f>
        <v>0</v>
      </c>
      <c r="EH59" s="454">
        <f>IF(OR('Parte Estrategica'!AO59=0,'Parte Estrategica'!AO59=""),0,IF(VLOOKUP($A59,'Matriz de Referencia'!$B$2:$CO$584,57,FALSE)=0,0,"Digite"))</f>
        <v>0</v>
      </c>
      <c r="EI59" s="454">
        <f>IF(OR('Parte Estrategica'!AO59=0,'Parte Estrategica'!AO59=""),0,IF(VLOOKUP($A59,'Matriz de Referencia'!$B$2:$CO$584,58,FALSE)=0,0,"Digite"))</f>
        <v>0</v>
      </c>
      <c r="EJ59" s="454">
        <f>IF(OR('Parte Estrategica'!AO59=0,'Parte Estrategica'!AO59=""),0,IF(VLOOKUP($A59,'Matriz de Referencia'!$B$2:$CO$584,59,FALSE)=0,0,"Digite"))</f>
        <v>0</v>
      </c>
      <c r="EK59" s="454">
        <f>IF(OR('Parte Estrategica'!AO59=0,'Parte Estrategica'!AO59=""),0,IF(VLOOKUP($A59,'Matriz de Referencia'!$B$2:$CO$584,60,FALSE)=0,0,"Digite"))</f>
        <v>0</v>
      </c>
      <c r="EL59" s="382">
        <f t="shared" si="29"/>
        <v>0</v>
      </c>
      <c r="EM59" s="454">
        <f>IF(OR('Parte Estrategica'!AO59=0,'Parte Estrategica'!AO59=""),0,IF(VLOOKUP($A59,'Matriz de Referencia'!$B$2:$CO$584,62,FALSE)=0,0,"Digite"))</f>
        <v>0</v>
      </c>
      <c r="EN59" s="454">
        <f>IF(OR('Parte Estrategica'!AO59=0,'Parte Estrategica'!AO59=""),0,IF(VLOOKUP($A59,'Matriz de Referencia'!$B$2:$CO$584,63,FALSE)=0,0,"Digite"))</f>
        <v>0</v>
      </c>
      <c r="EO59" s="454">
        <f>IF(OR('Parte Estrategica'!AO59=0,'Parte Estrategica'!AO59=""),0,IF(VLOOKUP($A59,'Matriz de Referencia'!$B$2:$CO$584,64,FALSE)=0,0,"Digite"))</f>
        <v>0</v>
      </c>
      <c r="EP59" s="382">
        <f t="shared" si="30"/>
        <v>0</v>
      </c>
      <c r="EQ59" s="382">
        <f t="shared" si="31"/>
        <v>0</v>
      </c>
      <c r="ER59" s="453">
        <f>IF(OR('Parte Estrategica'!AP59=0,'Parte Estrategica'!AP59=""),0,IF(VLOOKUP($A59,'Matriz de Referencia'!$B$2:$CO$584,53,FALSE)=0,0,"Digite"))</f>
        <v>0</v>
      </c>
      <c r="ES59" s="454">
        <f>IF(OR('Parte Estrategica'!AP59=0,'Parte Estrategica'!AP59=""),0,IF(VLOOKUP($A59,'Matriz de Referencia'!$B$2:$CO$584,54,FALSE)=0,0,"Digite"))</f>
        <v>0</v>
      </c>
      <c r="ET59" s="454">
        <f>IF(OR('Parte Estrategica'!AP59=0,'Parte Estrategica'!AP59=""),0,IF(VLOOKUP($A59,'Matriz de Referencia'!$B$2:$CO$584,55,FALSE)=0,0,"Digite"))</f>
        <v>0</v>
      </c>
      <c r="EU59" s="454">
        <f>IF(OR('Parte Estrategica'!AP59=0,'Parte Estrategica'!AP59=""),0,IF(VLOOKUP($A59,'Matriz de Referencia'!$B$2:$CO$584,56,FALSE)=0,0,"Digite"))</f>
        <v>0</v>
      </c>
      <c r="EV59" s="454">
        <f>IF(OR('Parte Estrategica'!AP59=0,'Parte Estrategica'!AP59=""),0,IF(VLOOKUP($A59,'Matriz de Referencia'!$B$2:$CO$584,57,FALSE)=0,0,"Digite"))</f>
        <v>0</v>
      </c>
      <c r="EW59" s="454">
        <f>IF(OR('Parte Estrategica'!AP59=0,'Parte Estrategica'!AP59=""),0,IF(VLOOKUP($A59,'Matriz de Referencia'!$B$2:$CO$584,58,FALSE)=0,0,"Digite"))</f>
        <v>0</v>
      </c>
      <c r="EX59" s="454">
        <f>IF(OR('Parte Estrategica'!AP59=0,'Parte Estrategica'!AP59=""),0,IF(VLOOKUP($A59,'Matriz de Referencia'!$B$2:$CO$584,59,FALSE)=0,0,"Digite"))</f>
        <v>0</v>
      </c>
      <c r="EY59" s="454">
        <f>IF(OR('Parte Estrategica'!AP59=0,'Parte Estrategica'!AP59=""),0,IF(VLOOKUP($A59,'Matriz de Referencia'!$B$2:$CO$584,60,FALSE)=0,0,"Digite"))</f>
        <v>0</v>
      </c>
      <c r="EZ59" s="382">
        <f t="shared" si="32"/>
        <v>0</v>
      </c>
      <c r="FA59" s="454">
        <f>IF(OR('Parte Estrategica'!AP59=0,'Parte Estrategica'!AP59=""),0,IF(VLOOKUP($A59,'Matriz de Referencia'!$B$2:$CO$584,62,FALSE)=0,0,"Digite"))</f>
        <v>0</v>
      </c>
      <c r="FB59" s="454">
        <f>IF(OR('Parte Estrategica'!AP59=0,'Parte Estrategica'!AP59=""),0,IF(VLOOKUP($A59,'Matriz de Referencia'!$B$2:$CO$584,63,FALSE)=0,0,"Digite"))</f>
        <v>0</v>
      </c>
      <c r="FC59" s="454">
        <f>IF(OR('Parte Estrategica'!AP59=0,'Parte Estrategica'!AP59=""),0,IF(VLOOKUP($A59,'Matriz de Referencia'!$B$2:$CO$584,64,FALSE)=0,0,"Digite"))</f>
        <v>0</v>
      </c>
      <c r="FD59" s="382">
        <f t="shared" si="33"/>
        <v>0</v>
      </c>
      <c r="FE59" s="382">
        <f t="shared" si="34"/>
        <v>0</v>
      </c>
      <c r="FF59" s="453">
        <f>IF(OR('Parte Estrategica'!AQ59=0,'Parte Estrategica'!AQ59=""),0,IF(VLOOKUP($A59,'Matriz de Referencia'!$B$2:$CO$584,53,FALSE)=0,0,"Digite"))</f>
        <v>0</v>
      </c>
      <c r="FG59" s="454">
        <f>IF(OR('Parte Estrategica'!AQ59=0,'Parte Estrategica'!AQ59=""),0,IF(VLOOKUP($A59,'Matriz de Referencia'!$B$2:$CO$584,54,FALSE)=0,0,"Digite"))</f>
        <v>0</v>
      </c>
      <c r="FH59" s="454">
        <f>IF(OR('Parte Estrategica'!AQ59=0,'Parte Estrategica'!AQ59=""),0,IF(VLOOKUP($A59,'Matriz de Referencia'!$B$2:$CO$584,55,FALSE)=0,0,"Digite"))</f>
        <v>0</v>
      </c>
      <c r="FI59" s="454">
        <f>IF(OR('Parte Estrategica'!AQ59=0,'Parte Estrategica'!AQ59=""),0,IF(VLOOKUP($A59,'Matriz de Referencia'!$B$2:$CO$584,56,FALSE)=0,0,"Digite"))</f>
        <v>0</v>
      </c>
      <c r="FJ59" s="454">
        <f>IF(OR('Parte Estrategica'!AQ59=0,'Parte Estrategica'!AQ59=""),0,IF(VLOOKUP($A59,'Matriz de Referencia'!$B$2:$CO$584,57,FALSE)=0,0,"Digite"))</f>
        <v>0</v>
      </c>
      <c r="FK59" s="454">
        <f>IF(OR('Parte Estrategica'!AQ59=0,'Parte Estrategica'!AQ59=""),0,IF(VLOOKUP($A59,'Matriz de Referencia'!$B$2:$CO$584,58,FALSE)=0,0,"Digite"))</f>
        <v>0</v>
      </c>
      <c r="FL59" s="454">
        <f>IF(OR('Parte Estrategica'!AQ59=0,'Parte Estrategica'!AQ59=""),0,IF(VLOOKUP($A59,'Matriz de Referencia'!$B$2:$CO$584,59,FALSE)=0,0,"Digite"))</f>
        <v>0</v>
      </c>
      <c r="FM59" s="454">
        <f>IF(OR('Parte Estrategica'!AQ59=0,'Parte Estrategica'!AQ59=""),0,IF(VLOOKUP($A59,'Matriz de Referencia'!$B$2:$CO$584,60,FALSE)=0,0,"Digite"))</f>
        <v>0</v>
      </c>
      <c r="FN59" s="382">
        <f t="shared" si="35"/>
        <v>0</v>
      </c>
      <c r="FO59" s="454">
        <f>IF(OR('Parte Estrategica'!AQ59=0,'Parte Estrategica'!AQ59=""),0,IF(VLOOKUP($A59,'Matriz de Referencia'!$B$2:$CO$584,62,FALSE)=0,0,"Digite"))</f>
        <v>0</v>
      </c>
      <c r="FP59" s="454">
        <f>IF(OR('Parte Estrategica'!AQ59=0,'Parte Estrategica'!AQ59=""),0,IF(VLOOKUP($A59,'Matriz de Referencia'!$B$2:$CO$584,63,FALSE)=0,0,"Digite"))</f>
        <v>0</v>
      </c>
      <c r="FQ59" s="454">
        <f>IF(OR('Parte Estrategica'!AQ59=0,'Parte Estrategica'!AQ59=""),0,IF(VLOOKUP($A59,'Matriz de Referencia'!$B$2:$CO$584,64,FALSE)=0,0,"Digite"))</f>
        <v>0</v>
      </c>
      <c r="FR59" s="382">
        <f t="shared" si="36"/>
        <v>0</v>
      </c>
      <c r="FS59" s="382">
        <f t="shared" si="37"/>
        <v>0</v>
      </c>
      <c r="FT59" s="382">
        <f t="shared" si="38"/>
        <v>0</v>
      </c>
      <c r="FU59" s="101" t="str">
        <f>IFERROR(IF(FT59=0,"",IF(VLOOKUP($A59,'Matriz de Referencia'!$B$2:$CO$584,66,FALSE)=FT59,"Techos ok, cotinue","Debe revisar el valor programado")),"")</f>
        <v/>
      </c>
      <c r="FV59" s="453">
        <f>IF(OR('Parte Estrategica'!AT59=0,'Parte Estrategica'!AT59=""),0,IF(VLOOKUP($A59,'Matriz de Referencia'!$B$2:$CO$584,67,FALSE)=0,0,"Digite"))</f>
        <v>0</v>
      </c>
      <c r="FW59" s="454">
        <f>IF(OR('Parte Estrategica'!AT59=0,'Parte Estrategica'!AT59=""),0,IF(VLOOKUP($A59,'Matriz de Referencia'!$B$2:$CO$584,68,FALSE)=0,0,"Digite"))</f>
        <v>0</v>
      </c>
      <c r="FX59" s="454">
        <f>IF(OR('Parte Estrategica'!AT59=0,'Parte Estrategica'!AT59=""),0,IF(VLOOKUP($A59,'Matriz de Referencia'!$B$2:$CO$584,69,FALSE)=0,0,"Digite"))</f>
        <v>0</v>
      </c>
      <c r="FY59" s="454">
        <f>IF(OR('Parte Estrategica'!AT59=0,'Parte Estrategica'!AT59=""),0,IF(VLOOKUP($A59,'Matriz de Referencia'!$B$2:$CO$584,70,FALSE)=0,0,"Digite"))</f>
        <v>0</v>
      </c>
      <c r="FZ59" s="454">
        <f>IF(OR('Parte Estrategica'!AT59=0,'Parte Estrategica'!AT59=""),0,IF(VLOOKUP($A59,'Matriz de Referencia'!$B$2:$CO$584,71,FALSE)=0,0,"Digite"))</f>
        <v>0</v>
      </c>
      <c r="GA59" s="454">
        <f>IF(OR('Parte Estrategica'!AT59=0,'Parte Estrategica'!AT59=""),0,IF(VLOOKUP($A59,'Matriz de Referencia'!$B$2:$CO$584,72,FALSE)=0,0,"Digite"))</f>
        <v>0</v>
      </c>
      <c r="GB59" s="454">
        <f>IF(OR('Parte Estrategica'!AT59=0,'Parte Estrategica'!AT59=""),0,IF(VLOOKUP($A59,'Matriz de Referencia'!$B$2:$CO$584,73,FALSE)=0,0,"Digite"))</f>
        <v>0</v>
      </c>
      <c r="GC59" s="454">
        <f>IF(OR('Parte Estrategica'!AT59=0,'Parte Estrategica'!AT59=""),0,IF(VLOOKUP($A59,'Matriz de Referencia'!$B$2:$CO$584,74,FALSE)=0,0,"Digite"))</f>
        <v>0</v>
      </c>
      <c r="GD59" s="382">
        <f t="shared" si="39"/>
        <v>0</v>
      </c>
      <c r="GE59" s="454">
        <f>IF(OR('Parte Estrategica'!AT59=0,'Parte Estrategica'!AT59=""),0,IF(VLOOKUP($A59,'Matriz de Referencia'!$B$2:$CO$584,76,FALSE)=0,0,"Digite"))</f>
        <v>0</v>
      </c>
      <c r="GF59" s="454">
        <f>IF(OR('Parte Estrategica'!AT59=0,'Parte Estrategica'!AT59=""),0,IF(VLOOKUP($A59,'Matriz de Referencia'!$B$2:$CO$584,77,FALSE)=0,0,"Digite"))</f>
        <v>0</v>
      </c>
      <c r="GG59" s="454">
        <f>IF(OR('Parte Estrategica'!AT59=0,'Parte Estrategica'!AT59=""),0,IF(VLOOKUP($A59,'Matriz de Referencia'!$B$2:$CO$584,78,FALSE)=0,0,"Digite"))</f>
        <v>0</v>
      </c>
      <c r="GH59" s="382">
        <f t="shared" si="40"/>
        <v>0</v>
      </c>
      <c r="GI59" s="382">
        <f t="shared" si="41"/>
        <v>0</v>
      </c>
      <c r="GJ59" s="453">
        <f>IF(OR('Parte Estrategica'!AU59=0,'Parte Estrategica'!AU59=""),0,IF(VLOOKUP($A59,'Matriz de Referencia'!$B$2:$CO$584,67,FALSE)=0,0,"Digite"))</f>
        <v>0</v>
      </c>
      <c r="GK59" s="454">
        <f>IF(OR('Parte Estrategica'!AU59=0,'Parte Estrategica'!AU59=""),0,IF(VLOOKUP($A59,'Matriz de Referencia'!$B$2:$CO$584,68,FALSE)=0,0,"Digite"))</f>
        <v>0</v>
      </c>
      <c r="GL59" s="454">
        <f>IF(OR('Parte Estrategica'!AU59=0,'Parte Estrategica'!AU59=""),0,IF(VLOOKUP($A59,'Matriz de Referencia'!$B$2:$CO$584,69,FALSE)=0,0,"Digite"))</f>
        <v>0</v>
      </c>
      <c r="GM59" s="454">
        <f>IF(OR('Parte Estrategica'!AU59=0,'Parte Estrategica'!AU59=""),0,IF(VLOOKUP($A59,'Matriz de Referencia'!$B$2:$CO$584,70,FALSE)=0,0,"Digite"))</f>
        <v>0</v>
      </c>
      <c r="GN59" s="454">
        <f>IF(OR('Parte Estrategica'!AU59=0,'Parte Estrategica'!AU59=""),0,IF(VLOOKUP($A59,'Matriz de Referencia'!$B$2:$CO$584,71,FALSE)=0,0,"Digite"))</f>
        <v>0</v>
      </c>
      <c r="GO59" s="454">
        <f>IF(OR('Parte Estrategica'!AU59=0,'Parte Estrategica'!AU59=""),0,IF(VLOOKUP($A59,'Matriz de Referencia'!$B$2:$CO$584,72,FALSE)=0,0,"Digite"))</f>
        <v>0</v>
      </c>
      <c r="GP59" s="454">
        <f>IF(OR('Parte Estrategica'!AU59=0,'Parte Estrategica'!AU59=""),0,IF(VLOOKUP($A59,'Matriz de Referencia'!$B$2:$CO$584,73,FALSE)=0,0,"Digite"))</f>
        <v>0</v>
      </c>
      <c r="GQ59" s="454">
        <f>IF(OR('Parte Estrategica'!AU59=0,'Parte Estrategica'!AU59=""),0,IF(VLOOKUP($A59,'Matriz de Referencia'!$B$2:$CO$584,74,FALSE)=0,0,"Digite"))</f>
        <v>0</v>
      </c>
      <c r="GR59" s="382">
        <f t="shared" si="42"/>
        <v>0</v>
      </c>
      <c r="GS59" s="454">
        <f>IF(OR('Parte Estrategica'!AU59=0,'Parte Estrategica'!AU59=""),0,IF(VLOOKUP($A59,'Matriz de Referencia'!$B$2:$CO$584,76,FALSE)=0,0,"Digite"))</f>
        <v>0</v>
      </c>
      <c r="GT59" s="454">
        <f>IF(OR('Parte Estrategica'!AU59=0,'Parte Estrategica'!AU59=""),0,IF(VLOOKUP($A59,'Matriz de Referencia'!$B$2:$CO$584,77,FALSE)=0,0,"Digite"))</f>
        <v>0</v>
      </c>
      <c r="GU59" s="454">
        <f>IF(OR('Parte Estrategica'!AU59=0,'Parte Estrategica'!AU59=""),0,IF(VLOOKUP($A59,'Matriz de Referencia'!$B$2:$CO$584,78,FALSE)=0,0,"Digite"))</f>
        <v>0</v>
      </c>
      <c r="GV59" s="382">
        <f t="shared" si="43"/>
        <v>0</v>
      </c>
      <c r="GW59" s="382">
        <f t="shared" si="44"/>
        <v>0</v>
      </c>
      <c r="GX59" s="453">
        <f>IF(OR('Parte Estrategica'!AV59=0,'Parte Estrategica'!AV59=""),0,IF(VLOOKUP($A59,'Matriz de Referencia'!$B$2:$CO$584,67,FALSE)=0,0,"Digite"))</f>
        <v>0</v>
      </c>
      <c r="GY59" s="454">
        <f>IF(OR('Parte Estrategica'!AV59=0,'Parte Estrategica'!AV59=""),0,IF(VLOOKUP($A59,'Matriz de Referencia'!$B$2:$CO$584,68,FALSE)=0,0,"Digite"))</f>
        <v>0</v>
      </c>
      <c r="GZ59" s="454">
        <f>IF(OR('Parte Estrategica'!AV59=0,'Parte Estrategica'!AV59=""),0,IF(VLOOKUP($A59,'Matriz de Referencia'!$B$2:$CO$584,69,FALSE)=0,0,"Digite"))</f>
        <v>0</v>
      </c>
      <c r="HA59" s="454">
        <f>IF(OR('Parte Estrategica'!AV59=0,'Parte Estrategica'!AV59=""),0,IF(VLOOKUP($A59,'Matriz de Referencia'!$B$2:$CO$584,70,FALSE)=0,0,"Digite"))</f>
        <v>0</v>
      </c>
      <c r="HB59" s="454">
        <f>IF(OR('Parte Estrategica'!AV59=0,'Parte Estrategica'!AV59=""),0,IF(VLOOKUP($A59,'Matriz de Referencia'!$B$2:$CO$584,71,FALSE)=0,0,"Digite"))</f>
        <v>0</v>
      </c>
      <c r="HC59" s="454">
        <f>IF(OR('Parte Estrategica'!AV59=0,'Parte Estrategica'!AV59=""),0,IF(VLOOKUP($A59,'Matriz de Referencia'!$B$2:$CO$584,72,FALSE)=0,0,"Digite"))</f>
        <v>0</v>
      </c>
      <c r="HD59" s="454">
        <f>IF(OR('Parte Estrategica'!AV59=0,'Parte Estrategica'!AV59=""),0,IF(VLOOKUP($A59,'Matriz de Referencia'!$B$2:$CO$584,73,FALSE)=0,0,"Digite"))</f>
        <v>0</v>
      </c>
      <c r="HE59" s="454">
        <f>IF(OR('Parte Estrategica'!AV59=0,'Parte Estrategica'!AV59=""),0,IF(VLOOKUP($A59,'Matriz de Referencia'!$B$2:$CO$584,74,FALSE)=0,0,"Digite"))</f>
        <v>0</v>
      </c>
      <c r="HF59" s="382">
        <f t="shared" si="45"/>
        <v>0</v>
      </c>
      <c r="HG59" s="454">
        <f>IF(OR('Parte Estrategica'!AV59=0,'Parte Estrategica'!AV59=""),0,IF(VLOOKUP($A59,'Matriz de Referencia'!$B$2:$CO$584,76,FALSE)=0,0,"Digite"))</f>
        <v>0</v>
      </c>
      <c r="HH59" s="454">
        <f>IF(OR('Parte Estrategica'!AV59=0,'Parte Estrategica'!AV59=""),0,IF(VLOOKUP($A59,'Matriz de Referencia'!$B$2:$CO$584,77,FALSE)=0,0,"Digite"))</f>
        <v>0</v>
      </c>
      <c r="HI59" s="454">
        <f>IF(OR('Parte Estrategica'!AV59=0,'Parte Estrategica'!AV59=""),0,IF(VLOOKUP($A59,'Matriz de Referencia'!$B$2:$CO$584,78,FALSE)=0,0,"Digite"))</f>
        <v>0</v>
      </c>
      <c r="HJ59" s="382">
        <f t="shared" si="46"/>
        <v>0</v>
      </c>
      <c r="HK59" s="382">
        <f t="shared" si="47"/>
        <v>0</v>
      </c>
      <c r="HL59" s="453">
        <f>IF(OR('Parte Estrategica'!AW59=0,'Parte Estrategica'!AW59=""),0,IF(VLOOKUP($A59,'Matriz de Referencia'!$B$2:$CO$584,67,FALSE)=0,0,"Digite"))</f>
        <v>0</v>
      </c>
      <c r="HM59" s="454">
        <f>IF(OR('Parte Estrategica'!AW59=0,'Parte Estrategica'!AW59=""),0,IF(VLOOKUP($A59,'Matriz de Referencia'!$B$2:$CO$584,68,FALSE)=0,0,"Digite"))</f>
        <v>0</v>
      </c>
      <c r="HN59" s="454">
        <f>IF(OR('Parte Estrategica'!AW59=0,'Parte Estrategica'!AW59=""),0,IF(VLOOKUP($A59,'Matriz de Referencia'!$B$2:$CO$584,69,FALSE)=0,0,"Digite"))</f>
        <v>0</v>
      </c>
      <c r="HO59" s="454">
        <f>IF(OR('Parte Estrategica'!AW59=0,'Parte Estrategica'!AW59=""),0,IF(VLOOKUP($A59,'Matriz de Referencia'!$B$2:$CO$584,70,FALSE)=0,0,"Digite"))</f>
        <v>0</v>
      </c>
      <c r="HP59" s="454">
        <f>IF(OR('Parte Estrategica'!AW59=0,'Parte Estrategica'!AW59=""),0,IF(VLOOKUP($A59,'Matriz de Referencia'!$B$2:$CO$584,71,FALSE)=0,0,"Digite"))</f>
        <v>0</v>
      </c>
      <c r="HQ59" s="454">
        <f>IF(OR('Parte Estrategica'!AW59=0,'Parte Estrategica'!AW59=""),0,IF(VLOOKUP($A59,'Matriz de Referencia'!$B$2:$CO$584,72,FALSE)=0,0,"Digite"))</f>
        <v>0</v>
      </c>
      <c r="HR59" s="454">
        <f>IF(OR('Parte Estrategica'!AW59=0,'Parte Estrategica'!AW59=""),0,IF(VLOOKUP($A59,'Matriz de Referencia'!$B$2:$CO$584,73,FALSE)=0,0,"Digite"))</f>
        <v>0</v>
      </c>
      <c r="HS59" s="454">
        <f>IF(OR('Parte Estrategica'!AW59=0,'Parte Estrategica'!AW59=""),0,IF(VLOOKUP($A59,'Matriz de Referencia'!$B$2:$CO$584,74,FALSE)=0,0,"Digite"))</f>
        <v>0</v>
      </c>
      <c r="HT59" s="382">
        <f t="shared" si="48"/>
        <v>0</v>
      </c>
      <c r="HU59" s="454">
        <f>IF(OR('Parte Estrategica'!AW59=0,'Parte Estrategica'!AW59=""),0,IF(VLOOKUP($A59,'Matriz de Referencia'!$B$2:$CO$584,76,FALSE)=0,0,"Digite"))</f>
        <v>0</v>
      </c>
      <c r="HV59" s="454">
        <f>IF(OR('Parte Estrategica'!AW59=0,'Parte Estrategica'!AW59=""),0,IF(VLOOKUP($A59,'Matriz de Referencia'!$B$2:$CO$584,77,FALSE)=0,0,"Digite"))</f>
        <v>0</v>
      </c>
      <c r="HW59" s="454">
        <f>IF(OR('Parte Estrategica'!AW59=0,'Parte Estrategica'!AW59=""),0,IF(VLOOKUP($A59,'Matriz de Referencia'!$B$2:$CO$584,78,FALSE)=0,0,"Digite"))</f>
        <v>0</v>
      </c>
      <c r="HX59" s="382">
        <f t="shared" si="49"/>
        <v>0</v>
      </c>
      <c r="HY59" s="382">
        <f t="shared" si="50"/>
        <v>0</v>
      </c>
      <c r="HZ59" s="382">
        <f t="shared" si="51"/>
        <v>0</v>
      </c>
      <c r="IA59" s="101" t="str">
        <f>IFERROR(IF(HZ59=0,"",IF(VLOOKUP($A59,'Matriz de Referencia'!$B$2:$CO$584,80,FALSE)=HZ59,"Techos ok, cotinue","Debe revisar el valor programado")),"")</f>
        <v/>
      </c>
      <c r="IB59" s="383">
        <f t="shared" si="52"/>
        <v>0</v>
      </c>
    </row>
    <row r="60" spans="1:236">
      <c r="A60" s="550" t="str">
        <f>IF('Parte Estrategica'!B60=0,"",'Parte Estrategica'!B60)</f>
        <v/>
      </c>
      <c r="B60" s="551" t="str">
        <f>IFERROR(VLOOKUP(A60,'Matriz de Referencia'!$B$2:$P$578,'Matriz de Referencia'!L$1,FALSE),"")</f>
        <v/>
      </c>
      <c r="C60" s="551" t="str">
        <f>IFERROR(VLOOKUP(A60,'Matriz de Referencia'!$B$2:$P$584,'Matriz de Referencia'!M$1,FALSE),"")</f>
        <v/>
      </c>
      <c r="D60" s="455" t="str">
        <f>IF(OR('Parte Estrategica'!AB60=0,'Parte Estrategica'!AB60=""),"",IF(VLOOKUP($A60,'Matriz de Referencia'!$B$2:$CO$584,'Matriz de Referencia'!Z$1,FALSE)=0,"","Digite"))</f>
        <v/>
      </c>
      <c r="E60" s="456">
        <f>IF(OR('Parte Estrategica'!AB60=0,'Parte Estrategica'!AB60=""),0,IF(VLOOKUP($A60,'Matriz de Referencia'!$B$2:$CO$584,26,FALSE)=0,0,"Digite"))</f>
        <v>0</v>
      </c>
      <c r="F60" s="456">
        <f>IF(OR('Parte Estrategica'!AB60=0,'Parte Estrategica'!AB60=""),0,IF(VLOOKUP($A60,'Matriz de Referencia'!$B$2:$CO$584,27,FALSE)=0,0,"Digite"))</f>
        <v>0</v>
      </c>
      <c r="G60" s="456">
        <f>IF(OR('Parte Estrategica'!AB60=0,'Parte Estrategica'!AB60=""),0,IF(VLOOKUP($A60,'Matriz de Referencia'!$B$2:$CO$584,28,FALSE)=0,0,"Digite"))</f>
        <v>0</v>
      </c>
      <c r="H60" s="456">
        <f>IF(OR('Parte Estrategica'!AB60=0,'Parte Estrategica'!AB60=""),0,IF(VLOOKUP($A60,'Matriz de Referencia'!$B$2:$CO$584,29,FALSE)=0,0,"Digite"))</f>
        <v>0</v>
      </c>
      <c r="I60" s="456">
        <f>IF(OR('Parte Estrategica'!AB60=0,'Parte Estrategica'!AB60=""),0,IF(VLOOKUP($A60,'Matriz de Referencia'!$B$2:$CO$584,30,FALSE)=0,0,"Digite"))</f>
        <v>0</v>
      </c>
      <c r="J60" s="456">
        <f>IF(OR('Parte Estrategica'!AB60=0,'Parte Estrategica'!AB60=""),0,IF(VLOOKUP($A60,'Matriz de Referencia'!$B$2:$CO$584,31,FALSE)=0,0,"Digite"))</f>
        <v>0</v>
      </c>
      <c r="K60" s="456">
        <f>IF(OR('Parte Estrategica'!AB60=0,'Parte Estrategica'!AB60=""),0,IF(VLOOKUP($A60,'Matriz de Referencia'!$B$2:$CO$584,32,FALSE)=0,0,"Digite"))</f>
        <v>0</v>
      </c>
      <c r="L60" s="460">
        <f t="shared" si="0"/>
        <v>0</v>
      </c>
      <c r="M60" s="456">
        <f>IF(OR('Parte Estrategica'!AB60=0,'Parte Estrategica'!AB60=""),0,IF(VLOOKUP($A60,'Matriz de Referencia'!$B$2:$CO$584,34,FALSE)=0,0,"Digite"))</f>
        <v>0</v>
      </c>
      <c r="N60" s="456">
        <f>IF(OR('Parte Estrategica'!AB60=0,'Parte Estrategica'!AB60=""),0,IF(VLOOKUP($A60,'Matriz de Referencia'!$B$2:$CO$584,35,FALSE)=0,0,"Digite"))</f>
        <v>0</v>
      </c>
      <c r="O60" s="456">
        <f>IF(OR('Parte Estrategica'!AB60=0,'Parte Estrategica'!AB60=""),0,IF(VLOOKUP($A60,'Matriz de Referencia'!$B$2:$CO$584,36,FALSE)=0,0,"Digite"))</f>
        <v>0</v>
      </c>
      <c r="P60" s="457">
        <f t="shared" si="1"/>
        <v>0</v>
      </c>
      <c r="Q60" s="457">
        <f t="shared" si="2"/>
        <v>0</v>
      </c>
      <c r="R60" s="455">
        <f>IF(OR('Parte Estrategica'!AC60=0,'Parte Estrategica'!AC60=""),0,IF(VLOOKUP($A60,'Matriz de Referencia'!$B$2:$CO$584,25,FALSE)=0,0,"Digite"))</f>
        <v>0</v>
      </c>
      <c r="S60" s="456">
        <f>IF(OR('Parte Estrategica'!AC60=0,'Parte Estrategica'!AC60=""),0,IF(VLOOKUP($A60,'Matriz de Referencia'!$B$2:$CO$584,26,FALSE)=0,0,"Digite"))</f>
        <v>0</v>
      </c>
      <c r="T60" s="456">
        <f>IF(OR('Parte Estrategica'!AC60=0,'Parte Estrategica'!AC60=""),0,IF(VLOOKUP($A60,'Matriz de Referencia'!$B$2:$CO$584,27,FALSE)=0,0,"Digite"))</f>
        <v>0</v>
      </c>
      <c r="U60" s="456">
        <f>IF(OR('Parte Estrategica'!AC60=0,'Parte Estrategica'!AC60=""),0,IF(VLOOKUP($A60,'Matriz de Referencia'!$B$2:$CO$584,28,FALSE)=0,0,"Digite"))</f>
        <v>0</v>
      </c>
      <c r="V60" s="456">
        <f>IF(OR('Parte Estrategica'!AC60=0,'Parte Estrategica'!AC60=""),0,IF(VLOOKUP($A60,'Matriz de Referencia'!$B$2:$CO$584,29,FALSE)=0,0,"Digite"))</f>
        <v>0</v>
      </c>
      <c r="W60" s="456">
        <f>IF(OR('Parte Estrategica'!AC60=0,'Parte Estrategica'!AC60=""),0,IF(VLOOKUP($A60,'Matriz de Referencia'!$B$2:$CO$584,30,FALSE)=0,0,"Digite"))</f>
        <v>0</v>
      </c>
      <c r="X60" s="456">
        <f>IF(OR('Parte Estrategica'!AC60=0,'Parte Estrategica'!AC60=""),0,IF(VLOOKUP($A60,'Matriz de Referencia'!$B$2:$CO$584,31,FALSE)=0,0,"Digite"))</f>
        <v>0</v>
      </c>
      <c r="Y60" s="456">
        <f>IF(OR('Parte Estrategica'!AC60=0,'Parte Estrategica'!AC60=""),0,IF(VLOOKUP($A60,'Matriz de Referencia'!$B$2:$CO$584,32,FALSE)=0,0,"Digite"))</f>
        <v>0</v>
      </c>
      <c r="Z60" s="457">
        <f t="shared" si="3"/>
        <v>0</v>
      </c>
      <c r="AA60" s="456">
        <f>IF(OR('Parte Estrategica'!AC60=0,'Parte Estrategica'!AC60=""),0,IF(VLOOKUP($A60,'Matriz de Referencia'!$B$2:$CO$584,34,FALSE)=0,0,"Digite"))</f>
        <v>0</v>
      </c>
      <c r="AB60" s="456">
        <f>IF(OR('Parte Estrategica'!AC60=0,'Parte Estrategica'!AC60=""),0,IF(VLOOKUP($A60,'Matriz de Referencia'!$B$2:$CO$584,35,FALSE)=0,0,"Digite"))</f>
        <v>0</v>
      </c>
      <c r="AC60" s="456">
        <f>IF(OR('Parte Estrategica'!AC60=0,'Parte Estrategica'!AC60=""),0,IF(VLOOKUP($A60,'Matriz de Referencia'!$B$2:$CO$584,36,FALSE)=0,0,"Digite"))</f>
        <v>0</v>
      </c>
      <c r="AD60" s="457">
        <f t="shared" si="4"/>
        <v>0</v>
      </c>
      <c r="AE60" s="457">
        <f t="shared" si="5"/>
        <v>0</v>
      </c>
      <c r="AF60" s="455">
        <f>IF(OR('Parte Estrategica'!AD60=0,'Parte Estrategica'!AD60=""),0,IF(VLOOKUP($A60,'Matriz de Referencia'!$B$2:$CO$584,25,FALSE)=0,0,"Digite"))</f>
        <v>0</v>
      </c>
      <c r="AG60" s="456">
        <f>IF(OR('Parte Estrategica'!AD60=0,'Parte Estrategica'!AD60=""),0,IF(VLOOKUP($A60,'Matriz de Referencia'!$B$2:$CO$584,26,FALSE)=0,0,"Digite"))</f>
        <v>0</v>
      </c>
      <c r="AH60" s="456">
        <f>IF(OR('Parte Estrategica'!AD60=0,'Parte Estrategica'!AD60=""),0,IF(VLOOKUP($A60,'Matriz de Referencia'!$B$2:$CO$584,27,FALSE)=0,0,"Digite"))</f>
        <v>0</v>
      </c>
      <c r="AI60" s="456">
        <f>IF(OR('Parte Estrategica'!AD60=0,'Parte Estrategica'!AD60=""),0,IF(VLOOKUP($A60,'Matriz de Referencia'!$B$2:$CO$584,28,FALSE)=0,0,"Digite"))</f>
        <v>0</v>
      </c>
      <c r="AJ60" s="456">
        <f>IF(OR('Parte Estrategica'!AD60=0,'Parte Estrategica'!AD60=""),0,IF(VLOOKUP($A60,'Matriz de Referencia'!$B$2:$CO$584,29,FALSE)=0,0,"Digite"))</f>
        <v>0</v>
      </c>
      <c r="AK60" s="456">
        <f>IF(OR('Parte Estrategica'!AD60=0,'Parte Estrategica'!AD60=""),0,IF(VLOOKUP($A60,'Matriz de Referencia'!$B$2:$CO$584,30,FALSE)=0,0,"Digite"))</f>
        <v>0</v>
      </c>
      <c r="AL60" s="456">
        <f>IF(OR('Parte Estrategica'!AD60=0,'Parte Estrategica'!AD60=""),0,IF(VLOOKUP($A60,'Matriz de Referencia'!$B$2:$CO$584,31,FALSE)=0,0,"Digite"))</f>
        <v>0</v>
      </c>
      <c r="AM60" s="456">
        <f>IF(OR('Parte Estrategica'!AD60=0,'Parte Estrategica'!AD60=""),0,IF(VLOOKUP($A60,'Matriz de Referencia'!$B$2:$CO$584,32,FALSE)=0,0,"Digite"))</f>
        <v>0</v>
      </c>
      <c r="AN60" s="457">
        <f t="shared" si="6"/>
        <v>0</v>
      </c>
      <c r="AO60" s="456">
        <f>IF(OR('Parte Estrategica'!AD60=0,'Parte Estrategica'!AD60=""),0,IF(VLOOKUP($A60,'Matriz de Referencia'!$B$2:$CO$584,34,FALSE)=0,0,"Digite"))</f>
        <v>0</v>
      </c>
      <c r="AP60" s="456">
        <f>IF(OR('Parte Estrategica'!AD60=0,'Parte Estrategica'!AD60=""),0,IF(VLOOKUP($A60,'Matriz de Referencia'!$B$2:$CO$584,35,FALSE)=0,0,"Digite"))</f>
        <v>0</v>
      </c>
      <c r="AQ60" s="456">
        <f>IF(OR('Parte Estrategica'!AD60=0,'Parte Estrategica'!AD60=""),0,IF(VLOOKUP($A60,'Matriz de Referencia'!$B$2:$CO$584,36,FALSE)=0,0,"Digite"))</f>
        <v>0</v>
      </c>
      <c r="AR60" s="457">
        <f t="shared" si="7"/>
        <v>0</v>
      </c>
      <c r="AS60" s="457">
        <f t="shared" si="8"/>
        <v>0</v>
      </c>
      <c r="AT60" s="455">
        <f>IF(OR('Parte Estrategica'!AE60=0,'Parte Estrategica'!AE60=""),0,IF(VLOOKUP($A60,'Matriz de Referencia'!$B$2:$CO$584,25,FALSE)=0,0,"Digite"))</f>
        <v>0</v>
      </c>
      <c r="AU60" s="456">
        <f>IF(OR('Parte Estrategica'!AE60=0,'Parte Estrategica'!AE60=""),0,IF(VLOOKUP($A60,'Matriz de Referencia'!$B$2:$CO$584,26,FALSE)=0,0,"Digite"))</f>
        <v>0</v>
      </c>
      <c r="AV60" s="456">
        <f>IF(OR('Parte Estrategica'!AE60=0,'Parte Estrategica'!AE60=""),0,IF(VLOOKUP($A60,'Matriz de Referencia'!$B$2:$CO$584,27,FALSE)=0,0,"Digite"))</f>
        <v>0</v>
      </c>
      <c r="AW60" s="456">
        <f>IF(OR('Parte Estrategica'!AE60=0,'Parte Estrategica'!AE60=""),0,IF(VLOOKUP($A60,'Matriz de Referencia'!$B$2:$CO$584,28,FALSE)=0,0,"Digite"))</f>
        <v>0</v>
      </c>
      <c r="AX60" s="456">
        <f>IF(OR('Parte Estrategica'!AE60=0,'Parte Estrategica'!AE60=""),0,IF(VLOOKUP($A60,'Matriz de Referencia'!$B$2:$CO$584,29,FALSE)=0,0,"Digite"))</f>
        <v>0</v>
      </c>
      <c r="AY60" s="456">
        <f>IF(OR('Parte Estrategica'!AE60=0,'Parte Estrategica'!AE60=""),0,IF(VLOOKUP($A60,'Matriz de Referencia'!$B$2:$CO$584,30,FALSE)=0,0,"Digite"))</f>
        <v>0</v>
      </c>
      <c r="AZ60" s="456">
        <f>IF(OR('Parte Estrategica'!AE60=0,'Parte Estrategica'!AE60=""),0,IF(VLOOKUP($A60,'Matriz de Referencia'!$B$2:$CO$584,31,FALSE)=0,0,"Digite"))</f>
        <v>0</v>
      </c>
      <c r="BA60" s="456">
        <f>IF(OR('Parte Estrategica'!AE60=0,'Parte Estrategica'!AE60=""),0,IF(VLOOKUP($A60,'Matriz de Referencia'!$B$2:$CO$584,32,FALSE)=0,0,"Digite"))</f>
        <v>0</v>
      </c>
      <c r="BB60" s="457">
        <f t="shared" si="9"/>
        <v>0</v>
      </c>
      <c r="BC60" s="456">
        <f>IF(OR('Parte Estrategica'!AE60=0,'Parte Estrategica'!AE60=""),0,IF(VLOOKUP($A60,'Matriz de Referencia'!$B$2:$CO$584,34,FALSE)=0,0,"Digite"))</f>
        <v>0</v>
      </c>
      <c r="BD60" s="456">
        <f>IF(OR('Parte Estrategica'!AE60=0,'Parte Estrategica'!AE60=""),0,IF(VLOOKUP($A60,'Matriz de Referencia'!$B$2:$CO$584,35,FALSE)=0,0,"Digite"))</f>
        <v>0</v>
      </c>
      <c r="BE60" s="456">
        <f>IF(OR('Parte Estrategica'!AE60=0,'Parte Estrategica'!AE60=""),0,IF(VLOOKUP($A60,'Matriz de Referencia'!$B$2:$CO$584,36,FALSE)=0,0,"Digite"))</f>
        <v>0</v>
      </c>
      <c r="BF60" s="457">
        <f t="shared" si="10"/>
        <v>0</v>
      </c>
      <c r="BG60" s="457">
        <f t="shared" si="11"/>
        <v>0</v>
      </c>
      <c r="BH60" s="457">
        <f t="shared" si="12"/>
        <v>0</v>
      </c>
      <c r="BI60" s="101" t="str">
        <f>IFERROR(IF(BH60=0,"",IF(VLOOKUP($A60,'Matriz de Referencia'!$B$2:$CO$584,'Matriz de Referencia'!AM$1,FALSE)=BH60,"Techos ok, cotinue","Debe revisar el valor programado")),"")</f>
        <v/>
      </c>
      <c r="BJ60" s="453">
        <f>IF(OR('Parte Estrategica'!AH60=0,'Parte Estrategica'!AH60=""),0,IF(VLOOKUP($A60,'Matriz de Referencia'!$B$2:$CO$584,39,FALSE)=0,0,"Digite"))</f>
        <v>0</v>
      </c>
      <c r="BK60" s="454">
        <f>IF(OR('Parte Estrategica'!AH60=0,'Parte Estrategica'!AH60=""),0,IF(VLOOKUP($A60,'Matriz de Referencia'!$B$2:$CO$584,40,FALSE)=0,0,"Digite"))</f>
        <v>0</v>
      </c>
      <c r="BL60" s="454">
        <f>IF(OR('Parte Estrategica'!AH60=0,'Parte Estrategica'!AH60=""),0,IF(VLOOKUP($A60,'Matriz de Referencia'!$B$2:$CO$584,41,FALSE)=0,0,"Digite"))</f>
        <v>0</v>
      </c>
      <c r="BM60" s="454">
        <f>IF(OR('Parte Estrategica'!AH60=0,'Parte Estrategica'!AH60=""),0,IF(VLOOKUP($A60,'Matriz de Referencia'!$B$2:$CO$584,42,FALSE)=0,0,"Digite"))</f>
        <v>0</v>
      </c>
      <c r="BN60" s="454">
        <f>IF(OR('Parte Estrategica'!AH60=0,'Parte Estrategica'!AH60=""),0,IF(VLOOKUP($A60,'Matriz de Referencia'!$B$2:$CO$584,43,FALSE)=0,0,"Digite"))</f>
        <v>0</v>
      </c>
      <c r="BO60" s="454">
        <f>IF(OR('Parte Estrategica'!AH60=0,'Parte Estrategica'!AH60=""),0,IF(VLOOKUP($A60,'Matriz de Referencia'!$B$2:$CO$584,44,FALSE)=0,0,"Digite"))</f>
        <v>0</v>
      </c>
      <c r="BP60" s="454">
        <f>IF(OR('Parte Estrategica'!AH60=0,'Parte Estrategica'!AH60=""),0,IF(VLOOKUP($A60,'Matriz de Referencia'!$B$2:$CO$584,45,FALSE)=0,0,"Digite"))</f>
        <v>0</v>
      </c>
      <c r="BQ60" s="454">
        <f>IF(OR('Parte Estrategica'!AH60=0,'Parte Estrategica'!AH60=""),0,IF(VLOOKUP($A60,'Matriz de Referencia'!$B$2:$CO$584,46,FALSE)=0,0,"Digite"))</f>
        <v>0</v>
      </c>
      <c r="BR60" s="382">
        <f t="shared" si="13"/>
        <v>0</v>
      </c>
      <c r="BS60" s="454">
        <f>IF(OR('Parte Estrategica'!CL60=0,'Parte Estrategica'!CL60=""),0,IF(VLOOKUP($A60,'Matriz de Referencia'!$B$2:$CO$584,48,FALSE)=0,0,"Digite"))</f>
        <v>0</v>
      </c>
      <c r="BT60" s="454">
        <f>IF(OR('Parte Estrategica'!CL60=0,'Parte Estrategica'!CL60=""),0,IF(VLOOKUP($A60,'Matriz de Referencia'!$B$2:$CO$584,49,FALSE)=0,0,"Digite"))</f>
        <v>0</v>
      </c>
      <c r="BU60" s="454">
        <f>IF(OR('Parte Estrategica'!CL60=0,'Parte Estrategica'!CL60=""),0,IF(VLOOKUP($A60,'Matriz de Referencia'!$B$2:$CO$584,50,FALSE)=0,0,"Digite"))</f>
        <v>0</v>
      </c>
      <c r="BV60" s="382">
        <f t="shared" si="14"/>
        <v>0</v>
      </c>
      <c r="BW60" s="382">
        <f t="shared" si="15"/>
        <v>0</v>
      </c>
      <c r="BX60" s="453">
        <f>IF(OR('Parte Estrategica'!AI60=0,'Parte Estrategica'!AI60=""),0,IF(VLOOKUP($A60,'Matriz de Referencia'!$B$2:$CO$584,39,FALSE)=0,0,"Digite"))</f>
        <v>0</v>
      </c>
      <c r="BY60" s="454">
        <f>IF(OR('Parte Estrategica'!AI60=0,'Parte Estrategica'!AI60=""),0,IF(VLOOKUP($A60,'Matriz de Referencia'!$B$2:$CO$584,40,FALSE)=0,0,"Digite"))</f>
        <v>0</v>
      </c>
      <c r="BZ60" s="454">
        <f>IF(OR('Parte Estrategica'!AI60=0,'Parte Estrategica'!AI60=""),0,IF(VLOOKUP($A60,'Matriz de Referencia'!$B$2:$CO$584,41,FALSE)=0,0,"Digite"))</f>
        <v>0</v>
      </c>
      <c r="CA60" s="454">
        <f>IF(OR('Parte Estrategica'!AI60=0,'Parte Estrategica'!AI60=""),0,IF(VLOOKUP($A60,'Matriz de Referencia'!$B$2:$CO$584,42,FALSE)=0,0,"Digite"))</f>
        <v>0</v>
      </c>
      <c r="CB60" s="454">
        <f>IF(OR('Parte Estrategica'!AI60=0,'Parte Estrategica'!AI60=""),0,IF(VLOOKUP($A60,'Matriz de Referencia'!$B$2:$CO$584,43,FALSE)=0,0,"Digite"))</f>
        <v>0</v>
      </c>
      <c r="CC60" s="454">
        <f>IF(OR('Parte Estrategica'!AI60=0,'Parte Estrategica'!AI60=""),0,IF(VLOOKUP($A60,'Matriz de Referencia'!$B$2:$CO$584,44,FALSE)=0,0,"Digite"))</f>
        <v>0</v>
      </c>
      <c r="CD60" s="454">
        <f>IF(OR('Parte Estrategica'!AI60=0,'Parte Estrategica'!AI60=""),0,IF(VLOOKUP($A60,'Matriz de Referencia'!$B$2:$CO$584,45,FALSE)=0,0,"Digite"))</f>
        <v>0</v>
      </c>
      <c r="CE60" s="454">
        <f>IF(OR('Parte Estrategica'!AI60=0,'Parte Estrategica'!AI60=""),0,IF(VLOOKUP($A60,'Matriz de Referencia'!$B$2:$CO$584,46,FALSE)=0,0,"Digite"))</f>
        <v>0</v>
      </c>
      <c r="CF60" s="382">
        <f t="shared" si="16"/>
        <v>0</v>
      </c>
      <c r="CG60" s="454">
        <f>IF(OR('Parte Estrategica'!AI60=0,'Parte Estrategica'!AI60=""),0,IF(VLOOKUP($A60,'Matriz de Referencia'!$B$2:$CO$584,48,FALSE)=0,0,"Digite"))</f>
        <v>0</v>
      </c>
      <c r="CH60" s="454">
        <f>IF(OR('Parte Estrategica'!AI60=0,'Parte Estrategica'!AI60=""),0,IF(VLOOKUP($A60,'Matriz de Referencia'!$B$2:$CO$584,49,FALSE)=0,0,"Digite"))</f>
        <v>0</v>
      </c>
      <c r="CI60" s="454">
        <f>IF(OR('Parte Estrategica'!AI60=0,'Parte Estrategica'!AI60=""),0,IF(VLOOKUP($A60,'Matriz de Referencia'!$B$2:$CO$584,50,FALSE)=0,0,"Digite"))</f>
        <v>0</v>
      </c>
      <c r="CJ60" s="382">
        <f t="shared" si="17"/>
        <v>0</v>
      </c>
      <c r="CK60" s="382">
        <f t="shared" si="18"/>
        <v>0</v>
      </c>
      <c r="CL60" s="453">
        <f>IF(OR('Parte Estrategica'!AJ60=0,'Parte Estrategica'!AJ60=""),0,IF(VLOOKUP($A60,'Matriz de Referencia'!$B$2:$CO$584,39,FALSE)=0,0,"Digite"))</f>
        <v>0</v>
      </c>
      <c r="CM60" s="454">
        <f>IF(OR('Parte Estrategica'!AJ60=0,'Parte Estrategica'!AJ60=""),0,IF(VLOOKUP($A60,'Matriz de Referencia'!$B$2:$CO$584,40,FALSE)=0,0,"Digite"))</f>
        <v>0</v>
      </c>
      <c r="CN60" s="454">
        <f>IF(OR('Parte Estrategica'!AJ60=0,'Parte Estrategica'!AJ60=""),0,IF(VLOOKUP($A60,'Matriz de Referencia'!$B$2:$CO$584,41,FALSE)=0,0,"Digite"))</f>
        <v>0</v>
      </c>
      <c r="CO60" s="454">
        <f>IF(OR('Parte Estrategica'!AJ60=0,'Parte Estrategica'!AJ60=""),0,IF(VLOOKUP($A60,'Matriz de Referencia'!$B$2:$CO$584,42,FALSE)=0,0,"Digite"))</f>
        <v>0</v>
      </c>
      <c r="CP60" s="454">
        <f>IF(OR('Parte Estrategica'!AJ60=0,'Parte Estrategica'!AJ60=""),0,IF(VLOOKUP($A60,'Matriz de Referencia'!$B$2:$CO$584,43,FALSE)=0,0,"Digite"))</f>
        <v>0</v>
      </c>
      <c r="CQ60" s="454">
        <f>IF(OR('Parte Estrategica'!AJ60=0,'Parte Estrategica'!AJ60=""),0,IF(VLOOKUP($A60,'Matriz de Referencia'!$B$2:$CO$584,44,FALSE)=0,0,"Digite"))</f>
        <v>0</v>
      </c>
      <c r="CR60" s="454">
        <f>IF(OR('Parte Estrategica'!AJ60=0,'Parte Estrategica'!AJ60=""),0,IF(VLOOKUP($A60,'Matriz de Referencia'!$B$2:$CO$584,45,FALSE)=0,0,"Digite"))</f>
        <v>0</v>
      </c>
      <c r="CS60" s="454">
        <f>IF(OR('Parte Estrategica'!AJ60=0,'Parte Estrategica'!AJ60=""),0,IF(VLOOKUP($A60,'Matriz de Referencia'!$B$2:$CO$584,46,FALSE)=0,0,"Digite"))</f>
        <v>0</v>
      </c>
      <c r="CT60" s="382">
        <f t="shared" si="19"/>
        <v>0</v>
      </c>
      <c r="CU60" s="454">
        <f>IF(OR('Parte Estrategica'!AJ60=0,'Parte Estrategica'!AJ60=""),0,IF(VLOOKUP($A60,'Matriz de Referencia'!$B$2:$CO$584,48,FALSE)=0,0,"Digite"))</f>
        <v>0</v>
      </c>
      <c r="CV60" s="454">
        <f>IF(OR('Parte Estrategica'!AJ60=0,'Parte Estrategica'!AJ60=""),0,IF(VLOOKUP($A60,'Matriz de Referencia'!$B$2:$CO$584,49,FALSE)=0,0,"Digite"))</f>
        <v>0</v>
      </c>
      <c r="CW60" s="454">
        <f>IF(OR('Parte Estrategica'!AJ60=0,'Parte Estrategica'!AJ60=""),0,IF(VLOOKUP($A60,'Matriz de Referencia'!$B$2:$CO$584,50,FALSE)=0,0,"Digite"))</f>
        <v>0</v>
      </c>
      <c r="CX60" s="382">
        <f t="shared" si="20"/>
        <v>0</v>
      </c>
      <c r="CY60" s="382">
        <f t="shared" si="21"/>
        <v>0</v>
      </c>
      <c r="CZ60" s="453">
        <f>IF(OR('Parte Estrategica'!AK60=0,'Parte Estrategica'!AK60=""),0,IF(VLOOKUP($A60,'Matriz de Referencia'!$B$2:$CO$584,39,FALSE)=0,0,"Digite"))</f>
        <v>0</v>
      </c>
      <c r="DA60" s="454">
        <f>IF(OR('Parte Estrategica'!AK60=0,'Parte Estrategica'!AK60=""),0,IF(VLOOKUP($A60,'Matriz de Referencia'!$B$2:$CO$584,40,FALSE)=0,0,"Digite"))</f>
        <v>0</v>
      </c>
      <c r="DB60" s="454">
        <f>IF(OR('Parte Estrategica'!AK60=0,'Parte Estrategica'!AK60=""),0,IF(VLOOKUP($A60,'Matriz de Referencia'!$B$2:$CO$584,41,FALSE)=0,0,"Digite"))</f>
        <v>0</v>
      </c>
      <c r="DC60" s="454">
        <f>IF(OR('Parte Estrategica'!AK60=0,'Parte Estrategica'!AK60=""),0,IF(VLOOKUP($A60,'Matriz de Referencia'!$B$2:$CO$584,42,FALSE)=0,0,"Digite"))</f>
        <v>0</v>
      </c>
      <c r="DD60" s="454">
        <f>IF(OR('Parte Estrategica'!AK60=0,'Parte Estrategica'!AK60=""),0,IF(VLOOKUP($A60,'Matriz de Referencia'!$B$2:$CO$584,43,FALSE)=0,0,"Digite"))</f>
        <v>0</v>
      </c>
      <c r="DE60" s="454">
        <f>IF(OR('Parte Estrategica'!AK60=0,'Parte Estrategica'!AK60=""),0,IF(VLOOKUP($A60,'Matriz de Referencia'!$B$2:$CO$584,44,FALSE)=0,0,"Digite"))</f>
        <v>0</v>
      </c>
      <c r="DF60" s="454">
        <f>IF(OR('Parte Estrategica'!AK60=0,'Parte Estrategica'!AK60=""),0,IF(VLOOKUP($A60,'Matriz de Referencia'!$B$2:$CO$584,45,FALSE)=0,0,"Digite"))</f>
        <v>0</v>
      </c>
      <c r="DG60" s="454">
        <f>IF(OR('Parte Estrategica'!AK60=0,'Parte Estrategica'!AK60=""),0,IF(VLOOKUP($A60,'Matriz de Referencia'!$B$2:$CO$584,46,FALSE)=0,0,"Digite"))</f>
        <v>0</v>
      </c>
      <c r="DH60" s="382">
        <f t="shared" si="22"/>
        <v>0</v>
      </c>
      <c r="DI60" s="454">
        <f>IF(OR('Parte Estrategica'!AK60=0,'Parte Estrategica'!AK60=""),0,IF(VLOOKUP($A60,'Matriz de Referencia'!$B$2:$CO$584,48,FALSE)=0,0,"Digite"))</f>
        <v>0</v>
      </c>
      <c r="DJ60" s="454">
        <f>IF(OR('Parte Estrategica'!AK60=0,'Parte Estrategica'!AK60=""),0,IF(VLOOKUP($A60,'Matriz de Referencia'!$B$2:$CO$584,49,FALSE)=0,0,"Digite"))</f>
        <v>0</v>
      </c>
      <c r="DK60" s="454">
        <f>IF(OR('Parte Estrategica'!AK60=0,'Parte Estrategica'!AK60=""),0,IF(VLOOKUP($A60,'Matriz de Referencia'!$B$2:$CO$584,50,FALSE)=0,0,"Digite"))</f>
        <v>0</v>
      </c>
      <c r="DL60" s="382">
        <f t="shared" si="23"/>
        <v>0</v>
      </c>
      <c r="DM60" s="382">
        <f t="shared" si="24"/>
        <v>0</v>
      </c>
      <c r="DN60" s="382">
        <f t="shared" si="25"/>
        <v>0</v>
      </c>
      <c r="DO60" s="101" t="str">
        <f>IFERROR(IF(DN60=0,"",IF(VLOOKUP($A60,'Matriz de Referencia'!$B$2:$CO$584,52,FALSE)=DN60,"Techos ok, cotinue","Debe revisar el valor programado")),"")</f>
        <v/>
      </c>
      <c r="DP60" s="453">
        <f>IF(OR('Parte Estrategica'!AN60=0,'Parte Estrategica'!AN60=""),0,IF(VLOOKUP($A60,'Matriz de Referencia'!$B$2:$CO$584,53,FALSE)=0,0,"Digite"))</f>
        <v>0</v>
      </c>
      <c r="DQ60" s="454">
        <f>IF(OR('Parte Estrategica'!AN60=0,'Parte Estrategica'!AN60=""),0,IF(VLOOKUP($A60,'Matriz de Referencia'!$B$2:$CO$584,54,FALSE)=0,0,"Digite"))</f>
        <v>0</v>
      </c>
      <c r="DR60" s="454">
        <f>IF(OR('Parte Estrategica'!AN60=0,'Parte Estrategica'!AN60=""),0,IF(VLOOKUP($A60,'Matriz de Referencia'!$B$2:$CO$584,55,FALSE)=0,0,"Digite"))</f>
        <v>0</v>
      </c>
      <c r="DS60" s="454">
        <f>IF(OR('Parte Estrategica'!AN60=0,'Parte Estrategica'!AN60=""),0,IF(VLOOKUP($A60,'Matriz de Referencia'!$B$2:$CO$584,56,FALSE)=0,0,"Digite"))</f>
        <v>0</v>
      </c>
      <c r="DT60" s="454">
        <f>IF(OR('Parte Estrategica'!AN60=0,'Parte Estrategica'!AN60=""),0,IF(VLOOKUP($A60,'Matriz de Referencia'!$B$2:$CO$584,57,FALSE)=0,0,"Digite"))</f>
        <v>0</v>
      </c>
      <c r="DU60" s="454">
        <f>IF(OR('Parte Estrategica'!AN60=0,'Parte Estrategica'!AN60=""),0,IF(VLOOKUP($A60,'Matriz de Referencia'!$B$2:$CO$584,58,FALSE)=0,0,"Digite"))</f>
        <v>0</v>
      </c>
      <c r="DV60" s="454">
        <f>IF(OR('Parte Estrategica'!AN60=0,'Parte Estrategica'!AN60=""),0,IF(VLOOKUP($A60,'Matriz de Referencia'!$B$2:$CO$584,59,FALSE)=0,0,"Digite"))</f>
        <v>0</v>
      </c>
      <c r="DW60" s="454">
        <f>IF(OR('Parte Estrategica'!AN60=0,'Parte Estrategica'!AN60=""),0,IF(VLOOKUP($A60,'Matriz de Referencia'!$B$2:$CO$584,60,FALSE)=0,0,"Digite"))</f>
        <v>0</v>
      </c>
      <c r="DX60" s="382">
        <f t="shared" si="26"/>
        <v>0</v>
      </c>
      <c r="DY60" s="454">
        <f>IF(OR('Parte Estrategica'!AN60=0,'Parte Estrategica'!AN60=""),0,IF(VLOOKUP($A60,'Matriz de Referencia'!$B$2:$CO$584,62,FALSE)=0,0,"Digite"))</f>
        <v>0</v>
      </c>
      <c r="DZ60" s="454">
        <f>IF(OR('Parte Estrategica'!AN60=0,'Parte Estrategica'!AN60=""),0,IF(VLOOKUP($A60,'Matriz de Referencia'!$B$2:$CO$584,63,FALSE)=0,0,"Digite"))</f>
        <v>0</v>
      </c>
      <c r="EA60" s="454" t="str">
        <f>IF(OR('Parte Estrategica'!AN60=0,'Parte Estrategica'!AN60=""),"",IF(VLOOKUP($A60,'Matriz de Referencia'!$B$2:$CO$584,64,FALSE)=0,"","Digite"))</f>
        <v/>
      </c>
      <c r="EB60" s="382">
        <f t="shared" si="27"/>
        <v>0</v>
      </c>
      <c r="EC60" s="382">
        <f t="shared" si="28"/>
        <v>0</v>
      </c>
      <c r="ED60" s="453">
        <f>IF(OR('Parte Estrategica'!AO60=0,'Parte Estrategica'!AO60=""),0,IF(VLOOKUP($A60,'Matriz de Referencia'!$B$2:$CO$584,53,FALSE)=0,0,"Digite"))</f>
        <v>0</v>
      </c>
      <c r="EE60" s="454">
        <f>IF(OR('Parte Estrategica'!AO60=0,'Parte Estrategica'!AO60=""),0,IF(VLOOKUP($A60,'Matriz de Referencia'!$B$2:$CO$584,54,FALSE)=0,0,"Digite"))</f>
        <v>0</v>
      </c>
      <c r="EF60" s="454">
        <f>IF(OR('Parte Estrategica'!AO60=0,'Parte Estrategica'!AO60=""),0,IF(VLOOKUP($A60,'Matriz de Referencia'!$B$2:$CO$584,55,FALSE)=0,0,"Digite"))</f>
        <v>0</v>
      </c>
      <c r="EG60" s="454">
        <f>IF(OR('Parte Estrategica'!AO60=0,'Parte Estrategica'!AO60=""),0,IF(VLOOKUP($A60,'Matriz de Referencia'!$B$2:$CO$584,56,FALSE)=0,0,"Digite"))</f>
        <v>0</v>
      </c>
      <c r="EH60" s="454">
        <f>IF(OR('Parte Estrategica'!AO60=0,'Parte Estrategica'!AO60=""),0,IF(VLOOKUP($A60,'Matriz de Referencia'!$B$2:$CO$584,57,FALSE)=0,0,"Digite"))</f>
        <v>0</v>
      </c>
      <c r="EI60" s="454">
        <f>IF(OR('Parte Estrategica'!AO60=0,'Parte Estrategica'!AO60=""),0,IF(VLOOKUP($A60,'Matriz de Referencia'!$B$2:$CO$584,58,FALSE)=0,0,"Digite"))</f>
        <v>0</v>
      </c>
      <c r="EJ60" s="454">
        <f>IF(OR('Parte Estrategica'!AO60=0,'Parte Estrategica'!AO60=""),0,IF(VLOOKUP($A60,'Matriz de Referencia'!$B$2:$CO$584,59,FALSE)=0,0,"Digite"))</f>
        <v>0</v>
      </c>
      <c r="EK60" s="454">
        <f>IF(OR('Parte Estrategica'!AO60=0,'Parte Estrategica'!AO60=""),0,IF(VLOOKUP($A60,'Matriz de Referencia'!$B$2:$CO$584,60,FALSE)=0,0,"Digite"))</f>
        <v>0</v>
      </c>
      <c r="EL60" s="382">
        <f t="shared" si="29"/>
        <v>0</v>
      </c>
      <c r="EM60" s="454">
        <f>IF(OR('Parte Estrategica'!AO60=0,'Parte Estrategica'!AO60=""),0,IF(VLOOKUP($A60,'Matriz de Referencia'!$B$2:$CO$584,62,FALSE)=0,0,"Digite"))</f>
        <v>0</v>
      </c>
      <c r="EN60" s="454">
        <f>IF(OR('Parte Estrategica'!AO60=0,'Parte Estrategica'!AO60=""),0,IF(VLOOKUP($A60,'Matriz de Referencia'!$B$2:$CO$584,63,FALSE)=0,0,"Digite"))</f>
        <v>0</v>
      </c>
      <c r="EO60" s="454">
        <f>IF(OR('Parte Estrategica'!AO60=0,'Parte Estrategica'!AO60=""),0,IF(VLOOKUP($A60,'Matriz de Referencia'!$B$2:$CO$584,64,FALSE)=0,0,"Digite"))</f>
        <v>0</v>
      </c>
      <c r="EP60" s="382">
        <f t="shared" si="30"/>
        <v>0</v>
      </c>
      <c r="EQ60" s="382">
        <f t="shared" si="31"/>
        <v>0</v>
      </c>
      <c r="ER60" s="453">
        <f>IF(OR('Parte Estrategica'!AP60=0,'Parte Estrategica'!AP60=""),0,IF(VLOOKUP($A60,'Matriz de Referencia'!$B$2:$CO$584,53,FALSE)=0,0,"Digite"))</f>
        <v>0</v>
      </c>
      <c r="ES60" s="454">
        <f>IF(OR('Parte Estrategica'!AP60=0,'Parte Estrategica'!AP60=""),0,IF(VLOOKUP($A60,'Matriz de Referencia'!$B$2:$CO$584,54,FALSE)=0,0,"Digite"))</f>
        <v>0</v>
      </c>
      <c r="ET60" s="454">
        <f>IF(OR('Parte Estrategica'!AP60=0,'Parte Estrategica'!AP60=""),0,IF(VLOOKUP($A60,'Matriz de Referencia'!$B$2:$CO$584,55,FALSE)=0,0,"Digite"))</f>
        <v>0</v>
      </c>
      <c r="EU60" s="454">
        <f>IF(OR('Parte Estrategica'!AP60=0,'Parte Estrategica'!AP60=""),0,IF(VLOOKUP($A60,'Matriz de Referencia'!$B$2:$CO$584,56,FALSE)=0,0,"Digite"))</f>
        <v>0</v>
      </c>
      <c r="EV60" s="454">
        <f>IF(OR('Parte Estrategica'!AP60=0,'Parte Estrategica'!AP60=""),0,IF(VLOOKUP($A60,'Matriz de Referencia'!$B$2:$CO$584,57,FALSE)=0,0,"Digite"))</f>
        <v>0</v>
      </c>
      <c r="EW60" s="454">
        <f>IF(OR('Parte Estrategica'!AP60=0,'Parte Estrategica'!AP60=""),0,IF(VLOOKUP($A60,'Matriz de Referencia'!$B$2:$CO$584,58,FALSE)=0,0,"Digite"))</f>
        <v>0</v>
      </c>
      <c r="EX60" s="454">
        <f>IF(OR('Parte Estrategica'!AP60=0,'Parte Estrategica'!AP60=""),0,IF(VLOOKUP($A60,'Matriz de Referencia'!$B$2:$CO$584,59,FALSE)=0,0,"Digite"))</f>
        <v>0</v>
      </c>
      <c r="EY60" s="454">
        <f>IF(OR('Parte Estrategica'!AP60=0,'Parte Estrategica'!AP60=""),0,IF(VLOOKUP($A60,'Matriz de Referencia'!$B$2:$CO$584,60,FALSE)=0,0,"Digite"))</f>
        <v>0</v>
      </c>
      <c r="EZ60" s="382">
        <f t="shared" si="32"/>
        <v>0</v>
      </c>
      <c r="FA60" s="454">
        <f>IF(OR('Parte Estrategica'!AP60=0,'Parte Estrategica'!AP60=""),0,IF(VLOOKUP($A60,'Matriz de Referencia'!$B$2:$CO$584,62,FALSE)=0,0,"Digite"))</f>
        <v>0</v>
      </c>
      <c r="FB60" s="454">
        <f>IF(OR('Parte Estrategica'!AP60=0,'Parte Estrategica'!AP60=""),0,IF(VLOOKUP($A60,'Matriz de Referencia'!$B$2:$CO$584,63,FALSE)=0,0,"Digite"))</f>
        <v>0</v>
      </c>
      <c r="FC60" s="454">
        <f>IF(OR('Parte Estrategica'!AP60=0,'Parte Estrategica'!AP60=""),0,IF(VLOOKUP($A60,'Matriz de Referencia'!$B$2:$CO$584,64,FALSE)=0,0,"Digite"))</f>
        <v>0</v>
      </c>
      <c r="FD60" s="382">
        <f t="shared" si="33"/>
        <v>0</v>
      </c>
      <c r="FE60" s="382">
        <f t="shared" si="34"/>
        <v>0</v>
      </c>
      <c r="FF60" s="453">
        <f>IF(OR('Parte Estrategica'!AQ60=0,'Parte Estrategica'!AQ60=""),0,IF(VLOOKUP($A60,'Matriz de Referencia'!$B$2:$CO$584,53,FALSE)=0,0,"Digite"))</f>
        <v>0</v>
      </c>
      <c r="FG60" s="454">
        <f>IF(OR('Parte Estrategica'!AQ60=0,'Parte Estrategica'!AQ60=""),0,IF(VLOOKUP($A60,'Matriz de Referencia'!$B$2:$CO$584,54,FALSE)=0,0,"Digite"))</f>
        <v>0</v>
      </c>
      <c r="FH60" s="454">
        <f>IF(OR('Parte Estrategica'!AQ60=0,'Parte Estrategica'!AQ60=""),0,IF(VLOOKUP($A60,'Matriz de Referencia'!$B$2:$CO$584,55,FALSE)=0,0,"Digite"))</f>
        <v>0</v>
      </c>
      <c r="FI60" s="454">
        <f>IF(OR('Parte Estrategica'!AQ60=0,'Parte Estrategica'!AQ60=""),0,IF(VLOOKUP($A60,'Matriz de Referencia'!$B$2:$CO$584,56,FALSE)=0,0,"Digite"))</f>
        <v>0</v>
      </c>
      <c r="FJ60" s="454">
        <f>IF(OR('Parte Estrategica'!AQ60=0,'Parte Estrategica'!AQ60=""),0,IF(VLOOKUP($A60,'Matriz de Referencia'!$B$2:$CO$584,57,FALSE)=0,0,"Digite"))</f>
        <v>0</v>
      </c>
      <c r="FK60" s="454">
        <f>IF(OR('Parte Estrategica'!AQ60=0,'Parte Estrategica'!AQ60=""),0,IF(VLOOKUP($A60,'Matriz de Referencia'!$B$2:$CO$584,58,FALSE)=0,0,"Digite"))</f>
        <v>0</v>
      </c>
      <c r="FL60" s="454">
        <f>IF(OR('Parte Estrategica'!AQ60=0,'Parte Estrategica'!AQ60=""),0,IF(VLOOKUP($A60,'Matriz de Referencia'!$B$2:$CO$584,59,FALSE)=0,0,"Digite"))</f>
        <v>0</v>
      </c>
      <c r="FM60" s="454">
        <f>IF(OR('Parte Estrategica'!AQ60=0,'Parte Estrategica'!AQ60=""),0,IF(VLOOKUP($A60,'Matriz de Referencia'!$B$2:$CO$584,60,FALSE)=0,0,"Digite"))</f>
        <v>0</v>
      </c>
      <c r="FN60" s="382">
        <f t="shared" si="35"/>
        <v>0</v>
      </c>
      <c r="FO60" s="454">
        <f>IF(OR('Parte Estrategica'!AQ60=0,'Parte Estrategica'!AQ60=""),0,IF(VLOOKUP($A60,'Matriz de Referencia'!$B$2:$CO$584,62,FALSE)=0,0,"Digite"))</f>
        <v>0</v>
      </c>
      <c r="FP60" s="454">
        <f>IF(OR('Parte Estrategica'!AQ60=0,'Parte Estrategica'!AQ60=""),0,IF(VLOOKUP($A60,'Matriz de Referencia'!$B$2:$CO$584,63,FALSE)=0,0,"Digite"))</f>
        <v>0</v>
      </c>
      <c r="FQ60" s="454">
        <f>IF(OR('Parte Estrategica'!AQ60=0,'Parte Estrategica'!AQ60=""),0,IF(VLOOKUP($A60,'Matriz de Referencia'!$B$2:$CO$584,64,FALSE)=0,0,"Digite"))</f>
        <v>0</v>
      </c>
      <c r="FR60" s="382">
        <f t="shared" si="36"/>
        <v>0</v>
      </c>
      <c r="FS60" s="382">
        <f t="shared" si="37"/>
        <v>0</v>
      </c>
      <c r="FT60" s="382">
        <f t="shared" si="38"/>
        <v>0</v>
      </c>
      <c r="FU60" s="101" t="str">
        <f>IFERROR(IF(FT60=0,"",IF(VLOOKUP($A60,'Matriz de Referencia'!$B$2:$CO$584,66,FALSE)=FT60,"Techos ok, cotinue","Debe revisar el valor programado")),"")</f>
        <v/>
      </c>
      <c r="FV60" s="453">
        <f>IF(OR('Parte Estrategica'!AT60=0,'Parte Estrategica'!AT60=""),0,IF(VLOOKUP($A60,'Matriz de Referencia'!$B$2:$CO$584,67,FALSE)=0,0,"Digite"))</f>
        <v>0</v>
      </c>
      <c r="FW60" s="454">
        <f>IF(OR('Parte Estrategica'!AT60=0,'Parte Estrategica'!AT60=""),0,IF(VLOOKUP($A60,'Matriz de Referencia'!$B$2:$CO$584,68,FALSE)=0,0,"Digite"))</f>
        <v>0</v>
      </c>
      <c r="FX60" s="454">
        <f>IF(OR('Parte Estrategica'!AT60=0,'Parte Estrategica'!AT60=""),0,IF(VLOOKUP($A60,'Matriz de Referencia'!$B$2:$CO$584,69,FALSE)=0,0,"Digite"))</f>
        <v>0</v>
      </c>
      <c r="FY60" s="454">
        <f>IF(OR('Parte Estrategica'!AT60=0,'Parte Estrategica'!AT60=""),0,IF(VLOOKUP($A60,'Matriz de Referencia'!$B$2:$CO$584,70,FALSE)=0,0,"Digite"))</f>
        <v>0</v>
      </c>
      <c r="FZ60" s="454">
        <f>IF(OR('Parte Estrategica'!AT60=0,'Parte Estrategica'!AT60=""),0,IF(VLOOKUP($A60,'Matriz de Referencia'!$B$2:$CO$584,71,FALSE)=0,0,"Digite"))</f>
        <v>0</v>
      </c>
      <c r="GA60" s="454">
        <f>IF(OR('Parte Estrategica'!AT60=0,'Parte Estrategica'!AT60=""),0,IF(VLOOKUP($A60,'Matriz de Referencia'!$B$2:$CO$584,72,FALSE)=0,0,"Digite"))</f>
        <v>0</v>
      </c>
      <c r="GB60" s="454">
        <f>IF(OR('Parte Estrategica'!AT60=0,'Parte Estrategica'!AT60=""),0,IF(VLOOKUP($A60,'Matriz de Referencia'!$B$2:$CO$584,73,FALSE)=0,0,"Digite"))</f>
        <v>0</v>
      </c>
      <c r="GC60" s="454">
        <f>IF(OR('Parte Estrategica'!AT60=0,'Parte Estrategica'!AT60=""),0,IF(VLOOKUP($A60,'Matriz de Referencia'!$B$2:$CO$584,74,FALSE)=0,0,"Digite"))</f>
        <v>0</v>
      </c>
      <c r="GD60" s="382">
        <f t="shared" si="39"/>
        <v>0</v>
      </c>
      <c r="GE60" s="454">
        <f>IF(OR('Parte Estrategica'!AT60=0,'Parte Estrategica'!AT60=""),0,IF(VLOOKUP($A60,'Matriz de Referencia'!$B$2:$CO$584,76,FALSE)=0,0,"Digite"))</f>
        <v>0</v>
      </c>
      <c r="GF60" s="454">
        <f>IF(OR('Parte Estrategica'!AT60=0,'Parte Estrategica'!AT60=""),0,IF(VLOOKUP($A60,'Matriz de Referencia'!$B$2:$CO$584,77,FALSE)=0,0,"Digite"))</f>
        <v>0</v>
      </c>
      <c r="GG60" s="454">
        <f>IF(OR('Parte Estrategica'!AT60=0,'Parte Estrategica'!AT60=""),0,IF(VLOOKUP($A60,'Matriz de Referencia'!$B$2:$CO$584,78,FALSE)=0,0,"Digite"))</f>
        <v>0</v>
      </c>
      <c r="GH60" s="382">
        <f t="shared" si="40"/>
        <v>0</v>
      </c>
      <c r="GI60" s="382">
        <f t="shared" si="41"/>
        <v>0</v>
      </c>
      <c r="GJ60" s="453">
        <f>IF(OR('Parte Estrategica'!AU60=0,'Parte Estrategica'!AU60=""),0,IF(VLOOKUP($A60,'Matriz de Referencia'!$B$2:$CO$584,67,FALSE)=0,0,"Digite"))</f>
        <v>0</v>
      </c>
      <c r="GK60" s="454">
        <f>IF(OR('Parte Estrategica'!AU60=0,'Parte Estrategica'!AU60=""),0,IF(VLOOKUP($A60,'Matriz de Referencia'!$B$2:$CO$584,68,FALSE)=0,0,"Digite"))</f>
        <v>0</v>
      </c>
      <c r="GL60" s="454">
        <f>IF(OR('Parte Estrategica'!AU60=0,'Parte Estrategica'!AU60=""),0,IF(VLOOKUP($A60,'Matriz de Referencia'!$B$2:$CO$584,69,FALSE)=0,0,"Digite"))</f>
        <v>0</v>
      </c>
      <c r="GM60" s="454">
        <f>IF(OR('Parte Estrategica'!AU60=0,'Parte Estrategica'!AU60=""),0,IF(VLOOKUP($A60,'Matriz de Referencia'!$B$2:$CO$584,70,FALSE)=0,0,"Digite"))</f>
        <v>0</v>
      </c>
      <c r="GN60" s="454">
        <f>IF(OR('Parte Estrategica'!AU60=0,'Parte Estrategica'!AU60=""),0,IF(VLOOKUP($A60,'Matriz de Referencia'!$B$2:$CO$584,71,FALSE)=0,0,"Digite"))</f>
        <v>0</v>
      </c>
      <c r="GO60" s="454">
        <f>IF(OR('Parte Estrategica'!AU60=0,'Parte Estrategica'!AU60=""),0,IF(VLOOKUP($A60,'Matriz de Referencia'!$B$2:$CO$584,72,FALSE)=0,0,"Digite"))</f>
        <v>0</v>
      </c>
      <c r="GP60" s="454">
        <f>IF(OR('Parte Estrategica'!AU60=0,'Parte Estrategica'!AU60=""),0,IF(VLOOKUP($A60,'Matriz de Referencia'!$B$2:$CO$584,73,FALSE)=0,0,"Digite"))</f>
        <v>0</v>
      </c>
      <c r="GQ60" s="454">
        <f>IF(OR('Parte Estrategica'!AU60=0,'Parte Estrategica'!AU60=""),0,IF(VLOOKUP($A60,'Matriz de Referencia'!$B$2:$CO$584,74,FALSE)=0,0,"Digite"))</f>
        <v>0</v>
      </c>
      <c r="GR60" s="382">
        <f t="shared" si="42"/>
        <v>0</v>
      </c>
      <c r="GS60" s="454">
        <f>IF(OR('Parte Estrategica'!AU60=0,'Parte Estrategica'!AU60=""),0,IF(VLOOKUP($A60,'Matriz de Referencia'!$B$2:$CO$584,76,FALSE)=0,0,"Digite"))</f>
        <v>0</v>
      </c>
      <c r="GT60" s="454">
        <f>IF(OR('Parte Estrategica'!AU60=0,'Parte Estrategica'!AU60=""),0,IF(VLOOKUP($A60,'Matriz de Referencia'!$B$2:$CO$584,77,FALSE)=0,0,"Digite"))</f>
        <v>0</v>
      </c>
      <c r="GU60" s="454">
        <f>IF(OR('Parte Estrategica'!AU60=0,'Parte Estrategica'!AU60=""),0,IF(VLOOKUP($A60,'Matriz de Referencia'!$B$2:$CO$584,78,FALSE)=0,0,"Digite"))</f>
        <v>0</v>
      </c>
      <c r="GV60" s="382">
        <f t="shared" si="43"/>
        <v>0</v>
      </c>
      <c r="GW60" s="382">
        <f t="shared" si="44"/>
        <v>0</v>
      </c>
      <c r="GX60" s="453">
        <f>IF(OR('Parte Estrategica'!AV60=0,'Parte Estrategica'!AV60=""),0,IF(VLOOKUP($A60,'Matriz de Referencia'!$B$2:$CO$584,67,FALSE)=0,0,"Digite"))</f>
        <v>0</v>
      </c>
      <c r="GY60" s="454">
        <f>IF(OR('Parte Estrategica'!AV60=0,'Parte Estrategica'!AV60=""),0,IF(VLOOKUP($A60,'Matriz de Referencia'!$B$2:$CO$584,68,FALSE)=0,0,"Digite"))</f>
        <v>0</v>
      </c>
      <c r="GZ60" s="454">
        <f>IF(OR('Parte Estrategica'!AV60=0,'Parte Estrategica'!AV60=""),0,IF(VLOOKUP($A60,'Matriz de Referencia'!$B$2:$CO$584,69,FALSE)=0,0,"Digite"))</f>
        <v>0</v>
      </c>
      <c r="HA60" s="454">
        <f>IF(OR('Parte Estrategica'!AV60=0,'Parte Estrategica'!AV60=""),0,IF(VLOOKUP($A60,'Matriz de Referencia'!$B$2:$CO$584,70,FALSE)=0,0,"Digite"))</f>
        <v>0</v>
      </c>
      <c r="HB60" s="454">
        <f>IF(OR('Parte Estrategica'!AV60=0,'Parte Estrategica'!AV60=""),0,IF(VLOOKUP($A60,'Matriz de Referencia'!$B$2:$CO$584,71,FALSE)=0,0,"Digite"))</f>
        <v>0</v>
      </c>
      <c r="HC60" s="454">
        <f>IF(OR('Parte Estrategica'!AV60=0,'Parte Estrategica'!AV60=""),0,IF(VLOOKUP($A60,'Matriz de Referencia'!$B$2:$CO$584,72,FALSE)=0,0,"Digite"))</f>
        <v>0</v>
      </c>
      <c r="HD60" s="454">
        <f>IF(OR('Parte Estrategica'!AV60=0,'Parte Estrategica'!AV60=""),0,IF(VLOOKUP($A60,'Matriz de Referencia'!$B$2:$CO$584,73,FALSE)=0,0,"Digite"))</f>
        <v>0</v>
      </c>
      <c r="HE60" s="454">
        <f>IF(OR('Parte Estrategica'!AV60=0,'Parte Estrategica'!AV60=""),0,IF(VLOOKUP($A60,'Matriz de Referencia'!$B$2:$CO$584,74,FALSE)=0,0,"Digite"))</f>
        <v>0</v>
      </c>
      <c r="HF60" s="382">
        <f t="shared" si="45"/>
        <v>0</v>
      </c>
      <c r="HG60" s="454">
        <f>IF(OR('Parte Estrategica'!AV60=0,'Parte Estrategica'!AV60=""),0,IF(VLOOKUP($A60,'Matriz de Referencia'!$B$2:$CO$584,76,FALSE)=0,0,"Digite"))</f>
        <v>0</v>
      </c>
      <c r="HH60" s="454">
        <f>IF(OR('Parte Estrategica'!AV60=0,'Parte Estrategica'!AV60=""),0,IF(VLOOKUP($A60,'Matriz de Referencia'!$B$2:$CO$584,77,FALSE)=0,0,"Digite"))</f>
        <v>0</v>
      </c>
      <c r="HI60" s="454">
        <f>IF(OR('Parte Estrategica'!AV60=0,'Parte Estrategica'!AV60=""),0,IF(VLOOKUP($A60,'Matriz de Referencia'!$B$2:$CO$584,78,FALSE)=0,0,"Digite"))</f>
        <v>0</v>
      </c>
      <c r="HJ60" s="382">
        <f t="shared" si="46"/>
        <v>0</v>
      </c>
      <c r="HK60" s="382">
        <f t="shared" si="47"/>
        <v>0</v>
      </c>
      <c r="HL60" s="453">
        <f>IF(OR('Parte Estrategica'!AW60=0,'Parte Estrategica'!AW60=""),0,IF(VLOOKUP($A60,'Matriz de Referencia'!$B$2:$CO$584,67,FALSE)=0,0,"Digite"))</f>
        <v>0</v>
      </c>
      <c r="HM60" s="454">
        <f>IF(OR('Parte Estrategica'!AW60=0,'Parte Estrategica'!AW60=""),0,IF(VLOOKUP($A60,'Matriz de Referencia'!$B$2:$CO$584,68,FALSE)=0,0,"Digite"))</f>
        <v>0</v>
      </c>
      <c r="HN60" s="454">
        <f>IF(OR('Parte Estrategica'!AW60=0,'Parte Estrategica'!AW60=""),0,IF(VLOOKUP($A60,'Matriz de Referencia'!$B$2:$CO$584,69,FALSE)=0,0,"Digite"))</f>
        <v>0</v>
      </c>
      <c r="HO60" s="454">
        <f>IF(OR('Parte Estrategica'!AW60=0,'Parte Estrategica'!AW60=""),0,IF(VLOOKUP($A60,'Matriz de Referencia'!$B$2:$CO$584,70,FALSE)=0,0,"Digite"))</f>
        <v>0</v>
      </c>
      <c r="HP60" s="454">
        <f>IF(OR('Parte Estrategica'!AW60=0,'Parte Estrategica'!AW60=""),0,IF(VLOOKUP($A60,'Matriz de Referencia'!$B$2:$CO$584,71,FALSE)=0,0,"Digite"))</f>
        <v>0</v>
      </c>
      <c r="HQ60" s="454">
        <f>IF(OR('Parte Estrategica'!AW60=0,'Parte Estrategica'!AW60=""),0,IF(VLOOKUP($A60,'Matriz de Referencia'!$B$2:$CO$584,72,FALSE)=0,0,"Digite"))</f>
        <v>0</v>
      </c>
      <c r="HR60" s="454">
        <f>IF(OR('Parte Estrategica'!AW60=0,'Parte Estrategica'!AW60=""),0,IF(VLOOKUP($A60,'Matriz de Referencia'!$B$2:$CO$584,73,FALSE)=0,0,"Digite"))</f>
        <v>0</v>
      </c>
      <c r="HS60" s="454">
        <f>IF(OR('Parte Estrategica'!AW60=0,'Parte Estrategica'!AW60=""),0,IF(VLOOKUP($A60,'Matriz de Referencia'!$B$2:$CO$584,74,FALSE)=0,0,"Digite"))</f>
        <v>0</v>
      </c>
      <c r="HT60" s="382">
        <f t="shared" si="48"/>
        <v>0</v>
      </c>
      <c r="HU60" s="454">
        <f>IF(OR('Parte Estrategica'!AW60=0,'Parte Estrategica'!AW60=""),0,IF(VLOOKUP($A60,'Matriz de Referencia'!$B$2:$CO$584,76,FALSE)=0,0,"Digite"))</f>
        <v>0</v>
      </c>
      <c r="HV60" s="454">
        <f>IF(OR('Parte Estrategica'!AW60=0,'Parte Estrategica'!AW60=""),0,IF(VLOOKUP($A60,'Matriz de Referencia'!$B$2:$CO$584,77,FALSE)=0,0,"Digite"))</f>
        <v>0</v>
      </c>
      <c r="HW60" s="454">
        <f>IF(OR('Parte Estrategica'!AW60=0,'Parte Estrategica'!AW60=""),0,IF(VLOOKUP($A60,'Matriz de Referencia'!$B$2:$CO$584,78,FALSE)=0,0,"Digite"))</f>
        <v>0</v>
      </c>
      <c r="HX60" s="382">
        <f t="shared" si="49"/>
        <v>0</v>
      </c>
      <c r="HY60" s="382">
        <f t="shared" si="50"/>
        <v>0</v>
      </c>
      <c r="HZ60" s="382">
        <f t="shared" si="51"/>
        <v>0</v>
      </c>
      <c r="IA60" s="101" t="str">
        <f>IFERROR(IF(HZ60=0,"",IF(VLOOKUP($A60,'Matriz de Referencia'!$B$2:$CO$584,80,FALSE)=HZ60,"Techos ok, cotinue","Debe revisar el valor programado")),"")</f>
        <v/>
      </c>
      <c r="IB60" s="383">
        <f t="shared" si="52"/>
        <v>0</v>
      </c>
    </row>
    <row r="61" spans="1:236">
      <c r="A61" s="550" t="str">
        <f>IF('Parte Estrategica'!B61=0,"",'Parte Estrategica'!B61)</f>
        <v/>
      </c>
      <c r="B61" s="551" t="str">
        <f>IFERROR(VLOOKUP(A61,'Matriz de Referencia'!$B$2:$P$578,'Matriz de Referencia'!L$1,FALSE),"")</f>
        <v/>
      </c>
      <c r="C61" s="551" t="str">
        <f>IFERROR(VLOOKUP(A61,'Matriz de Referencia'!$B$2:$P$584,'Matriz de Referencia'!M$1,FALSE),"")</f>
        <v/>
      </c>
      <c r="D61" s="455" t="str">
        <f>IF(OR('Parte Estrategica'!AB61=0,'Parte Estrategica'!AB61=""),"",IF(VLOOKUP($A61,'Matriz de Referencia'!$B$2:$CO$584,'Matriz de Referencia'!Z$1,FALSE)=0,"","Digite"))</f>
        <v/>
      </c>
      <c r="E61" s="456">
        <f>IF(OR('Parte Estrategica'!AB61=0,'Parte Estrategica'!AB61=""),0,IF(VLOOKUP($A61,'Matriz de Referencia'!$B$2:$CO$584,26,FALSE)=0,0,"Digite"))</f>
        <v>0</v>
      </c>
      <c r="F61" s="456">
        <f>IF(OR('Parte Estrategica'!AB61=0,'Parte Estrategica'!AB61=""),0,IF(VLOOKUP($A61,'Matriz de Referencia'!$B$2:$CO$584,27,FALSE)=0,0,"Digite"))</f>
        <v>0</v>
      </c>
      <c r="G61" s="456">
        <f>IF(OR('Parte Estrategica'!AB61=0,'Parte Estrategica'!AB61=""),0,IF(VLOOKUP($A61,'Matriz de Referencia'!$B$2:$CO$584,28,FALSE)=0,0,"Digite"))</f>
        <v>0</v>
      </c>
      <c r="H61" s="456">
        <f>IF(OR('Parte Estrategica'!AB61=0,'Parte Estrategica'!AB61=""),0,IF(VLOOKUP($A61,'Matriz de Referencia'!$B$2:$CO$584,29,FALSE)=0,0,"Digite"))</f>
        <v>0</v>
      </c>
      <c r="I61" s="456">
        <f>IF(OR('Parte Estrategica'!AB61=0,'Parte Estrategica'!AB61=""),0,IF(VLOOKUP($A61,'Matriz de Referencia'!$B$2:$CO$584,30,FALSE)=0,0,"Digite"))</f>
        <v>0</v>
      </c>
      <c r="J61" s="456">
        <f>IF(OR('Parte Estrategica'!AB61=0,'Parte Estrategica'!AB61=""),0,IF(VLOOKUP($A61,'Matriz de Referencia'!$B$2:$CO$584,31,FALSE)=0,0,"Digite"))</f>
        <v>0</v>
      </c>
      <c r="K61" s="456">
        <f>IF(OR('Parte Estrategica'!AB61=0,'Parte Estrategica'!AB61=""),0,IF(VLOOKUP($A61,'Matriz de Referencia'!$B$2:$CO$584,32,FALSE)=0,0,"Digite"))</f>
        <v>0</v>
      </c>
      <c r="L61" s="460">
        <f t="shared" si="0"/>
        <v>0</v>
      </c>
      <c r="M61" s="456">
        <f>IF(OR('Parte Estrategica'!AB61=0,'Parte Estrategica'!AB61=""),0,IF(VLOOKUP($A61,'Matriz de Referencia'!$B$2:$CO$584,34,FALSE)=0,0,"Digite"))</f>
        <v>0</v>
      </c>
      <c r="N61" s="456">
        <f>IF(OR('Parte Estrategica'!AB61=0,'Parte Estrategica'!AB61=""),0,IF(VLOOKUP($A61,'Matriz de Referencia'!$B$2:$CO$584,35,FALSE)=0,0,"Digite"))</f>
        <v>0</v>
      </c>
      <c r="O61" s="456">
        <f>IF(OR('Parte Estrategica'!AB61=0,'Parte Estrategica'!AB61=""),0,IF(VLOOKUP($A61,'Matriz de Referencia'!$B$2:$CO$584,36,FALSE)=0,0,"Digite"))</f>
        <v>0</v>
      </c>
      <c r="P61" s="457">
        <f t="shared" si="1"/>
        <v>0</v>
      </c>
      <c r="Q61" s="457">
        <f t="shared" si="2"/>
        <v>0</v>
      </c>
      <c r="R61" s="455">
        <f>IF(OR('Parte Estrategica'!AC61=0,'Parte Estrategica'!AC61=""),0,IF(VLOOKUP($A61,'Matriz de Referencia'!$B$2:$CO$584,25,FALSE)=0,0,"Digite"))</f>
        <v>0</v>
      </c>
      <c r="S61" s="456">
        <f>IF(OR('Parte Estrategica'!AC61=0,'Parte Estrategica'!AC61=""),0,IF(VLOOKUP($A61,'Matriz de Referencia'!$B$2:$CO$584,26,FALSE)=0,0,"Digite"))</f>
        <v>0</v>
      </c>
      <c r="T61" s="456">
        <f>IF(OR('Parte Estrategica'!AC61=0,'Parte Estrategica'!AC61=""),0,IF(VLOOKUP($A61,'Matriz de Referencia'!$B$2:$CO$584,27,FALSE)=0,0,"Digite"))</f>
        <v>0</v>
      </c>
      <c r="U61" s="456">
        <f>IF(OR('Parte Estrategica'!AC61=0,'Parte Estrategica'!AC61=""),0,IF(VLOOKUP($A61,'Matriz de Referencia'!$B$2:$CO$584,28,FALSE)=0,0,"Digite"))</f>
        <v>0</v>
      </c>
      <c r="V61" s="456">
        <f>IF(OR('Parte Estrategica'!AC61=0,'Parte Estrategica'!AC61=""),0,IF(VLOOKUP($A61,'Matriz de Referencia'!$B$2:$CO$584,29,FALSE)=0,0,"Digite"))</f>
        <v>0</v>
      </c>
      <c r="W61" s="456">
        <f>IF(OR('Parte Estrategica'!AC61=0,'Parte Estrategica'!AC61=""),0,IF(VLOOKUP($A61,'Matriz de Referencia'!$B$2:$CO$584,30,FALSE)=0,0,"Digite"))</f>
        <v>0</v>
      </c>
      <c r="X61" s="456">
        <f>IF(OR('Parte Estrategica'!AC61=0,'Parte Estrategica'!AC61=""),0,IF(VLOOKUP($A61,'Matriz de Referencia'!$B$2:$CO$584,31,FALSE)=0,0,"Digite"))</f>
        <v>0</v>
      </c>
      <c r="Y61" s="456">
        <f>IF(OR('Parte Estrategica'!AC61=0,'Parte Estrategica'!AC61=""),0,IF(VLOOKUP($A61,'Matriz de Referencia'!$B$2:$CO$584,32,FALSE)=0,0,"Digite"))</f>
        <v>0</v>
      </c>
      <c r="Z61" s="457">
        <f t="shared" si="3"/>
        <v>0</v>
      </c>
      <c r="AA61" s="456">
        <f>IF(OR('Parte Estrategica'!AC61=0,'Parte Estrategica'!AC61=""),0,IF(VLOOKUP($A61,'Matriz de Referencia'!$B$2:$CO$584,34,FALSE)=0,0,"Digite"))</f>
        <v>0</v>
      </c>
      <c r="AB61" s="456">
        <f>IF(OR('Parte Estrategica'!AC61=0,'Parte Estrategica'!AC61=""),0,IF(VLOOKUP($A61,'Matriz de Referencia'!$B$2:$CO$584,35,FALSE)=0,0,"Digite"))</f>
        <v>0</v>
      </c>
      <c r="AC61" s="456">
        <f>IF(OR('Parte Estrategica'!AC61=0,'Parte Estrategica'!AC61=""),0,IF(VLOOKUP($A61,'Matriz de Referencia'!$B$2:$CO$584,36,FALSE)=0,0,"Digite"))</f>
        <v>0</v>
      </c>
      <c r="AD61" s="457">
        <f t="shared" si="4"/>
        <v>0</v>
      </c>
      <c r="AE61" s="457">
        <f t="shared" si="5"/>
        <v>0</v>
      </c>
      <c r="AF61" s="455">
        <f>IF(OR('Parte Estrategica'!AD61=0,'Parte Estrategica'!AD61=""),0,IF(VLOOKUP($A61,'Matriz de Referencia'!$B$2:$CO$584,25,FALSE)=0,0,"Digite"))</f>
        <v>0</v>
      </c>
      <c r="AG61" s="456">
        <f>IF(OR('Parte Estrategica'!AD61=0,'Parte Estrategica'!AD61=""),0,IF(VLOOKUP($A61,'Matriz de Referencia'!$B$2:$CO$584,26,FALSE)=0,0,"Digite"))</f>
        <v>0</v>
      </c>
      <c r="AH61" s="456">
        <f>IF(OR('Parte Estrategica'!AD61=0,'Parte Estrategica'!AD61=""),0,IF(VLOOKUP($A61,'Matriz de Referencia'!$B$2:$CO$584,27,FALSE)=0,0,"Digite"))</f>
        <v>0</v>
      </c>
      <c r="AI61" s="456">
        <f>IF(OR('Parte Estrategica'!AD61=0,'Parte Estrategica'!AD61=""),0,IF(VLOOKUP($A61,'Matriz de Referencia'!$B$2:$CO$584,28,FALSE)=0,0,"Digite"))</f>
        <v>0</v>
      </c>
      <c r="AJ61" s="456">
        <f>IF(OR('Parte Estrategica'!AD61=0,'Parte Estrategica'!AD61=""),0,IF(VLOOKUP($A61,'Matriz de Referencia'!$B$2:$CO$584,29,FALSE)=0,0,"Digite"))</f>
        <v>0</v>
      </c>
      <c r="AK61" s="456">
        <f>IF(OR('Parte Estrategica'!AD61=0,'Parte Estrategica'!AD61=""),0,IF(VLOOKUP($A61,'Matriz de Referencia'!$B$2:$CO$584,30,FALSE)=0,0,"Digite"))</f>
        <v>0</v>
      </c>
      <c r="AL61" s="456">
        <f>IF(OR('Parte Estrategica'!AD61=0,'Parte Estrategica'!AD61=""),0,IF(VLOOKUP($A61,'Matriz de Referencia'!$B$2:$CO$584,31,FALSE)=0,0,"Digite"))</f>
        <v>0</v>
      </c>
      <c r="AM61" s="456">
        <f>IF(OR('Parte Estrategica'!AD61=0,'Parte Estrategica'!AD61=""),0,IF(VLOOKUP($A61,'Matriz de Referencia'!$B$2:$CO$584,32,FALSE)=0,0,"Digite"))</f>
        <v>0</v>
      </c>
      <c r="AN61" s="457">
        <f t="shared" si="6"/>
        <v>0</v>
      </c>
      <c r="AO61" s="456">
        <f>IF(OR('Parte Estrategica'!AD61=0,'Parte Estrategica'!AD61=""),0,IF(VLOOKUP($A61,'Matriz de Referencia'!$B$2:$CO$584,34,FALSE)=0,0,"Digite"))</f>
        <v>0</v>
      </c>
      <c r="AP61" s="456">
        <f>IF(OR('Parte Estrategica'!AD61=0,'Parte Estrategica'!AD61=""),0,IF(VLOOKUP($A61,'Matriz de Referencia'!$B$2:$CO$584,35,FALSE)=0,0,"Digite"))</f>
        <v>0</v>
      </c>
      <c r="AQ61" s="456">
        <f>IF(OR('Parte Estrategica'!AD61=0,'Parte Estrategica'!AD61=""),0,IF(VLOOKUP($A61,'Matriz de Referencia'!$B$2:$CO$584,36,FALSE)=0,0,"Digite"))</f>
        <v>0</v>
      </c>
      <c r="AR61" s="457">
        <f t="shared" si="7"/>
        <v>0</v>
      </c>
      <c r="AS61" s="457">
        <f t="shared" si="8"/>
        <v>0</v>
      </c>
      <c r="AT61" s="455">
        <f>IF(OR('Parte Estrategica'!AE61=0,'Parte Estrategica'!AE61=""),0,IF(VLOOKUP($A61,'Matriz de Referencia'!$B$2:$CO$584,25,FALSE)=0,0,"Digite"))</f>
        <v>0</v>
      </c>
      <c r="AU61" s="456">
        <f>IF(OR('Parte Estrategica'!AE61=0,'Parte Estrategica'!AE61=""),0,IF(VLOOKUP($A61,'Matriz de Referencia'!$B$2:$CO$584,26,FALSE)=0,0,"Digite"))</f>
        <v>0</v>
      </c>
      <c r="AV61" s="456">
        <f>IF(OR('Parte Estrategica'!AE61=0,'Parte Estrategica'!AE61=""),0,IF(VLOOKUP($A61,'Matriz de Referencia'!$B$2:$CO$584,27,FALSE)=0,0,"Digite"))</f>
        <v>0</v>
      </c>
      <c r="AW61" s="456">
        <f>IF(OR('Parte Estrategica'!AE61=0,'Parte Estrategica'!AE61=""),0,IF(VLOOKUP($A61,'Matriz de Referencia'!$B$2:$CO$584,28,FALSE)=0,0,"Digite"))</f>
        <v>0</v>
      </c>
      <c r="AX61" s="456">
        <f>IF(OR('Parte Estrategica'!AE61=0,'Parte Estrategica'!AE61=""),0,IF(VLOOKUP($A61,'Matriz de Referencia'!$B$2:$CO$584,29,FALSE)=0,0,"Digite"))</f>
        <v>0</v>
      </c>
      <c r="AY61" s="456">
        <f>IF(OR('Parte Estrategica'!AE61=0,'Parte Estrategica'!AE61=""),0,IF(VLOOKUP($A61,'Matriz de Referencia'!$B$2:$CO$584,30,FALSE)=0,0,"Digite"))</f>
        <v>0</v>
      </c>
      <c r="AZ61" s="456">
        <f>IF(OR('Parte Estrategica'!AE61=0,'Parte Estrategica'!AE61=""),0,IF(VLOOKUP($A61,'Matriz de Referencia'!$B$2:$CO$584,31,FALSE)=0,0,"Digite"))</f>
        <v>0</v>
      </c>
      <c r="BA61" s="456">
        <f>IF(OR('Parte Estrategica'!AE61=0,'Parte Estrategica'!AE61=""),0,IF(VLOOKUP($A61,'Matriz de Referencia'!$B$2:$CO$584,32,FALSE)=0,0,"Digite"))</f>
        <v>0</v>
      </c>
      <c r="BB61" s="457">
        <f t="shared" si="9"/>
        <v>0</v>
      </c>
      <c r="BC61" s="456">
        <f>IF(OR('Parte Estrategica'!AE61=0,'Parte Estrategica'!AE61=""),0,IF(VLOOKUP($A61,'Matriz de Referencia'!$B$2:$CO$584,34,FALSE)=0,0,"Digite"))</f>
        <v>0</v>
      </c>
      <c r="BD61" s="456">
        <f>IF(OR('Parte Estrategica'!AE61=0,'Parte Estrategica'!AE61=""),0,IF(VLOOKUP($A61,'Matriz de Referencia'!$B$2:$CO$584,35,FALSE)=0,0,"Digite"))</f>
        <v>0</v>
      </c>
      <c r="BE61" s="456">
        <f>IF(OR('Parte Estrategica'!AE61=0,'Parte Estrategica'!AE61=""),0,IF(VLOOKUP($A61,'Matriz de Referencia'!$B$2:$CO$584,36,FALSE)=0,0,"Digite"))</f>
        <v>0</v>
      </c>
      <c r="BF61" s="457">
        <f t="shared" si="10"/>
        <v>0</v>
      </c>
      <c r="BG61" s="457">
        <f t="shared" si="11"/>
        <v>0</v>
      </c>
      <c r="BH61" s="457">
        <f t="shared" si="12"/>
        <v>0</v>
      </c>
      <c r="BI61" s="101" t="str">
        <f>IFERROR(IF(BH61=0,"",IF(VLOOKUP($A61,'Matriz de Referencia'!$B$2:$CO$584,'Matriz de Referencia'!AM$1,FALSE)=BH61,"Techos ok, cotinue","Debe revisar el valor programado")),"")</f>
        <v/>
      </c>
      <c r="BJ61" s="453">
        <f>IF(OR('Parte Estrategica'!AH61=0,'Parte Estrategica'!AH61=""),0,IF(VLOOKUP($A61,'Matriz de Referencia'!$B$2:$CO$584,39,FALSE)=0,0,"Digite"))</f>
        <v>0</v>
      </c>
      <c r="BK61" s="454">
        <f>IF(OR('Parte Estrategica'!AH61=0,'Parte Estrategica'!AH61=""),0,IF(VLOOKUP($A61,'Matriz de Referencia'!$B$2:$CO$584,40,FALSE)=0,0,"Digite"))</f>
        <v>0</v>
      </c>
      <c r="BL61" s="454">
        <f>IF(OR('Parte Estrategica'!AH61=0,'Parte Estrategica'!AH61=""),0,IF(VLOOKUP($A61,'Matriz de Referencia'!$B$2:$CO$584,41,FALSE)=0,0,"Digite"))</f>
        <v>0</v>
      </c>
      <c r="BM61" s="454">
        <f>IF(OR('Parte Estrategica'!AH61=0,'Parte Estrategica'!AH61=""),0,IF(VLOOKUP($A61,'Matriz de Referencia'!$B$2:$CO$584,42,FALSE)=0,0,"Digite"))</f>
        <v>0</v>
      </c>
      <c r="BN61" s="454">
        <f>IF(OR('Parte Estrategica'!AH61=0,'Parte Estrategica'!AH61=""),0,IF(VLOOKUP($A61,'Matriz de Referencia'!$B$2:$CO$584,43,FALSE)=0,0,"Digite"))</f>
        <v>0</v>
      </c>
      <c r="BO61" s="454">
        <f>IF(OR('Parte Estrategica'!AH61=0,'Parte Estrategica'!AH61=""),0,IF(VLOOKUP($A61,'Matriz de Referencia'!$B$2:$CO$584,44,FALSE)=0,0,"Digite"))</f>
        <v>0</v>
      </c>
      <c r="BP61" s="454">
        <f>IF(OR('Parte Estrategica'!AH61=0,'Parte Estrategica'!AH61=""),0,IF(VLOOKUP($A61,'Matriz de Referencia'!$B$2:$CO$584,45,FALSE)=0,0,"Digite"))</f>
        <v>0</v>
      </c>
      <c r="BQ61" s="454">
        <f>IF(OR('Parte Estrategica'!AH61=0,'Parte Estrategica'!AH61=""),0,IF(VLOOKUP($A61,'Matriz de Referencia'!$B$2:$CO$584,46,FALSE)=0,0,"Digite"))</f>
        <v>0</v>
      </c>
      <c r="BR61" s="382">
        <f t="shared" si="13"/>
        <v>0</v>
      </c>
      <c r="BS61" s="454">
        <f>IF(OR('Parte Estrategica'!CL61=0,'Parte Estrategica'!CL61=""),0,IF(VLOOKUP($A61,'Matriz de Referencia'!$B$2:$CO$584,48,FALSE)=0,0,"Digite"))</f>
        <v>0</v>
      </c>
      <c r="BT61" s="454">
        <f>IF(OR('Parte Estrategica'!CL61=0,'Parte Estrategica'!CL61=""),0,IF(VLOOKUP($A61,'Matriz de Referencia'!$B$2:$CO$584,49,FALSE)=0,0,"Digite"))</f>
        <v>0</v>
      </c>
      <c r="BU61" s="454">
        <f>IF(OR('Parte Estrategica'!CL61=0,'Parte Estrategica'!CL61=""),0,IF(VLOOKUP($A61,'Matriz de Referencia'!$B$2:$CO$584,50,FALSE)=0,0,"Digite"))</f>
        <v>0</v>
      </c>
      <c r="BV61" s="382">
        <f t="shared" si="14"/>
        <v>0</v>
      </c>
      <c r="BW61" s="382">
        <f t="shared" si="15"/>
        <v>0</v>
      </c>
      <c r="BX61" s="453">
        <f>IF(OR('Parte Estrategica'!AI61=0,'Parte Estrategica'!AI61=""),0,IF(VLOOKUP($A61,'Matriz de Referencia'!$B$2:$CO$584,39,FALSE)=0,0,"Digite"))</f>
        <v>0</v>
      </c>
      <c r="BY61" s="454">
        <f>IF(OR('Parte Estrategica'!AI61=0,'Parte Estrategica'!AI61=""),0,IF(VLOOKUP($A61,'Matriz de Referencia'!$B$2:$CO$584,40,FALSE)=0,0,"Digite"))</f>
        <v>0</v>
      </c>
      <c r="BZ61" s="454">
        <f>IF(OR('Parte Estrategica'!AI61=0,'Parte Estrategica'!AI61=""),0,IF(VLOOKUP($A61,'Matriz de Referencia'!$B$2:$CO$584,41,FALSE)=0,0,"Digite"))</f>
        <v>0</v>
      </c>
      <c r="CA61" s="454">
        <f>IF(OR('Parte Estrategica'!AI61=0,'Parte Estrategica'!AI61=""),0,IF(VLOOKUP($A61,'Matriz de Referencia'!$B$2:$CO$584,42,FALSE)=0,0,"Digite"))</f>
        <v>0</v>
      </c>
      <c r="CB61" s="454">
        <f>IF(OR('Parte Estrategica'!AI61=0,'Parte Estrategica'!AI61=""),0,IF(VLOOKUP($A61,'Matriz de Referencia'!$B$2:$CO$584,43,FALSE)=0,0,"Digite"))</f>
        <v>0</v>
      </c>
      <c r="CC61" s="454">
        <f>IF(OR('Parte Estrategica'!AI61=0,'Parte Estrategica'!AI61=""),0,IF(VLOOKUP($A61,'Matriz de Referencia'!$B$2:$CO$584,44,FALSE)=0,0,"Digite"))</f>
        <v>0</v>
      </c>
      <c r="CD61" s="454">
        <f>IF(OR('Parte Estrategica'!AI61=0,'Parte Estrategica'!AI61=""),0,IF(VLOOKUP($A61,'Matriz de Referencia'!$B$2:$CO$584,45,FALSE)=0,0,"Digite"))</f>
        <v>0</v>
      </c>
      <c r="CE61" s="454">
        <f>IF(OR('Parte Estrategica'!AI61=0,'Parte Estrategica'!AI61=""),0,IF(VLOOKUP($A61,'Matriz de Referencia'!$B$2:$CO$584,46,FALSE)=0,0,"Digite"))</f>
        <v>0</v>
      </c>
      <c r="CF61" s="382">
        <f t="shared" si="16"/>
        <v>0</v>
      </c>
      <c r="CG61" s="454">
        <f>IF(OR('Parte Estrategica'!AI61=0,'Parte Estrategica'!AI61=""),0,IF(VLOOKUP($A61,'Matriz de Referencia'!$B$2:$CO$584,48,FALSE)=0,0,"Digite"))</f>
        <v>0</v>
      </c>
      <c r="CH61" s="454">
        <f>IF(OR('Parte Estrategica'!AI61=0,'Parte Estrategica'!AI61=""),0,IF(VLOOKUP($A61,'Matriz de Referencia'!$B$2:$CO$584,49,FALSE)=0,0,"Digite"))</f>
        <v>0</v>
      </c>
      <c r="CI61" s="454">
        <f>IF(OR('Parte Estrategica'!AI61=0,'Parte Estrategica'!AI61=""),0,IF(VLOOKUP($A61,'Matriz de Referencia'!$B$2:$CO$584,50,FALSE)=0,0,"Digite"))</f>
        <v>0</v>
      </c>
      <c r="CJ61" s="382">
        <f t="shared" si="17"/>
        <v>0</v>
      </c>
      <c r="CK61" s="382">
        <f t="shared" si="18"/>
        <v>0</v>
      </c>
      <c r="CL61" s="453">
        <f>IF(OR('Parte Estrategica'!AJ61=0,'Parte Estrategica'!AJ61=""),0,IF(VLOOKUP($A61,'Matriz de Referencia'!$B$2:$CO$584,39,FALSE)=0,0,"Digite"))</f>
        <v>0</v>
      </c>
      <c r="CM61" s="454">
        <f>IF(OR('Parte Estrategica'!AJ61=0,'Parte Estrategica'!AJ61=""),0,IF(VLOOKUP($A61,'Matriz de Referencia'!$B$2:$CO$584,40,FALSE)=0,0,"Digite"))</f>
        <v>0</v>
      </c>
      <c r="CN61" s="454">
        <f>IF(OR('Parte Estrategica'!AJ61=0,'Parte Estrategica'!AJ61=""),0,IF(VLOOKUP($A61,'Matriz de Referencia'!$B$2:$CO$584,41,FALSE)=0,0,"Digite"))</f>
        <v>0</v>
      </c>
      <c r="CO61" s="454">
        <f>IF(OR('Parte Estrategica'!AJ61=0,'Parte Estrategica'!AJ61=""),0,IF(VLOOKUP($A61,'Matriz de Referencia'!$B$2:$CO$584,42,FALSE)=0,0,"Digite"))</f>
        <v>0</v>
      </c>
      <c r="CP61" s="454">
        <f>IF(OR('Parte Estrategica'!AJ61=0,'Parte Estrategica'!AJ61=""),0,IF(VLOOKUP($A61,'Matriz de Referencia'!$B$2:$CO$584,43,FALSE)=0,0,"Digite"))</f>
        <v>0</v>
      </c>
      <c r="CQ61" s="454">
        <f>IF(OR('Parte Estrategica'!AJ61=0,'Parte Estrategica'!AJ61=""),0,IF(VLOOKUP($A61,'Matriz de Referencia'!$B$2:$CO$584,44,FALSE)=0,0,"Digite"))</f>
        <v>0</v>
      </c>
      <c r="CR61" s="454">
        <f>IF(OR('Parte Estrategica'!AJ61=0,'Parte Estrategica'!AJ61=""),0,IF(VLOOKUP($A61,'Matriz de Referencia'!$B$2:$CO$584,45,FALSE)=0,0,"Digite"))</f>
        <v>0</v>
      </c>
      <c r="CS61" s="454">
        <f>IF(OR('Parte Estrategica'!AJ61=0,'Parte Estrategica'!AJ61=""),0,IF(VLOOKUP($A61,'Matriz de Referencia'!$B$2:$CO$584,46,FALSE)=0,0,"Digite"))</f>
        <v>0</v>
      </c>
      <c r="CT61" s="382">
        <f t="shared" si="19"/>
        <v>0</v>
      </c>
      <c r="CU61" s="454">
        <f>IF(OR('Parte Estrategica'!AJ61=0,'Parte Estrategica'!AJ61=""),0,IF(VLOOKUP($A61,'Matriz de Referencia'!$B$2:$CO$584,48,FALSE)=0,0,"Digite"))</f>
        <v>0</v>
      </c>
      <c r="CV61" s="454">
        <f>IF(OR('Parte Estrategica'!AJ61=0,'Parte Estrategica'!AJ61=""),0,IF(VLOOKUP($A61,'Matriz de Referencia'!$B$2:$CO$584,49,FALSE)=0,0,"Digite"))</f>
        <v>0</v>
      </c>
      <c r="CW61" s="454">
        <f>IF(OR('Parte Estrategica'!AJ61=0,'Parte Estrategica'!AJ61=""),0,IF(VLOOKUP($A61,'Matriz de Referencia'!$B$2:$CO$584,50,FALSE)=0,0,"Digite"))</f>
        <v>0</v>
      </c>
      <c r="CX61" s="382">
        <f t="shared" si="20"/>
        <v>0</v>
      </c>
      <c r="CY61" s="382">
        <f t="shared" si="21"/>
        <v>0</v>
      </c>
      <c r="CZ61" s="453">
        <f>IF(OR('Parte Estrategica'!AK61=0,'Parte Estrategica'!AK61=""),0,IF(VLOOKUP($A61,'Matriz de Referencia'!$B$2:$CO$584,39,FALSE)=0,0,"Digite"))</f>
        <v>0</v>
      </c>
      <c r="DA61" s="454">
        <f>IF(OR('Parte Estrategica'!AK61=0,'Parte Estrategica'!AK61=""),0,IF(VLOOKUP($A61,'Matriz de Referencia'!$B$2:$CO$584,40,FALSE)=0,0,"Digite"))</f>
        <v>0</v>
      </c>
      <c r="DB61" s="454">
        <f>IF(OR('Parte Estrategica'!AK61=0,'Parte Estrategica'!AK61=""),0,IF(VLOOKUP($A61,'Matriz de Referencia'!$B$2:$CO$584,41,FALSE)=0,0,"Digite"))</f>
        <v>0</v>
      </c>
      <c r="DC61" s="454">
        <f>IF(OR('Parte Estrategica'!AK61=0,'Parte Estrategica'!AK61=""),0,IF(VLOOKUP($A61,'Matriz de Referencia'!$B$2:$CO$584,42,FALSE)=0,0,"Digite"))</f>
        <v>0</v>
      </c>
      <c r="DD61" s="454">
        <f>IF(OR('Parte Estrategica'!AK61=0,'Parte Estrategica'!AK61=""),0,IF(VLOOKUP($A61,'Matriz de Referencia'!$B$2:$CO$584,43,FALSE)=0,0,"Digite"))</f>
        <v>0</v>
      </c>
      <c r="DE61" s="454">
        <f>IF(OR('Parte Estrategica'!AK61=0,'Parte Estrategica'!AK61=""),0,IF(VLOOKUP($A61,'Matriz de Referencia'!$B$2:$CO$584,44,FALSE)=0,0,"Digite"))</f>
        <v>0</v>
      </c>
      <c r="DF61" s="454">
        <f>IF(OR('Parte Estrategica'!AK61=0,'Parte Estrategica'!AK61=""),0,IF(VLOOKUP($A61,'Matriz de Referencia'!$B$2:$CO$584,45,FALSE)=0,0,"Digite"))</f>
        <v>0</v>
      </c>
      <c r="DG61" s="454">
        <f>IF(OR('Parte Estrategica'!AK61=0,'Parte Estrategica'!AK61=""),0,IF(VLOOKUP($A61,'Matriz de Referencia'!$B$2:$CO$584,46,FALSE)=0,0,"Digite"))</f>
        <v>0</v>
      </c>
      <c r="DH61" s="382">
        <f t="shared" si="22"/>
        <v>0</v>
      </c>
      <c r="DI61" s="454">
        <f>IF(OR('Parte Estrategica'!AK61=0,'Parte Estrategica'!AK61=""),0,IF(VLOOKUP($A61,'Matriz de Referencia'!$B$2:$CO$584,48,FALSE)=0,0,"Digite"))</f>
        <v>0</v>
      </c>
      <c r="DJ61" s="454">
        <f>IF(OR('Parte Estrategica'!AK61=0,'Parte Estrategica'!AK61=""),0,IF(VLOOKUP($A61,'Matriz de Referencia'!$B$2:$CO$584,49,FALSE)=0,0,"Digite"))</f>
        <v>0</v>
      </c>
      <c r="DK61" s="454">
        <f>IF(OR('Parte Estrategica'!AK61=0,'Parte Estrategica'!AK61=""),0,IF(VLOOKUP($A61,'Matriz de Referencia'!$B$2:$CO$584,50,FALSE)=0,0,"Digite"))</f>
        <v>0</v>
      </c>
      <c r="DL61" s="382">
        <f t="shared" si="23"/>
        <v>0</v>
      </c>
      <c r="DM61" s="382">
        <f t="shared" si="24"/>
        <v>0</v>
      </c>
      <c r="DN61" s="382">
        <f t="shared" si="25"/>
        <v>0</v>
      </c>
      <c r="DO61" s="101" t="str">
        <f>IFERROR(IF(DN61=0,"",IF(VLOOKUP($A61,'Matriz de Referencia'!$B$2:$CO$584,52,FALSE)=DN61,"Techos ok, cotinue","Debe revisar el valor programado")),"")</f>
        <v/>
      </c>
      <c r="DP61" s="453">
        <f>IF(OR('Parte Estrategica'!AN61=0,'Parte Estrategica'!AN61=""),0,IF(VLOOKUP($A61,'Matriz de Referencia'!$B$2:$CO$584,53,FALSE)=0,0,"Digite"))</f>
        <v>0</v>
      </c>
      <c r="DQ61" s="454">
        <f>IF(OR('Parte Estrategica'!AN61=0,'Parte Estrategica'!AN61=""),0,IF(VLOOKUP($A61,'Matriz de Referencia'!$B$2:$CO$584,54,FALSE)=0,0,"Digite"))</f>
        <v>0</v>
      </c>
      <c r="DR61" s="454">
        <f>IF(OR('Parte Estrategica'!AN61=0,'Parte Estrategica'!AN61=""),0,IF(VLOOKUP($A61,'Matriz de Referencia'!$B$2:$CO$584,55,FALSE)=0,0,"Digite"))</f>
        <v>0</v>
      </c>
      <c r="DS61" s="454">
        <f>IF(OR('Parte Estrategica'!AN61=0,'Parte Estrategica'!AN61=""),0,IF(VLOOKUP($A61,'Matriz de Referencia'!$B$2:$CO$584,56,FALSE)=0,0,"Digite"))</f>
        <v>0</v>
      </c>
      <c r="DT61" s="454">
        <f>IF(OR('Parte Estrategica'!AN61=0,'Parte Estrategica'!AN61=""),0,IF(VLOOKUP($A61,'Matriz de Referencia'!$B$2:$CO$584,57,FALSE)=0,0,"Digite"))</f>
        <v>0</v>
      </c>
      <c r="DU61" s="454">
        <f>IF(OR('Parte Estrategica'!AN61=0,'Parte Estrategica'!AN61=""),0,IF(VLOOKUP($A61,'Matriz de Referencia'!$B$2:$CO$584,58,FALSE)=0,0,"Digite"))</f>
        <v>0</v>
      </c>
      <c r="DV61" s="454">
        <f>IF(OR('Parte Estrategica'!AN61=0,'Parte Estrategica'!AN61=""),0,IF(VLOOKUP($A61,'Matriz de Referencia'!$B$2:$CO$584,59,FALSE)=0,0,"Digite"))</f>
        <v>0</v>
      </c>
      <c r="DW61" s="454">
        <f>IF(OR('Parte Estrategica'!AN61=0,'Parte Estrategica'!AN61=""),0,IF(VLOOKUP($A61,'Matriz de Referencia'!$B$2:$CO$584,60,FALSE)=0,0,"Digite"))</f>
        <v>0</v>
      </c>
      <c r="DX61" s="382">
        <f t="shared" si="26"/>
        <v>0</v>
      </c>
      <c r="DY61" s="454">
        <f>IF(OR('Parte Estrategica'!AN61=0,'Parte Estrategica'!AN61=""),0,IF(VLOOKUP($A61,'Matriz de Referencia'!$B$2:$CO$584,62,FALSE)=0,0,"Digite"))</f>
        <v>0</v>
      </c>
      <c r="DZ61" s="454">
        <f>IF(OR('Parte Estrategica'!AN61=0,'Parte Estrategica'!AN61=""),0,IF(VLOOKUP($A61,'Matriz de Referencia'!$B$2:$CO$584,63,FALSE)=0,0,"Digite"))</f>
        <v>0</v>
      </c>
      <c r="EA61" s="454" t="str">
        <f>IF(OR('Parte Estrategica'!AN61=0,'Parte Estrategica'!AN61=""),"",IF(VLOOKUP($A61,'Matriz de Referencia'!$B$2:$CO$584,64,FALSE)=0,"","Digite"))</f>
        <v/>
      </c>
      <c r="EB61" s="382">
        <f t="shared" si="27"/>
        <v>0</v>
      </c>
      <c r="EC61" s="382">
        <f t="shared" si="28"/>
        <v>0</v>
      </c>
      <c r="ED61" s="453">
        <f>IF(OR('Parte Estrategica'!AO61=0,'Parte Estrategica'!AO61=""),0,IF(VLOOKUP($A61,'Matriz de Referencia'!$B$2:$CO$584,53,FALSE)=0,0,"Digite"))</f>
        <v>0</v>
      </c>
      <c r="EE61" s="454">
        <f>IF(OR('Parte Estrategica'!AO61=0,'Parte Estrategica'!AO61=""),0,IF(VLOOKUP($A61,'Matriz de Referencia'!$B$2:$CO$584,54,FALSE)=0,0,"Digite"))</f>
        <v>0</v>
      </c>
      <c r="EF61" s="454">
        <f>IF(OR('Parte Estrategica'!AO61=0,'Parte Estrategica'!AO61=""),0,IF(VLOOKUP($A61,'Matriz de Referencia'!$B$2:$CO$584,55,FALSE)=0,0,"Digite"))</f>
        <v>0</v>
      </c>
      <c r="EG61" s="454">
        <f>IF(OR('Parte Estrategica'!AO61=0,'Parte Estrategica'!AO61=""),0,IF(VLOOKUP($A61,'Matriz de Referencia'!$B$2:$CO$584,56,FALSE)=0,0,"Digite"))</f>
        <v>0</v>
      </c>
      <c r="EH61" s="454">
        <f>IF(OR('Parte Estrategica'!AO61=0,'Parte Estrategica'!AO61=""),0,IF(VLOOKUP($A61,'Matriz de Referencia'!$B$2:$CO$584,57,FALSE)=0,0,"Digite"))</f>
        <v>0</v>
      </c>
      <c r="EI61" s="454">
        <f>IF(OR('Parte Estrategica'!AO61=0,'Parte Estrategica'!AO61=""),0,IF(VLOOKUP($A61,'Matriz de Referencia'!$B$2:$CO$584,58,FALSE)=0,0,"Digite"))</f>
        <v>0</v>
      </c>
      <c r="EJ61" s="454">
        <f>IF(OR('Parte Estrategica'!AO61=0,'Parte Estrategica'!AO61=""),0,IF(VLOOKUP($A61,'Matriz de Referencia'!$B$2:$CO$584,59,FALSE)=0,0,"Digite"))</f>
        <v>0</v>
      </c>
      <c r="EK61" s="454">
        <f>IF(OR('Parte Estrategica'!AO61=0,'Parte Estrategica'!AO61=""),0,IF(VLOOKUP($A61,'Matriz de Referencia'!$B$2:$CO$584,60,FALSE)=0,0,"Digite"))</f>
        <v>0</v>
      </c>
      <c r="EL61" s="382">
        <f t="shared" si="29"/>
        <v>0</v>
      </c>
      <c r="EM61" s="454">
        <f>IF(OR('Parte Estrategica'!AO61=0,'Parte Estrategica'!AO61=""),0,IF(VLOOKUP($A61,'Matriz de Referencia'!$B$2:$CO$584,62,FALSE)=0,0,"Digite"))</f>
        <v>0</v>
      </c>
      <c r="EN61" s="454">
        <f>IF(OR('Parte Estrategica'!AO61=0,'Parte Estrategica'!AO61=""),0,IF(VLOOKUP($A61,'Matriz de Referencia'!$B$2:$CO$584,63,FALSE)=0,0,"Digite"))</f>
        <v>0</v>
      </c>
      <c r="EO61" s="454">
        <f>IF(OR('Parte Estrategica'!AO61=0,'Parte Estrategica'!AO61=""),0,IF(VLOOKUP($A61,'Matriz de Referencia'!$B$2:$CO$584,64,FALSE)=0,0,"Digite"))</f>
        <v>0</v>
      </c>
      <c r="EP61" s="382">
        <f t="shared" si="30"/>
        <v>0</v>
      </c>
      <c r="EQ61" s="382">
        <f t="shared" si="31"/>
        <v>0</v>
      </c>
      <c r="ER61" s="453">
        <f>IF(OR('Parte Estrategica'!AP61=0,'Parte Estrategica'!AP61=""),0,IF(VLOOKUP($A61,'Matriz de Referencia'!$B$2:$CO$584,53,FALSE)=0,0,"Digite"))</f>
        <v>0</v>
      </c>
      <c r="ES61" s="454">
        <f>IF(OR('Parte Estrategica'!AP61=0,'Parte Estrategica'!AP61=""),0,IF(VLOOKUP($A61,'Matriz de Referencia'!$B$2:$CO$584,54,FALSE)=0,0,"Digite"))</f>
        <v>0</v>
      </c>
      <c r="ET61" s="454">
        <f>IF(OR('Parte Estrategica'!AP61=0,'Parte Estrategica'!AP61=""),0,IF(VLOOKUP($A61,'Matriz de Referencia'!$B$2:$CO$584,55,FALSE)=0,0,"Digite"))</f>
        <v>0</v>
      </c>
      <c r="EU61" s="454">
        <f>IF(OR('Parte Estrategica'!AP61=0,'Parte Estrategica'!AP61=""),0,IF(VLOOKUP($A61,'Matriz de Referencia'!$B$2:$CO$584,56,FALSE)=0,0,"Digite"))</f>
        <v>0</v>
      </c>
      <c r="EV61" s="454">
        <f>IF(OR('Parte Estrategica'!AP61=0,'Parte Estrategica'!AP61=""),0,IF(VLOOKUP($A61,'Matriz de Referencia'!$B$2:$CO$584,57,FALSE)=0,0,"Digite"))</f>
        <v>0</v>
      </c>
      <c r="EW61" s="454">
        <f>IF(OR('Parte Estrategica'!AP61=0,'Parte Estrategica'!AP61=""),0,IF(VLOOKUP($A61,'Matriz de Referencia'!$B$2:$CO$584,58,FALSE)=0,0,"Digite"))</f>
        <v>0</v>
      </c>
      <c r="EX61" s="454">
        <f>IF(OR('Parte Estrategica'!AP61=0,'Parte Estrategica'!AP61=""),0,IF(VLOOKUP($A61,'Matriz de Referencia'!$B$2:$CO$584,59,FALSE)=0,0,"Digite"))</f>
        <v>0</v>
      </c>
      <c r="EY61" s="454">
        <f>IF(OR('Parte Estrategica'!AP61=0,'Parte Estrategica'!AP61=""),0,IF(VLOOKUP($A61,'Matriz de Referencia'!$B$2:$CO$584,60,FALSE)=0,0,"Digite"))</f>
        <v>0</v>
      </c>
      <c r="EZ61" s="382">
        <f t="shared" si="32"/>
        <v>0</v>
      </c>
      <c r="FA61" s="454">
        <f>IF(OR('Parte Estrategica'!AP61=0,'Parte Estrategica'!AP61=""),0,IF(VLOOKUP($A61,'Matriz de Referencia'!$B$2:$CO$584,62,FALSE)=0,0,"Digite"))</f>
        <v>0</v>
      </c>
      <c r="FB61" s="454">
        <f>IF(OR('Parte Estrategica'!AP61=0,'Parte Estrategica'!AP61=""),0,IF(VLOOKUP($A61,'Matriz de Referencia'!$B$2:$CO$584,63,FALSE)=0,0,"Digite"))</f>
        <v>0</v>
      </c>
      <c r="FC61" s="454">
        <f>IF(OR('Parte Estrategica'!AP61=0,'Parte Estrategica'!AP61=""),0,IF(VLOOKUP($A61,'Matriz de Referencia'!$B$2:$CO$584,64,FALSE)=0,0,"Digite"))</f>
        <v>0</v>
      </c>
      <c r="FD61" s="382">
        <f t="shared" si="33"/>
        <v>0</v>
      </c>
      <c r="FE61" s="382">
        <f t="shared" si="34"/>
        <v>0</v>
      </c>
      <c r="FF61" s="453">
        <f>IF(OR('Parte Estrategica'!AQ61=0,'Parte Estrategica'!AQ61=""),0,IF(VLOOKUP($A61,'Matriz de Referencia'!$B$2:$CO$584,53,FALSE)=0,0,"Digite"))</f>
        <v>0</v>
      </c>
      <c r="FG61" s="454">
        <f>IF(OR('Parte Estrategica'!AQ61=0,'Parte Estrategica'!AQ61=""),0,IF(VLOOKUP($A61,'Matriz de Referencia'!$B$2:$CO$584,54,FALSE)=0,0,"Digite"))</f>
        <v>0</v>
      </c>
      <c r="FH61" s="454">
        <f>IF(OR('Parte Estrategica'!AQ61=0,'Parte Estrategica'!AQ61=""),0,IF(VLOOKUP($A61,'Matriz de Referencia'!$B$2:$CO$584,55,FALSE)=0,0,"Digite"))</f>
        <v>0</v>
      </c>
      <c r="FI61" s="454">
        <f>IF(OR('Parte Estrategica'!AQ61=0,'Parte Estrategica'!AQ61=""),0,IF(VLOOKUP($A61,'Matriz de Referencia'!$B$2:$CO$584,56,FALSE)=0,0,"Digite"))</f>
        <v>0</v>
      </c>
      <c r="FJ61" s="454">
        <f>IF(OR('Parte Estrategica'!AQ61=0,'Parte Estrategica'!AQ61=""),0,IF(VLOOKUP($A61,'Matriz de Referencia'!$B$2:$CO$584,57,FALSE)=0,0,"Digite"))</f>
        <v>0</v>
      </c>
      <c r="FK61" s="454">
        <f>IF(OR('Parte Estrategica'!AQ61=0,'Parte Estrategica'!AQ61=""),0,IF(VLOOKUP($A61,'Matriz de Referencia'!$B$2:$CO$584,58,FALSE)=0,0,"Digite"))</f>
        <v>0</v>
      </c>
      <c r="FL61" s="454">
        <f>IF(OR('Parte Estrategica'!AQ61=0,'Parte Estrategica'!AQ61=""),0,IF(VLOOKUP($A61,'Matriz de Referencia'!$B$2:$CO$584,59,FALSE)=0,0,"Digite"))</f>
        <v>0</v>
      </c>
      <c r="FM61" s="454">
        <f>IF(OR('Parte Estrategica'!AQ61=0,'Parte Estrategica'!AQ61=""),0,IF(VLOOKUP($A61,'Matriz de Referencia'!$B$2:$CO$584,60,FALSE)=0,0,"Digite"))</f>
        <v>0</v>
      </c>
      <c r="FN61" s="382">
        <f t="shared" si="35"/>
        <v>0</v>
      </c>
      <c r="FO61" s="454">
        <f>IF(OR('Parte Estrategica'!AQ61=0,'Parte Estrategica'!AQ61=""),0,IF(VLOOKUP($A61,'Matriz de Referencia'!$B$2:$CO$584,62,FALSE)=0,0,"Digite"))</f>
        <v>0</v>
      </c>
      <c r="FP61" s="454">
        <f>IF(OR('Parte Estrategica'!AQ61=0,'Parte Estrategica'!AQ61=""),0,IF(VLOOKUP($A61,'Matriz de Referencia'!$B$2:$CO$584,63,FALSE)=0,0,"Digite"))</f>
        <v>0</v>
      </c>
      <c r="FQ61" s="454">
        <f>IF(OR('Parte Estrategica'!AQ61=0,'Parte Estrategica'!AQ61=""),0,IF(VLOOKUP($A61,'Matriz de Referencia'!$B$2:$CO$584,64,FALSE)=0,0,"Digite"))</f>
        <v>0</v>
      </c>
      <c r="FR61" s="382">
        <f t="shared" si="36"/>
        <v>0</v>
      </c>
      <c r="FS61" s="382">
        <f t="shared" si="37"/>
        <v>0</v>
      </c>
      <c r="FT61" s="382">
        <f t="shared" si="38"/>
        <v>0</v>
      </c>
      <c r="FU61" s="101" t="str">
        <f>IFERROR(IF(FT61=0,"",IF(VLOOKUP($A61,'Matriz de Referencia'!$B$2:$CO$584,66,FALSE)=FT61,"Techos ok, cotinue","Debe revisar el valor programado")),"")</f>
        <v/>
      </c>
      <c r="FV61" s="453">
        <f>IF(OR('Parte Estrategica'!AT61=0,'Parte Estrategica'!AT61=""),0,IF(VLOOKUP($A61,'Matriz de Referencia'!$B$2:$CO$584,67,FALSE)=0,0,"Digite"))</f>
        <v>0</v>
      </c>
      <c r="FW61" s="454">
        <f>IF(OR('Parte Estrategica'!AT61=0,'Parte Estrategica'!AT61=""),0,IF(VLOOKUP($A61,'Matriz de Referencia'!$B$2:$CO$584,68,FALSE)=0,0,"Digite"))</f>
        <v>0</v>
      </c>
      <c r="FX61" s="454">
        <f>IF(OR('Parte Estrategica'!AT61=0,'Parte Estrategica'!AT61=""),0,IF(VLOOKUP($A61,'Matriz de Referencia'!$B$2:$CO$584,69,FALSE)=0,0,"Digite"))</f>
        <v>0</v>
      </c>
      <c r="FY61" s="454">
        <f>IF(OR('Parte Estrategica'!AT61=0,'Parte Estrategica'!AT61=""),0,IF(VLOOKUP($A61,'Matriz de Referencia'!$B$2:$CO$584,70,FALSE)=0,0,"Digite"))</f>
        <v>0</v>
      </c>
      <c r="FZ61" s="454">
        <f>IF(OR('Parte Estrategica'!AT61=0,'Parte Estrategica'!AT61=""),0,IF(VLOOKUP($A61,'Matriz de Referencia'!$B$2:$CO$584,71,FALSE)=0,0,"Digite"))</f>
        <v>0</v>
      </c>
      <c r="GA61" s="454">
        <f>IF(OR('Parte Estrategica'!AT61=0,'Parte Estrategica'!AT61=""),0,IF(VLOOKUP($A61,'Matriz de Referencia'!$B$2:$CO$584,72,FALSE)=0,0,"Digite"))</f>
        <v>0</v>
      </c>
      <c r="GB61" s="454">
        <f>IF(OR('Parte Estrategica'!AT61=0,'Parte Estrategica'!AT61=""),0,IF(VLOOKUP($A61,'Matriz de Referencia'!$B$2:$CO$584,73,FALSE)=0,0,"Digite"))</f>
        <v>0</v>
      </c>
      <c r="GC61" s="454">
        <f>IF(OR('Parte Estrategica'!AT61=0,'Parte Estrategica'!AT61=""),0,IF(VLOOKUP($A61,'Matriz de Referencia'!$B$2:$CO$584,74,FALSE)=0,0,"Digite"))</f>
        <v>0</v>
      </c>
      <c r="GD61" s="382">
        <f t="shared" si="39"/>
        <v>0</v>
      </c>
      <c r="GE61" s="454">
        <f>IF(OR('Parte Estrategica'!AT61=0,'Parte Estrategica'!AT61=""),0,IF(VLOOKUP($A61,'Matriz de Referencia'!$B$2:$CO$584,76,FALSE)=0,0,"Digite"))</f>
        <v>0</v>
      </c>
      <c r="GF61" s="454">
        <f>IF(OR('Parte Estrategica'!AT61=0,'Parte Estrategica'!AT61=""),0,IF(VLOOKUP($A61,'Matriz de Referencia'!$B$2:$CO$584,77,FALSE)=0,0,"Digite"))</f>
        <v>0</v>
      </c>
      <c r="GG61" s="454">
        <f>IF(OR('Parte Estrategica'!AT61=0,'Parte Estrategica'!AT61=""),0,IF(VLOOKUP($A61,'Matriz de Referencia'!$B$2:$CO$584,78,FALSE)=0,0,"Digite"))</f>
        <v>0</v>
      </c>
      <c r="GH61" s="382">
        <f t="shared" si="40"/>
        <v>0</v>
      </c>
      <c r="GI61" s="382">
        <f t="shared" si="41"/>
        <v>0</v>
      </c>
      <c r="GJ61" s="453">
        <f>IF(OR('Parte Estrategica'!AU61=0,'Parte Estrategica'!AU61=""),0,IF(VLOOKUP($A61,'Matriz de Referencia'!$B$2:$CO$584,67,FALSE)=0,0,"Digite"))</f>
        <v>0</v>
      </c>
      <c r="GK61" s="454">
        <f>IF(OR('Parte Estrategica'!AU61=0,'Parte Estrategica'!AU61=""),0,IF(VLOOKUP($A61,'Matriz de Referencia'!$B$2:$CO$584,68,FALSE)=0,0,"Digite"))</f>
        <v>0</v>
      </c>
      <c r="GL61" s="454">
        <f>IF(OR('Parte Estrategica'!AU61=0,'Parte Estrategica'!AU61=""),0,IF(VLOOKUP($A61,'Matriz de Referencia'!$B$2:$CO$584,69,FALSE)=0,0,"Digite"))</f>
        <v>0</v>
      </c>
      <c r="GM61" s="454">
        <f>IF(OR('Parte Estrategica'!AU61=0,'Parte Estrategica'!AU61=""),0,IF(VLOOKUP($A61,'Matriz de Referencia'!$B$2:$CO$584,70,FALSE)=0,0,"Digite"))</f>
        <v>0</v>
      </c>
      <c r="GN61" s="454">
        <f>IF(OR('Parte Estrategica'!AU61=0,'Parte Estrategica'!AU61=""),0,IF(VLOOKUP($A61,'Matriz de Referencia'!$B$2:$CO$584,71,FALSE)=0,0,"Digite"))</f>
        <v>0</v>
      </c>
      <c r="GO61" s="454">
        <f>IF(OR('Parte Estrategica'!AU61=0,'Parte Estrategica'!AU61=""),0,IF(VLOOKUP($A61,'Matriz de Referencia'!$B$2:$CO$584,72,FALSE)=0,0,"Digite"))</f>
        <v>0</v>
      </c>
      <c r="GP61" s="454">
        <f>IF(OR('Parte Estrategica'!AU61=0,'Parte Estrategica'!AU61=""),0,IF(VLOOKUP($A61,'Matriz de Referencia'!$B$2:$CO$584,73,FALSE)=0,0,"Digite"))</f>
        <v>0</v>
      </c>
      <c r="GQ61" s="454">
        <f>IF(OR('Parte Estrategica'!AU61=0,'Parte Estrategica'!AU61=""),0,IF(VLOOKUP($A61,'Matriz de Referencia'!$B$2:$CO$584,74,FALSE)=0,0,"Digite"))</f>
        <v>0</v>
      </c>
      <c r="GR61" s="382">
        <f t="shared" si="42"/>
        <v>0</v>
      </c>
      <c r="GS61" s="454">
        <f>IF(OR('Parte Estrategica'!AU61=0,'Parte Estrategica'!AU61=""),0,IF(VLOOKUP($A61,'Matriz de Referencia'!$B$2:$CO$584,76,FALSE)=0,0,"Digite"))</f>
        <v>0</v>
      </c>
      <c r="GT61" s="454">
        <f>IF(OR('Parte Estrategica'!AU61=0,'Parte Estrategica'!AU61=""),0,IF(VLOOKUP($A61,'Matriz de Referencia'!$B$2:$CO$584,77,FALSE)=0,0,"Digite"))</f>
        <v>0</v>
      </c>
      <c r="GU61" s="454">
        <f>IF(OR('Parte Estrategica'!AU61=0,'Parte Estrategica'!AU61=""),0,IF(VLOOKUP($A61,'Matriz de Referencia'!$B$2:$CO$584,78,FALSE)=0,0,"Digite"))</f>
        <v>0</v>
      </c>
      <c r="GV61" s="382">
        <f t="shared" si="43"/>
        <v>0</v>
      </c>
      <c r="GW61" s="382">
        <f t="shared" si="44"/>
        <v>0</v>
      </c>
      <c r="GX61" s="453">
        <f>IF(OR('Parte Estrategica'!AV61=0,'Parte Estrategica'!AV61=""),0,IF(VLOOKUP($A61,'Matriz de Referencia'!$B$2:$CO$584,67,FALSE)=0,0,"Digite"))</f>
        <v>0</v>
      </c>
      <c r="GY61" s="454">
        <f>IF(OR('Parte Estrategica'!AV61=0,'Parte Estrategica'!AV61=""),0,IF(VLOOKUP($A61,'Matriz de Referencia'!$B$2:$CO$584,68,FALSE)=0,0,"Digite"))</f>
        <v>0</v>
      </c>
      <c r="GZ61" s="454">
        <f>IF(OR('Parte Estrategica'!AV61=0,'Parte Estrategica'!AV61=""),0,IF(VLOOKUP($A61,'Matriz de Referencia'!$B$2:$CO$584,69,FALSE)=0,0,"Digite"))</f>
        <v>0</v>
      </c>
      <c r="HA61" s="454">
        <f>IF(OR('Parte Estrategica'!AV61=0,'Parte Estrategica'!AV61=""),0,IF(VLOOKUP($A61,'Matriz de Referencia'!$B$2:$CO$584,70,FALSE)=0,0,"Digite"))</f>
        <v>0</v>
      </c>
      <c r="HB61" s="454">
        <f>IF(OR('Parte Estrategica'!AV61=0,'Parte Estrategica'!AV61=""),0,IF(VLOOKUP($A61,'Matriz de Referencia'!$B$2:$CO$584,71,FALSE)=0,0,"Digite"))</f>
        <v>0</v>
      </c>
      <c r="HC61" s="454">
        <f>IF(OR('Parte Estrategica'!AV61=0,'Parte Estrategica'!AV61=""),0,IF(VLOOKUP($A61,'Matriz de Referencia'!$B$2:$CO$584,72,FALSE)=0,0,"Digite"))</f>
        <v>0</v>
      </c>
      <c r="HD61" s="454">
        <f>IF(OR('Parte Estrategica'!AV61=0,'Parte Estrategica'!AV61=""),0,IF(VLOOKUP($A61,'Matriz de Referencia'!$B$2:$CO$584,73,FALSE)=0,0,"Digite"))</f>
        <v>0</v>
      </c>
      <c r="HE61" s="454">
        <f>IF(OR('Parte Estrategica'!AV61=0,'Parte Estrategica'!AV61=""),0,IF(VLOOKUP($A61,'Matriz de Referencia'!$B$2:$CO$584,74,FALSE)=0,0,"Digite"))</f>
        <v>0</v>
      </c>
      <c r="HF61" s="382">
        <f t="shared" si="45"/>
        <v>0</v>
      </c>
      <c r="HG61" s="454">
        <f>IF(OR('Parte Estrategica'!AV61=0,'Parte Estrategica'!AV61=""),0,IF(VLOOKUP($A61,'Matriz de Referencia'!$B$2:$CO$584,76,FALSE)=0,0,"Digite"))</f>
        <v>0</v>
      </c>
      <c r="HH61" s="454">
        <f>IF(OR('Parte Estrategica'!AV61=0,'Parte Estrategica'!AV61=""),0,IF(VLOOKUP($A61,'Matriz de Referencia'!$B$2:$CO$584,77,FALSE)=0,0,"Digite"))</f>
        <v>0</v>
      </c>
      <c r="HI61" s="454">
        <f>IF(OR('Parte Estrategica'!AV61=0,'Parte Estrategica'!AV61=""),0,IF(VLOOKUP($A61,'Matriz de Referencia'!$B$2:$CO$584,78,FALSE)=0,0,"Digite"))</f>
        <v>0</v>
      </c>
      <c r="HJ61" s="382">
        <f t="shared" si="46"/>
        <v>0</v>
      </c>
      <c r="HK61" s="382">
        <f t="shared" si="47"/>
        <v>0</v>
      </c>
      <c r="HL61" s="453">
        <f>IF(OR('Parte Estrategica'!AW61=0,'Parte Estrategica'!AW61=""),0,IF(VLOOKUP($A61,'Matriz de Referencia'!$B$2:$CO$584,67,FALSE)=0,0,"Digite"))</f>
        <v>0</v>
      </c>
      <c r="HM61" s="454">
        <f>IF(OR('Parte Estrategica'!AW61=0,'Parte Estrategica'!AW61=""),0,IF(VLOOKUP($A61,'Matriz de Referencia'!$B$2:$CO$584,68,FALSE)=0,0,"Digite"))</f>
        <v>0</v>
      </c>
      <c r="HN61" s="454">
        <f>IF(OR('Parte Estrategica'!AW61=0,'Parte Estrategica'!AW61=""),0,IF(VLOOKUP($A61,'Matriz de Referencia'!$B$2:$CO$584,69,FALSE)=0,0,"Digite"))</f>
        <v>0</v>
      </c>
      <c r="HO61" s="454">
        <f>IF(OR('Parte Estrategica'!AW61=0,'Parte Estrategica'!AW61=""),0,IF(VLOOKUP($A61,'Matriz de Referencia'!$B$2:$CO$584,70,FALSE)=0,0,"Digite"))</f>
        <v>0</v>
      </c>
      <c r="HP61" s="454">
        <f>IF(OR('Parte Estrategica'!AW61=0,'Parte Estrategica'!AW61=""),0,IF(VLOOKUP($A61,'Matriz de Referencia'!$B$2:$CO$584,71,FALSE)=0,0,"Digite"))</f>
        <v>0</v>
      </c>
      <c r="HQ61" s="454">
        <f>IF(OR('Parte Estrategica'!AW61=0,'Parte Estrategica'!AW61=""),0,IF(VLOOKUP($A61,'Matriz de Referencia'!$B$2:$CO$584,72,FALSE)=0,0,"Digite"))</f>
        <v>0</v>
      </c>
      <c r="HR61" s="454">
        <f>IF(OR('Parte Estrategica'!AW61=0,'Parte Estrategica'!AW61=""),0,IF(VLOOKUP($A61,'Matriz de Referencia'!$B$2:$CO$584,73,FALSE)=0,0,"Digite"))</f>
        <v>0</v>
      </c>
      <c r="HS61" s="454">
        <f>IF(OR('Parte Estrategica'!AW61=0,'Parte Estrategica'!AW61=""),0,IF(VLOOKUP($A61,'Matriz de Referencia'!$B$2:$CO$584,74,FALSE)=0,0,"Digite"))</f>
        <v>0</v>
      </c>
      <c r="HT61" s="382">
        <f t="shared" si="48"/>
        <v>0</v>
      </c>
      <c r="HU61" s="454">
        <f>IF(OR('Parte Estrategica'!AW61=0,'Parte Estrategica'!AW61=""),0,IF(VLOOKUP($A61,'Matriz de Referencia'!$B$2:$CO$584,76,FALSE)=0,0,"Digite"))</f>
        <v>0</v>
      </c>
      <c r="HV61" s="454">
        <f>IF(OR('Parte Estrategica'!AW61=0,'Parte Estrategica'!AW61=""),0,IF(VLOOKUP($A61,'Matriz de Referencia'!$B$2:$CO$584,77,FALSE)=0,0,"Digite"))</f>
        <v>0</v>
      </c>
      <c r="HW61" s="454">
        <f>IF(OR('Parte Estrategica'!AW61=0,'Parte Estrategica'!AW61=""),0,IF(VLOOKUP($A61,'Matriz de Referencia'!$B$2:$CO$584,78,FALSE)=0,0,"Digite"))</f>
        <v>0</v>
      </c>
      <c r="HX61" s="382">
        <f t="shared" si="49"/>
        <v>0</v>
      </c>
      <c r="HY61" s="382">
        <f t="shared" si="50"/>
        <v>0</v>
      </c>
      <c r="HZ61" s="382">
        <f t="shared" si="51"/>
        <v>0</v>
      </c>
      <c r="IA61" s="101" t="str">
        <f>IFERROR(IF(HZ61=0,"",IF(VLOOKUP($A61,'Matriz de Referencia'!$B$2:$CO$584,80,FALSE)=HZ61,"Techos ok, cotinue","Debe revisar el valor programado")),"")</f>
        <v/>
      </c>
      <c r="IB61" s="383">
        <f t="shared" si="52"/>
        <v>0</v>
      </c>
    </row>
    <row r="62" spans="1:236">
      <c r="A62" s="550" t="str">
        <f>IF('Parte Estrategica'!B62=0,"",'Parte Estrategica'!B62)</f>
        <v/>
      </c>
      <c r="B62" s="551" t="str">
        <f>IFERROR(VLOOKUP(A62,'Matriz de Referencia'!$B$2:$P$578,'Matriz de Referencia'!L$1,FALSE),"")</f>
        <v/>
      </c>
      <c r="C62" s="551" t="str">
        <f>IFERROR(VLOOKUP(A62,'Matriz de Referencia'!$B$2:$P$584,'Matriz de Referencia'!M$1,FALSE),"")</f>
        <v/>
      </c>
      <c r="D62" s="455" t="str">
        <f>IF(OR('Parte Estrategica'!AB62=0,'Parte Estrategica'!AB62=""),"",IF(VLOOKUP($A62,'Matriz de Referencia'!$B$2:$CO$584,'Matriz de Referencia'!Z$1,FALSE)=0,"","Digite"))</f>
        <v/>
      </c>
      <c r="E62" s="456">
        <f>IF(OR('Parte Estrategica'!AB62=0,'Parte Estrategica'!AB62=""),0,IF(VLOOKUP($A62,'Matriz de Referencia'!$B$2:$CO$584,26,FALSE)=0,0,"Digite"))</f>
        <v>0</v>
      </c>
      <c r="F62" s="456">
        <f>IF(OR('Parte Estrategica'!AB62=0,'Parte Estrategica'!AB62=""),0,IF(VLOOKUP($A62,'Matriz de Referencia'!$B$2:$CO$584,27,FALSE)=0,0,"Digite"))</f>
        <v>0</v>
      </c>
      <c r="G62" s="456">
        <f>IF(OR('Parte Estrategica'!AB62=0,'Parte Estrategica'!AB62=""),0,IF(VLOOKUP($A62,'Matriz de Referencia'!$B$2:$CO$584,28,FALSE)=0,0,"Digite"))</f>
        <v>0</v>
      </c>
      <c r="H62" s="456">
        <f>IF(OR('Parte Estrategica'!AB62=0,'Parte Estrategica'!AB62=""),0,IF(VLOOKUP($A62,'Matriz de Referencia'!$B$2:$CO$584,29,FALSE)=0,0,"Digite"))</f>
        <v>0</v>
      </c>
      <c r="I62" s="456">
        <f>IF(OR('Parte Estrategica'!AB62=0,'Parte Estrategica'!AB62=""),0,IF(VLOOKUP($A62,'Matriz de Referencia'!$B$2:$CO$584,30,FALSE)=0,0,"Digite"))</f>
        <v>0</v>
      </c>
      <c r="J62" s="456">
        <f>IF(OR('Parte Estrategica'!AB62=0,'Parte Estrategica'!AB62=""),0,IF(VLOOKUP($A62,'Matriz de Referencia'!$B$2:$CO$584,31,FALSE)=0,0,"Digite"))</f>
        <v>0</v>
      </c>
      <c r="K62" s="456">
        <f>IF(OR('Parte Estrategica'!AB62=0,'Parte Estrategica'!AB62=""),0,IF(VLOOKUP($A62,'Matriz de Referencia'!$B$2:$CO$584,32,FALSE)=0,0,"Digite"))</f>
        <v>0</v>
      </c>
      <c r="L62" s="460">
        <f t="shared" si="0"/>
        <v>0</v>
      </c>
      <c r="M62" s="456">
        <f>IF(OR('Parte Estrategica'!AB62=0,'Parte Estrategica'!AB62=""),0,IF(VLOOKUP($A62,'Matriz de Referencia'!$B$2:$CO$584,34,FALSE)=0,0,"Digite"))</f>
        <v>0</v>
      </c>
      <c r="N62" s="456">
        <f>IF(OR('Parte Estrategica'!AB62=0,'Parte Estrategica'!AB62=""),0,IF(VLOOKUP($A62,'Matriz de Referencia'!$B$2:$CO$584,35,FALSE)=0,0,"Digite"))</f>
        <v>0</v>
      </c>
      <c r="O62" s="456">
        <f>IF(OR('Parte Estrategica'!AB62=0,'Parte Estrategica'!AB62=""),0,IF(VLOOKUP($A62,'Matriz de Referencia'!$B$2:$CO$584,36,FALSE)=0,0,"Digite"))</f>
        <v>0</v>
      </c>
      <c r="P62" s="457">
        <f t="shared" si="1"/>
        <v>0</v>
      </c>
      <c r="Q62" s="457">
        <f t="shared" si="2"/>
        <v>0</v>
      </c>
      <c r="R62" s="455">
        <f>IF(OR('Parte Estrategica'!AC62=0,'Parte Estrategica'!AC62=""),0,IF(VLOOKUP($A62,'Matriz de Referencia'!$B$2:$CO$584,25,FALSE)=0,0,"Digite"))</f>
        <v>0</v>
      </c>
      <c r="S62" s="456">
        <f>IF(OR('Parte Estrategica'!AC62=0,'Parte Estrategica'!AC62=""),0,IF(VLOOKUP($A62,'Matriz de Referencia'!$B$2:$CO$584,26,FALSE)=0,0,"Digite"))</f>
        <v>0</v>
      </c>
      <c r="T62" s="456">
        <f>IF(OR('Parte Estrategica'!AC62=0,'Parte Estrategica'!AC62=""),0,IF(VLOOKUP($A62,'Matriz de Referencia'!$B$2:$CO$584,27,FALSE)=0,0,"Digite"))</f>
        <v>0</v>
      </c>
      <c r="U62" s="456">
        <f>IF(OR('Parte Estrategica'!AC62=0,'Parte Estrategica'!AC62=""),0,IF(VLOOKUP($A62,'Matriz de Referencia'!$B$2:$CO$584,28,FALSE)=0,0,"Digite"))</f>
        <v>0</v>
      </c>
      <c r="V62" s="456">
        <f>IF(OR('Parte Estrategica'!AC62=0,'Parte Estrategica'!AC62=""),0,IF(VLOOKUP($A62,'Matriz de Referencia'!$B$2:$CO$584,29,FALSE)=0,0,"Digite"))</f>
        <v>0</v>
      </c>
      <c r="W62" s="456">
        <f>IF(OR('Parte Estrategica'!AC62=0,'Parte Estrategica'!AC62=""),0,IF(VLOOKUP($A62,'Matriz de Referencia'!$B$2:$CO$584,30,FALSE)=0,0,"Digite"))</f>
        <v>0</v>
      </c>
      <c r="X62" s="456">
        <f>IF(OR('Parte Estrategica'!AC62=0,'Parte Estrategica'!AC62=""),0,IF(VLOOKUP($A62,'Matriz de Referencia'!$B$2:$CO$584,31,FALSE)=0,0,"Digite"))</f>
        <v>0</v>
      </c>
      <c r="Y62" s="456">
        <f>IF(OR('Parte Estrategica'!AC62=0,'Parte Estrategica'!AC62=""),0,IF(VLOOKUP($A62,'Matriz de Referencia'!$B$2:$CO$584,32,FALSE)=0,0,"Digite"))</f>
        <v>0</v>
      </c>
      <c r="Z62" s="457">
        <f t="shared" si="3"/>
        <v>0</v>
      </c>
      <c r="AA62" s="456">
        <f>IF(OR('Parte Estrategica'!AC62=0,'Parte Estrategica'!AC62=""),0,IF(VLOOKUP($A62,'Matriz de Referencia'!$B$2:$CO$584,34,FALSE)=0,0,"Digite"))</f>
        <v>0</v>
      </c>
      <c r="AB62" s="456">
        <f>IF(OR('Parte Estrategica'!AC62=0,'Parte Estrategica'!AC62=""),0,IF(VLOOKUP($A62,'Matriz de Referencia'!$B$2:$CO$584,35,FALSE)=0,0,"Digite"))</f>
        <v>0</v>
      </c>
      <c r="AC62" s="456">
        <f>IF(OR('Parte Estrategica'!AC62=0,'Parte Estrategica'!AC62=""),0,IF(VLOOKUP($A62,'Matriz de Referencia'!$B$2:$CO$584,36,FALSE)=0,0,"Digite"))</f>
        <v>0</v>
      </c>
      <c r="AD62" s="457">
        <f t="shared" si="4"/>
        <v>0</v>
      </c>
      <c r="AE62" s="457">
        <f t="shared" si="5"/>
        <v>0</v>
      </c>
      <c r="AF62" s="455">
        <f>IF(OR('Parte Estrategica'!AD62=0,'Parte Estrategica'!AD62=""),0,IF(VLOOKUP($A62,'Matriz de Referencia'!$B$2:$CO$584,25,FALSE)=0,0,"Digite"))</f>
        <v>0</v>
      </c>
      <c r="AG62" s="456">
        <f>IF(OR('Parte Estrategica'!AD62=0,'Parte Estrategica'!AD62=""),0,IF(VLOOKUP($A62,'Matriz de Referencia'!$B$2:$CO$584,26,FALSE)=0,0,"Digite"))</f>
        <v>0</v>
      </c>
      <c r="AH62" s="456">
        <f>IF(OR('Parte Estrategica'!AD62=0,'Parte Estrategica'!AD62=""),0,IF(VLOOKUP($A62,'Matriz de Referencia'!$B$2:$CO$584,27,FALSE)=0,0,"Digite"))</f>
        <v>0</v>
      </c>
      <c r="AI62" s="456">
        <f>IF(OR('Parte Estrategica'!AD62=0,'Parte Estrategica'!AD62=""),0,IF(VLOOKUP($A62,'Matriz de Referencia'!$B$2:$CO$584,28,FALSE)=0,0,"Digite"))</f>
        <v>0</v>
      </c>
      <c r="AJ62" s="456">
        <f>IF(OR('Parte Estrategica'!AD62=0,'Parte Estrategica'!AD62=""),0,IF(VLOOKUP($A62,'Matriz de Referencia'!$B$2:$CO$584,29,FALSE)=0,0,"Digite"))</f>
        <v>0</v>
      </c>
      <c r="AK62" s="456">
        <f>IF(OR('Parte Estrategica'!AD62=0,'Parte Estrategica'!AD62=""),0,IF(VLOOKUP($A62,'Matriz de Referencia'!$B$2:$CO$584,30,FALSE)=0,0,"Digite"))</f>
        <v>0</v>
      </c>
      <c r="AL62" s="456">
        <f>IF(OR('Parte Estrategica'!AD62=0,'Parte Estrategica'!AD62=""),0,IF(VLOOKUP($A62,'Matriz de Referencia'!$B$2:$CO$584,31,FALSE)=0,0,"Digite"))</f>
        <v>0</v>
      </c>
      <c r="AM62" s="456">
        <f>IF(OR('Parte Estrategica'!AD62=0,'Parte Estrategica'!AD62=""),0,IF(VLOOKUP($A62,'Matriz de Referencia'!$B$2:$CO$584,32,FALSE)=0,0,"Digite"))</f>
        <v>0</v>
      </c>
      <c r="AN62" s="457">
        <f t="shared" si="6"/>
        <v>0</v>
      </c>
      <c r="AO62" s="456">
        <f>IF(OR('Parte Estrategica'!AD62=0,'Parte Estrategica'!AD62=""),0,IF(VLOOKUP($A62,'Matriz de Referencia'!$B$2:$CO$584,34,FALSE)=0,0,"Digite"))</f>
        <v>0</v>
      </c>
      <c r="AP62" s="456">
        <f>IF(OR('Parte Estrategica'!AD62=0,'Parte Estrategica'!AD62=""),0,IF(VLOOKUP($A62,'Matriz de Referencia'!$B$2:$CO$584,35,FALSE)=0,0,"Digite"))</f>
        <v>0</v>
      </c>
      <c r="AQ62" s="456">
        <f>IF(OR('Parte Estrategica'!AD62=0,'Parte Estrategica'!AD62=""),0,IF(VLOOKUP($A62,'Matriz de Referencia'!$B$2:$CO$584,36,FALSE)=0,0,"Digite"))</f>
        <v>0</v>
      </c>
      <c r="AR62" s="457">
        <f t="shared" si="7"/>
        <v>0</v>
      </c>
      <c r="AS62" s="457">
        <f t="shared" si="8"/>
        <v>0</v>
      </c>
      <c r="AT62" s="455">
        <f>IF(OR('Parte Estrategica'!AE62=0,'Parte Estrategica'!AE62=""),0,IF(VLOOKUP($A62,'Matriz de Referencia'!$B$2:$CO$584,25,FALSE)=0,0,"Digite"))</f>
        <v>0</v>
      </c>
      <c r="AU62" s="456">
        <f>IF(OR('Parte Estrategica'!AE62=0,'Parte Estrategica'!AE62=""),0,IF(VLOOKUP($A62,'Matriz de Referencia'!$B$2:$CO$584,26,FALSE)=0,0,"Digite"))</f>
        <v>0</v>
      </c>
      <c r="AV62" s="456">
        <f>IF(OR('Parte Estrategica'!AE62=0,'Parte Estrategica'!AE62=""),0,IF(VLOOKUP($A62,'Matriz de Referencia'!$B$2:$CO$584,27,FALSE)=0,0,"Digite"))</f>
        <v>0</v>
      </c>
      <c r="AW62" s="456">
        <f>IF(OR('Parte Estrategica'!AE62=0,'Parte Estrategica'!AE62=""),0,IF(VLOOKUP($A62,'Matriz de Referencia'!$B$2:$CO$584,28,FALSE)=0,0,"Digite"))</f>
        <v>0</v>
      </c>
      <c r="AX62" s="456">
        <f>IF(OR('Parte Estrategica'!AE62=0,'Parte Estrategica'!AE62=""),0,IF(VLOOKUP($A62,'Matriz de Referencia'!$B$2:$CO$584,29,FALSE)=0,0,"Digite"))</f>
        <v>0</v>
      </c>
      <c r="AY62" s="456">
        <f>IF(OR('Parte Estrategica'!AE62=0,'Parte Estrategica'!AE62=""),0,IF(VLOOKUP($A62,'Matriz de Referencia'!$B$2:$CO$584,30,FALSE)=0,0,"Digite"))</f>
        <v>0</v>
      </c>
      <c r="AZ62" s="456">
        <f>IF(OR('Parte Estrategica'!AE62=0,'Parte Estrategica'!AE62=""),0,IF(VLOOKUP($A62,'Matriz de Referencia'!$B$2:$CO$584,31,FALSE)=0,0,"Digite"))</f>
        <v>0</v>
      </c>
      <c r="BA62" s="456">
        <f>IF(OR('Parte Estrategica'!AE62=0,'Parte Estrategica'!AE62=""),0,IF(VLOOKUP($A62,'Matriz de Referencia'!$B$2:$CO$584,32,FALSE)=0,0,"Digite"))</f>
        <v>0</v>
      </c>
      <c r="BB62" s="457">
        <f t="shared" si="9"/>
        <v>0</v>
      </c>
      <c r="BC62" s="456">
        <f>IF(OR('Parte Estrategica'!AE62=0,'Parte Estrategica'!AE62=""),0,IF(VLOOKUP($A62,'Matriz de Referencia'!$B$2:$CO$584,34,FALSE)=0,0,"Digite"))</f>
        <v>0</v>
      </c>
      <c r="BD62" s="456">
        <f>IF(OR('Parte Estrategica'!AE62=0,'Parte Estrategica'!AE62=""),0,IF(VLOOKUP($A62,'Matriz de Referencia'!$B$2:$CO$584,35,FALSE)=0,0,"Digite"))</f>
        <v>0</v>
      </c>
      <c r="BE62" s="456">
        <f>IF(OR('Parte Estrategica'!AE62=0,'Parte Estrategica'!AE62=""),0,IF(VLOOKUP($A62,'Matriz de Referencia'!$B$2:$CO$584,36,FALSE)=0,0,"Digite"))</f>
        <v>0</v>
      </c>
      <c r="BF62" s="457">
        <f t="shared" si="10"/>
        <v>0</v>
      </c>
      <c r="BG62" s="457">
        <f t="shared" si="11"/>
        <v>0</v>
      </c>
      <c r="BH62" s="457">
        <f t="shared" si="12"/>
        <v>0</v>
      </c>
      <c r="BI62" s="101" t="str">
        <f>IFERROR(IF(BH62=0,"",IF(VLOOKUP($A62,'Matriz de Referencia'!$B$2:$CO$584,'Matriz de Referencia'!AM$1,FALSE)=BH62,"Techos ok, cotinue","Debe revisar el valor programado")),"")</f>
        <v/>
      </c>
      <c r="BJ62" s="453">
        <f>IF(OR('Parte Estrategica'!AH62=0,'Parte Estrategica'!AH62=""),0,IF(VLOOKUP($A62,'Matriz de Referencia'!$B$2:$CO$584,39,FALSE)=0,0,"Digite"))</f>
        <v>0</v>
      </c>
      <c r="BK62" s="454">
        <f>IF(OR('Parte Estrategica'!AH62=0,'Parte Estrategica'!AH62=""),0,IF(VLOOKUP($A62,'Matriz de Referencia'!$B$2:$CO$584,40,FALSE)=0,0,"Digite"))</f>
        <v>0</v>
      </c>
      <c r="BL62" s="454">
        <f>IF(OR('Parte Estrategica'!AH62=0,'Parte Estrategica'!AH62=""),0,IF(VLOOKUP($A62,'Matriz de Referencia'!$B$2:$CO$584,41,FALSE)=0,0,"Digite"))</f>
        <v>0</v>
      </c>
      <c r="BM62" s="454">
        <f>IF(OR('Parte Estrategica'!AH62=0,'Parte Estrategica'!AH62=""),0,IF(VLOOKUP($A62,'Matriz de Referencia'!$B$2:$CO$584,42,FALSE)=0,0,"Digite"))</f>
        <v>0</v>
      </c>
      <c r="BN62" s="454">
        <f>IF(OR('Parte Estrategica'!AH62=0,'Parte Estrategica'!AH62=""),0,IF(VLOOKUP($A62,'Matriz de Referencia'!$B$2:$CO$584,43,FALSE)=0,0,"Digite"))</f>
        <v>0</v>
      </c>
      <c r="BO62" s="454">
        <f>IF(OR('Parte Estrategica'!AH62=0,'Parte Estrategica'!AH62=""),0,IF(VLOOKUP($A62,'Matriz de Referencia'!$B$2:$CO$584,44,FALSE)=0,0,"Digite"))</f>
        <v>0</v>
      </c>
      <c r="BP62" s="454">
        <f>IF(OR('Parte Estrategica'!AH62=0,'Parte Estrategica'!AH62=""),0,IF(VLOOKUP($A62,'Matriz de Referencia'!$B$2:$CO$584,45,FALSE)=0,0,"Digite"))</f>
        <v>0</v>
      </c>
      <c r="BQ62" s="454">
        <f>IF(OR('Parte Estrategica'!AH62=0,'Parte Estrategica'!AH62=""),0,IF(VLOOKUP($A62,'Matriz de Referencia'!$B$2:$CO$584,46,FALSE)=0,0,"Digite"))</f>
        <v>0</v>
      </c>
      <c r="BR62" s="382">
        <f t="shared" si="13"/>
        <v>0</v>
      </c>
      <c r="BS62" s="454">
        <f>IF(OR('Parte Estrategica'!CL62=0,'Parte Estrategica'!CL62=""),0,IF(VLOOKUP($A62,'Matriz de Referencia'!$B$2:$CO$584,48,FALSE)=0,0,"Digite"))</f>
        <v>0</v>
      </c>
      <c r="BT62" s="454">
        <f>IF(OR('Parte Estrategica'!CL62=0,'Parte Estrategica'!CL62=""),0,IF(VLOOKUP($A62,'Matriz de Referencia'!$B$2:$CO$584,49,FALSE)=0,0,"Digite"))</f>
        <v>0</v>
      </c>
      <c r="BU62" s="454">
        <f>IF(OR('Parte Estrategica'!CL62=0,'Parte Estrategica'!CL62=""),0,IF(VLOOKUP($A62,'Matriz de Referencia'!$B$2:$CO$584,50,FALSE)=0,0,"Digite"))</f>
        <v>0</v>
      </c>
      <c r="BV62" s="382">
        <f t="shared" si="14"/>
        <v>0</v>
      </c>
      <c r="BW62" s="382">
        <f t="shared" si="15"/>
        <v>0</v>
      </c>
      <c r="BX62" s="453">
        <f>IF(OR('Parte Estrategica'!AI62=0,'Parte Estrategica'!AI62=""),0,IF(VLOOKUP($A62,'Matriz de Referencia'!$B$2:$CO$584,39,FALSE)=0,0,"Digite"))</f>
        <v>0</v>
      </c>
      <c r="BY62" s="454">
        <f>IF(OR('Parte Estrategica'!AI62=0,'Parte Estrategica'!AI62=""),0,IF(VLOOKUP($A62,'Matriz de Referencia'!$B$2:$CO$584,40,FALSE)=0,0,"Digite"))</f>
        <v>0</v>
      </c>
      <c r="BZ62" s="454">
        <f>IF(OR('Parte Estrategica'!AI62=0,'Parte Estrategica'!AI62=""),0,IF(VLOOKUP($A62,'Matriz de Referencia'!$B$2:$CO$584,41,FALSE)=0,0,"Digite"))</f>
        <v>0</v>
      </c>
      <c r="CA62" s="454">
        <f>IF(OR('Parte Estrategica'!AI62=0,'Parte Estrategica'!AI62=""),0,IF(VLOOKUP($A62,'Matriz de Referencia'!$B$2:$CO$584,42,FALSE)=0,0,"Digite"))</f>
        <v>0</v>
      </c>
      <c r="CB62" s="454">
        <f>IF(OR('Parte Estrategica'!AI62=0,'Parte Estrategica'!AI62=""),0,IF(VLOOKUP($A62,'Matriz de Referencia'!$B$2:$CO$584,43,FALSE)=0,0,"Digite"))</f>
        <v>0</v>
      </c>
      <c r="CC62" s="454">
        <f>IF(OR('Parte Estrategica'!AI62=0,'Parte Estrategica'!AI62=""),0,IF(VLOOKUP($A62,'Matriz de Referencia'!$B$2:$CO$584,44,FALSE)=0,0,"Digite"))</f>
        <v>0</v>
      </c>
      <c r="CD62" s="454">
        <f>IF(OR('Parte Estrategica'!AI62=0,'Parte Estrategica'!AI62=""),0,IF(VLOOKUP($A62,'Matriz de Referencia'!$B$2:$CO$584,45,FALSE)=0,0,"Digite"))</f>
        <v>0</v>
      </c>
      <c r="CE62" s="454">
        <f>IF(OR('Parte Estrategica'!AI62=0,'Parte Estrategica'!AI62=""),0,IF(VLOOKUP($A62,'Matriz de Referencia'!$B$2:$CO$584,46,FALSE)=0,0,"Digite"))</f>
        <v>0</v>
      </c>
      <c r="CF62" s="382">
        <f t="shared" si="16"/>
        <v>0</v>
      </c>
      <c r="CG62" s="454">
        <f>IF(OR('Parte Estrategica'!AI62=0,'Parte Estrategica'!AI62=""),0,IF(VLOOKUP($A62,'Matriz de Referencia'!$B$2:$CO$584,48,FALSE)=0,0,"Digite"))</f>
        <v>0</v>
      </c>
      <c r="CH62" s="454">
        <f>IF(OR('Parte Estrategica'!AI62=0,'Parte Estrategica'!AI62=""),0,IF(VLOOKUP($A62,'Matriz de Referencia'!$B$2:$CO$584,49,FALSE)=0,0,"Digite"))</f>
        <v>0</v>
      </c>
      <c r="CI62" s="454">
        <f>IF(OR('Parte Estrategica'!AI62=0,'Parte Estrategica'!AI62=""),0,IF(VLOOKUP($A62,'Matriz de Referencia'!$B$2:$CO$584,50,FALSE)=0,0,"Digite"))</f>
        <v>0</v>
      </c>
      <c r="CJ62" s="382">
        <f t="shared" si="17"/>
        <v>0</v>
      </c>
      <c r="CK62" s="382">
        <f t="shared" si="18"/>
        <v>0</v>
      </c>
      <c r="CL62" s="453">
        <f>IF(OR('Parte Estrategica'!AJ62=0,'Parte Estrategica'!AJ62=""),0,IF(VLOOKUP($A62,'Matriz de Referencia'!$B$2:$CO$584,39,FALSE)=0,0,"Digite"))</f>
        <v>0</v>
      </c>
      <c r="CM62" s="454">
        <f>IF(OR('Parte Estrategica'!AJ62=0,'Parte Estrategica'!AJ62=""),0,IF(VLOOKUP($A62,'Matriz de Referencia'!$B$2:$CO$584,40,FALSE)=0,0,"Digite"))</f>
        <v>0</v>
      </c>
      <c r="CN62" s="454">
        <f>IF(OR('Parte Estrategica'!AJ62=0,'Parte Estrategica'!AJ62=""),0,IF(VLOOKUP($A62,'Matriz de Referencia'!$B$2:$CO$584,41,FALSE)=0,0,"Digite"))</f>
        <v>0</v>
      </c>
      <c r="CO62" s="454">
        <f>IF(OR('Parte Estrategica'!AJ62=0,'Parte Estrategica'!AJ62=""),0,IF(VLOOKUP($A62,'Matriz de Referencia'!$B$2:$CO$584,42,FALSE)=0,0,"Digite"))</f>
        <v>0</v>
      </c>
      <c r="CP62" s="454">
        <f>IF(OR('Parte Estrategica'!AJ62=0,'Parte Estrategica'!AJ62=""),0,IF(VLOOKUP($A62,'Matriz de Referencia'!$B$2:$CO$584,43,FALSE)=0,0,"Digite"))</f>
        <v>0</v>
      </c>
      <c r="CQ62" s="454">
        <f>IF(OR('Parte Estrategica'!AJ62=0,'Parte Estrategica'!AJ62=""),0,IF(VLOOKUP($A62,'Matriz de Referencia'!$B$2:$CO$584,44,FALSE)=0,0,"Digite"))</f>
        <v>0</v>
      </c>
      <c r="CR62" s="454">
        <f>IF(OR('Parte Estrategica'!AJ62=0,'Parte Estrategica'!AJ62=""),0,IF(VLOOKUP($A62,'Matriz de Referencia'!$B$2:$CO$584,45,FALSE)=0,0,"Digite"))</f>
        <v>0</v>
      </c>
      <c r="CS62" s="454">
        <f>IF(OR('Parte Estrategica'!AJ62=0,'Parte Estrategica'!AJ62=""),0,IF(VLOOKUP($A62,'Matriz de Referencia'!$B$2:$CO$584,46,FALSE)=0,0,"Digite"))</f>
        <v>0</v>
      </c>
      <c r="CT62" s="382">
        <f t="shared" si="19"/>
        <v>0</v>
      </c>
      <c r="CU62" s="454">
        <f>IF(OR('Parte Estrategica'!AJ62=0,'Parte Estrategica'!AJ62=""),0,IF(VLOOKUP($A62,'Matriz de Referencia'!$B$2:$CO$584,48,FALSE)=0,0,"Digite"))</f>
        <v>0</v>
      </c>
      <c r="CV62" s="454">
        <f>IF(OR('Parte Estrategica'!AJ62=0,'Parte Estrategica'!AJ62=""),0,IF(VLOOKUP($A62,'Matriz de Referencia'!$B$2:$CO$584,49,FALSE)=0,0,"Digite"))</f>
        <v>0</v>
      </c>
      <c r="CW62" s="454">
        <f>IF(OR('Parte Estrategica'!AJ62=0,'Parte Estrategica'!AJ62=""),0,IF(VLOOKUP($A62,'Matriz de Referencia'!$B$2:$CO$584,50,FALSE)=0,0,"Digite"))</f>
        <v>0</v>
      </c>
      <c r="CX62" s="382">
        <f t="shared" si="20"/>
        <v>0</v>
      </c>
      <c r="CY62" s="382">
        <f t="shared" si="21"/>
        <v>0</v>
      </c>
      <c r="CZ62" s="453">
        <f>IF(OR('Parte Estrategica'!AK62=0,'Parte Estrategica'!AK62=""),0,IF(VLOOKUP($A62,'Matriz de Referencia'!$B$2:$CO$584,39,FALSE)=0,0,"Digite"))</f>
        <v>0</v>
      </c>
      <c r="DA62" s="454">
        <f>IF(OR('Parte Estrategica'!AK62=0,'Parte Estrategica'!AK62=""),0,IF(VLOOKUP($A62,'Matriz de Referencia'!$B$2:$CO$584,40,FALSE)=0,0,"Digite"))</f>
        <v>0</v>
      </c>
      <c r="DB62" s="454">
        <f>IF(OR('Parte Estrategica'!AK62=0,'Parte Estrategica'!AK62=""),0,IF(VLOOKUP($A62,'Matriz de Referencia'!$B$2:$CO$584,41,FALSE)=0,0,"Digite"))</f>
        <v>0</v>
      </c>
      <c r="DC62" s="454">
        <f>IF(OR('Parte Estrategica'!AK62=0,'Parte Estrategica'!AK62=""),0,IF(VLOOKUP($A62,'Matriz de Referencia'!$B$2:$CO$584,42,FALSE)=0,0,"Digite"))</f>
        <v>0</v>
      </c>
      <c r="DD62" s="454">
        <f>IF(OR('Parte Estrategica'!AK62=0,'Parte Estrategica'!AK62=""),0,IF(VLOOKUP($A62,'Matriz de Referencia'!$B$2:$CO$584,43,FALSE)=0,0,"Digite"))</f>
        <v>0</v>
      </c>
      <c r="DE62" s="454">
        <f>IF(OR('Parte Estrategica'!AK62=0,'Parte Estrategica'!AK62=""),0,IF(VLOOKUP($A62,'Matriz de Referencia'!$B$2:$CO$584,44,FALSE)=0,0,"Digite"))</f>
        <v>0</v>
      </c>
      <c r="DF62" s="454">
        <f>IF(OR('Parte Estrategica'!AK62=0,'Parte Estrategica'!AK62=""),0,IF(VLOOKUP($A62,'Matriz de Referencia'!$B$2:$CO$584,45,FALSE)=0,0,"Digite"))</f>
        <v>0</v>
      </c>
      <c r="DG62" s="454">
        <f>IF(OR('Parte Estrategica'!AK62=0,'Parte Estrategica'!AK62=""),0,IF(VLOOKUP($A62,'Matriz de Referencia'!$B$2:$CO$584,46,FALSE)=0,0,"Digite"))</f>
        <v>0</v>
      </c>
      <c r="DH62" s="382">
        <f t="shared" si="22"/>
        <v>0</v>
      </c>
      <c r="DI62" s="454">
        <f>IF(OR('Parte Estrategica'!AK62=0,'Parte Estrategica'!AK62=""),0,IF(VLOOKUP($A62,'Matriz de Referencia'!$B$2:$CO$584,48,FALSE)=0,0,"Digite"))</f>
        <v>0</v>
      </c>
      <c r="DJ62" s="454">
        <f>IF(OR('Parte Estrategica'!AK62=0,'Parte Estrategica'!AK62=""),0,IF(VLOOKUP($A62,'Matriz de Referencia'!$B$2:$CO$584,49,FALSE)=0,0,"Digite"))</f>
        <v>0</v>
      </c>
      <c r="DK62" s="454">
        <f>IF(OR('Parte Estrategica'!AK62=0,'Parte Estrategica'!AK62=""),0,IF(VLOOKUP($A62,'Matriz de Referencia'!$B$2:$CO$584,50,FALSE)=0,0,"Digite"))</f>
        <v>0</v>
      </c>
      <c r="DL62" s="382">
        <f t="shared" si="23"/>
        <v>0</v>
      </c>
      <c r="DM62" s="382">
        <f t="shared" si="24"/>
        <v>0</v>
      </c>
      <c r="DN62" s="382">
        <f t="shared" si="25"/>
        <v>0</v>
      </c>
      <c r="DO62" s="101" t="str">
        <f>IFERROR(IF(DN62=0,"",IF(VLOOKUP($A62,'Matriz de Referencia'!$B$2:$CO$584,52,FALSE)=DN62,"Techos ok, cotinue","Debe revisar el valor programado")),"")</f>
        <v/>
      </c>
      <c r="DP62" s="453">
        <f>IF(OR('Parte Estrategica'!AN62=0,'Parte Estrategica'!AN62=""),0,IF(VLOOKUP($A62,'Matriz de Referencia'!$B$2:$CO$584,53,FALSE)=0,0,"Digite"))</f>
        <v>0</v>
      </c>
      <c r="DQ62" s="454">
        <f>IF(OR('Parte Estrategica'!AN62=0,'Parte Estrategica'!AN62=""),0,IF(VLOOKUP($A62,'Matriz de Referencia'!$B$2:$CO$584,54,FALSE)=0,0,"Digite"))</f>
        <v>0</v>
      </c>
      <c r="DR62" s="454">
        <f>IF(OR('Parte Estrategica'!AN62=0,'Parte Estrategica'!AN62=""),0,IF(VLOOKUP($A62,'Matriz de Referencia'!$B$2:$CO$584,55,FALSE)=0,0,"Digite"))</f>
        <v>0</v>
      </c>
      <c r="DS62" s="454">
        <f>IF(OR('Parte Estrategica'!AN62=0,'Parte Estrategica'!AN62=""),0,IF(VLOOKUP($A62,'Matriz de Referencia'!$B$2:$CO$584,56,FALSE)=0,0,"Digite"))</f>
        <v>0</v>
      </c>
      <c r="DT62" s="454">
        <f>IF(OR('Parte Estrategica'!AN62=0,'Parte Estrategica'!AN62=""),0,IF(VLOOKUP($A62,'Matriz de Referencia'!$B$2:$CO$584,57,FALSE)=0,0,"Digite"))</f>
        <v>0</v>
      </c>
      <c r="DU62" s="454">
        <f>IF(OR('Parte Estrategica'!AN62=0,'Parte Estrategica'!AN62=""),0,IF(VLOOKUP($A62,'Matriz de Referencia'!$B$2:$CO$584,58,FALSE)=0,0,"Digite"))</f>
        <v>0</v>
      </c>
      <c r="DV62" s="454">
        <f>IF(OR('Parte Estrategica'!AN62=0,'Parte Estrategica'!AN62=""),0,IF(VLOOKUP($A62,'Matriz de Referencia'!$B$2:$CO$584,59,FALSE)=0,0,"Digite"))</f>
        <v>0</v>
      </c>
      <c r="DW62" s="454">
        <f>IF(OR('Parte Estrategica'!AN62=0,'Parte Estrategica'!AN62=""),0,IF(VLOOKUP($A62,'Matriz de Referencia'!$B$2:$CO$584,60,FALSE)=0,0,"Digite"))</f>
        <v>0</v>
      </c>
      <c r="DX62" s="382">
        <f t="shared" si="26"/>
        <v>0</v>
      </c>
      <c r="DY62" s="454">
        <f>IF(OR('Parte Estrategica'!AN62=0,'Parte Estrategica'!AN62=""),0,IF(VLOOKUP($A62,'Matriz de Referencia'!$B$2:$CO$584,62,FALSE)=0,0,"Digite"))</f>
        <v>0</v>
      </c>
      <c r="DZ62" s="454">
        <f>IF(OR('Parte Estrategica'!AN62=0,'Parte Estrategica'!AN62=""),0,IF(VLOOKUP($A62,'Matriz de Referencia'!$B$2:$CO$584,63,FALSE)=0,0,"Digite"))</f>
        <v>0</v>
      </c>
      <c r="EA62" s="454" t="str">
        <f>IF(OR('Parte Estrategica'!AN62=0,'Parte Estrategica'!AN62=""),"",IF(VLOOKUP($A62,'Matriz de Referencia'!$B$2:$CO$584,64,FALSE)=0,"","Digite"))</f>
        <v/>
      </c>
      <c r="EB62" s="382">
        <f t="shared" si="27"/>
        <v>0</v>
      </c>
      <c r="EC62" s="382">
        <f t="shared" si="28"/>
        <v>0</v>
      </c>
      <c r="ED62" s="453">
        <f>IF(OR('Parte Estrategica'!AO62=0,'Parte Estrategica'!AO62=""),0,IF(VLOOKUP($A62,'Matriz de Referencia'!$B$2:$CO$584,53,FALSE)=0,0,"Digite"))</f>
        <v>0</v>
      </c>
      <c r="EE62" s="454">
        <f>IF(OR('Parte Estrategica'!AO62=0,'Parte Estrategica'!AO62=""),0,IF(VLOOKUP($A62,'Matriz de Referencia'!$B$2:$CO$584,54,FALSE)=0,0,"Digite"))</f>
        <v>0</v>
      </c>
      <c r="EF62" s="454">
        <f>IF(OR('Parte Estrategica'!AO62=0,'Parte Estrategica'!AO62=""),0,IF(VLOOKUP($A62,'Matriz de Referencia'!$B$2:$CO$584,55,FALSE)=0,0,"Digite"))</f>
        <v>0</v>
      </c>
      <c r="EG62" s="454">
        <f>IF(OR('Parte Estrategica'!AO62=0,'Parte Estrategica'!AO62=""),0,IF(VLOOKUP($A62,'Matriz de Referencia'!$B$2:$CO$584,56,FALSE)=0,0,"Digite"))</f>
        <v>0</v>
      </c>
      <c r="EH62" s="454">
        <f>IF(OR('Parte Estrategica'!AO62=0,'Parte Estrategica'!AO62=""),0,IF(VLOOKUP($A62,'Matriz de Referencia'!$B$2:$CO$584,57,FALSE)=0,0,"Digite"))</f>
        <v>0</v>
      </c>
      <c r="EI62" s="454">
        <f>IF(OR('Parte Estrategica'!AO62=0,'Parte Estrategica'!AO62=""),0,IF(VLOOKUP($A62,'Matriz de Referencia'!$B$2:$CO$584,58,FALSE)=0,0,"Digite"))</f>
        <v>0</v>
      </c>
      <c r="EJ62" s="454">
        <f>IF(OR('Parte Estrategica'!AO62=0,'Parte Estrategica'!AO62=""),0,IF(VLOOKUP($A62,'Matriz de Referencia'!$B$2:$CO$584,59,FALSE)=0,0,"Digite"))</f>
        <v>0</v>
      </c>
      <c r="EK62" s="454">
        <f>IF(OR('Parte Estrategica'!AO62=0,'Parte Estrategica'!AO62=""),0,IF(VLOOKUP($A62,'Matriz de Referencia'!$B$2:$CO$584,60,FALSE)=0,0,"Digite"))</f>
        <v>0</v>
      </c>
      <c r="EL62" s="382">
        <f t="shared" si="29"/>
        <v>0</v>
      </c>
      <c r="EM62" s="454">
        <f>IF(OR('Parte Estrategica'!AO62=0,'Parte Estrategica'!AO62=""),0,IF(VLOOKUP($A62,'Matriz de Referencia'!$B$2:$CO$584,62,FALSE)=0,0,"Digite"))</f>
        <v>0</v>
      </c>
      <c r="EN62" s="454">
        <f>IF(OR('Parte Estrategica'!AO62=0,'Parte Estrategica'!AO62=""),0,IF(VLOOKUP($A62,'Matriz de Referencia'!$B$2:$CO$584,63,FALSE)=0,0,"Digite"))</f>
        <v>0</v>
      </c>
      <c r="EO62" s="454">
        <f>IF(OR('Parte Estrategica'!AO62=0,'Parte Estrategica'!AO62=""),0,IF(VLOOKUP($A62,'Matriz de Referencia'!$B$2:$CO$584,64,FALSE)=0,0,"Digite"))</f>
        <v>0</v>
      </c>
      <c r="EP62" s="382">
        <f t="shared" si="30"/>
        <v>0</v>
      </c>
      <c r="EQ62" s="382">
        <f t="shared" si="31"/>
        <v>0</v>
      </c>
      <c r="ER62" s="453">
        <f>IF(OR('Parte Estrategica'!AP62=0,'Parte Estrategica'!AP62=""),0,IF(VLOOKUP($A62,'Matriz de Referencia'!$B$2:$CO$584,53,FALSE)=0,0,"Digite"))</f>
        <v>0</v>
      </c>
      <c r="ES62" s="454">
        <f>IF(OR('Parte Estrategica'!AP62=0,'Parte Estrategica'!AP62=""),0,IF(VLOOKUP($A62,'Matriz de Referencia'!$B$2:$CO$584,54,FALSE)=0,0,"Digite"))</f>
        <v>0</v>
      </c>
      <c r="ET62" s="454">
        <f>IF(OR('Parte Estrategica'!AP62=0,'Parte Estrategica'!AP62=""),0,IF(VLOOKUP($A62,'Matriz de Referencia'!$B$2:$CO$584,55,FALSE)=0,0,"Digite"))</f>
        <v>0</v>
      </c>
      <c r="EU62" s="454">
        <f>IF(OR('Parte Estrategica'!AP62=0,'Parte Estrategica'!AP62=""),0,IF(VLOOKUP($A62,'Matriz de Referencia'!$B$2:$CO$584,56,FALSE)=0,0,"Digite"))</f>
        <v>0</v>
      </c>
      <c r="EV62" s="454">
        <f>IF(OR('Parte Estrategica'!AP62=0,'Parte Estrategica'!AP62=""),0,IF(VLOOKUP($A62,'Matriz de Referencia'!$B$2:$CO$584,57,FALSE)=0,0,"Digite"))</f>
        <v>0</v>
      </c>
      <c r="EW62" s="454">
        <f>IF(OR('Parte Estrategica'!AP62=0,'Parte Estrategica'!AP62=""),0,IF(VLOOKUP($A62,'Matriz de Referencia'!$B$2:$CO$584,58,FALSE)=0,0,"Digite"))</f>
        <v>0</v>
      </c>
      <c r="EX62" s="454">
        <f>IF(OR('Parte Estrategica'!AP62=0,'Parte Estrategica'!AP62=""),0,IF(VLOOKUP($A62,'Matriz de Referencia'!$B$2:$CO$584,59,FALSE)=0,0,"Digite"))</f>
        <v>0</v>
      </c>
      <c r="EY62" s="454">
        <f>IF(OR('Parte Estrategica'!AP62=0,'Parte Estrategica'!AP62=""),0,IF(VLOOKUP($A62,'Matriz de Referencia'!$B$2:$CO$584,60,FALSE)=0,0,"Digite"))</f>
        <v>0</v>
      </c>
      <c r="EZ62" s="382">
        <f t="shared" si="32"/>
        <v>0</v>
      </c>
      <c r="FA62" s="454">
        <f>IF(OR('Parte Estrategica'!AP62=0,'Parte Estrategica'!AP62=""),0,IF(VLOOKUP($A62,'Matriz de Referencia'!$B$2:$CO$584,62,FALSE)=0,0,"Digite"))</f>
        <v>0</v>
      </c>
      <c r="FB62" s="454">
        <f>IF(OR('Parte Estrategica'!AP62=0,'Parte Estrategica'!AP62=""),0,IF(VLOOKUP($A62,'Matriz de Referencia'!$B$2:$CO$584,63,FALSE)=0,0,"Digite"))</f>
        <v>0</v>
      </c>
      <c r="FC62" s="454">
        <f>IF(OR('Parte Estrategica'!AP62=0,'Parte Estrategica'!AP62=""),0,IF(VLOOKUP($A62,'Matriz de Referencia'!$B$2:$CO$584,64,FALSE)=0,0,"Digite"))</f>
        <v>0</v>
      </c>
      <c r="FD62" s="382">
        <f t="shared" si="33"/>
        <v>0</v>
      </c>
      <c r="FE62" s="382">
        <f t="shared" si="34"/>
        <v>0</v>
      </c>
      <c r="FF62" s="453">
        <f>IF(OR('Parte Estrategica'!AQ62=0,'Parte Estrategica'!AQ62=""),0,IF(VLOOKUP($A62,'Matriz de Referencia'!$B$2:$CO$584,53,FALSE)=0,0,"Digite"))</f>
        <v>0</v>
      </c>
      <c r="FG62" s="454">
        <f>IF(OR('Parte Estrategica'!AQ62=0,'Parte Estrategica'!AQ62=""),0,IF(VLOOKUP($A62,'Matriz de Referencia'!$B$2:$CO$584,54,FALSE)=0,0,"Digite"))</f>
        <v>0</v>
      </c>
      <c r="FH62" s="454">
        <f>IF(OR('Parte Estrategica'!AQ62=0,'Parte Estrategica'!AQ62=""),0,IF(VLOOKUP($A62,'Matriz de Referencia'!$B$2:$CO$584,55,FALSE)=0,0,"Digite"))</f>
        <v>0</v>
      </c>
      <c r="FI62" s="454">
        <f>IF(OR('Parte Estrategica'!AQ62=0,'Parte Estrategica'!AQ62=""),0,IF(VLOOKUP($A62,'Matriz de Referencia'!$B$2:$CO$584,56,FALSE)=0,0,"Digite"))</f>
        <v>0</v>
      </c>
      <c r="FJ62" s="454">
        <f>IF(OR('Parte Estrategica'!AQ62=0,'Parte Estrategica'!AQ62=""),0,IF(VLOOKUP($A62,'Matriz de Referencia'!$B$2:$CO$584,57,FALSE)=0,0,"Digite"))</f>
        <v>0</v>
      </c>
      <c r="FK62" s="454">
        <f>IF(OR('Parte Estrategica'!AQ62=0,'Parte Estrategica'!AQ62=""),0,IF(VLOOKUP($A62,'Matriz de Referencia'!$B$2:$CO$584,58,FALSE)=0,0,"Digite"))</f>
        <v>0</v>
      </c>
      <c r="FL62" s="454">
        <f>IF(OR('Parte Estrategica'!AQ62=0,'Parte Estrategica'!AQ62=""),0,IF(VLOOKUP($A62,'Matriz de Referencia'!$B$2:$CO$584,59,FALSE)=0,0,"Digite"))</f>
        <v>0</v>
      </c>
      <c r="FM62" s="454">
        <f>IF(OR('Parte Estrategica'!AQ62=0,'Parte Estrategica'!AQ62=""),0,IF(VLOOKUP($A62,'Matriz de Referencia'!$B$2:$CO$584,60,FALSE)=0,0,"Digite"))</f>
        <v>0</v>
      </c>
      <c r="FN62" s="382">
        <f t="shared" si="35"/>
        <v>0</v>
      </c>
      <c r="FO62" s="454">
        <f>IF(OR('Parte Estrategica'!AQ62=0,'Parte Estrategica'!AQ62=""),0,IF(VLOOKUP($A62,'Matriz de Referencia'!$B$2:$CO$584,62,FALSE)=0,0,"Digite"))</f>
        <v>0</v>
      </c>
      <c r="FP62" s="454">
        <f>IF(OR('Parte Estrategica'!AQ62=0,'Parte Estrategica'!AQ62=""),0,IF(VLOOKUP($A62,'Matriz de Referencia'!$B$2:$CO$584,63,FALSE)=0,0,"Digite"))</f>
        <v>0</v>
      </c>
      <c r="FQ62" s="454">
        <f>IF(OR('Parte Estrategica'!AQ62=0,'Parte Estrategica'!AQ62=""),0,IF(VLOOKUP($A62,'Matriz de Referencia'!$B$2:$CO$584,64,FALSE)=0,0,"Digite"))</f>
        <v>0</v>
      </c>
      <c r="FR62" s="382">
        <f t="shared" si="36"/>
        <v>0</v>
      </c>
      <c r="FS62" s="382">
        <f t="shared" si="37"/>
        <v>0</v>
      </c>
      <c r="FT62" s="382">
        <f t="shared" si="38"/>
        <v>0</v>
      </c>
      <c r="FU62" s="101" t="str">
        <f>IFERROR(IF(FT62=0,"",IF(VLOOKUP($A62,'Matriz de Referencia'!$B$2:$CO$584,66,FALSE)=FT62,"Techos ok, cotinue","Debe revisar el valor programado")),"")</f>
        <v/>
      </c>
      <c r="FV62" s="453">
        <f>IF(OR('Parte Estrategica'!AT62=0,'Parte Estrategica'!AT62=""),0,IF(VLOOKUP($A62,'Matriz de Referencia'!$B$2:$CO$584,67,FALSE)=0,0,"Digite"))</f>
        <v>0</v>
      </c>
      <c r="FW62" s="454">
        <f>IF(OR('Parte Estrategica'!AT62=0,'Parte Estrategica'!AT62=""),0,IF(VLOOKUP($A62,'Matriz de Referencia'!$B$2:$CO$584,68,FALSE)=0,0,"Digite"))</f>
        <v>0</v>
      </c>
      <c r="FX62" s="454">
        <f>IF(OR('Parte Estrategica'!AT62=0,'Parte Estrategica'!AT62=""),0,IF(VLOOKUP($A62,'Matriz de Referencia'!$B$2:$CO$584,69,FALSE)=0,0,"Digite"))</f>
        <v>0</v>
      </c>
      <c r="FY62" s="454">
        <f>IF(OR('Parte Estrategica'!AT62=0,'Parte Estrategica'!AT62=""),0,IF(VLOOKUP($A62,'Matriz de Referencia'!$B$2:$CO$584,70,FALSE)=0,0,"Digite"))</f>
        <v>0</v>
      </c>
      <c r="FZ62" s="454">
        <f>IF(OR('Parte Estrategica'!AT62=0,'Parte Estrategica'!AT62=""),0,IF(VLOOKUP($A62,'Matriz de Referencia'!$B$2:$CO$584,71,FALSE)=0,0,"Digite"))</f>
        <v>0</v>
      </c>
      <c r="GA62" s="454">
        <f>IF(OR('Parte Estrategica'!AT62=0,'Parte Estrategica'!AT62=""),0,IF(VLOOKUP($A62,'Matriz de Referencia'!$B$2:$CO$584,72,FALSE)=0,0,"Digite"))</f>
        <v>0</v>
      </c>
      <c r="GB62" s="454">
        <f>IF(OR('Parte Estrategica'!AT62=0,'Parte Estrategica'!AT62=""),0,IF(VLOOKUP($A62,'Matriz de Referencia'!$B$2:$CO$584,73,FALSE)=0,0,"Digite"))</f>
        <v>0</v>
      </c>
      <c r="GC62" s="454">
        <f>IF(OR('Parte Estrategica'!AT62=0,'Parte Estrategica'!AT62=""),0,IF(VLOOKUP($A62,'Matriz de Referencia'!$B$2:$CO$584,74,FALSE)=0,0,"Digite"))</f>
        <v>0</v>
      </c>
      <c r="GD62" s="382">
        <f t="shared" si="39"/>
        <v>0</v>
      </c>
      <c r="GE62" s="454">
        <f>IF(OR('Parte Estrategica'!AT62=0,'Parte Estrategica'!AT62=""),0,IF(VLOOKUP($A62,'Matriz de Referencia'!$B$2:$CO$584,76,FALSE)=0,0,"Digite"))</f>
        <v>0</v>
      </c>
      <c r="GF62" s="454">
        <f>IF(OR('Parte Estrategica'!AT62=0,'Parte Estrategica'!AT62=""),0,IF(VLOOKUP($A62,'Matriz de Referencia'!$B$2:$CO$584,77,FALSE)=0,0,"Digite"))</f>
        <v>0</v>
      </c>
      <c r="GG62" s="454">
        <f>IF(OR('Parte Estrategica'!AT62=0,'Parte Estrategica'!AT62=""),0,IF(VLOOKUP($A62,'Matriz de Referencia'!$B$2:$CO$584,78,FALSE)=0,0,"Digite"))</f>
        <v>0</v>
      </c>
      <c r="GH62" s="382">
        <f t="shared" si="40"/>
        <v>0</v>
      </c>
      <c r="GI62" s="382">
        <f t="shared" si="41"/>
        <v>0</v>
      </c>
      <c r="GJ62" s="453">
        <f>IF(OR('Parte Estrategica'!AU62=0,'Parte Estrategica'!AU62=""),0,IF(VLOOKUP($A62,'Matriz de Referencia'!$B$2:$CO$584,67,FALSE)=0,0,"Digite"))</f>
        <v>0</v>
      </c>
      <c r="GK62" s="454">
        <f>IF(OR('Parte Estrategica'!AU62=0,'Parte Estrategica'!AU62=""),0,IF(VLOOKUP($A62,'Matriz de Referencia'!$B$2:$CO$584,68,FALSE)=0,0,"Digite"))</f>
        <v>0</v>
      </c>
      <c r="GL62" s="454">
        <f>IF(OR('Parte Estrategica'!AU62=0,'Parte Estrategica'!AU62=""),0,IF(VLOOKUP($A62,'Matriz de Referencia'!$B$2:$CO$584,69,FALSE)=0,0,"Digite"))</f>
        <v>0</v>
      </c>
      <c r="GM62" s="454">
        <f>IF(OR('Parte Estrategica'!AU62=0,'Parte Estrategica'!AU62=""),0,IF(VLOOKUP($A62,'Matriz de Referencia'!$B$2:$CO$584,70,FALSE)=0,0,"Digite"))</f>
        <v>0</v>
      </c>
      <c r="GN62" s="454">
        <f>IF(OR('Parte Estrategica'!AU62=0,'Parte Estrategica'!AU62=""),0,IF(VLOOKUP($A62,'Matriz de Referencia'!$B$2:$CO$584,71,FALSE)=0,0,"Digite"))</f>
        <v>0</v>
      </c>
      <c r="GO62" s="454">
        <f>IF(OR('Parte Estrategica'!AU62=0,'Parte Estrategica'!AU62=""),0,IF(VLOOKUP($A62,'Matriz de Referencia'!$B$2:$CO$584,72,FALSE)=0,0,"Digite"))</f>
        <v>0</v>
      </c>
      <c r="GP62" s="454">
        <f>IF(OR('Parte Estrategica'!AU62=0,'Parte Estrategica'!AU62=""),0,IF(VLOOKUP($A62,'Matriz de Referencia'!$B$2:$CO$584,73,FALSE)=0,0,"Digite"))</f>
        <v>0</v>
      </c>
      <c r="GQ62" s="454">
        <f>IF(OR('Parte Estrategica'!AU62=0,'Parte Estrategica'!AU62=""),0,IF(VLOOKUP($A62,'Matriz de Referencia'!$B$2:$CO$584,74,FALSE)=0,0,"Digite"))</f>
        <v>0</v>
      </c>
      <c r="GR62" s="382">
        <f t="shared" si="42"/>
        <v>0</v>
      </c>
      <c r="GS62" s="454">
        <f>IF(OR('Parte Estrategica'!AU62=0,'Parte Estrategica'!AU62=""),0,IF(VLOOKUP($A62,'Matriz de Referencia'!$B$2:$CO$584,76,FALSE)=0,0,"Digite"))</f>
        <v>0</v>
      </c>
      <c r="GT62" s="454">
        <f>IF(OR('Parte Estrategica'!AU62=0,'Parte Estrategica'!AU62=""),0,IF(VLOOKUP($A62,'Matriz de Referencia'!$B$2:$CO$584,77,FALSE)=0,0,"Digite"))</f>
        <v>0</v>
      </c>
      <c r="GU62" s="454">
        <f>IF(OR('Parte Estrategica'!AU62=0,'Parte Estrategica'!AU62=""),0,IF(VLOOKUP($A62,'Matriz de Referencia'!$B$2:$CO$584,78,FALSE)=0,0,"Digite"))</f>
        <v>0</v>
      </c>
      <c r="GV62" s="382">
        <f t="shared" si="43"/>
        <v>0</v>
      </c>
      <c r="GW62" s="382">
        <f t="shared" si="44"/>
        <v>0</v>
      </c>
      <c r="GX62" s="453">
        <f>IF(OR('Parte Estrategica'!AV62=0,'Parte Estrategica'!AV62=""),0,IF(VLOOKUP($A62,'Matriz de Referencia'!$B$2:$CO$584,67,FALSE)=0,0,"Digite"))</f>
        <v>0</v>
      </c>
      <c r="GY62" s="454">
        <f>IF(OR('Parte Estrategica'!AV62=0,'Parte Estrategica'!AV62=""),0,IF(VLOOKUP($A62,'Matriz de Referencia'!$B$2:$CO$584,68,FALSE)=0,0,"Digite"))</f>
        <v>0</v>
      </c>
      <c r="GZ62" s="454">
        <f>IF(OR('Parte Estrategica'!AV62=0,'Parte Estrategica'!AV62=""),0,IF(VLOOKUP($A62,'Matriz de Referencia'!$B$2:$CO$584,69,FALSE)=0,0,"Digite"))</f>
        <v>0</v>
      </c>
      <c r="HA62" s="454">
        <f>IF(OR('Parte Estrategica'!AV62=0,'Parte Estrategica'!AV62=""),0,IF(VLOOKUP($A62,'Matriz de Referencia'!$B$2:$CO$584,70,FALSE)=0,0,"Digite"))</f>
        <v>0</v>
      </c>
      <c r="HB62" s="454">
        <f>IF(OR('Parte Estrategica'!AV62=0,'Parte Estrategica'!AV62=""),0,IF(VLOOKUP($A62,'Matriz de Referencia'!$B$2:$CO$584,71,FALSE)=0,0,"Digite"))</f>
        <v>0</v>
      </c>
      <c r="HC62" s="454">
        <f>IF(OR('Parte Estrategica'!AV62=0,'Parte Estrategica'!AV62=""),0,IF(VLOOKUP($A62,'Matriz de Referencia'!$B$2:$CO$584,72,FALSE)=0,0,"Digite"))</f>
        <v>0</v>
      </c>
      <c r="HD62" s="454">
        <f>IF(OR('Parte Estrategica'!AV62=0,'Parte Estrategica'!AV62=""),0,IF(VLOOKUP($A62,'Matriz de Referencia'!$B$2:$CO$584,73,FALSE)=0,0,"Digite"))</f>
        <v>0</v>
      </c>
      <c r="HE62" s="454">
        <f>IF(OR('Parte Estrategica'!AV62=0,'Parte Estrategica'!AV62=""),0,IF(VLOOKUP($A62,'Matriz de Referencia'!$B$2:$CO$584,74,FALSE)=0,0,"Digite"))</f>
        <v>0</v>
      </c>
      <c r="HF62" s="382">
        <f t="shared" si="45"/>
        <v>0</v>
      </c>
      <c r="HG62" s="454">
        <f>IF(OR('Parte Estrategica'!AV62=0,'Parte Estrategica'!AV62=""),0,IF(VLOOKUP($A62,'Matriz de Referencia'!$B$2:$CO$584,76,FALSE)=0,0,"Digite"))</f>
        <v>0</v>
      </c>
      <c r="HH62" s="454">
        <f>IF(OR('Parte Estrategica'!AV62=0,'Parte Estrategica'!AV62=""),0,IF(VLOOKUP($A62,'Matriz de Referencia'!$B$2:$CO$584,77,FALSE)=0,0,"Digite"))</f>
        <v>0</v>
      </c>
      <c r="HI62" s="454">
        <f>IF(OR('Parte Estrategica'!AV62=0,'Parte Estrategica'!AV62=""),0,IF(VLOOKUP($A62,'Matriz de Referencia'!$B$2:$CO$584,78,FALSE)=0,0,"Digite"))</f>
        <v>0</v>
      </c>
      <c r="HJ62" s="382">
        <f t="shared" si="46"/>
        <v>0</v>
      </c>
      <c r="HK62" s="382">
        <f t="shared" si="47"/>
        <v>0</v>
      </c>
      <c r="HL62" s="453">
        <f>IF(OR('Parte Estrategica'!AW62=0,'Parte Estrategica'!AW62=""),0,IF(VLOOKUP($A62,'Matriz de Referencia'!$B$2:$CO$584,67,FALSE)=0,0,"Digite"))</f>
        <v>0</v>
      </c>
      <c r="HM62" s="454">
        <f>IF(OR('Parte Estrategica'!AW62=0,'Parte Estrategica'!AW62=""),0,IF(VLOOKUP($A62,'Matriz de Referencia'!$B$2:$CO$584,68,FALSE)=0,0,"Digite"))</f>
        <v>0</v>
      </c>
      <c r="HN62" s="454">
        <f>IF(OR('Parte Estrategica'!AW62=0,'Parte Estrategica'!AW62=""),0,IF(VLOOKUP($A62,'Matriz de Referencia'!$B$2:$CO$584,69,FALSE)=0,0,"Digite"))</f>
        <v>0</v>
      </c>
      <c r="HO62" s="454">
        <f>IF(OR('Parte Estrategica'!AW62=0,'Parte Estrategica'!AW62=""),0,IF(VLOOKUP($A62,'Matriz de Referencia'!$B$2:$CO$584,70,FALSE)=0,0,"Digite"))</f>
        <v>0</v>
      </c>
      <c r="HP62" s="454">
        <f>IF(OR('Parte Estrategica'!AW62=0,'Parte Estrategica'!AW62=""),0,IF(VLOOKUP($A62,'Matriz de Referencia'!$B$2:$CO$584,71,FALSE)=0,0,"Digite"))</f>
        <v>0</v>
      </c>
      <c r="HQ62" s="454">
        <f>IF(OR('Parte Estrategica'!AW62=0,'Parte Estrategica'!AW62=""),0,IF(VLOOKUP($A62,'Matriz de Referencia'!$B$2:$CO$584,72,FALSE)=0,0,"Digite"))</f>
        <v>0</v>
      </c>
      <c r="HR62" s="454">
        <f>IF(OR('Parte Estrategica'!AW62=0,'Parte Estrategica'!AW62=""),0,IF(VLOOKUP($A62,'Matriz de Referencia'!$B$2:$CO$584,73,FALSE)=0,0,"Digite"))</f>
        <v>0</v>
      </c>
      <c r="HS62" s="454">
        <f>IF(OR('Parte Estrategica'!AW62=0,'Parte Estrategica'!AW62=""),0,IF(VLOOKUP($A62,'Matriz de Referencia'!$B$2:$CO$584,74,FALSE)=0,0,"Digite"))</f>
        <v>0</v>
      </c>
      <c r="HT62" s="382">
        <f t="shared" si="48"/>
        <v>0</v>
      </c>
      <c r="HU62" s="454">
        <f>IF(OR('Parte Estrategica'!AW62=0,'Parte Estrategica'!AW62=""),0,IF(VLOOKUP($A62,'Matriz de Referencia'!$B$2:$CO$584,76,FALSE)=0,0,"Digite"))</f>
        <v>0</v>
      </c>
      <c r="HV62" s="454">
        <f>IF(OR('Parte Estrategica'!AW62=0,'Parte Estrategica'!AW62=""),0,IF(VLOOKUP($A62,'Matriz de Referencia'!$B$2:$CO$584,77,FALSE)=0,0,"Digite"))</f>
        <v>0</v>
      </c>
      <c r="HW62" s="454">
        <f>IF(OR('Parte Estrategica'!AW62=0,'Parte Estrategica'!AW62=""),0,IF(VLOOKUP($A62,'Matriz de Referencia'!$B$2:$CO$584,78,FALSE)=0,0,"Digite"))</f>
        <v>0</v>
      </c>
      <c r="HX62" s="382">
        <f t="shared" si="49"/>
        <v>0</v>
      </c>
      <c r="HY62" s="382">
        <f t="shared" si="50"/>
        <v>0</v>
      </c>
      <c r="HZ62" s="382">
        <f t="shared" si="51"/>
        <v>0</v>
      </c>
      <c r="IA62" s="101" t="str">
        <f>IFERROR(IF(HZ62=0,"",IF(VLOOKUP($A62,'Matriz de Referencia'!$B$2:$CO$584,80,FALSE)=HZ62,"Techos ok, cotinue","Debe revisar el valor programado")),"")</f>
        <v/>
      </c>
      <c r="IB62" s="383">
        <f t="shared" si="52"/>
        <v>0</v>
      </c>
    </row>
    <row r="63" spans="1:236">
      <c r="A63" s="550" t="str">
        <f>IF('Parte Estrategica'!B63=0,"",'Parte Estrategica'!B63)</f>
        <v/>
      </c>
      <c r="B63" s="551" t="str">
        <f>IFERROR(VLOOKUP(A63,'Matriz de Referencia'!$B$2:$P$578,'Matriz de Referencia'!L$1,FALSE),"")</f>
        <v/>
      </c>
      <c r="C63" s="551" t="str">
        <f>IFERROR(VLOOKUP(A63,'Matriz de Referencia'!$B$2:$P$584,'Matriz de Referencia'!M$1,FALSE),"")</f>
        <v/>
      </c>
      <c r="D63" s="455" t="str">
        <f>IF(OR('Parte Estrategica'!AB63=0,'Parte Estrategica'!AB63=""),"",IF(VLOOKUP($A63,'Matriz de Referencia'!$B$2:$CO$584,'Matriz de Referencia'!Z$1,FALSE)=0,"","Digite"))</f>
        <v/>
      </c>
      <c r="E63" s="456">
        <f>IF(OR('Parte Estrategica'!AB63=0,'Parte Estrategica'!AB63=""),0,IF(VLOOKUP($A63,'Matriz de Referencia'!$B$2:$CO$584,26,FALSE)=0,0,"Digite"))</f>
        <v>0</v>
      </c>
      <c r="F63" s="456">
        <f>IF(OR('Parte Estrategica'!AB63=0,'Parte Estrategica'!AB63=""),0,IF(VLOOKUP($A63,'Matriz de Referencia'!$B$2:$CO$584,27,FALSE)=0,0,"Digite"))</f>
        <v>0</v>
      </c>
      <c r="G63" s="456">
        <f>IF(OR('Parte Estrategica'!AB63=0,'Parte Estrategica'!AB63=""),0,IF(VLOOKUP($A63,'Matriz de Referencia'!$B$2:$CO$584,28,FALSE)=0,0,"Digite"))</f>
        <v>0</v>
      </c>
      <c r="H63" s="456">
        <f>IF(OR('Parte Estrategica'!AB63=0,'Parte Estrategica'!AB63=""),0,IF(VLOOKUP($A63,'Matriz de Referencia'!$B$2:$CO$584,29,FALSE)=0,0,"Digite"))</f>
        <v>0</v>
      </c>
      <c r="I63" s="456">
        <f>IF(OR('Parte Estrategica'!AB63=0,'Parte Estrategica'!AB63=""),0,IF(VLOOKUP($A63,'Matriz de Referencia'!$B$2:$CO$584,30,FALSE)=0,0,"Digite"))</f>
        <v>0</v>
      </c>
      <c r="J63" s="456">
        <f>IF(OR('Parte Estrategica'!AB63=0,'Parte Estrategica'!AB63=""),0,IF(VLOOKUP($A63,'Matriz de Referencia'!$B$2:$CO$584,31,FALSE)=0,0,"Digite"))</f>
        <v>0</v>
      </c>
      <c r="K63" s="456">
        <f>IF(OR('Parte Estrategica'!AB63=0,'Parte Estrategica'!AB63=""),0,IF(VLOOKUP($A63,'Matriz de Referencia'!$B$2:$CO$584,32,FALSE)=0,0,"Digite"))</f>
        <v>0</v>
      </c>
      <c r="L63" s="460">
        <f t="shared" si="0"/>
        <v>0</v>
      </c>
      <c r="M63" s="456">
        <f>IF(OR('Parte Estrategica'!AB63=0,'Parte Estrategica'!AB63=""),0,IF(VLOOKUP($A63,'Matriz de Referencia'!$B$2:$CO$584,34,FALSE)=0,0,"Digite"))</f>
        <v>0</v>
      </c>
      <c r="N63" s="456">
        <f>IF(OR('Parte Estrategica'!AB63=0,'Parte Estrategica'!AB63=""),0,IF(VLOOKUP($A63,'Matriz de Referencia'!$B$2:$CO$584,35,FALSE)=0,0,"Digite"))</f>
        <v>0</v>
      </c>
      <c r="O63" s="456">
        <f>IF(OR('Parte Estrategica'!AB63=0,'Parte Estrategica'!AB63=""),0,IF(VLOOKUP($A63,'Matriz de Referencia'!$B$2:$CO$584,36,FALSE)=0,0,"Digite"))</f>
        <v>0</v>
      </c>
      <c r="P63" s="457">
        <f t="shared" si="1"/>
        <v>0</v>
      </c>
      <c r="Q63" s="457">
        <f t="shared" si="2"/>
        <v>0</v>
      </c>
      <c r="R63" s="455">
        <f>IF(OR('Parte Estrategica'!AC63=0,'Parte Estrategica'!AC63=""),0,IF(VLOOKUP($A63,'Matriz de Referencia'!$B$2:$CO$584,25,FALSE)=0,0,"Digite"))</f>
        <v>0</v>
      </c>
      <c r="S63" s="456">
        <f>IF(OR('Parte Estrategica'!AC63=0,'Parte Estrategica'!AC63=""),0,IF(VLOOKUP($A63,'Matriz de Referencia'!$B$2:$CO$584,26,FALSE)=0,0,"Digite"))</f>
        <v>0</v>
      </c>
      <c r="T63" s="456">
        <f>IF(OR('Parte Estrategica'!AC63=0,'Parte Estrategica'!AC63=""),0,IF(VLOOKUP($A63,'Matriz de Referencia'!$B$2:$CO$584,27,FALSE)=0,0,"Digite"))</f>
        <v>0</v>
      </c>
      <c r="U63" s="456">
        <f>IF(OR('Parte Estrategica'!AC63=0,'Parte Estrategica'!AC63=""),0,IF(VLOOKUP($A63,'Matriz de Referencia'!$B$2:$CO$584,28,FALSE)=0,0,"Digite"))</f>
        <v>0</v>
      </c>
      <c r="V63" s="456">
        <f>IF(OR('Parte Estrategica'!AC63=0,'Parte Estrategica'!AC63=""),0,IF(VLOOKUP($A63,'Matriz de Referencia'!$B$2:$CO$584,29,FALSE)=0,0,"Digite"))</f>
        <v>0</v>
      </c>
      <c r="W63" s="456">
        <f>IF(OR('Parte Estrategica'!AC63=0,'Parte Estrategica'!AC63=""),0,IF(VLOOKUP($A63,'Matriz de Referencia'!$B$2:$CO$584,30,FALSE)=0,0,"Digite"))</f>
        <v>0</v>
      </c>
      <c r="X63" s="456">
        <f>IF(OR('Parte Estrategica'!AC63=0,'Parte Estrategica'!AC63=""),0,IF(VLOOKUP($A63,'Matriz de Referencia'!$B$2:$CO$584,31,FALSE)=0,0,"Digite"))</f>
        <v>0</v>
      </c>
      <c r="Y63" s="456">
        <f>IF(OR('Parte Estrategica'!AC63=0,'Parte Estrategica'!AC63=""),0,IF(VLOOKUP($A63,'Matriz de Referencia'!$B$2:$CO$584,32,FALSE)=0,0,"Digite"))</f>
        <v>0</v>
      </c>
      <c r="Z63" s="457">
        <f t="shared" si="3"/>
        <v>0</v>
      </c>
      <c r="AA63" s="456">
        <f>IF(OR('Parte Estrategica'!AC63=0,'Parte Estrategica'!AC63=""),0,IF(VLOOKUP($A63,'Matriz de Referencia'!$B$2:$CO$584,34,FALSE)=0,0,"Digite"))</f>
        <v>0</v>
      </c>
      <c r="AB63" s="456">
        <f>IF(OR('Parte Estrategica'!AC63=0,'Parte Estrategica'!AC63=""),0,IF(VLOOKUP($A63,'Matriz de Referencia'!$B$2:$CO$584,35,FALSE)=0,0,"Digite"))</f>
        <v>0</v>
      </c>
      <c r="AC63" s="456">
        <f>IF(OR('Parte Estrategica'!AC63=0,'Parte Estrategica'!AC63=""),0,IF(VLOOKUP($A63,'Matriz de Referencia'!$B$2:$CO$584,36,FALSE)=0,0,"Digite"))</f>
        <v>0</v>
      </c>
      <c r="AD63" s="457">
        <f t="shared" si="4"/>
        <v>0</v>
      </c>
      <c r="AE63" s="457">
        <f t="shared" si="5"/>
        <v>0</v>
      </c>
      <c r="AF63" s="455">
        <f>IF(OR('Parte Estrategica'!AD63=0,'Parte Estrategica'!AD63=""),0,IF(VLOOKUP($A63,'Matriz de Referencia'!$B$2:$CO$584,25,FALSE)=0,0,"Digite"))</f>
        <v>0</v>
      </c>
      <c r="AG63" s="456">
        <f>IF(OR('Parte Estrategica'!AD63=0,'Parte Estrategica'!AD63=""),0,IF(VLOOKUP($A63,'Matriz de Referencia'!$B$2:$CO$584,26,FALSE)=0,0,"Digite"))</f>
        <v>0</v>
      </c>
      <c r="AH63" s="456">
        <f>IF(OR('Parte Estrategica'!AD63=0,'Parte Estrategica'!AD63=""),0,IF(VLOOKUP($A63,'Matriz de Referencia'!$B$2:$CO$584,27,FALSE)=0,0,"Digite"))</f>
        <v>0</v>
      </c>
      <c r="AI63" s="456">
        <f>IF(OR('Parte Estrategica'!AD63=0,'Parte Estrategica'!AD63=""),0,IF(VLOOKUP($A63,'Matriz de Referencia'!$B$2:$CO$584,28,FALSE)=0,0,"Digite"))</f>
        <v>0</v>
      </c>
      <c r="AJ63" s="456">
        <f>IF(OR('Parte Estrategica'!AD63=0,'Parte Estrategica'!AD63=""),0,IF(VLOOKUP($A63,'Matriz de Referencia'!$B$2:$CO$584,29,FALSE)=0,0,"Digite"))</f>
        <v>0</v>
      </c>
      <c r="AK63" s="456">
        <f>IF(OR('Parte Estrategica'!AD63=0,'Parte Estrategica'!AD63=""),0,IF(VLOOKUP($A63,'Matriz de Referencia'!$B$2:$CO$584,30,FALSE)=0,0,"Digite"))</f>
        <v>0</v>
      </c>
      <c r="AL63" s="456">
        <f>IF(OR('Parte Estrategica'!AD63=0,'Parte Estrategica'!AD63=""),0,IF(VLOOKUP($A63,'Matriz de Referencia'!$B$2:$CO$584,31,FALSE)=0,0,"Digite"))</f>
        <v>0</v>
      </c>
      <c r="AM63" s="456">
        <f>IF(OR('Parte Estrategica'!AD63=0,'Parte Estrategica'!AD63=""),0,IF(VLOOKUP($A63,'Matriz de Referencia'!$B$2:$CO$584,32,FALSE)=0,0,"Digite"))</f>
        <v>0</v>
      </c>
      <c r="AN63" s="457">
        <f t="shared" si="6"/>
        <v>0</v>
      </c>
      <c r="AO63" s="456">
        <f>IF(OR('Parte Estrategica'!AD63=0,'Parte Estrategica'!AD63=""),0,IF(VLOOKUP($A63,'Matriz de Referencia'!$B$2:$CO$584,34,FALSE)=0,0,"Digite"))</f>
        <v>0</v>
      </c>
      <c r="AP63" s="456">
        <f>IF(OR('Parte Estrategica'!AD63=0,'Parte Estrategica'!AD63=""),0,IF(VLOOKUP($A63,'Matriz de Referencia'!$B$2:$CO$584,35,FALSE)=0,0,"Digite"))</f>
        <v>0</v>
      </c>
      <c r="AQ63" s="456">
        <f>IF(OR('Parte Estrategica'!AD63=0,'Parte Estrategica'!AD63=""),0,IF(VLOOKUP($A63,'Matriz de Referencia'!$B$2:$CO$584,36,FALSE)=0,0,"Digite"))</f>
        <v>0</v>
      </c>
      <c r="AR63" s="457">
        <f t="shared" si="7"/>
        <v>0</v>
      </c>
      <c r="AS63" s="457">
        <f t="shared" si="8"/>
        <v>0</v>
      </c>
      <c r="AT63" s="455">
        <f>IF(OR('Parte Estrategica'!AE63=0,'Parte Estrategica'!AE63=""),0,IF(VLOOKUP($A63,'Matriz de Referencia'!$B$2:$CO$584,25,FALSE)=0,0,"Digite"))</f>
        <v>0</v>
      </c>
      <c r="AU63" s="456">
        <f>IF(OR('Parte Estrategica'!AE63=0,'Parte Estrategica'!AE63=""),0,IF(VLOOKUP($A63,'Matriz de Referencia'!$B$2:$CO$584,26,FALSE)=0,0,"Digite"))</f>
        <v>0</v>
      </c>
      <c r="AV63" s="456">
        <f>IF(OR('Parte Estrategica'!AE63=0,'Parte Estrategica'!AE63=""),0,IF(VLOOKUP($A63,'Matriz de Referencia'!$B$2:$CO$584,27,FALSE)=0,0,"Digite"))</f>
        <v>0</v>
      </c>
      <c r="AW63" s="456">
        <f>IF(OR('Parte Estrategica'!AE63=0,'Parte Estrategica'!AE63=""),0,IF(VLOOKUP($A63,'Matriz de Referencia'!$B$2:$CO$584,28,FALSE)=0,0,"Digite"))</f>
        <v>0</v>
      </c>
      <c r="AX63" s="456">
        <f>IF(OR('Parte Estrategica'!AE63=0,'Parte Estrategica'!AE63=""),0,IF(VLOOKUP($A63,'Matriz de Referencia'!$B$2:$CO$584,29,FALSE)=0,0,"Digite"))</f>
        <v>0</v>
      </c>
      <c r="AY63" s="456">
        <f>IF(OR('Parte Estrategica'!AE63=0,'Parte Estrategica'!AE63=""),0,IF(VLOOKUP($A63,'Matriz de Referencia'!$B$2:$CO$584,30,FALSE)=0,0,"Digite"))</f>
        <v>0</v>
      </c>
      <c r="AZ63" s="456">
        <f>IF(OR('Parte Estrategica'!AE63=0,'Parte Estrategica'!AE63=""),0,IF(VLOOKUP($A63,'Matriz de Referencia'!$B$2:$CO$584,31,FALSE)=0,0,"Digite"))</f>
        <v>0</v>
      </c>
      <c r="BA63" s="456">
        <f>IF(OR('Parte Estrategica'!AE63=0,'Parte Estrategica'!AE63=""),0,IF(VLOOKUP($A63,'Matriz de Referencia'!$B$2:$CO$584,32,FALSE)=0,0,"Digite"))</f>
        <v>0</v>
      </c>
      <c r="BB63" s="457">
        <f t="shared" si="9"/>
        <v>0</v>
      </c>
      <c r="BC63" s="456">
        <f>IF(OR('Parte Estrategica'!AE63=0,'Parte Estrategica'!AE63=""),0,IF(VLOOKUP($A63,'Matriz de Referencia'!$B$2:$CO$584,34,FALSE)=0,0,"Digite"))</f>
        <v>0</v>
      </c>
      <c r="BD63" s="456">
        <f>IF(OR('Parte Estrategica'!AE63=0,'Parte Estrategica'!AE63=""),0,IF(VLOOKUP($A63,'Matriz de Referencia'!$B$2:$CO$584,35,FALSE)=0,0,"Digite"))</f>
        <v>0</v>
      </c>
      <c r="BE63" s="456">
        <f>IF(OR('Parte Estrategica'!AE63=0,'Parte Estrategica'!AE63=""),0,IF(VLOOKUP($A63,'Matriz de Referencia'!$B$2:$CO$584,36,FALSE)=0,0,"Digite"))</f>
        <v>0</v>
      </c>
      <c r="BF63" s="457">
        <f t="shared" si="10"/>
        <v>0</v>
      </c>
      <c r="BG63" s="457">
        <f t="shared" si="11"/>
        <v>0</v>
      </c>
      <c r="BH63" s="457">
        <f t="shared" si="12"/>
        <v>0</v>
      </c>
      <c r="BI63" s="101" t="str">
        <f>IFERROR(IF(BH63=0,"",IF(VLOOKUP($A63,'Matriz de Referencia'!$B$2:$CO$584,'Matriz de Referencia'!AM$1,FALSE)=BH63,"Techos ok, cotinue","Debe revisar el valor programado")),"")</f>
        <v/>
      </c>
      <c r="BJ63" s="453">
        <f>IF(OR('Parte Estrategica'!AH63=0,'Parte Estrategica'!AH63=""),0,IF(VLOOKUP($A63,'Matriz de Referencia'!$B$2:$CO$584,39,FALSE)=0,0,"Digite"))</f>
        <v>0</v>
      </c>
      <c r="BK63" s="454">
        <f>IF(OR('Parte Estrategica'!AH63=0,'Parte Estrategica'!AH63=""),0,IF(VLOOKUP($A63,'Matriz de Referencia'!$B$2:$CO$584,40,FALSE)=0,0,"Digite"))</f>
        <v>0</v>
      </c>
      <c r="BL63" s="454">
        <f>IF(OR('Parte Estrategica'!AH63=0,'Parte Estrategica'!AH63=""),0,IF(VLOOKUP($A63,'Matriz de Referencia'!$B$2:$CO$584,41,FALSE)=0,0,"Digite"))</f>
        <v>0</v>
      </c>
      <c r="BM63" s="454">
        <f>IF(OR('Parte Estrategica'!AH63=0,'Parte Estrategica'!AH63=""),0,IF(VLOOKUP($A63,'Matriz de Referencia'!$B$2:$CO$584,42,FALSE)=0,0,"Digite"))</f>
        <v>0</v>
      </c>
      <c r="BN63" s="454">
        <f>IF(OR('Parte Estrategica'!AH63=0,'Parte Estrategica'!AH63=""),0,IF(VLOOKUP($A63,'Matriz de Referencia'!$B$2:$CO$584,43,FALSE)=0,0,"Digite"))</f>
        <v>0</v>
      </c>
      <c r="BO63" s="454">
        <f>IF(OR('Parte Estrategica'!AH63=0,'Parte Estrategica'!AH63=""),0,IF(VLOOKUP($A63,'Matriz de Referencia'!$B$2:$CO$584,44,FALSE)=0,0,"Digite"))</f>
        <v>0</v>
      </c>
      <c r="BP63" s="454">
        <f>IF(OR('Parte Estrategica'!AH63=0,'Parte Estrategica'!AH63=""),0,IF(VLOOKUP($A63,'Matriz de Referencia'!$B$2:$CO$584,45,FALSE)=0,0,"Digite"))</f>
        <v>0</v>
      </c>
      <c r="BQ63" s="454">
        <f>IF(OR('Parte Estrategica'!AH63=0,'Parte Estrategica'!AH63=""),0,IF(VLOOKUP($A63,'Matriz de Referencia'!$B$2:$CO$584,46,FALSE)=0,0,"Digite"))</f>
        <v>0</v>
      </c>
      <c r="BR63" s="382">
        <f t="shared" si="13"/>
        <v>0</v>
      </c>
      <c r="BS63" s="454">
        <f>IF(OR('Parte Estrategica'!CL63=0,'Parte Estrategica'!CL63=""),0,IF(VLOOKUP($A63,'Matriz de Referencia'!$B$2:$CO$584,48,FALSE)=0,0,"Digite"))</f>
        <v>0</v>
      </c>
      <c r="BT63" s="454">
        <f>IF(OR('Parte Estrategica'!CL63=0,'Parte Estrategica'!CL63=""),0,IF(VLOOKUP($A63,'Matriz de Referencia'!$B$2:$CO$584,49,FALSE)=0,0,"Digite"))</f>
        <v>0</v>
      </c>
      <c r="BU63" s="454">
        <f>IF(OR('Parte Estrategica'!CL63=0,'Parte Estrategica'!CL63=""),0,IF(VLOOKUP($A63,'Matriz de Referencia'!$B$2:$CO$584,50,FALSE)=0,0,"Digite"))</f>
        <v>0</v>
      </c>
      <c r="BV63" s="382">
        <f t="shared" si="14"/>
        <v>0</v>
      </c>
      <c r="BW63" s="382">
        <f t="shared" si="15"/>
        <v>0</v>
      </c>
      <c r="BX63" s="453">
        <f>IF(OR('Parte Estrategica'!AI63=0,'Parte Estrategica'!AI63=""),0,IF(VLOOKUP($A63,'Matriz de Referencia'!$B$2:$CO$584,39,FALSE)=0,0,"Digite"))</f>
        <v>0</v>
      </c>
      <c r="BY63" s="454">
        <f>IF(OR('Parte Estrategica'!AI63=0,'Parte Estrategica'!AI63=""),0,IF(VLOOKUP($A63,'Matriz de Referencia'!$B$2:$CO$584,40,FALSE)=0,0,"Digite"))</f>
        <v>0</v>
      </c>
      <c r="BZ63" s="454">
        <f>IF(OR('Parte Estrategica'!AI63=0,'Parte Estrategica'!AI63=""),0,IF(VLOOKUP($A63,'Matriz de Referencia'!$B$2:$CO$584,41,FALSE)=0,0,"Digite"))</f>
        <v>0</v>
      </c>
      <c r="CA63" s="454">
        <f>IF(OR('Parte Estrategica'!AI63=0,'Parte Estrategica'!AI63=""),0,IF(VLOOKUP($A63,'Matriz de Referencia'!$B$2:$CO$584,42,FALSE)=0,0,"Digite"))</f>
        <v>0</v>
      </c>
      <c r="CB63" s="454">
        <f>IF(OR('Parte Estrategica'!AI63=0,'Parte Estrategica'!AI63=""),0,IF(VLOOKUP($A63,'Matriz de Referencia'!$B$2:$CO$584,43,FALSE)=0,0,"Digite"))</f>
        <v>0</v>
      </c>
      <c r="CC63" s="454">
        <f>IF(OR('Parte Estrategica'!AI63=0,'Parte Estrategica'!AI63=""),0,IF(VLOOKUP($A63,'Matriz de Referencia'!$B$2:$CO$584,44,FALSE)=0,0,"Digite"))</f>
        <v>0</v>
      </c>
      <c r="CD63" s="454">
        <f>IF(OR('Parte Estrategica'!AI63=0,'Parte Estrategica'!AI63=""),0,IF(VLOOKUP($A63,'Matriz de Referencia'!$B$2:$CO$584,45,FALSE)=0,0,"Digite"))</f>
        <v>0</v>
      </c>
      <c r="CE63" s="454">
        <f>IF(OR('Parte Estrategica'!AI63=0,'Parte Estrategica'!AI63=""),0,IF(VLOOKUP($A63,'Matriz de Referencia'!$B$2:$CO$584,46,FALSE)=0,0,"Digite"))</f>
        <v>0</v>
      </c>
      <c r="CF63" s="382">
        <f t="shared" si="16"/>
        <v>0</v>
      </c>
      <c r="CG63" s="454">
        <f>IF(OR('Parte Estrategica'!AI63=0,'Parte Estrategica'!AI63=""),0,IF(VLOOKUP($A63,'Matriz de Referencia'!$B$2:$CO$584,48,FALSE)=0,0,"Digite"))</f>
        <v>0</v>
      </c>
      <c r="CH63" s="454">
        <f>IF(OR('Parte Estrategica'!AI63=0,'Parte Estrategica'!AI63=""),0,IF(VLOOKUP($A63,'Matriz de Referencia'!$B$2:$CO$584,49,FALSE)=0,0,"Digite"))</f>
        <v>0</v>
      </c>
      <c r="CI63" s="454">
        <f>IF(OR('Parte Estrategica'!AI63=0,'Parte Estrategica'!AI63=""),0,IF(VLOOKUP($A63,'Matriz de Referencia'!$B$2:$CO$584,50,FALSE)=0,0,"Digite"))</f>
        <v>0</v>
      </c>
      <c r="CJ63" s="382">
        <f t="shared" si="17"/>
        <v>0</v>
      </c>
      <c r="CK63" s="382">
        <f t="shared" si="18"/>
        <v>0</v>
      </c>
      <c r="CL63" s="453">
        <f>IF(OR('Parte Estrategica'!AJ63=0,'Parte Estrategica'!AJ63=""),0,IF(VLOOKUP($A63,'Matriz de Referencia'!$B$2:$CO$584,39,FALSE)=0,0,"Digite"))</f>
        <v>0</v>
      </c>
      <c r="CM63" s="454">
        <f>IF(OR('Parte Estrategica'!AJ63=0,'Parte Estrategica'!AJ63=""),0,IF(VLOOKUP($A63,'Matriz de Referencia'!$B$2:$CO$584,40,FALSE)=0,0,"Digite"))</f>
        <v>0</v>
      </c>
      <c r="CN63" s="454">
        <f>IF(OR('Parte Estrategica'!AJ63=0,'Parte Estrategica'!AJ63=""),0,IF(VLOOKUP($A63,'Matriz de Referencia'!$B$2:$CO$584,41,FALSE)=0,0,"Digite"))</f>
        <v>0</v>
      </c>
      <c r="CO63" s="454">
        <f>IF(OR('Parte Estrategica'!AJ63=0,'Parte Estrategica'!AJ63=""),0,IF(VLOOKUP($A63,'Matriz de Referencia'!$B$2:$CO$584,42,FALSE)=0,0,"Digite"))</f>
        <v>0</v>
      </c>
      <c r="CP63" s="454">
        <f>IF(OR('Parte Estrategica'!AJ63=0,'Parte Estrategica'!AJ63=""),0,IF(VLOOKUP($A63,'Matriz de Referencia'!$B$2:$CO$584,43,FALSE)=0,0,"Digite"))</f>
        <v>0</v>
      </c>
      <c r="CQ63" s="454">
        <f>IF(OR('Parte Estrategica'!AJ63=0,'Parte Estrategica'!AJ63=""),0,IF(VLOOKUP($A63,'Matriz de Referencia'!$B$2:$CO$584,44,FALSE)=0,0,"Digite"))</f>
        <v>0</v>
      </c>
      <c r="CR63" s="454">
        <f>IF(OR('Parte Estrategica'!AJ63=0,'Parte Estrategica'!AJ63=""),0,IF(VLOOKUP($A63,'Matriz de Referencia'!$B$2:$CO$584,45,FALSE)=0,0,"Digite"))</f>
        <v>0</v>
      </c>
      <c r="CS63" s="454">
        <f>IF(OR('Parte Estrategica'!AJ63=0,'Parte Estrategica'!AJ63=""),0,IF(VLOOKUP($A63,'Matriz de Referencia'!$B$2:$CO$584,46,FALSE)=0,0,"Digite"))</f>
        <v>0</v>
      </c>
      <c r="CT63" s="382">
        <f t="shared" si="19"/>
        <v>0</v>
      </c>
      <c r="CU63" s="454">
        <f>IF(OR('Parte Estrategica'!AJ63=0,'Parte Estrategica'!AJ63=""),0,IF(VLOOKUP($A63,'Matriz de Referencia'!$B$2:$CO$584,48,FALSE)=0,0,"Digite"))</f>
        <v>0</v>
      </c>
      <c r="CV63" s="454">
        <f>IF(OR('Parte Estrategica'!AJ63=0,'Parte Estrategica'!AJ63=""),0,IF(VLOOKUP($A63,'Matriz de Referencia'!$B$2:$CO$584,49,FALSE)=0,0,"Digite"))</f>
        <v>0</v>
      </c>
      <c r="CW63" s="454">
        <f>IF(OR('Parte Estrategica'!AJ63=0,'Parte Estrategica'!AJ63=""),0,IF(VLOOKUP($A63,'Matriz de Referencia'!$B$2:$CO$584,50,FALSE)=0,0,"Digite"))</f>
        <v>0</v>
      </c>
      <c r="CX63" s="382">
        <f t="shared" si="20"/>
        <v>0</v>
      </c>
      <c r="CY63" s="382">
        <f t="shared" si="21"/>
        <v>0</v>
      </c>
      <c r="CZ63" s="453">
        <f>IF(OR('Parte Estrategica'!AK63=0,'Parte Estrategica'!AK63=""),0,IF(VLOOKUP($A63,'Matriz de Referencia'!$B$2:$CO$584,39,FALSE)=0,0,"Digite"))</f>
        <v>0</v>
      </c>
      <c r="DA63" s="454">
        <f>IF(OR('Parte Estrategica'!AK63=0,'Parte Estrategica'!AK63=""),0,IF(VLOOKUP($A63,'Matriz de Referencia'!$B$2:$CO$584,40,FALSE)=0,0,"Digite"))</f>
        <v>0</v>
      </c>
      <c r="DB63" s="454">
        <f>IF(OR('Parte Estrategica'!AK63=0,'Parte Estrategica'!AK63=""),0,IF(VLOOKUP($A63,'Matriz de Referencia'!$B$2:$CO$584,41,FALSE)=0,0,"Digite"))</f>
        <v>0</v>
      </c>
      <c r="DC63" s="454">
        <f>IF(OR('Parte Estrategica'!AK63=0,'Parte Estrategica'!AK63=""),0,IF(VLOOKUP($A63,'Matriz de Referencia'!$B$2:$CO$584,42,FALSE)=0,0,"Digite"))</f>
        <v>0</v>
      </c>
      <c r="DD63" s="454">
        <f>IF(OR('Parte Estrategica'!AK63=0,'Parte Estrategica'!AK63=""),0,IF(VLOOKUP($A63,'Matriz de Referencia'!$B$2:$CO$584,43,FALSE)=0,0,"Digite"))</f>
        <v>0</v>
      </c>
      <c r="DE63" s="454">
        <f>IF(OR('Parte Estrategica'!AK63=0,'Parte Estrategica'!AK63=""),0,IF(VLOOKUP($A63,'Matriz de Referencia'!$B$2:$CO$584,44,FALSE)=0,0,"Digite"))</f>
        <v>0</v>
      </c>
      <c r="DF63" s="454">
        <f>IF(OR('Parte Estrategica'!AK63=0,'Parte Estrategica'!AK63=""),0,IF(VLOOKUP($A63,'Matriz de Referencia'!$B$2:$CO$584,45,FALSE)=0,0,"Digite"))</f>
        <v>0</v>
      </c>
      <c r="DG63" s="454">
        <f>IF(OR('Parte Estrategica'!AK63=0,'Parte Estrategica'!AK63=""),0,IF(VLOOKUP($A63,'Matriz de Referencia'!$B$2:$CO$584,46,FALSE)=0,0,"Digite"))</f>
        <v>0</v>
      </c>
      <c r="DH63" s="382">
        <f t="shared" si="22"/>
        <v>0</v>
      </c>
      <c r="DI63" s="454">
        <f>IF(OR('Parte Estrategica'!AK63=0,'Parte Estrategica'!AK63=""),0,IF(VLOOKUP($A63,'Matriz de Referencia'!$B$2:$CO$584,48,FALSE)=0,0,"Digite"))</f>
        <v>0</v>
      </c>
      <c r="DJ63" s="454">
        <f>IF(OR('Parte Estrategica'!AK63=0,'Parte Estrategica'!AK63=""),0,IF(VLOOKUP($A63,'Matriz de Referencia'!$B$2:$CO$584,49,FALSE)=0,0,"Digite"))</f>
        <v>0</v>
      </c>
      <c r="DK63" s="454">
        <f>IF(OR('Parte Estrategica'!AK63=0,'Parte Estrategica'!AK63=""),0,IF(VLOOKUP($A63,'Matriz de Referencia'!$B$2:$CO$584,50,FALSE)=0,0,"Digite"))</f>
        <v>0</v>
      </c>
      <c r="DL63" s="382">
        <f t="shared" si="23"/>
        <v>0</v>
      </c>
      <c r="DM63" s="382">
        <f t="shared" si="24"/>
        <v>0</v>
      </c>
      <c r="DN63" s="382">
        <f t="shared" si="25"/>
        <v>0</v>
      </c>
      <c r="DO63" s="101" t="str">
        <f>IFERROR(IF(DN63=0,"",IF(VLOOKUP($A63,'Matriz de Referencia'!$B$2:$CO$584,52,FALSE)=DN63,"Techos ok, cotinue","Debe revisar el valor programado")),"")</f>
        <v/>
      </c>
      <c r="DP63" s="453">
        <f>IF(OR('Parte Estrategica'!AN63=0,'Parte Estrategica'!AN63=""),0,IF(VLOOKUP($A63,'Matriz de Referencia'!$B$2:$CO$584,53,FALSE)=0,0,"Digite"))</f>
        <v>0</v>
      </c>
      <c r="DQ63" s="454">
        <f>IF(OR('Parte Estrategica'!AN63=0,'Parte Estrategica'!AN63=""),0,IF(VLOOKUP($A63,'Matriz de Referencia'!$B$2:$CO$584,54,FALSE)=0,0,"Digite"))</f>
        <v>0</v>
      </c>
      <c r="DR63" s="454">
        <f>IF(OR('Parte Estrategica'!AN63=0,'Parte Estrategica'!AN63=""),0,IF(VLOOKUP($A63,'Matriz de Referencia'!$B$2:$CO$584,55,FALSE)=0,0,"Digite"))</f>
        <v>0</v>
      </c>
      <c r="DS63" s="454">
        <f>IF(OR('Parte Estrategica'!AN63=0,'Parte Estrategica'!AN63=""),0,IF(VLOOKUP($A63,'Matriz de Referencia'!$B$2:$CO$584,56,FALSE)=0,0,"Digite"))</f>
        <v>0</v>
      </c>
      <c r="DT63" s="454">
        <f>IF(OR('Parte Estrategica'!AN63=0,'Parte Estrategica'!AN63=""),0,IF(VLOOKUP($A63,'Matriz de Referencia'!$B$2:$CO$584,57,FALSE)=0,0,"Digite"))</f>
        <v>0</v>
      </c>
      <c r="DU63" s="454">
        <f>IF(OR('Parte Estrategica'!AN63=0,'Parte Estrategica'!AN63=""),0,IF(VLOOKUP($A63,'Matriz de Referencia'!$B$2:$CO$584,58,FALSE)=0,0,"Digite"))</f>
        <v>0</v>
      </c>
      <c r="DV63" s="454">
        <f>IF(OR('Parte Estrategica'!AN63=0,'Parte Estrategica'!AN63=""),0,IF(VLOOKUP($A63,'Matriz de Referencia'!$B$2:$CO$584,59,FALSE)=0,0,"Digite"))</f>
        <v>0</v>
      </c>
      <c r="DW63" s="454">
        <f>IF(OR('Parte Estrategica'!AN63=0,'Parte Estrategica'!AN63=""),0,IF(VLOOKUP($A63,'Matriz de Referencia'!$B$2:$CO$584,60,FALSE)=0,0,"Digite"))</f>
        <v>0</v>
      </c>
      <c r="DX63" s="382">
        <f t="shared" si="26"/>
        <v>0</v>
      </c>
      <c r="DY63" s="454">
        <f>IF(OR('Parte Estrategica'!AN63=0,'Parte Estrategica'!AN63=""),0,IF(VLOOKUP($A63,'Matriz de Referencia'!$B$2:$CO$584,62,FALSE)=0,0,"Digite"))</f>
        <v>0</v>
      </c>
      <c r="DZ63" s="454">
        <f>IF(OR('Parte Estrategica'!AN63=0,'Parte Estrategica'!AN63=""),0,IF(VLOOKUP($A63,'Matriz de Referencia'!$B$2:$CO$584,63,FALSE)=0,0,"Digite"))</f>
        <v>0</v>
      </c>
      <c r="EA63" s="454" t="str">
        <f>IF(OR('Parte Estrategica'!AN63=0,'Parte Estrategica'!AN63=""),"",IF(VLOOKUP($A63,'Matriz de Referencia'!$B$2:$CO$584,64,FALSE)=0,"","Digite"))</f>
        <v/>
      </c>
      <c r="EB63" s="382">
        <f t="shared" si="27"/>
        <v>0</v>
      </c>
      <c r="EC63" s="382">
        <f t="shared" si="28"/>
        <v>0</v>
      </c>
      <c r="ED63" s="453">
        <f>IF(OR('Parte Estrategica'!AO63=0,'Parte Estrategica'!AO63=""),0,IF(VLOOKUP($A63,'Matriz de Referencia'!$B$2:$CO$584,53,FALSE)=0,0,"Digite"))</f>
        <v>0</v>
      </c>
      <c r="EE63" s="454">
        <f>IF(OR('Parte Estrategica'!AO63=0,'Parte Estrategica'!AO63=""),0,IF(VLOOKUP($A63,'Matriz de Referencia'!$B$2:$CO$584,54,FALSE)=0,0,"Digite"))</f>
        <v>0</v>
      </c>
      <c r="EF63" s="454">
        <f>IF(OR('Parte Estrategica'!AO63=0,'Parte Estrategica'!AO63=""),0,IF(VLOOKUP($A63,'Matriz de Referencia'!$B$2:$CO$584,55,FALSE)=0,0,"Digite"))</f>
        <v>0</v>
      </c>
      <c r="EG63" s="454">
        <f>IF(OR('Parte Estrategica'!AO63=0,'Parte Estrategica'!AO63=""),0,IF(VLOOKUP($A63,'Matriz de Referencia'!$B$2:$CO$584,56,FALSE)=0,0,"Digite"))</f>
        <v>0</v>
      </c>
      <c r="EH63" s="454">
        <f>IF(OR('Parte Estrategica'!AO63=0,'Parte Estrategica'!AO63=""),0,IF(VLOOKUP($A63,'Matriz de Referencia'!$B$2:$CO$584,57,FALSE)=0,0,"Digite"))</f>
        <v>0</v>
      </c>
      <c r="EI63" s="454">
        <f>IF(OR('Parte Estrategica'!AO63=0,'Parte Estrategica'!AO63=""),0,IF(VLOOKUP($A63,'Matriz de Referencia'!$B$2:$CO$584,58,FALSE)=0,0,"Digite"))</f>
        <v>0</v>
      </c>
      <c r="EJ63" s="454">
        <f>IF(OR('Parte Estrategica'!AO63=0,'Parte Estrategica'!AO63=""),0,IF(VLOOKUP($A63,'Matriz de Referencia'!$B$2:$CO$584,59,FALSE)=0,0,"Digite"))</f>
        <v>0</v>
      </c>
      <c r="EK63" s="454">
        <f>IF(OR('Parte Estrategica'!AO63=0,'Parte Estrategica'!AO63=""),0,IF(VLOOKUP($A63,'Matriz de Referencia'!$B$2:$CO$584,60,FALSE)=0,0,"Digite"))</f>
        <v>0</v>
      </c>
      <c r="EL63" s="382">
        <f t="shared" si="29"/>
        <v>0</v>
      </c>
      <c r="EM63" s="454">
        <f>IF(OR('Parte Estrategica'!AO63=0,'Parte Estrategica'!AO63=""),0,IF(VLOOKUP($A63,'Matriz de Referencia'!$B$2:$CO$584,62,FALSE)=0,0,"Digite"))</f>
        <v>0</v>
      </c>
      <c r="EN63" s="454">
        <f>IF(OR('Parte Estrategica'!AO63=0,'Parte Estrategica'!AO63=""),0,IF(VLOOKUP($A63,'Matriz de Referencia'!$B$2:$CO$584,63,FALSE)=0,0,"Digite"))</f>
        <v>0</v>
      </c>
      <c r="EO63" s="454">
        <f>IF(OR('Parte Estrategica'!AO63=0,'Parte Estrategica'!AO63=""),0,IF(VLOOKUP($A63,'Matriz de Referencia'!$B$2:$CO$584,64,FALSE)=0,0,"Digite"))</f>
        <v>0</v>
      </c>
      <c r="EP63" s="382">
        <f t="shared" si="30"/>
        <v>0</v>
      </c>
      <c r="EQ63" s="382">
        <f t="shared" si="31"/>
        <v>0</v>
      </c>
      <c r="ER63" s="453">
        <f>IF(OR('Parte Estrategica'!AP63=0,'Parte Estrategica'!AP63=""),0,IF(VLOOKUP($A63,'Matriz de Referencia'!$B$2:$CO$584,53,FALSE)=0,0,"Digite"))</f>
        <v>0</v>
      </c>
      <c r="ES63" s="454">
        <f>IF(OR('Parte Estrategica'!AP63=0,'Parte Estrategica'!AP63=""),0,IF(VLOOKUP($A63,'Matriz de Referencia'!$B$2:$CO$584,54,FALSE)=0,0,"Digite"))</f>
        <v>0</v>
      </c>
      <c r="ET63" s="454">
        <f>IF(OR('Parte Estrategica'!AP63=0,'Parte Estrategica'!AP63=""),0,IF(VLOOKUP($A63,'Matriz de Referencia'!$B$2:$CO$584,55,FALSE)=0,0,"Digite"))</f>
        <v>0</v>
      </c>
      <c r="EU63" s="454">
        <f>IF(OR('Parte Estrategica'!AP63=0,'Parte Estrategica'!AP63=""),0,IF(VLOOKUP($A63,'Matriz de Referencia'!$B$2:$CO$584,56,FALSE)=0,0,"Digite"))</f>
        <v>0</v>
      </c>
      <c r="EV63" s="454">
        <f>IF(OR('Parte Estrategica'!AP63=0,'Parte Estrategica'!AP63=""),0,IF(VLOOKUP($A63,'Matriz de Referencia'!$B$2:$CO$584,57,FALSE)=0,0,"Digite"))</f>
        <v>0</v>
      </c>
      <c r="EW63" s="454">
        <f>IF(OR('Parte Estrategica'!AP63=0,'Parte Estrategica'!AP63=""),0,IF(VLOOKUP($A63,'Matriz de Referencia'!$B$2:$CO$584,58,FALSE)=0,0,"Digite"))</f>
        <v>0</v>
      </c>
      <c r="EX63" s="454">
        <f>IF(OR('Parte Estrategica'!AP63=0,'Parte Estrategica'!AP63=""),0,IF(VLOOKUP($A63,'Matriz de Referencia'!$B$2:$CO$584,59,FALSE)=0,0,"Digite"))</f>
        <v>0</v>
      </c>
      <c r="EY63" s="454">
        <f>IF(OR('Parte Estrategica'!AP63=0,'Parte Estrategica'!AP63=""),0,IF(VLOOKUP($A63,'Matriz de Referencia'!$B$2:$CO$584,60,FALSE)=0,0,"Digite"))</f>
        <v>0</v>
      </c>
      <c r="EZ63" s="382">
        <f t="shared" si="32"/>
        <v>0</v>
      </c>
      <c r="FA63" s="454">
        <f>IF(OR('Parte Estrategica'!AP63=0,'Parte Estrategica'!AP63=""),0,IF(VLOOKUP($A63,'Matriz de Referencia'!$B$2:$CO$584,62,FALSE)=0,0,"Digite"))</f>
        <v>0</v>
      </c>
      <c r="FB63" s="454">
        <f>IF(OR('Parte Estrategica'!AP63=0,'Parte Estrategica'!AP63=""),0,IF(VLOOKUP($A63,'Matriz de Referencia'!$B$2:$CO$584,63,FALSE)=0,0,"Digite"))</f>
        <v>0</v>
      </c>
      <c r="FC63" s="454">
        <f>IF(OR('Parte Estrategica'!AP63=0,'Parte Estrategica'!AP63=""),0,IF(VLOOKUP($A63,'Matriz de Referencia'!$B$2:$CO$584,64,FALSE)=0,0,"Digite"))</f>
        <v>0</v>
      </c>
      <c r="FD63" s="382">
        <f t="shared" si="33"/>
        <v>0</v>
      </c>
      <c r="FE63" s="382">
        <f t="shared" si="34"/>
        <v>0</v>
      </c>
      <c r="FF63" s="453">
        <f>IF(OR('Parte Estrategica'!AQ63=0,'Parte Estrategica'!AQ63=""),0,IF(VLOOKUP($A63,'Matriz de Referencia'!$B$2:$CO$584,53,FALSE)=0,0,"Digite"))</f>
        <v>0</v>
      </c>
      <c r="FG63" s="454">
        <f>IF(OR('Parte Estrategica'!AQ63=0,'Parte Estrategica'!AQ63=""),0,IF(VLOOKUP($A63,'Matriz de Referencia'!$B$2:$CO$584,54,FALSE)=0,0,"Digite"))</f>
        <v>0</v>
      </c>
      <c r="FH63" s="454">
        <f>IF(OR('Parte Estrategica'!AQ63=0,'Parte Estrategica'!AQ63=""),0,IF(VLOOKUP($A63,'Matriz de Referencia'!$B$2:$CO$584,55,FALSE)=0,0,"Digite"))</f>
        <v>0</v>
      </c>
      <c r="FI63" s="454">
        <f>IF(OR('Parte Estrategica'!AQ63=0,'Parte Estrategica'!AQ63=""),0,IF(VLOOKUP($A63,'Matriz de Referencia'!$B$2:$CO$584,56,FALSE)=0,0,"Digite"))</f>
        <v>0</v>
      </c>
      <c r="FJ63" s="454">
        <f>IF(OR('Parte Estrategica'!AQ63=0,'Parte Estrategica'!AQ63=""),0,IF(VLOOKUP($A63,'Matriz de Referencia'!$B$2:$CO$584,57,FALSE)=0,0,"Digite"))</f>
        <v>0</v>
      </c>
      <c r="FK63" s="454">
        <f>IF(OR('Parte Estrategica'!AQ63=0,'Parte Estrategica'!AQ63=""),0,IF(VLOOKUP($A63,'Matriz de Referencia'!$B$2:$CO$584,58,FALSE)=0,0,"Digite"))</f>
        <v>0</v>
      </c>
      <c r="FL63" s="454">
        <f>IF(OR('Parte Estrategica'!AQ63=0,'Parte Estrategica'!AQ63=""),0,IF(VLOOKUP($A63,'Matriz de Referencia'!$B$2:$CO$584,59,FALSE)=0,0,"Digite"))</f>
        <v>0</v>
      </c>
      <c r="FM63" s="454">
        <f>IF(OR('Parte Estrategica'!AQ63=0,'Parte Estrategica'!AQ63=""),0,IF(VLOOKUP($A63,'Matriz de Referencia'!$B$2:$CO$584,60,FALSE)=0,0,"Digite"))</f>
        <v>0</v>
      </c>
      <c r="FN63" s="382">
        <f t="shared" si="35"/>
        <v>0</v>
      </c>
      <c r="FO63" s="454">
        <f>IF(OR('Parte Estrategica'!AQ63=0,'Parte Estrategica'!AQ63=""),0,IF(VLOOKUP($A63,'Matriz de Referencia'!$B$2:$CO$584,62,FALSE)=0,0,"Digite"))</f>
        <v>0</v>
      </c>
      <c r="FP63" s="454">
        <f>IF(OR('Parte Estrategica'!AQ63=0,'Parte Estrategica'!AQ63=""),0,IF(VLOOKUP($A63,'Matriz de Referencia'!$B$2:$CO$584,63,FALSE)=0,0,"Digite"))</f>
        <v>0</v>
      </c>
      <c r="FQ63" s="454">
        <f>IF(OR('Parte Estrategica'!AQ63=0,'Parte Estrategica'!AQ63=""),0,IF(VLOOKUP($A63,'Matriz de Referencia'!$B$2:$CO$584,64,FALSE)=0,0,"Digite"))</f>
        <v>0</v>
      </c>
      <c r="FR63" s="382">
        <f t="shared" si="36"/>
        <v>0</v>
      </c>
      <c r="FS63" s="382">
        <f t="shared" si="37"/>
        <v>0</v>
      </c>
      <c r="FT63" s="382">
        <f t="shared" si="38"/>
        <v>0</v>
      </c>
      <c r="FU63" s="101" t="str">
        <f>IFERROR(IF(FT63=0,"",IF(VLOOKUP($A63,'Matriz de Referencia'!$B$2:$CO$584,66,FALSE)=FT63,"Techos ok, cotinue","Debe revisar el valor programado")),"")</f>
        <v/>
      </c>
      <c r="FV63" s="453">
        <f>IF(OR('Parte Estrategica'!AT63=0,'Parte Estrategica'!AT63=""),0,IF(VLOOKUP($A63,'Matriz de Referencia'!$B$2:$CO$584,67,FALSE)=0,0,"Digite"))</f>
        <v>0</v>
      </c>
      <c r="FW63" s="454">
        <f>IF(OR('Parte Estrategica'!AT63=0,'Parte Estrategica'!AT63=""),0,IF(VLOOKUP($A63,'Matriz de Referencia'!$B$2:$CO$584,68,FALSE)=0,0,"Digite"))</f>
        <v>0</v>
      </c>
      <c r="FX63" s="454">
        <f>IF(OR('Parte Estrategica'!AT63=0,'Parte Estrategica'!AT63=""),0,IF(VLOOKUP($A63,'Matriz de Referencia'!$B$2:$CO$584,69,FALSE)=0,0,"Digite"))</f>
        <v>0</v>
      </c>
      <c r="FY63" s="454">
        <f>IF(OR('Parte Estrategica'!AT63=0,'Parte Estrategica'!AT63=""),0,IF(VLOOKUP($A63,'Matriz de Referencia'!$B$2:$CO$584,70,FALSE)=0,0,"Digite"))</f>
        <v>0</v>
      </c>
      <c r="FZ63" s="454">
        <f>IF(OR('Parte Estrategica'!AT63=0,'Parte Estrategica'!AT63=""),0,IF(VLOOKUP($A63,'Matriz de Referencia'!$B$2:$CO$584,71,FALSE)=0,0,"Digite"))</f>
        <v>0</v>
      </c>
      <c r="GA63" s="454">
        <f>IF(OR('Parte Estrategica'!AT63=0,'Parte Estrategica'!AT63=""),0,IF(VLOOKUP($A63,'Matriz de Referencia'!$B$2:$CO$584,72,FALSE)=0,0,"Digite"))</f>
        <v>0</v>
      </c>
      <c r="GB63" s="454">
        <f>IF(OR('Parte Estrategica'!AT63=0,'Parte Estrategica'!AT63=""),0,IF(VLOOKUP($A63,'Matriz de Referencia'!$B$2:$CO$584,73,FALSE)=0,0,"Digite"))</f>
        <v>0</v>
      </c>
      <c r="GC63" s="454">
        <f>IF(OR('Parte Estrategica'!AT63=0,'Parte Estrategica'!AT63=""),0,IF(VLOOKUP($A63,'Matriz de Referencia'!$B$2:$CO$584,74,FALSE)=0,0,"Digite"))</f>
        <v>0</v>
      </c>
      <c r="GD63" s="382">
        <f t="shared" si="39"/>
        <v>0</v>
      </c>
      <c r="GE63" s="454">
        <f>IF(OR('Parte Estrategica'!AT63=0,'Parte Estrategica'!AT63=""),0,IF(VLOOKUP($A63,'Matriz de Referencia'!$B$2:$CO$584,76,FALSE)=0,0,"Digite"))</f>
        <v>0</v>
      </c>
      <c r="GF63" s="454">
        <f>IF(OR('Parte Estrategica'!AT63=0,'Parte Estrategica'!AT63=""),0,IF(VLOOKUP($A63,'Matriz de Referencia'!$B$2:$CO$584,77,FALSE)=0,0,"Digite"))</f>
        <v>0</v>
      </c>
      <c r="GG63" s="454">
        <f>IF(OR('Parte Estrategica'!AT63=0,'Parte Estrategica'!AT63=""),0,IF(VLOOKUP($A63,'Matriz de Referencia'!$B$2:$CO$584,78,FALSE)=0,0,"Digite"))</f>
        <v>0</v>
      </c>
      <c r="GH63" s="382">
        <f t="shared" si="40"/>
        <v>0</v>
      </c>
      <c r="GI63" s="382">
        <f t="shared" si="41"/>
        <v>0</v>
      </c>
      <c r="GJ63" s="453">
        <f>IF(OR('Parte Estrategica'!AU63=0,'Parte Estrategica'!AU63=""),0,IF(VLOOKUP($A63,'Matriz de Referencia'!$B$2:$CO$584,67,FALSE)=0,0,"Digite"))</f>
        <v>0</v>
      </c>
      <c r="GK63" s="454">
        <f>IF(OR('Parte Estrategica'!AU63=0,'Parte Estrategica'!AU63=""),0,IF(VLOOKUP($A63,'Matriz de Referencia'!$B$2:$CO$584,68,FALSE)=0,0,"Digite"))</f>
        <v>0</v>
      </c>
      <c r="GL63" s="454">
        <f>IF(OR('Parte Estrategica'!AU63=0,'Parte Estrategica'!AU63=""),0,IF(VLOOKUP($A63,'Matriz de Referencia'!$B$2:$CO$584,69,FALSE)=0,0,"Digite"))</f>
        <v>0</v>
      </c>
      <c r="GM63" s="454">
        <f>IF(OR('Parte Estrategica'!AU63=0,'Parte Estrategica'!AU63=""),0,IF(VLOOKUP($A63,'Matriz de Referencia'!$B$2:$CO$584,70,FALSE)=0,0,"Digite"))</f>
        <v>0</v>
      </c>
      <c r="GN63" s="454">
        <f>IF(OR('Parte Estrategica'!AU63=0,'Parte Estrategica'!AU63=""),0,IF(VLOOKUP($A63,'Matriz de Referencia'!$B$2:$CO$584,71,FALSE)=0,0,"Digite"))</f>
        <v>0</v>
      </c>
      <c r="GO63" s="454">
        <f>IF(OR('Parte Estrategica'!AU63=0,'Parte Estrategica'!AU63=""),0,IF(VLOOKUP($A63,'Matriz de Referencia'!$B$2:$CO$584,72,FALSE)=0,0,"Digite"))</f>
        <v>0</v>
      </c>
      <c r="GP63" s="454">
        <f>IF(OR('Parte Estrategica'!AU63=0,'Parte Estrategica'!AU63=""),0,IF(VLOOKUP($A63,'Matriz de Referencia'!$B$2:$CO$584,73,FALSE)=0,0,"Digite"))</f>
        <v>0</v>
      </c>
      <c r="GQ63" s="454">
        <f>IF(OR('Parte Estrategica'!AU63=0,'Parte Estrategica'!AU63=""),0,IF(VLOOKUP($A63,'Matriz de Referencia'!$B$2:$CO$584,74,FALSE)=0,0,"Digite"))</f>
        <v>0</v>
      </c>
      <c r="GR63" s="382">
        <f t="shared" si="42"/>
        <v>0</v>
      </c>
      <c r="GS63" s="454">
        <f>IF(OR('Parte Estrategica'!AU63=0,'Parte Estrategica'!AU63=""),0,IF(VLOOKUP($A63,'Matriz de Referencia'!$B$2:$CO$584,76,FALSE)=0,0,"Digite"))</f>
        <v>0</v>
      </c>
      <c r="GT63" s="454">
        <f>IF(OR('Parte Estrategica'!AU63=0,'Parte Estrategica'!AU63=""),0,IF(VLOOKUP($A63,'Matriz de Referencia'!$B$2:$CO$584,77,FALSE)=0,0,"Digite"))</f>
        <v>0</v>
      </c>
      <c r="GU63" s="454">
        <f>IF(OR('Parte Estrategica'!AU63=0,'Parte Estrategica'!AU63=""),0,IF(VLOOKUP($A63,'Matriz de Referencia'!$B$2:$CO$584,78,FALSE)=0,0,"Digite"))</f>
        <v>0</v>
      </c>
      <c r="GV63" s="382">
        <f t="shared" si="43"/>
        <v>0</v>
      </c>
      <c r="GW63" s="382">
        <f t="shared" si="44"/>
        <v>0</v>
      </c>
      <c r="GX63" s="453">
        <f>IF(OR('Parte Estrategica'!AV63=0,'Parte Estrategica'!AV63=""),0,IF(VLOOKUP($A63,'Matriz de Referencia'!$B$2:$CO$584,67,FALSE)=0,0,"Digite"))</f>
        <v>0</v>
      </c>
      <c r="GY63" s="454">
        <f>IF(OR('Parte Estrategica'!AV63=0,'Parte Estrategica'!AV63=""),0,IF(VLOOKUP($A63,'Matriz de Referencia'!$B$2:$CO$584,68,FALSE)=0,0,"Digite"))</f>
        <v>0</v>
      </c>
      <c r="GZ63" s="454">
        <f>IF(OR('Parte Estrategica'!AV63=0,'Parte Estrategica'!AV63=""),0,IF(VLOOKUP($A63,'Matriz de Referencia'!$B$2:$CO$584,69,FALSE)=0,0,"Digite"))</f>
        <v>0</v>
      </c>
      <c r="HA63" s="454">
        <f>IF(OR('Parte Estrategica'!AV63=0,'Parte Estrategica'!AV63=""),0,IF(VLOOKUP($A63,'Matriz de Referencia'!$B$2:$CO$584,70,FALSE)=0,0,"Digite"))</f>
        <v>0</v>
      </c>
      <c r="HB63" s="454">
        <f>IF(OR('Parte Estrategica'!AV63=0,'Parte Estrategica'!AV63=""),0,IF(VLOOKUP($A63,'Matriz de Referencia'!$B$2:$CO$584,71,FALSE)=0,0,"Digite"))</f>
        <v>0</v>
      </c>
      <c r="HC63" s="454">
        <f>IF(OR('Parte Estrategica'!AV63=0,'Parte Estrategica'!AV63=""),0,IF(VLOOKUP($A63,'Matriz de Referencia'!$B$2:$CO$584,72,FALSE)=0,0,"Digite"))</f>
        <v>0</v>
      </c>
      <c r="HD63" s="454">
        <f>IF(OR('Parte Estrategica'!AV63=0,'Parte Estrategica'!AV63=""),0,IF(VLOOKUP($A63,'Matriz de Referencia'!$B$2:$CO$584,73,FALSE)=0,0,"Digite"))</f>
        <v>0</v>
      </c>
      <c r="HE63" s="454">
        <f>IF(OR('Parte Estrategica'!AV63=0,'Parte Estrategica'!AV63=""),0,IF(VLOOKUP($A63,'Matriz de Referencia'!$B$2:$CO$584,74,FALSE)=0,0,"Digite"))</f>
        <v>0</v>
      </c>
      <c r="HF63" s="382">
        <f t="shared" si="45"/>
        <v>0</v>
      </c>
      <c r="HG63" s="454">
        <f>IF(OR('Parte Estrategica'!AV63=0,'Parte Estrategica'!AV63=""),0,IF(VLOOKUP($A63,'Matriz de Referencia'!$B$2:$CO$584,76,FALSE)=0,0,"Digite"))</f>
        <v>0</v>
      </c>
      <c r="HH63" s="454">
        <f>IF(OR('Parte Estrategica'!AV63=0,'Parte Estrategica'!AV63=""),0,IF(VLOOKUP($A63,'Matriz de Referencia'!$B$2:$CO$584,77,FALSE)=0,0,"Digite"))</f>
        <v>0</v>
      </c>
      <c r="HI63" s="454">
        <f>IF(OR('Parte Estrategica'!AV63=0,'Parte Estrategica'!AV63=""),0,IF(VLOOKUP($A63,'Matriz de Referencia'!$B$2:$CO$584,78,FALSE)=0,0,"Digite"))</f>
        <v>0</v>
      </c>
      <c r="HJ63" s="382">
        <f t="shared" si="46"/>
        <v>0</v>
      </c>
      <c r="HK63" s="382">
        <f t="shared" si="47"/>
        <v>0</v>
      </c>
      <c r="HL63" s="453">
        <f>IF(OR('Parte Estrategica'!AW63=0,'Parte Estrategica'!AW63=""),0,IF(VLOOKUP($A63,'Matriz de Referencia'!$B$2:$CO$584,67,FALSE)=0,0,"Digite"))</f>
        <v>0</v>
      </c>
      <c r="HM63" s="454">
        <f>IF(OR('Parte Estrategica'!AW63=0,'Parte Estrategica'!AW63=""),0,IF(VLOOKUP($A63,'Matriz de Referencia'!$B$2:$CO$584,68,FALSE)=0,0,"Digite"))</f>
        <v>0</v>
      </c>
      <c r="HN63" s="454">
        <f>IF(OR('Parte Estrategica'!AW63=0,'Parte Estrategica'!AW63=""),0,IF(VLOOKUP($A63,'Matriz de Referencia'!$B$2:$CO$584,69,FALSE)=0,0,"Digite"))</f>
        <v>0</v>
      </c>
      <c r="HO63" s="454">
        <f>IF(OR('Parte Estrategica'!AW63=0,'Parte Estrategica'!AW63=""),0,IF(VLOOKUP($A63,'Matriz de Referencia'!$B$2:$CO$584,70,FALSE)=0,0,"Digite"))</f>
        <v>0</v>
      </c>
      <c r="HP63" s="454">
        <f>IF(OR('Parte Estrategica'!AW63=0,'Parte Estrategica'!AW63=""),0,IF(VLOOKUP($A63,'Matriz de Referencia'!$B$2:$CO$584,71,FALSE)=0,0,"Digite"))</f>
        <v>0</v>
      </c>
      <c r="HQ63" s="454">
        <f>IF(OR('Parte Estrategica'!AW63=0,'Parte Estrategica'!AW63=""),0,IF(VLOOKUP($A63,'Matriz de Referencia'!$B$2:$CO$584,72,FALSE)=0,0,"Digite"))</f>
        <v>0</v>
      </c>
      <c r="HR63" s="454">
        <f>IF(OR('Parte Estrategica'!AW63=0,'Parte Estrategica'!AW63=""),0,IF(VLOOKUP($A63,'Matriz de Referencia'!$B$2:$CO$584,73,FALSE)=0,0,"Digite"))</f>
        <v>0</v>
      </c>
      <c r="HS63" s="454">
        <f>IF(OR('Parte Estrategica'!AW63=0,'Parte Estrategica'!AW63=""),0,IF(VLOOKUP($A63,'Matriz de Referencia'!$B$2:$CO$584,74,FALSE)=0,0,"Digite"))</f>
        <v>0</v>
      </c>
      <c r="HT63" s="382">
        <f t="shared" si="48"/>
        <v>0</v>
      </c>
      <c r="HU63" s="454">
        <f>IF(OR('Parte Estrategica'!AW63=0,'Parte Estrategica'!AW63=""),0,IF(VLOOKUP($A63,'Matriz de Referencia'!$B$2:$CO$584,76,FALSE)=0,0,"Digite"))</f>
        <v>0</v>
      </c>
      <c r="HV63" s="454">
        <f>IF(OR('Parte Estrategica'!AW63=0,'Parte Estrategica'!AW63=""),0,IF(VLOOKUP($A63,'Matriz de Referencia'!$B$2:$CO$584,77,FALSE)=0,0,"Digite"))</f>
        <v>0</v>
      </c>
      <c r="HW63" s="454">
        <f>IF(OR('Parte Estrategica'!AW63=0,'Parte Estrategica'!AW63=""),0,IF(VLOOKUP($A63,'Matriz de Referencia'!$B$2:$CO$584,78,FALSE)=0,0,"Digite"))</f>
        <v>0</v>
      </c>
      <c r="HX63" s="382">
        <f t="shared" si="49"/>
        <v>0</v>
      </c>
      <c r="HY63" s="382">
        <f t="shared" si="50"/>
        <v>0</v>
      </c>
      <c r="HZ63" s="382">
        <f t="shared" si="51"/>
        <v>0</v>
      </c>
      <c r="IA63" s="101" t="str">
        <f>IFERROR(IF(HZ63=0,"",IF(VLOOKUP($A63,'Matriz de Referencia'!$B$2:$CO$584,80,FALSE)=HZ63,"Techos ok, cotinue","Debe revisar el valor programado")),"")</f>
        <v/>
      </c>
      <c r="IB63" s="383">
        <f t="shared" si="52"/>
        <v>0</v>
      </c>
    </row>
    <row r="64" spans="1:236">
      <c r="A64" s="550" t="str">
        <f>IF('Parte Estrategica'!B64=0,"",'Parte Estrategica'!B64)</f>
        <v/>
      </c>
      <c r="B64" s="551" t="str">
        <f>IFERROR(VLOOKUP(A64,'Matriz de Referencia'!$B$2:$P$578,'Matriz de Referencia'!L$1,FALSE),"")</f>
        <v/>
      </c>
      <c r="C64" s="551" t="str">
        <f>IFERROR(VLOOKUP(A64,'Matriz de Referencia'!$B$2:$P$584,'Matriz de Referencia'!M$1,FALSE),"")</f>
        <v/>
      </c>
      <c r="D64" s="455" t="str">
        <f>IF(OR('Parte Estrategica'!AB64=0,'Parte Estrategica'!AB64=""),"",IF(VLOOKUP($A64,'Matriz de Referencia'!$B$2:$CO$584,'Matriz de Referencia'!Z$1,FALSE)=0,"","Digite"))</f>
        <v/>
      </c>
      <c r="E64" s="456">
        <f>IF(OR('Parte Estrategica'!AB64=0,'Parte Estrategica'!AB64=""),0,IF(VLOOKUP($A64,'Matriz de Referencia'!$B$2:$CO$584,26,FALSE)=0,0,"Digite"))</f>
        <v>0</v>
      </c>
      <c r="F64" s="456">
        <f>IF(OR('Parte Estrategica'!AB64=0,'Parte Estrategica'!AB64=""),0,IF(VLOOKUP($A64,'Matriz de Referencia'!$B$2:$CO$584,27,FALSE)=0,0,"Digite"))</f>
        <v>0</v>
      </c>
      <c r="G64" s="456">
        <f>IF(OR('Parte Estrategica'!AB64=0,'Parte Estrategica'!AB64=""),0,IF(VLOOKUP($A64,'Matriz de Referencia'!$B$2:$CO$584,28,FALSE)=0,0,"Digite"))</f>
        <v>0</v>
      </c>
      <c r="H64" s="456">
        <f>IF(OR('Parte Estrategica'!AB64=0,'Parte Estrategica'!AB64=""),0,IF(VLOOKUP($A64,'Matriz de Referencia'!$B$2:$CO$584,29,FALSE)=0,0,"Digite"))</f>
        <v>0</v>
      </c>
      <c r="I64" s="456">
        <f>IF(OR('Parte Estrategica'!AB64=0,'Parte Estrategica'!AB64=""),0,IF(VLOOKUP($A64,'Matriz de Referencia'!$B$2:$CO$584,30,FALSE)=0,0,"Digite"))</f>
        <v>0</v>
      </c>
      <c r="J64" s="456">
        <f>IF(OR('Parte Estrategica'!AB64=0,'Parte Estrategica'!AB64=""),0,IF(VLOOKUP($A64,'Matriz de Referencia'!$B$2:$CO$584,31,FALSE)=0,0,"Digite"))</f>
        <v>0</v>
      </c>
      <c r="K64" s="456">
        <f>IF(OR('Parte Estrategica'!AB64=0,'Parte Estrategica'!AB64=""),0,IF(VLOOKUP($A64,'Matriz de Referencia'!$B$2:$CO$584,32,FALSE)=0,0,"Digite"))</f>
        <v>0</v>
      </c>
      <c r="L64" s="460">
        <f t="shared" si="0"/>
        <v>0</v>
      </c>
      <c r="M64" s="456">
        <f>IF(OR('Parte Estrategica'!AB64=0,'Parte Estrategica'!AB64=""),0,IF(VLOOKUP($A64,'Matriz de Referencia'!$B$2:$CO$584,34,FALSE)=0,0,"Digite"))</f>
        <v>0</v>
      </c>
      <c r="N64" s="456">
        <f>IF(OR('Parte Estrategica'!AB64=0,'Parte Estrategica'!AB64=""),0,IF(VLOOKUP($A64,'Matriz de Referencia'!$B$2:$CO$584,35,FALSE)=0,0,"Digite"))</f>
        <v>0</v>
      </c>
      <c r="O64" s="456">
        <f>IF(OR('Parte Estrategica'!AB64=0,'Parte Estrategica'!AB64=""),0,IF(VLOOKUP($A64,'Matriz de Referencia'!$B$2:$CO$584,36,FALSE)=0,0,"Digite"))</f>
        <v>0</v>
      </c>
      <c r="P64" s="457">
        <f t="shared" si="1"/>
        <v>0</v>
      </c>
      <c r="Q64" s="457">
        <f t="shared" si="2"/>
        <v>0</v>
      </c>
      <c r="R64" s="455">
        <f>IF(OR('Parte Estrategica'!AC64=0,'Parte Estrategica'!AC64=""),0,IF(VLOOKUP($A64,'Matriz de Referencia'!$B$2:$CO$584,25,FALSE)=0,0,"Digite"))</f>
        <v>0</v>
      </c>
      <c r="S64" s="456">
        <f>IF(OR('Parte Estrategica'!AC64=0,'Parte Estrategica'!AC64=""),0,IF(VLOOKUP($A64,'Matriz de Referencia'!$B$2:$CO$584,26,FALSE)=0,0,"Digite"))</f>
        <v>0</v>
      </c>
      <c r="T64" s="456">
        <f>IF(OR('Parte Estrategica'!AC64=0,'Parte Estrategica'!AC64=""),0,IF(VLOOKUP($A64,'Matriz de Referencia'!$B$2:$CO$584,27,FALSE)=0,0,"Digite"))</f>
        <v>0</v>
      </c>
      <c r="U64" s="456">
        <f>IF(OR('Parte Estrategica'!AC64=0,'Parte Estrategica'!AC64=""),0,IF(VLOOKUP($A64,'Matriz de Referencia'!$B$2:$CO$584,28,FALSE)=0,0,"Digite"))</f>
        <v>0</v>
      </c>
      <c r="V64" s="456">
        <f>IF(OR('Parte Estrategica'!AC64=0,'Parte Estrategica'!AC64=""),0,IF(VLOOKUP($A64,'Matriz de Referencia'!$B$2:$CO$584,29,FALSE)=0,0,"Digite"))</f>
        <v>0</v>
      </c>
      <c r="W64" s="456">
        <f>IF(OR('Parte Estrategica'!AC64=0,'Parte Estrategica'!AC64=""),0,IF(VLOOKUP($A64,'Matriz de Referencia'!$B$2:$CO$584,30,FALSE)=0,0,"Digite"))</f>
        <v>0</v>
      </c>
      <c r="X64" s="456">
        <f>IF(OR('Parte Estrategica'!AC64=0,'Parte Estrategica'!AC64=""),0,IF(VLOOKUP($A64,'Matriz de Referencia'!$B$2:$CO$584,31,FALSE)=0,0,"Digite"))</f>
        <v>0</v>
      </c>
      <c r="Y64" s="456">
        <f>IF(OR('Parte Estrategica'!AC64=0,'Parte Estrategica'!AC64=""),0,IF(VLOOKUP($A64,'Matriz de Referencia'!$B$2:$CO$584,32,FALSE)=0,0,"Digite"))</f>
        <v>0</v>
      </c>
      <c r="Z64" s="457">
        <f t="shared" si="3"/>
        <v>0</v>
      </c>
      <c r="AA64" s="456">
        <f>IF(OR('Parte Estrategica'!AC64=0,'Parte Estrategica'!AC64=""),0,IF(VLOOKUP($A64,'Matriz de Referencia'!$B$2:$CO$584,34,FALSE)=0,0,"Digite"))</f>
        <v>0</v>
      </c>
      <c r="AB64" s="456">
        <f>IF(OR('Parte Estrategica'!AC64=0,'Parte Estrategica'!AC64=""),0,IF(VLOOKUP($A64,'Matriz de Referencia'!$B$2:$CO$584,35,FALSE)=0,0,"Digite"))</f>
        <v>0</v>
      </c>
      <c r="AC64" s="456">
        <f>IF(OR('Parte Estrategica'!AC64=0,'Parte Estrategica'!AC64=""),0,IF(VLOOKUP($A64,'Matriz de Referencia'!$B$2:$CO$584,36,FALSE)=0,0,"Digite"))</f>
        <v>0</v>
      </c>
      <c r="AD64" s="457">
        <f t="shared" si="4"/>
        <v>0</v>
      </c>
      <c r="AE64" s="457">
        <f t="shared" si="5"/>
        <v>0</v>
      </c>
      <c r="AF64" s="455">
        <f>IF(OR('Parte Estrategica'!AD64=0,'Parte Estrategica'!AD64=""),0,IF(VLOOKUP($A64,'Matriz de Referencia'!$B$2:$CO$584,25,FALSE)=0,0,"Digite"))</f>
        <v>0</v>
      </c>
      <c r="AG64" s="456">
        <f>IF(OR('Parte Estrategica'!AD64=0,'Parte Estrategica'!AD64=""),0,IF(VLOOKUP($A64,'Matriz de Referencia'!$B$2:$CO$584,26,FALSE)=0,0,"Digite"))</f>
        <v>0</v>
      </c>
      <c r="AH64" s="456">
        <f>IF(OR('Parte Estrategica'!AD64=0,'Parte Estrategica'!AD64=""),0,IF(VLOOKUP($A64,'Matriz de Referencia'!$B$2:$CO$584,27,FALSE)=0,0,"Digite"))</f>
        <v>0</v>
      </c>
      <c r="AI64" s="456">
        <f>IF(OR('Parte Estrategica'!AD64=0,'Parte Estrategica'!AD64=""),0,IF(VLOOKUP($A64,'Matriz de Referencia'!$B$2:$CO$584,28,FALSE)=0,0,"Digite"))</f>
        <v>0</v>
      </c>
      <c r="AJ64" s="456">
        <f>IF(OR('Parte Estrategica'!AD64=0,'Parte Estrategica'!AD64=""),0,IF(VLOOKUP($A64,'Matriz de Referencia'!$B$2:$CO$584,29,FALSE)=0,0,"Digite"))</f>
        <v>0</v>
      </c>
      <c r="AK64" s="456">
        <f>IF(OR('Parte Estrategica'!AD64=0,'Parte Estrategica'!AD64=""),0,IF(VLOOKUP($A64,'Matriz de Referencia'!$B$2:$CO$584,30,FALSE)=0,0,"Digite"))</f>
        <v>0</v>
      </c>
      <c r="AL64" s="456">
        <f>IF(OR('Parte Estrategica'!AD64=0,'Parte Estrategica'!AD64=""),0,IF(VLOOKUP($A64,'Matriz de Referencia'!$B$2:$CO$584,31,FALSE)=0,0,"Digite"))</f>
        <v>0</v>
      </c>
      <c r="AM64" s="456">
        <f>IF(OR('Parte Estrategica'!AD64=0,'Parte Estrategica'!AD64=""),0,IF(VLOOKUP($A64,'Matriz de Referencia'!$B$2:$CO$584,32,FALSE)=0,0,"Digite"))</f>
        <v>0</v>
      </c>
      <c r="AN64" s="457">
        <f t="shared" si="6"/>
        <v>0</v>
      </c>
      <c r="AO64" s="456">
        <f>IF(OR('Parte Estrategica'!AD64=0,'Parte Estrategica'!AD64=""),0,IF(VLOOKUP($A64,'Matriz de Referencia'!$B$2:$CO$584,34,FALSE)=0,0,"Digite"))</f>
        <v>0</v>
      </c>
      <c r="AP64" s="456">
        <f>IF(OR('Parte Estrategica'!AD64=0,'Parte Estrategica'!AD64=""),0,IF(VLOOKUP($A64,'Matriz de Referencia'!$B$2:$CO$584,35,FALSE)=0,0,"Digite"))</f>
        <v>0</v>
      </c>
      <c r="AQ64" s="456">
        <f>IF(OR('Parte Estrategica'!AD64=0,'Parte Estrategica'!AD64=""),0,IF(VLOOKUP($A64,'Matriz de Referencia'!$B$2:$CO$584,36,FALSE)=0,0,"Digite"))</f>
        <v>0</v>
      </c>
      <c r="AR64" s="457">
        <f t="shared" si="7"/>
        <v>0</v>
      </c>
      <c r="AS64" s="457">
        <f t="shared" si="8"/>
        <v>0</v>
      </c>
      <c r="AT64" s="455">
        <f>IF(OR('Parte Estrategica'!AE64=0,'Parte Estrategica'!AE64=""),0,IF(VLOOKUP($A64,'Matriz de Referencia'!$B$2:$CO$584,25,FALSE)=0,0,"Digite"))</f>
        <v>0</v>
      </c>
      <c r="AU64" s="456">
        <f>IF(OR('Parte Estrategica'!AE64=0,'Parte Estrategica'!AE64=""),0,IF(VLOOKUP($A64,'Matriz de Referencia'!$B$2:$CO$584,26,FALSE)=0,0,"Digite"))</f>
        <v>0</v>
      </c>
      <c r="AV64" s="456">
        <f>IF(OR('Parte Estrategica'!AE64=0,'Parte Estrategica'!AE64=""),0,IF(VLOOKUP($A64,'Matriz de Referencia'!$B$2:$CO$584,27,FALSE)=0,0,"Digite"))</f>
        <v>0</v>
      </c>
      <c r="AW64" s="456">
        <f>IF(OR('Parte Estrategica'!AE64=0,'Parte Estrategica'!AE64=""),0,IF(VLOOKUP($A64,'Matriz de Referencia'!$B$2:$CO$584,28,FALSE)=0,0,"Digite"))</f>
        <v>0</v>
      </c>
      <c r="AX64" s="456">
        <f>IF(OR('Parte Estrategica'!AE64=0,'Parte Estrategica'!AE64=""),0,IF(VLOOKUP($A64,'Matriz de Referencia'!$B$2:$CO$584,29,FALSE)=0,0,"Digite"))</f>
        <v>0</v>
      </c>
      <c r="AY64" s="456">
        <f>IF(OR('Parte Estrategica'!AE64=0,'Parte Estrategica'!AE64=""),0,IF(VLOOKUP($A64,'Matriz de Referencia'!$B$2:$CO$584,30,FALSE)=0,0,"Digite"))</f>
        <v>0</v>
      </c>
      <c r="AZ64" s="456">
        <f>IF(OR('Parte Estrategica'!AE64=0,'Parte Estrategica'!AE64=""),0,IF(VLOOKUP($A64,'Matriz de Referencia'!$B$2:$CO$584,31,FALSE)=0,0,"Digite"))</f>
        <v>0</v>
      </c>
      <c r="BA64" s="456">
        <f>IF(OR('Parte Estrategica'!AE64=0,'Parte Estrategica'!AE64=""),0,IF(VLOOKUP($A64,'Matriz de Referencia'!$B$2:$CO$584,32,FALSE)=0,0,"Digite"))</f>
        <v>0</v>
      </c>
      <c r="BB64" s="457">
        <f t="shared" si="9"/>
        <v>0</v>
      </c>
      <c r="BC64" s="456">
        <f>IF(OR('Parte Estrategica'!AE64=0,'Parte Estrategica'!AE64=""),0,IF(VLOOKUP($A64,'Matriz de Referencia'!$B$2:$CO$584,34,FALSE)=0,0,"Digite"))</f>
        <v>0</v>
      </c>
      <c r="BD64" s="456">
        <f>IF(OR('Parte Estrategica'!AE64=0,'Parte Estrategica'!AE64=""),0,IF(VLOOKUP($A64,'Matriz de Referencia'!$B$2:$CO$584,35,FALSE)=0,0,"Digite"))</f>
        <v>0</v>
      </c>
      <c r="BE64" s="456">
        <f>IF(OR('Parte Estrategica'!AE64=0,'Parte Estrategica'!AE64=""),0,IF(VLOOKUP($A64,'Matriz de Referencia'!$B$2:$CO$584,36,FALSE)=0,0,"Digite"))</f>
        <v>0</v>
      </c>
      <c r="BF64" s="457">
        <f t="shared" si="10"/>
        <v>0</v>
      </c>
      <c r="BG64" s="457">
        <f t="shared" si="11"/>
        <v>0</v>
      </c>
      <c r="BH64" s="457">
        <f t="shared" si="12"/>
        <v>0</v>
      </c>
      <c r="BI64" s="101" t="str">
        <f>IFERROR(IF(BH64=0,"",IF(VLOOKUP($A64,'Matriz de Referencia'!$B$2:$CO$584,'Matriz de Referencia'!AM$1,FALSE)=BH64,"Techos ok, cotinue","Debe revisar el valor programado")),"")</f>
        <v/>
      </c>
      <c r="BJ64" s="453">
        <f>IF(OR('Parte Estrategica'!AH64=0,'Parte Estrategica'!AH64=""),0,IF(VLOOKUP($A64,'Matriz de Referencia'!$B$2:$CO$584,39,FALSE)=0,0,"Digite"))</f>
        <v>0</v>
      </c>
      <c r="BK64" s="454">
        <f>IF(OR('Parte Estrategica'!AH64=0,'Parte Estrategica'!AH64=""),0,IF(VLOOKUP($A64,'Matriz de Referencia'!$B$2:$CO$584,40,FALSE)=0,0,"Digite"))</f>
        <v>0</v>
      </c>
      <c r="BL64" s="454">
        <f>IF(OR('Parte Estrategica'!AH64=0,'Parte Estrategica'!AH64=""),0,IF(VLOOKUP($A64,'Matriz de Referencia'!$B$2:$CO$584,41,FALSE)=0,0,"Digite"))</f>
        <v>0</v>
      </c>
      <c r="BM64" s="454">
        <f>IF(OR('Parte Estrategica'!AH64=0,'Parte Estrategica'!AH64=""),0,IF(VLOOKUP($A64,'Matriz de Referencia'!$B$2:$CO$584,42,FALSE)=0,0,"Digite"))</f>
        <v>0</v>
      </c>
      <c r="BN64" s="454">
        <f>IF(OR('Parte Estrategica'!AH64=0,'Parte Estrategica'!AH64=""),0,IF(VLOOKUP($A64,'Matriz de Referencia'!$B$2:$CO$584,43,FALSE)=0,0,"Digite"))</f>
        <v>0</v>
      </c>
      <c r="BO64" s="454">
        <f>IF(OR('Parte Estrategica'!AH64=0,'Parte Estrategica'!AH64=""),0,IF(VLOOKUP($A64,'Matriz de Referencia'!$B$2:$CO$584,44,FALSE)=0,0,"Digite"))</f>
        <v>0</v>
      </c>
      <c r="BP64" s="454">
        <f>IF(OR('Parte Estrategica'!AH64=0,'Parte Estrategica'!AH64=""),0,IF(VLOOKUP($A64,'Matriz de Referencia'!$B$2:$CO$584,45,FALSE)=0,0,"Digite"))</f>
        <v>0</v>
      </c>
      <c r="BQ64" s="454">
        <f>IF(OR('Parte Estrategica'!AH64=0,'Parte Estrategica'!AH64=""),0,IF(VLOOKUP($A64,'Matriz de Referencia'!$B$2:$CO$584,46,FALSE)=0,0,"Digite"))</f>
        <v>0</v>
      </c>
      <c r="BR64" s="382">
        <f t="shared" si="13"/>
        <v>0</v>
      </c>
      <c r="BS64" s="454">
        <f>IF(OR('Parte Estrategica'!CL64=0,'Parte Estrategica'!CL64=""),0,IF(VLOOKUP($A64,'Matriz de Referencia'!$B$2:$CO$584,48,FALSE)=0,0,"Digite"))</f>
        <v>0</v>
      </c>
      <c r="BT64" s="454">
        <f>IF(OR('Parte Estrategica'!CL64=0,'Parte Estrategica'!CL64=""),0,IF(VLOOKUP($A64,'Matriz de Referencia'!$B$2:$CO$584,49,FALSE)=0,0,"Digite"))</f>
        <v>0</v>
      </c>
      <c r="BU64" s="454">
        <f>IF(OR('Parte Estrategica'!CL64=0,'Parte Estrategica'!CL64=""),0,IF(VLOOKUP($A64,'Matriz de Referencia'!$B$2:$CO$584,50,FALSE)=0,0,"Digite"))</f>
        <v>0</v>
      </c>
      <c r="BV64" s="382">
        <f t="shared" si="14"/>
        <v>0</v>
      </c>
      <c r="BW64" s="382">
        <f t="shared" si="15"/>
        <v>0</v>
      </c>
      <c r="BX64" s="453">
        <f>IF(OR('Parte Estrategica'!AI64=0,'Parte Estrategica'!AI64=""),0,IF(VLOOKUP($A64,'Matriz de Referencia'!$B$2:$CO$584,39,FALSE)=0,0,"Digite"))</f>
        <v>0</v>
      </c>
      <c r="BY64" s="454">
        <f>IF(OR('Parte Estrategica'!AI64=0,'Parte Estrategica'!AI64=""),0,IF(VLOOKUP($A64,'Matriz de Referencia'!$B$2:$CO$584,40,FALSE)=0,0,"Digite"))</f>
        <v>0</v>
      </c>
      <c r="BZ64" s="454">
        <f>IF(OR('Parte Estrategica'!AI64=0,'Parte Estrategica'!AI64=""),0,IF(VLOOKUP($A64,'Matriz de Referencia'!$B$2:$CO$584,41,FALSE)=0,0,"Digite"))</f>
        <v>0</v>
      </c>
      <c r="CA64" s="454">
        <f>IF(OR('Parte Estrategica'!AI64=0,'Parte Estrategica'!AI64=""),0,IF(VLOOKUP($A64,'Matriz de Referencia'!$B$2:$CO$584,42,FALSE)=0,0,"Digite"))</f>
        <v>0</v>
      </c>
      <c r="CB64" s="454">
        <f>IF(OR('Parte Estrategica'!AI64=0,'Parte Estrategica'!AI64=""),0,IF(VLOOKUP($A64,'Matriz de Referencia'!$B$2:$CO$584,43,FALSE)=0,0,"Digite"))</f>
        <v>0</v>
      </c>
      <c r="CC64" s="454">
        <f>IF(OR('Parte Estrategica'!AI64=0,'Parte Estrategica'!AI64=""),0,IF(VLOOKUP($A64,'Matriz de Referencia'!$B$2:$CO$584,44,FALSE)=0,0,"Digite"))</f>
        <v>0</v>
      </c>
      <c r="CD64" s="454">
        <f>IF(OR('Parte Estrategica'!AI64=0,'Parte Estrategica'!AI64=""),0,IF(VLOOKUP($A64,'Matriz de Referencia'!$B$2:$CO$584,45,FALSE)=0,0,"Digite"))</f>
        <v>0</v>
      </c>
      <c r="CE64" s="454">
        <f>IF(OR('Parte Estrategica'!AI64=0,'Parte Estrategica'!AI64=""),0,IF(VLOOKUP($A64,'Matriz de Referencia'!$B$2:$CO$584,46,FALSE)=0,0,"Digite"))</f>
        <v>0</v>
      </c>
      <c r="CF64" s="382">
        <f t="shared" si="16"/>
        <v>0</v>
      </c>
      <c r="CG64" s="454">
        <f>IF(OR('Parte Estrategica'!AI64=0,'Parte Estrategica'!AI64=""),0,IF(VLOOKUP($A64,'Matriz de Referencia'!$B$2:$CO$584,48,FALSE)=0,0,"Digite"))</f>
        <v>0</v>
      </c>
      <c r="CH64" s="454">
        <f>IF(OR('Parte Estrategica'!AI64=0,'Parte Estrategica'!AI64=""),0,IF(VLOOKUP($A64,'Matriz de Referencia'!$B$2:$CO$584,49,FALSE)=0,0,"Digite"))</f>
        <v>0</v>
      </c>
      <c r="CI64" s="454">
        <f>IF(OR('Parte Estrategica'!AI64=0,'Parte Estrategica'!AI64=""),0,IF(VLOOKUP($A64,'Matriz de Referencia'!$B$2:$CO$584,50,FALSE)=0,0,"Digite"))</f>
        <v>0</v>
      </c>
      <c r="CJ64" s="382">
        <f t="shared" si="17"/>
        <v>0</v>
      </c>
      <c r="CK64" s="382">
        <f t="shared" si="18"/>
        <v>0</v>
      </c>
      <c r="CL64" s="453">
        <f>IF(OR('Parte Estrategica'!AJ64=0,'Parte Estrategica'!AJ64=""),0,IF(VLOOKUP($A64,'Matriz de Referencia'!$B$2:$CO$584,39,FALSE)=0,0,"Digite"))</f>
        <v>0</v>
      </c>
      <c r="CM64" s="454">
        <f>IF(OR('Parte Estrategica'!AJ64=0,'Parte Estrategica'!AJ64=""),0,IF(VLOOKUP($A64,'Matriz de Referencia'!$B$2:$CO$584,40,FALSE)=0,0,"Digite"))</f>
        <v>0</v>
      </c>
      <c r="CN64" s="454">
        <f>IF(OR('Parte Estrategica'!AJ64=0,'Parte Estrategica'!AJ64=""),0,IF(VLOOKUP($A64,'Matriz de Referencia'!$B$2:$CO$584,41,FALSE)=0,0,"Digite"))</f>
        <v>0</v>
      </c>
      <c r="CO64" s="454">
        <f>IF(OR('Parte Estrategica'!AJ64=0,'Parte Estrategica'!AJ64=""),0,IF(VLOOKUP($A64,'Matriz de Referencia'!$B$2:$CO$584,42,FALSE)=0,0,"Digite"))</f>
        <v>0</v>
      </c>
      <c r="CP64" s="454">
        <f>IF(OR('Parte Estrategica'!AJ64=0,'Parte Estrategica'!AJ64=""),0,IF(VLOOKUP($A64,'Matriz de Referencia'!$B$2:$CO$584,43,FALSE)=0,0,"Digite"))</f>
        <v>0</v>
      </c>
      <c r="CQ64" s="454">
        <f>IF(OR('Parte Estrategica'!AJ64=0,'Parte Estrategica'!AJ64=""),0,IF(VLOOKUP($A64,'Matriz de Referencia'!$B$2:$CO$584,44,FALSE)=0,0,"Digite"))</f>
        <v>0</v>
      </c>
      <c r="CR64" s="454">
        <f>IF(OR('Parte Estrategica'!AJ64=0,'Parte Estrategica'!AJ64=""),0,IF(VLOOKUP($A64,'Matriz de Referencia'!$B$2:$CO$584,45,FALSE)=0,0,"Digite"))</f>
        <v>0</v>
      </c>
      <c r="CS64" s="454">
        <f>IF(OR('Parte Estrategica'!AJ64=0,'Parte Estrategica'!AJ64=""),0,IF(VLOOKUP($A64,'Matriz de Referencia'!$B$2:$CO$584,46,FALSE)=0,0,"Digite"))</f>
        <v>0</v>
      </c>
      <c r="CT64" s="382">
        <f t="shared" si="19"/>
        <v>0</v>
      </c>
      <c r="CU64" s="454">
        <f>IF(OR('Parte Estrategica'!AJ64=0,'Parte Estrategica'!AJ64=""),0,IF(VLOOKUP($A64,'Matriz de Referencia'!$B$2:$CO$584,48,FALSE)=0,0,"Digite"))</f>
        <v>0</v>
      </c>
      <c r="CV64" s="454">
        <f>IF(OR('Parte Estrategica'!AJ64=0,'Parte Estrategica'!AJ64=""),0,IF(VLOOKUP($A64,'Matriz de Referencia'!$B$2:$CO$584,49,FALSE)=0,0,"Digite"))</f>
        <v>0</v>
      </c>
      <c r="CW64" s="454">
        <f>IF(OR('Parte Estrategica'!AJ64=0,'Parte Estrategica'!AJ64=""),0,IF(VLOOKUP($A64,'Matriz de Referencia'!$B$2:$CO$584,50,FALSE)=0,0,"Digite"))</f>
        <v>0</v>
      </c>
      <c r="CX64" s="382">
        <f t="shared" si="20"/>
        <v>0</v>
      </c>
      <c r="CY64" s="382">
        <f t="shared" si="21"/>
        <v>0</v>
      </c>
      <c r="CZ64" s="453">
        <f>IF(OR('Parte Estrategica'!AK64=0,'Parte Estrategica'!AK64=""),0,IF(VLOOKUP($A64,'Matriz de Referencia'!$B$2:$CO$584,39,FALSE)=0,0,"Digite"))</f>
        <v>0</v>
      </c>
      <c r="DA64" s="454">
        <f>IF(OR('Parte Estrategica'!AK64=0,'Parte Estrategica'!AK64=""),0,IF(VLOOKUP($A64,'Matriz de Referencia'!$B$2:$CO$584,40,FALSE)=0,0,"Digite"))</f>
        <v>0</v>
      </c>
      <c r="DB64" s="454">
        <f>IF(OR('Parte Estrategica'!AK64=0,'Parte Estrategica'!AK64=""),0,IF(VLOOKUP($A64,'Matriz de Referencia'!$B$2:$CO$584,41,FALSE)=0,0,"Digite"))</f>
        <v>0</v>
      </c>
      <c r="DC64" s="454">
        <f>IF(OR('Parte Estrategica'!AK64=0,'Parte Estrategica'!AK64=""),0,IF(VLOOKUP($A64,'Matriz de Referencia'!$B$2:$CO$584,42,FALSE)=0,0,"Digite"))</f>
        <v>0</v>
      </c>
      <c r="DD64" s="454">
        <f>IF(OR('Parte Estrategica'!AK64=0,'Parte Estrategica'!AK64=""),0,IF(VLOOKUP($A64,'Matriz de Referencia'!$B$2:$CO$584,43,FALSE)=0,0,"Digite"))</f>
        <v>0</v>
      </c>
      <c r="DE64" s="454">
        <f>IF(OR('Parte Estrategica'!AK64=0,'Parte Estrategica'!AK64=""),0,IF(VLOOKUP($A64,'Matriz de Referencia'!$B$2:$CO$584,44,FALSE)=0,0,"Digite"))</f>
        <v>0</v>
      </c>
      <c r="DF64" s="454">
        <f>IF(OR('Parte Estrategica'!AK64=0,'Parte Estrategica'!AK64=""),0,IF(VLOOKUP($A64,'Matriz de Referencia'!$B$2:$CO$584,45,FALSE)=0,0,"Digite"))</f>
        <v>0</v>
      </c>
      <c r="DG64" s="454">
        <f>IF(OR('Parte Estrategica'!AK64=0,'Parte Estrategica'!AK64=""),0,IF(VLOOKUP($A64,'Matriz de Referencia'!$B$2:$CO$584,46,FALSE)=0,0,"Digite"))</f>
        <v>0</v>
      </c>
      <c r="DH64" s="382">
        <f t="shared" si="22"/>
        <v>0</v>
      </c>
      <c r="DI64" s="454">
        <f>IF(OR('Parte Estrategica'!AK64=0,'Parte Estrategica'!AK64=""),0,IF(VLOOKUP($A64,'Matriz de Referencia'!$B$2:$CO$584,48,FALSE)=0,0,"Digite"))</f>
        <v>0</v>
      </c>
      <c r="DJ64" s="454">
        <f>IF(OR('Parte Estrategica'!AK64=0,'Parte Estrategica'!AK64=""),0,IF(VLOOKUP($A64,'Matriz de Referencia'!$B$2:$CO$584,49,FALSE)=0,0,"Digite"))</f>
        <v>0</v>
      </c>
      <c r="DK64" s="454">
        <f>IF(OR('Parte Estrategica'!AK64=0,'Parte Estrategica'!AK64=""),0,IF(VLOOKUP($A64,'Matriz de Referencia'!$B$2:$CO$584,50,FALSE)=0,0,"Digite"))</f>
        <v>0</v>
      </c>
      <c r="DL64" s="382">
        <f t="shared" si="23"/>
        <v>0</v>
      </c>
      <c r="DM64" s="382">
        <f t="shared" si="24"/>
        <v>0</v>
      </c>
      <c r="DN64" s="382">
        <f t="shared" si="25"/>
        <v>0</v>
      </c>
      <c r="DO64" s="101" t="str">
        <f>IFERROR(IF(DN64=0,"",IF(VLOOKUP($A64,'Matriz de Referencia'!$B$2:$CO$584,52,FALSE)=DN64,"Techos ok, cotinue","Debe revisar el valor programado")),"")</f>
        <v/>
      </c>
      <c r="DP64" s="453">
        <f>IF(OR('Parte Estrategica'!AN64=0,'Parte Estrategica'!AN64=""),0,IF(VLOOKUP($A64,'Matriz de Referencia'!$B$2:$CO$584,53,FALSE)=0,0,"Digite"))</f>
        <v>0</v>
      </c>
      <c r="DQ64" s="454">
        <f>IF(OR('Parte Estrategica'!AN64=0,'Parte Estrategica'!AN64=""),0,IF(VLOOKUP($A64,'Matriz de Referencia'!$B$2:$CO$584,54,FALSE)=0,0,"Digite"))</f>
        <v>0</v>
      </c>
      <c r="DR64" s="454">
        <f>IF(OR('Parte Estrategica'!AN64=0,'Parte Estrategica'!AN64=""),0,IF(VLOOKUP($A64,'Matriz de Referencia'!$B$2:$CO$584,55,FALSE)=0,0,"Digite"))</f>
        <v>0</v>
      </c>
      <c r="DS64" s="454">
        <f>IF(OR('Parte Estrategica'!AN64=0,'Parte Estrategica'!AN64=""),0,IF(VLOOKUP($A64,'Matriz de Referencia'!$B$2:$CO$584,56,FALSE)=0,0,"Digite"))</f>
        <v>0</v>
      </c>
      <c r="DT64" s="454">
        <f>IF(OR('Parte Estrategica'!AN64=0,'Parte Estrategica'!AN64=""),0,IF(VLOOKUP($A64,'Matriz de Referencia'!$B$2:$CO$584,57,FALSE)=0,0,"Digite"))</f>
        <v>0</v>
      </c>
      <c r="DU64" s="454">
        <f>IF(OR('Parte Estrategica'!AN64=0,'Parte Estrategica'!AN64=""),0,IF(VLOOKUP($A64,'Matriz de Referencia'!$B$2:$CO$584,58,FALSE)=0,0,"Digite"))</f>
        <v>0</v>
      </c>
      <c r="DV64" s="454">
        <f>IF(OR('Parte Estrategica'!AN64=0,'Parte Estrategica'!AN64=""),0,IF(VLOOKUP($A64,'Matriz de Referencia'!$B$2:$CO$584,59,FALSE)=0,0,"Digite"))</f>
        <v>0</v>
      </c>
      <c r="DW64" s="454">
        <f>IF(OR('Parte Estrategica'!AN64=0,'Parte Estrategica'!AN64=""),0,IF(VLOOKUP($A64,'Matriz de Referencia'!$B$2:$CO$584,60,FALSE)=0,0,"Digite"))</f>
        <v>0</v>
      </c>
      <c r="DX64" s="382">
        <f t="shared" si="26"/>
        <v>0</v>
      </c>
      <c r="DY64" s="454">
        <f>IF(OR('Parte Estrategica'!AN64=0,'Parte Estrategica'!AN64=""),0,IF(VLOOKUP($A64,'Matriz de Referencia'!$B$2:$CO$584,62,FALSE)=0,0,"Digite"))</f>
        <v>0</v>
      </c>
      <c r="DZ64" s="454">
        <f>IF(OR('Parte Estrategica'!AN64=0,'Parte Estrategica'!AN64=""),0,IF(VLOOKUP($A64,'Matriz de Referencia'!$B$2:$CO$584,63,FALSE)=0,0,"Digite"))</f>
        <v>0</v>
      </c>
      <c r="EA64" s="454" t="str">
        <f>IF(OR('Parte Estrategica'!AN64=0,'Parte Estrategica'!AN64=""),"",IF(VLOOKUP($A64,'Matriz de Referencia'!$B$2:$CO$584,64,FALSE)=0,"","Digite"))</f>
        <v/>
      </c>
      <c r="EB64" s="382">
        <f t="shared" si="27"/>
        <v>0</v>
      </c>
      <c r="EC64" s="382">
        <f t="shared" si="28"/>
        <v>0</v>
      </c>
      <c r="ED64" s="453">
        <f>IF(OR('Parte Estrategica'!AO64=0,'Parte Estrategica'!AO64=""),0,IF(VLOOKUP($A64,'Matriz de Referencia'!$B$2:$CO$584,53,FALSE)=0,0,"Digite"))</f>
        <v>0</v>
      </c>
      <c r="EE64" s="454">
        <f>IF(OR('Parte Estrategica'!AO64=0,'Parte Estrategica'!AO64=""),0,IF(VLOOKUP($A64,'Matriz de Referencia'!$B$2:$CO$584,54,FALSE)=0,0,"Digite"))</f>
        <v>0</v>
      </c>
      <c r="EF64" s="454">
        <f>IF(OR('Parte Estrategica'!AO64=0,'Parte Estrategica'!AO64=""),0,IF(VLOOKUP($A64,'Matriz de Referencia'!$B$2:$CO$584,55,FALSE)=0,0,"Digite"))</f>
        <v>0</v>
      </c>
      <c r="EG64" s="454">
        <f>IF(OR('Parte Estrategica'!AO64=0,'Parte Estrategica'!AO64=""),0,IF(VLOOKUP($A64,'Matriz de Referencia'!$B$2:$CO$584,56,FALSE)=0,0,"Digite"))</f>
        <v>0</v>
      </c>
      <c r="EH64" s="454">
        <f>IF(OR('Parte Estrategica'!AO64=0,'Parte Estrategica'!AO64=""),0,IF(VLOOKUP($A64,'Matriz de Referencia'!$B$2:$CO$584,57,FALSE)=0,0,"Digite"))</f>
        <v>0</v>
      </c>
      <c r="EI64" s="454">
        <f>IF(OR('Parte Estrategica'!AO64=0,'Parte Estrategica'!AO64=""),0,IF(VLOOKUP($A64,'Matriz de Referencia'!$B$2:$CO$584,58,FALSE)=0,0,"Digite"))</f>
        <v>0</v>
      </c>
      <c r="EJ64" s="454">
        <f>IF(OR('Parte Estrategica'!AO64=0,'Parte Estrategica'!AO64=""),0,IF(VLOOKUP($A64,'Matriz de Referencia'!$B$2:$CO$584,59,FALSE)=0,0,"Digite"))</f>
        <v>0</v>
      </c>
      <c r="EK64" s="454">
        <f>IF(OR('Parte Estrategica'!AO64=0,'Parte Estrategica'!AO64=""),0,IF(VLOOKUP($A64,'Matriz de Referencia'!$B$2:$CO$584,60,FALSE)=0,0,"Digite"))</f>
        <v>0</v>
      </c>
      <c r="EL64" s="382">
        <f t="shared" si="29"/>
        <v>0</v>
      </c>
      <c r="EM64" s="454">
        <f>IF(OR('Parte Estrategica'!AO64=0,'Parte Estrategica'!AO64=""),0,IF(VLOOKUP($A64,'Matriz de Referencia'!$B$2:$CO$584,62,FALSE)=0,0,"Digite"))</f>
        <v>0</v>
      </c>
      <c r="EN64" s="454">
        <f>IF(OR('Parte Estrategica'!AO64=0,'Parte Estrategica'!AO64=""),0,IF(VLOOKUP($A64,'Matriz de Referencia'!$B$2:$CO$584,63,FALSE)=0,0,"Digite"))</f>
        <v>0</v>
      </c>
      <c r="EO64" s="454">
        <f>IF(OR('Parte Estrategica'!AO64=0,'Parte Estrategica'!AO64=""),0,IF(VLOOKUP($A64,'Matriz de Referencia'!$B$2:$CO$584,64,FALSE)=0,0,"Digite"))</f>
        <v>0</v>
      </c>
      <c r="EP64" s="382">
        <f t="shared" si="30"/>
        <v>0</v>
      </c>
      <c r="EQ64" s="382">
        <f t="shared" si="31"/>
        <v>0</v>
      </c>
      <c r="ER64" s="453">
        <f>IF(OR('Parte Estrategica'!AP64=0,'Parte Estrategica'!AP64=""),0,IF(VLOOKUP($A64,'Matriz de Referencia'!$B$2:$CO$584,53,FALSE)=0,0,"Digite"))</f>
        <v>0</v>
      </c>
      <c r="ES64" s="454">
        <f>IF(OR('Parte Estrategica'!AP64=0,'Parte Estrategica'!AP64=""),0,IF(VLOOKUP($A64,'Matriz de Referencia'!$B$2:$CO$584,54,FALSE)=0,0,"Digite"))</f>
        <v>0</v>
      </c>
      <c r="ET64" s="454">
        <f>IF(OR('Parte Estrategica'!AP64=0,'Parte Estrategica'!AP64=""),0,IF(VLOOKUP($A64,'Matriz de Referencia'!$B$2:$CO$584,55,FALSE)=0,0,"Digite"))</f>
        <v>0</v>
      </c>
      <c r="EU64" s="454">
        <f>IF(OR('Parte Estrategica'!AP64=0,'Parte Estrategica'!AP64=""),0,IF(VLOOKUP($A64,'Matriz de Referencia'!$B$2:$CO$584,56,FALSE)=0,0,"Digite"))</f>
        <v>0</v>
      </c>
      <c r="EV64" s="454">
        <f>IF(OR('Parte Estrategica'!AP64=0,'Parte Estrategica'!AP64=""),0,IF(VLOOKUP($A64,'Matriz de Referencia'!$B$2:$CO$584,57,FALSE)=0,0,"Digite"))</f>
        <v>0</v>
      </c>
      <c r="EW64" s="454">
        <f>IF(OR('Parte Estrategica'!AP64=0,'Parte Estrategica'!AP64=""),0,IF(VLOOKUP($A64,'Matriz de Referencia'!$B$2:$CO$584,58,FALSE)=0,0,"Digite"))</f>
        <v>0</v>
      </c>
      <c r="EX64" s="454">
        <f>IF(OR('Parte Estrategica'!AP64=0,'Parte Estrategica'!AP64=""),0,IF(VLOOKUP($A64,'Matriz de Referencia'!$B$2:$CO$584,59,FALSE)=0,0,"Digite"))</f>
        <v>0</v>
      </c>
      <c r="EY64" s="454">
        <f>IF(OR('Parte Estrategica'!AP64=0,'Parte Estrategica'!AP64=""),0,IF(VLOOKUP($A64,'Matriz de Referencia'!$B$2:$CO$584,60,FALSE)=0,0,"Digite"))</f>
        <v>0</v>
      </c>
      <c r="EZ64" s="382">
        <f t="shared" si="32"/>
        <v>0</v>
      </c>
      <c r="FA64" s="454">
        <f>IF(OR('Parte Estrategica'!AP64=0,'Parte Estrategica'!AP64=""),0,IF(VLOOKUP($A64,'Matriz de Referencia'!$B$2:$CO$584,62,FALSE)=0,0,"Digite"))</f>
        <v>0</v>
      </c>
      <c r="FB64" s="454">
        <f>IF(OR('Parte Estrategica'!AP64=0,'Parte Estrategica'!AP64=""),0,IF(VLOOKUP($A64,'Matriz de Referencia'!$B$2:$CO$584,63,FALSE)=0,0,"Digite"))</f>
        <v>0</v>
      </c>
      <c r="FC64" s="454">
        <f>IF(OR('Parte Estrategica'!AP64=0,'Parte Estrategica'!AP64=""),0,IF(VLOOKUP($A64,'Matriz de Referencia'!$B$2:$CO$584,64,FALSE)=0,0,"Digite"))</f>
        <v>0</v>
      </c>
      <c r="FD64" s="382">
        <f t="shared" si="33"/>
        <v>0</v>
      </c>
      <c r="FE64" s="382">
        <f t="shared" si="34"/>
        <v>0</v>
      </c>
      <c r="FF64" s="453">
        <f>IF(OR('Parte Estrategica'!AQ64=0,'Parte Estrategica'!AQ64=""),0,IF(VLOOKUP($A64,'Matriz de Referencia'!$B$2:$CO$584,53,FALSE)=0,0,"Digite"))</f>
        <v>0</v>
      </c>
      <c r="FG64" s="454">
        <f>IF(OR('Parte Estrategica'!AQ64=0,'Parte Estrategica'!AQ64=""),0,IF(VLOOKUP($A64,'Matriz de Referencia'!$B$2:$CO$584,54,FALSE)=0,0,"Digite"))</f>
        <v>0</v>
      </c>
      <c r="FH64" s="454">
        <f>IF(OR('Parte Estrategica'!AQ64=0,'Parte Estrategica'!AQ64=""),0,IF(VLOOKUP($A64,'Matriz de Referencia'!$B$2:$CO$584,55,FALSE)=0,0,"Digite"))</f>
        <v>0</v>
      </c>
      <c r="FI64" s="454">
        <f>IF(OR('Parte Estrategica'!AQ64=0,'Parte Estrategica'!AQ64=""),0,IF(VLOOKUP($A64,'Matriz de Referencia'!$B$2:$CO$584,56,FALSE)=0,0,"Digite"))</f>
        <v>0</v>
      </c>
      <c r="FJ64" s="454">
        <f>IF(OR('Parte Estrategica'!AQ64=0,'Parte Estrategica'!AQ64=""),0,IF(VLOOKUP($A64,'Matriz de Referencia'!$B$2:$CO$584,57,FALSE)=0,0,"Digite"))</f>
        <v>0</v>
      </c>
      <c r="FK64" s="454">
        <f>IF(OR('Parte Estrategica'!AQ64=0,'Parte Estrategica'!AQ64=""),0,IF(VLOOKUP($A64,'Matriz de Referencia'!$B$2:$CO$584,58,FALSE)=0,0,"Digite"))</f>
        <v>0</v>
      </c>
      <c r="FL64" s="454">
        <f>IF(OR('Parte Estrategica'!AQ64=0,'Parte Estrategica'!AQ64=""),0,IF(VLOOKUP($A64,'Matriz de Referencia'!$B$2:$CO$584,59,FALSE)=0,0,"Digite"))</f>
        <v>0</v>
      </c>
      <c r="FM64" s="454">
        <f>IF(OR('Parte Estrategica'!AQ64=0,'Parte Estrategica'!AQ64=""),0,IF(VLOOKUP($A64,'Matriz de Referencia'!$B$2:$CO$584,60,FALSE)=0,0,"Digite"))</f>
        <v>0</v>
      </c>
      <c r="FN64" s="382">
        <f t="shared" si="35"/>
        <v>0</v>
      </c>
      <c r="FO64" s="454">
        <f>IF(OR('Parte Estrategica'!AQ64=0,'Parte Estrategica'!AQ64=""),0,IF(VLOOKUP($A64,'Matriz de Referencia'!$B$2:$CO$584,62,FALSE)=0,0,"Digite"))</f>
        <v>0</v>
      </c>
      <c r="FP64" s="454">
        <f>IF(OR('Parte Estrategica'!AQ64=0,'Parte Estrategica'!AQ64=""),0,IF(VLOOKUP($A64,'Matriz de Referencia'!$B$2:$CO$584,63,FALSE)=0,0,"Digite"))</f>
        <v>0</v>
      </c>
      <c r="FQ64" s="454">
        <f>IF(OR('Parte Estrategica'!AQ64=0,'Parte Estrategica'!AQ64=""),0,IF(VLOOKUP($A64,'Matriz de Referencia'!$B$2:$CO$584,64,FALSE)=0,0,"Digite"))</f>
        <v>0</v>
      </c>
      <c r="FR64" s="382">
        <f t="shared" si="36"/>
        <v>0</v>
      </c>
      <c r="FS64" s="382">
        <f t="shared" si="37"/>
        <v>0</v>
      </c>
      <c r="FT64" s="382">
        <f t="shared" si="38"/>
        <v>0</v>
      </c>
      <c r="FU64" s="101" t="str">
        <f>IFERROR(IF(FT64=0,"",IF(VLOOKUP($A64,'Matriz de Referencia'!$B$2:$CO$584,66,FALSE)=FT64,"Techos ok, cotinue","Debe revisar el valor programado")),"")</f>
        <v/>
      </c>
      <c r="FV64" s="453">
        <f>IF(OR('Parte Estrategica'!AT64=0,'Parte Estrategica'!AT64=""),0,IF(VLOOKUP($A64,'Matriz de Referencia'!$B$2:$CO$584,67,FALSE)=0,0,"Digite"))</f>
        <v>0</v>
      </c>
      <c r="FW64" s="454">
        <f>IF(OR('Parte Estrategica'!AT64=0,'Parte Estrategica'!AT64=""),0,IF(VLOOKUP($A64,'Matriz de Referencia'!$B$2:$CO$584,68,FALSE)=0,0,"Digite"))</f>
        <v>0</v>
      </c>
      <c r="FX64" s="454">
        <f>IF(OR('Parte Estrategica'!AT64=0,'Parte Estrategica'!AT64=""),0,IF(VLOOKUP($A64,'Matriz de Referencia'!$B$2:$CO$584,69,FALSE)=0,0,"Digite"))</f>
        <v>0</v>
      </c>
      <c r="FY64" s="454">
        <f>IF(OR('Parte Estrategica'!AT64=0,'Parte Estrategica'!AT64=""),0,IF(VLOOKUP($A64,'Matriz de Referencia'!$B$2:$CO$584,70,FALSE)=0,0,"Digite"))</f>
        <v>0</v>
      </c>
      <c r="FZ64" s="454">
        <f>IF(OR('Parte Estrategica'!AT64=0,'Parte Estrategica'!AT64=""),0,IF(VLOOKUP($A64,'Matriz de Referencia'!$B$2:$CO$584,71,FALSE)=0,0,"Digite"))</f>
        <v>0</v>
      </c>
      <c r="GA64" s="454">
        <f>IF(OR('Parte Estrategica'!AT64=0,'Parte Estrategica'!AT64=""),0,IF(VLOOKUP($A64,'Matriz de Referencia'!$B$2:$CO$584,72,FALSE)=0,0,"Digite"))</f>
        <v>0</v>
      </c>
      <c r="GB64" s="454">
        <f>IF(OR('Parte Estrategica'!AT64=0,'Parte Estrategica'!AT64=""),0,IF(VLOOKUP($A64,'Matriz de Referencia'!$B$2:$CO$584,73,FALSE)=0,0,"Digite"))</f>
        <v>0</v>
      </c>
      <c r="GC64" s="454">
        <f>IF(OR('Parte Estrategica'!AT64=0,'Parte Estrategica'!AT64=""),0,IF(VLOOKUP($A64,'Matriz de Referencia'!$B$2:$CO$584,74,FALSE)=0,0,"Digite"))</f>
        <v>0</v>
      </c>
      <c r="GD64" s="382">
        <f t="shared" si="39"/>
        <v>0</v>
      </c>
      <c r="GE64" s="454">
        <f>IF(OR('Parte Estrategica'!AT64=0,'Parte Estrategica'!AT64=""),0,IF(VLOOKUP($A64,'Matriz de Referencia'!$B$2:$CO$584,76,FALSE)=0,0,"Digite"))</f>
        <v>0</v>
      </c>
      <c r="GF64" s="454">
        <f>IF(OR('Parte Estrategica'!AT64=0,'Parte Estrategica'!AT64=""),0,IF(VLOOKUP($A64,'Matriz de Referencia'!$B$2:$CO$584,77,FALSE)=0,0,"Digite"))</f>
        <v>0</v>
      </c>
      <c r="GG64" s="454">
        <f>IF(OR('Parte Estrategica'!AT64=0,'Parte Estrategica'!AT64=""),0,IF(VLOOKUP($A64,'Matriz de Referencia'!$B$2:$CO$584,78,FALSE)=0,0,"Digite"))</f>
        <v>0</v>
      </c>
      <c r="GH64" s="382">
        <f t="shared" si="40"/>
        <v>0</v>
      </c>
      <c r="GI64" s="382">
        <f t="shared" si="41"/>
        <v>0</v>
      </c>
      <c r="GJ64" s="453">
        <f>IF(OR('Parte Estrategica'!AU64=0,'Parte Estrategica'!AU64=""),0,IF(VLOOKUP($A64,'Matriz de Referencia'!$B$2:$CO$584,67,FALSE)=0,0,"Digite"))</f>
        <v>0</v>
      </c>
      <c r="GK64" s="454">
        <f>IF(OR('Parte Estrategica'!AU64=0,'Parte Estrategica'!AU64=""),0,IF(VLOOKUP($A64,'Matriz de Referencia'!$B$2:$CO$584,68,FALSE)=0,0,"Digite"))</f>
        <v>0</v>
      </c>
      <c r="GL64" s="454">
        <f>IF(OR('Parte Estrategica'!AU64=0,'Parte Estrategica'!AU64=""),0,IF(VLOOKUP($A64,'Matriz de Referencia'!$B$2:$CO$584,69,FALSE)=0,0,"Digite"))</f>
        <v>0</v>
      </c>
      <c r="GM64" s="454">
        <f>IF(OR('Parte Estrategica'!AU64=0,'Parte Estrategica'!AU64=""),0,IF(VLOOKUP($A64,'Matriz de Referencia'!$B$2:$CO$584,70,FALSE)=0,0,"Digite"))</f>
        <v>0</v>
      </c>
      <c r="GN64" s="454">
        <f>IF(OR('Parte Estrategica'!AU64=0,'Parte Estrategica'!AU64=""),0,IF(VLOOKUP($A64,'Matriz de Referencia'!$B$2:$CO$584,71,FALSE)=0,0,"Digite"))</f>
        <v>0</v>
      </c>
      <c r="GO64" s="454">
        <f>IF(OR('Parte Estrategica'!AU64=0,'Parte Estrategica'!AU64=""),0,IF(VLOOKUP($A64,'Matriz de Referencia'!$B$2:$CO$584,72,FALSE)=0,0,"Digite"))</f>
        <v>0</v>
      </c>
      <c r="GP64" s="454">
        <f>IF(OR('Parte Estrategica'!AU64=0,'Parte Estrategica'!AU64=""),0,IF(VLOOKUP($A64,'Matriz de Referencia'!$B$2:$CO$584,73,FALSE)=0,0,"Digite"))</f>
        <v>0</v>
      </c>
      <c r="GQ64" s="454">
        <f>IF(OR('Parte Estrategica'!AU64=0,'Parte Estrategica'!AU64=""),0,IF(VLOOKUP($A64,'Matriz de Referencia'!$B$2:$CO$584,74,FALSE)=0,0,"Digite"))</f>
        <v>0</v>
      </c>
      <c r="GR64" s="382">
        <f t="shared" si="42"/>
        <v>0</v>
      </c>
      <c r="GS64" s="454">
        <f>IF(OR('Parte Estrategica'!AU64=0,'Parte Estrategica'!AU64=""),0,IF(VLOOKUP($A64,'Matriz de Referencia'!$B$2:$CO$584,76,FALSE)=0,0,"Digite"))</f>
        <v>0</v>
      </c>
      <c r="GT64" s="454">
        <f>IF(OR('Parte Estrategica'!AU64=0,'Parte Estrategica'!AU64=""),0,IF(VLOOKUP($A64,'Matriz de Referencia'!$B$2:$CO$584,77,FALSE)=0,0,"Digite"))</f>
        <v>0</v>
      </c>
      <c r="GU64" s="454">
        <f>IF(OR('Parte Estrategica'!AU64=0,'Parte Estrategica'!AU64=""),0,IF(VLOOKUP($A64,'Matriz de Referencia'!$B$2:$CO$584,78,FALSE)=0,0,"Digite"))</f>
        <v>0</v>
      </c>
      <c r="GV64" s="382">
        <f t="shared" si="43"/>
        <v>0</v>
      </c>
      <c r="GW64" s="382">
        <f t="shared" si="44"/>
        <v>0</v>
      </c>
      <c r="GX64" s="453">
        <f>IF(OR('Parte Estrategica'!AV64=0,'Parte Estrategica'!AV64=""),0,IF(VLOOKUP($A64,'Matriz de Referencia'!$B$2:$CO$584,67,FALSE)=0,0,"Digite"))</f>
        <v>0</v>
      </c>
      <c r="GY64" s="454">
        <f>IF(OR('Parte Estrategica'!AV64=0,'Parte Estrategica'!AV64=""),0,IF(VLOOKUP($A64,'Matriz de Referencia'!$B$2:$CO$584,68,FALSE)=0,0,"Digite"))</f>
        <v>0</v>
      </c>
      <c r="GZ64" s="454">
        <f>IF(OR('Parte Estrategica'!AV64=0,'Parte Estrategica'!AV64=""),0,IF(VLOOKUP($A64,'Matriz de Referencia'!$B$2:$CO$584,69,FALSE)=0,0,"Digite"))</f>
        <v>0</v>
      </c>
      <c r="HA64" s="454">
        <f>IF(OR('Parte Estrategica'!AV64=0,'Parte Estrategica'!AV64=""),0,IF(VLOOKUP($A64,'Matriz de Referencia'!$B$2:$CO$584,70,FALSE)=0,0,"Digite"))</f>
        <v>0</v>
      </c>
      <c r="HB64" s="454">
        <f>IF(OR('Parte Estrategica'!AV64=0,'Parte Estrategica'!AV64=""),0,IF(VLOOKUP($A64,'Matriz de Referencia'!$B$2:$CO$584,71,FALSE)=0,0,"Digite"))</f>
        <v>0</v>
      </c>
      <c r="HC64" s="454">
        <f>IF(OR('Parte Estrategica'!AV64=0,'Parte Estrategica'!AV64=""),0,IF(VLOOKUP($A64,'Matriz de Referencia'!$B$2:$CO$584,72,FALSE)=0,0,"Digite"))</f>
        <v>0</v>
      </c>
      <c r="HD64" s="454">
        <f>IF(OR('Parte Estrategica'!AV64=0,'Parte Estrategica'!AV64=""),0,IF(VLOOKUP($A64,'Matriz de Referencia'!$B$2:$CO$584,73,FALSE)=0,0,"Digite"))</f>
        <v>0</v>
      </c>
      <c r="HE64" s="454">
        <f>IF(OR('Parte Estrategica'!AV64=0,'Parte Estrategica'!AV64=""),0,IF(VLOOKUP($A64,'Matriz de Referencia'!$B$2:$CO$584,74,FALSE)=0,0,"Digite"))</f>
        <v>0</v>
      </c>
      <c r="HF64" s="382">
        <f t="shared" si="45"/>
        <v>0</v>
      </c>
      <c r="HG64" s="454">
        <f>IF(OR('Parte Estrategica'!AV64=0,'Parte Estrategica'!AV64=""),0,IF(VLOOKUP($A64,'Matriz de Referencia'!$B$2:$CO$584,76,FALSE)=0,0,"Digite"))</f>
        <v>0</v>
      </c>
      <c r="HH64" s="454">
        <f>IF(OR('Parte Estrategica'!AV64=0,'Parte Estrategica'!AV64=""),0,IF(VLOOKUP($A64,'Matriz de Referencia'!$B$2:$CO$584,77,FALSE)=0,0,"Digite"))</f>
        <v>0</v>
      </c>
      <c r="HI64" s="454">
        <f>IF(OR('Parte Estrategica'!AV64=0,'Parte Estrategica'!AV64=""),0,IF(VLOOKUP($A64,'Matriz de Referencia'!$B$2:$CO$584,78,FALSE)=0,0,"Digite"))</f>
        <v>0</v>
      </c>
      <c r="HJ64" s="382">
        <f t="shared" si="46"/>
        <v>0</v>
      </c>
      <c r="HK64" s="382">
        <f t="shared" si="47"/>
        <v>0</v>
      </c>
      <c r="HL64" s="453">
        <f>IF(OR('Parte Estrategica'!AW64=0,'Parte Estrategica'!AW64=""),0,IF(VLOOKUP($A64,'Matriz de Referencia'!$B$2:$CO$584,67,FALSE)=0,0,"Digite"))</f>
        <v>0</v>
      </c>
      <c r="HM64" s="454">
        <f>IF(OR('Parte Estrategica'!AW64=0,'Parte Estrategica'!AW64=""),0,IF(VLOOKUP($A64,'Matriz de Referencia'!$B$2:$CO$584,68,FALSE)=0,0,"Digite"))</f>
        <v>0</v>
      </c>
      <c r="HN64" s="454">
        <f>IF(OR('Parte Estrategica'!AW64=0,'Parte Estrategica'!AW64=""),0,IF(VLOOKUP($A64,'Matriz de Referencia'!$B$2:$CO$584,69,FALSE)=0,0,"Digite"))</f>
        <v>0</v>
      </c>
      <c r="HO64" s="454">
        <f>IF(OR('Parte Estrategica'!AW64=0,'Parte Estrategica'!AW64=""),0,IF(VLOOKUP($A64,'Matriz de Referencia'!$B$2:$CO$584,70,FALSE)=0,0,"Digite"))</f>
        <v>0</v>
      </c>
      <c r="HP64" s="454">
        <f>IF(OR('Parte Estrategica'!AW64=0,'Parte Estrategica'!AW64=""),0,IF(VLOOKUP($A64,'Matriz de Referencia'!$B$2:$CO$584,71,FALSE)=0,0,"Digite"))</f>
        <v>0</v>
      </c>
      <c r="HQ64" s="454">
        <f>IF(OR('Parte Estrategica'!AW64=0,'Parte Estrategica'!AW64=""),0,IF(VLOOKUP($A64,'Matriz de Referencia'!$B$2:$CO$584,72,FALSE)=0,0,"Digite"))</f>
        <v>0</v>
      </c>
      <c r="HR64" s="454">
        <f>IF(OR('Parte Estrategica'!AW64=0,'Parte Estrategica'!AW64=""),0,IF(VLOOKUP($A64,'Matriz de Referencia'!$B$2:$CO$584,73,FALSE)=0,0,"Digite"))</f>
        <v>0</v>
      </c>
      <c r="HS64" s="454">
        <f>IF(OR('Parte Estrategica'!AW64=0,'Parte Estrategica'!AW64=""),0,IF(VLOOKUP($A64,'Matriz de Referencia'!$B$2:$CO$584,74,FALSE)=0,0,"Digite"))</f>
        <v>0</v>
      </c>
      <c r="HT64" s="382">
        <f t="shared" si="48"/>
        <v>0</v>
      </c>
      <c r="HU64" s="454">
        <f>IF(OR('Parte Estrategica'!AW64=0,'Parte Estrategica'!AW64=""),0,IF(VLOOKUP($A64,'Matriz de Referencia'!$B$2:$CO$584,76,FALSE)=0,0,"Digite"))</f>
        <v>0</v>
      </c>
      <c r="HV64" s="454">
        <f>IF(OR('Parte Estrategica'!AW64=0,'Parte Estrategica'!AW64=""),0,IF(VLOOKUP($A64,'Matriz de Referencia'!$B$2:$CO$584,77,FALSE)=0,0,"Digite"))</f>
        <v>0</v>
      </c>
      <c r="HW64" s="454">
        <f>IF(OR('Parte Estrategica'!AW64=0,'Parte Estrategica'!AW64=""),0,IF(VLOOKUP($A64,'Matriz de Referencia'!$B$2:$CO$584,78,FALSE)=0,0,"Digite"))</f>
        <v>0</v>
      </c>
      <c r="HX64" s="382">
        <f t="shared" si="49"/>
        <v>0</v>
      </c>
      <c r="HY64" s="382">
        <f t="shared" si="50"/>
        <v>0</v>
      </c>
      <c r="HZ64" s="382">
        <f t="shared" si="51"/>
        <v>0</v>
      </c>
      <c r="IA64" s="101" t="str">
        <f>IFERROR(IF(HZ64=0,"",IF(VLOOKUP($A64,'Matriz de Referencia'!$B$2:$CO$584,80,FALSE)=HZ64,"Techos ok, cotinue","Debe revisar el valor programado")),"")</f>
        <v/>
      </c>
      <c r="IB64" s="383">
        <f t="shared" si="52"/>
        <v>0</v>
      </c>
    </row>
    <row r="65" spans="1:236">
      <c r="A65" s="550" t="str">
        <f>IF('Parte Estrategica'!B65=0,"",'Parte Estrategica'!B65)</f>
        <v/>
      </c>
      <c r="B65" s="551" t="str">
        <f>IFERROR(VLOOKUP(A65,'Matriz de Referencia'!$B$2:$P$578,'Matriz de Referencia'!L$1,FALSE),"")</f>
        <v/>
      </c>
      <c r="C65" s="551" t="str">
        <f>IFERROR(VLOOKUP(A65,'Matriz de Referencia'!$B$2:$P$584,'Matriz de Referencia'!M$1,FALSE),"")</f>
        <v/>
      </c>
      <c r="D65" s="455" t="str">
        <f>IF(OR('Parte Estrategica'!AB65=0,'Parte Estrategica'!AB65=""),"",IF(VLOOKUP($A65,'Matriz de Referencia'!$B$2:$CO$584,'Matriz de Referencia'!Z$1,FALSE)=0,"","Digite"))</f>
        <v/>
      </c>
      <c r="E65" s="456">
        <f>IF(OR('Parte Estrategica'!AB65=0,'Parte Estrategica'!AB65=""),0,IF(VLOOKUP($A65,'Matriz de Referencia'!$B$2:$CO$584,26,FALSE)=0,0,"Digite"))</f>
        <v>0</v>
      </c>
      <c r="F65" s="456">
        <f>IF(OR('Parte Estrategica'!AB65=0,'Parte Estrategica'!AB65=""),0,IF(VLOOKUP($A65,'Matriz de Referencia'!$B$2:$CO$584,27,FALSE)=0,0,"Digite"))</f>
        <v>0</v>
      </c>
      <c r="G65" s="456">
        <f>IF(OR('Parte Estrategica'!AB65=0,'Parte Estrategica'!AB65=""),0,IF(VLOOKUP($A65,'Matriz de Referencia'!$B$2:$CO$584,28,FALSE)=0,0,"Digite"))</f>
        <v>0</v>
      </c>
      <c r="H65" s="456">
        <f>IF(OR('Parte Estrategica'!AB65=0,'Parte Estrategica'!AB65=""),0,IF(VLOOKUP($A65,'Matriz de Referencia'!$B$2:$CO$584,29,FALSE)=0,0,"Digite"))</f>
        <v>0</v>
      </c>
      <c r="I65" s="456">
        <f>IF(OR('Parte Estrategica'!AB65=0,'Parte Estrategica'!AB65=""),0,IF(VLOOKUP($A65,'Matriz de Referencia'!$B$2:$CO$584,30,FALSE)=0,0,"Digite"))</f>
        <v>0</v>
      </c>
      <c r="J65" s="456">
        <f>IF(OR('Parte Estrategica'!AB65=0,'Parte Estrategica'!AB65=""),0,IF(VLOOKUP($A65,'Matriz de Referencia'!$B$2:$CO$584,31,FALSE)=0,0,"Digite"))</f>
        <v>0</v>
      </c>
      <c r="K65" s="456">
        <f>IF(OR('Parte Estrategica'!AB65=0,'Parte Estrategica'!AB65=""),0,IF(VLOOKUP($A65,'Matriz de Referencia'!$B$2:$CO$584,32,FALSE)=0,0,"Digite"))</f>
        <v>0</v>
      </c>
      <c r="L65" s="460">
        <f t="shared" si="0"/>
        <v>0</v>
      </c>
      <c r="M65" s="456">
        <f>IF(OR('Parte Estrategica'!AB65=0,'Parte Estrategica'!AB65=""),0,IF(VLOOKUP($A65,'Matriz de Referencia'!$B$2:$CO$584,34,FALSE)=0,0,"Digite"))</f>
        <v>0</v>
      </c>
      <c r="N65" s="456">
        <f>IF(OR('Parte Estrategica'!AB65=0,'Parte Estrategica'!AB65=""),0,IF(VLOOKUP($A65,'Matriz de Referencia'!$B$2:$CO$584,35,FALSE)=0,0,"Digite"))</f>
        <v>0</v>
      </c>
      <c r="O65" s="456">
        <f>IF(OR('Parte Estrategica'!AB65=0,'Parte Estrategica'!AB65=""),0,IF(VLOOKUP($A65,'Matriz de Referencia'!$B$2:$CO$584,36,FALSE)=0,0,"Digite"))</f>
        <v>0</v>
      </c>
      <c r="P65" s="457">
        <f t="shared" si="1"/>
        <v>0</v>
      </c>
      <c r="Q65" s="457">
        <f t="shared" si="2"/>
        <v>0</v>
      </c>
      <c r="R65" s="455">
        <f>IF(OR('Parte Estrategica'!AC65=0,'Parte Estrategica'!AC65=""),0,IF(VLOOKUP($A65,'Matriz de Referencia'!$B$2:$CO$584,25,FALSE)=0,0,"Digite"))</f>
        <v>0</v>
      </c>
      <c r="S65" s="456">
        <f>IF(OR('Parte Estrategica'!AC65=0,'Parte Estrategica'!AC65=""),0,IF(VLOOKUP($A65,'Matriz de Referencia'!$B$2:$CO$584,26,FALSE)=0,0,"Digite"))</f>
        <v>0</v>
      </c>
      <c r="T65" s="456">
        <f>IF(OR('Parte Estrategica'!AC65=0,'Parte Estrategica'!AC65=""),0,IF(VLOOKUP($A65,'Matriz de Referencia'!$B$2:$CO$584,27,FALSE)=0,0,"Digite"))</f>
        <v>0</v>
      </c>
      <c r="U65" s="456">
        <f>IF(OR('Parte Estrategica'!AC65=0,'Parte Estrategica'!AC65=""),0,IF(VLOOKUP($A65,'Matriz de Referencia'!$B$2:$CO$584,28,FALSE)=0,0,"Digite"))</f>
        <v>0</v>
      </c>
      <c r="V65" s="456">
        <f>IF(OR('Parte Estrategica'!AC65=0,'Parte Estrategica'!AC65=""),0,IF(VLOOKUP($A65,'Matriz de Referencia'!$B$2:$CO$584,29,FALSE)=0,0,"Digite"))</f>
        <v>0</v>
      </c>
      <c r="W65" s="456">
        <f>IF(OR('Parte Estrategica'!AC65=0,'Parte Estrategica'!AC65=""),0,IF(VLOOKUP($A65,'Matriz de Referencia'!$B$2:$CO$584,30,FALSE)=0,0,"Digite"))</f>
        <v>0</v>
      </c>
      <c r="X65" s="456">
        <f>IF(OR('Parte Estrategica'!AC65=0,'Parte Estrategica'!AC65=""),0,IF(VLOOKUP($A65,'Matriz de Referencia'!$B$2:$CO$584,31,FALSE)=0,0,"Digite"))</f>
        <v>0</v>
      </c>
      <c r="Y65" s="456">
        <f>IF(OR('Parte Estrategica'!AC65=0,'Parte Estrategica'!AC65=""),0,IF(VLOOKUP($A65,'Matriz de Referencia'!$B$2:$CO$584,32,FALSE)=0,0,"Digite"))</f>
        <v>0</v>
      </c>
      <c r="Z65" s="457">
        <f t="shared" si="3"/>
        <v>0</v>
      </c>
      <c r="AA65" s="456">
        <f>IF(OR('Parte Estrategica'!AC65=0,'Parte Estrategica'!AC65=""),0,IF(VLOOKUP($A65,'Matriz de Referencia'!$B$2:$CO$584,34,FALSE)=0,0,"Digite"))</f>
        <v>0</v>
      </c>
      <c r="AB65" s="456">
        <f>IF(OR('Parte Estrategica'!AC65=0,'Parte Estrategica'!AC65=""),0,IF(VLOOKUP($A65,'Matriz de Referencia'!$B$2:$CO$584,35,FALSE)=0,0,"Digite"))</f>
        <v>0</v>
      </c>
      <c r="AC65" s="456">
        <f>IF(OR('Parte Estrategica'!AC65=0,'Parte Estrategica'!AC65=""),0,IF(VLOOKUP($A65,'Matriz de Referencia'!$B$2:$CO$584,36,FALSE)=0,0,"Digite"))</f>
        <v>0</v>
      </c>
      <c r="AD65" s="457">
        <f t="shared" si="4"/>
        <v>0</v>
      </c>
      <c r="AE65" s="457">
        <f t="shared" si="5"/>
        <v>0</v>
      </c>
      <c r="AF65" s="455">
        <f>IF(OR('Parte Estrategica'!AD65=0,'Parte Estrategica'!AD65=""),0,IF(VLOOKUP($A65,'Matriz de Referencia'!$B$2:$CO$584,25,FALSE)=0,0,"Digite"))</f>
        <v>0</v>
      </c>
      <c r="AG65" s="456">
        <f>IF(OR('Parte Estrategica'!AD65=0,'Parte Estrategica'!AD65=""),0,IF(VLOOKUP($A65,'Matriz de Referencia'!$B$2:$CO$584,26,FALSE)=0,0,"Digite"))</f>
        <v>0</v>
      </c>
      <c r="AH65" s="456">
        <f>IF(OR('Parte Estrategica'!AD65=0,'Parte Estrategica'!AD65=""),0,IF(VLOOKUP($A65,'Matriz de Referencia'!$B$2:$CO$584,27,FALSE)=0,0,"Digite"))</f>
        <v>0</v>
      </c>
      <c r="AI65" s="456">
        <f>IF(OR('Parte Estrategica'!AD65=0,'Parte Estrategica'!AD65=""),0,IF(VLOOKUP($A65,'Matriz de Referencia'!$B$2:$CO$584,28,FALSE)=0,0,"Digite"))</f>
        <v>0</v>
      </c>
      <c r="AJ65" s="456">
        <f>IF(OR('Parte Estrategica'!AD65=0,'Parte Estrategica'!AD65=""),0,IF(VLOOKUP($A65,'Matriz de Referencia'!$B$2:$CO$584,29,FALSE)=0,0,"Digite"))</f>
        <v>0</v>
      </c>
      <c r="AK65" s="456">
        <f>IF(OR('Parte Estrategica'!AD65=0,'Parte Estrategica'!AD65=""),0,IF(VLOOKUP($A65,'Matriz de Referencia'!$B$2:$CO$584,30,FALSE)=0,0,"Digite"))</f>
        <v>0</v>
      </c>
      <c r="AL65" s="456">
        <f>IF(OR('Parte Estrategica'!AD65=0,'Parte Estrategica'!AD65=""),0,IF(VLOOKUP($A65,'Matriz de Referencia'!$B$2:$CO$584,31,FALSE)=0,0,"Digite"))</f>
        <v>0</v>
      </c>
      <c r="AM65" s="456">
        <f>IF(OR('Parte Estrategica'!AD65=0,'Parte Estrategica'!AD65=""),0,IF(VLOOKUP($A65,'Matriz de Referencia'!$B$2:$CO$584,32,FALSE)=0,0,"Digite"))</f>
        <v>0</v>
      </c>
      <c r="AN65" s="457">
        <f t="shared" si="6"/>
        <v>0</v>
      </c>
      <c r="AO65" s="456">
        <f>IF(OR('Parte Estrategica'!AD65=0,'Parte Estrategica'!AD65=""),0,IF(VLOOKUP($A65,'Matriz de Referencia'!$B$2:$CO$584,34,FALSE)=0,0,"Digite"))</f>
        <v>0</v>
      </c>
      <c r="AP65" s="456">
        <f>IF(OR('Parte Estrategica'!AD65=0,'Parte Estrategica'!AD65=""),0,IF(VLOOKUP($A65,'Matriz de Referencia'!$B$2:$CO$584,35,FALSE)=0,0,"Digite"))</f>
        <v>0</v>
      </c>
      <c r="AQ65" s="456">
        <f>IF(OR('Parte Estrategica'!AD65=0,'Parte Estrategica'!AD65=""),0,IF(VLOOKUP($A65,'Matriz de Referencia'!$B$2:$CO$584,36,FALSE)=0,0,"Digite"))</f>
        <v>0</v>
      </c>
      <c r="AR65" s="457">
        <f t="shared" si="7"/>
        <v>0</v>
      </c>
      <c r="AS65" s="457">
        <f t="shared" si="8"/>
        <v>0</v>
      </c>
      <c r="AT65" s="455">
        <f>IF(OR('Parte Estrategica'!AE65=0,'Parte Estrategica'!AE65=""),0,IF(VLOOKUP($A65,'Matriz de Referencia'!$B$2:$CO$584,25,FALSE)=0,0,"Digite"))</f>
        <v>0</v>
      </c>
      <c r="AU65" s="456">
        <f>IF(OR('Parte Estrategica'!AE65=0,'Parte Estrategica'!AE65=""),0,IF(VLOOKUP($A65,'Matriz de Referencia'!$B$2:$CO$584,26,FALSE)=0,0,"Digite"))</f>
        <v>0</v>
      </c>
      <c r="AV65" s="456">
        <f>IF(OR('Parte Estrategica'!AE65=0,'Parte Estrategica'!AE65=""),0,IF(VLOOKUP($A65,'Matriz de Referencia'!$B$2:$CO$584,27,FALSE)=0,0,"Digite"))</f>
        <v>0</v>
      </c>
      <c r="AW65" s="456">
        <f>IF(OR('Parte Estrategica'!AE65=0,'Parte Estrategica'!AE65=""),0,IF(VLOOKUP($A65,'Matriz de Referencia'!$B$2:$CO$584,28,FALSE)=0,0,"Digite"))</f>
        <v>0</v>
      </c>
      <c r="AX65" s="456">
        <f>IF(OR('Parte Estrategica'!AE65=0,'Parte Estrategica'!AE65=""),0,IF(VLOOKUP($A65,'Matriz de Referencia'!$B$2:$CO$584,29,FALSE)=0,0,"Digite"))</f>
        <v>0</v>
      </c>
      <c r="AY65" s="456">
        <f>IF(OR('Parte Estrategica'!AE65=0,'Parte Estrategica'!AE65=""),0,IF(VLOOKUP($A65,'Matriz de Referencia'!$B$2:$CO$584,30,FALSE)=0,0,"Digite"))</f>
        <v>0</v>
      </c>
      <c r="AZ65" s="456">
        <f>IF(OR('Parte Estrategica'!AE65=0,'Parte Estrategica'!AE65=""),0,IF(VLOOKUP($A65,'Matriz de Referencia'!$B$2:$CO$584,31,FALSE)=0,0,"Digite"))</f>
        <v>0</v>
      </c>
      <c r="BA65" s="456">
        <f>IF(OR('Parte Estrategica'!AE65=0,'Parte Estrategica'!AE65=""),0,IF(VLOOKUP($A65,'Matriz de Referencia'!$B$2:$CO$584,32,FALSE)=0,0,"Digite"))</f>
        <v>0</v>
      </c>
      <c r="BB65" s="457">
        <f t="shared" si="9"/>
        <v>0</v>
      </c>
      <c r="BC65" s="456">
        <f>IF(OR('Parte Estrategica'!AE65=0,'Parte Estrategica'!AE65=""),0,IF(VLOOKUP($A65,'Matriz de Referencia'!$B$2:$CO$584,34,FALSE)=0,0,"Digite"))</f>
        <v>0</v>
      </c>
      <c r="BD65" s="456">
        <f>IF(OR('Parte Estrategica'!AE65=0,'Parte Estrategica'!AE65=""),0,IF(VLOOKUP($A65,'Matriz de Referencia'!$B$2:$CO$584,35,FALSE)=0,0,"Digite"))</f>
        <v>0</v>
      </c>
      <c r="BE65" s="456">
        <f>IF(OR('Parte Estrategica'!AE65=0,'Parte Estrategica'!AE65=""),0,IF(VLOOKUP($A65,'Matriz de Referencia'!$B$2:$CO$584,36,FALSE)=0,0,"Digite"))</f>
        <v>0</v>
      </c>
      <c r="BF65" s="457">
        <f t="shared" si="10"/>
        <v>0</v>
      </c>
      <c r="BG65" s="457">
        <f t="shared" si="11"/>
        <v>0</v>
      </c>
      <c r="BH65" s="457">
        <f t="shared" si="12"/>
        <v>0</v>
      </c>
      <c r="BI65" s="101" t="str">
        <f>IFERROR(IF(BH65=0,"",IF(VLOOKUP($A65,'Matriz de Referencia'!$B$2:$CO$584,'Matriz de Referencia'!AM$1,FALSE)=BH65,"Techos ok, cotinue","Debe revisar el valor programado")),"")</f>
        <v/>
      </c>
      <c r="BJ65" s="453">
        <f>IF(OR('Parte Estrategica'!AH65=0,'Parte Estrategica'!AH65=""),0,IF(VLOOKUP($A65,'Matriz de Referencia'!$B$2:$CO$584,39,FALSE)=0,0,"Digite"))</f>
        <v>0</v>
      </c>
      <c r="BK65" s="454">
        <f>IF(OR('Parte Estrategica'!AH65=0,'Parte Estrategica'!AH65=""),0,IF(VLOOKUP($A65,'Matriz de Referencia'!$B$2:$CO$584,40,FALSE)=0,0,"Digite"))</f>
        <v>0</v>
      </c>
      <c r="BL65" s="454">
        <f>IF(OR('Parte Estrategica'!AH65=0,'Parte Estrategica'!AH65=""),0,IF(VLOOKUP($A65,'Matriz de Referencia'!$B$2:$CO$584,41,FALSE)=0,0,"Digite"))</f>
        <v>0</v>
      </c>
      <c r="BM65" s="454">
        <f>IF(OR('Parte Estrategica'!AH65=0,'Parte Estrategica'!AH65=""),0,IF(VLOOKUP($A65,'Matriz de Referencia'!$B$2:$CO$584,42,FALSE)=0,0,"Digite"))</f>
        <v>0</v>
      </c>
      <c r="BN65" s="454">
        <f>IF(OR('Parte Estrategica'!AH65=0,'Parte Estrategica'!AH65=""),0,IF(VLOOKUP($A65,'Matriz de Referencia'!$B$2:$CO$584,43,FALSE)=0,0,"Digite"))</f>
        <v>0</v>
      </c>
      <c r="BO65" s="454">
        <f>IF(OR('Parte Estrategica'!AH65=0,'Parte Estrategica'!AH65=""),0,IF(VLOOKUP($A65,'Matriz de Referencia'!$B$2:$CO$584,44,FALSE)=0,0,"Digite"))</f>
        <v>0</v>
      </c>
      <c r="BP65" s="454">
        <f>IF(OR('Parte Estrategica'!AH65=0,'Parte Estrategica'!AH65=""),0,IF(VLOOKUP($A65,'Matriz de Referencia'!$B$2:$CO$584,45,FALSE)=0,0,"Digite"))</f>
        <v>0</v>
      </c>
      <c r="BQ65" s="454">
        <f>IF(OR('Parte Estrategica'!AH65=0,'Parte Estrategica'!AH65=""),0,IF(VLOOKUP($A65,'Matriz de Referencia'!$B$2:$CO$584,46,FALSE)=0,0,"Digite"))</f>
        <v>0</v>
      </c>
      <c r="BR65" s="382">
        <f t="shared" si="13"/>
        <v>0</v>
      </c>
      <c r="BS65" s="454">
        <f>IF(OR('Parte Estrategica'!CL65=0,'Parte Estrategica'!CL65=""),0,IF(VLOOKUP($A65,'Matriz de Referencia'!$B$2:$CO$584,48,FALSE)=0,0,"Digite"))</f>
        <v>0</v>
      </c>
      <c r="BT65" s="454">
        <f>IF(OR('Parte Estrategica'!CL65=0,'Parte Estrategica'!CL65=""),0,IF(VLOOKUP($A65,'Matriz de Referencia'!$B$2:$CO$584,49,FALSE)=0,0,"Digite"))</f>
        <v>0</v>
      </c>
      <c r="BU65" s="454">
        <f>IF(OR('Parte Estrategica'!CL65=0,'Parte Estrategica'!CL65=""),0,IF(VLOOKUP($A65,'Matriz de Referencia'!$B$2:$CO$584,50,FALSE)=0,0,"Digite"))</f>
        <v>0</v>
      </c>
      <c r="BV65" s="382">
        <f t="shared" si="14"/>
        <v>0</v>
      </c>
      <c r="BW65" s="382">
        <f t="shared" si="15"/>
        <v>0</v>
      </c>
      <c r="BX65" s="453">
        <f>IF(OR('Parte Estrategica'!AI65=0,'Parte Estrategica'!AI65=""),0,IF(VLOOKUP($A65,'Matriz de Referencia'!$B$2:$CO$584,39,FALSE)=0,0,"Digite"))</f>
        <v>0</v>
      </c>
      <c r="BY65" s="454">
        <f>IF(OR('Parte Estrategica'!AI65=0,'Parte Estrategica'!AI65=""),0,IF(VLOOKUP($A65,'Matriz de Referencia'!$B$2:$CO$584,40,FALSE)=0,0,"Digite"))</f>
        <v>0</v>
      </c>
      <c r="BZ65" s="454">
        <f>IF(OR('Parte Estrategica'!AI65=0,'Parte Estrategica'!AI65=""),0,IF(VLOOKUP($A65,'Matriz de Referencia'!$B$2:$CO$584,41,FALSE)=0,0,"Digite"))</f>
        <v>0</v>
      </c>
      <c r="CA65" s="454">
        <f>IF(OR('Parte Estrategica'!AI65=0,'Parte Estrategica'!AI65=""),0,IF(VLOOKUP($A65,'Matriz de Referencia'!$B$2:$CO$584,42,FALSE)=0,0,"Digite"))</f>
        <v>0</v>
      </c>
      <c r="CB65" s="454">
        <f>IF(OR('Parte Estrategica'!AI65=0,'Parte Estrategica'!AI65=""),0,IF(VLOOKUP($A65,'Matriz de Referencia'!$B$2:$CO$584,43,FALSE)=0,0,"Digite"))</f>
        <v>0</v>
      </c>
      <c r="CC65" s="454">
        <f>IF(OR('Parte Estrategica'!AI65=0,'Parte Estrategica'!AI65=""),0,IF(VLOOKUP($A65,'Matriz de Referencia'!$B$2:$CO$584,44,FALSE)=0,0,"Digite"))</f>
        <v>0</v>
      </c>
      <c r="CD65" s="454">
        <f>IF(OR('Parte Estrategica'!AI65=0,'Parte Estrategica'!AI65=""),0,IF(VLOOKUP($A65,'Matriz de Referencia'!$B$2:$CO$584,45,FALSE)=0,0,"Digite"))</f>
        <v>0</v>
      </c>
      <c r="CE65" s="454">
        <f>IF(OR('Parte Estrategica'!AI65=0,'Parte Estrategica'!AI65=""),0,IF(VLOOKUP($A65,'Matriz de Referencia'!$B$2:$CO$584,46,FALSE)=0,0,"Digite"))</f>
        <v>0</v>
      </c>
      <c r="CF65" s="382">
        <f t="shared" si="16"/>
        <v>0</v>
      </c>
      <c r="CG65" s="454">
        <f>IF(OR('Parte Estrategica'!AI65=0,'Parte Estrategica'!AI65=""),0,IF(VLOOKUP($A65,'Matriz de Referencia'!$B$2:$CO$584,48,FALSE)=0,0,"Digite"))</f>
        <v>0</v>
      </c>
      <c r="CH65" s="454">
        <f>IF(OR('Parte Estrategica'!AI65=0,'Parte Estrategica'!AI65=""),0,IF(VLOOKUP($A65,'Matriz de Referencia'!$B$2:$CO$584,49,FALSE)=0,0,"Digite"))</f>
        <v>0</v>
      </c>
      <c r="CI65" s="454">
        <f>IF(OR('Parte Estrategica'!AI65=0,'Parte Estrategica'!AI65=""),0,IF(VLOOKUP($A65,'Matriz de Referencia'!$B$2:$CO$584,50,FALSE)=0,0,"Digite"))</f>
        <v>0</v>
      </c>
      <c r="CJ65" s="382">
        <f t="shared" si="17"/>
        <v>0</v>
      </c>
      <c r="CK65" s="382">
        <f t="shared" si="18"/>
        <v>0</v>
      </c>
      <c r="CL65" s="453">
        <f>IF(OR('Parte Estrategica'!AJ65=0,'Parte Estrategica'!AJ65=""),0,IF(VLOOKUP($A65,'Matriz de Referencia'!$B$2:$CO$584,39,FALSE)=0,0,"Digite"))</f>
        <v>0</v>
      </c>
      <c r="CM65" s="454">
        <f>IF(OR('Parte Estrategica'!AJ65=0,'Parte Estrategica'!AJ65=""),0,IF(VLOOKUP($A65,'Matriz de Referencia'!$B$2:$CO$584,40,FALSE)=0,0,"Digite"))</f>
        <v>0</v>
      </c>
      <c r="CN65" s="454">
        <f>IF(OR('Parte Estrategica'!AJ65=0,'Parte Estrategica'!AJ65=""),0,IF(VLOOKUP($A65,'Matriz de Referencia'!$B$2:$CO$584,41,FALSE)=0,0,"Digite"))</f>
        <v>0</v>
      </c>
      <c r="CO65" s="454">
        <f>IF(OR('Parte Estrategica'!AJ65=0,'Parte Estrategica'!AJ65=""),0,IF(VLOOKUP($A65,'Matriz de Referencia'!$B$2:$CO$584,42,FALSE)=0,0,"Digite"))</f>
        <v>0</v>
      </c>
      <c r="CP65" s="454">
        <f>IF(OR('Parte Estrategica'!AJ65=0,'Parte Estrategica'!AJ65=""),0,IF(VLOOKUP($A65,'Matriz de Referencia'!$B$2:$CO$584,43,FALSE)=0,0,"Digite"))</f>
        <v>0</v>
      </c>
      <c r="CQ65" s="454">
        <f>IF(OR('Parte Estrategica'!AJ65=0,'Parte Estrategica'!AJ65=""),0,IF(VLOOKUP($A65,'Matriz de Referencia'!$B$2:$CO$584,44,FALSE)=0,0,"Digite"))</f>
        <v>0</v>
      </c>
      <c r="CR65" s="454">
        <f>IF(OR('Parte Estrategica'!AJ65=0,'Parte Estrategica'!AJ65=""),0,IF(VLOOKUP($A65,'Matriz de Referencia'!$B$2:$CO$584,45,FALSE)=0,0,"Digite"))</f>
        <v>0</v>
      </c>
      <c r="CS65" s="454">
        <f>IF(OR('Parte Estrategica'!AJ65=0,'Parte Estrategica'!AJ65=""),0,IF(VLOOKUP($A65,'Matriz de Referencia'!$B$2:$CO$584,46,FALSE)=0,0,"Digite"))</f>
        <v>0</v>
      </c>
      <c r="CT65" s="382">
        <f t="shared" si="19"/>
        <v>0</v>
      </c>
      <c r="CU65" s="454">
        <f>IF(OR('Parte Estrategica'!AJ65=0,'Parte Estrategica'!AJ65=""),0,IF(VLOOKUP($A65,'Matriz de Referencia'!$B$2:$CO$584,48,FALSE)=0,0,"Digite"))</f>
        <v>0</v>
      </c>
      <c r="CV65" s="454">
        <f>IF(OR('Parte Estrategica'!AJ65=0,'Parte Estrategica'!AJ65=""),0,IF(VLOOKUP($A65,'Matriz de Referencia'!$B$2:$CO$584,49,FALSE)=0,0,"Digite"))</f>
        <v>0</v>
      </c>
      <c r="CW65" s="454">
        <f>IF(OR('Parte Estrategica'!AJ65=0,'Parte Estrategica'!AJ65=""),0,IF(VLOOKUP($A65,'Matriz de Referencia'!$B$2:$CO$584,50,FALSE)=0,0,"Digite"))</f>
        <v>0</v>
      </c>
      <c r="CX65" s="382">
        <f t="shared" si="20"/>
        <v>0</v>
      </c>
      <c r="CY65" s="382">
        <f t="shared" si="21"/>
        <v>0</v>
      </c>
      <c r="CZ65" s="453">
        <f>IF(OR('Parte Estrategica'!AK65=0,'Parte Estrategica'!AK65=""),0,IF(VLOOKUP($A65,'Matriz de Referencia'!$B$2:$CO$584,39,FALSE)=0,0,"Digite"))</f>
        <v>0</v>
      </c>
      <c r="DA65" s="454">
        <f>IF(OR('Parte Estrategica'!AK65=0,'Parte Estrategica'!AK65=""),0,IF(VLOOKUP($A65,'Matriz de Referencia'!$B$2:$CO$584,40,FALSE)=0,0,"Digite"))</f>
        <v>0</v>
      </c>
      <c r="DB65" s="454">
        <f>IF(OR('Parte Estrategica'!AK65=0,'Parte Estrategica'!AK65=""),0,IF(VLOOKUP($A65,'Matriz de Referencia'!$B$2:$CO$584,41,FALSE)=0,0,"Digite"))</f>
        <v>0</v>
      </c>
      <c r="DC65" s="454">
        <f>IF(OR('Parte Estrategica'!AK65=0,'Parte Estrategica'!AK65=""),0,IF(VLOOKUP($A65,'Matriz de Referencia'!$B$2:$CO$584,42,FALSE)=0,0,"Digite"))</f>
        <v>0</v>
      </c>
      <c r="DD65" s="454">
        <f>IF(OR('Parte Estrategica'!AK65=0,'Parte Estrategica'!AK65=""),0,IF(VLOOKUP($A65,'Matriz de Referencia'!$B$2:$CO$584,43,FALSE)=0,0,"Digite"))</f>
        <v>0</v>
      </c>
      <c r="DE65" s="454">
        <f>IF(OR('Parte Estrategica'!AK65=0,'Parte Estrategica'!AK65=""),0,IF(VLOOKUP($A65,'Matriz de Referencia'!$B$2:$CO$584,44,FALSE)=0,0,"Digite"))</f>
        <v>0</v>
      </c>
      <c r="DF65" s="454">
        <f>IF(OR('Parte Estrategica'!AK65=0,'Parte Estrategica'!AK65=""),0,IF(VLOOKUP($A65,'Matriz de Referencia'!$B$2:$CO$584,45,FALSE)=0,0,"Digite"))</f>
        <v>0</v>
      </c>
      <c r="DG65" s="454">
        <f>IF(OR('Parte Estrategica'!AK65=0,'Parte Estrategica'!AK65=""),0,IF(VLOOKUP($A65,'Matriz de Referencia'!$B$2:$CO$584,46,FALSE)=0,0,"Digite"))</f>
        <v>0</v>
      </c>
      <c r="DH65" s="382">
        <f t="shared" si="22"/>
        <v>0</v>
      </c>
      <c r="DI65" s="454">
        <f>IF(OR('Parte Estrategica'!AK65=0,'Parte Estrategica'!AK65=""),0,IF(VLOOKUP($A65,'Matriz de Referencia'!$B$2:$CO$584,48,FALSE)=0,0,"Digite"))</f>
        <v>0</v>
      </c>
      <c r="DJ65" s="454">
        <f>IF(OR('Parte Estrategica'!AK65=0,'Parte Estrategica'!AK65=""),0,IF(VLOOKUP($A65,'Matriz de Referencia'!$B$2:$CO$584,49,FALSE)=0,0,"Digite"))</f>
        <v>0</v>
      </c>
      <c r="DK65" s="454">
        <f>IF(OR('Parte Estrategica'!AK65=0,'Parte Estrategica'!AK65=""),0,IF(VLOOKUP($A65,'Matriz de Referencia'!$B$2:$CO$584,50,FALSE)=0,0,"Digite"))</f>
        <v>0</v>
      </c>
      <c r="DL65" s="382">
        <f t="shared" si="23"/>
        <v>0</v>
      </c>
      <c r="DM65" s="382">
        <f t="shared" si="24"/>
        <v>0</v>
      </c>
      <c r="DN65" s="382">
        <f t="shared" si="25"/>
        <v>0</v>
      </c>
      <c r="DO65" s="101" t="str">
        <f>IFERROR(IF(DN65=0,"",IF(VLOOKUP($A65,'Matriz de Referencia'!$B$2:$CO$584,52,FALSE)=DN65,"Techos ok, cotinue","Debe revisar el valor programado")),"")</f>
        <v/>
      </c>
      <c r="DP65" s="453">
        <f>IF(OR('Parte Estrategica'!AN65=0,'Parte Estrategica'!AN65=""),0,IF(VLOOKUP($A65,'Matriz de Referencia'!$B$2:$CO$584,53,FALSE)=0,0,"Digite"))</f>
        <v>0</v>
      </c>
      <c r="DQ65" s="454">
        <f>IF(OR('Parte Estrategica'!AN65=0,'Parte Estrategica'!AN65=""),0,IF(VLOOKUP($A65,'Matriz de Referencia'!$B$2:$CO$584,54,FALSE)=0,0,"Digite"))</f>
        <v>0</v>
      </c>
      <c r="DR65" s="454">
        <f>IF(OR('Parte Estrategica'!AN65=0,'Parte Estrategica'!AN65=""),0,IF(VLOOKUP($A65,'Matriz de Referencia'!$B$2:$CO$584,55,FALSE)=0,0,"Digite"))</f>
        <v>0</v>
      </c>
      <c r="DS65" s="454">
        <f>IF(OR('Parte Estrategica'!AN65=0,'Parte Estrategica'!AN65=""),0,IF(VLOOKUP($A65,'Matriz de Referencia'!$B$2:$CO$584,56,FALSE)=0,0,"Digite"))</f>
        <v>0</v>
      </c>
      <c r="DT65" s="454">
        <f>IF(OR('Parte Estrategica'!AN65=0,'Parte Estrategica'!AN65=""),0,IF(VLOOKUP($A65,'Matriz de Referencia'!$B$2:$CO$584,57,FALSE)=0,0,"Digite"))</f>
        <v>0</v>
      </c>
      <c r="DU65" s="454">
        <f>IF(OR('Parte Estrategica'!AN65=0,'Parte Estrategica'!AN65=""),0,IF(VLOOKUP($A65,'Matriz de Referencia'!$B$2:$CO$584,58,FALSE)=0,0,"Digite"))</f>
        <v>0</v>
      </c>
      <c r="DV65" s="454">
        <f>IF(OR('Parte Estrategica'!AN65=0,'Parte Estrategica'!AN65=""),0,IF(VLOOKUP($A65,'Matriz de Referencia'!$B$2:$CO$584,59,FALSE)=0,0,"Digite"))</f>
        <v>0</v>
      </c>
      <c r="DW65" s="454">
        <f>IF(OR('Parte Estrategica'!AN65=0,'Parte Estrategica'!AN65=""),0,IF(VLOOKUP($A65,'Matriz de Referencia'!$B$2:$CO$584,60,FALSE)=0,0,"Digite"))</f>
        <v>0</v>
      </c>
      <c r="DX65" s="382">
        <f t="shared" si="26"/>
        <v>0</v>
      </c>
      <c r="DY65" s="454">
        <f>IF(OR('Parte Estrategica'!AN65=0,'Parte Estrategica'!AN65=""),0,IF(VLOOKUP($A65,'Matriz de Referencia'!$B$2:$CO$584,62,FALSE)=0,0,"Digite"))</f>
        <v>0</v>
      </c>
      <c r="DZ65" s="454">
        <f>IF(OR('Parte Estrategica'!AN65=0,'Parte Estrategica'!AN65=""),0,IF(VLOOKUP($A65,'Matriz de Referencia'!$B$2:$CO$584,63,FALSE)=0,0,"Digite"))</f>
        <v>0</v>
      </c>
      <c r="EA65" s="454" t="str">
        <f>IF(OR('Parte Estrategica'!AN65=0,'Parte Estrategica'!AN65=""),"",IF(VLOOKUP($A65,'Matriz de Referencia'!$B$2:$CO$584,64,FALSE)=0,"","Digite"))</f>
        <v/>
      </c>
      <c r="EB65" s="382">
        <f t="shared" si="27"/>
        <v>0</v>
      </c>
      <c r="EC65" s="382">
        <f t="shared" si="28"/>
        <v>0</v>
      </c>
      <c r="ED65" s="453">
        <f>IF(OR('Parte Estrategica'!AO65=0,'Parte Estrategica'!AO65=""),0,IF(VLOOKUP($A65,'Matriz de Referencia'!$B$2:$CO$584,53,FALSE)=0,0,"Digite"))</f>
        <v>0</v>
      </c>
      <c r="EE65" s="454">
        <f>IF(OR('Parte Estrategica'!AO65=0,'Parte Estrategica'!AO65=""),0,IF(VLOOKUP($A65,'Matriz de Referencia'!$B$2:$CO$584,54,FALSE)=0,0,"Digite"))</f>
        <v>0</v>
      </c>
      <c r="EF65" s="454">
        <f>IF(OR('Parte Estrategica'!AO65=0,'Parte Estrategica'!AO65=""),0,IF(VLOOKUP($A65,'Matriz de Referencia'!$B$2:$CO$584,55,FALSE)=0,0,"Digite"))</f>
        <v>0</v>
      </c>
      <c r="EG65" s="454">
        <f>IF(OR('Parte Estrategica'!AO65=0,'Parte Estrategica'!AO65=""),0,IF(VLOOKUP($A65,'Matriz de Referencia'!$B$2:$CO$584,56,FALSE)=0,0,"Digite"))</f>
        <v>0</v>
      </c>
      <c r="EH65" s="454">
        <f>IF(OR('Parte Estrategica'!AO65=0,'Parte Estrategica'!AO65=""),0,IF(VLOOKUP($A65,'Matriz de Referencia'!$B$2:$CO$584,57,FALSE)=0,0,"Digite"))</f>
        <v>0</v>
      </c>
      <c r="EI65" s="454">
        <f>IF(OR('Parte Estrategica'!AO65=0,'Parte Estrategica'!AO65=""),0,IF(VLOOKUP($A65,'Matriz de Referencia'!$B$2:$CO$584,58,FALSE)=0,0,"Digite"))</f>
        <v>0</v>
      </c>
      <c r="EJ65" s="454">
        <f>IF(OR('Parte Estrategica'!AO65=0,'Parte Estrategica'!AO65=""),0,IF(VLOOKUP($A65,'Matriz de Referencia'!$B$2:$CO$584,59,FALSE)=0,0,"Digite"))</f>
        <v>0</v>
      </c>
      <c r="EK65" s="454">
        <f>IF(OR('Parte Estrategica'!AO65=0,'Parte Estrategica'!AO65=""),0,IF(VLOOKUP($A65,'Matriz de Referencia'!$B$2:$CO$584,60,FALSE)=0,0,"Digite"))</f>
        <v>0</v>
      </c>
      <c r="EL65" s="382">
        <f t="shared" si="29"/>
        <v>0</v>
      </c>
      <c r="EM65" s="454">
        <f>IF(OR('Parte Estrategica'!AO65=0,'Parte Estrategica'!AO65=""),0,IF(VLOOKUP($A65,'Matriz de Referencia'!$B$2:$CO$584,62,FALSE)=0,0,"Digite"))</f>
        <v>0</v>
      </c>
      <c r="EN65" s="454">
        <f>IF(OR('Parte Estrategica'!AO65=0,'Parte Estrategica'!AO65=""),0,IF(VLOOKUP($A65,'Matriz de Referencia'!$B$2:$CO$584,63,FALSE)=0,0,"Digite"))</f>
        <v>0</v>
      </c>
      <c r="EO65" s="454">
        <f>IF(OR('Parte Estrategica'!AO65=0,'Parte Estrategica'!AO65=""),0,IF(VLOOKUP($A65,'Matriz de Referencia'!$B$2:$CO$584,64,FALSE)=0,0,"Digite"))</f>
        <v>0</v>
      </c>
      <c r="EP65" s="382">
        <f t="shared" si="30"/>
        <v>0</v>
      </c>
      <c r="EQ65" s="382">
        <f t="shared" si="31"/>
        <v>0</v>
      </c>
      <c r="ER65" s="453">
        <f>IF(OR('Parte Estrategica'!AP65=0,'Parte Estrategica'!AP65=""),0,IF(VLOOKUP($A65,'Matriz de Referencia'!$B$2:$CO$584,53,FALSE)=0,0,"Digite"))</f>
        <v>0</v>
      </c>
      <c r="ES65" s="454">
        <f>IF(OR('Parte Estrategica'!AP65=0,'Parte Estrategica'!AP65=""),0,IF(VLOOKUP($A65,'Matriz de Referencia'!$B$2:$CO$584,54,FALSE)=0,0,"Digite"))</f>
        <v>0</v>
      </c>
      <c r="ET65" s="454">
        <f>IF(OR('Parte Estrategica'!AP65=0,'Parte Estrategica'!AP65=""),0,IF(VLOOKUP($A65,'Matriz de Referencia'!$B$2:$CO$584,55,FALSE)=0,0,"Digite"))</f>
        <v>0</v>
      </c>
      <c r="EU65" s="454">
        <f>IF(OR('Parte Estrategica'!AP65=0,'Parte Estrategica'!AP65=""),0,IF(VLOOKUP($A65,'Matriz de Referencia'!$B$2:$CO$584,56,FALSE)=0,0,"Digite"))</f>
        <v>0</v>
      </c>
      <c r="EV65" s="454">
        <f>IF(OR('Parte Estrategica'!AP65=0,'Parte Estrategica'!AP65=""),0,IF(VLOOKUP($A65,'Matriz de Referencia'!$B$2:$CO$584,57,FALSE)=0,0,"Digite"))</f>
        <v>0</v>
      </c>
      <c r="EW65" s="454">
        <f>IF(OR('Parte Estrategica'!AP65=0,'Parte Estrategica'!AP65=""),0,IF(VLOOKUP($A65,'Matriz de Referencia'!$B$2:$CO$584,58,FALSE)=0,0,"Digite"))</f>
        <v>0</v>
      </c>
      <c r="EX65" s="454">
        <f>IF(OR('Parte Estrategica'!AP65=0,'Parte Estrategica'!AP65=""),0,IF(VLOOKUP($A65,'Matriz de Referencia'!$B$2:$CO$584,59,FALSE)=0,0,"Digite"))</f>
        <v>0</v>
      </c>
      <c r="EY65" s="454">
        <f>IF(OR('Parte Estrategica'!AP65=0,'Parte Estrategica'!AP65=""),0,IF(VLOOKUP($A65,'Matriz de Referencia'!$B$2:$CO$584,60,FALSE)=0,0,"Digite"))</f>
        <v>0</v>
      </c>
      <c r="EZ65" s="382">
        <f t="shared" si="32"/>
        <v>0</v>
      </c>
      <c r="FA65" s="454">
        <f>IF(OR('Parte Estrategica'!AP65=0,'Parte Estrategica'!AP65=""),0,IF(VLOOKUP($A65,'Matriz de Referencia'!$B$2:$CO$584,62,FALSE)=0,0,"Digite"))</f>
        <v>0</v>
      </c>
      <c r="FB65" s="454">
        <f>IF(OR('Parte Estrategica'!AP65=0,'Parte Estrategica'!AP65=""),0,IF(VLOOKUP($A65,'Matriz de Referencia'!$B$2:$CO$584,63,FALSE)=0,0,"Digite"))</f>
        <v>0</v>
      </c>
      <c r="FC65" s="454">
        <f>IF(OR('Parte Estrategica'!AP65=0,'Parte Estrategica'!AP65=""),0,IF(VLOOKUP($A65,'Matriz de Referencia'!$B$2:$CO$584,64,FALSE)=0,0,"Digite"))</f>
        <v>0</v>
      </c>
      <c r="FD65" s="382">
        <f t="shared" si="33"/>
        <v>0</v>
      </c>
      <c r="FE65" s="382">
        <f t="shared" si="34"/>
        <v>0</v>
      </c>
      <c r="FF65" s="453">
        <f>IF(OR('Parte Estrategica'!AQ65=0,'Parte Estrategica'!AQ65=""),0,IF(VLOOKUP($A65,'Matriz de Referencia'!$B$2:$CO$584,53,FALSE)=0,0,"Digite"))</f>
        <v>0</v>
      </c>
      <c r="FG65" s="454">
        <f>IF(OR('Parte Estrategica'!AQ65=0,'Parte Estrategica'!AQ65=""),0,IF(VLOOKUP($A65,'Matriz de Referencia'!$B$2:$CO$584,54,FALSE)=0,0,"Digite"))</f>
        <v>0</v>
      </c>
      <c r="FH65" s="454">
        <f>IF(OR('Parte Estrategica'!AQ65=0,'Parte Estrategica'!AQ65=""),0,IF(VLOOKUP($A65,'Matriz de Referencia'!$B$2:$CO$584,55,FALSE)=0,0,"Digite"))</f>
        <v>0</v>
      </c>
      <c r="FI65" s="454">
        <f>IF(OR('Parte Estrategica'!AQ65=0,'Parte Estrategica'!AQ65=""),0,IF(VLOOKUP($A65,'Matriz de Referencia'!$B$2:$CO$584,56,FALSE)=0,0,"Digite"))</f>
        <v>0</v>
      </c>
      <c r="FJ65" s="454">
        <f>IF(OR('Parte Estrategica'!AQ65=0,'Parte Estrategica'!AQ65=""),0,IF(VLOOKUP($A65,'Matriz de Referencia'!$B$2:$CO$584,57,FALSE)=0,0,"Digite"))</f>
        <v>0</v>
      </c>
      <c r="FK65" s="454">
        <f>IF(OR('Parte Estrategica'!AQ65=0,'Parte Estrategica'!AQ65=""),0,IF(VLOOKUP($A65,'Matriz de Referencia'!$B$2:$CO$584,58,FALSE)=0,0,"Digite"))</f>
        <v>0</v>
      </c>
      <c r="FL65" s="454">
        <f>IF(OR('Parte Estrategica'!AQ65=0,'Parte Estrategica'!AQ65=""),0,IF(VLOOKUP($A65,'Matriz de Referencia'!$B$2:$CO$584,59,FALSE)=0,0,"Digite"))</f>
        <v>0</v>
      </c>
      <c r="FM65" s="454">
        <f>IF(OR('Parte Estrategica'!AQ65=0,'Parte Estrategica'!AQ65=""),0,IF(VLOOKUP($A65,'Matriz de Referencia'!$B$2:$CO$584,60,FALSE)=0,0,"Digite"))</f>
        <v>0</v>
      </c>
      <c r="FN65" s="382">
        <f t="shared" si="35"/>
        <v>0</v>
      </c>
      <c r="FO65" s="454">
        <f>IF(OR('Parte Estrategica'!AQ65=0,'Parte Estrategica'!AQ65=""),0,IF(VLOOKUP($A65,'Matriz de Referencia'!$B$2:$CO$584,62,FALSE)=0,0,"Digite"))</f>
        <v>0</v>
      </c>
      <c r="FP65" s="454">
        <f>IF(OR('Parte Estrategica'!AQ65=0,'Parte Estrategica'!AQ65=""),0,IF(VLOOKUP($A65,'Matriz de Referencia'!$B$2:$CO$584,63,FALSE)=0,0,"Digite"))</f>
        <v>0</v>
      </c>
      <c r="FQ65" s="454">
        <f>IF(OR('Parte Estrategica'!AQ65=0,'Parte Estrategica'!AQ65=""),0,IF(VLOOKUP($A65,'Matriz de Referencia'!$B$2:$CO$584,64,FALSE)=0,0,"Digite"))</f>
        <v>0</v>
      </c>
      <c r="FR65" s="382">
        <f t="shared" si="36"/>
        <v>0</v>
      </c>
      <c r="FS65" s="382">
        <f t="shared" si="37"/>
        <v>0</v>
      </c>
      <c r="FT65" s="382">
        <f t="shared" si="38"/>
        <v>0</v>
      </c>
      <c r="FU65" s="101" t="str">
        <f>IFERROR(IF(FT65=0,"",IF(VLOOKUP($A65,'Matriz de Referencia'!$B$2:$CO$584,66,FALSE)=FT65,"Techos ok, cotinue","Debe revisar el valor programado")),"")</f>
        <v/>
      </c>
      <c r="FV65" s="453">
        <f>IF(OR('Parte Estrategica'!AT65=0,'Parte Estrategica'!AT65=""),0,IF(VLOOKUP($A65,'Matriz de Referencia'!$B$2:$CO$584,67,FALSE)=0,0,"Digite"))</f>
        <v>0</v>
      </c>
      <c r="FW65" s="454">
        <f>IF(OR('Parte Estrategica'!AT65=0,'Parte Estrategica'!AT65=""),0,IF(VLOOKUP($A65,'Matriz de Referencia'!$B$2:$CO$584,68,FALSE)=0,0,"Digite"))</f>
        <v>0</v>
      </c>
      <c r="FX65" s="454">
        <f>IF(OR('Parte Estrategica'!AT65=0,'Parte Estrategica'!AT65=""),0,IF(VLOOKUP($A65,'Matriz de Referencia'!$B$2:$CO$584,69,FALSE)=0,0,"Digite"))</f>
        <v>0</v>
      </c>
      <c r="FY65" s="454">
        <f>IF(OR('Parte Estrategica'!AT65=0,'Parte Estrategica'!AT65=""),0,IF(VLOOKUP($A65,'Matriz de Referencia'!$B$2:$CO$584,70,FALSE)=0,0,"Digite"))</f>
        <v>0</v>
      </c>
      <c r="FZ65" s="454">
        <f>IF(OR('Parte Estrategica'!AT65=0,'Parte Estrategica'!AT65=""),0,IF(VLOOKUP($A65,'Matriz de Referencia'!$B$2:$CO$584,71,FALSE)=0,0,"Digite"))</f>
        <v>0</v>
      </c>
      <c r="GA65" s="454">
        <f>IF(OR('Parte Estrategica'!AT65=0,'Parte Estrategica'!AT65=""),0,IF(VLOOKUP($A65,'Matriz de Referencia'!$B$2:$CO$584,72,FALSE)=0,0,"Digite"))</f>
        <v>0</v>
      </c>
      <c r="GB65" s="454">
        <f>IF(OR('Parte Estrategica'!AT65=0,'Parte Estrategica'!AT65=""),0,IF(VLOOKUP($A65,'Matriz de Referencia'!$B$2:$CO$584,73,FALSE)=0,0,"Digite"))</f>
        <v>0</v>
      </c>
      <c r="GC65" s="454">
        <f>IF(OR('Parte Estrategica'!AT65=0,'Parte Estrategica'!AT65=""),0,IF(VLOOKUP($A65,'Matriz de Referencia'!$B$2:$CO$584,74,FALSE)=0,0,"Digite"))</f>
        <v>0</v>
      </c>
      <c r="GD65" s="382">
        <f t="shared" si="39"/>
        <v>0</v>
      </c>
      <c r="GE65" s="454">
        <f>IF(OR('Parte Estrategica'!AT65=0,'Parte Estrategica'!AT65=""),0,IF(VLOOKUP($A65,'Matriz de Referencia'!$B$2:$CO$584,76,FALSE)=0,0,"Digite"))</f>
        <v>0</v>
      </c>
      <c r="GF65" s="454">
        <f>IF(OR('Parte Estrategica'!AT65=0,'Parte Estrategica'!AT65=""),0,IF(VLOOKUP($A65,'Matriz de Referencia'!$B$2:$CO$584,77,FALSE)=0,0,"Digite"))</f>
        <v>0</v>
      </c>
      <c r="GG65" s="454">
        <f>IF(OR('Parte Estrategica'!AT65=0,'Parte Estrategica'!AT65=""),0,IF(VLOOKUP($A65,'Matriz de Referencia'!$B$2:$CO$584,78,FALSE)=0,0,"Digite"))</f>
        <v>0</v>
      </c>
      <c r="GH65" s="382">
        <f t="shared" si="40"/>
        <v>0</v>
      </c>
      <c r="GI65" s="382">
        <f t="shared" si="41"/>
        <v>0</v>
      </c>
      <c r="GJ65" s="453">
        <f>IF(OR('Parte Estrategica'!AU65=0,'Parte Estrategica'!AU65=""),0,IF(VLOOKUP($A65,'Matriz de Referencia'!$B$2:$CO$584,67,FALSE)=0,0,"Digite"))</f>
        <v>0</v>
      </c>
      <c r="GK65" s="454">
        <f>IF(OR('Parte Estrategica'!AU65=0,'Parte Estrategica'!AU65=""),0,IF(VLOOKUP($A65,'Matriz de Referencia'!$B$2:$CO$584,68,FALSE)=0,0,"Digite"))</f>
        <v>0</v>
      </c>
      <c r="GL65" s="454">
        <f>IF(OR('Parte Estrategica'!AU65=0,'Parte Estrategica'!AU65=""),0,IF(VLOOKUP($A65,'Matriz de Referencia'!$B$2:$CO$584,69,FALSE)=0,0,"Digite"))</f>
        <v>0</v>
      </c>
      <c r="GM65" s="454">
        <f>IF(OR('Parte Estrategica'!AU65=0,'Parte Estrategica'!AU65=""),0,IF(VLOOKUP($A65,'Matriz de Referencia'!$B$2:$CO$584,70,FALSE)=0,0,"Digite"))</f>
        <v>0</v>
      </c>
      <c r="GN65" s="454">
        <f>IF(OR('Parte Estrategica'!AU65=0,'Parte Estrategica'!AU65=""),0,IF(VLOOKUP($A65,'Matriz de Referencia'!$B$2:$CO$584,71,FALSE)=0,0,"Digite"))</f>
        <v>0</v>
      </c>
      <c r="GO65" s="454">
        <f>IF(OR('Parte Estrategica'!AU65=0,'Parte Estrategica'!AU65=""),0,IF(VLOOKUP($A65,'Matriz de Referencia'!$B$2:$CO$584,72,FALSE)=0,0,"Digite"))</f>
        <v>0</v>
      </c>
      <c r="GP65" s="454">
        <f>IF(OR('Parte Estrategica'!AU65=0,'Parte Estrategica'!AU65=""),0,IF(VLOOKUP($A65,'Matriz de Referencia'!$B$2:$CO$584,73,FALSE)=0,0,"Digite"))</f>
        <v>0</v>
      </c>
      <c r="GQ65" s="454">
        <f>IF(OR('Parte Estrategica'!AU65=0,'Parte Estrategica'!AU65=""),0,IF(VLOOKUP($A65,'Matriz de Referencia'!$B$2:$CO$584,74,FALSE)=0,0,"Digite"))</f>
        <v>0</v>
      </c>
      <c r="GR65" s="382">
        <f t="shared" si="42"/>
        <v>0</v>
      </c>
      <c r="GS65" s="454">
        <f>IF(OR('Parte Estrategica'!AU65=0,'Parte Estrategica'!AU65=""),0,IF(VLOOKUP($A65,'Matriz de Referencia'!$B$2:$CO$584,76,FALSE)=0,0,"Digite"))</f>
        <v>0</v>
      </c>
      <c r="GT65" s="454">
        <f>IF(OR('Parte Estrategica'!AU65=0,'Parte Estrategica'!AU65=""),0,IF(VLOOKUP($A65,'Matriz de Referencia'!$B$2:$CO$584,77,FALSE)=0,0,"Digite"))</f>
        <v>0</v>
      </c>
      <c r="GU65" s="454">
        <f>IF(OR('Parte Estrategica'!AU65=0,'Parte Estrategica'!AU65=""),0,IF(VLOOKUP($A65,'Matriz de Referencia'!$B$2:$CO$584,78,FALSE)=0,0,"Digite"))</f>
        <v>0</v>
      </c>
      <c r="GV65" s="382">
        <f t="shared" si="43"/>
        <v>0</v>
      </c>
      <c r="GW65" s="382">
        <f t="shared" si="44"/>
        <v>0</v>
      </c>
      <c r="GX65" s="453">
        <f>IF(OR('Parte Estrategica'!AV65=0,'Parte Estrategica'!AV65=""),0,IF(VLOOKUP($A65,'Matriz de Referencia'!$B$2:$CO$584,67,FALSE)=0,0,"Digite"))</f>
        <v>0</v>
      </c>
      <c r="GY65" s="454">
        <f>IF(OR('Parte Estrategica'!AV65=0,'Parte Estrategica'!AV65=""),0,IF(VLOOKUP($A65,'Matriz de Referencia'!$B$2:$CO$584,68,FALSE)=0,0,"Digite"))</f>
        <v>0</v>
      </c>
      <c r="GZ65" s="454">
        <f>IF(OR('Parte Estrategica'!AV65=0,'Parte Estrategica'!AV65=""),0,IF(VLOOKUP($A65,'Matriz de Referencia'!$B$2:$CO$584,69,FALSE)=0,0,"Digite"))</f>
        <v>0</v>
      </c>
      <c r="HA65" s="454">
        <f>IF(OR('Parte Estrategica'!AV65=0,'Parte Estrategica'!AV65=""),0,IF(VLOOKUP($A65,'Matriz de Referencia'!$B$2:$CO$584,70,FALSE)=0,0,"Digite"))</f>
        <v>0</v>
      </c>
      <c r="HB65" s="454">
        <f>IF(OR('Parte Estrategica'!AV65=0,'Parte Estrategica'!AV65=""),0,IF(VLOOKUP($A65,'Matriz de Referencia'!$B$2:$CO$584,71,FALSE)=0,0,"Digite"))</f>
        <v>0</v>
      </c>
      <c r="HC65" s="454">
        <f>IF(OR('Parte Estrategica'!AV65=0,'Parte Estrategica'!AV65=""),0,IF(VLOOKUP($A65,'Matriz de Referencia'!$B$2:$CO$584,72,FALSE)=0,0,"Digite"))</f>
        <v>0</v>
      </c>
      <c r="HD65" s="454">
        <f>IF(OR('Parte Estrategica'!AV65=0,'Parte Estrategica'!AV65=""),0,IF(VLOOKUP($A65,'Matriz de Referencia'!$B$2:$CO$584,73,FALSE)=0,0,"Digite"))</f>
        <v>0</v>
      </c>
      <c r="HE65" s="454">
        <f>IF(OR('Parte Estrategica'!AV65=0,'Parte Estrategica'!AV65=""),0,IF(VLOOKUP($A65,'Matriz de Referencia'!$B$2:$CO$584,74,FALSE)=0,0,"Digite"))</f>
        <v>0</v>
      </c>
      <c r="HF65" s="382">
        <f t="shared" si="45"/>
        <v>0</v>
      </c>
      <c r="HG65" s="454">
        <f>IF(OR('Parte Estrategica'!AV65=0,'Parte Estrategica'!AV65=""),0,IF(VLOOKUP($A65,'Matriz de Referencia'!$B$2:$CO$584,76,FALSE)=0,0,"Digite"))</f>
        <v>0</v>
      </c>
      <c r="HH65" s="454">
        <f>IF(OR('Parte Estrategica'!AV65=0,'Parte Estrategica'!AV65=""),0,IF(VLOOKUP($A65,'Matriz de Referencia'!$B$2:$CO$584,77,FALSE)=0,0,"Digite"))</f>
        <v>0</v>
      </c>
      <c r="HI65" s="454">
        <f>IF(OR('Parte Estrategica'!AV65=0,'Parte Estrategica'!AV65=""),0,IF(VLOOKUP($A65,'Matriz de Referencia'!$B$2:$CO$584,78,FALSE)=0,0,"Digite"))</f>
        <v>0</v>
      </c>
      <c r="HJ65" s="382">
        <f t="shared" si="46"/>
        <v>0</v>
      </c>
      <c r="HK65" s="382">
        <f t="shared" si="47"/>
        <v>0</v>
      </c>
      <c r="HL65" s="453">
        <f>IF(OR('Parte Estrategica'!AW65=0,'Parte Estrategica'!AW65=""),0,IF(VLOOKUP($A65,'Matriz de Referencia'!$B$2:$CO$584,67,FALSE)=0,0,"Digite"))</f>
        <v>0</v>
      </c>
      <c r="HM65" s="454">
        <f>IF(OR('Parte Estrategica'!AW65=0,'Parte Estrategica'!AW65=""),0,IF(VLOOKUP($A65,'Matriz de Referencia'!$B$2:$CO$584,68,FALSE)=0,0,"Digite"))</f>
        <v>0</v>
      </c>
      <c r="HN65" s="454">
        <f>IF(OR('Parte Estrategica'!AW65=0,'Parte Estrategica'!AW65=""),0,IF(VLOOKUP($A65,'Matriz de Referencia'!$B$2:$CO$584,69,FALSE)=0,0,"Digite"))</f>
        <v>0</v>
      </c>
      <c r="HO65" s="454">
        <f>IF(OR('Parte Estrategica'!AW65=0,'Parte Estrategica'!AW65=""),0,IF(VLOOKUP($A65,'Matriz de Referencia'!$B$2:$CO$584,70,FALSE)=0,0,"Digite"))</f>
        <v>0</v>
      </c>
      <c r="HP65" s="454">
        <f>IF(OR('Parte Estrategica'!AW65=0,'Parte Estrategica'!AW65=""),0,IF(VLOOKUP($A65,'Matriz de Referencia'!$B$2:$CO$584,71,FALSE)=0,0,"Digite"))</f>
        <v>0</v>
      </c>
      <c r="HQ65" s="454">
        <f>IF(OR('Parte Estrategica'!AW65=0,'Parte Estrategica'!AW65=""),0,IF(VLOOKUP($A65,'Matriz de Referencia'!$B$2:$CO$584,72,FALSE)=0,0,"Digite"))</f>
        <v>0</v>
      </c>
      <c r="HR65" s="454">
        <f>IF(OR('Parte Estrategica'!AW65=0,'Parte Estrategica'!AW65=""),0,IF(VLOOKUP($A65,'Matriz de Referencia'!$B$2:$CO$584,73,FALSE)=0,0,"Digite"))</f>
        <v>0</v>
      </c>
      <c r="HS65" s="454">
        <f>IF(OR('Parte Estrategica'!AW65=0,'Parte Estrategica'!AW65=""),0,IF(VLOOKUP($A65,'Matriz de Referencia'!$B$2:$CO$584,74,FALSE)=0,0,"Digite"))</f>
        <v>0</v>
      </c>
      <c r="HT65" s="382">
        <f t="shared" si="48"/>
        <v>0</v>
      </c>
      <c r="HU65" s="454">
        <f>IF(OR('Parte Estrategica'!AW65=0,'Parte Estrategica'!AW65=""),0,IF(VLOOKUP($A65,'Matriz de Referencia'!$B$2:$CO$584,76,FALSE)=0,0,"Digite"))</f>
        <v>0</v>
      </c>
      <c r="HV65" s="454">
        <f>IF(OR('Parte Estrategica'!AW65=0,'Parte Estrategica'!AW65=""),0,IF(VLOOKUP($A65,'Matriz de Referencia'!$B$2:$CO$584,77,FALSE)=0,0,"Digite"))</f>
        <v>0</v>
      </c>
      <c r="HW65" s="454">
        <f>IF(OR('Parte Estrategica'!AW65=0,'Parte Estrategica'!AW65=""),0,IF(VLOOKUP($A65,'Matriz de Referencia'!$B$2:$CO$584,78,FALSE)=0,0,"Digite"))</f>
        <v>0</v>
      </c>
      <c r="HX65" s="382">
        <f t="shared" si="49"/>
        <v>0</v>
      </c>
      <c r="HY65" s="382">
        <f t="shared" si="50"/>
        <v>0</v>
      </c>
      <c r="HZ65" s="382">
        <f t="shared" si="51"/>
        <v>0</v>
      </c>
      <c r="IA65" s="101" t="str">
        <f>IFERROR(IF(HZ65=0,"",IF(VLOOKUP($A65,'Matriz de Referencia'!$B$2:$CO$584,80,FALSE)=HZ65,"Techos ok, cotinue","Debe revisar el valor programado")),"")</f>
        <v/>
      </c>
      <c r="IB65" s="383">
        <f t="shared" si="52"/>
        <v>0</v>
      </c>
    </row>
  </sheetData>
  <sheetProtection algorithmName="SHA-512" hashValue="ka1XwJ0D2y2deNjz6tnbIDYBO1sUc/51SyE8UoLNam3SS5wf4TjfijefE3PRruRKE37ctq12ja8KegemUvuxFA==" saltValue="bDIiMUlA4CyzsQAJctZ8Bw==" spinCount="100000" sheet="1" formatCells="0" formatColumns="0" formatRows="0" insertColumns="0" insertRows="0" sort="0" autoFilter="0"/>
  <conditionalFormatting sqref="D2:IB65">
    <cfRule type="cellIs" dxfId="42" priority="1" operator="equal">
      <formula>"Digite"</formula>
    </cfRule>
  </conditionalFormatting>
  <conditionalFormatting sqref="BI1:BI1048576">
    <cfRule type="cellIs" dxfId="41" priority="14" operator="equal">
      <formula>"Techos ok, cotinue"</formula>
    </cfRule>
    <cfRule type="cellIs" dxfId="40" priority="15" operator="equal">
      <formula>"Debe revisar el valor programado"</formula>
    </cfRule>
  </conditionalFormatting>
  <conditionalFormatting sqref="DO1:DO1048576">
    <cfRule type="cellIs" dxfId="39" priority="12" operator="equal">
      <formula>"Techos ok, cotinue"</formula>
    </cfRule>
    <cfRule type="cellIs" dxfId="38" priority="13" operator="equal">
      <formula>"Debe revisar el valor programado"</formula>
    </cfRule>
  </conditionalFormatting>
  <conditionalFormatting sqref="FU1:FU1048576">
    <cfRule type="cellIs" dxfId="37" priority="8" operator="equal">
      <formula>"Techos ok, cotinue"</formula>
    </cfRule>
    <cfRule type="cellIs" dxfId="36" priority="9" operator="equal">
      <formula>"Debe revisar el valor programado"</formula>
    </cfRule>
  </conditionalFormatting>
  <conditionalFormatting sqref="IA1:IA1048576">
    <cfRule type="cellIs" dxfId="35" priority="4" operator="equal">
      <formula>"Techos ok, cotinue"</formula>
    </cfRule>
    <cfRule type="cellIs" dxfId="34" priority="5" operator="equal">
      <formula>"Debe revisar el valor programado"</formula>
    </cfRule>
  </conditionalFormatting>
  <dataValidations count="1">
    <dataValidation type="whole" allowBlank="1" showInputMessage="1" showErrorMessage="1" errorTitle="Error en el tipo de dato" error="No ha insertado un dato númerico valido, por favor rectifique el dato ingresado" sqref="D1:P1 BJ1:BV1 DP1:EB1 FV1:GH1" xr:uid="{00000000-0002-0000-0700-000000000000}">
      <formula1>0</formula1>
      <formula2>999999999999</formula2>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7B2D6-5D21-4D35-82B0-175E64D7E9F5}">
  <sheetPr>
    <tabColor rgb="FFF79646"/>
  </sheetPr>
  <dimension ref="A1:L70"/>
  <sheetViews>
    <sheetView zoomScale="85" zoomScaleNormal="85" workbookViewId="0">
      <selection activeCell="C20" sqref="C20"/>
    </sheetView>
  </sheetViews>
  <sheetFormatPr baseColWidth="10" defaultRowHeight="13.8"/>
  <cols>
    <col min="1" max="1" width="13.5" style="349" bestFit="1" customWidth="1"/>
    <col min="2" max="2" width="17.69921875" customWidth="1"/>
    <col min="3" max="4" width="19.3984375" customWidth="1"/>
    <col min="5" max="5" width="7.19921875" bestFit="1" customWidth="1"/>
    <col min="6" max="6" width="7.296875" bestFit="1" customWidth="1"/>
    <col min="7" max="7" width="17.19921875" bestFit="1" customWidth="1"/>
    <col min="8" max="8" width="19" bestFit="1" customWidth="1"/>
    <col min="9" max="9" width="6.296875" bestFit="1" customWidth="1"/>
    <col min="10" max="10" width="15.796875" bestFit="1" customWidth="1"/>
    <col min="11" max="11" width="14.296875" bestFit="1" customWidth="1"/>
    <col min="12" max="12" width="10.19921875" bestFit="1" customWidth="1"/>
  </cols>
  <sheetData>
    <row r="1" spans="1:12" ht="39.6">
      <c r="A1" s="465" t="s">
        <v>5087</v>
      </c>
      <c r="B1" s="466" t="s">
        <v>3978</v>
      </c>
      <c r="C1" s="466" t="s">
        <v>3979</v>
      </c>
      <c r="D1" s="467" t="s">
        <v>3980</v>
      </c>
      <c r="E1" s="466" t="s">
        <v>3981</v>
      </c>
      <c r="F1" s="466" t="s">
        <v>3982</v>
      </c>
      <c r="G1" s="466" t="s">
        <v>3983</v>
      </c>
      <c r="H1" s="466" t="s">
        <v>3984</v>
      </c>
      <c r="I1" s="466" t="s">
        <v>3985</v>
      </c>
      <c r="J1" s="468" t="s">
        <v>3987</v>
      </c>
      <c r="K1" s="468" t="s">
        <v>3988</v>
      </c>
      <c r="L1" s="468" t="s">
        <v>3989</v>
      </c>
    </row>
    <row r="2" spans="1:12">
      <c r="A2" s="469">
        <f>IF('Parte Estrategica'!B2=0,"",'Parte Estrategica'!B2)</f>
        <v>296</v>
      </c>
      <c r="B2" s="470" t="e">
        <f>VLOOKUP($A2,'Matriz de Referencia'!$B$2:$CO$583,'Matriz de Referencia'!CE$1,FALSE)-Hoja3!B2</f>
        <v>#VALUE!</v>
      </c>
      <c r="C2" s="470">
        <f>VLOOKUP($A2,'Matriz de Referencia'!$B$2:$CO$583,'Matriz de Referencia'!CF$1,FALSE)-Hoja3!C2</f>
        <v>0</v>
      </c>
      <c r="D2" s="470">
        <f>VLOOKUP($A2,'Matriz de Referencia'!$B$2:$CO$583,'Matriz de Referencia'!CG$1,FALSE)-Hoja3!D2</f>
        <v>0</v>
      </c>
      <c r="E2" s="470">
        <f>VLOOKUP($A2,'Matriz de Referencia'!$B$2:$CO$583,'Matriz de Referencia'!CH$1,FALSE)-Hoja3!E2</f>
        <v>0</v>
      </c>
      <c r="F2" s="470">
        <f>VLOOKUP($A2,'Matriz de Referencia'!$B$2:$CO$583,'Matriz de Referencia'!CI$1,FALSE)-Hoja3!F2</f>
        <v>0</v>
      </c>
      <c r="G2" s="470">
        <f>VLOOKUP($A2,'Matriz de Referencia'!$B$2:$CO$583,'Matriz de Referencia'!CJ$1,FALSE)-Hoja3!G2</f>
        <v>0</v>
      </c>
      <c r="H2" s="470">
        <f>VLOOKUP($A2,'Matriz de Referencia'!$B$2:$CO$583,'Matriz de Referencia'!CK$1,FALSE)-Hoja3!H2</f>
        <v>0</v>
      </c>
      <c r="I2" s="470">
        <f>VLOOKUP($A2,'Matriz de Referencia'!$B$2:$CO$583,'Matriz de Referencia'!CL$1,FALSE)-Hoja3!I2</f>
        <v>0</v>
      </c>
      <c r="J2" s="470">
        <f>VLOOKUP($A2,'Matriz de Referencia'!$B$2:$CO$583,'Matriz de Referencia'!CM$1,FALSE)-Hoja3!K2</f>
        <v>0</v>
      </c>
      <c r="K2" s="470">
        <f>VLOOKUP($A2,'Matriz de Referencia'!$B$2:$CO$583,'Matriz de Referencia'!CN$1,FALSE)-Hoja3!L2</f>
        <v>0</v>
      </c>
      <c r="L2" s="470" t="e">
        <f>VLOOKUP($A2,'Matriz de Referencia'!$B$2:$CO$583,'Matriz de Referencia'!CO$1,FALSE)-Hoja3!M2</f>
        <v>#VALUE!</v>
      </c>
    </row>
    <row r="3" spans="1:12">
      <c r="A3" s="469">
        <f>IF('Parte Estrategica'!B3=0,"",'Parte Estrategica'!B3)</f>
        <v>297</v>
      </c>
      <c r="B3" s="470" t="e">
        <f>VLOOKUP($A3,'Matriz de Referencia'!$B$2:$CO$583,'Matriz de Referencia'!CE$1,FALSE)-Hoja3!B3</f>
        <v>#VALUE!</v>
      </c>
      <c r="C3" s="470">
        <f>VLOOKUP($A3,'Matriz de Referencia'!$B$2:$CO$583,'Matriz de Referencia'!CF$1,FALSE)-Hoja3!C3</f>
        <v>0</v>
      </c>
      <c r="D3" s="470">
        <f>VLOOKUP($A3,'Matriz de Referencia'!$B$2:$CO$583,'Matriz de Referencia'!CG$1,FALSE)-Hoja3!D3</f>
        <v>0</v>
      </c>
      <c r="E3" s="470">
        <f>VLOOKUP($A3,'Matriz de Referencia'!$B$2:$CO$583,'Matriz de Referencia'!CH$1,FALSE)-Hoja3!E3</f>
        <v>0</v>
      </c>
      <c r="F3" s="470">
        <f>VLOOKUP($A3,'Matriz de Referencia'!$B$2:$CO$583,'Matriz de Referencia'!CI$1,FALSE)-Hoja3!F3</f>
        <v>0</v>
      </c>
      <c r="G3" s="470">
        <f>VLOOKUP($A3,'Matriz de Referencia'!$B$2:$CO$583,'Matriz de Referencia'!CJ$1,FALSE)-Hoja3!G3</f>
        <v>0</v>
      </c>
      <c r="H3" s="470">
        <f>VLOOKUP($A3,'Matriz de Referencia'!$B$2:$CO$583,'Matriz de Referencia'!CK$1,FALSE)-Hoja3!H3</f>
        <v>0</v>
      </c>
      <c r="I3" s="470">
        <f>VLOOKUP($A3,'Matriz de Referencia'!$B$2:$CO$583,'Matriz de Referencia'!CL$1,FALSE)-Hoja3!I3</f>
        <v>0</v>
      </c>
      <c r="J3" s="470">
        <f>VLOOKUP($A3,'Matriz de Referencia'!$B$2:$CO$583,'Matriz de Referencia'!CM$1,FALSE)-Hoja3!K3</f>
        <v>0</v>
      </c>
      <c r="K3" s="470">
        <f>VLOOKUP($A3,'Matriz de Referencia'!$B$2:$CO$583,'Matriz de Referencia'!CN$1,FALSE)-Hoja3!L3</f>
        <v>0</v>
      </c>
      <c r="L3" s="470" t="e">
        <f>VLOOKUP($A3,'Matriz de Referencia'!$B$2:$CO$583,'Matriz de Referencia'!CO$1,FALSE)-Hoja3!M3</f>
        <v>#VALUE!</v>
      </c>
    </row>
    <row r="4" spans="1:12">
      <c r="A4" s="469">
        <f>IF('Parte Estrategica'!B4=0,"",'Parte Estrategica'!B4)</f>
        <v>298</v>
      </c>
      <c r="B4" s="470" t="e">
        <f>VLOOKUP($A4,'Matriz de Referencia'!$B$2:$CO$583,'Matriz de Referencia'!CE$1,FALSE)-Hoja3!B4</f>
        <v>#VALUE!</v>
      </c>
      <c r="C4" s="470">
        <f>VLOOKUP($A4,'Matriz de Referencia'!$B$2:$CO$583,'Matriz de Referencia'!CF$1,FALSE)-Hoja3!C4</f>
        <v>0</v>
      </c>
      <c r="D4" s="470">
        <f>VLOOKUP($A4,'Matriz de Referencia'!$B$2:$CO$583,'Matriz de Referencia'!CG$1,FALSE)-Hoja3!D4</f>
        <v>0</v>
      </c>
      <c r="E4" s="470">
        <f>VLOOKUP($A4,'Matriz de Referencia'!$B$2:$CO$583,'Matriz de Referencia'!CH$1,FALSE)-Hoja3!E4</f>
        <v>0</v>
      </c>
      <c r="F4" s="470">
        <f>VLOOKUP($A4,'Matriz de Referencia'!$B$2:$CO$583,'Matriz de Referencia'!CI$1,FALSE)-Hoja3!F4</f>
        <v>0</v>
      </c>
      <c r="G4" s="470">
        <f>VLOOKUP($A4,'Matriz de Referencia'!$B$2:$CO$583,'Matriz de Referencia'!CJ$1,FALSE)-Hoja3!G4</f>
        <v>0</v>
      </c>
      <c r="H4" s="470">
        <f>VLOOKUP($A4,'Matriz de Referencia'!$B$2:$CO$583,'Matriz de Referencia'!CK$1,FALSE)-Hoja3!H4</f>
        <v>0</v>
      </c>
      <c r="I4" s="470">
        <f>VLOOKUP($A4,'Matriz de Referencia'!$B$2:$CO$583,'Matriz de Referencia'!CL$1,FALSE)-Hoja3!I4</f>
        <v>0</v>
      </c>
      <c r="J4" s="470">
        <f>VLOOKUP($A4,'Matriz de Referencia'!$B$2:$CO$583,'Matriz de Referencia'!CM$1,FALSE)-Hoja3!K4</f>
        <v>0</v>
      </c>
      <c r="K4" s="470">
        <f>VLOOKUP($A4,'Matriz de Referencia'!$B$2:$CO$583,'Matriz de Referencia'!CN$1,FALSE)-Hoja3!L4</f>
        <v>0</v>
      </c>
      <c r="L4" s="470" t="e">
        <f>VLOOKUP($A4,'Matriz de Referencia'!$B$2:$CO$583,'Matriz de Referencia'!CO$1,FALSE)-Hoja3!M4</f>
        <v>#VALUE!</v>
      </c>
    </row>
    <row r="5" spans="1:12">
      <c r="A5" s="469">
        <f>IF('Parte Estrategica'!B5=0,"",'Parte Estrategica'!B5)</f>
        <v>299</v>
      </c>
      <c r="B5" s="470" t="e">
        <f>VLOOKUP($A5,'Matriz de Referencia'!$B$2:$CO$583,'Matriz de Referencia'!CE$1,FALSE)-Hoja3!B5</f>
        <v>#VALUE!</v>
      </c>
      <c r="C5" s="470">
        <f>VLOOKUP($A5,'Matriz de Referencia'!$B$2:$CO$583,'Matriz de Referencia'!CF$1,FALSE)-Hoja3!C5</f>
        <v>0</v>
      </c>
      <c r="D5" s="470">
        <f>VLOOKUP($A5,'Matriz de Referencia'!$B$2:$CO$583,'Matriz de Referencia'!CG$1,FALSE)-Hoja3!D5</f>
        <v>0</v>
      </c>
      <c r="E5" s="470">
        <f>VLOOKUP($A5,'Matriz de Referencia'!$B$2:$CO$583,'Matriz de Referencia'!CH$1,FALSE)-Hoja3!E5</f>
        <v>0</v>
      </c>
      <c r="F5" s="470">
        <f>VLOOKUP($A5,'Matriz de Referencia'!$B$2:$CO$583,'Matriz de Referencia'!CI$1,FALSE)-Hoja3!F5</f>
        <v>0</v>
      </c>
      <c r="G5" s="470">
        <f>VLOOKUP($A5,'Matriz de Referencia'!$B$2:$CO$583,'Matriz de Referencia'!CJ$1,FALSE)-Hoja3!G5</f>
        <v>0</v>
      </c>
      <c r="H5" s="470">
        <f>VLOOKUP($A5,'Matriz de Referencia'!$B$2:$CO$583,'Matriz de Referencia'!CK$1,FALSE)-Hoja3!H5</f>
        <v>0</v>
      </c>
      <c r="I5" s="470">
        <f>VLOOKUP($A5,'Matriz de Referencia'!$B$2:$CO$583,'Matriz de Referencia'!CL$1,FALSE)-Hoja3!I5</f>
        <v>0</v>
      </c>
      <c r="J5" s="470">
        <f>VLOOKUP($A5,'Matriz de Referencia'!$B$2:$CO$583,'Matriz de Referencia'!CM$1,FALSE)-Hoja3!K5</f>
        <v>0</v>
      </c>
      <c r="K5" s="470">
        <f>VLOOKUP($A5,'Matriz de Referencia'!$B$2:$CO$583,'Matriz de Referencia'!CN$1,FALSE)-Hoja3!L5</f>
        <v>0</v>
      </c>
      <c r="L5" s="470" t="e">
        <f>VLOOKUP($A5,'Matriz de Referencia'!$B$2:$CO$583,'Matriz de Referencia'!CO$1,FALSE)-Hoja3!M5</f>
        <v>#VALUE!</v>
      </c>
    </row>
    <row r="6" spans="1:12">
      <c r="A6" s="469">
        <f>IF('Parte Estrategica'!B6=0,"",'Parte Estrategica'!B6)</f>
        <v>300</v>
      </c>
      <c r="B6" s="470" t="e">
        <f>VLOOKUP($A6,'Matriz de Referencia'!$B$2:$CO$583,'Matriz de Referencia'!CE$1,FALSE)-Hoja3!B6</f>
        <v>#VALUE!</v>
      </c>
      <c r="C6" s="470">
        <f>VLOOKUP($A6,'Matriz de Referencia'!$B$2:$CO$583,'Matriz de Referencia'!CF$1,FALSE)-Hoja3!C6</f>
        <v>0</v>
      </c>
      <c r="D6" s="470">
        <f>VLOOKUP($A6,'Matriz de Referencia'!$B$2:$CO$583,'Matriz de Referencia'!CG$1,FALSE)-Hoja3!D6</f>
        <v>0</v>
      </c>
      <c r="E6" s="470">
        <f>VLOOKUP($A6,'Matriz de Referencia'!$B$2:$CO$583,'Matriz de Referencia'!CH$1,FALSE)-Hoja3!E6</f>
        <v>0</v>
      </c>
      <c r="F6" s="470">
        <f>VLOOKUP($A6,'Matriz de Referencia'!$B$2:$CO$583,'Matriz de Referencia'!CI$1,FALSE)-Hoja3!F6</f>
        <v>0</v>
      </c>
      <c r="G6" s="470">
        <f>VLOOKUP($A6,'Matriz de Referencia'!$B$2:$CO$583,'Matriz de Referencia'!CJ$1,FALSE)-Hoja3!G6</f>
        <v>0</v>
      </c>
      <c r="H6" s="470">
        <f>VLOOKUP($A6,'Matriz de Referencia'!$B$2:$CO$583,'Matriz de Referencia'!CK$1,FALSE)-Hoja3!H6</f>
        <v>0</v>
      </c>
      <c r="I6" s="470">
        <f>VLOOKUP($A6,'Matriz de Referencia'!$B$2:$CO$583,'Matriz de Referencia'!CL$1,FALSE)-Hoja3!I6</f>
        <v>0</v>
      </c>
      <c r="J6" s="470">
        <f>VLOOKUP($A6,'Matriz de Referencia'!$B$2:$CO$583,'Matriz de Referencia'!CM$1,FALSE)-Hoja3!K6</f>
        <v>0</v>
      </c>
      <c r="K6" s="470">
        <f>VLOOKUP($A6,'Matriz de Referencia'!$B$2:$CO$583,'Matriz de Referencia'!CN$1,FALSE)-Hoja3!L6</f>
        <v>0</v>
      </c>
      <c r="L6" s="470" t="e">
        <f>VLOOKUP($A6,'Matriz de Referencia'!$B$2:$CO$583,'Matriz de Referencia'!CO$1,FALSE)-Hoja3!M6</f>
        <v>#VALUE!</v>
      </c>
    </row>
    <row r="7" spans="1:12">
      <c r="A7" s="469" t="str">
        <f>IF('Parte Estrategica'!B7=0,"",'Parte Estrategica'!B7)</f>
        <v/>
      </c>
      <c r="B7" s="470" t="e">
        <f>VLOOKUP($A7,'Matriz de Referencia'!$B$2:$CO$583,'Matriz de Referencia'!CE$1,FALSE)-Hoja3!B7</f>
        <v>#N/A</v>
      </c>
      <c r="C7" s="470" t="e">
        <f>VLOOKUP($A7,'Matriz de Referencia'!$B$2:$CO$583,'Matriz de Referencia'!CF$1,FALSE)-Hoja3!C7</f>
        <v>#N/A</v>
      </c>
      <c r="D7" s="470" t="e">
        <f>VLOOKUP($A7,'Matriz de Referencia'!$B$2:$CO$583,'Matriz de Referencia'!CG$1,FALSE)-Hoja3!D7</f>
        <v>#N/A</v>
      </c>
      <c r="E7" s="470" t="e">
        <f>VLOOKUP($A7,'Matriz de Referencia'!$B$2:$CO$583,'Matriz de Referencia'!CH$1,FALSE)-Hoja3!E7</f>
        <v>#N/A</v>
      </c>
      <c r="F7" s="470" t="e">
        <f>VLOOKUP($A7,'Matriz de Referencia'!$B$2:$CO$583,'Matriz de Referencia'!CI$1,FALSE)-Hoja3!F7</f>
        <v>#N/A</v>
      </c>
      <c r="G7" s="470" t="e">
        <f>VLOOKUP($A7,'Matriz de Referencia'!$B$2:$CO$583,'Matriz de Referencia'!CJ$1,FALSE)-Hoja3!G7</f>
        <v>#N/A</v>
      </c>
      <c r="H7" s="470" t="e">
        <f>VLOOKUP($A7,'Matriz de Referencia'!$B$2:$CO$583,'Matriz de Referencia'!CK$1,FALSE)-Hoja3!H7</f>
        <v>#N/A</v>
      </c>
      <c r="I7" s="470" t="e">
        <f>VLOOKUP($A7,'Matriz de Referencia'!$B$2:$CO$583,'Matriz de Referencia'!CL$1,FALSE)-Hoja3!I7</f>
        <v>#N/A</v>
      </c>
      <c r="J7" s="470" t="e">
        <f>VLOOKUP($A7,'Matriz de Referencia'!$B$2:$CO$583,'Matriz de Referencia'!CM$1,FALSE)-Hoja3!K7</f>
        <v>#N/A</v>
      </c>
      <c r="K7" s="470" t="e">
        <f>VLOOKUP($A7,'Matriz de Referencia'!$B$2:$CO$583,'Matriz de Referencia'!CN$1,FALSE)-Hoja3!L7</f>
        <v>#N/A</v>
      </c>
      <c r="L7" s="470" t="e">
        <f>VLOOKUP($A7,'Matriz de Referencia'!$B$2:$CO$583,'Matriz de Referencia'!CO$1,FALSE)-Hoja3!M7</f>
        <v>#N/A</v>
      </c>
    </row>
    <row r="8" spans="1:12">
      <c r="A8" s="469" t="str">
        <f>IF('Parte Estrategica'!B8=0,"",'Parte Estrategica'!B8)</f>
        <v/>
      </c>
      <c r="B8" s="470" t="e">
        <f>VLOOKUP($A8,'Matriz de Referencia'!$B$2:$CO$583,'Matriz de Referencia'!CE$1,FALSE)-Hoja3!B8</f>
        <v>#N/A</v>
      </c>
      <c r="C8" s="470" t="e">
        <f>VLOOKUP($A8,'Matriz de Referencia'!$B$2:$CO$583,'Matriz de Referencia'!CF$1,FALSE)-Hoja3!C8</f>
        <v>#N/A</v>
      </c>
      <c r="D8" s="470" t="e">
        <f>VLOOKUP($A8,'Matriz de Referencia'!$B$2:$CO$583,'Matriz de Referencia'!CG$1,FALSE)-Hoja3!D8</f>
        <v>#N/A</v>
      </c>
      <c r="E8" s="470" t="e">
        <f>VLOOKUP($A8,'Matriz de Referencia'!$B$2:$CO$583,'Matriz de Referencia'!CH$1,FALSE)-Hoja3!E8</f>
        <v>#N/A</v>
      </c>
      <c r="F8" s="470" t="e">
        <f>VLOOKUP($A8,'Matriz de Referencia'!$B$2:$CO$583,'Matriz de Referencia'!CI$1,FALSE)-Hoja3!F8</f>
        <v>#N/A</v>
      </c>
      <c r="G8" s="470" t="e">
        <f>VLOOKUP($A8,'Matriz de Referencia'!$B$2:$CO$583,'Matriz de Referencia'!CJ$1,FALSE)-Hoja3!G8</f>
        <v>#N/A</v>
      </c>
      <c r="H8" s="470" t="e">
        <f>VLOOKUP($A8,'Matriz de Referencia'!$B$2:$CO$583,'Matriz de Referencia'!CK$1,FALSE)-Hoja3!H8</f>
        <v>#N/A</v>
      </c>
      <c r="I8" s="470" t="e">
        <f>VLOOKUP($A8,'Matriz de Referencia'!$B$2:$CO$583,'Matriz de Referencia'!CL$1,FALSE)-Hoja3!I8</f>
        <v>#N/A</v>
      </c>
      <c r="J8" s="470" t="e">
        <f>VLOOKUP($A8,'Matriz de Referencia'!$B$2:$CO$583,'Matriz de Referencia'!CM$1,FALSE)-Hoja3!K8</f>
        <v>#N/A</v>
      </c>
      <c r="K8" s="470" t="e">
        <f>VLOOKUP($A8,'Matriz de Referencia'!$B$2:$CO$583,'Matriz de Referencia'!CN$1,FALSE)-Hoja3!L8</f>
        <v>#N/A</v>
      </c>
      <c r="L8" s="470" t="e">
        <f>VLOOKUP($A8,'Matriz de Referencia'!$B$2:$CO$583,'Matriz de Referencia'!CO$1,FALSE)-Hoja3!M8</f>
        <v>#N/A</v>
      </c>
    </row>
    <row r="9" spans="1:12">
      <c r="A9" s="469" t="str">
        <f>IF('Parte Estrategica'!B9=0,"",'Parte Estrategica'!B9)</f>
        <v/>
      </c>
      <c r="B9" s="470" t="e">
        <f>VLOOKUP($A9,'Matriz de Referencia'!$B$2:$CO$583,'Matriz de Referencia'!CE$1,FALSE)-Hoja3!B9</f>
        <v>#N/A</v>
      </c>
      <c r="C9" s="470" t="e">
        <f>VLOOKUP($A9,'Matriz de Referencia'!$B$2:$CO$583,'Matriz de Referencia'!CF$1,FALSE)-Hoja3!C9</f>
        <v>#N/A</v>
      </c>
      <c r="D9" s="470" t="e">
        <f>VLOOKUP($A9,'Matriz de Referencia'!$B$2:$CO$583,'Matriz de Referencia'!CG$1,FALSE)-Hoja3!D9</f>
        <v>#N/A</v>
      </c>
      <c r="E9" s="470" t="e">
        <f>VLOOKUP($A9,'Matriz de Referencia'!$B$2:$CO$583,'Matriz de Referencia'!CH$1,FALSE)-Hoja3!E9</f>
        <v>#N/A</v>
      </c>
      <c r="F9" s="470" t="e">
        <f>VLOOKUP($A9,'Matriz de Referencia'!$B$2:$CO$583,'Matriz de Referencia'!CI$1,FALSE)-Hoja3!F9</f>
        <v>#N/A</v>
      </c>
      <c r="G9" s="470" t="e">
        <f>VLOOKUP($A9,'Matriz de Referencia'!$B$2:$CO$583,'Matriz de Referencia'!CJ$1,FALSE)-Hoja3!G9</f>
        <v>#N/A</v>
      </c>
      <c r="H9" s="470" t="e">
        <f>VLOOKUP($A9,'Matriz de Referencia'!$B$2:$CO$583,'Matriz de Referencia'!CK$1,FALSE)-Hoja3!H9</f>
        <v>#N/A</v>
      </c>
      <c r="I9" s="470" t="e">
        <f>VLOOKUP($A9,'Matriz de Referencia'!$B$2:$CO$583,'Matriz de Referencia'!CL$1,FALSE)-Hoja3!I9</f>
        <v>#N/A</v>
      </c>
      <c r="J9" s="470" t="e">
        <f>VLOOKUP($A9,'Matriz de Referencia'!$B$2:$CO$583,'Matriz de Referencia'!CM$1,FALSE)-Hoja3!K9</f>
        <v>#N/A</v>
      </c>
      <c r="K9" s="470" t="e">
        <f>VLOOKUP($A9,'Matriz de Referencia'!$B$2:$CO$583,'Matriz de Referencia'!CN$1,FALSE)-Hoja3!L9</f>
        <v>#N/A</v>
      </c>
      <c r="L9" s="470" t="e">
        <f>VLOOKUP($A9,'Matriz de Referencia'!$B$2:$CO$583,'Matriz de Referencia'!CO$1,FALSE)-Hoja3!M9</f>
        <v>#N/A</v>
      </c>
    </row>
    <row r="10" spans="1:12">
      <c r="A10" s="469" t="str">
        <f>IF('Parte Estrategica'!B10=0,"",'Parte Estrategica'!B10)</f>
        <v/>
      </c>
      <c r="B10" s="470" t="e">
        <f>VLOOKUP($A10,'Matriz de Referencia'!$B$2:$CO$583,'Matriz de Referencia'!CE$1,FALSE)-Hoja3!B10</f>
        <v>#N/A</v>
      </c>
      <c r="C10" s="470" t="e">
        <f>VLOOKUP($A10,'Matriz de Referencia'!$B$2:$CO$583,'Matriz de Referencia'!CF$1,FALSE)-Hoja3!C10</f>
        <v>#N/A</v>
      </c>
      <c r="D10" s="470" t="e">
        <f>VLOOKUP($A10,'Matriz de Referencia'!$B$2:$CO$583,'Matriz de Referencia'!CG$1,FALSE)-Hoja3!D10</f>
        <v>#N/A</v>
      </c>
      <c r="E10" s="470" t="e">
        <f>VLOOKUP($A10,'Matriz de Referencia'!$B$2:$CO$583,'Matriz de Referencia'!CH$1,FALSE)-Hoja3!E10</f>
        <v>#N/A</v>
      </c>
      <c r="F10" s="470" t="e">
        <f>VLOOKUP($A10,'Matriz de Referencia'!$B$2:$CO$583,'Matriz de Referencia'!CI$1,FALSE)-Hoja3!F10</f>
        <v>#N/A</v>
      </c>
      <c r="G10" s="470" t="e">
        <f>VLOOKUP($A10,'Matriz de Referencia'!$B$2:$CO$583,'Matriz de Referencia'!CJ$1,FALSE)-Hoja3!G10</f>
        <v>#N/A</v>
      </c>
      <c r="H10" s="470" t="e">
        <f>VLOOKUP($A10,'Matriz de Referencia'!$B$2:$CO$583,'Matriz de Referencia'!CK$1,FALSE)-Hoja3!H10</f>
        <v>#N/A</v>
      </c>
      <c r="I10" s="470" t="e">
        <f>VLOOKUP($A10,'Matriz de Referencia'!$B$2:$CO$583,'Matriz de Referencia'!CL$1,FALSE)-Hoja3!I10</f>
        <v>#N/A</v>
      </c>
      <c r="J10" s="470" t="e">
        <f>VLOOKUP($A10,'Matriz de Referencia'!$B$2:$CO$583,'Matriz de Referencia'!CM$1,FALSE)-Hoja3!K10</f>
        <v>#N/A</v>
      </c>
      <c r="K10" s="470" t="e">
        <f>VLOOKUP($A10,'Matriz de Referencia'!$B$2:$CO$583,'Matriz de Referencia'!CN$1,FALSE)-Hoja3!L10</f>
        <v>#N/A</v>
      </c>
      <c r="L10" s="470" t="e">
        <f>VLOOKUP($A10,'Matriz de Referencia'!$B$2:$CO$583,'Matriz de Referencia'!CO$1,FALSE)-Hoja3!M10</f>
        <v>#N/A</v>
      </c>
    </row>
    <row r="11" spans="1:12">
      <c r="A11" s="469" t="str">
        <f>IF('Parte Estrategica'!B11=0,"",'Parte Estrategica'!B11)</f>
        <v/>
      </c>
      <c r="B11" s="470" t="e">
        <f>VLOOKUP($A11,'Matriz de Referencia'!$B$2:$CO$583,'Matriz de Referencia'!CE$1,FALSE)-Hoja3!B11</f>
        <v>#N/A</v>
      </c>
      <c r="C11" s="470" t="e">
        <f>VLOOKUP($A11,'Matriz de Referencia'!$B$2:$CO$583,'Matriz de Referencia'!CF$1,FALSE)-Hoja3!C11</f>
        <v>#N/A</v>
      </c>
      <c r="D11" s="470" t="e">
        <f>VLOOKUP($A11,'Matriz de Referencia'!$B$2:$CO$583,'Matriz de Referencia'!CG$1,FALSE)-Hoja3!D11</f>
        <v>#N/A</v>
      </c>
      <c r="E11" s="470" t="e">
        <f>VLOOKUP($A11,'Matriz de Referencia'!$B$2:$CO$583,'Matriz de Referencia'!CH$1,FALSE)-Hoja3!E11</f>
        <v>#N/A</v>
      </c>
      <c r="F11" s="470" t="e">
        <f>VLOOKUP($A11,'Matriz de Referencia'!$B$2:$CO$583,'Matriz de Referencia'!CI$1,FALSE)-Hoja3!F11</f>
        <v>#N/A</v>
      </c>
      <c r="G11" s="470" t="e">
        <f>VLOOKUP($A11,'Matriz de Referencia'!$B$2:$CO$583,'Matriz de Referencia'!CJ$1,FALSE)-Hoja3!G11</f>
        <v>#N/A</v>
      </c>
      <c r="H11" s="470" t="e">
        <f>VLOOKUP($A11,'Matriz de Referencia'!$B$2:$CO$583,'Matriz de Referencia'!CK$1,FALSE)-Hoja3!H11</f>
        <v>#N/A</v>
      </c>
      <c r="I11" s="470" t="e">
        <f>VLOOKUP($A11,'Matriz de Referencia'!$B$2:$CO$583,'Matriz de Referencia'!CL$1,FALSE)-Hoja3!I11</f>
        <v>#N/A</v>
      </c>
      <c r="J11" s="470" t="e">
        <f>VLOOKUP($A11,'Matriz de Referencia'!$B$2:$CO$583,'Matriz de Referencia'!CM$1,FALSE)-Hoja3!K11</f>
        <v>#N/A</v>
      </c>
      <c r="K11" s="470" t="e">
        <f>VLOOKUP($A11,'Matriz de Referencia'!$B$2:$CO$583,'Matriz de Referencia'!CN$1,FALSE)-Hoja3!L11</f>
        <v>#N/A</v>
      </c>
      <c r="L11" s="470" t="e">
        <f>VLOOKUP($A11,'Matriz de Referencia'!$B$2:$CO$583,'Matriz de Referencia'!CO$1,FALSE)-Hoja3!M11</f>
        <v>#N/A</v>
      </c>
    </row>
    <row r="12" spans="1:12">
      <c r="A12" s="469" t="str">
        <f>IF('Parte Estrategica'!B12=0,"",'Parte Estrategica'!B12)</f>
        <v/>
      </c>
      <c r="B12" s="470" t="e">
        <f>VLOOKUP($A12,'Matriz de Referencia'!$B$2:$CO$583,'Matriz de Referencia'!CE$1,FALSE)-Hoja3!B12</f>
        <v>#N/A</v>
      </c>
      <c r="C12" s="470" t="e">
        <f>VLOOKUP($A12,'Matriz de Referencia'!$B$2:$CO$583,'Matriz de Referencia'!CF$1,FALSE)-Hoja3!C12</f>
        <v>#N/A</v>
      </c>
      <c r="D12" s="470" t="e">
        <f>VLOOKUP($A12,'Matriz de Referencia'!$B$2:$CO$583,'Matriz de Referencia'!CG$1,FALSE)-Hoja3!D12</f>
        <v>#N/A</v>
      </c>
      <c r="E12" s="470" t="e">
        <f>VLOOKUP($A12,'Matriz de Referencia'!$B$2:$CO$583,'Matriz de Referencia'!CH$1,FALSE)-Hoja3!E12</f>
        <v>#N/A</v>
      </c>
      <c r="F12" s="470" t="e">
        <f>VLOOKUP($A12,'Matriz de Referencia'!$B$2:$CO$583,'Matriz de Referencia'!CI$1,FALSE)-Hoja3!F12</f>
        <v>#N/A</v>
      </c>
      <c r="G12" s="470" t="e">
        <f>VLOOKUP($A12,'Matriz de Referencia'!$B$2:$CO$583,'Matriz de Referencia'!CJ$1,FALSE)-Hoja3!G12</f>
        <v>#N/A</v>
      </c>
      <c r="H12" s="470" t="e">
        <f>VLOOKUP($A12,'Matriz de Referencia'!$B$2:$CO$583,'Matriz de Referencia'!CK$1,FALSE)-Hoja3!H12</f>
        <v>#N/A</v>
      </c>
      <c r="I12" s="470" t="e">
        <f>VLOOKUP($A12,'Matriz de Referencia'!$B$2:$CO$583,'Matriz de Referencia'!CL$1,FALSE)-Hoja3!I12</f>
        <v>#N/A</v>
      </c>
      <c r="J12" s="470" t="e">
        <f>VLOOKUP($A12,'Matriz de Referencia'!$B$2:$CO$583,'Matriz de Referencia'!CM$1,FALSE)-Hoja3!K12</f>
        <v>#N/A</v>
      </c>
      <c r="K12" s="470" t="e">
        <f>VLOOKUP($A12,'Matriz de Referencia'!$B$2:$CO$583,'Matriz de Referencia'!CN$1,FALSE)-Hoja3!L12</f>
        <v>#N/A</v>
      </c>
      <c r="L12" s="470" t="e">
        <f>VLOOKUP($A12,'Matriz de Referencia'!$B$2:$CO$583,'Matriz de Referencia'!CO$1,FALSE)-Hoja3!M12</f>
        <v>#N/A</v>
      </c>
    </row>
    <row r="13" spans="1:12">
      <c r="A13" s="469" t="str">
        <f>IF('Parte Estrategica'!B13=0,"",'Parte Estrategica'!B13)</f>
        <v/>
      </c>
      <c r="B13" s="470" t="e">
        <f>VLOOKUP($A13,'Matriz de Referencia'!$B$2:$CO$583,'Matriz de Referencia'!CE$1,FALSE)-Hoja3!B13</f>
        <v>#N/A</v>
      </c>
      <c r="C13" s="470" t="e">
        <f>VLOOKUP($A13,'Matriz de Referencia'!$B$2:$CO$583,'Matriz de Referencia'!CF$1,FALSE)-Hoja3!C13</f>
        <v>#N/A</v>
      </c>
      <c r="D13" s="470" t="e">
        <f>VLOOKUP($A13,'Matriz de Referencia'!$B$2:$CO$583,'Matriz de Referencia'!CG$1,FALSE)-Hoja3!D13</f>
        <v>#N/A</v>
      </c>
      <c r="E13" s="470" t="e">
        <f>VLOOKUP($A13,'Matriz de Referencia'!$B$2:$CO$583,'Matriz de Referencia'!CH$1,FALSE)-Hoja3!E13</f>
        <v>#N/A</v>
      </c>
      <c r="F13" s="470" t="e">
        <f>VLOOKUP($A13,'Matriz de Referencia'!$B$2:$CO$583,'Matriz de Referencia'!CI$1,FALSE)-Hoja3!F13</f>
        <v>#N/A</v>
      </c>
      <c r="G13" s="470" t="e">
        <f>VLOOKUP($A13,'Matriz de Referencia'!$B$2:$CO$583,'Matriz de Referencia'!CJ$1,FALSE)-Hoja3!G13</f>
        <v>#N/A</v>
      </c>
      <c r="H13" s="470" t="e">
        <f>VLOOKUP($A13,'Matriz de Referencia'!$B$2:$CO$583,'Matriz de Referencia'!CK$1,FALSE)-Hoja3!H13</f>
        <v>#N/A</v>
      </c>
      <c r="I13" s="470" t="e">
        <f>VLOOKUP($A13,'Matriz de Referencia'!$B$2:$CO$583,'Matriz de Referencia'!CL$1,FALSE)-Hoja3!I13</f>
        <v>#N/A</v>
      </c>
      <c r="J13" s="470" t="e">
        <f>VLOOKUP($A13,'Matriz de Referencia'!$B$2:$CO$583,'Matriz de Referencia'!CM$1,FALSE)-Hoja3!K13</f>
        <v>#N/A</v>
      </c>
      <c r="K13" s="470" t="e">
        <f>VLOOKUP($A13,'Matriz de Referencia'!$B$2:$CO$583,'Matriz de Referencia'!CN$1,FALSE)-Hoja3!L13</f>
        <v>#N/A</v>
      </c>
      <c r="L13" s="470" t="e">
        <f>VLOOKUP($A13,'Matriz de Referencia'!$B$2:$CO$583,'Matriz de Referencia'!CO$1,FALSE)-Hoja3!M13</f>
        <v>#N/A</v>
      </c>
    </row>
    <row r="14" spans="1:12">
      <c r="A14" s="469" t="str">
        <f>IF('Parte Estrategica'!B14=0,"",'Parte Estrategica'!B14)</f>
        <v/>
      </c>
      <c r="B14" s="470" t="e">
        <f>VLOOKUP($A14,'Matriz de Referencia'!$B$2:$CO$583,'Matriz de Referencia'!CE$1,FALSE)-Hoja3!B14</f>
        <v>#N/A</v>
      </c>
      <c r="C14" s="470" t="e">
        <f>VLOOKUP($A14,'Matriz de Referencia'!$B$2:$CO$583,'Matriz de Referencia'!CF$1,FALSE)-Hoja3!C14</f>
        <v>#N/A</v>
      </c>
      <c r="D14" s="470" t="e">
        <f>VLOOKUP($A14,'Matriz de Referencia'!$B$2:$CO$583,'Matriz de Referencia'!CG$1,FALSE)-Hoja3!D14</f>
        <v>#N/A</v>
      </c>
      <c r="E14" s="470" t="e">
        <f>VLOOKUP($A14,'Matriz de Referencia'!$B$2:$CO$583,'Matriz de Referencia'!CH$1,FALSE)-Hoja3!E14</f>
        <v>#N/A</v>
      </c>
      <c r="F14" s="470" t="e">
        <f>VLOOKUP($A14,'Matriz de Referencia'!$B$2:$CO$583,'Matriz de Referencia'!CI$1,FALSE)-Hoja3!F14</f>
        <v>#N/A</v>
      </c>
      <c r="G14" s="470" t="e">
        <f>VLOOKUP($A14,'Matriz de Referencia'!$B$2:$CO$583,'Matriz de Referencia'!CJ$1,FALSE)-Hoja3!G14</f>
        <v>#N/A</v>
      </c>
      <c r="H14" s="470" t="e">
        <f>VLOOKUP($A14,'Matriz de Referencia'!$B$2:$CO$583,'Matriz de Referencia'!CK$1,FALSE)-Hoja3!H14</f>
        <v>#N/A</v>
      </c>
      <c r="I14" s="470" t="e">
        <f>VLOOKUP($A14,'Matriz de Referencia'!$B$2:$CO$583,'Matriz de Referencia'!CL$1,FALSE)-Hoja3!I14</f>
        <v>#N/A</v>
      </c>
      <c r="J14" s="470" t="e">
        <f>VLOOKUP($A14,'Matriz de Referencia'!$B$2:$CO$583,'Matriz de Referencia'!CM$1,FALSE)-Hoja3!K14</f>
        <v>#N/A</v>
      </c>
      <c r="K14" s="470" t="e">
        <f>VLOOKUP($A14,'Matriz de Referencia'!$B$2:$CO$583,'Matriz de Referencia'!CN$1,FALSE)-Hoja3!L14</f>
        <v>#N/A</v>
      </c>
      <c r="L14" s="470" t="e">
        <f>VLOOKUP($A14,'Matriz de Referencia'!$B$2:$CO$583,'Matriz de Referencia'!CO$1,FALSE)-Hoja3!M14</f>
        <v>#N/A</v>
      </c>
    </row>
    <row r="15" spans="1:12">
      <c r="A15" s="469" t="str">
        <f>IF('Parte Estrategica'!B15=0,"",'Parte Estrategica'!B15)</f>
        <v/>
      </c>
      <c r="B15" s="470" t="e">
        <f>VLOOKUP($A15,'Matriz de Referencia'!$B$2:$CO$583,'Matriz de Referencia'!CE$1,FALSE)-Hoja3!B15</f>
        <v>#N/A</v>
      </c>
      <c r="C15" s="470" t="e">
        <f>VLOOKUP($A15,'Matriz de Referencia'!$B$2:$CO$583,'Matriz de Referencia'!CF$1,FALSE)-Hoja3!C15</f>
        <v>#N/A</v>
      </c>
      <c r="D15" s="470" t="e">
        <f>VLOOKUP($A15,'Matriz de Referencia'!$B$2:$CO$583,'Matriz de Referencia'!CG$1,FALSE)-Hoja3!D15</f>
        <v>#N/A</v>
      </c>
      <c r="E15" s="470" t="e">
        <f>VLOOKUP($A15,'Matriz de Referencia'!$B$2:$CO$583,'Matriz de Referencia'!CH$1,FALSE)-Hoja3!E15</f>
        <v>#N/A</v>
      </c>
      <c r="F15" s="470" t="e">
        <f>VLOOKUP($A15,'Matriz de Referencia'!$B$2:$CO$583,'Matriz de Referencia'!CI$1,FALSE)-Hoja3!F15</f>
        <v>#N/A</v>
      </c>
      <c r="G15" s="470" t="e">
        <f>VLOOKUP($A15,'Matriz de Referencia'!$B$2:$CO$583,'Matriz de Referencia'!CJ$1,FALSE)-Hoja3!G15</f>
        <v>#N/A</v>
      </c>
      <c r="H15" s="470" t="e">
        <f>VLOOKUP($A15,'Matriz de Referencia'!$B$2:$CO$583,'Matriz de Referencia'!CK$1,FALSE)-Hoja3!H15</f>
        <v>#N/A</v>
      </c>
      <c r="I15" s="470" t="e">
        <f>VLOOKUP($A15,'Matriz de Referencia'!$B$2:$CO$583,'Matriz de Referencia'!CL$1,FALSE)-Hoja3!I15</f>
        <v>#N/A</v>
      </c>
      <c r="J15" s="470" t="e">
        <f>VLOOKUP($A15,'Matriz de Referencia'!$B$2:$CO$583,'Matriz de Referencia'!CM$1,FALSE)-Hoja3!K15</f>
        <v>#N/A</v>
      </c>
      <c r="K15" s="470" t="e">
        <f>VLOOKUP($A15,'Matriz de Referencia'!$B$2:$CO$583,'Matriz de Referencia'!CN$1,FALSE)-Hoja3!L15</f>
        <v>#N/A</v>
      </c>
      <c r="L15" s="470" t="e">
        <f>VLOOKUP($A15,'Matriz de Referencia'!$B$2:$CO$583,'Matriz de Referencia'!CO$1,FALSE)-Hoja3!M15</f>
        <v>#N/A</v>
      </c>
    </row>
    <row r="16" spans="1:12">
      <c r="A16" s="469" t="str">
        <f>IF('Parte Estrategica'!B16=0,"",'Parte Estrategica'!B16)</f>
        <v/>
      </c>
      <c r="B16" s="470" t="e">
        <f>VLOOKUP($A16,'Matriz de Referencia'!$B$2:$CO$583,'Matriz de Referencia'!CE$1,FALSE)-Hoja3!B16</f>
        <v>#N/A</v>
      </c>
      <c r="C16" s="470" t="e">
        <f>VLOOKUP($A16,'Matriz de Referencia'!$B$2:$CO$583,'Matriz de Referencia'!CF$1,FALSE)-Hoja3!C16</f>
        <v>#N/A</v>
      </c>
      <c r="D16" s="470" t="e">
        <f>VLOOKUP($A16,'Matriz de Referencia'!$B$2:$CO$583,'Matriz de Referencia'!CG$1,FALSE)-Hoja3!D16</f>
        <v>#N/A</v>
      </c>
      <c r="E16" s="470" t="e">
        <f>VLOOKUP($A16,'Matriz de Referencia'!$B$2:$CO$583,'Matriz de Referencia'!CH$1,FALSE)-Hoja3!E16</f>
        <v>#N/A</v>
      </c>
      <c r="F16" s="470" t="e">
        <f>VLOOKUP($A16,'Matriz de Referencia'!$B$2:$CO$583,'Matriz de Referencia'!CI$1,FALSE)-Hoja3!F16</f>
        <v>#N/A</v>
      </c>
      <c r="G16" s="470" t="e">
        <f>VLOOKUP($A16,'Matriz de Referencia'!$B$2:$CO$583,'Matriz de Referencia'!CJ$1,FALSE)-Hoja3!G16</f>
        <v>#N/A</v>
      </c>
      <c r="H16" s="470" t="e">
        <f>VLOOKUP($A16,'Matriz de Referencia'!$B$2:$CO$583,'Matriz de Referencia'!CK$1,FALSE)-Hoja3!H16</f>
        <v>#N/A</v>
      </c>
      <c r="I16" s="470" t="e">
        <f>VLOOKUP($A16,'Matriz de Referencia'!$B$2:$CO$583,'Matriz de Referencia'!CL$1,FALSE)-Hoja3!I16</f>
        <v>#N/A</v>
      </c>
      <c r="J16" s="470" t="e">
        <f>VLOOKUP($A16,'Matriz de Referencia'!$B$2:$CO$583,'Matriz de Referencia'!CM$1,FALSE)-Hoja3!K16</f>
        <v>#N/A</v>
      </c>
      <c r="K16" s="470" t="e">
        <f>VLOOKUP($A16,'Matriz de Referencia'!$B$2:$CO$583,'Matriz de Referencia'!CN$1,FALSE)-Hoja3!L16</f>
        <v>#N/A</v>
      </c>
      <c r="L16" s="470" t="e">
        <f>VLOOKUP($A16,'Matriz de Referencia'!$B$2:$CO$583,'Matriz de Referencia'!CO$1,FALSE)-Hoja3!M16</f>
        <v>#N/A</v>
      </c>
    </row>
    <row r="17" spans="1:12">
      <c r="A17" s="469" t="str">
        <f>IF('Parte Estrategica'!B17=0,"",'Parte Estrategica'!B17)</f>
        <v/>
      </c>
      <c r="B17" s="470" t="e">
        <f>VLOOKUP($A17,'Matriz de Referencia'!$B$2:$CO$583,'Matriz de Referencia'!CE$1,FALSE)-Hoja3!B17</f>
        <v>#N/A</v>
      </c>
      <c r="C17" s="470" t="e">
        <f>VLOOKUP($A17,'Matriz de Referencia'!$B$2:$CO$583,'Matriz de Referencia'!CF$1,FALSE)-Hoja3!C17</f>
        <v>#N/A</v>
      </c>
      <c r="D17" s="470" t="e">
        <f>VLOOKUP($A17,'Matriz de Referencia'!$B$2:$CO$583,'Matriz de Referencia'!CG$1,FALSE)-Hoja3!D17</f>
        <v>#N/A</v>
      </c>
      <c r="E17" s="470" t="e">
        <f>VLOOKUP($A17,'Matriz de Referencia'!$B$2:$CO$583,'Matriz de Referencia'!CH$1,FALSE)-Hoja3!E17</f>
        <v>#N/A</v>
      </c>
      <c r="F17" s="470" t="e">
        <f>VLOOKUP($A17,'Matriz de Referencia'!$B$2:$CO$583,'Matriz de Referencia'!CI$1,FALSE)-Hoja3!F17</f>
        <v>#N/A</v>
      </c>
      <c r="G17" s="470" t="e">
        <f>VLOOKUP($A17,'Matriz de Referencia'!$B$2:$CO$583,'Matriz de Referencia'!CJ$1,FALSE)-Hoja3!G17</f>
        <v>#N/A</v>
      </c>
      <c r="H17" s="470" t="e">
        <f>VLOOKUP($A17,'Matriz de Referencia'!$B$2:$CO$583,'Matriz de Referencia'!CK$1,FALSE)-Hoja3!H17</f>
        <v>#N/A</v>
      </c>
      <c r="I17" s="470" t="e">
        <f>VLOOKUP($A17,'Matriz de Referencia'!$B$2:$CO$583,'Matriz de Referencia'!CL$1,FALSE)-Hoja3!I17</f>
        <v>#N/A</v>
      </c>
      <c r="J17" s="470" t="e">
        <f>VLOOKUP($A17,'Matriz de Referencia'!$B$2:$CO$583,'Matriz de Referencia'!CM$1,FALSE)-Hoja3!K17</f>
        <v>#N/A</v>
      </c>
      <c r="K17" s="470" t="e">
        <f>VLOOKUP($A17,'Matriz de Referencia'!$B$2:$CO$583,'Matriz de Referencia'!CN$1,FALSE)-Hoja3!L17</f>
        <v>#N/A</v>
      </c>
      <c r="L17" s="470" t="e">
        <f>VLOOKUP($A17,'Matriz de Referencia'!$B$2:$CO$583,'Matriz de Referencia'!CO$1,FALSE)-Hoja3!M17</f>
        <v>#N/A</v>
      </c>
    </row>
    <row r="18" spans="1:12">
      <c r="A18" s="469" t="str">
        <f>IF('Parte Estrategica'!B18=0,"",'Parte Estrategica'!B18)</f>
        <v/>
      </c>
      <c r="B18" s="470" t="e">
        <f>VLOOKUP($A18,'Matriz de Referencia'!$B$2:$CO$583,'Matriz de Referencia'!CE$1,FALSE)-Hoja3!B18</f>
        <v>#N/A</v>
      </c>
      <c r="C18" s="470" t="e">
        <f>VLOOKUP($A18,'Matriz de Referencia'!$B$2:$CO$583,'Matriz de Referencia'!CF$1,FALSE)-Hoja3!C18</f>
        <v>#N/A</v>
      </c>
      <c r="D18" s="470" t="e">
        <f>VLOOKUP($A18,'Matriz de Referencia'!$B$2:$CO$583,'Matriz de Referencia'!CG$1,FALSE)-Hoja3!D18</f>
        <v>#N/A</v>
      </c>
      <c r="E18" s="470" t="e">
        <f>VLOOKUP($A18,'Matriz de Referencia'!$B$2:$CO$583,'Matriz de Referencia'!CH$1,FALSE)-Hoja3!E18</f>
        <v>#N/A</v>
      </c>
      <c r="F18" s="470" t="e">
        <f>VLOOKUP($A18,'Matriz de Referencia'!$B$2:$CO$583,'Matriz de Referencia'!CI$1,FALSE)-Hoja3!F18</f>
        <v>#N/A</v>
      </c>
      <c r="G18" s="470" t="e">
        <f>VLOOKUP($A18,'Matriz de Referencia'!$B$2:$CO$583,'Matriz de Referencia'!CJ$1,FALSE)-Hoja3!G18</f>
        <v>#N/A</v>
      </c>
      <c r="H18" s="470" t="e">
        <f>VLOOKUP($A18,'Matriz de Referencia'!$B$2:$CO$583,'Matriz de Referencia'!CK$1,FALSE)-Hoja3!H18</f>
        <v>#N/A</v>
      </c>
      <c r="I18" s="470" t="e">
        <f>VLOOKUP($A18,'Matriz de Referencia'!$B$2:$CO$583,'Matriz de Referencia'!CL$1,FALSE)-Hoja3!I18</f>
        <v>#N/A</v>
      </c>
      <c r="J18" s="470" t="e">
        <f>VLOOKUP($A18,'Matriz de Referencia'!$B$2:$CO$583,'Matriz de Referencia'!CM$1,FALSE)-Hoja3!K18</f>
        <v>#N/A</v>
      </c>
      <c r="K18" s="470" t="e">
        <f>VLOOKUP($A18,'Matriz de Referencia'!$B$2:$CO$583,'Matriz de Referencia'!CN$1,FALSE)-Hoja3!L18</f>
        <v>#N/A</v>
      </c>
      <c r="L18" s="470" t="e">
        <f>VLOOKUP($A18,'Matriz de Referencia'!$B$2:$CO$583,'Matriz de Referencia'!CO$1,FALSE)-Hoja3!M18</f>
        <v>#N/A</v>
      </c>
    </row>
    <row r="19" spans="1:12">
      <c r="A19" s="469" t="str">
        <f>IF('Parte Estrategica'!B19=0,"",'Parte Estrategica'!B19)</f>
        <v/>
      </c>
      <c r="B19" s="470" t="e">
        <f>VLOOKUP($A19,'Matriz de Referencia'!$B$2:$CO$583,'Matriz de Referencia'!CE$1,FALSE)-Hoja3!B19</f>
        <v>#N/A</v>
      </c>
      <c r="C19" s="470" t="e">
        <f>VLOOKUP($A19,'Matriz de Referencia'!$B$2:$CO$583,'Matriz de Referencia'!CF$1,FALSE)-Hoja3!C19</f>
        <v>#N/A</v>
      </c>
      <c r="D19" s="470" t="e">
        <f>VLOOKUP($A19,'Matriz de Referencia'!$B$2:$CO$583,'Matriz de Referencia'!CG$1,FALSE)-Hoja3!D19</f>
        <v>#N/A</v>
      </c>
      <c r="E19" s="470" t="e">
        <f>VLOOKUP($A19,'Matriz de Referencia'!$B$2:$CO$583,'Matriz de Referencia'!CH$1,FALSE)-Hoja3!E19</f>
        <v>#N/A</v>
      </c>
      <c r="F19" s="470" t="e">
        <f>VLOOKUP($A19,'Matriz de Referencia'!$B$2:$CO$583,'Matriz de Referencia'!CI$1,FALSE)-Hoja3!F19</f>
        <v>#N/A</v>
      </c>
      <c r="G19" s="470" t="e">
        <f>VLOOKUP($A19,'Matriz de Referencia'!$B$2:$CO$583,'Matriz de Referencia'!CJ$1,FALSE)-Hoja3!G19</f>
        <v>#N/A</v>
      </c>
      <c r="H19" s="470" t="e">
        <f>VLOOKUP($A19,'Matriz de Referencia'!$B$2:$CO$583,'Matriz de Referencia'!CK$1,FALSE)-Hoja3!H19</f>
        <v>#N/A</v>
      </c>
      <c r="I19" s="470" t="e">
        <f>VLOOKUP($A19,'Matriz de Referencia'!$B$2:$CO$583,'Matriz de Referencia'!CL$1,FALSE)-Hoja3!I19</f>
        <v>#N/A</v>
      </c>
      <c r="J19" s="470" t="e">
        <f>VLOOKUP($A19,'Matriz de Referencia'!$B$2:$CO$583,'Matriz de Referencia'!CM$1,FALSE)-Hoja3!K19</f>
        <v>#N/A</v>
      </c>
      <c r="K19" s="470" t="e">
        <f>VLOOKUP($A19,'Matriz de Referencia'!$B$2:$CO$583,'Matriz de Referencia'!CN$1,FALSE)-Hoja3!L19</f>
        <v>#N/A</v>
      </c>
      <c r="L19" s="470" t="e">
        <f>VLOOKUP($A19,'Matriz de Referencia'!$B$2:$CO$583,'Matriz de Referencia'!CO$1,FALSE)-Hoja3!M19</f>
        <v>#N/A</v>
      </c>
    </row>
    <row r="20" spans="1:12">
      <c r="A20" s="469" t="str">
        <f>IF('Parte Estrategica'!B20=0,"",'Parte Estrategica'!B20)</f>
        <v/>
      </c>
      <c r="B20" s="470" t="e">
        <f>VLOOKUP($A20,'Matriz de Referencia'!$B$2:$CO$583,'Matriz de Referencia'!CE$1,FALSE)-Hoja3!B20</f>
        <v>#N/A</v>
      </c>
      <c r="C20" s="470" t="e">
        <f>VLOOKUP($A20,'Matriz de Referencia'!$B$2:$CO$583,'Matriz de Referencia'!CF$1,FALSE)-Hoja3!C20</f>
        <v>#N/A</v>
      </c>
      <c r="D20" s="470" t="e">
        <f>VLOOKUP($A20,'Matriz de Referencia'!$B$2:$CO$583,'Matriz de Referencia'!CG$1,FALSE)-Hoja3!D20</f>
        <v>#N/A</v>
      </c>
      <c r="E20" s="470" t="e">
        <f>VLOOKUP($A20,'Matriz de Referencia'!$B$2:$CO$583,'Matriz de Referencia'!CH$1,FALSE)-Hoja3!E20</f>
        <v>#N/A</v>
      </c>
      <c r="F20" s="470" t="e">
        <f>VLOOKUP($A20,'Matriz de Referencia'!$B$2:$CO$583,'Matriz de Referencia'!CI$1,FALSE)-Hoja3!F20</f>
        <v>#N/A</v>
      </c>
      <c r="G20" s="470" t="e">
        <f>VLOOKUP($A20,'Matriz de Referencia'!$B$2:$CO$583,'Matriz de Referencia'!CJ$1,FALSE)-Hoja3!G20</f>
        <v>#N/A</v>
      </c>
      <c r="H20" s="470" t="e">
        <f>VLOOKUP($A20,'Matriz de Referencia'!$B$2:$CO$583,'Matriz de Referencia'!CK$1,FALSE)-Hoja3!H20</f>
        <v>#N/A</v>
      </c>
      <c r="I20" s="470" t="e">
        <f>VLOOKUP($A20,'Matriz de Referencia'!$B$2:$CO$583,'Matriz de Referencia'!CL$1,FALSE)-Hoja3!I20</f>
        <v>#N/A</v>
      </c>
      <c r="J20" s="470" t="e">
        <f>VLOOKUP($A20,'Matriz de Referencia'!$B$2:$CO$583,'Matriz de Referencia'!CM$1,FALSE)-Hoja3!K20</f>
        <v>#N/A</v>
      </c>
      <c r="K20" s="470" t="e">
        <f>VLOOKUP($A20,'Matriz de Referencia'!$B$2:$CO$583,'Matriz de Referencia'!CN$1,FALSE)-Hoja3!L20</f>
        <v>#N/A</v>
      </c>
      <c r="L20" s="470" t="e">
        <f>VLOOKUP($A20,'Matriz de Referencia'!$B$2:$CO$583,'Matriz de Referencia'!CO$1,FALSE)-Hoja3!M20</f>
        <v>#N/A</v>
      </c>
    </row>
    <row r="21" spans="1:12">
      <c r="A21" s="469" t="str">
        <f>IF('Parte Estrategica'!B21=0,"",'Parte Estrategica'!B21)</f>
        <v/>
      </c>
      <c r="B21" s="470" t="e">
        <f>VLOOKUP($A21,'Matriz de Referencia'!$B$2:$CO$583,'Matriz de Referencia'!CE$1,FALSE)-Hoja3!B21</f>
        <v>#N/A</v>
      </c>
      <c r="C21" s="470" t="e">
        <f>VLOOKUP($A21,'Matriz de Referencia'!$B$2:$CO$583,'Matriz de Referencia'!CF$1,FALSE)-Hoja3!C21</f>
        <v>#N/A</v>
      </c>
      <c r="D21" s="470" t="e">
        <f>VLOOKUP($A21,'Matriz de Referencia'!$B$2:$CO$583,'Matriz de Referencia'!CG$1,FALSE)-Hoja3!D21</f>
        <v>#N/A</v>
      </c>
      <c r="E21" s="470" t="e">
        <f>VLOOKUP($A21,'Matriz de Referencia'!$B$2:$CO$583,'Matriz de Referencia'!CH$1,FALSE)-Hoja3!E21</f>
        <v>#N/A</v>
      </c>
      <c r="F21" s="470" t="e">
        <f>VLOOKUP($A21,'Matriz de Referencia'!$B$2:$CO$583,'Matriz de Referencia'!CI$1,FALSE)-Hoja3!F21</f>
        <v>#N/A</v>
      </c>
      <c r="G21" s="470" t="e">
        <f>VLOOKUP($A21,'Matriz de Referencia'!$B$2:$CO$583,'Matriz de Referencia'!CJ$1,FALSE)-Hoja3!G21</f>
        <v>#N/A</v>
      </c>
      <c r="H21" s="470" t="e">
        <f>VLOOKUP($A21,'Matriz de Referencia'!$B$2:$CO$583,'Matriz de Referencia'!CK$1,FALSE)-Hoja3!H21</f>
        <v>#N/A</v>
      </c>
      <c r="I21" s="470" t="e">
        <f>VLOOKUP($A21,'Matriz de Referencia'!$B$2:$CO$583,'Matriz de Referencia'!CL$1,FALSE)-Hoja3!I21</f>
        <v>#N/A</v>
      </c>
      <c r="J21" s="470" t="e">
        <f>VLOOKUP($A21,'Matriz de Referencia'!$B$2:$CO$583,'Matriz de Referencia'!CM$1,FALSE)-Hoja3!K21</f>
        <v>#N/A</v>
      </c>
      <c r="K21" s="470" t="e">
        <f>VLOOKUP($A21,'Matriz de Referencia'!$B$2:$CO$583,'Matriz de Referencia'!CN$1,FALSE)-Hoja3!L21</f>
        <v>#N/A</v>
      </c>
      <c r="L21" s="470" t="e">
        <f>VLOOKUP($A21,'Matriz de Referencia'!$B$2:$CO$583,'Matriz de Referencia'!CO$1,FALSE)-Hoja3!M21</f>
        <v>#N/A</v>
      </c>
    </row>
    <row r="22" spans="1:12">
      <c r="A22" s="469" t="str">
        <f>IF('Parte Estrategica'!B22=0,"",'Parte Estrategica'!B22)</f>
        <v/>
      </c>
      <c r="B22" s="470" t="e">
        <f>VLOOKUP($A22,'Matriz de Referencia'!$B$2:$CO$583,'Matriz de Referencia'!CE$1,FALSE)-Hoja3!B22</f>
        <v>#N/A</v>
      </c>
      <c r="C22" s="470" t="e">
        <f>VLOOKUP($A22,'Matriz de Referencia'!$B$2:$CO$583,'Matriz de Referencia'!CF$1,FALSE)-Hoja3!C22</f>
        <v>#N/A</v>
      </c>
      <c r="D22" s="470" t="e">
        <f>VLOOKUP($A22,'Matriz de Referencia'!$B$2:$CO$583,'Matriz de Referencia'!CG$1,FALSE)-Hoja3!D22</f>
        <v>#N/A</v>
      </c>
      <c r="E22" s="470" t="e">
        <f>VLOOKUP($A22,'Matriz de Referencia'!$B$2:$CO$583,'Matriz de Referencia'!CH$1,FALSE)-Hoja3!E22</f>
        <v>#N/A</v>
      </c>
      <c r="F22" s="470" t="e">
        <f>VLOOKUP($A22,'Matriz de Referencia'!$B$2:$CO$583,'Matriz de Referencia'!CI$1,FALSE)-Hoja3!F22</f>
        <v>#N/A</v>
      </c>
      <c r="G22" s="470" t="e">
        <f>VLOOKUP($A22,'Matriz de Referencia'!$B$2:$CO$583,'Matriz de Referencia'!CJ$1,FALSE)-Hoja3!G22</f>
        <v>#N/A</v>
      </c>
      <c r="H22" s="470" t="e">
        <f>VLOOKUP($A22,'Matriz de Referencia'!$B$2:$CO$583,'Matriz de Referencia'!CK$1,FALSE)-Hoja3!H22</f>
        <v>#N/A</v>
      </c>
      <c r="I22" s="470" t="e">
        <f>VLOOKUP($A22,'Matriz de Referencia'!$B$2:$CO$583,'Matriz de Referencia'!CL$1,FALSE)-Hoja3!I22</f>
        <v>#N/A</v>
      </c>
      <c r="J22" s="470" t="e">
        <f>VLOOKUP($A22,'Matriz de Referencia'!$B$2:$CO$583,'Matriz de Referencia'!CM$1,FALSE)-Hoja3!K22</f>
        <v>#N/A</v>
      </c>
      <c r="K22" s="470" t="e">
        <f>VLOOKUP($A22,'Matriz de Referencia'!$B$2:$CO$583,'Matriz de Referencia'!CN$1,FALSE)-Hoja3!L22</f>
        <v>#N/A</v>
      </c>
      <c r="L22" s="470" t="e">
        <f>VLOOKUP($A22,'Matriz de Referencia'!$B$2:$CO$583,'Matriz de Referencia'!CO$1,FALSE)-Hoja3!M22</f>
        <v>#N/A</v>
      </c>
    </row>
    <row r="23" spans="1:12">
      <c r="A23" s="469" t="str">
        <f>IF('Parte Estrategica'!B23=0,"",'Parte Estrategica'!B23)</f>
        <v/>
      </c>
      <c r="B23" s="470" t="e">
        <f>VLOOKUP($A23,'Matriz de Referencia'!$B$2:$CO$583,'Matriz de Referencia'!CE$1,FALSE)-Hoja3!B23</f>
        <v>#N/A</v>
      </c>
      <c r="C23" s="470" t="e">
        <f>VLOOKUP($A23,'Matriz de Referencia'!$B$2:$CO$583,'Matriz de Referencia'!CF$1,FALSE)-Hoja3!C23</f>
        <v>#N/A</v>
      </c>
      <c r="D23" s="470" t="e">
        <f>VLOOKUP($A23,'Matriz de Referencia'!$B$2:$CO$583,'Matriz de Referencia'!CG$1,FALSE)-Hoja3!D23</f>
        <v>#N/A</v>
      </c>
      <c r="E23" s="470" t="e">
        <f>VLOOKUP($A23,'Matriz de Referencia'!$B$2:$CO$583,'Matriz de Referencia'!CH$1,FALSE)-Hoja3!E23</f>
        <v>#N/A</v>
      </c>
      <c r="F23" s="470" t="e">
        <f>VLOOKUP($A23,'Matriz de Referencia'!$B$2:$CO$583,'Matriz de Referencia'!CI$1,FALSE)-Hoja3!F23</f>
        <v>#N/A</v>
      </c>
      <c r="G23" s="470" t="e">
        <f>VLOOKUP($A23,'Matriz de Referencia'!$B$2:$CO$583,'Matriz de Referencia'!CJ$1,FALSE)-Hoja3!G23</f>
        <v>#N/A</v>
      </c>
      <c r="H23" s="470" t="e">
        <f>VLOOKUP($A23,'Matriz de Referencia'!$B$2:$CO$583,'Matriz de Referencia'!CK$1,FALSE)-Hoja3!H23</f>
        <v>#N/A</v>
      </c>
      <c r="I23" s="470" t="e">
        <f>VLOOKUP($A23,'Matriz de Referencia'!$B$2:$CO$583,'Matriz de Referencia'!CL$1,FALSE)-Hoja3!I23</f>
        <v>#N/A</v>
      </c>
      <c r="J23" s="470" t="e">
        <f>VLOOKUP($A23,'Matriz de Referencia'!$B$2:$CO$583,'Matriz de Referencia'!CM$1,FALSE)-Hoja3!K23</f>
        <v>#N/A</v>
      </c>
      <c r="K23" s="470" t="e">
        <f>VLOOKUP($A23,'Matriz de Referencia'!$B$2:$CO$583,'Matriz de Referencia'!CN$1,FALSE)-Hoja3!L23</f>
        <v>#N/A</v>
      </c>
      <c r="L23" s="470" t="e">
        <f>VLOOKUP($A23,'Matriz de Referencia'!$B$2:$CO$583,'Matriz de Referencia'!CO$1,FALSE)-Hoja3!M23</f>
        <v>#N/A</v>
      </c>
    </row>
    <row r="24" spans="1:12">
      <c r="A24" s="469" t="str">
        <f>IF('Parte Estrategica'!B24=0,"",'Parte Estrategica'!B24)</f>
        <v/>
      </c>
      <c r="B24" s="470" t="e">
        <f>VLOOKUP($A24,'Matriz de Referencia'!$B$2:$CO$583,'Matriz de Referencia'!CE$1,FALSE)-Hoja3!B24</f>
        <v>#N/A</v>
      </c>
      <c r="C24" s="470" t="e">
        <f>VLOOKUP($A24,'Matriz de Referencia'!$B$2:$CO$583,'Matriz de Referencia'!CF$1,FALSE)-Hoja3!C24</f>
        <v>#N/A</v>
      </c>
      <c r="D24" s="470" t="e">
        <f>VLOOKUP($A24,'Matriz de Referencia'!$B$2:$CO$583,'Matriz de Referencia'!CG$1,FALSE)-Hoja3!D24</f>
        <v>#N/A</v>
      </c>
      <c r="E24" s="470" t="e">
        <f>VLOOKUP($A24,'Matriz de Referencia'!$B$2:$CO$583,'Matriz de Referencia'!CH$1,FALSE)-Hoja3!E24</f>
        <v>#N/A</v>
      </c>
      <c r="F24" s="470" t="e">
        <f>VLOOKUP($A24,'Matriz de Referencia'!$B$2:$CO$583,'Matriz de Referencia'!CI$1,FALSE)-Hoja3!F24</f>
        <v>#N/A</v>
      </c>
      <c r="G24" s="470" t="e">
        <f>VLOOKUP($A24,'Matriz de Referencia'!$B$2:$CO$583,'Matriz de Referencia'!CJ$1,FALSE)-Hoja3!G24</f>
        <v>#N/A</v>
      </c>
      <c r="H24" s="470" t="e">
        <f>VLOOKUP($A24,'Matriz de Referencia'!$B$2:$CO$583,'Matriz de Referencia'!CK$1,FALSE)-Hoja3!H24</f>
        <v>#N/A</v>
      </c>
      <c r="I24" s="470" t="e">
        <f>VLOOKUP($A24,'Matriz de Referencia'!$B$2:$CO$583,'Matriz de Referencia'!CL$1,FALSE)-Hoja3!I24</f>
        <v>#N/A</v>
      </c>
      <c r="J24" s="470" t="e">
        <f>VLOOKUP($A24,'Matriz de Referencia'!$B$2:$CO$583,'Matriz de Referencia'!CM$1,FALSE)-Hoja3!K24</f>
        <v>#N/A</v>
      </c>
      <c r="K24" s="470" t="e">
        <f>VLOOKUP($A24,'Matriz de Referencia'!$B$2:$CO$583,'Matriz de Referencia'!CN$1,FALSE)-Hoja3!L24</f>
        <v>#N/A</v>
      </c>
      <c r="L24" s="470" t="e">
        <f>VLOOKUP($A24,'Matriz de Referencia'!$B$2:$CO$583,'Matriz de Referencia'!CO$1,FALSE)-Hoja3!M24</f>
        <v>#N/A</v>
      </c>
    </row>
    <row r="25" spans="1:12">
      <c r="A25" s="469" t="str">
        <f>IF('Parte Estrategica'!B25=0,"",'Parte Estrategica'!B25)</f>
        <v/>
      </c>
      <c r="B25" s="470" t="e">
        <f>VLOOKUP($A25,'Matriz de Referencia'!$B$2:$CO$583,'Matriz de Referencia'!CE$1,FALSE)-Hoja3!B25</f>
        <v>#N/A</v>
      </c>
      <c r="C25" s="470" t="e">
        <f>VLOOKUP($A25,'Matriz de Referencia'!$B$2:$CO$583,'Matriz de Referencia'!CF$1,FALSE)-Hoja3!C25</f>
        <v>#N/A</v>
      </c>
      <c r="D25" s="470" t="e">
        <f>VLOOKUP($A25,'Matriz de Referencia'!$B$2:$CO$583,'Matriz de Referencia'!CG$1,FALSE)-Hoja3!D25</f>
        <v>#N/A</v>
      </c>
      <c r="E25" s="470" t="e">
        <f>VLOOKUP($A25,'Matriz de Referencia'!$B$2:$CO$583,'Matriz de Referencia'!CH$1,FALSE)-Hoja3!E25</f>
        <v>#N/A</v>
      </c>
      <c r="F25" s="470" t="e">
        <f>VLOOKUP($A25,'Matriz de Referencia'!$B$2:$CO$583,'Matriz de Referencia'!CI$1,FALSE)-Hoja3!F25</f>
        <v>#N/A</v>
      </c>
      <c r="G25" s="470" t="e">
        <f>VLOOKUP($A25,'Matriz de Referencia'!$B$2:$CO$583,'Matriz de Referencia'!CJ$1,FALSE)-Hoja3!G25</f>
        <v>#N/A</v>
      </c>
      <c r="H25" s="470" t="e">
        <f>VLOOKUP($A25,'Matriz de Referencia'!$B$2:$CO$583,'Matriz de Referencia'!CK$1,FALSE)-Hoja3!H25</f>
        <v>#N/A</v>
      </c>
      <c r="I25" s="470" t="e">
        <f>VLOOKUP($A25,'Matriz de Referencia'!$B$2:$CO$583,'Matriz de Referencia'!CL$1,FALSE)-Hoja3!I25</f>
        <v>#N/A</v>
      </c>
      <c r="J25" s="470" t="e">
        <f>VLOOKUP($A25,'Matriz de Referencia'!$B$2:$CO$583,'Matriz de Referencia'!CM$1,FALSE)-Hoja3!K25</f>
        <v>#N/A</v>
      </c>
      <c r="K25" s="470" t="e">
        <f>VLOOKUP($A25,'Matriz de Referencia'!$B$2:$CO$583,'Matriz de Referencia'!CN$1,FALSE)-Hoja3!L25</f>
        <v>#N/A</v>
      </c>
      <c r="L25" s="470" t="e">
        <f>VLOOKUP($A25,'Matriz de Referencia'!$B$2:$CO$583,'Matriz de Referencia'!CO$1,FALSE)-Hoja3!M25</f>
        <v>#N/A</v>
      </c>
    </row>
    <row r="26" spans="1:12">
      <c r="A26" s="469" t="str">
        <f>IF('Parte Estrategica'!B26=0,"",'Parte Estrategica'!B26)</f>
        <v/>
      </c>
      <c r="B26" s="470" t="e">
        <f>VLOOKUP($A26,'Matriz de Referencia'!$B$2:$CO$583,'Matriz de Referencia'!CE$1,FALSE)-Hoja3!B26</f>
        <v>#N/A</v>
      </c>
      <c r="C26" s="470" t="e">
        <f>VLOOKUP($A26,'Matriz de Referencia'!$B$2:$CO$583,'Matriz de Referencia'!CF$1,FALSE)-Hoja3!C26</f>
        <v>#N/A</v>
      </c>
      <c r="D26" s="470" t="e">
        <f>VLOOKUP($A26,'Matriz de Referencia'!$B$2:$CO$583,'Matriz de Referencia'!CG$1,FALSE)-Hoja3!D26</f>
        <v>#N/A</v>
      </c>
      <c r="E26" s="470" t="e">
        <f>VLOOKUP($A26,'Matriz de Referencia'!$B$2:$CO$583,'Matriz de Referencia'!CH$1,FALSE)-Hoja3!E26</f>
        <v>#N/A</v>
      </c>
      <c r="F26" s="470" t="e">
        <f>VLOOKUP($A26,'Matriz de Referencia'!$B$2:$CO$583,'Matriz de Referencia'!CI$1,FALSE)-Hoja3!F26</f>
        <v>#N/A</v>
      </c>
      <c r="G26" s="470" t="e">
        <f>VLOOKUP($A26,'Matriz de Referencia'!$B$2:$CO$583,'Matriz de Referencia'!CJ$1,FALSE)-Hoja3!G26</f>
        <v>#N/A</v>
      </c>
      <c r="H26" s="470" t="e">
        <f>VLOOKUP($A26,'Matriz de Referencia'!$B$2:$CO$583,'Matriz de Referencia'!CK$1,FALSE)-Hoja3!H26</f>
        <v>#N/A</v>
      </c>
      <c r="I26" s="470" t="e">
        <f>VLOOKUP($A26,'Matriz de Referencia'!$B$2:$CO$583,'Matriz de Referencia'!CL$1,FALSE)-Hoja3!I26</f>
        <v>#N/A</v>
      </c>
      <c r="J26" s="470" t="e">
        <f>VLOOKUP($A26,'Matriz de Referencia'!$B$2:$CO$583,'Matriz de Referencia'!CM$1,FALSE)-Hoja3!K26</f>
        <v>#N/A</v>
      </c>
      <c r="K26" s="470" t="e">
        <f>VLOOKUP($A26,'Matriz de Referencia'!$B$2:$CO$583,'Matriz de Referencia'!CN$1,FALSE)-Hoja3!L26</f>
        <v>#N/A</v>
      </c>
      <c r="L26" s="470" t="e">
        <f>VLOOKUP($A26,'Matriz de Referencia'!$B$2:$CO$583,'Matriz de Referencia'!CO$1,FALSE)-Hoja3!M26</f>
        <v>#N/A</v>
      </c>
    </row>
    <row r="27" spans="1:12">
      <c r="A27" s="469" t="str">
        <f>IF('Parte Estrategica'!B27=0,"",'Parte Estrategica'!B27)</f>
        <v/>
      </c>
      <c r="B27" s="470" t="e">
        <f>VLOOKUP($A27,'Matriz de Referencia'!$B$2:$CO$583,'Matriz de Referencia'!CE$1,FALSE)-Hoja3!B27</f>
        <v>#N/A</v>
      </c>
      <c r="C27" s="470" t="e">
        <f>VLOOKUP($A27,'Matriz de Referencia'!$B$2:$CO$583,'Matriz de Referencia'!CF$1,FALSE)-Hoja3!C27</f>
        <v>#N/A</v>
      </c>
      <c r="D27" s="470" t="e">
        <f>VLOOKUP($A27,'Matriz de Referencia'!$B$2:$CO$583,'Matriz de Referencia'!CG$1,FALSE)-Hoja3!D27</f>
        <v>#N/A</v>
      </c>
      <c r="E27" s="470" t="e">
        <f>VLOOKUP($A27,'Matriz de Referencia'!$B$2:$CO$583,'Matriz de Referencia'!CH$1,FALSE)-Hoja3!E27</f>
        <v>#N/A</v>
      </c>
      <c r="F27" s="470" t="e">
        <f>VLOOKUP($A27,'Matriz de Referencia'!$B$2:$CO$583,'Matriz de Referencia'!CI$1,FALSE)-Hoja3!F27</f>
        <v>#N/A</v>
      </c>
      <c r="G27" s="470" t="e">
        <f>VLOOKUP($A27,'Matriz de Referencia'!$B$2:$CO$583,'Matriz de Referencia'!CJ$1,FALSE)-Hoja3!G27</f>
        <v>#N/A</v>
      </c>
      <c r="H27" s="470" t="e">
        <f>VLOOKUP($A27,'Matriz de Referencia'!$B$2:$CO$583,'Matriz de Referencia'!CK$1,FALSE)-Hoja3!H27</f>
        <v>#N/A</v>
      </c>
      <c r="I27" s="470" t="e">
        <f>VLOOKUP($A27,'Matriz de Referencia'!$B$2:$CO$583,'Matriz de Referencia'!CL$1,FALSE)-Hoja3!I27</f>
        <v>#N/A</v>
      </c>
      <c r="J27" s="470" t="e">
        <f>VLOOKUP($A27,'Matriz de Referencia'!$B$2:$CO$583,'Matriz de Referencia'!CM$1,FALSE)-Hoja3!K27</f>
        <v>#N/A</v>
      </c>
      <c r="K27" s="470" t="e">
        <f>VLOOKUP($A27,'Matriz de Referencia'!$B$2:$CO$583,'Matriz de Referencia'!CN$1,FALSE)-Hoja3!L27</f>
        <v>#N/A</v>
      </c>
      <c r="L27" s="470" t="e">
        <f>VLOOKUP($A27,'Matriz de Referencia'!$B$2:$CO$583,'Matriz de Referencia'!CO$1,FALSE)-Hoja3!M27</f>
        <v>#N/A</v>
      </c>
    </row>
    <row r="28" spans="1:12">
      <c r="A28" s="469" t="str">
        <f>IF('Parte Estrategica'!B28=0,"",'Parte Estrategica'!B28)</f>
        <v/>
      </c>
      <c r="B28" s="470" t="e">
        <f>VLOOKUP($A28,'Matriz de Referencia'!$B$2:$CO$583,'Matriz de Referencia'!CE$1,FALSE)-Hoja3!B28</f>
        <v>#N/A</v>
      </c>
      <c r="C28" s="470" t="e">
        <f>VLOOKUP($A28,'Matriz de Referencia'!$B$2:$CO$583,'Matriz de Referencia'!CF$1,FALSE)-Hoja3!C28</f>
        <v>#N/A</v>
      </c>
      <c r="D28" s="470" t="e">
        <f>VLOOKUP($A28,'Matriz de Referencia'!$B$2:$CO$583,'Matriz de Referencia'!CG$1,FALSE)-Hoja3!D28</f>
        <v>#N/A</v>
      </c>
      <c r="E28" s="470" t="e">
        <f>VLOOKUP($A28,'Matriz de Referencia'!$B$2:$CO$583,'Matriz de Referencia'!CH$1,FALSE)-Hoja3!E28</f>
        <v>#N/A</v>
      </c>
      <c r="F28" s="470" t="e">
        <f>VLOOKUP($A28,'Matriz de Referencia'!$B$2:$CO$583,'Matriz de Referencia'!CI$1,FALSE)-Hoja3!F28</f>
        <v>#N/A</v>
      </c>
      <c r="G28" s="470" t="e">
        <f>VLOOKUP($A28,'Matriz de Referencia'!$B$2:$CO$583,'Matriz de Referencia'!CJ$1,FALSE)-Hoja3!G28</f>
        <v>#N/A</v>
      </c>
      <c r="H28" s="470" t="e">
        <f>VLOOKUP($A28,'Matriz de Referencia'!$B$2:$CO$583,'Matriz de Referencia'!CK$1,FALSE)-Hoja3!H28</f>
        <v>#N/A</v>
      </c>
      <c r="I28" s="470" t="e">
        <f>VLOOKUP($A28,'Matriz de Referencia'!$B$2:$CO$583,'Matriz de Referencia'!CL$1,FALSE)-Hoja3!I28</f>
        <v>#N/A</v>
      </c>
      <c r="J28" s="470" t="e">
        <f>VLOOKUP($A28,'Matriz de Referencia'!$B$2:$CO$583,'Matriz de Referencia'!CM$1,FALSE)-Hoja3!K28</f>
        <v>#N/A</v>
      </c>
      <c r="K28" s="470" t="e">
        <f>VLOOKUP($A28,'Matriz de Referencia'!$B$2:$CO$583,'Matriz de Referencia'!CN$1,FALSE)-Hoja3!L28</f>
        <v>#N/A</v>
      </c>
      <c r="L28" s="470" t="e">
        <f>VLOOKUP($A28,'Matriz de Referencia'!$B$2:$CO$583,'Matriz de Referencia'!CO$1,FALSE)-Hoja3!M28</f>
        <v>#N/A</v>
      </c>
    </row>
    <row r="29" spans="1:12">
      <c r="A29" s="469" t="str">
        <f>IF('Parte Estrategica'!B29=0,"",'Parte Estrategica'!B29)</f>
        <v/>
      </c>
      <c r="B29" s="470" t="e">
        <f>VLOOKUP($A29,'Matriz de Referencia'!$B$2:$CO$583,'Matriz de Referencia'!CE$1,FALSE)-Hoja3!B29</f>
        <v>#N/A</v>
      </c>
      <c r="C29" s="470" t="e">
        <f>VLOOKUP($A29,'Matriz de Referencia'!$B$2:$CO$583,'Matriz de Referencia'!CF$1,FALSE)-Hoja3!C29</f>
        <v>#N/A</v>
      </c>
      <c r="D29" s="470" t="e">
        <f>VLOOKUP($A29,'Matriz de Referencia'!$B$2:$CO$583,'Matriz de Referencia'!CG$1,FALSE)-Hoja3!D29</f>
        <v>#N/A</v>
      </c>
      <c r="E29" s="470" t="e">
        <f>VLOOKUP($A29,'Matriz de Referencia'!$B$2:$CO$583,'Matriz de Referencia'!CH$1,FALSE)-Hoja3!E29</f>
        <v>#N/A</v>
      </c>
      <c r="F29" s="470" t="e">
        <f>VLOOKUP($A29,'Matriz de Referencia'!$B$2:$CO$583,'Matriz de Referencia'!CI$1,FALSE)-Hoja3!F29</f>
        <v>#N/A</v>
      </c>
      <c r="G29" s="470" t="e">
        <f>VLOOKUP($A29,'Matriz de Referencia'!$B$2:$CO$583,'Matriz de Referencia'!CJ$1,FALSE)-Hoja3!G29</f>
        <v>#N/A</v>
      </c>
      <c r="H29" s="470" t="e">
        <f>VLOOKUP($A29,'Matriz de Referencia'!$B$2:$CO$583,'Matriz de Referencia'!CK$1,FALSE)-Hoja3!H29</f>
        <v>#N/A</v>
      </c>
      <c r="I29" s="470" t="e">
        <f>VLOOKUP($A29,'Matriz de Referencia'!$B$2:$CO$583,'Matriz de Referencia'!CL$1,FALSE)-Hoja3!I29</f>
        <v>#N/A</v>
      </c>
      <c r="J29" s="470" t="e">
        <f>VLOOKUP($A29,'Matriz de Referencia'!$B$2:$CO$583,'Matriz de Referencia'!CM$1,FALSE)-Hoja3!K29</f>
        <v>#N/A</v>
      </c>
      <c r="K29" s="470" t="e">
        <f>VLOOKUP($A29,'Matriz de Referencia'!$B$2:$CO$583,'Matriz de Referencia'!CN$1,FALSE)-Hoja3!L29</f>
        <v>#N/A</v>
      </c>
      <c r="L29" s="470" t="e">
        <f>VLOOKUP($A29,'Matriz de Referencia'!$B$2:$CO$583,'Matriz de Referencia'!CO$1,FALSE)-Hoja3!M29</f>
        <v>#N/A</v>
      </c>
    </row>
    <row r="30" spans="1:12">
      <c r="A30" s="469" t="str">
        <f>IF('Parte Estrategica'!B30=0,"",'Parte Estrategica'!B30)</f>
        <v/>
      </c>
      <c r="B30" s="470" t="e">
        <f>VLOOKUP($A30,'Matriz de Referencia'!$B$2:$CO$583,'Matriz de Referencia'!CE$1,FALSE)-Hoja3!B30</f>
        <v>#N/A</v>
      </c>
      <c r="C30" s="470" t="e">
        <f>VLOOKUP($A30,'Matriz de Referencia'!$B$2:$CO$583,'Matriz de Referencia'!CF$1,FALSE)-Hoja3!C30</f>
        <v>#N/A</v>
      </c>
      <c r="D30" s="470" t="e">
        <f>VLOOKUP($A30,'Matriz de Referencia'!$B$2:$CO$583,'Matriz de Referencia'!CG$1,FALSE)-Hoja3!D30</f>
        <v>#N/A</v>
      </c>
      <c r="E30" s="470" t="e">
        <f>VLOOKUP($A30,'Matriz de Referencia'!$B$2:$CO$583,'Matriz de Referencia'!CH$1,FALSE)-Hoja3!E30</f>
        <v>#N/A</v>
      </c>
      <c r="F30" s="470" t="e">
        <f>VLOOKUP($A30,'Matriz de Referencia'!$B$2:$CO$583,'Matriz de Referencia'!CI$1,FALSE)-Hoja3!F30</f>
        <v>#N/A</v>
      </c>
      <c r="G30" s="470" t="e">
        <f>VLOOKUP($A30,'Matriz de Referencia'!$B$2:$CO$583,'Matriz de Referencia'!CJ$1,FALSE)-Hoja3!G30</f>
        <v>#N/A</v>
      </c>
      <c r="H30" s="470" t="e">
        <f>VLOOKUP($A30,'Matriz de Referencia'!$B$2:$CO$583,'Matriz de Referencia'!CK$1,FALSE)-Hoja3!H30</f>
        <v>#N/A</v>
      </c>
      <c r="I30" s="470" t="e">
        <f>VLOOKUP($A30,'Matriz de Referencia'!$B$2:$CO$583,'Matriz de Referencia'!CL$1,FALSE)-Hoja3!I30</f>
        <v>#N/A</v>
      </c>
      <c r="J30" s="470" t="e">
        <f>VLOOKUP($A30,'Matriz de Referencia'!$B$2:$CO$583,'Matriz de Referencia'!CM$1,FALSE)-Hoja3!K30</f>
        <v>#N/A</v>
      </c>
      <c r="K30" s="470" t="e">
        <f>VLOOKUP($A30,'Matriz de Referencia'!$B$2:$CO$583,'Matriz de Referencia'!CN$1,FALSE)-Hoja3!L30</f>
        <v>#N/A</v>
      </c>
      <c r="L30" s="470" t="e">
        <f>VLOOKUP($A30,'Matriz de Referencia'!$B$2:$CO$583,'Matriz de Referencia'!CO$1,FALSE)-Hoja3!M30</f>
        <v>#N/A</v>
      </c>
    </row>
    <row r="31" spans="1:12">
      <c r="A31" s="469" t="str">
        <f>IF('Parte Estrategica'!B31=0,"",'Parte Estrategica'!B31)</f>
        <v/>
      </c>
      <c r="B31" s="470" t="e">
        <f>VLOOKUP($A31,'Matriz de Referencia'!$B$2:$CO$583,'Matriz de Referencia'!CE$1,FALSE)-Hoja3!B31</f>
        <v>#N/A</v>
      </c>
      <c r="C31" s="470" t="e">
        <f>VLOOKUP($A31,'Matriz de Referencia'!$B$2:$CO$583,'Matriz de Referencia'!CF$1,FALSE)-Hoja3!C31</f>
        <v>#N/A</v>
      </c>
      <c r="D31" s="470" t="e">
        <f>VLOOKUP($A31,'Matriz de Referencia'!$B$2:$CO$583,'Matriz de Referencia'!CG$1,FALSE)-Hoja3!D31</f>
        <v>#N/A</v>
      </c>
      <c r="E31" s="470" t="e">
        <f>VLOOKUP($A31,'Matriz de Referencia'!$B$2:$CO$583,'Matriz de Referencia'!CH$1,FALSE)-Hoja3!E31</f>
        <v>#N/A</v>
      </c>
      <c r="F31" s="470" t="e">
        <f>VLOOKUP($A31,'Matriz de Referencia'!$B$2:$CO$583,'Matriz de Referencia'!CI$1,FALSE)-Hoja3!F31</f>
        <v>#N/A</v>
      </c>
      <c r="G31" s="470" t="e">
        <f>VLOOKUP($A31,'Matriz de Referencia'!$B$2:$CO$583,'Matriz de Referencia'!CJ$1,FALSE)-Hoja3!G31</f>
        <v>#N/A</v>
      </c>
      <c r="H31" s="470" t="e">
        <f>VLOOKUP($A31,'Matriz de Referencia'!$B$2:$CO$583,'Matriz de Referencia'!CK$1,FALSE)-Hoja3!H31</f>
        <v>#N/A</v>
      </c>
      <c r="I31" s="470" t="e">
        <f>VLOOKUP($A31,'Matriz de Referencia'!$B$2:$CO$583,'Matriz de Referencia'!CL$1,FALSE)-Hoja3!I31</f>
        <v>#N/A</v>
      </c>
      <c r="J31" s="470" t="e">
        <f>VLOOKUP($A31,'Matriz de Referencia'!$B$2:$CO$583,'Matriz de Referencia'!CM$1,FALSE)-Hoja3!K31</f>
        <v>#N/A</v>
      </c>
      <c r="K31" s="470" t="e">
        <f>VLOOKUP($A31,'Matriz de Referencia'!$B$2:$CO$583,'Matriz de Referencia'!CN$1,FALSE)-Hoja3!L31</f>
        <v>#N/A</v>
      </c>
      <c r="L31" s="470" t="e">
        <f>VLOOKUP($A31,'Matriz de Referencia'!$B$2:$CO$583,'Matriz de Referencia'!CO$1,FALSE)-Hoja3!M31</f>
        <v>#N/A</v>
      </c>
    </row>
    <row r="32" spans="1:12">
      <c r="A32" s="469" t="str">
        <f>IF('Parte Estrategica'!B32=0,"",'Parte Estrategica'!B32)</f>
        <v/>
      </c>
      <c r="B32" s="470" t="e">
        <f>VLOOKUP($A32,'Matriz de Referencia'!$B$2:$CO$583,'Matriz de Referencia'!CE$1,FALSE)-Hoja3!B32</f>
        <v>#N/A</v>
      </c>
      <c r="C32" s="470" t="e">
        <f>VLOOKUP($A32,'Matriz de Referencia'!$B$2:$CO$583,'Matriz de Referencia'!CF$1,FALSE)-Hoja3!C32</f>
        <v>#N/A</v>
      </c>
      <c r="D32" s="470" t="e">
        <f>VLOOKUP($A32,'Matriz de Referencia'!$B$2:$CO$583,'Matriz de Referencia'!CG$1,FALSE)-Hoja3!D32</f>
        <v>#N/A</v>
      </c>
      <c r="E32" s="470" t="e">
        <f>VLOOKUP($A32,'Matriz de Referencia'!$B$2:$CO$583,'Matriz de Referencia'!CH$1,FALSE)-Hoja3!E32</f>
        <v>#N/A</v>
      </c>
      <c r="F32" s="470" t="e">
        <f>VLOOKUP($A32,'Matriz de Referencia'!$B$2:$CO$583,'Matriz de Referencia'!CI$1,FALSE)-Hoja3!F32</f>
        <v>#N/A</v>
      </c>
      <c r="G32" s="470" t="e">
        <f>VLOOKUP($A32,'Matriz de Referencia'!$B$2:$CO$583,'Matriz de Referencia'!CJ$1,FALSE)-Hoja3!G32</f>
        <v>#N/A</v>
      </c>
      <c r="H32" s="470" t="e">
        <f>VLOOKUP($A32,'Matriz de Referencia'!$B$2:$CO$583,'Matriz de Referencia'!CK$1,FALSE)-Hoja3!H32</f>
        <v>#N/A</v>
      </c>
      <c r="I32" s="470" t="e">
        <f>VLOOKUP($A32,'Matriz de Referencia'!$B$2:$CO$583,'Matriz de Referencia'!CL$1,FALSE)-Hoja3!I32</f>
        <v>#N/A</v>
      </c>
      <c r="J32" s="470" t="e">
        <f>VLOOKUP($A32,'Matriz de Referencia'!$B$2:$CO$583,'Matriz de Referencia'!CM$1,FALSE)-Hoja3!K32</f>
        <v>#N/A</v>
      </c>
      <c r="K32" s="470" t="e">
        <f>VLOOKUP($A32,'Matriz de Referencia'!$B$2:$CO$583,'Matriz de Referencia'!CN$1,FALSE)-Hoja3!L32</f>
        <v>#N/A</v>
      </c>
      <c r="L32" s="470" t="e">
        <f>VLOOKUP($A32,'Matriz de Referencia'!$B$2:$CO$583,'Matriz de Referencia'!CO$1,FALSE)-Hoja3!M32</f>
        <v>#N/A</v>
      </c>
    </row>
    <row r="33" spans="1:12">
      <c r="A33" s="469" t="str">
        <f>IF('Parte Estrategica'!B33=0,"",'Parte Estrategica'!B33)</f>
        <v/>
      </c>
      <c r="B33" s="470" t="e">
        <f>VLOOKUP($A33,'Matriz de Referencia'!$B$2:$CO$583,'Matriz de Referencia'!CE$1,FALSE)-Hoja3!B33</f>
        <v>#N/A</v>
      </c>
      <c r="C33" s="470" t="e">
        <f>VLOOKUP($A33,'Matriz de Referencia'!$B$2:$CO$583,'Matriz de Referencia'!CF$1,FALSE)-Hoja3!C33</f>
        <v>#N/A</v>
      </c>
      <c r="D33" s="470" t="e">
        <f>VLOOKUP($A33,'Matriz de Referencia'!$B$2:$CO$583,'Matriz de Referencia'!CG$1,FALSE)-Hoja3!D33</f>
        <v>#N/A</v>
      </c>
      <c r="E33" s="470" t="e">
        <f>VLOOKUP($A33,'Matriz de Referencia'!$B$2:$CO$583,'Matriz de Referencia'!CH$1,FALSE)-Hoja3!E33</f>
        <v>#N/A</v>
      </c>
      <c r="F33" s="470" t="e">
        <f>VLOOKUP($A33,'Matriz de Referencia'!$B$2:$CO$583,'Matriz de Referencia'!CI$1,FALSE)-Hoja3!F33</f>
        <v>#N/A</v>
      </c>
      <c r="G33" s="470" t="e">
        <f>VLOOKUP($A33,'Matriz de Referencia'!$B$2:$CO$583,'Matriz de Referencia'!CJ$1,FALSE)-Hoja3!G33</f>
        <v>#N/A</v>
      </c>
      <c r="H33" s="470" t="e">
        <f>VLOOKUP($A33,'Matriz de Referencia'!$B$2:$CO$583,'Matriz de Referencia'!CK$1,FALSE)-Hoja3!H33</f>
        <v>#N/A</v>
      </c>
      <c r="I33" s="470" t="e">
        <f>VLOOKUP($A33,'Matriz de Referencia'!$B$2:$CO$583,'Matriz de Referencia'!CL$1,FALSE)-Hoja3!I33</f>
        <v>#N/A</v>
      </c>
      <c r="J33" s="470" t="e">
        <f>VLOOKUP($A33,'Matriz de Referencia'!$B$2:$CO$583,'Matriz de Referencia'!CM$1,FALSE)-Hoja3!K33</f>
        <v>#N/A</v>
      </c>
      <c r="K33" s="470" t="e">
        <f>VLOOKUP($A33,'Matriz de Referencia'!$B$2:$CO$583,'Matriz de Referencia'!CN$1,FALSE)-Hoja3!L33</f>
        <v>#N/A</v>
      </c>
      <c r="L33" s="470" t="e">
        <f>VLOOKUP($A33,'Matriz de Referencia'!$B$2:$CO$583,'Matriz de Referencia'!CO$1,FALSE)-Hoja3!M33</f>
        <v>#N/A</v>
      </c>
    </row>
    <row r="34" spans="1:12">
      <c r="A34" s="469" t="str">
        <f>IF('Parte Estrategica'!B34=0,"",'Parte Estrategica'!B34)</f>
        <v/>
      </c>
      <c r="B34" s="470" t="e">
        <f>VLOOKUP($A34,'Matriz de Referencia'!$B$2:$CO$583,'Matriz de Referencia'!CE$1,FALSE)-Hoja3!B34</f>
        <v>#N/A</v>
      </c>
      <c r="C34" s="470" t="e">
        <f>VLOOKUP($A34,'Matriz de Referencia'!$B$2:$CO$583,'Matriz de Referencia'!CF$1,FALSE)-Hoja3!C34</f>
        <v>#N/A</v>
      </c>
      <c r="D34" s="470" t="e">
        <f>VLOOKUP($A34,'Matriz de Referencia'!$B$2:$CO$583,'Matriz de Referencia'!CG$1,FALSE)-Hoja3!D34</f>
        <v>#N/A</v>
      </c>
      <c r="E34" s="470" t="e">
        <f>VLOOKUP($A34,'Matriz de Referencia'!$B$2:$CO$583,'Matriz de Referencia'!CH$1,FALSE)-Hoja3!E34</f>
        <v>#N/A</v>
      </c>
      <c r="F34" s="470" t="e">
        <f>VLOOKUP($A34,'Matriz de Referencia'!$B$2:$CO$583,'Matriz de Referencia'!CI$1,FALSE)-Hoja3!F34</f>
        <v>#N/A</v>
      </c>
      <c r="G34" s="470" t="e">
        <f>VLOOKUP($A34,'Matriz de Referencia'!$B$2:$CO$583,'Matriz de Referencia'!CJ$1,FALSE)-Hoja3!G34</f>
        <v>#N/A</v>
      </c>
      <c r="H34" s="470" t="e">
        <f>VLOOKUP($A34,'Matriz de Referencia'!$B$2:$CO$583,'Matriz de Referencia'!CK$1,FALSE)-Hoja3!H34</f>
        <v>#N/A</v>
      </c>
      <c r="I34" s="470" t="e">
        <f>VLOOKUP($A34,'Matriz de Referencia'!$B$2:$CO$583,'Matriz de Referencia'!CL$1,FALSE)-Hoja3!I34</f>
        <v>#N/A</v>
      </c>
      <c r="J34" s="470" t="e">
        <f>VLOOKUP($A34,'Matriz de Referencia'!$B$2:$CO$583,'Matriz de Referencia'!CM$1,FALSE)-Hoja3!K34</f>
        <v>#N/A</v>
      </c>
      <c r="K34" s="470" t="e">
        <f>VLOOKUP($A34,'Matriz de Referencia'!$B$2:$CO$583,'Matriz de Referencia'!CN$1,FALSE)-Hoja3!L34</f>
        <v>#N/A</v>
      </c>
      <c r="L34" s="470" t="e">
        <f>VLOOKUP($A34,'Matriz de Referencia'!$B$2:$CO$583,'Matriz de Referencia'!CO$1,FALSE)-Hoja3!M34</f>
        <v>#N/A</v>
      </c>
    </row>
    <row r="35" spans="1:12">
      <c r="A35" s="469" t="str">
        <f>IF('Parte Estrategica'!B35=0,"",'Parte Estrategica'!B35)</f>
        <v/>
      </c>
      <c r="B35" s="470" t="e">
        <f>VLOOKUP($A35,'Matriz de Referencia'!$B$2:$CO$583,'Matriz de Referencia'!CE$1,FALSE)-Hoja3!B35</f>
        <v>#N/A</v>
      </c>
      <c r="C35" s="470" t="e">
        <f>VLOOKUP($A35,'Matriz de Referencia'!$B$2:$CO$583,'Matriz de Referencia'!CF$1,FALSE)-Hoja3!C35</f>
        <v>#N/A</v>
      </c>
      <c r="D35" s="470" t="e">
        <f>VLOOKUP($A35,'Matriz de Referencia'!$B$2:$CO$583,'Matriz de Referencia'!CG$1,FALSE)-Hoja3!D35</f>
        <v>#N/A</v>
      </c>
      <c r="E35" s="470" t="e">
        <f>VLOOKUP($A35,'Matriz de Referencia'!$B$2:$CO$583,'Matriz de Referencia'!CH$1,FALSE)-Hoja3!E35</f>
        <v>#N/A</v>
      </c>
      <c r="F35" s="470" t="e">
        <f>VLOOKUP($A35,'Matriz de Referencia'!$B$2:$CO$583,'Matriz de Referencia'!CI$1,FALSE)-Hoja3!F35</f>
        <v>#N/A</v>
      </c>
      <c r="G35" s="470" t="e">
        <f>VLOOKUP($A35,'Matriz de Referencia'!$B$2:$CO$583,'Matriz de Referencia'!CJ$1,FALSE)-Hoja3!G35</f>
        <v>#N/A</v>
      </c>
      <c r="H35" s="470" t="e">
        <f>VLOOKUP($A35,'Matriz de Referencia'!$B$2:$CO$583,'Matriz de Referencia'!CK$1,FALSE)-Hoja3!H35</f>
        <v>#N/A</v>
      </c>
      <c r="I35" s="470" t="e">
        <f>VLOOKUP($A35,'Matriz de Referencia'!$B$2:$CO$583,'Matriz de Referencia'!CL$1,FALSE)-Hoja3!I35</f>
        <v>#N/A</v>
      </c>
      <c r="J35" s="470" t="e">
        <f>VLOOKUP($A35,'Matriz de Referencia'!$B$2:$CO$583,'Matriz de Referencia'!CM$1,FALSE)-Hoja3!K35</f>
        <v>#N/A</v>
      </c>
      <c r="K35" s="470" t="e">
        <f>VLOOKUP($A35,'Matriz de Referencia'!$B$2:$CO$583,'Matriz de Referencia'!CN$1,FALSE)-Hoja3!L35</f>
        <v>#N/A</v>
      </c>
      <c r="L35" s="470" t="e">
        <f>VLOOKUP($A35,'Matriz de Referencia'!$B$2:$CO$583,'Matriz de Referencia'!CO$1,FALSE)-Hoja3!M35</f>
        <v>#N/A</v>
      </c>
    </row>
    <row r="36" spans="1:12">
      <c r="A36" s="469" t="str">
        <f>IF('Parte Estrategica'!B36=0,"",'Parte Estrategica'!B36)</f>
        <v/>
      </c>
      <c r="B36" s="470" t="e">
        <f>VLOOKUP($A36,'Matriz de Referencia'!$B$2:$CO$583,'Matriz de Referencia'!CE$1,FALSE)-Hoja3!B36</f>
        <v>#N/A</v>
      </c>
      <c r="C36" s="470" t="e">
        <f>VLOOKUP($A36,'Matriz de Referencia'!$B$2:$CO$583,'Matriz de Referencia'!CF$1,FALSE)-Hoja3!C36</f>
        <v>#N/A</v>
      </c>
      <c r="D36" s="470" t="e">
        <f>VLOOKUP($A36,'Matriz de Referencia'!$B$2:$CO$583,'Matriz de Referencia'!CG$1,FALSE)-Hoja3!D36</f>
        <v>#N/A</v>
      </c>
      <c r="E36" s="470" t="e">
        <f>VLOOKUP($A36,'Matriz de Referencia'!$B$2:$CO$583,'Matriz de Referencia'!CH$1,FALSE)-Hoja3!E36</f>
        <v>#N/A</v>
      </c>
      <c r="F36" s="470" t="e">
        <f>VLOOKUP($A36,'Matriz de Referencia'!$B$2:$CO$583,'Matriz de Referencia'!CI$1,FALSE)-Hoja3!F36</f>
        <v>#N/A</v>
      </c>
      <c r="G36" s="470" t="e">
        <f>VLOOKUP($A36,'Matriz de Referencia'!$B$2:$CO$583,'Matriz de Referencia'!CJ$1,FALSE)-Hoja3!G36</f>
        <v>#N/A</v>
      </c>
      <c r="H36" s="470" t="e">
        <f>VLOOKUP($A36,'Matriz de Referencia'!$B$2:$CO$583,'Matriz de Referencia'!CK$1,FALSE)-Hoja3!H36</f>
        <v>#N/A</v>
      </c>
      <c r="I36" s="470" t="e">
        <f>VLOOKUP($A36,'Matriz de Referencia'!$B$2:$CO$583,'Matriz de Referencia'!CL$1,FALSE)-Hoja3!I36</f>
        <v>#N/A</v>
      </c>
      <c r="J36" s="470" t="e">
        <f>VLOOKUP($A36,'Matriz de Referencia'!$B$2:$CO$583,'Matriz de Referencia'!CM$1,FALSE)-Hoja3!K36</f>
        <v>#N/A</v>
      </c>
      <c r="K36" s="470" t="e">
        <f>VLOOKUP($A36,'Matriz de Referencia'!$B$2:$CO$583,'Matriz de Referencia'!CN$1,FALSE)-Hoja3!L36</f>
        <v>#N/A</v>
      </c>
      <c r="L36" s="470" t="e">
        <f>VLOOKUP($A36,'Matriz de Referencia'!$B$2:$CO$583,'Matriz de Referencia'!CO$1,FALSE)-Hoja3!M36</f>
        <v>#N/A</v>
      </c>
    </row>
    <row r="37" spans="1:12">
      <c r="A37" s="469" t="str">
        <f>IF('Parte Estrategica'!B37=0,"",'Parte Estrategica'!B37)</f>
        <v/>
      </c>
      <c r="B37" s="470" t="e">
        <f>VLOOKUP($A37,'Matriz de Referencia'!$B$2:$CO$583,'Matriz de Referencia'!CE$1,FALSE)-Hoja3!B37</f>
        <v>#N/A</v>
      </c>
      <c r="C37" s="470" t="e">
        <f>VLOOKUP($A37,'Matriz de Referencia'!$B$2:$CO$583,'Matriz de Referencia'!CF$1,FALSE)-Hoja3!C37</f>
        <v>#N/A</v>
      </c>
      <c r="D37" s="470" t="e">
        <f>VLOOKUP($A37,'Matriz de Referencia'!$B$2:$CO$583,'Matriz de Referencia'!CG$1,FALSE)-Hoja3!D37</f>
        <v>#N/A</v>
      </c>
      <c r="E37" s="470" t="e">
        <f>VLOOKUP($A37,'Matriz de Referencia'!$B$2:$CO$583,'Matriz de Referencia'!CH$1,FALSE)-Hoja3!E37</f>
        <v>#N/A</v>
      </c>
      <c r="F37" s="470" t="e">
        <f>VLOOKUP($A37,'Matriz de Referencia'!$B$2:$CO$583,'Matriz de Referencia'!CI$1,FALSE)-Hoja3!F37</f>
        <v>#N/A</v>
      </c>
      <c r="G37" s="470" t="e">
        <f>VLOOKUP($A37,'Matriz de Referencia'!$B$2:$CO$583,'Matriz de Referencia'!CJ$1,FALSE)-Hoja3!G37</f>
        <v>#N/A</v>
      </c>
      <c r="H37" s="470" t="e">
        <f>VLOOKUP($A37,'Matriz de Referencia'!$B$2:$CO$583,'Matriz de Referencia'!CK$1,FALSE)-Hoja3!H37</f>
        <v>#N/A</v>
      </c>
      <c r="I37" s="470" t="e">
        <f>VLOOKUP($A37,'Matriz de Referencia'!$B$2:$CO$583,'Matriz de Referencia'!CL$1,FALSE)-Hoja3!I37</f>
        <v>#N/A</v>
      </c>
      <c r="J37" s="470" t="e">
        <f>VLOOKUP($A37,'Matriz de Referencia'!$B$2:$CO$583,'Matriz de Referencia'!CM$1,FALSE)-Hoja3!K37</f>
        <v>#N/A</v>
      </c>
      <c r="K37" s="470" t="e">
        <f>VLOOKUP($A37,'Matriz de Referencia'!$B$2:$CO$583,'Matriz de Referencia'!CN$1,FALSE)-Hoja3!L37</f>
        <v>#N/A</v>
      </c>
      <c r="L37" s="470" t="e">
        <f>VLOOKUP($A37,'Matriz de Referencia'!$B$2:$CO$583,'Matriz de Referencia'!CO$1,FALSE)-Hoja3!M37</f>
        <v>#N/A</v>
      </c>
    </row>
    <row r="38" spans="1:12">
      <c r="A38" s="469" t="str">
        <f>IF('Parte Estrategica'!B38=0,"",'Parte Estrategica'!B38)</f>
        <v/>
      </c>
      <c r="B38" s="470" t="e">
        <f>VLOOKUP($A38,'Matriz de Referencia'!$B$2:$CO$583,'Matriz de Referencia'!CE$1,FALSE)-Hoja3!B38</f>
        <v>#N/A</v>
      </c>
      <c r="C38" s="470" t="e">
        <f>VLOOKUP($A38,'Matriz de Referencia'!$B$2:$CO$583,'Matriz de Referencia'!CF$1,FALSE)-Hoja3!C38</f>
        <v>#N/A</v>
      </c>
      <c r="D38" s="470" t="e">
        <f>VLOOKUP($A38,'Matriz de Referencia'!$B$2:$CO$583,'Matriz de Referencia'!CG$1,FALSE)-Hoja3!D38</f>
        <v>#N/A</v>
      </c>
      <c r="E38" s="470" t="e">
        <f>VLOOKUP($A38,'Matriz de Referencia'!$B$2:$CO$583,'Matriz de Referencia'!CH$1,FALSE)-Hoja3!E38</f>
        <v>#N/A</v>
      </c>
      <c r="F38" s="470" t="e">
        <f>VLOOKUP($A38,'Matriz de Referencia'!$B$2:$CO$583,'Matriz de Referencia'!CI$1,FALSE)-Hoja3!F38</f>
        <v>#N/A</v>
      </c>
      <c r="G38" s="470" t="e">
        <f>VLOOKUP($A38,'Matriz de Referencia'!$B$2:$CO$583,'Matriz de Referencia'!CJ$1,FALSE)-Hoja3!G38</f>
        <v>#N/A</v>
      </c>
      <c r="H38" s="470" t="e">
        <f>VLOOKUP($A38,'Matriz de Referencia'!$B$2:$CO$583,'Matriz de Referencia'!CK$1,FALSE)-Hoja3!H38</f>
        <v>#N/A</v>
      </c>
      <c r="I38" s="470" t="e">
        <f>VLOOKUP($A38,'Matriz de Referencia'!$B$2:$CO$583,'Matriz de Referencia'!CL$1,FALSE)-Hoja3!I38</f>
        <v>#N/A</v>
      </c>
      <c r="J38" s="470" t="e">
        <f>VLOOKUP($A38,'Matriz de Referencia'!$B$2:$CO$583,'Matriz de Referencia'!CM$1,FALSE)-Hoja3!K38</f>
        <v>#N/A</v>
      </c>
      <c r="K38" s="470" t="e">
        <f>VLOOKUP($A38,'Matriz de Referencia'!$B$2:$CO$583,'Matriz de Referencia'!CN$1,FALSE)-Hoja3!L38</f>
        <v>#N/A</v>
      </c>
      <c r="L38" s="470" t="e">
        <f>VLOOKUP($A38,'Matriz de Referencia'!$B$2:$CO$583,'Matriz de Referencia'!CO$1,FALSE)-Hoja3!M38</f>
        <v>#N/A</v>
      </c>
    </row>
    <row r="39" spans="1:12">
      <c r="A39" s="469" t="str">
        <f>IF('Parte Estrategica'!B39=0,"",'Parte Estrategica'!B39)</f>
        <v/>
      </c>
      <c r="B39" s="470" t="e">
        <f>VLOOKUP($A39,'Matriz de Referencia'!$B$2:$CO$583,'Matriz de Referencia'!CE$1,FALSE)-Hoja3!B39</f>
        <v>#N/A</v>
      </c>
      <c r="C39" s="470" t="e">
        <f>VLOOKUP($A39,'Matriz de Referencia'!$B$2:$CO$583,'Matriz de Referencia'!CF$1,FALSE)-Hoja3!C39</f>
        <v>#N/A</v>
      </c>
      <c r="D39" s="470" t="e">
        <f>VLOOKUP($A39,'Matriz de Referencia'!$B$2:$CO$583,'Matriz de Referencia'!CG$1,FALSE)-Hoja3!D39</f>
        <v>#N/A</v>
      </c>
      <c r="E39" s="470" t="e">
        <f>VLOOKUP($A39,'Matriz de Referencia'!$B$2:$CO$583,'Matriz de Referencia'!CH$1,FALSE)-Hoja3!E39</f>
        <v>#N/A</v>
      </c>
      <c r="F39" s="470" t="e">
        <f>VLOOKUP($A39,'Matriz de Referencia'!$B$2:$CO$583,'Matriz de Referencia'!CI$1,FALSE)-Hoja3!F39</f>
        <v>#N/A</v>
      </c>
      <c r="G39" s="470" t="e">
        <f>VLOOKUP($A39,'Matriz de Referencia'!$B$2:$CO$583,'Matriz de Referencia'!CJ$1,FALSE)-Hoja3!G39</f>
        <v>#N/A</v>
      </c>
      <c r="H39" s="470" t="e">
        <f>VLOOKUP($A39,'Matriz de Referencia'!$B$2:$CO$583,'Matriz de Referencia'!CK$1,FALSE)-Hoja3!H39</f>
        <v>#N/A</v>
      </c>
      <c r="I39" s="470" t="e">
        <f>VLOOKUP($A39,'Matriz de Referencia'!$B$2:$CO$583,'Matriz de Referencia'!CL$1,FALSE)-Hoja3!I39</f>
        <v>#N/A</v>
      </c>
      <c r="J39" s="470" t="e">
        <f>VLOOKUP($A39,'Matriz de Referencia'!$B$2:$CO$583,'Matriz de Referencia'!CM$1,FALSE)-Hoja3!K39</f>
        <v>#N/A</v>
      </c>
      <c r="K39" s="470" t="e">
        <f>VLOOKUP($A39,'Matriz de Referencia'!$B$2:$CO$583,'Matriz de Referencia'!CN$1,FALSE)-Hoja3!L39</f>
        <v>#N/A</v>
      </c>
      <c r="L39" s="470" t="e">
        <f>VLOOKUP($A39,'Matriz de Referencia'!$B$2:$CO$583,'Matriz de Referencia'!CO$1,FALSE)-Hoja3!M39</f>
        <v>#N/A</v>
      </c>
    </row>
    <row r="40" spans="1:12">
      <c r="A40" s="469" t="str">
        <f>IF('Parte Estrategica'!B40=0,"",'Parte Estrategica'!B40)</f>
        <v/>
      </c>
      <c r="B40" s="470" t="e">
        <f>VLOOKUP($A40,'Matriz de Referencia'!$B$2:$CO$583,'Matriz de Referencia'!CE$1,FALSE)-Hoja3!B40</f>
        <v>#N/A</v>
      </c>
      <c r="C40" s="470" t="e">
        <f>VLOOKUP($A40,'Matriz de Referencia'!$B$2:$CO$583,'Matriz de Referencia'!CF$1,FALSE)-Hoja3!C40</f>
        <v>#N/A</v>
      </c>
      <c r="D40" s="470" t="e">
        <f>VLOOKUP($A40,'Matriz de Referencia'!$B$2:$CO$583,'Matriz de Referencia'!CG$1,FALSE)-Hoja3!D40</f>
        <v>#N/A</v>
      </c>
      <c r="E40" s="470" t="e">
        <f>VLOOKUP($A40,'Matriz de Referencia'!$B$2:$CO$583,'Matriz de Referencia'!CH$1,FALSE)-Hoja3!E40</f>
        <v>#N/A</v>
      </c>
      <c r="F40" s="470" t="e">
        <f>VLOOKUP($A40,'Matriz de Referencia'!$B$2:$CO$583,'Matriz de Referencia'!CI$1,FALSE)-Hoja3!F40</f>
        <v>#N/A</v>
      </c>
      <c r="G40" s="470" t="e">
        <f>VLOOKUP($A40,'Matriz de Referencia'!$B$2:$CO$583,'Matriz de Referencia'!CJ$1,FALSE)-Hoja3!G40</f>
        <v>#N/A</v>
      </c>
      <c r="H40" s="470" t="e">
        <f>VLOOKUP($A40,'Matriz de Referencia'!$B$2:$CO$583,'Matriz de Referencia'!CK$1,FALSE)-Hoja3!H40</f>
        <v>#N/A</v>
      </c>
      <c r="I40" s="470" t="e">
        <f>VLOOKUP($A40,'Matriz de Referencia'!$B$2:$CO$583,'Matriz de Referencia'!CL$1,FALSE)-Hoja3!I40</f>
        <v>#N/A</v>
      </c>
      <c r="J40" s="470" t="e">
        <f>VLOOKUP($A40,'Matriz de Referencia'!$B$2:$CO$583,'Matriz de Referencia'!CM$1,FALSE)-Hoja3!K40</f>
        <v>#N/A</v>
      </c>
      <c r="K40" s="470" t="e">
        <f>VLOOKUP($A40,'Matriz de Referencia'!$B$2:$CO$583,'Matriz de Referencia'!CN$1,FALSE)-Hoja3!L40</f>
        <v>#N/A</v>
      </c>
      <c r="L40" s="470" t="e">
        <f>VLOOKUP($A40,'Matriz de Referencia'!$B$2:$CO$583,'Matriz de Referencia'!CO$1,FALSE)-Hoja3!M40</f>
        <v>#N/A</v>
      </c>
    </row>
    <row r="41" spans="1:12">
      <c r="A41" s="469" t="str">
        <f>IF('Parte Estrategica'!B41=0,"",'Parte Estrategica'!B41)</f>
        <v/>
      </c>
      <c r="B41" s="470" t="e">
        <f>VLOOKUP($A41,'Matriz de Referencia'!$B$2:$CO$583,'Matriz de Referencia'!CE$1,FALSE)-Hoja3!B41</f>
        <v>#N/A</v>
      </c>
      <c r="C41" s="470" t="e">
        <f>VLOOKUP($A41,'Matriz de Referencia'!$B$2:$CO$583,'Matriz de Referencia'!CF$1,FALSE)-Hoja3!C41</f>
        <v>#N/A</v>
      </c>
      <c r="D41" s="470" t="e">
        <f>VLOOKUP($A41,'Matriz de Referencia'!$B$2:$CO$583,'Matriz de Referencia'!CG$1,FALSE)-Hoja3!D41</f>
        <v>#N/A</v>
      </c>
      <c r="E41" s="470" t="e">
        <f>VLOOKUP($A41,'Matriz de Referencia'!$B$2:$CO$583,'Matriz de Referencia'!CH$1,FALSE)-Hoja3!E41</f>
        <v>#N/A</v>
      </c>
      <c r="F41" s="470" t="e">
        <f>VLOOKUP($A41,'Matriz de Referencia'!$B$2:$CO$583,'Matriz de Referencia'!CI$1,FALSE)-Hoja3!F41</f>
        <v>#N/A</v>
      </c>
      <c r="G41" s="470" t="e">
        <f>VLOOKUP($A41,'Matriz de Referencia'!$B$2:$CO$583,'Matriz de Referencia'!CJ$1,FALSE)-Hoja3!G41</f>
        <v>#N/A</v>
      </c>
      <c r="H41" s="470" t="e">
        <f>VLOOKUP($A41,'Matriz de Referencia'!$B$2:$CO$583,'Matriz de Referencia'!CK$1,FALSE)-Hoja3!H41</f>
        <v>#N/A</v>
      </c>
      <c r="I41" s="470" t="e">
        <f>VLOOKUP($A41,'Matriz de Referencia'!$B$2:$CO$583,'Matriz de Referencia'!CL$1,FALSE)-Hoja3!I41</f>
        <v>#N/A</v>
      </c>
      <c r="J41" s="470" t="e">
        <f>VLOOKUP($A41,'Matriz de Referencia'!$B$2:$CO$583,'Matriz de Referencia'!CM$1,FALSE)-Hoja3!K41</f>
        <v>#N/A</v>
      </c>
      <c r="K41" s="470" t="e">
        <f>VLOOKUP($A41,'Matriz de Referencia'!$B$2:$CO$583,'Matriz de Referencia'!CN$1,FALSE)-Hoja3!L41</f>
        <v>#N/A</v>
      </c>
      <c r="L41" s="470" t="e">
        <f>VLOOKUP($A41,'Matriz de Referencia'!$B$2:$CO$583,'Matriz de Referencia'!CO$1,FALSE)-Hoja3!M41</f>
        <v>#N/A</v>
      </c>
    </row>
    <row r="42" spans="1:12">
      <c r="A42" s="469" t="str">
        <f>IF('Parte Estrategica'!B42=0,"",'Parte Estrategica'!B42)</f>
        <v/>
      </c>
      <c r="B42" s="470" t="e">
        <f>VLOOKUP($A42,'Matriz de Referencia'!$B$2:$CO$583,'Matriz de Referencia'!CE$1,FALSE)-Hoja3!B42</f>
        <v>#N/A</v>
      </c>
      <c r="C42" s="470" t="e">
        <f>VLOOKUP($A42,'Matriz de Referencia'!$B$2:$CO$583,'Matriz de Referencia'!CF$1,FALSE)-Hoja3!C42</f>
        <v>#N/A</v>
      </c>
      <c r="D42" s="470" t="e">
        <f>VLOOKUP($A42,'Matriz de Referencia'!$B$2:$CO$583,'Matriz de Referencia'!CG$1,FALSE)-Hoja3!D42</f>
        <v>#N/A</v>
      </c>
      <c r="E42" s="470" t="e">
        <f>VLOOKUP($A42,'Matriz de Referencia'!$B$2:$CO$583,'Matriz de Referencia'!CH$1,FALSE)-Hoja3!E42</f>
        <v>#N/A</v>
      </c>
      <c r="F42" s="470" t="e">
        <f>VLOOKUP($A42,'Matriz de Referencia'!$B$2:$CO$583,'Matriz de Referencia'!CI$1,FALSE)-Hoja3!F42</f>
        <v>#N/A</v>
      </c>
      <c r="G42" s="470" t="e">
        <f>VLOOKUP($A42,'Matriz de Referencia'!$B$2:$CO$583,'Matriz de Referencia'!CJ$1,FALSE)-Hoja3!G42</f>
        <v>#N/A</v>
      </c>
      <c r="H42" s="470" t="e">
        <f>VLOOKUP($A42,'Matriz de Referencia'!$B$2:$CO$583,'Matriz de Referencia'!CK$1,FALSE)-Hoja3!H42</f>
        <v>#N/A</v>
      </c>
      <c r="I42" s="470" t="e">
        <f>VLOOKUP($A42,'Matriz de Referencia'!$B$2:$CO$583,'Matriz de Referencia'!CL$1,FALSE)-Hoja3!I42</f>
        <v>#N/A</v>
      </c>
      <c r="J42" s="470" t="e">
        <f>VLOOKUP($A42,'Matriz de Referencia'!$B$2:$CO$583,'Matriz de Referencia'!CM$1,FALSE)-Hoja3!K42</f>
        <v>#N/A</v>
      </c>
      <c r="K42" s="470" t="e">
        <f>VLOOKUP($A42,'Matriz de Referencia'!$B$2:$CO$583,'Matriz de Referencia'!CN$1,FALSE)-Hoja3!L42</f>
        <v>#N/A</v>
      </c>
      <c r="L42" s="470" t="e">
        <f>VLOOKUP($A42,'Matriz de Referencia'!$B$2:$CO$583,'Matriz de Referencia'!CO$1,FALSE)-Hoja3!M42</f>
        <v>#N/A</v>
      </c>
    </row>
    <row r="43" spans="1:12">
      <c r="A43" s="469" t="str">
        <f>IF('Parte Estrategica'!B43=0,"",'Parte Estrategica'!B43)</f>
        <v/>
      </c>
      <c r="B43" s="470" t="e">
        <f>VLOOKUP($A43,'Matriz de Referencia'!$B$2:$CO$583,'Matriz de Referencia'!CE$1,FALSE)-Hoja3!B43</f>
        <v>#N/A</v>
      </c>
      <c r="C43" s="470" t="e">
        <f>VLOOKUP($A43,'Matriz de Referencia'!$B$2:$CO$583,'Matriz de Referencia'!CF$1,FALSE)-Hoja3!C43</f>
        <v>#N/A</v>
      </c>
      <c r="D43" s="470" t="e">
        <f>VLOOKUP($A43,'Matriz de Referencia'!$B$2:$CO$583,'Matriz de Referencia'!CG$1,FALSE)-Hoja3!D43</f>
        <v>#N/A</v>
      </c>
      <c r="E43" s="470" t="e">
        <f>VLOOKUP($A43,'Matriz de Referencia'!$B$2:$CO$583,'Matriz de Referencia'!CH$1,FALSE)-Hoja3!E43</f>
        <v>#N/A</v>
      </c>
      <c r="F43" s="470" t="e">
        <f>VLOOKUP($A43,'Matriz de Referencia'!$B$2:$CO$583,'Matriz de Referencia'!CI$1,FALSE)-Hoja3!F43</f>
        <v>#N/A</v>
      </c>
      <c r="G43" s="470" t="e">
        <f>VLOOKUP($A43,'Matriz de Referencia'!$B$2:$CO$583,'Matriz de Referencia'!CJ$1,FALSE)-Hoja3!G43</f>
        <v>#N/A</v>
      </c>
      <c r="H43" s="470" t="e">
        <f>VLOOKUP($A43,'Matriz de Referencia'!$B$2:$CO$583,'Matriz de Referencia'!CK$1,FALSE)-Hoja3!H43</f>
        <v>#N/A</v>
      </c>
      <c r="I43" s="470" t="e">
        <f>VLOOKUP($A43,'Matriz de Referencia'!$B$2:$CO$583,'Matriz de Referencia'!CL$1,FALSE)-Hoja3!I43</f>
        <v>#N/A</v>
      </c>
      <c r="J43" s="470" t="e">
        <f>VLOOKUP($A43,'Matriz de Referencia'!$B$2:$CO$583,'Matriz de Referencia'!CM$1,FALSE)-Hoja3!K43</f>
        <v>#N/A</v>
      </c>
      <c r="K43" s="470" t="e">
        <f>VLOOKUP($A43,'Matriz de Referencia'!$B$2:$CO$583,'Matriz de Referencia'!CN$1,FALSE)-Hoja3!L43</f>
        <v>#N/A</v>
      </c>
      <c r="L43" s="470" t="e">
        <f>VLOOKUP($A43,'Matriz de Referencia'!$B$2:$CO$583,'Matriz de Referencia'!CO$1,FALSE)-Hoja3!M43</f>
        <v>#N/A</v>
      </c>
    </row>
    <row r="44" spans="1:12">
      <c r="A44" s="469" t="str">
        <f>IF('Parte Estrategica'!B44=0,"",'Parte Estrategica'!B44)</f>
        <v/>
      </c>
      <c r="B44" s="470" t="e">
        <f>VLOOKUP($A44,'Matriz de Referencia'!$B$2:$CO$583,'Matriz de Referencia'!CE$1,FALSE)-Hoja3!B44</f>
        <v>#N/A</v>
      </c>
      <c r="C44" s="470" t="e">
        <f>VLOOKUP($A44,'Matriz de Referencia'!$B$2:$CO$583,'Matriz de Referencia'!CF$1,FALSE)-Hoja3!C44</f>
        <v>#N/A</v>
      </c>
      <c r="D44" s="470" t="e">
        <f>VLOOKUP($A44,'Matriz de Referencia'!$B$2:$CO$583,'Matriz de Referencia'!CG$1,FALSE)-Hoja3!D44</f>
        <v>#N/A</v>
      </c>
      <c r="E44" s="470" t="e">
        <f>VLOOKUP($A44,'Matriz de Referencia'!$B$2:$CO$583,'Matriz de Referencia'!CH$1,FALSE)-Hoja3!E44</f>
        <v>#N/A</v>
      </c>
      <c r="F44" s="470" t="e">
        <f>VLOOKUP($A44,'Matriz de Referencia'!$B$2:$CO$583,'Matriz de Referencia'!CI$1,FALSE)-Hoja3!F44</f>
        <v>#N/A</v>
      </c>
      <c r="G44" s="470" t="e">
        <f>VLOOKUP($A44,'Matriz de Referencia'!$B$2:$CO$583,'Matriz de Referencia'!CJ$1,FALSE)-Hoja3!G44</f>
        <v>#N/A</v>
      </c>
      <c r="H44" s="470" t="e">
        <f>VLOOKUP($A44,'Matriz de Referencia'!$B$2:$CO$583,'Matriz de Referencia'!CK$1,FALSE)-Hoja3!H44</f>
        <v>#N/A</v>
      </c>
      <c r="I44" s="470" t="e">
        <f>VLOOKUP($A44,'Matriz de Referencia'!$B$2:$CO$583,'Matriz de Referencia'!CL$1,FALSE)-Hoja3!I44</f>
        <v>#N/A</v>
      </c>
      <c r="J44" s="470" t="e">
        <f>VLOOKUP($A44,'Matriz de Referencia'!$B$2:$CO$583,'Matriz de Referencia'!CM$1,FALSE)-Hoja3!K44</f>
        <v>#N/A</v>
      </c>
      <c r="K44" s="470" t="e">
        <f>VLOOKUP($A44,'Matriz de Referencia'!$B$2:$CO$583,'Matriz de Referencia'!CN$1,FALSE)-Hoja3!L44</f>
        <v>#N/A</v>
      </c>
      <c r="L44" s="470" t="e">
        <f>VLOOKUP($A44,'Matriz de Referencia'!$B$2:$CO$583,'Matriz de Referencia'!CO$1,FALSE)-Hoja3!M44</f>
        <v>#N/A</v>
      </c>
    </row>
    <row r="45" spans="1:12">
      <c r="A45" s="469" t="str">
        <f>IF('Parte Estrategica'!B45=0,"",'Parte Estrategica'!B45)</f>
        <v/>
      </c>
      <c r="B45" s="470" t="e">
        <f>VLOOKUP($A45,'Matriz de Referencia'!$B$2:$CO$583,'Matriz de Referencia'!CE$1,FALSE)-Hoja3!B45</f>
        <v>#N/A</v>
      </c>
      <c r="C45" s="470" t="e">
        <f>VLOOKUP($A45,'Matriz de Referencia'!$B$2:$CO$583,'Matriz de Referencia'!CF$1,FALSE)-Hoja3!C45</f>
        <v>#N/A</v>
      </c>
      <c r="D45" s="470" t="e">
        <f>VLOOKUP($A45,'Matriz de Referencia'!$B$2:$CO$583,'Matriz de Referencia'!CG$1,FALSE)-Hoja3!D45</f>
        <v>#N/A</v>
      </c>
      <c r="E45" s="470" t="e">
        <f>VLOOKUP($A45,'Matriz de Referencia'!$B$2:$CO$583,'Matriz de Referencia'!CH$1,FALSE)-Hoja3!E45</f>
        <v>#N/A</v>
      </c>
      <c r="F45" s="470" t="e">
        <f>VLOOKUP($A45,'Matriz de Referencia'!$B$2:$CO$583,'Matriz de Referencia'!CI$1,FALSE)-Hoja3!F45</f>
        <v>#N/A</v>
      </c>
      <c r="G45" s="470" t="e">
        <f>VLOOKUP($A45,'Matriz de Referencia'!$B$2:$CO$583,'Matriz de Referencia'!CJ$1,FALSE)-Hoja3!G45</f>
        <v>#N/A</v>
      </c>
      <c r="H45" s="470" t="e">
        <f>VLOOKUP($A45,'Matriz de Referencia'!$B$2:$CO$583,'Matriz de Referencia'!CK$1,FALSE)-Hoja3!H45</f>
        <v>#N/A</v>
      </c>
      <c r="I45" s="470" t="e">
        <f>VLOOKUP($A45,'Matriz de Referencia'!$B$2:$CO$583,'Matriz de Referencia'!CL$1,FALSE)-Hoja3!I45</f>
        <v>#N/A</v>
      </c>
      <c r="J45" s="470" t="e">
        <f>VLOOKUP($A45,'Matriz de Referencia'!$B$2:$CO$583,'Matriz de Referencia'!CM$1,FALSE)-Hoja3!K45</f>
        <v>#N/A</v>
      </c>
      <c r="K45" s="470" t="e">
        <f>VLOOKUP($A45,'Matriz de Referencia'!$B$2:$CO$583,'Matriz de Referencia'!CN$1,FALSE)-Hoja3!L45</f>
        <v>#N/A</v>
      </c>
      <c r="L45" s="470" t="e">
        <f>VLOOKUP($A45,'Matriz de Referencia'!$B$2:$CO$583,'Matriz de Referencia'!CO$1,FALSE)-Hoja3!M45</f>
        <v>#N/A</v>
      </c>
    </row>
    <row r="46" spans="1:12">
      <c r="A46" s="469" t="str">
        <f>IF('Parte Estrategica'!B46=0,"",'Parte Estrategica'!B46)</f>
        <v/>
      </c>
      <c r="B46" s="470" t="e">
        <f>VLOOKUP($A46,'Matriz de Referencia'!$B$2:$CO$583,'Matriz de Referencia'!CE$1,FALSE)-Hoja3!B46</f>
        <v>#N/A</v>
      </c>
      <c r="C46" s="470" t="e">
        <f>VLOOKUP($A46,'Matriz de Referencia'!$B$2:$CO$583,'Matriz de Referencia'!CF$1,FALSE)-Hoja3!C46</f>
        <v>#N/A</v>
      </c>
      <c r="D46" s="470" t="e">
        <f>VLOOKUP($A46,'Matriz de Referencia'!$B$2:$CO$583,'Matriz de Referencia'!CG$1,FALSE)-Hoja3!D46</f>
        <v>#N/A</v>
      </c>
      <c r="E46" s="470" t="e">
        <f>VLOOKUP($A46,'Matriz de Referencia'!$B$2:$CO$583,'Matriz de Referencia'!CH$1,FALSE)-Hoja3!E46</f>
        <v>#N/A</v>
      </c>
      <c r="F46" s="470" t="e">
        <f>VLOOKUP($A46,'Matriz de Referencia'!$B$2:$CO$583,'Matriz de Referencia'!CI$1,FALSE)-Hoja3!F46</f>
        <v>#N/A</v>
      </c>
      <c r="G46" s="470" t="e">
        <f>VLOOKUP($A46,'Matriz de Referencia'!$B$2:$CO$583,'Matriz de Referencia'!CJ$1,FALSE)-Hoja3!G46</f>
        <v>#N/A</v>
      </c>
      <c r="H46" s="470" t="e">
        <f>VLOOKUP($A46,'Matriz de Referencia'!$B$2:$CO$583,'Matriz de Referencia'!CK$1,FALSE)-Hoja3!H46</f>
        <v>#N/A</v>
      </c>
      <c r="I46" s="470" t="e">
        <f>VLOOKUP($A46,'Matriz de Referencia'!$B$2:$CO$583,'Matriz de Referencia'!CL$1,FALSE)-Hoja3!I46</f>
        <v>#N/A</v>
      </c>
      <c r="J46" s="470" t="e">
        <f>VLOOKUP($A46,'Matriz de Referencia'!$B$2:$CO$583,'Matriz de Referencia'!CM$1,FALSE)-Hoja3!K46</f>
        <v>#N/A</v>
      </c>
      <c r="K46" s="470" t="e">
        <f>VLOOKUP($A46,'Matriz de Referencia'!$B$2:$CO$583,'Matriz de Referencia'!CN$1,FALSE)-Hoja3!L46</f>
        <v>#N/A</v>
      </c>
      <c r="L46" s="470" t="e">
        <f>VLOOKUP($A46,'Matriz de Referencia'!$B$2:$CO$583,'Matriz de Referencia'!CO$1,FALSE)-Hoja3!M46</f>
        <v>#N/A</v>
      </c>
    </row>
    <row r="47" spans="1:12">
      <c r="A47" s="469" t="str">
        <f>IF('Parte Estrategica'!B47=0,"",'Parte Estrategica'!B47)</f>
        <v/>
      </c>
      <c r="B47" s="470" t="e">
        <f>VLOOKUP($A47,'Matriz de Referencia'!$B$2:$CO$583,'Matriz de Referencia'!CE$1,FALSE)-Hoja3!B47</f>
        <v>#N/A</v>
      </c>
      <c r="C47" s="470" t="e">
        <f>VLOOKUP($A47,'Matriz de Referencia'!$B$2:$CO$583,'Matriz de Referencia'!CF$1,FALSE)-Hoja3!C47</f>
        <v>#N/A</v>
      </c>
      <c r="D47" s="470" t="e">
        <f>VLOOKUP($A47,'Matriz de Referencia'!$B$2:$CO$583,'Matriz de Referencia'!CG$1,FALSE)-Hoja3!D47</f>
        <v>#N/A</v>
      </c>
      <c r="E47" s="470" t="e">
        <f>VLOOKUP($A47,'Matriz de Referencia'!$B$2:$CO$583,'Matriz de Referencia'!CH$1,FALSE)-Hoja3!E47</f>
        <v>#N/A</v>
      </c>
      <c r="F47" s="470" t="e">
        <f>VLOOKUP($A47,'Matriz de Referencia'!$B$2:$CO$583,'Matriz de Referencia'!CI$1,FALSE)-Hoja3!F47</f>
        <v>#N/A</v>
      </c>
      <c r="G47" s="470" t="e">
        <f>VLOOKUP($A47,'Matriz de Referencia'!$B$2:$CO$583,'Matriz de Referencia'!CJ$1,FALSE)-Hoja3!G47</f>
        <v>#N/A</v>
      </c>
      <c r="H47" s="470" t="e">
        <f>VLOOKUP($A47,'Matriz de Referencia'!$B$2:$CO$583,'Matriz de Referencia'!CK$1,FALSE)-Hoja3!H47</f>
        <v>#N/A</v>
      </c>
      <c r="I47" s="470" t="e">
        <f>VLOOKUP($A47,'Matriz de Referencia'!$B$2:$CO$583,'Matriz de Referencia'!CL$1,FALSE)-Hoja3!I47</f>
        <v>#N/A</v>
      </c>
      <c r="J47" s="470" t="e">
        <f>VLOOKUP($A47,'Matriz de Referencia'!$B$2:$CO$583,'Matriz de Referencia'!CM$1,FALSE)-Hoja3!K47</f>
        <v>#N/A</v>
      </c>
      <c r="K47" s="470" t="e">
        <f>VLOOKUP($A47,'Matriz de Referencia'!$B$2:$CO$583,'Matriz de Referencia'!CN$1,FALSE)-Hoja3!L47</f>
        <v>#N/A</v>
      </c>
      <c r="L47" s="470" t="e">
        <f>VLOOKUP($A47,'Matriz de Referencia'!$B$2:$CO$583,'Matriz de Referencia'!CO$1,FALSE)-Hoja3!M47</f>
        <v>#N/A</v>
      </c>
    </row>
    <row r="48" spans="1:12">
      <c r="A48" s="469" t="str">
        <f>IF('Parte Estrategica'!B48=0,"",'Parte Estrategica'!B48)</f>
        <v/>
      </c>
      <c r="B48" s="470" t="e">
        <f>VLOOKUP($A48,'Matriz de Referencia'!$B$2:$CO$583,'Matriz de Referencia'!CE$1,FALSE)-Hoja3!B48</f>
        <v>#N/A</v>
      </c>
      <c r="C48" s="470" t="e">
        <f>VLOOKUP($A48,'Matriz de Referencia'!$B$2:$CO$583,'Matriz de Referencia'!CF$1,FALSE)-Hoja3!C48</f>
        <v>#N/A</v>
      </c>
      <c r="D48" s="470" t="e">
        <f>VLOOKUP($A48,'Matriz de Referencia'!$B$2:$CO$583,'Matriz de Referencia'!CG$1,FALSE)-Hoja3!D48</f>
        <v>#N/A</v>
      </c>
      <c r="E48" s="470" t="e">
        <f>VLOOKUP($A48,'Matriz de Referencia'!$B$2:$CO$583,'Matriz de Referencia'!CH$1,FALSE)-Hoja3!E48</f>
        <v>#N/A</v>
      </c>
      <c r="F48" s="470" t="e">
        <f>VLOOKUP($A48,'Matriz de Referencia'!$B$2:$CO$583,'Matriz de Referencia'!CI$1,FALSE)-Hoja3!F48</f>
        <v>#N/A</v>
      </c>
      <c r="G48" s="470" t="e">
        <f>VLOOKUP($A48,'Matriz de Referencia'!$B$2:$CO$583,'Matriz de Referencia'!CJ$1,FALSE)-Hoja3!G48</f>
        <v>#N/A</v>
      </c>
      <c r="H48" s="470" t="e">
        <f>VLOOKUP($A48,'Matriz de Referencia'!$B$2:$CO$583,'Matriz de Referencia'!CK$1,FALSE)-Hoja3!H48</f>
        <v>#N/A</v>
      </c>
      <c r="I48" s="470" t="e">
        <f>VLOOKUP($A48,'Matriz de Referencia'!$B$2:$CO$583,'Matriz de Referencia'!CL$1,FALSE)-Hoja3!I48</f>
        <v>#N/A</v>
      </c>
      <c r="J48" s="470" t="e">
        <f>VLOOKUP($A48,'Matriz de Referencia'!$B$2:$CO$583,'Matriz de Referencia'!CM$1,FALSE)-Hoja3!K48</f>
        <v>#N/A</v>
      </c>
      <c r="K48" s="470" t="e">
        <f>VLOOKUP($A48,'Matriz de Referencia'!$B$2:$CO$583,'Matriz de Referencia'!CN$1,FALSE)-Hoja3!L48</f>
        <v>#N/A</v>
      </c>
      <c r="L48" s="470" t="e">
        <f>VLOOKUP($A48,'Matriz de Referencia'!$B$2:$CO$583,'Matriz de Referencia'!CO$1,FALSE)-Hoja3!M48</f>
        <v>#N/A</v>
      </c>
    </row>
    <row r="49" spans="1:12">
      <c r="A49" s="469" t="str">
        <f>IF('Parte Estrategica'!B49=0,"",'Parte Estrategica'!B49)</f>
        <v/>
      </c>
      <c r="B49" s="470" t="e">
        <f>VLOOKUP($A49,'Matriz de Referencia'!$B$2:$CO$583,'Matriz de Referencia'!CE$1,FALSE)-Hoja3!B49</f>
        <v>#N/A</v>
      </c>
      <c r="C49" s="470" t="e">
        <f>VLOOKUP($A49,'Matriz de Referencia'!$B$2:$CO$583,'Matriz de Referencia'!CF$1,FALSE)-Hoja3!C49</f>
        <v>#N/A</v>
      </c>
      <c r="D49" s="470" t="e">
        <f>VLOOKUP($A49,'Matriz de Referencia'!$B$2:$CO$583,'Matriz de Referencia'!CG$1,FALSE)-Hoja3!D49</f>
        <v>#N/A</v>
      </c>
      <c r="E49" s="470" t="e">
        <f>VLOOKUP($A49,'Matriz de Referencia'!$B$2:$CO$583,'Matriz de Referencia'!CH$1,FALSE)-Hoja3!E49</f>
        <v>#N/A</v>
      </c>
      <c r="F49" s="470" t="e">
        <f>VLOOKUP($A49,'Matriz de Referencia'!$B$2:$CO$583,'Matriz de Referencia'!CI$1,FALSE)-Hoja3!F49</f>
        <v>#N/A</v>
      </c>
      <c r="G49" s="470" t="e">
        <f>VLOOKUP($A49,'Matriz de Referencia'!$B$2:$CO$583,'Matriz de Referencia'!CJ$1,FALSE)-Hoja3!G49</f>
        <v>#N/A</v>
      </c>
      <c r="H49" s="470" t="e">
        <f>VLOOKUP($A49,'Matriz de Referencia'!$B$2:$CO$583,'Matriz de Referencia'!CK$1,FALSE)-Hoja3!H49</f>
        <v>#N/A</v>
      </c>
      <c r="I49" s="470" t="e">
        <f>VLOOKUP($A49,'Matriz de Referencia'!$B$2:$CO$583,'Matriz de Referencia'!CL$1,FALSE)-Hoja3!I49</f>
        <v>#N/A</v>
      </c>
      <c r="J49" s="470" t="e">
        <f>VLOOKUP($A49,'Matriz de Referencia'!$B$2:$CO$583,'Matriz de Referencia'!CM$1,FALSE)-Hoja3!K49</f>
        <v>#N/A</v>
      </c>
      <c r="K49" s="470" t="e">
        <f>VLOOKUP($A49,'Matriz de Referencia'!$B$2:$CO$583,'Matriz de Referencia'!CN$1,FALSE)-Hoja3!L49</f>
        <v>#N/A</v>
      </c>
      <c r="L49" s="470" t="e">
        <f>VLOOKUP($A49,'Matriz de Referencia'!$B$2:$CO$583,'Matriz de Referencia'!CO$1,FALSE)-Hoja3!M49</f>
        <v>#N/A</v>
      </c>
    </row>
    <row r="50" spans="1:12">
      <c r="A50" s="469" t="str">
        <f>IF('Parte Estrategica'!B50=0,"",'Parte Estrategica'!B50)</f>
        <v/>
      </c>
      <c r="B50" s="470" t="e">
        <f>VLOOKUP($A50,'Matriz de Referencia'!$B$2:$CO$583,'Matriz de Referencia'!CE$1,FALSE)-Hoja3!B50</f>
        <v>#N/A</v>
      </c>
      <c r="C50" s="470" t="e">
        <f>VLOOKUP($A50,'Matriz de Referencia'!$B$2:$CO$583,'Matriz de Referencia'!CF$1,FALSE)-Hoja3!C50</f>
        <v>#N/A</v>
      </c>
      <c r="D50" s="470" t="e">
        <f>VLOOKUP($A50,'Matriz de Referencia'!$B$2:$CO$583,'Matriz de Referencia'!CG$1,FALSE)-Hoja3!D50</f>
        <v>#N/A</v>
      </c>
      <c r="E50" s="470" t="e">
        <f>VLOOKUP($A50,'Matriz de Referencia'!$B$2:$CO$583,'Matriz de Referencia'!CH$1,FALSE)-Hoja3!E50</f>
        <v>#N/A</v>
      </c>
      <c r="F50" s="470" t="e">
        <f>VLOOKUP($A50,'Matriz de Referencia'!$B$2:$CO$583,'Matriz de Referencia'!CI$1,FALSE)-Hoja3!F50</f>
        <v>#N/A</v>
      </c>
      <c r="G50" s="470" t="e">
        <f>VLOOKUP($A50,'Matriz de Referencia'!$B$2:$CO$583,'Matriz de Referencia'!CJ$1,FALSE)-Hoja3!G50</f>
        <v>#N/A</v>
      </c>
      <c r="H50" s="470" t="e">
        <f>VLOOKUP($A50,'Matriz de Referencia'!$B$2:$CO$583,'Matriz de Referencia'!CK$1,FALSE)-Hoja3!H50</f>
        <v>#N/A</v>
      </c>
      <c r="I50" s="470" t="e">
        <f>VLOOKUP($A50,'Matriz de Referencia'!$B$2:$CO$583,'Matriz de Referencia'!CL$1,FALSE)-Hoja3!I50</f>
        <v>#N/A</v>
      </c>
      <c r="J50" s="470" t="e">
        <f>VLOOKUP($A50,'Matriz de Referencia'!$B$2:$CO$583,'Matriz de Referencia'!CM$1,FALSE)-Hoja3!K50</f>
        <v>#N/A</v>
      </c>
      <c r="K50" s="470" t="e">
        <f>VLOOKUP($A50,'Matriz de Referencia'!$B$2:$CO$583,'Matriz de Referencia'!CN$1,FALSE)-Hoja3!L50</f>
        <v>#N/A</v>
      </c>
      <c r="L50" s="470" t="e">
        <f>VLOOKUP($A50,'Matriz de Referencia'!$B$2:$CO$583,'Matriz de Referencia'!CO$1,FALSE)-Hoja3!M50</f>
        <v>#N/A</v>
      </c>
    </row>
    <row r="51" spans="1:12">
      <c r="A51" s="469" t="str">
        <f>IF('Parte Estrategica'!B51=0,"",'Parte Estrategica'!B51)</f>
        <v/>
      </c>
      <c r="B51" s="470" t="e">
        <f>VLOOKUP($A51,'Matriz de Referencia'!$B$2:$CO$583,'Matriz de Referencia'!CE$1,FALSE)-Hoja3!B51</f>
        <v>#N/A</v>
      </c>
      <c r="C51" s="470" t="e">
        <f>VLOOKUP($A51,'Matriz de Referencia'!$B$2:$CO$583,'Matriz de Referencia'!CF$1,FALSE)-Hoja3!C51</f>
        <v>#N/A</v>
      </c>
      <c r="D51" s="470" t="e">
        <f>VLOOKUP($A51,'Matriz de Referencia'!$B$2:$CO$583,'Matriz de Referencia'!CG$1,FALSE)-Hoja3!D51</f>
        <v>#N/A</v>
      </c>
      <c r="E51" s="470" t="e">
        <f>VLOOKUP($A51,'Matriz de Referencia'!$B$2:$CO$583,'Matriz de Referencia'!CH$1,FALSE)-Hoja3!E51</f>
        <v>#N/A</v>
      </c>
      <c r="F51" s="470" t="e">
        <f>VLOOKUP($A51,'Matriz de Referencia'!$B$2:$CO$583,'Matriz de Referencia'!CI$1,FALSE)-Hoja3!F51</f>
        <v>#N/A</v>
      </c>
      <c r="G51" s="470" t="e">
        <f>VLOOKUP($A51,'Matriz de Referencia'!$B$2:$CO$583,'Matriz de Referencia'!CJ$1,FALSE)-Hoja3!G51</f>
        <v>#N/A</v>
      </c>
      <c r="H51" s="470" t="e">
        <f>VLOOKUP($A51,'Matriz de Referencia'!$B$2:$CO$583,'Matriz de Referencia'!CK$1,FALSE)-Hoja3!H51</f>
        <v>#N/A</v>
      </c>
      <c r="I51" s="470" t="e">
        <f>VLOOKUP($A51,'Matriz de Referencia'!$B$2:$CO$583,'Matriz de Referencia'!CL$1,FALSE)-Hoja3!I51</f>
        <v>#N/A</v>
      </c>
      <c r="J51" s="470" t="e">
        <f>VLOOKUP($A51,'Matriz de Referencia'!$B$2:$CO$583,'Matriz de Referencia'!CM$1,FALSE)-Hoja3!K51</f>
        <v>#N/A</v>
      </c>
      <c r="K51" s="470" t="e">
        <f>VLOOKUP($A51,'Matriz de Referencia'!$B$2:$CO$583,'Matriz de Referencia'!CN$1,FALSE)-Hoja3!L51</f>
        <v>#N/A</v>
      </c>
      <c r="L51" s="470" t="e">
        <f>VLOOKUP($A51,'Matriz de Referencia'!$B$2:$CO$583,'Matriz de Referencia'!CO$1,FALSE)-Hoja3!M51</f>
        <v>#N/A</v>
      </c>
    </row>
    <row r="52" spans="1:12">
      <c r="A52" s="469" t="str">
        <f>IF('Parte Estrategica'!B52=0,"",'Parte Estrategica'!B52)</f>
        <v/>
      </c>
      <c r="B52" s="470" t="e">
        <f>VLOOKUP($A52,'Matriz de Referencia'!$B$2:$CO$583,'Matriz de Referencia'!CE$1,FALSE)-Hoja3!B52</f>
        <v>#N/A</v>
      </c>
      <c r="C52" s="470" t="e">
        <f>VLOOKUP($A52,'Matriz de Referencia'!$B$2:$CO$583,'Matriz de Referencia'!CF$1,FALSE)-Hoja3!C52</f>
        <v>#N/A</v>
      </c>
      <c r="D52" s="470" t="e">
        <f>VLOOKUP($A52,'Matriz de Referencia'!$B$2:$CO$583,'Matriz de Referencia'!CG$1,FALSE)-Hoja3!D52</f>
        <v>#N/A</v>
      </c>
      <c r="E52" s="470" t="e">
        <f>VLOOKUP($A52,'Matriz de Referencia'!$B$2:$CO$583,'Matriz de Referencia'!CH$1,FALSE)-Hoja3!E52</f>
        <v>#N/A</v>
      </c>
      <c r="F52" s="470" t="e">
        <f>VLOOKUP($A52,'Matriz de Referencia'!$B$2:$CO$583,'Matriz de Referencia'!CI$1,FALSE)-Hoja3!F52</f>
        <v>#N/A</v>
      </c>
      <c r="G52" s="470" t="e">
        <f>VLOOKUP($A52,'Matriz de Referencia'!$B$2:$CO$583,'Matriz de Referencia'!CJ$1,FALSE)-Hoja3!G52</f>
        <v>#N/A</v>
      </c>
      <c r="H52" s="470" t="e">
        <f>VLOOKUP($A52,'Matriz de Referencia'!$B$2:$CO$583,'Matriz de Referencia'!CK$1,FALSE)-Hoja3!H52</f>
        <v>#N/A</v>
      </c>
      <c r="I52" s="470" t="e">
        <f>VLOOKUP($A52,'Matriz de Referencia'!$B$2:$CO$583,'Matriz de Referencia'!CL$1,FALSE)-Hoja3!I52</f>
        <v>#N/A</v>
      </c>
      <c r="J52" s="470" t="e">
        <f>VLOOKUP($A52,'Matriz de Referencia'!$B$2:$CO$583,'Matriz de Referencia'!CM$1,FALSE)-Hoja3!K52</f>
        <v>#N/A</v>
      </c>
      <c r="K52" s="470" t="e">
        <f>VLOOKUP($A52,'Matriz de Referencia'!$B$2:$CO$583,'Matriz de Referencia'!CN$1,FALSE)-Hoja3!L52</f>
        <v>#N/A</v>
      </c>
      <c r="L52" s="470" t="e">
        <f>VLOOKUP($A52,'Matriz de Referencia'!$B$2:$CO$583,'Matriz de Referencia'!CO$1,FALSE)-Hoja3!M52</f>
        <v>#N/A</v>
      </c>
    </row>
    <row r="53" spans="1:12">
      <c r="A53" s="469" t="str">
        <f>IF('Parte Estrategica'!B53=0,"",'Parte Estrategica'!B53)</f>
        <v/>
      </c>
      <c r="B53" s="470" t="e">
        <f>VLOOKUP($A53,'Matriz de Referencia'!$B$2:$CO$583,'Matriz de Referencia'!CE$1,FALSE)-Hoja3!B53</f>
        <v>#N/A</v>
      </c>
      <c r="C53" s="470" t="e">
        <f>VLOOKUP($A53,'Matriz de Referencia'!$B$2:$CO$583,'Matriz de Referencia'!CF$1,FALSE)-Hoja3!C53</f>
        <v>#N/A</v>
      </c>
      <c r="D53" s="470" t="e">
        <f>VLOOKUP($A53,'Matriz de Referencia'!$B$2:$CO$583,'Matriz de Referencia'!CG$1,FALSE)-Hoja3!D53</f>
        <v>#N/A</v>
      </c>
      <c r="E53" s="470" t="e">
        <f>VLOOKUP($A53,'Matriz de Referencia'!$B$2:$CO$583,'Matriz de Referencia'!CH$1,FALSE)-Hoja3!E53</f>
        <v>#N/A</v>
      </c>
      <c r="F53" s="470" t="e">
        <f>VLOOKUP($A53,'Matriz de Referencia'!$B$2:$CO$583,'Matriz de Referencia'!CI$1,FALSE)-Hoja3!F53</f>
        <v>#N/A</v>
      </c>
      <c r="G53" s="470" t="e">
        <f>VLOOKUP($A53,'Matriz de Referencia'!$B$2:$CO$583,'Matriz de Referencia'!CJ$1,FALSE)-Hoja3!G53</f>
        <v>#N/A</v>
      </c>
      <c r="H53" s="470" t="e">
        <f>VLOOKUP($A53,'Matriz de Referencia'!$B$2:$CO$583,'Matriz de Referencia'!CK$1,FALSE)-Hoja3!H53</f>
        <v>#N/A</v>
      </c>
      <c r="I53" s="470" t="e">
        <f>VLOOKUP($A53,'Matriz de Referencia'!$B$2:$CO$583,'Matriz de Referencia'!CL$1,FALSE)-Hoja3!I53</f>
        <v>#N/A</v>
      </c>
      <c r="J53" s="470" t="e">
        <f>VLOOKUP($A53,'Matriz de Referencia'!$B$2:$CO$583,'Matriz de Referencia'!CM$1,FALSE)-Hoja3!K53</f>
        <v>#N/A</v>
      </c>
      <c r="K53" s="470" t="e">
        <f>VLOOKUP($A53,'Matriz de Referencia'!$B$2:$CO$583,'Matriz de Referencia'!CN$1,FALSE)-Hoja3!L53</f>
        <v>#N/A</v>
      </c>
      <c r="L53" s="470" t="e">
        <f>VLOOKUP($A53,'Matriz de Referencia'!$B$2:$CO$583,'Matriz de Referencia'!CO$1,FALSE)-Hoja3!M53</f>
        <v>#N/A</v>
      </c>
    </row>
    <row r="54" spans="1:12">
      <c r="A54" s="469" t="str">
        <f>IF('Parte Estrategica'!B54=0,"",'Parte Estrategica'!B54)</f>
        <v/>
      </c>
      <c r="B54" s="470" t="e">
        <f>VLOOKUP($A54,'Matriz de Referencia'!$B$2:$CO$583,'Matriz de Referencia'!CE$1,FALSE)-Hoja3!B54</f>
        <v>#N/A</v>
      </c>
      <c r="C54" s="470" t="e">
        <f>VLOOKUP($A54,'Matriz de Referencia'!$B$2:$CO$583,'Matriz de Referencia'!CF$1,FALSE)-Hoja3!C54</f>
        <v>#N/A</v>
      </c>
      <c r="D54" s="470" t="e">
        <f>VLOOKUP($A54,'Matriz de Referencia'!$B$2:$CO$583,'Matriz de Referencia'!CG$1,FALSE)-Hoja3!D54</f>
        <v>#N/A</v>
      </c>
      <c r="E54" s="470" t="e">
        <f>VLOOKUP($A54,'Matriz de Referencia'!$B$2:$CO$583,'Matriz de Referencia'!CH$1,FALSE)-Hoja3!E54</f>
        <v>#N/A</v>
      </c>
      <c r="F54" s="470" t="e">
        <f>VLOOKUP($A54,'Matriz de Referencia'!$B$2:$CO$583,'Matriz de Referencia'!CI$1,FALSE)-Hoja3!F54</f>
        <v>#N/A</v>
      </c>
      <c r="G54" s="470" t="e">
        <f>VLOOKUP($A54,'Matriz de Referencia'!$B$2:$CO$583,'Matriz de Referencia'!CJ$1,FALSE)-Hoja3!G54</f>
        <v>#N/A</v>
      </c>
      <c r="H54" s="470" t="e">
        <f>VLOOKUP($A54,'Matriz de Referencia'!$B$2:$CO$583,'Matriz de Referencia'!CK$1,FALSE)-Hoja3!H54</f>
        <v>#N/A</v>
      </c>
      <c r="I54" s="470" t="e">
        <f>VLOOKUP($A54,'Matriz de Referencia'!$B$2:$CO$583,'Matriz de Referencia'!CL$1,FALSE)-Hoja3!I54</f>
        <v>#N/A</v>
      </c>
      <c r="J54" s="470" t="e">
        <f>VLOOKUP($A54,'Matriz de Referencia'!$B$2:$CO$583,'Matriz de Referencia'!CM$1,FALSE)-Hoja3!K54</f>
        <v>#N/A</v>
      </c>
      <c r="K54" s="470" t="e">
        <f>VLOOKUP($A54,'Matriz de Referencia'!$B$2:$CO$583,'Matriz de Referencia'!CN$1,FALSE)-Hoja3!L54</f>
        <v>#N/A</v>
      </c>
      <c r="L54" s="470" t="e">
        <f>VLOOKUP($A54,'Matriz de Referencia'!$B$2:$CO$583,'Matriz de Referencia'!CO$1,FALSE)-Hoja3!M54</f>
        <v>#N/A</v>
      </c>
    </row>
    <row r="55" spans="1:12">
      <c r="A55" s="469" t="str">
        <f>IF('Parte Estrategica'!B55=0,"",'Parte Estrategica'!B55)</f>
        <v/>
      </c>
      <c r="B55" s="470" t="e">
        <f>VLOOKUP($A55,'Matriz de Referencia'!$B$2:$CO$583,'Matriz de Referencia'!CE$1,FALSE)-Hoja3!B55</f>
        <v>#N/A</v>
      </c>
      <c r="C55" s="470" t="e">
        <f>VLOOKUP($A55,'Matriz de Referencia'!$B$2:$CO$583,'Matriz de Referencia'!CF$1,FALSE)-Hoja3!C55</f>
        <v>#N/A</v>
      </c>
      <c r="D55" s="470" t="e">
        <f>VLOOKUP($A55,'Matriz de Referencia'!$B$2:$CO$583,'Matriz de Referencia'!CG$1,FALSE)-Hoja3!D55</f>
        <v>#N/A</v>
      </c>
      <c r="E55" s="470" t="e">
        <f>VLOOKUP($A55,'Matriz de Referencia'!$B$2:$CO$583,'Matriz de Referencia'!CH$1,FALSE)-Hoja3!E55</f>
        <v>#N/A</v>
      </c>
      <c r="F55" s="470" t="e">
        <f>VLOOKUP($A55,'Matriz de Referencia'!$B$2:$CO$583,'Matriz de Referencia'!CI$1,FALSE)-Hoja3!F55</f>
        <v>#N/A</v>
      </c>
      <c r="G55" s="470" t="e">
        <f>VLOOKUP($A55,'Matriz de Referencia'!$B$2:$CO$583,'Matriz de Referencia'!CJ$1,FALSE)-Hoja3!G55</f>
        <v>#N/A</v>
      </c>
      <c r="H55" s="470" t="e">
        <f>VLOOKUP($A55,'Matriz de Referencia'!$B$2:$CO$583,'Matriz de Referencia'!CK$1,FALSE)-Hoja3!H55</f>
        <v>#N/A</v>
      </c>
      <c r="I55" s="470" t="e">
        <f>VLOOKUP($A55,'Matriz de Referencia'!$B$2:$CO$583,'Matriz de Referencia'!CL$1,FALSE)-Hoja3!I55</f>
        <v>#N/A</v>
      </c>
      <c r="J55" s="470" t="e">
        <f>VLOOKUP($A55,'Matriz de Referencia'!$B$2:$CO$583,'Matriz de Referencia'!CM$1,FALSE)-Hoja3!K55</f>
        <v>#N/A</v>
      </c>
      <c r="K55" s="470" t="e">
        <f>VLOOKUP($A55,'Matriz de Referencia'!$B$2:$CO$583,'Matriz de Referencia'!CN$1,FALSE)-Hoja3!L55</f>
        <v>#N/A</v>
      </c>
      <c r="L55" s="470" t="e">
        <f>VLOOKUP($A55,'Matriz de Referencia'!$B$2:$CO$583,'Matriz de Referencia'!CO$1,FALSE)-Hoja3!M55</f>
        <v>#N/A</v>
      </c>
    </row>
    <row r="56" spans="1:12">
      <c r="A56" s="469" t="str">
        <f>IF('Parte Estrategica'!B56=0,"",'Parte Estrategica'!B56)</f>
        <v/>
      </c>
      <c r="B56" s="470" t="e">
        <f>VLOOKUP($A56,'Matriz de Referencia'!$B$2:$CO$583,'Matriz de Referencia'!CE$1,FALSE)-Hoja3!B56</f>
        <v>#N/A</v>
      </c>
      <c r="C56" s="470" t="e">
        <f>VLOOKUP($A56,'Matriz de Referencia'!$B$2:$CO$583,'Matriz de Referencia'!CF$1,FALSE)-Hoja3!C56</f>
        <v>#N/A</v>
      </c>
      <c r="D56" s="470" t="e">
        <f>VLOOKUP($A56,'Matriz de Referencia'!$B$2:$CO$583,'Matriz de Referencia'!CG$1,FALSE)-Hoja3!D56</f>
        <v>#N/A</v>
      </c>
      <c r="E56" s="470" t="e">
        <f>VLOOKUP($A56,'Matriz de Referencia'!$B$2:$CO$583,'Matriz de Referencia'!CH$1,FALSE)-Hoja3!E56</f>
        <v>#N/A</v>
      </c>
      <c r="F56" s="470" t="e">
        <f>VLOOKUP($A56,'Matriz de Referencia'!$B$2:$CO$583,'Matriz de Referencia'!CI$1,FALSE)-Hoja3!F56</f>
        <v>#N/A</v>
      </c>
      <c r="G56" s="470" t="e">
        <f>VLOOKUP($A56,'Matriz de Referencia'!$B$2:$CO$583,'Matriz de Referencia'!CJ$1,FALSE)-Hoja3!G56</f>
        <v>#N/A</v>
      </c>
      <c r="H56" s="470" t="e">
        <f>VLOOKUP($A56,'Matriz de Referencia'!$B$2:$CO$583,'Matriz de Referencia'!CK$1,FALSE)-Hoja3!H56</f>
        <v>#N/A</v>
      </c>
      <c r="I56" s="470" t="e">
        <f>VLOOKUP($A56,'Matriz de Referencia'!$B$2:$CO$583,'Matriz de Referencia'!CL$1,FALSE)-Hoja3!I56</f>
        <v>#N/A</v>
      </c>
      <c r="J56" s="470" t="e">
        <f>VLOOKUP($A56,'Matriz de Referencia'!$B$2:$CO$583,'Matriz de Referencia'!CM$1,FALSE)-Hoja3!K56</f>
        <v>#N/A</v>
      </c>
      <c r="K56" s="470" t="e">
        <f>VLOOKUP($A56,'Matriz de Referencia'!$B$2:$CO$583,'Matriz de Referencia'!CN$1,FALSE)-Hoja3!L56</f>
        <v>#N/A</v>
      </c>
      <c r="L56" s="470" t="e">
        <f>VLOOKUP($A56,'Matriz de Referencia'!$B$2:$CO$583,'Matriz de Referencia'!CO$1,FALSE)-Hoja3!M56</f>
        <v>#N/A</v>
      </c>
    </row>
    <row r="57" spans="1:12">
      <c r="A57" s="469" t="str">
        <f>IF('Parte Estrategica'!B57=0,"",'Parte Estrategica'!B57)</f>
        <v/>
      </c>
      <c r="B57" s="470" t="e">
        <f>VLOOKUP($A57,'Matriz de Referencia'!$B$2:$CO$583,'Matriz de Referencia'!CE$1,FALSE)-Hoja3!B57</f>
        <v>#N/A</v>
      </c>
      <c r="C57" s="470" t="e">
        <f>VLOOKUP($A57,'Matriz de Referencia'!$B$2:$CO$583,'Matriz de Referencia'!CF$1,FALSE)-Hoja3!C57</f>
        <v>#N/A</v>
      </c>
      <c r="D57" s="470" t="e">
        <f>VLOOKUP($A57,'Matriz de Referencia'!$B$2:$CO$583,'Matriz de Referencia'!CG$1,FALSE)-Hoja3!D57</f>
        <v>#N/A</v>
      </c>
      <c r="E57" s="470" t="e">
        <f>VLOOKUP($A57,'Matriz de Referencia'!$B$2:$CO$583,'Matriz de Referencia'!CH$1,FALSE)-Hoja3!E57</f>
        <v>#N/A</v>
      </c>
      <c r="F57" s="470" t="e">
        <f>VLOOKUP($A57,'Matriz de Referencia'!$B$2:$CO$583,'Matriz de Referencia'!CI$1,FALSE)-Hoja3!F57</f>
        <v>#N/A</v>
      </c>
      <c r="G57" s="470" t="e">
        <f>VLOOKUP($A57,'Matriz de Referencia'!$B$2:$CO$583,'Matriz de Referencia'!CJ$1,FALSE)-Hoja3!G57</f>
        <v>#N/A</v>
      </c>
      <c r="H57" s="470" t="e">
        <f>VLOOKUP($A57,'Matriz de Referencia'!$B$2:$CO$583,'Matriz de Referencia'!CK$1,FALSE)-Hoja3!H57</f>
        <v>#N/A</v>
      </c>
      <c r="I57" s="470" t="e">
        <f>VLOOKUP($A57,'Matriz de Referencia'!$B$2:$CO$583,'Matriz de Referencia'!CL$1,FALSE)-Hoja3!I57</f>
        <v>#N/A</v>
      </c>
      <c r="J57" s="470" t="e">
        <f>VLOOKUP($A57,'Matriz de Referencia'!$B$2:$CO$583,'Matriz de Referencia'!CM$1,FALSE)-Hoja3!K57</f>
        <v>#N/A</v>
      </c>
      <c r="K57" s="470" t="e">
        <f>VLOOKUP($A57,'Matriz de Referencia'!$B$2:$CO$583,'Matriz de Referencia'!CN$1,FALSE)-Hoja3!L57</f>
        <v>#N/A</v>
      </c>
      <c r="L57" s="470" t="e">
        <f>VLOOKUP($A57,'Matriz de Referencia'!$B$2:$CO$583,'Matriz de Referencia'!CO$1,FALSE)-Hoja3!M57</f>
        <v>#N/A</v>
      </c>
    </row>
    <row r="58" spans="1:12">
      <c r="A58" s="469" t="str">
        <f>IF('Parte Estrategica'!B58=0,"",'Parte Estrategica'!B58)</f>
        <v/>
      </c>
      <c r="B58" s="470" t="e">
        <f>VLOOKUP($A58,'Matriz de Referencia'!$B$2:$CO$583,'Matriz de Referencia'!CE$1,FALSE)-Hoja3!B58</f>
        <v>#N/A</v>
      </c>
      <c r="C58" s="470" t="e">
        <f>VLOOKUP($A58,'Matriz de Referencia'!$B$2:$CO$583,'Matriz de Referencia'!CF$1,FALSE)-Hoja3!C58</f>
        <v>#N/A</v>
      </c>
      <c r="D58" s="470" t="e">
        <f>VLOOKUP($A58,'Matriz de Referencia'!$B$2:$CO$583,'Matriz de Referencia'!CG$1,FALSE)-Hoja3!D58</f>
        <v>#N/A</v>
      </c>
      <c r="E58" s="470" t="e">
        <f>VLOOKUP($A58,'Matriz de Referencia'!$B$2:$CO$583,'Matriz de Referencia'!CH$1,FALSE)-Hoja3!E58</f>
        <v>#N/A</v>
      </c>
      <c r="F58" s="470" t="e">
        <f>VLOOKUP($A58,'Matriz de Referencia'!$B$2:$CO$583,'Matriz de Referencia'!CI$1,FALSE)-Hoja3!F58</f>
        <v>#N/A</v>
      </c>
      <c r="G58" s="470" t="e">
        <f>VLOOKUP($A58,'Matriz de Referencia'!$B$2:$CO$583,'Matriz de Referencia'!CJ$1,FALSE)-Hoja3!G58</f>
        <v>#N/A</v>
      </c>
      <c r="H58" s="470" t="e">
        <f>VLOOKUP($A58,'Matriz de Referencia'!$B$2:$CO$583,'Matriz de Referencia'!CK$1,FALSE)-Hoja3!H58</f>
        <v>#N/A</v>
      </c>
      <c r="I58" s="470" t="e">
        <f>VLOOKUP($A58,'Matriz de Referencia'!$B$2:$CO$583,'Matriz de Referencia'!CL$1,FALSE)-Hoja3!I58</f>
        <v>#N/A</v>
      </c>
      <c r="J58" s="470" t="e">
        <f>VLOOKUP($A58,'Matriz de Referencia'!$B$2:$CO$583,'Matriz de Referencia'!CM$1,FALSE)-Hoja3!K58</f>
        <v>#N/A</v>
      </c>
      <c r="K58" s="470" t="e">
        <f>VLOOKUP($A58,'Matriz de Referencia'!$B$2:$CO$583,'Matriz de Referencia'!CN$1,FALSE)-Hoja3!L58</f>
        <v>#N/A</v>
      </c>
      <c r="L58" s="470" t="e">
        <f>VLOOKUP($A58,'Matriz de Referencia'!$B$2:$CO$583,'Matriz de Referencia'!CO$1,FALSE)-Hoja3!M58</f>
        <v>#N/A</v>
      </c>
    </row>
    <row r="59" spans="1:12">
      <c r="A59" s="469" t="str">
        <f>IF('Parte Estrategica'!B59=0,"",'Parte Estrategica'!B59)</f>
        <v/>
      </c>
      <c r="B59" s="470" t="e">
        <f>VLOOKUP($A59,'Matriz de Referencia'!$B$2:$CO$583,'Matriz de Referencia'!CE$1,FALSE)-Hoja3!B59</f>
        <v>#N/A</v>
      </c>
      <c r="C59" s="470" t="e">
        <f>VLOOKUP($A59,'Matriz de Referencia'!$B$2:$CO$583,'Matriz de Referencia'!CF$1,FALSE)-Hoja3!C59</f>
        <v>#N/A</v>
      </c>
      <c r="D59" s="470" t="e">
        <f>VLOOKUP($A59,'Matriz de Referencia'!$B$2:$CO$583,'Matriz de Referencia'!CG$1,FALSE)-Hoja3!D59</f>
        <v>#N/A</v>
      </c>
      <c r="E59" s="470" t="e">
        <f>VLOOKUP($A59,'Matriz de Referencia'!$B$2:$CO$583,'Matriz de Referencia'!CH$1,FALSE)-Hoja3!E59</f>
        <v>#N/A</v>
      </c>
      <c r="F59" s="470" t="e">
        <f>VLOOKUP($A59,'Matriz de Referencia'!$B$2:$CO$583,'Matriz de Referencia'!CI$1,FALSE)-Hoja3!F59</f>
        <v>#N/A</v>
      </c>
      <c r="G59" s="470" t="e">
        <f>VLOOKUP($A59,'Matriz de Referencia'!$B$2:$CO$583,'Matriz de Referencia'!CJ$1,FALSE)-Hoja3!G59</f>
        <v>#N/A</v>
      </c>
      <c r="H59" s="470" t="e">
        <f>VLOOKUP($A59,'Matriz de Referencia'!$B$2:$CO$583,'Matriz de Referencia'!CK$1,FALSE)-Hoja3!H59</f>
        <v>#N/A</v>
      </c>
      <c r="I59" s="470" t="e">
        <f>VLOOKUP($A59,'Matriz de Referencia'!$B$2:$CO$583,'Matriz de Referencia'!CL$1,FALSE)-Hoja3!I59</f>
        <v>#N/A</v>
      </c>
      <c r="J59" s="470" t="e">
        <f>VLOOKUP($A59,'Matriz de Referencia'!$B$2:$CO$583,'Matriz de Referencia'!CM$1,FALSE)-Hoja3!K59</f>
        <v>#N/A</v>
      </c>
      <c r="K59" s="470" t="e">
        <f>VLOOKUP($A59,'Matriz de Referencia'!$B$2:$CO$583,'Matriz de Referencia'!CN$1,FALSE)-Hoja3!L59</f>
        <v>#N/A</v>
      </c>
      <c r="L59" s="470" t="e">
        <f>VLOOKUP($A59,'Matriz de Referencia'!$B$2:$CO$583,'Matriz de Referencia'!CO$1,FALSE)-Hoja3!M59</f>
        <v>#N/A</v>
      </c>
    </row>
    <row r="60" spans="1:12">
      <c r="A60" s="469" t="str">
        <f>IF('Parte Estrategica'!B60=0,"",'Parte Estrategica'!B60)</f>
        <v/>
      </c>
      <c r="B60" s="470" t="e">
        <f>VLOOKUP($A60,'Matriz de Referencia'!$B$2:$CO$583,'Matriz de Referencia'!CE$1,FALSE)-Hoja3!B60</f>
        <v>#N/A</v>
      </c>
      <c r="C60" s="470" t="e">
        <f>VLOOKUP($A60,'Matriz de Referencia'!$B$2:$CO$583,'Matriz de Referencia'!CF$1,FALSE)-Hoja3!C60</f>
        <v>#N/A</v>
      </c>
      <c r="D60" s="470" t="e">
        <f>VLOOKUP($A60,'Matriz de Referencia'!$B$2:$CO$583,'Matriz de Referencia'!CG$1,FALSE)-Hoja3!D60</f>
        <v>#N/A</v>
      </c>
      <c r="E60" s="470" t="e">
        <f>VLOOKUP($A60,'Matriz de Referencia'!$B$2:$CO$583,'Matriz de Referencia'!CH$1,FALSE)-Hoja3!E60</f>
        <v>#N/A</v>
      </c>
      <c r="F60" s="470" t="e">
        <f>VLOOKUP($A60,'Matriz de Referencia'!$B$2:$CO$583,'Matriz de Referencia'!CI$1,FALSE)-Hoja3!F60</f>
        <v>#N/A</v>
      </c>
      <c r="G60" s="470" t="e">
        <f>VLOOKUP($A60,'Matriz de Referencia'!$B$2:$CO$583,'Matriz de Referencia'!CJ$1,FALSE)-Hoja3!G60</f>
        <v>#N/A</v>
      </c>
      <c r="H60" s="470" t="e">
        <f>VLOOKUP($A60,'Matriz de Referencia'!$B$2:$CO$583,'Matriz de Referencia'!CK$1,FALSE)-Hoja3!H60</f>
        <v>#N/A</v>
      </c>
      <c r="I60" s="470" t="e">
        <f>VLOOKUP($A60,'Matriz de Referencia'!$B$2:$CO$583,'Matriz de Referencia'!CL$1,FALSE)-Hoja3!I60</f>
        <v>#N/A</v>
      </c>
      <c r="J60" s="470" t="e">
        <f>VLOOKUP($A60,'Matriz de Referencia'!$B$2:$CO$583,'Matriz de Referencia'!CM$1,FALSE)-Hoja3!K60</f>
        <v>#N/A</v>
      </c>
      <c r="K60" s="470" t="e">
        <f>VLOOKUP($A60,'Matriz de Referencia'!$B$2:$CO$583,'Matriz de Referencia'!CN$1,FALSE)-Hoja3!L60</f>
        <v>#N/A</v>
      </c>
      <c r="L60" s="470" t="e">
        <f>VLOOKUP($A60,'Matriz de Referencia'!$B$2:$CO$583,'Matriz de Referencia'!CO$1,FALSE)-Hoja3!M60</f>
        <v>#N/A</v>
      </c>
    </row>
    <row r="61" spans="1:12">
      <c r="A61" s="469" t="str">
        <f>IF('Parte Estrategica'!B61=0,"",'Parte Estrategica'!B61)</f>
        <v/>
      </c>
      <c r="B61" s="470" t="e">
        <f>VLOOKUP($A61,'Matriz de Referencia'!$B$2:$CO$583,'Matriz de Referencia'!CE$1,FALSE)-Hoja3!B61</f>
        <v>#N/A</v>
      </c>
      <c r="C61" s="470" t="e">
        <f>VLOOKUP($A61,'Matriz de Referencia'!$B$2:$CO$583,'Matriz de Referencia'!CF$1,FALSE)-Hoja3!C61</f>
        <v>#N/A</v>
      </c>
      <c r="D61" s="470" t="e">
        <f>VLOOKUP($A61,'Matriz de Referencia'!$B$2:$CO$583,'Matriz de Referencia'!CG$1,FALSE)-Hoja3!D61</f>
        <v>#N/A</v>
      </c>
      <c r="E61" s="470" t="e">
        <f>VLOOKUP($A61,'Matriz de Referencia'!$B$2:$CO$583,'Matriz de Referencia'!CH$1,FALSE)-Hoja3!E61</f>
        <v>#N/A</v>
      </c>
      <c r="F61" s="470" t="e">
        <f>VLOOKUP($A61,'Matriz de Referencia'!$B$2:$CO$583,'Matriz de Referencia'!CI$1,FALSE)-Hoja3!F61</f>
        <v>#N/A</v>
      </c>
      <c r="G61" s="470" t="e">
        <f>VLOOKUP($A61,'Matriz de Referencia'!$B$2:$CO$583,'Matriz de Referencia'!CJ$1,FALSE)-Hoja3!G61</f>
        <v>#N/A</v>
      </c>
      <c r="H61" s="470" t="e">
        <f>VLOOKUP($A61,'Matriz de Referencia'!$B$2:$CO$583,'Matriz de Referencia'!CK$1,FALSE)-Hoja3!H61</f>
        <v>#N/A</v>
      </c>
      <c r="I61" s="470" t="e">
        <f>VLOOKUP($A61,'Matriz de Referencia'!$B$2:$CO$583,'Matriz de Referencia'!CL$1,FALSE)-Hoja3!I61</f>
        <v>#N/A</v>
      </c>
      <c r="J61" s="470" t="e">
        <f>VLOOKUP($A61,'Matriz de Referencia'!$B$2:$CO$583,'Matriz de Referencia'!CM$1,FALSE)-Hoja3!K61</f>
        <v>#N/A</v>
      </c>
      <c r="K61" s="470" t="e">
        <f>VLOOKUP($A61,'Matriz de Referencia'!$B$2:$CO$583,'Matriz de Referencia'!CN$1,FALSE)-Hoja3!L61</f>
        <v>#N/A</v>
      </c>
      <c r="L61" s="470" t="e">
        <f>VLOOKUP($A61,'Matriz de Referencia'!$B$2:$CO$583,'Matriz de Referencia'!CO$1,FALSE)-Hoja3!M61</f>
        <v>#N/A</v>
      </c>
    </row>
    <row r="62" spans="1:12">
      <c r="A62" s="469" t="str">
        <f>IF('Parte Estrategica'!B62=0,"",'Parte Estrategica'!B62)</f>
        <v/>
      </c>
      <c r="B62" s="470" t="e">
        <f>VLOOKUP($A62,'Matriz de Referencia'!$B$2:$CO$583,'Matriz de Referencia'!CE$1,FALSE)-Hoja3!B62</f>
        <v>#N/A</v>
      </c>
      <c r="C62" s="470" t="e">
        <f>VLOOKUP($A62,'Matriz de Referencia'!$B$2:$CO$583,'Matriz de Referencia'!CF$1,FALSE)-Hoja3!C62</f>
        <v>#N/A</v>
      </c>
      <c r="D62" s="470" t="e">
        <f>VLOOKUP($A62,'Matriz de Referencia'!$B$2:$CO$583,'Matriz de Referencia'!CG$1,FALSE)-Hoja3!D62</f>
        <v>#N/A</v>
      </c>
      <c r="E62" s="470" t="e">
        <f>VLOOKUP($A62,'Matriz de Referencia'!$B$2:$CO$583,'Matriz de Referencia'!CH$1,FALSE)-Hoja3!E62</f>
        <v>#N/A</v>
      </c>
      <c r="F62" s="470" t="e">
        <f>VLOOKUP($A62,'Matriz de Referencia'!$B$2:$CO$583,'Matriz de Referencia'!CI$1,FALSE)-Hoja3!F62</f>
        <v>#N/A</v>
      </c>
      <c r="G62" s="470" t="e">
        <f>VLOOKUP($A62,'Matriz de Referencia'!$B$2:$CO$583,'Matriz de Referencia'!CJ$1,FALSE)-Hoja3!G62</f>
        <v>#N/A</v>
      </c>
      <c r="H62" s="470" t="e">
        <f>VLOOKUP($A62,'Matriz de Referencia'!$B$2:$CO$583,'Matriz de Referencia'!CK$1,FALSE)-Hoja3!H62</f>
        <v>#N/A</v>
      </c>
      <c r="I62" s="470" t="e">
        <f>VLOOKUP($A62,'Matriz de Referencia'!$B$2:$CO$583,'Matriz de Referencia'!CL$1,FALSE)-Hoja3!I62</f>
        <v>#N/A</v>
      </c>
      <c r="J62" s="470" t="e">
        <f>VLOOKUP($A62,'Matriz de Referencia'!$B$2:$CO$583,'Matriz de Referencia'!CM$1,FALSE)-Hoja3!K62</f>
        <v>#N/A</v>
      </c>
      <c r="K62" s="470" t="e">
        <f>VLOOKUP($A62,'Matriz de Referencia'!$B$2:$CO$583,'Matriz de Referencia'!CN$1,FALSE)-Hoja3!L62</f>
        <v>#N/A</v>
      </c>
      <c r="L62" s="470" t="e">
        <f>VLOOKUP($A62,'Matriz de Referencia'!$B$2:$CO$583,'Matriz de Referencia'!CO$1,FALSE)-Hoja3!M62</f>
        <v>#N/A</v>
      </c>
    </row>
    <row r="63" spans="1:12">
      <c r="A63" s="469" t="str">
        <f>IF('Parte Estrategica'!B63=0,"",'Parte Estrategica'!B63)</f>
        <v/>
      </c>
      <c r="B63" s="470" t="e">
        <f>VLOOKUP($A63,'Matriz de Referencia'!$B$2:$CO$583,'Matriz de Referencia'!CE$1,FALSE)-Hoja3!B63</f>
        <v>#N/A</v>
      </c>
      <c r="C63" s="470" t="e">
        <f>VLOOKUP($A63,'Matriz de Referencia'!$B$2:$CO$583,'Matriz de Referencia'!CF$1,FALSE)-Hoja3!C63</f>
        <v>#N/A</v>
      </c>
      <c r="D63" s="470" t="e">
        <f>VLOOKUP($A63,'Matriz de Referencia'!$B$2:$CO$583,'Matriz de Referencia'!CG$1,FALSE)-Hoja3!D63</f>
        <v>#N/A</v>
      </c>
      <c r="E63" s="470" t="e">
        <f>VLOOKUP($A63,'Matriz de Referencia'!$B$2:$CO$583,'Matriz de Referencia'!CH$1,FALSE)-Hoja3!E63</f>
        <v>#N/A</v>
      </c>
      <c r="F63" s="470" t="e">
        <f>VLOOKUP($A63,'Matriz de Referencia'!$B$2:$CO$583,'Matriz de Referencia'!CI$1,FALSE)-Hoja3!F63</f>
        <v>#N/A</v>
      </c>
      <c r="G63" s="470" t="e">
        <f>VLOOKUP($A63,'Matriz de Referencia'!$B$2:$CO$583,'Matriz de Referencia'!CJ$1,FALSE)-Hoja3!G63</f>
        <v>#N/A</v>
      </c>
      <c r="H63" s="470" t="e">
        <f>VLOOKUP($A63,'Matriz de Referencia'!$B$2:$CO$583,'Matriz de Referencia'!CK$1,FALSE)-Hoja3!H63</f>
        <v>#N/A</v>
      </c>
      <c r="I63" s="470" t="e">
        <f>VLOOKUP($A63,'Matriz de Referencia'!$B$2:$CO$583,'Matriz de Referencia'!CL$1,FALSE)-Hoja3!I63</f>
        <v>#N/A</v>
      </c>
      <c r="J63" s="470" t="e">
        <f>VLOOKUP($A63,'Matriz de Referencia'!$B$2:$CO$583,'Matriz de Referencia'!CM$1,FALSE)-Hoja3!K63</f>
        <v>#N/A</v>
      </c>
      <c r="K63" s="470" t="e">
        <f>VLOOKUP($A63,'Matriz de Referencia'!$B$2:$CO$583,'Matriz de Referencia'!CN$1,FALSE)-Hoja3!L63</f>
        <v>#N/A</v>
      </c>
      <c r="L63" s="470" t="e">
        <f>VLOOKUP($A63,'Matriz de Referencia'!$B$2:$CO$583,'Matriz de Referencia'!CO$1,FALSE)-Hoja3!M63</f>
        <v>#N/A</v>
      </c>
    </row>
    <row r="64" spans="1:12">
      <c r="A64" s="469" t="str">
        <f>IF('Parte Estrategica'!B64=0,"",'Parte Estrategica'!B64)</f>
        <v/>
      </c>
      <c r="B64" s="470" t="e">
        <f>VLOOKUP($A64,'Matriz de Referencia'!$B$2:$CO$583,'Matriz de Referencia'!CE$1,FALSE)-Hoja3!B64</f>
        <v>#N/A</v>
      </c>
      <c r="C64" s="470" t="e">
        <f>VLOOKUP($A64,'Matriz de Referencia'!$B$2:$CO$583,'Matriz de Referencia'!CF$1,FALSE)-Hoja3!C64</f>
        <v>#N/A</v>
      </c>
      <c r="D64" s="470" t="e">
        <f>VLOOKUP($A64,'Matriz de Referencia'!$B$2:$CO$583,'Matriz de Referencia'!CG$1,FALSE)-Hoja3!D64</f>
        <v>#N/A</v>
      </c>
      <c r="E64" s="470" t="e">
        <f>VLOOKUP($A64,'Matriz de Referencia'!$B$2:$CO$583,'Matriz de Referencia'!CH$1,FALSE)-Hoja3!E64</f>
        <v>#N/A</v>
      </c>
      <c r="F64" s="470" t="e">
        <f>VLOOKUP($A64,'Matriz de Referencia'!$B$2:$CO$583,'Matriz de Referencia'!CI$1,FALSE)-Hoja3!F64</f>
        <v>#N/A</v>
      </c>
      <c r="G64" s="470" t="e">
        <f>VLOOKUP($A64,'Matriz de Referencia'!$B$2:$CO$583,'Matriz de Referencia'!CJ$1,FALSE)-Hoja3!G64</f>
        <v>#N/A</v>
      </c>
      <c r="H64" s="470" t="e">
        <f>VLOOKUP($A64,'Matriz de Referencia'!$B$2:$CO$583,'Matriz de Referencia'!CK$1,FALSE)-Hoja3!H64</f>
        <v>#N/A</v>
      </c>
      <c r="I64" s="470" t="e">
        <f>VLOOKUP($A64,'Matriz de Referencia'!$B$2:$CO$583,'Matriz de Referencia'!CL$1,FALSE)-Hoja3!I64</f>
        <v>#N/A</v>
      </c>
      <c r="J64" s="470" t="e">
        <f>VLOOKUP($A64,'Matriz de Referencia'!$B$2:$CO$583,'Matriz de Referencia'!CM$1,FALSE)-Hoja3!K64</f>
        <v>#N/A</v>
      </c>
      <c r="K64" s="470" t="e">
        <f>VLOOKUP($A64,'Matriz de Referencia'!$B$2:$CO$583,'Matriz de Referencia'!CN$1,FALSE)-Hoja3!L64</f>
        <v>#N/A</v>
      </c>
      <c r="L64" s="470" t="e">
        <f>VLOOKUP($A64,'Matriz de Referencia'!$B$2:$CO$583,'Matriz de Referencia'!CO$1,FALSE)-Hoja3!M64</f>
        <v>#N/A</v>
      </c>
    </row>
    <row r="65" spans="1:12">
      <c r="A65" s="469" t="str">
        <f>IF('Parte Estrategica'!B65=0,"",'Parte Estrategica'!B65)</f>
        <v/>
      </c>
      <c r="B65" s="470" t="e">
        <f>VLOOKUP($A65,'Matriz de Referencia'!$B$2:$CO$583,'Matriz de Referencia'!CE$1,FALSE)-Hoja3!B65</f>
        <v>#N/A</v>
      </c>
      <c r="C65" s="470" t="e">
        <f>VLOOKUP($A65,'Matriz de Referencia'!$B$2:$CO$583,'Matriz de Referencia'!CF$1,FALSE)-Hoja3!C65</f>
        <v>#N/A</v>
      </c>
      <c r="D65" s="470" t="e">
        <f>VLOOKUP($A65,'Matriz de Referencia'!$B$2:$CO$583,'Matriz de Referencia'!CG$1,FALSE)-Hoja3!D65</f>
        <v>#N/A</v>
      </c>
      <c r="E65" s="470" t="e">
        <f>VLOOKUP($A65,'Matriz de Referencia'!$B$2:$CO$583,'Matriz de Referencia'!CH$1,FALSE)-Hoja3!E65</f>
        <v>#N/A</v>
      </c>
      <c r="F65" s="470" t="e">
        <f>VLOOKUP($A65,'Matriz de Referencia'!$B$2:$CO$583,'Matriz de Referencia'!CI$1,FALSE)-Hoja3!F65</f>
        <v>#N/A</v>
      </c>
      <c r="G65" s="470" t="e">
        <f>VLOOKUP($A65,'Matriz de Referencia'!$B$2:$CO$583,'Matriz de Referencia'!CJ$1,FALSE)-Hoja3!G65</f>
        <v>#N/A</v>
      </c>
      <c r="H65" s="470" t="e">
        <f>VLOOKUP($A65,'Matriz de Referencia'!$B$2:$CO$583,'Matriz de Referencia'!CK$1,FALSE)-Hoja3!H65</f>
        <v>#N/A</v>
      </c>
      <c r="I65" s="470" t="e">
        <f>VLOOKUP($A65,'Matriz de Referencia'!$B$2:$CO$583,'Matriz de Referencia'!CL$1,FALSE)-Hoja3!I65</f>
        <v>#N/A</v>
      </c>
      <c r="J65" s="470" t="e">
        <f>VLOOKUP($A65,'Matriz de Referencia'!$B$2:$CO$583,'Matriz de Referencia'!CM$1,FALSE)-Hoja3!K65</f>
        <v>#N/A</v>
      </c>
      <c r="K65" s="470" t="e">
        <f>VLOOKUP($A65,'Matriz de Referencia'!$B$2:$CO$583,'Matriz de Referencia'!CN$1,FALSE)-Hoja3!L65</f>
        <v>#N/A</v>
      </c>
      <c r="L65" s="470" t="e">
        <f>VLOOKUP($A65,'Matriz de Referencia'!$B$2:$CO$583,'Matriz de Referencia'!CO$1,FALSE)-Hoja3!M65</f>
        <v>#N/A</v>
      </c>
    </row>
    <row r="66" spans="1:12">
      <c r="A66" s="469" t="str">
        <f>IF('Parte Estrategica'!B66=0,"",'Parte Estrategica'!B66)</f>
        <v/>
      </c>
      <c r="B66" s="470" t="e">
        <f>VLOOKUP($A66,'Matriz de Referencia'!$B$2:$CO$583,'Matriz de Referencia'!CE$1,FALSE)-Hoja3!B66</f>
        <v>#N/A</v>
      </c>
      <c r="C66" s="470" t="e">
        <f>VLOOKUP($A66,'Matriz de Referencia'!$B$2:$CO$583,'Matriz de Referencia'!CF$1,FALSE)-Hoja3!C66</f>
        <v>#N/A</v>
      </c>
      <c r="D66" s="470" t="e">
        <f>VLOOKUP($A66,'Matriz de Referencia'!$B$2:$CO$583,'Matriz de Referencia'!CG$1,FALSE)-Hoja3!D66</f>
        <v>#N/A</v>
      </c>
      <c r="E66" s="470" t="e">
        <f>VLOOKUP($A66,'Matriz de Referencia'!$B$2:$CO$583,'Matriz de Referencia'!CH$1,FALSE)-Hoja3!E66</f>
        <v>#N/A</v>
      </c>
      <c r="F66" s="470" t="e">
        <f>VLOOKUP($A66,'Matriz de Referencia'!$B$2:$CO$583,'Matriz de Referencia'!CI$1,FALSE)-Hoja3!F66</f>
        <v>#N/A</v>
      </c>
      <c r="G66" s="470" t="e">
        <f>VLOOKUP($A66,'Matriz de Referencia'!$B$2:$CO$583,'Matriz de Referencia'!CJ$1,FALSE)-Hoja3!G66</f>
        <v>#N/A</v>
      </c>
      <c r="H66" s="470" t="e">
        <f>VLOOKUP($A66,'Matriz de Referencia'!$B$2:$CO$583,'Matriz de Referencia'!CK$1,FALSE)-Hoja3!H66</f>
        <v>#N/A</v>
      </c>
      <c r="I66" s="470" t="e">
        <f>VLOOKUP($A66,'Matriz de Referencia'!$B$2:$CO$583,'Matriz de Referencia'!CL$1,FALSE)-Hoja3!I66</f>
        <v>#N/A</v>
      </c>
      <c r="J66" s="470" t="e">
        <f>VLOOKUP($A66,'Matriz de Referencia'!$B$2:$CO$583,'Matriz de Referencia'!CM$1,FALSE)-Hoja3!K66</f>
        <v>#N/A</v>
      </c>
      <c r="K66" s="470" t="e">
        <f>VLOOKUP($A66,'Matriz de Referencia'!$B$2:$CO$583,'Matriz de Referencia'!CN$1,FALSE)-Hoja3!L66</f>
        <v>#N/A</v>
      </c>
      <c r="L66" s="470" t="e">
        <f>VLOOKUP($A66,'Matriz de Referencia'!$B$2:$CO$583,'Matriz de Referencia'!CO$1,FALSE)-Hoja3!M66</f>
        <v>#N/A</v>
      </c>
    </row>
    <row r="67" spans="1:12">
      <c r="A67" s="469" t="str">
        <f>IF('Parte Estrategica'!B67=0,"",'Parte Estrategica'!B67)</f>
        <v/>
      </c>
      <c r="B67" s="470" t="e">
        <f>VLOOKUP($A67,'Matriz de Referencia'!$B$2:$CO$583,'Matriz de Referencia'!CE$1,FALSE)-Hoja3!B67</f>
        <v>#N/A</v>
      </c>
      <c r="C67" s="470" t="e">
        <f>VLOOKUP($A67,'Matriz de Referencia'!$B$2:$CO$583,'Matriz de Referencia'!CF$1,FALSE)-Hoja3!C67</f>
        <v>#N/A</v>
      </c>
      <c r="D67" s="470" t="e">
        <f>VLOOKUP($A67,'Matriz de Referencia'!$B$2:$CO$583,'Matriz de Referencia'!CG$1,FALSE)-Hoja3!D67</f>
        <v>#N/A</v>
      </c>
      <c r="E67" s="470" t="e">
        <f>VLOOKUP($A67,'Matriz de Referencia'!$B$2:$CO$583,'Matriz de Referencia'!CH$1,FALSE)-Hoja3!E67</f>
        <v>#N/A</v>
      </c>
      <c r="F67" s="470" t="e">
        <f>VLOOKUP($A67,'Matriz de Referencia'!$B$2:$CO$583,'Matriz de Referencia'!CI$1,FALSE)-Hoja3!F67</f>
        <v>#N/A</v>
      </c>
      <c r="G67" s="470" t="e">
        <f>VLOOKUP($A67,'Matriz de Referencia'!$B$2:$CO$583,'Matriz de Referencia'!CJ$1,FALSE)-Hoja3!G67</f>
        <v>#N/A</v>
      </c>
      <c r="H67" s="470" t="e">
        <f>VLOOKUP($A67,'Matriz de Referencia'!$B$2:$CO$583,'Matriz de Referencia'!CK$1,FALSE)-Hoja3!H67</f>
        <v>#N/A</v>
      </c>
      <c r="I67" s="470" t="e">
        <f>VLOOKUP($A67,'Matriz de Referencia'!$B$2:$CO$583,'Matriz de Referencia'!CL$1,FALSE)-Hoja3!I67</f>
        <v>#N/A</v>
      </c>
      <c r="J67" s="470" t="e">
        <f>VLOOKUP($A67,'Matriz de Referencia'!$B$2:$CO$583,'Matriz de Referencia'!CM$1,FALSE)-Hoja3!K67</f>
        <v>#N/A</v>
      </c>
      <c r="K67" s="470" t="e">
        <f>VLOOKUP($A67,'Matriz de Referencia'!$B$2:$CO$583,'Matriz de Referencia'!CN$1,FALSE)-Hoja3!L67</f>
        <v>#N/A</v>
      </c>
      <c r="L67" s="470" t="e">
        <f>VLOOKUP($A67,'Matriz de Referencia'!$B$2:$CO$583,'Matriz de Referencia'!CO$1,FALSE)-Hoja3!M67</f>
        <v>#N/A</v>
      </c>
    </row>
    <row r="68" spans="1:12">
      <c r="A68" s="469" t="str">
        <f>IF('Parte Estrategica'!B68=0,"",'Parte Estrategica'!B68)</f>
        <v/>
      </c>
      <c r="B68" s="470" t="e">
        <f>VLOOKUP($A68,'Matriz de Referencia'!$B$2:$CO$583,'Matriz de Referencia'!CE$1,FALSE)-Hoja3!B68</f>
        <v>#N/A</v>
      </c>
      <c r="C68" s="470" t="e">
        <f>VLOOKUP($A68,'Matriz de Referencia'!$B$2:$CO$583,'Matriz de Referencia'!CF$1,FALSE)-Hoja3!C68</f>
        <v>#N/A</v>
      </c>
      <c r="D68" s="470" t="e">
        <f>VLOOKUP($A68,'Matriz de Referencia'!$B$2:$CO$583,'Matriz de Referencia'!CG$1,FALSE)-Hoja3!D68</f>
        <v>#N/A</v>
      </c>
      <c r="E68" s="470" t="e">
        <f>VLOOKUP($A68,'Matriz de Referencia'!$B$2:$CO$583,'Matriz de Referencia'!CH$1,FALSE)-Hoja3!E68</f>
        <v>#N/A</v>
      </c>
      <c r="F68" s="470" t="e">
        <f>VLOOKUP($A68,'Matriz de Referencia'!$B$2:$CO$583,'Matriz de Referencia'!CI$1,FALSE)-Hoja3!F68</f>
        <v>#N/A</v>
      </c>
      <c r="G68" s="470" t="e">
        <f>VLOOKUP($A68,'Matriz de Referencia'!$B$2:$CO$583,'Matriz de Referencia'!CJ$1,FALSE)-Hoja3!G68</f>
        <v>#N/A</v>
      </c>
      <c r="H68" s="470" t="e">
        <f>VLOOKUP($A68,'Matriz de Referencia'!$B$2:$CO$583,'Matriz de Referencia'!CK$1,FALSE)-Hoja3!H68</f>
        <v>#N/A</v>
      </c>
      <c r="I68" s="470" t="e">
        <f>VLOOKUP($A68,'Matriz de Referencia'!$B$2:$CO$583,'Matriz de Referencia'!CL$1,FALSE)-Hoja3!I68</f>
        <v>#N/A</v>
      </c>
      <c r="J68" s="470" t="e">
        <f>VLOOKUP($A68,'Matriz de Referencia'!$B$2:$CO$583,'Matriz de Referencia'!CM$1,FALSE)-Hoja3!K68</f>
        <v>#N/A</v>
      </c>
      <c r="K68" s="470" t="e">
        <f>VLOOKUP($A68,'Matriz de Referencia'!$B$2:$CO$583,'Matriz de Referencia'!CN$1,FALSE)-Hoja3!L68</f>
        <v>#N/A</v>
      </c>
      <c r="L68" s="470" t="e">
        <f>VLOOKUP($A68,'Matriz de Referencia'!$B$2:$CO$583,'Matriz de Referencia'!CO$1,FALSE)-Hoja3!M68</f>
        <v>#N/A</v>
      </c>
    </row>
    <row r="69" spans="1:12">
      <c r="A69" s="469" t="str">
        <f>IF('Parte Estrategica'!B69=0,"",'Parte Estrategica'!B69)</f>
        <v/>
      </c>
      <c r="B69" s="470" t="e">
        <f>VLOOKUP($A69,'Matriz de Referencia'!$B$2:$CO$583,'Matriz de Referencia'!CE$1,FALSE)-Hoja3!B69</f>
        <v>#N/A</v>
      </c>
      <c r="C69" s="470" t="e">
        <f>VLOOKUP($A69,'Matriz de Referencia'!$B$2:$CO$583,'Matriz de Referencia'!CF$1,FALSE)-Hoja3!C69</f>
        <v>#N/A</v>
      </c>
      <c r="D69" s="470" t="e">
        <f>VLOOKUP($A69,'Matriz de Referencia'!$B$2:$CO$583,'Matriz de Referencia'!CG$1,FALSE)-Hoja3!D69</f>
        <v>#N/A</v>
      </c>
      <c r="E69" s="470" t="e">
        <f>VLOOKUP($A69,'Matriz de Referencia'!$B$2:$CO$583,'Matriz de Referencia'!CH$1,FALSE)-Hoja3!E69</f>
        <v>#N/A</v>
      </c>
      <c r="F69" s="470" t="e">
        <f>VLOOKUP($A69,'Matriz de Referencia'!$B$2:$CO$583,'Matriz de Referencia'!CI$1,FALSE)-Hoja3!F69</f>
        <v>#N/A</v>
      </c>
      <c r="G69" s="470" t="e">
        <f>VLOOKUP($A69,'Matriz de Referencia'!$B$2:$CO$583,'Matriz de Referencia'!CJ$1,FALSE)-Hoja3!G69</f>
        <v>#N/A</v>
      </c>
      <c r="H69" s="470" t="e">
        <f>VLOOKUP($A69,'Matriz de Referencia'!$B$2:$CO$583,'Matriz de Referencia'!CK$1,FALSE)-Hoja3!H69</f>
        <v>#N/A</v>
      </c>
      <c r="I69" s="470" t="e">
        <f>VLOOKUP($A69,'Matriz de Referencia'!$B$2:$CO$583,'Matriz de Referencia'!CL$1,FALSE)-Hoja3!I69</f>
        <v>#N/A</v>
      </c>
      <c r="J69" s="470" t="e">
        <f>VLOOKUP($A69,'Matriz de Referencia'!$B$2:$CO$583,'Matriz de Referencia'!CM$1,FALSE)-Hoja3!K69</f>
        <v>#N/A</v>
      </c>
      <c r="K69" s="470" t="e">
        <f>VLOOKUP($A69,'Matriz de Referencia'!$B$2:$CO$583,'Matriz de Referencia'!CN$1,FALSE)-Hoja3!L69</f>
        <v>#N/A</v>
      </c>
      <c r="L69" s="470" t="e">
        <f>VLOOKUP($A69,'Matriz de Referencia'!$B$2:$CO$583,'Matriz de Referencia'!CO$1,FALSE)-Hoja3!M69</f>
        <v>#N/A</v>
      </c>
    </row>
    <row r="70" spans="1:12">
      <c r="A70" s="469" t="str">
        <f>IF('Parte Estrategica'!B70=0,"",'Parte Estrategica'!B70)</f>
        <v/>
      </c>
      <c r="B70" s="470" t="e">
        <f>VLOOKUP($A70,'Matriz de Referencia'!$B$2:$CO$583,'Matriz de Referencia'!CE$1,FALSE)-Hoja3!B70</f>
        <v>#N/A</v>
      </c>
      <c r="C70" s="470" t="e">
        <f>VLOOKUP($A70,'Matriz de Referencia'!$B$2:$CO$583,'Matriz de Referencia'!CF$1,FALSE)-Hoja3!C70</f>
        <v>#N/A</v>
      </c>
      <c r="D70" s="470" t="e">
        <f>VLOOKUP($A70,'Matriz de Referencia'!$B$2:$CO$583,'Matriz de Referencia'!CG$1,FALSE)-Hoja3!D70</f>
        <v>#N/A</v>
      </c>
      <c r="E70" s="470" t="e">
        <f>VLOOKUP($A70,'Matriz de Referencia'!$B$2:$CO$583,'Matriz de Referencia'!CH$1,FALSE)-Hoja3!E70</f>
        <v>#N/A</v>
      </c>
      <c r="F70" s="470" t="e">
        <f>VLOOKUP($A70,'Matriz de Referencia'!$B$2:$CO$583,'Matriz de Referencia'!CI$1,FALSE)-Hoja3!F70</f>
        <v>#N/A</v>
      </c>
      <c r="G70" s="470" t="e">
        <f>VLOOKUP($A70,'Matriz de Referencia'!$B$2:$CO$583,'Matriz de Referencia'!CJ$1,FALSE)-Hoja3!G70</f>
        <v>#N/A</v>
      </c>
      <c r="H70" s="470" t="e">
        <f>VLOOKUP($A70,'Matriz de Referencia'!$B$2:$CO$583,'Matriz de Referencia'!CK$1,FALSE)-Hoja3!H70</f>
        <v>#N/A</v>
      </c>
      <c r="I70" s="470" t="e">
        <f>VLOOKUP($A70,'Matriz de Referencia'!$B$2:$CO$583,'Matriz de Referencia'!CL$1,FALSE)-Hoja3!I70</f>
        <v>#N/A</v>
      </c>
      <c r="J70" s="470" t="e">
        <f>VLOOKUP($A70,'Matriz de Referencia'!$B$2:$CO$583,'Matriz de Referencia'!CM$1,FALSE)-Hoja3!K70</f>
        <v>#N/A</v>
      </c>
      <c r="K70" s="470" t="e">
        <f>VLOOKUP($A70,'Matriz de Referencia'!$B$2:$CO$583,'Matriz de Referencia'!CN$1,FALSE)-Hoja3!L70</f>
        <v>#N/A</v>
      </c>
      <c r="L70" s="470" t="e">
        <f>VLOOKUP($A70,'Matriz de Referencia'!$B$2:$CO$583,'Matriz de Referencia'!CO$1,FALSE)-Hoja3!M70</f>
        <v>#N/A</v>
      </c>
    </row>
  </sheetData>
  <sheetProtection autoFilter="0"/>
  <dataValidations count="1">
    <dataValidation type="whole" allowBlank="1" showInputMessage="1" showErrorMessage="1" errorTitle="Error en el tipo de dato" error="No ha insertado un dato númerico valido, por favor rectifique el dato ingresado" sqref="B1:L1" xr:uid="{536C36C1-2487-4B34-A6D7-E12CCE4D0C78}">
      <formula1>0</formula1>
      <formula2>999999999999</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9564D-3F5C-4538-9F1B-DC0CD83A3E37}">
  <dimension ref="A1:S30"/>
  <sheetViews>
    <sheetView topLeftCell="A2" workbookViewId="0">
      <selection activeCell="E8" sqref="E8"/>
    </sheetView>
  </sheetViews>
  <sheetFormatPr baseColWidth="10" defaultRowHeight="13.8"/>
  <cols>
    <col min="1" max="1" width="28.69921875" customWidth="1"/>
    <col min="3" max="3" width="12.5" bestFit="1" customWidth="1"/>
    <col min="5" max="5" width="31.796875" customWidth="1"/>
    <col min="6" max="6" width="3.5" customWidth="1"/>
    <col min="7" max="7" width="12.796875" customWidth="1"/>
    <col min="8" max="8" width="2.69921875" customWidth="1"/>
    <col min="9" max="9" width="12.796875" customWidth="1"/>
    <col min="10" max="10" width="2.09765625" customWidth="1"/>
    <col min="11" max="11" width="12.796875" customWidth="1"/>
    <col min="12" max="12" width="2.3984375" customWidth="1"/>
    <col min="13" max="13" width="12.796875" customWidth="1"/>
    <col min="14" max="14" width="4" customWidth="1"/>
    <col min="15" max="15" width="12.796875" customWidth="1"/>
    <col min="16" max="16" width="7" customWidth="1"/>
    <col min="18" max="18" width="5.19921875" customWidth="1"/>
  </cols>
  <sheetData>
    <row r="1" spans="1:19" ht="21.45" customHeight="1" thickBot="1">
      <c r="A1" s="346" t="s">
        <v>2348</v>
      </c>
      <c r="C1" s="1" t="s">
        <v>5040</v>
      </c>
      <c r="E1" s="354" t="s">
        <v>5042</v>
      </c>
      <c r="F1" s="350"/>
      <c r="G1" s="356" t="s">
        <v>5043</v>
      </c>
      <c r="H1" s="350"/>
      <c r="I1" s="357" t="s">
        <v>5044</v>
      </c>
      <c r="J1" s="351"/>
      <c r="K1" s="356" t="s">
        <v>5045</v>
      </c>
      <c r="L1" s="350"/>
      <c r="M1" s="356" t="s">
        <v>5046</v>
      </c>
      <c r="N1" s="350"/>
      <c r="O1" s="357" t="s">
        <v>5047</v>
      </c>
      <c r="Q1" s="1" t="s">
        <v>6335</v>
      </c>
      <c r="S1" t="s">
        <v>6658</v>
      </c>
    </row>
    <row r="2" spans="1:19" ht="21.45" customHeight="1" thickBot="1">
      <c r="A2" s="344" t="s">
        <v>4954</v>
      </c>
      <c r="C2" s="1" t="s">
        <v>686</v>
      </c>
      <c r="E2" s="352" t="s">
        <v>5048</v>
      </c>
      <c r="F2" s="350"/>
      <c r="G2" s="352" t="s">
        <v>5049</v>
      </c>
      <c r="H2" s="351"/>
      <c r="I2" s="352" t="s">
        <v>5050</v>
      </c>
      <c r="J2" s="351"/>
      <c r="K2" s="358" t="s">
        <v>5051</v>
      </c>
      <c r="L2" s="350"/>
      <c r="M2" s="359" t="s">
        <v>5052</v>
      </c>
      <c r="N2" s="351"/>
      <c r="O2" s="358" t="s">
        <v>5053</v>
      </c>
      <c r="Q2" s="1" t="s">
        <v>6333</v>
      </c>
      <c r="S2" s="552" t="s">
        <v>6711</v>
      </c>
    </row>
    <row r="3" spans="1:19" ht="21.45" customHeight="1" thickBot="1">
      <c r="A3" s="345" t="s">
        <v>4254</v>
      </c>
      <c r="C3" s="1" t="s">
        <v>685</v>
      </c>
      <c r="E3" s="352" t="s">
        <v>5054</v>
      </c>
      <c r="F3" s="351"/>
      <c r="G3" s="355" t="s">
        <v>5055</v>
      </c>
      <c r="H3" s="351"/>
      <c r="I3" s="352" t="s">
        <v>5056</v>
      </c>
      <c r="J3" s="351"/>
      <c r="K3" s="360" t="s">
        <v>5057</v>
      </c>
      <c r="L3" s="351"/>
      <c r="M3" s="355" t="s">
        <v>5058</v>
      </c>
      <c r="N3" s="350"/>
      <c r="O3" s="358" t="s">
        <v>5059</v>
      </c>
      <c r="Q3" s="1" t="s">
        <v>6334</v>
      </c>
      <c r="S3" s="559" t="s">
        <v>6712</v>
      </c>
    </row>
    <row r="4" spans="1:19" ht="21.45" customHeight="1" thickBot="1">
      <c r="A4" s="345" t="s">
        <v>1259</v>
      </c>
      <c r="C4" s="1" t="s">
        <v>6202</v>
      </c>
      <c r="E4" s="353" t="s">
        <v>5060</v>
      </c>
      <c r="F4" s="351"/>
      <c r="G4" s="351"/>
      <c r="H4" s="350"/>
      <c r="I4" s="353" t="s">
        <v>5061</v>
      </c>
      <c r="J4" s="351"/>
      <c r="K4" s="351"/>
      <c r="L4" s="351"/>
      <c r="M4" s="351"/>
      <c r="N4" s="350"/>
      <c r="O4" s="358" t="s">
        <v>5062</v>
      </c>
      <c r="Q4" s="1" t="s">
        <v>4551</v>
      </c>
      <c r="S4" s="559" t="s">
        <v>6713</v>
      </c>
    </row>
    <row r="5" spans="1:19" ht="21.45" customHeight="1" thickBot="1">
      <c r="A5" s="345" t="s">
        <v>2461</v>
      </c>
      <c r="E5" s="352" t="s">
        <v>5063</v>
      </c>
      <c r="F5" s="351"/>
      <c r="G5" s="351"/>
      <c r="H5" s="351"/>
      <c r="I5" s="355" t="s">
        <v>5064</v>
      </c>
      <c r="J5" s="351"/>
      <c r="K5" s="351"/>
      <c r="L5" s="351"/>
      <c r="M5" s="351"/>
      <c r="N5" s="350"/>
      <c r="O5" s="358" t="s">
        <v>5065</v>
      </c>
      <c r="S5" s="559" t="s">
        <v>6714</v>
      </c>
    </row>
    <row r="6" spans="1:19" ht="21.45" customHeight="1" thickBot="1">
      <c r="A6" s="345" t="s">
        <v>1250</v>
      </c>
      <c r="E6" s="355" t="s">
        <v>5066</v>
      </c>
      <c r="F6" s="351"/>
      <c r="G6" s="351"/>
      <c r="H6" s="351"/>
      <c r="I6" s="351"/>
      <c r="J6" s="351"/>
      <c r="K6" s="351"/>
      <c r="L6" s="351"/>
      <c r="M6" s="351"/>
      <c r="N6" s="350"/>
      <c r="O6" s="360" t="s">
        <v>5067</v>
      </c>
      <c r="S6" s="559" t="s">
        <v>6715</v>
      </c>
    </row>
    <row r="7" spans="1:19" ht="21.45" customHeight="1" thickBot="1">
      <c r="A7" s="345" t="s">
        <v>4606</v>
      </c>
      <c r="E7" s="355" t="s">
        <v>4551</v>
      </c>
      <c r="F7" s="351"/>
      <c r="G7" s="351"/>
      <c r="H7" s="351"/>
      <c r="I7" s="351"/>
      <c r="J7" s="351"/>
      <c r="K7" s="351"/>
      <c r="L7" s="351"/>
      <c r="M7" s="351"/>
      <c r="N7" s="351"/>
      <c r="O7" s="351"/>
      <c r="S7" s="559" t="s">
        <v>6716</v>
      </c>
    </row>
    <row r="8" spans="1:19" ht="21.45" customHeight="1" thickBot="1">
      <c r="A8" s="345" t="s">
        <v>4596</v>
      </c>
      <c r="E8" s="351"/>
      <c r="F8" s="351"/>
      <c r="G8" s="351"/>
      <c r="H8" s="351"/>
      <c r="I8" s="351"/>
      <c r="J8" s="351"/>
      <c r="K8" s="351"/>
      <c r="L8" s="351"/>
      <c r="M8" s="351"/>
      <c r="N8" s="351"/>
      <c r="O8" s="351"/>
      <c r="S8" s="559" t="s">
        <v>6717</v>
      </c>
    </row>
    <row r="9" spans="1:19" ht="21.45" customHeight="1" thickBot="1">
      <c r="A9" s="345" t="s">
        <v>4541</v>
      </c>
      <c r="E9" s="351"/>
      <c r="F9" s="351"/>
      <c r="G9" s="351"/>
      <c r="H9" s="351"/>
      <c r="I9" s="351"/>
      <c r="J9" s="351"/>
      <c r="K9" s="351"/>
      <c r="L9" s="351"/>
      <c r="M9" s="351"/>
      <c r="N9" s="351"/>
      <c r="O9" s="351"/>
      <c r="S9" s="559" t="s">
        <v>6718</v>
      </c>
    </row>
    <row r="10" spans="1:19" ht="21.45" customHeight="1">
      <c r="A10" s="345" t="s">
        <v>4191</v>
      </c>
      <c r="S10" s="559" t="s">
        <v>6719</v>
      </c>
    </row>
    <row r="11" spans="1:19" ht="21.45" customHeight="1">
      <c r="A11" s="345" t="s">
        <v>4674</v>
      </c>
      <c r="S11" s="559" t="s">
        <v>6720</v>
      </c>
    </row>
    <row r="12" spans="1:19" ht="21.45" customHeight="1">
      <c r="A12" s="345" t="s">
        <v>4555</v>
      </c>
      <c r="S12" s="559" t="s">
        <v>6721</v>
      </c>
    </row>
    <row r="13" spans="1:19" ht="21.45" customHeight="1">
      <c r="A13" s="345" t="s">
        <v>4101</v>
      </c>
      <c r="S13" s="552" t="s">
        <v>6722</v>
      </c>
    </row>
    <row r="14" spans="1:19" ht="21.45" customHeight="1">
      <c r="A14" s="345" t="s">
        <v>4281</v>
      </c>
      <c r="S14" s="552" t="s">
        <v>6723</v>
      </c>
    </row>
    <row r="15" spans="1:19" ht="21.45" customHeight="1">
      <c r="A15" s="345" t="s">
        <v>4031</v>
      </c>
      <c r="S15" s="552" t="s">
        <v>6724</v>
      </c>
    </row>
    <row r="16" spans="1:19" ht="21.45" customHeight="1">
      <c r="A16" s="345" t="s">
        <v>4223</v>
      </c>
      <c r="S16" s="552" t="s">
        <v>6725</v>
      </c>
    </row>
    <row r="17" spans="1:19" ht="21.45" customHeight="1">
      <c r="A17" s="345" t="s">
        <v>4585</v>
      </c>
      <c r="S17" s="552" t="s">
        <v>6726</v>
      </c>
    </row>
    <row r="18" spans="1:19" ht="21.45" customHeight="1">
      <c r="A18" s="345" t="s">
        <v>4431</v>
      </c>
      <c r="S18" s="552" t="s">
        <v>6727</v>
      </c>
    </row>
    <row r="19" spans="1:19" ht="21.45" customHeight="1">
      <c r="A19" s="345" t="s">
        <v>4963</v>
      </c>
      <c r="S19" s="552" t="s">
        <v>6728</v>
      </c>
    </row>
    <row r="20" spans="1:19" ht="21.45" customHeight="1">
      <c r="A20" s="345" t="s">
        <v>4563</v>
      </c>
      <c r="S20" s="552" t="s">
        <v>6729</v>
      </c>
    </row>
    <row r="21" spans="1:19" ht="96.6">
      <c r="A21" s="345" t="s">
        <v>4262</v>
      </c>
      <c r="S21" s="552" t="s">
        <v>6730</v>
      </c>
    </row>
    <row r="22" spans="1:19" ht="69">
      <c r="A22" s="345" t="s">
        <v>4170</v>
      </c>
      <c r="S22" s="552" t="s">
        <v>6731</v>
      </c>
    </row>
    <row r="23" spans="1:19" ht="179.4">
      <c r="A23" s="345" t="s">
        <v>4722</v>
      </c>
      <c r="S23" s="552" t="s">
        <v>6732</v>
      </c>
    </row>
    <row r="24" spans="1:19" ht="207">
      <c r="A24" s="345" t="s">
        <v>4289</v>
      </c>
      <c r="S24" s="552" t="s">
        <v>6733</v>
      </c>
    </row>
    <row r="25" spans="1:19" ht="193.2">
      <c r="A25" s="345" t="s">
        <v>1251</v>
      </c>
      <c r="S25" s="552" t="s">
        <v>6734</v>
      </c>
    </row>
    <row r="26" spans="1:19" ht="15.6">
      <c r="A26" s="345" t="s">
        <v>4011</v>
      </c>
    </row>
    <row r="27" spans="1:19" ht="31.2">
      <c r="A27" s="345" t="s">
        <v>4203</v>
      </c>
    </row>
    <row r="28" spans="1:19" ht="31.2">
      <c r="A28" s="345" t="s">
        <v>4533</v>
      </c>
    </row>
    <row r="29" spans="1:19" ht="31.2">
      <c r="A29" s="345" t="s">
        <v>4630</v>
      </c>
    </row>
    <row r="30" spans="1:19" ht="31.2">
      <c r="A30" s="345" t="s">
        <v>4618</v>
      </c>
    </row>
  </sheetData>
  <autoFilter ref="A1:A30" xr:uid="{9209564D-3F5C-4538-9F1B-DC0CD83A3E37}">
    <sortState xmlns:xlrd2="http://schemas.microsoft.com/office/spreadsheetml/2017/richdata2" ref="A2:A30">
      <sortCondition ref="A1:A30"/>
    </sortState>
  </autoFilter>
  <pageMargins left="0.7" right="0.7" top="0.75" bottom="0.75" header="0.3" footer="0.3"/>
  <tableParts count="6">
    <tablePart r:id="rId1"/>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0D00B-34F3-481E-9D0E-CD277981ADAB}">
  <dimension ref="A1:O70"/>
  <sheetViews>
    <sheetView workbookViewId="0">
      <selection activeCell="E20" sqref="E20"/>
    </sheetView>
  </sheetViews>
  <sheetFormatPr baseColWidth="10" defaultRowHeight="13.8"/>
  <cols>
    <col min="1" max="1" width="12.296875" customWidth="1"/>
    <col min="2" max="2" width="11.59765625" customWidth="1"/>
  </cols>
  <sheetData>
    <row r="1" spans="1:15" ht="30.6">
      <c r="A1" s="461" t="s">
        <v>6354</v>
      </c>
      <c r="B1" s="372" t="s">
        <v>6340</v>
      </c>
      <c r="C1" s="373" t="s">
        <v>6341</v>
      </c>
      <c r="D1" s="373" t="s">
        <v>6342</v>
      </c>
      <c r="E1" s="373" t="s">
        <v>6343</v>
      </c>
      <c r="F1" s="373" t="s">
        <v>6344</v>
      </c>
      <c r="G1" s="373" t="s">
        <v>6345</v>
      </c>
      <c r="H1" s="373" t="s">
        <v>6346</v>
      </c>
      <c r="I1" s="373" t="s">
        <v>6347</v>
      </c>
      <c r="J1" s="387" t="s">
        <v>6348</v>
      </c>
      <c r="K1" s="374" t="s">
        <v>6349</v>
      </c>
      <c r="L1" s="374" t="s">
        <v>6350</v>
      </c>
      <c r="M1" s="374" t="s">
        <v>6351</v>
      </c>
      <c r="N1" s="387" t="s">
        <v>6352</v>
      </c>
      <c r="O1" s="462" t="s">
        <v>6353</v>
      </c>
    </row>
    <row r="2" spans="1:15">
      <c r="A2" s="463">
        <f>IF('Parte Estrategica'!B2=0,"",'Parte Estrategica'!B2)</f>
        <v>296</v>
      </c>
      <c r="B2" s="382" t="e">
        <f>'Parte financiera'!D2+'Parte financiera'!R2+'Parte financiera'!AF2+'Parte financiera'!AT2+'Parte financiera'!BJ2+'Parte financiera'!BX2+'Parte financiera'!CL2+'Parte financiera'!CZ2+'Parte financiera'!DP2+'Parte financiera'!ED2+'Parte financiera'!ER2+'Parte financiera'!FF2+'Parte financiera'!FV2+'Parte financiera'!GJ2+'Parte financiera'!GX2+'Parte financiera'!HL2</f>
        <v>#VALUE!</v>
      </c>
      <c r="C2" s="382">
        <f>'Parte financiera'!E2+'Parte financiera'!S2+'Parte financiera'!AG2+'Parte financiera'!AU2+'Parte financiera'!BK2+'Parte financiera'!BY2+'Parte financiera'!CM2+'Parte financiera'!DA2+'Parte financiera'!DQ2+'Parte financiera'!EE2+'Parte financiera'!ES2+'Parte financiera'!FG2+'Parte financiera'!FW2+'Parte financiera'!GK2+'Parte financiera'!GY2+'Parte financiera'!HM2</f>
        <v>0</v>
      </c>
      <c r="D2" s="382">
        <f>'Parte financiera'!F2+'Parte financiera'!T2+'Parte financiera'!AH2+'Parte financiera'!AV2+'Parte financiera'!BL2+'Parte financiera'!BZ2+'Parte financiera'!CN2+'Parte financiera'!DB2+'Parte financiera'!DR2+'Parte financiera'!EF2+'Parte financiera'!ET2+'Parte financiera'!FH2+'Parte financiera'!FX2+'Parte financiera'!GL2+'Parte financiera'!GZ2+'Parte financiera'!HN2</f>
        <v>0</v>
      </c>
      <c r="E2" s="382">
        <f>'Parte financiera'!G2+'Parte financiera'!U2+'Parte financiera'!AI2+'Parte financiera'!AW2+'Parte financiera'!BM2+'Parte financiera'!CA2+'Parte financiera'!CO2+'Parte financiera'!DC2+'Parte financiera'!DS2+'Parte financiera'!EG2+'Parte financiera'!EU2+'Parte financiera'!FI2+'Parte financiera'!FY2+'Parte financiera'!GM2+'Parte financiera'!HA2+'Parte financiera'!HO2</f>
        <v>0</v>
      </c>
      <c r="F2" s="382">
        <f>'Parte financiera'!H2+'Parte financiera'!V2+'Parte financiera'!AJ2+'Parte financiera'!AX2+'Parte financiera'!BN2+'Parte financiera'!CB2+'Parte financiera'!CP2+'Parte financiera'!DD2+'Parte financiera'!DT2+'Parte financiera'!EH2+'Parte financiera'!EV2+'Parte financiera'!FJ2+'Parte financiera'!FZ2+'Parte financiera'!GN2+'Parte financiera'!HB2+'Parte financiera'!HP2</f>
        <v>0</v>
      </c>
      <c r="G2" s="382">
        <f>'Parte financiera'!I2+'Parte financiera'!W2+'Parte financiera'!AK2+'Parte financiera'!AY2+'Parte financiera'!BO2+'Parte financiera'!CC2+'Parte financiera'!CQ2+'Parte financiera'!DE2+'Parte financiera'!DU2+'Parte financiera'!EI2+'Parte financiera'!EW2+'Parte financiera'!FK2+'Parte financiera'!GA2+'Parte financiera'!GO2+'Parte financiera'!HC2+'Parte financiera'!HQ2</f>
        <v>48600000000</v>
      </c>
      <c r="H2" s="382">
        <f>'Parte financiera'!J2+'Parte financiera'!X2+'Parte financiera'!AL2+'Parte financiera'!AZ2+'Parte financiera'!BP2+'Parte financiera'!CD2+'Parte financiera'!CR2+'Parte financiera'!DF2+'Parte financiera'!DV2+'Parte financiera'!EJ2+'Parte financiera'!EX2+'Parte financiera'!FL2+'Parte financiera'!GB2+'Parte financiera'!GP2+'Parte financiera'!HD2+'Parte financiera'!HR2</f>
        <v>0</v>
      </c>
      <c r="I2" s="382">
        <f>'Parte financiera'!K2+'Parte financiera'!Y2+'Parte financiera'!AM2+'Parte financiera'!BA2+'Parte financiera'!BQ2+'Parte financiera'!CE2+'Parte financiera'!CS2+'Parte financiera'!DG2+'Parte financiera'!DW2+'Parte financiera'!EK2+'Parte financiera'!EY2+'Parte financiera'!FM2+'Parte financiera'!GC2+'Parte financiera'!GQ2+'Parte financiera'!HE2+'Parte financiera'!HS2</f>
        <v>0</v>
      </c>
      <c r="J2" s="382">
        <f>'Parte financiera'!L2+'Parte financiera'!Z2+'Parte financiera'!AN2+'Parte financiera'!BB2+'Parte financiera'!BR2+'Parte financiera'!CF2+'Parte financiera'!CT2+'Parte financiera'!DH2+'Parte financiera'!DX2+'Parte financiera'!EL2+'Parte financiera'!EZ2+'Parte financiera'!FN2+'Parte financiera'!GD2+'Parte financiera'!GR2+'Parte financiera'!HF2+'Parte financiera'!HT2</f>
        <v>48600000000</v>
      </c>
      <c r="K2" s="382">
        <f>'Parte financiera'!M2+'Parte financiera'!AA2+'Parte financiera'!AO2+'Parte financiera'!BC2+'Parte financiera'!BS2+'Parte financiera'!CG2+'Parte financiera'!CU2+'Parte financiera'!DI2+'Parte financiera'!DY2+'Parte financiera'!EM2+'Parte financiera'!FA2+'Parte financiera'!FO2+'Parte financiera'!GE2+'Parte financiera'!GS2+'Parte financiera'!HG2+'Parte financiera'!HU2</f>
        <v>0</v>
      </c>
      <c r="L2" s="382">
        <f>'Parte financiera'!N2+'Parte financiera'!AB2+'Parte financiera'!AP2+'Parte financiera'!BD2+'Parte financiera'!BT2+'Parte financiera'!CH2+'Parte financiera'!CV2+'Parte financiera'!DJ2+'Parte financiera'!DZ2+'Parte financiera'!EN2+'Parte financiera'!FB2+'Parte financiera'!FP2+'Parte financiera'!GF2+'Parte financiera'!GT2+'Parte financiera'!HH2+'Parte financiera'!HV2</f>
        <v>0</v>
      </c>
      <c r="M2" s="382" t="e">
        <f>'Parte financiera'!O2+'Parte financiera'!AC2+'Parte financiera'!AQ2+'Parte financiera'!BE2+'Parte financiera'!BU2+'Parte financiera'!CI2+'Parte financiera'!CW2+'Parte financiera'!DK2+'Parte financiera'!EA2+'Parte financiera'!EO2+'Parte financiera'!FC2+'Parte financiera'!FQ2+'Parte financiera'!GG2+'Parte financiera'!GU2+'Parte financiera'!HI2+'Parte financiera'!HW2</f>
        <v>#VALUE!</v>
      </c>
      <c r="N2" s="382">
        <f>'Parte financiera'!P2+'Parte financiera'!AD2+'Parte financiera'!AR2+'Parte financiera'!BF2+'Parte financiera'!BV2+'Parte financiera'!CJ2+'Parte financiera'!CX2+'Parte financiera'!DL2+'Parte financiera'!EB2+'Parte financiera'!EP2+'Parte financiera'!FD2+'Parte financiera'!FR2+'Parte financiera'!GH2+'Parte financiera'!GV2+'Parte financiera'!HJ2+'Parte financiera'!HX2</f>
        <v>0</v>
      </c>
      <c r="O2" s="383">
        <f>'Parte financiera'!Q2+'Parte financiera'!AE2+'Parte financiera'!AS2+'Parte financiera'!BG2+'Parte financiera'!BW2+'Parte financiera'!CK2+'Parte financiera'!CY2+'Parte financiera'!DM2+'Parte financiera'!EC2+'Parte financiera'!EQ2+'Parte financiera'!FE2+'Parte financiera'!FS2+'Parte financiera'!GI2+'Parte financiera'!GW2+'Parte financiera'!HK2+'Parte financiera'!HY2</f>
        <v>48600000000</v>
      </c>
    </row>
    <row r="3" spans="1:15">
      <c r="A3" s="463">
        <f>IF('Parte Estrategica'!B3=0,"",'Parte Estrategica'!B3)</f>
        <v>297</v>
      </c>
      <c r="B3" s="382" t="e">
        <f>'Parte financiera'!D3+'Parte financiera'!R3+'Parte financiera'!AF3+'Parte financiera'!AT3+'Parte financiera'!BJ3+'Parte financiera'!BX3+'Parte financiera'!CL3+'Parte financiera'!CZ3+'Parte financiera'!DP3+'Parte financiera'!ED3+'Parte financiera'!ER3+'Parte financiera'!FF3+'Parte financiera'!FV3+'Parte financiera'!GJ3+'Parte financiera'!GX3+'Parte financiera'!HL3</f>
        <v>#VALUE!</v>
      </c>
      <c r="C3" s="382">
        <f>'Parte financiera'!E3+'Parte financiera'!S3+'Parte financiera'!AG3+'Parte financiera'!AU3+'Parte financiera'!BK3+'Parte financiera'!BY3+'Parte financiera'!CM3+'Parte financiera'!DA3+'Parte financiera'!DQ3+'Parte financiera'!EE3+'Parte financiera'!ES3+'Parte financiera'!FG3+'Parte financiera'!FW3+'Parte financiera'!GK3+'Parte financiera'!GY3+'Parte financiera'!HM3</f>
        <v>0</v>
      </c>
      <c r="D3" s="382">
        <f>'Parte financiera'!F3+'Parte financiera'!T3+'Parte financiera'!AH3+'Parte financiera'!AV3+'Parte financiera'!BL3+'Parte financiera'!BZ3+'Parte financiera'!CN3+'Parte financiera'!DB3+'Parte financiera'!DR3+'Parte financiera'!EF3+'Parte financiera'!ET3+'Parte financiera'!FH3+'Parte financiera'!FX3+'Parte financiera'!GL3+'Parte financiera'!GZ3+'Parte financiera'!HN3</f>
        <v>0</v>
      </c>
      <c r="E3" s="382">
        <f>'Parte financiera'!G3+'Parte financiera'!U3+'Parte financiera'!AI3+'Parte financiera'!AW3+'Parte financiera'!BM3+'Parte financiera'!CA3+'Parte financiera'!CO3+'Parte financiera'!DC3+'Parte financiera'!DS3+'Parte financiera'!EG3+'Parte financiera'!EU3+'Parte financiera'!FI3+'Parte financiera'!FY3+'Parte financiera'!GM3+'Parte financiera'!HA3+'Parte financiera'!HO3</f>
        <v>0</v>
      </c>
      <c r="F3" s="382">
        <f>'Parte financiera'!H3+'Parte financiera'!V3+'Parte financiera'!AJ3+'Parte financiera'!AX3+'Parte financiera'!BN3+'Parte financiera'!CB3+'Parte financiera'!CP3+'Parte financiera'!DD3+'Parte financiera'!DT3+'Parte financiera'!EH3+'Parte financiera'!EV3+'Parte financiera'!FJ3+'Parte financiera'!FZ3+'Parte financiera'!GN3+'Parte financiera'!HB3+'Parte financiera'!HP3</f>
        <v>0</v>
      </c>
      <c r="G3" s="382">
        <f>'Parte financiera'!I3+'Parte financiera'!W3+'Parte financiera'!AK3+'Parte financiera'!AY3+'Parte financiera'!BO3+'Parte financiera'!CC3+'Parte financiera'!CQ3+'Parte financiera'!DE3+'Parte financiera'!DU3+'Parte financiera'!EI3+'Parte financiera'!EW3+'Parte financiera'!FK3+'Parte financiera'!GA3+'Parte financiera'!GO3+'Parte financiera'!HC3+'Parte financiera'!HQ3</f>
        <v>43200000000</v>
      </c>
      <c r="H3" s="382">
        <f>'Parte financiera'!J3+'Parte financiera'!X3+'Parte financiera'!AL3+'Parte financiera'!AZ3+'Parte financiera'!BP3+'Parte financiera'!CD3+'Parte financiera'!CR3+'Parte financiera'!DF3+'Parte financiera'!DV3+'Parte financiera'!EJ3+'Parte financiera'!EX3+'Parte financiera'!FL3+'Parte financiera'!GB3+'Parte financiera'!GP3+'Parte financiera'!HD3+'Parte financiera'!HR3</f>
        <v>0</v>
      </c>
      <c r="I3" s="382">
        <f>'Parte financiera'!K3+'Parte financiera'!Y3+'Parte financiera'!AM3+'Parte financiera'!BA3+'Parte financiera'!BQ3+'Parte financiera'!CE3+'Parte financiera'!CS3+'Parte financiera'!DG3+'Parte financiera'!DW3+'Parte financiera'!EK3+'Parte financiera'!EY3+'Parte financiera'!FM3+'Parte financiera'!GC3+'Parte financiera'!GQ3+'Parte financiera'!HE3+'Parte financiera'!HS3</f>
        <v>0</v>
      </c>
      <c r="J3" s="382">
        <f>'Parte financiera'!L3+'Parte financiera'!Z3+'Parte financiera'!AN3+'Parte financiera'!BB3+'Parte financiera'!BR3+'Parte financiera'!CF3+'Parte financiera'!CT3+'Parte financiera'!DH3+'Parte financiera'!DX3+'Parte financiera'!EL3+'Parte financiera'!EZ3+'Parte financiera'!FN3+'Parte financiera'!GD3+'Parte financiera'!GR3+'Parte financiera'!HF3+'Parte financiera'!HT3</f>
        <v>43200000000</v>
      </c>
      <c r="K3" s="382">
        <f>'Parte financiera'!M3+'Parte financiera'!AA3+'Parte financiera'!AO3+'Parte financiera'!BC3+'Parte financiera'!BS3+'Parte financiera'!CG3+'Parte financiera'!CU3+'Parte financiera'!DI3+'Parte financiera'!DY3+'Parte financiera'!EM3+'Parte financiera'!FA3+'Parte financiera'!FO3+'Parte financiera'!GE3+'Parte financiera'!GS3+'Parte financiera'!HG3+'Parte financiera'!HU3</f>
        <v>0</v>
      </c>
      <c r="L3" s="382">
        <f>'Parte financiera'!N3+'Parte financiera'!AB3+'Parte financiera'!AP3+'Parte financiera'!BD3+'Parte financiera'!BT3+'Parte financiera'!CH3+'Parte financiera'!CV3+'Parte financiera'!DJ3+'Parte financiera'!DZ3+'Parte financiera'!EN3+'Parte financiera'!FB3+'Parte financiera'!FP3+'Parte financiera'!GF3+'Parte financiera'!GT3+'Parte financiera'!HH3+'Parte financiera'!HV3</f>
        <v>0</v>
      </c>
      <c r="M3" s="382" t="e">
        <f>'Parte financiera'!O3+'Parte financiera'!AC3+'Parte financiera'!AQ3+'Parte financiera'!BE3+'Parte financiera'!BU3+'Parte financiera'!CI3+'Parte financiera'!CW3+'Parte financiera'!DK3+'Parte financiera'!EA3+'Parte financiera'!EO3+'Parte financiera'!FC3+'Parte financiera'!FQ3+'Parte financiera'!GG3+'Parte financiera'!GU3+'Parte financiera'!HI3+'Parte financiera'!HW3</f>
        <v>#VALUE!</v>
      </c>
      <c r="N3" s="382">
        <f>'Parte financiera'!P3+'Parte financiera'!AD3+'Parte financiera'!AR3+'Parte financiera'!BF3+'Parte financiera'!BV3+'Parte financiera'!CJ3+'Parte financiera'!CX3+'Parte financiera'!DL3+'Parte financiera'!EB3+'Parte financiera'!EP3+'Parte financiera'!FD3+'Parte financiera'!FR3+'Parte financiera'!GH3+'Parte financiera'!GV3+'Parte financiera'!HJ3+'Parte financiera'!HX3</f>
        <v>0</v>
      </c>
      <c r="O3" s="383">
        <f>'Parte financiera'!Q3+'Parte financiera'!AE3+'Parte financiera'!AS3+'Parte financiera'!BG3+'Parte financiera'!BW3+'Parte financiera'!CK3+'Parte financiera'!CY3+'Parte financiera'!DM3+'Parte financiera'!EC3+'Parte financiera'!EQ3+'Parte financiera'!FE3+'Parte financiera'!FS3+'Parte financiera'!GI3+'Parte financiera'!GW3+'Parte financiera'!HK3+'Parte financiera'!HY3</f>
        <v>43200000000</v>
      </c>
    </row>
    <row r="4" spans="1:15">
      <c r="A4" s="463">
        <f>IF('Parte Estrategica'!B4=0,"",'Parte Estrategica'!B4)</f>
        <v>298</v>
      </c>
      <c r="B4" s="382" t="e">
        <f>'Parte financiera'!D4+'Parte financiera'!R4+'Parte financiera'!AF4+'Parte financiera'!AT4+'Parte financiera'!BJ4+'Parte financiera'!BX4+'Parte financiera'!CL4+'Parte financiera'!CZ4+'Parte financiera'!DP4+'Parte financiera'!ED4+'Parte financiera'!ER4+'Parte financiera'!FF4+'Parte financiera'!FV4+'Parte financiera'!GJ4+'Parte financiera'!GX4+'Parte financiera'!HL4</f>
        <v>#VALUE!</v>
      </c>
      <c r="C4" s="382">
        <f>'Parte financiera'!E4+'Parte financiera'!S4+'Parte financiera'!AG4+'Parte financiera'!AU4+'Parte financiera'!BK4+'Parte financiera'!BY4+'Parte financiera'!CM4+'Parte financiera'!DA4+'Parte financiera'!DQ4+'Parte financiera'!EE4+'Parte financiera'!ES4+'Parte financiera'!FG4+'Parte financiera'!FW4+'Parte financiera'!GK4+'Parte financiera'!GY4+'Parte financiera'!HM4</f>
        <v>0</v>
      </c>
      <c r="D4" s="382">
        <f>'Parte financiera'!F4+'Parte financiera'!T4+'Parte financiera'!AH4+'Parte financiera'!AV4+'Parte financiera'!BL4+'Parte financiera'!BZ4+'Parte financiera'!CN4+'Parte financiera'!DB4+'Parte financiera'!DR4+'Parte financiera'!EF4+'Parte financiera'!ET4+'Parte financiera'!FH4+'Parte financiera'!FX4+'Parte financiera'!GL4+'Parte financiera'!GZ4+'Parte financiera'!HN4</f>
        <v>0</v>
      </c>
      <c r="E4" s="382">
        <f>'Parte financiera'!G4+'Parte financiera'!U4+'Parte financiera'!AI4+'Parte financiera'!AW4+'Parte financiera'!BM4+'Parte financiera'!CA4+'Parte financiera'!CO4+'Parte financiera'!DC4+'Parte financiera'!DS4+'Parte financiera'!EG4+'Parte financiera'!EU4+'Parte financiera'!FI4+'Parte financiera'!FY4+'Parte financiera'!GM4+'Parte financiera'!HA4+'Parte financiera'!HO4</f>
        <v>0</v>
      </c>
      <c r="F4" s="382">
        <f>'Parte financiera'!H4+'Parte financiera'!V4+'Parte financiera'!AJ4+'Parte financiera'!AX4+'Parte financiera'!BN4+'Parte financiera'!CB4+'Parte financiera'!CP4+'Parte financiera'!DD4+'Parte financiera'!DT4+'Parte financiera'!EH4+'Parte financiera'!EV4+'Parte financiera'!FJ4+'Parte financiera'!FZ4+'Parte financiera'!GN4+'Parte financiera'!HB4+'Parte financiera'!HP4</f>
        <v>0</v>
      </c>
      <c r="G4" s="382">
        <f>'Parte financiera'!I4+'Parte financiera'!W4+'Parte financiera'!AK4+'Parte financiera'!AY4+'Parte financiera'!BO4+'Parte financiera'!CC4+'Parte financiera'!CQ4+'Parte financiera'!DE4+'Parte financiera'!DU4+'Parte financiera'!EI4+'Parte financiera'!EW4+'Parte financiera'!FK4+'Parte financiera'!GA4+'Parte financiera'!GO4+'Parte financiera'!HC4+'Parte financiera'!HQ4</f>
        <v>160000000</v>
      </c>
      <c r="H4" s="382">
        <f>'Parte financiera'!J4+'Parte financiera'!X4+'Parte financiera'!AL4+'Parte financiera'!AZ4+'Parte financiera'!BP4+'Parte financiera'!CD4+'Parte financiera'!CR4+'Parte financiera'!DF4+'Parte financiera'!DV4+'Parte financiera'!EJ4+'Parte financiera'!EX4+'Parte financiera'!FL4+'Parte financiera'!GB4+'Parte financiera'!GP4+'Parte financiera'!HD4+'Parte financiera'!HR4</f>
        <v>0</v>
      </c>
      <c r="I4" s="382">
        <f>'Parte financiera'!K4+'Parte financiera'!Y4+'Parte financiera'!AM4+'Parte financiera'!BA4+'Parte financiera'!BQ4+'Parte financiera'!CE4+'Parte financiera'!CS4+'Parte financiera'!DG4+'Parte financiera'!DW4+'Parte financiera'!EK4+'Parte financiera'!EY4+'Parte financiera'!FM4+'Parte financiera'!GC4+'Parte financiera'!GQ4+'Parte financiera'!HE4+'Parte financiera'!HS4</f>
        <v>0</v>
      </c>
      <c r="J4" s="382">
        <f>'Parte financiera'!L4+'Parte financiera'!Z4+'Parte financiera'!AN4+'Parte financiera'!BB4+'Parte financiera'!BR4+'Parte financiera'!CF4+'Parte financiera'!CT4+'Parte financiera'!DH4+'Parte financiera'!DX4+'Parte financiera'!EL4+'Parte financiera'!EZ4+'Parte financiera'!FN4+'Parte financiera'!GD4+'Parte financiera'!GR4+'Parte financiera'!HF4+'Parte financiera'!HT4</f>
        <v>160000000</v>
      </c>
      <c r="K4" s="382">
        <f>'Parte financiera'!M4+'Parte financiera'!AA4+'Parte financiera'!AO4+'Parte financiera'!BC4+'Parte financiera'!BS4+'Parte financiera'!CG4+'Parte financiera'!CU4+'Parte financiera'!DI4+'Parte financiera'!DY4+'Parte financiera'!EM4+'Parte financiera'!FA4+'Parte financiera'!FO4+'Parte financiera'!GE4+'Parte financiera'!GS4+'Parte financiera'!HG4+'Parte financiera'!HU4</f>
        <v>0</v>
      </c>
      <c r="L4" s="382">
        <f>'Parte financiera'!N4+'Parte financiera'!AB4+'Parte financiera'!AP4+'Parte financiera'!BD4+'Parte financiera'!BT4+'Parte financiera'!CH4+'Parte financiera'!CV4+'Parte financiera'!DJ4+'Parte financiera'!DZ4+'Parte financiera'!EN4+'Parte financiera'!FB4+'Parte financiera'!FP4+'Parte financiera'!GF4+'Parte financiera'!GT4+'Parte financiera'!HH4+'Parte financiera'!HV4</f>
        <v>0</v>
      </c>
      <c r="M4" s="382" t="e">
        <f>'Parte financiera'!O4+'Parte financiera'!AC4+'Parte financiera'!AQ4+'Parte financiera'!BE4+'Parte financiera'!BU4+'Parte financiera'!CI4+'Parte financiera'!CW4+'Parte financiera'!DK4+'Parte financiera'!EA4+'Parte financiera'!EO4+'Parte financiera'!FC4+'Parte financiera'!FQ4+'Parte financiera'!GG4+'Parte financiera'!GU4+'Parte financiera'!HI4+'Parte financiera'!HW4</f>
        <v>#VALUE!</v>
      </c>
      <c r="N4" s="382">
        <f>'Parte financiera'!P4+'Parte financiera'!AD4+'Parte financiera'!AR4+'Parte financiera'!BF4+'Parte financiera'!BV4+'Parte financiera'!CJ4+'Parte financiera'!CX4+'Parte financiera'!DL4+'Parte financiera'!EB4+'Parte financiera'!EP4+'Parte financiera'!FD4+'Parte financiera'!FR4+'Parte financiera'!GH4+'Parte financiera'!GV4+'Parte financiera'!HJ4+'Parte financiera'!HX4</f>
        <v>0</v>
      </c>
      <c r="O4" s="383">
        <f>'Parte financiera'!Q4+'Parte financiera'!AE4+'Parte financiera'!AS4+'Parte financiera'!BG4+'Parte financiera'!BW4+'Parte financiera'!CK4+'Parte financiera'!CY4+'Parte financiera'!DM4+'Parte financiera'!EC4+'Parte financiera'!EQ4+'Parte financiera'!FE4+'Parte financiera'!FS4+'Parte financiera'!GI4+'Parte financiera'!GW4+'Parte financiera'!HK4+'Parte financiera'!HY4</f>
        <v>160000000</v>
      </c>
    </row>
    <row r="5" spans="1:15">
      <c r="A5" s="463">
        <f>IF('Parte Estrategica'!B5=0,"",'Parte Estrategica'!B5)</f>
        <v>299</v>
      </c>
      <c r="B5" s="382" t="e">
        <f>'Parte financiera'!D5+'Parte financiera'!R5+'Parte financiera'!AF5+'Parte financiera'!AT5+'Parte financiera'!BJ5+'Parte financiera'!BX5+'Parte financiera'!CL5+'Parte financiera'!CZ5+'Parte financiera'!DP5+'Parte financiera'!ED5+'Parte financiera'!ER5+'Parte financiera'!FF5+'Parte financiera'!FV5+'Parte financiera'!GJ5+'Parte financiera'!GX5+'Parte financiera'!HL5</f>
        <v>#VALUE!</v>
      </c>
      <c r="C5" s="382">
        <f>'Parte financiera'!E5+'Parte financiera'!S5+'Parte financiera'!AG5+'Parte financiera'!AU5+'Parte financiera'!BK5+'Parte financiera'!BY5+'Parte financiera'!CM5+'Parte financiera'!DA5+'Parte financiera'!DQ5+'Parte financiera'!EE5+'Parte financiera'!ES5+'Parte financiera'!FG5+'Parte financiera'!FW5+'Parte financiera'!GK5+'Parte financiera'!GY5+'Parte financiera'!HM5</f>
        <v>0</v>
      </c>
      <c r="D5" s="382">
        <f>'Parte financiera'!F5+'Parte financiera'!T5+'Parte financiera'!AH5+'Parte financiera'!AV5+'Parte financiera'!BL5+'Parte financiera'!BZ5+'Parte financiera'!CN5+'Parte financiera'!DB5+'Parte financiera'!DR5+'Parte financiera'!EF5+'Parte financiera'!ET5+'Parte financiera'!FH5+'Parte financiera'!FX5+'Parte financiera'!GL5+'Parte financiera'!GZ5+'Parte financiera'!HN5</f>
        <v>0</v>
      </c>
      <c r="E5" s="382">
        <f>'Parte financiera'!G5+'Parte financiera'!U5+'Parte financiera'!AI5+'Parte financiera'!AW5+'Parte financiera'!BM5+'Parte financiera'!CA5+'Parte financiera'!CO5+'Parte financiera'!DC5+'Parte financiera'!DS5+'Parte financiera'!EG5+'Parte financiera'!EU5+'Parte financiera'!FI5+'Parte financiera'!FY5+'Parte financiera'!GM5+'Parte financiera'!HA5+'Parte financiera'!HO5</f>
        <v>0</v>
      </c>
      <c r="F5" s="382">
        <f>'Parte financiera'!H5+'Parte financiera'!V5+'Parte financiera'!AJ5+'Parte financiera'!AX5+'Parte financiera'!BN5+'Parte financiera'!CB5+'Parte financiera'!CP5+'Parte financiera'!DD5+'Parte financiera'!DT5+'Parte financiera'!EH5+'Parte financiera'!EV5+'Parte financiera'!FJ5+'Parte financiera'!FZ5+'Parte financiera'!GN5+'Parte financiera'!HB5+'Parte financiera'!HP5</f>
        <v>0</v>
      </c>
      <c r="G5" s="382">
        <f>'Parte financiera'!I5+'Parte financiera'!W5+'Parte financiera'!AK5+'Parte financiera'!AY5+'Parte financiera'!BO5+'Parte financiera'!CC5+'Parte financiera'!CQ5+'Parte financiera'!DE5+'Parte financiera'!DU5+'Parte financiera'!EI5+'Parte financiera'!EW5+'Parte financiera'!FK5+'Parte financiera'!GA5+'Parte financiera'!GO5+'Parte financiera'!HC5+'Parte financiera'!HQ5</f>
        <v>10640000000</v>
      </c>
      <c r="H5" s="382">
        <f>'Parte financiera'!J5+'Parte financiera'!X5+'Parte financiera'!AL5+'Parte financiera'!AZ5+'Parte financiera'!BP5+'Parte financiera'!CD5+'Parte financiera'!CR5+'Parte financiera'!DF5+'Parte financiera'!DV5+'Parte financiera'!EJ5+'Parte financiera'!EX5+'Parte financiera'!FL5+'Parte financiera'!GB5+'Parte financiera'!GP5+'Parte financiera'!HD5+'Parte financiera'!HR5</f>
        <v>0</v>
      </c>
      <c r="I5" s="382">
        <f>'Parte financiera'!K5+'Parte financiera'!Y5+'Parte financiera'!AM5+'Parte financiera'!BA5+'Parte financiera'!BQ5+'Parte financiera'!CE5+'Parte financiera'!CS5+'Parte financiera'!DG5+'Parte financiera'!DW5+'Parte financiera'!EK5+'Parte financiera'!EY5+'Parte financiera'!FM5+'Parte financiera'!GC5+'Parte financiera'!GQ5+'Parte financiera'!HE5+'Parte financiera'!HS5</f>
        <v>0</v>
      </c>
      <c r="J5" s="382">
        <f>'Parte financiera'!L5+'Parte financiera'!Z5+'Parte financiera'!AN5+'Parte financiera'!BB5+'Parte financiera'!BR5+'Parte financiera'!CF5+'Parte financiera'!CT5+'Parte financiera'!DH5+'Parte financiera'!DX5+'Parte financiera'!EL5+'Parte financiera'!EZ5+'Parte financiera'!FN5+'Parte financiera'!GD5+'Parte financiera'!GR5+'Parte financiera'!HF5+'Parte financiera'!HT5</f>
        <v>10640000000</v>
      </c>
      <c r="K5" s="382">
        <f>'Parte financiera'!M5+'Parte financiera'!AA5+'Parte financiera'!AO5+'Parte financiera'!BC5+'Parte financiera'!BS5+'Parte financiera'!CG5+'Parte financiera'!CU5+'Parte financiera'!DI5+'Parte financiera'!DY5+'Parte financiera'!EM5+'Parte financiera'!FA5+'Parte financiera'!FO5+'Parte financiera'!GE5+'Parte financiera'!GS5+'Parte financiera'!HG5+'Parte financiera'!HU5</f>
        <v>0</v>
      </c>
      <c r="L5" s="382">
        <f>'Parte financiera'!N5+'Parte financiera'!AB5+'Parte financiera'!AP5+'Parte financiera'!BD5+'Parte financiera'!BT5+'Parte financiera'!CH5+'Parte financiera'!CV5+'Parte financiera'!DJ5+'Parte financiera'!DZ5+'Parte financiera'!EN5+'Parte financiera'!FB5+'Parte financiera'!FP5+'Parte financiera'!GF5+'Parte financiera'!GT5+'Parte financiera'!HH5+'Parte financiera'!HV5</f>
        <v>0</v>
      </c>
      <c r="M5" s="382" t="e">
        <f>'Parte financiera'!O5+'Parte financiera'!AC5+'Parte financiera'!AQ5+'Parte financiera'!BE5+'Parte financiera'!BU5+'Parte financiera'!CI5+'Parte financiera'!CW5+'Parte financiera'!DK5+'Parte financiera'!EA5+'Parte financiera'!EO5+'Parte financiera'!FC5+'Parte financiera'!FQ5+'Parte financiera'!GG5+'Parte financiera'!GU5+'Parte financiera'!HI5+'Parte financiera'!HW5</f>
        <v>#VALUE!</v>
      </c>
      <c r="N5" s="382">
        <f>'Parte financiera'!P5+'Parte financiera'!AD5+'Parte financiera'!AR5+'Parte financiera'!BF5+'Parte financiera'!BV5+'Parte financiera'!CJ5+'Parte financiera'!CX5+'Parte financiera'!DL5+'Parte financiera'!EB5+'Parte financiera'!EP5+'Parte financiera'!FD5+'Parte financiera'!FR5+'Parte financiera'!GH5+'Parte financiera'!GV5+'Parte financiera'!HJ5+'Parte financiera'!HX5</f>
        <v>0</v>
      </c>
      <c r="O5" s="383">
        <f>'Parte financiera'!Q5+'Parte financiera'!AE5+'Parte financiera'!AS5+'Parte financiera'!BG5+'Parte financiera'!BW5+'Parte financiera'!CK5+'Parte financiera'!CY5+'Parte financiera'!DM5+'Parte financiera'!EC5+'Parte financiera'!EQ5+'Parte financiera'!FE5+'Parte financiera'!FS5+'Parte financiera'!GI5+'Parte financiera'!GW5+'Parte financiera'!HK5+'Parte financiera'!HY5</f>
        <v>10640000000</v>
      </c>
    </row>
    <row r="6" spans="1:15">
      <c r="A6" s="463">
        <f>IF('Parte Estrategica'!B6=0,"",'Parte Estrategica'!B6)</f>
        <v>300</v>
      </c>
      <c r="B6" s="382" t="e">
        <f>'Parte financiera'!D6+'Parte financiera'!R6+'Parte financiera'!AF6+'Parte financiera'!AT6+'Parte financiera'!BJ6+'Parte financiera'!BX6+'Parte financiera'!CL6+'Parte financiera'!CZ6+'Parte financiera'!DP6+'Parte financiera'!ED6+'Parte financiera'!ER6+'Parte financiera'!FF6+'Parte financiera'!FV6+'Parte financiera'!GJ6+'Parte financiera'!GX6+'Parte financiera'!HL6</f>
        <v>#VALUE!</v>
      </c>
      <c r="C6" s="382">
        <f>'Parte financiera'!E6+'Parte financiera'!S6+'Parte financiera'!AG6+'Parte financiera'!AU6+'Parte financiera'!BK6+'Parte financiera'!BY6+'Parte financiera'!CM6+'Parte financiera'!DA6+'Parte financiera'!DQ6+'Parte financiera'!EE6+'Parte financiera'!ES6+'Parte financiera'!FG6+'Parte financiera'!FW6+'Parte financiera'!GK6+'Parte financiera'!GY6+'Parte financiera'!HM6</f>
        <v>0</v>
      </c>
      <c r="D6" s="382">
        <f>'Parte financiera'!F6+'Parte financiera'!T6+'Parte financiera'!AH6+'Parte financiera'!AV6+'Parte financiera'!BL6+'Parte financiera'!BZ6+'Parte financiera'!CN6+'Parte financiera'!DB6+'Parte financiera'!DR6+'Parte financiera'!EF6+'Parte financiera'!ET6+'Parte financiera'!FH6+'Parte financiera'!FX6+'Parte financiera'!GL6+'Parte financiera'!GZ6+'Parte financiera'!HN6</f>
        <v>0</v>
      </c>
      <c r="E6" s="382">
        <f>'Parte financiera'!G6+'Parte financiera'!U6+'Parte financiera'!AI6+'Parte financiera'!AW6+'Parte financiera'!BM6+'Parte financiera'!CA6+'Parte financiera'!CO6+'Parte financiera'!DC6+'Parte financiera'!DS6+'Parte financiera'!EG6+'Parte financiera'!EU6+'Parte financiera'!FI6+'Parte financiera'!FY6+'Parte financiera'!GM6+'Parte financiera'!HA6+'Parte financiera'!HO6</f>
        <v>0</v>
      </c>
      <c r="F6" s="382">
        <f>'Parte financiera'!H6+'Parte financiera'!V6+'Parte financiera'!AJ6+'Parte financiera'!AX6+'Parte financiera'!BN6+'Parte financiera'!CB6+'Parte financiera'!CP6+'Parte financiera'!DD6+'Parte financiera'!DT6+'Parte financiera'!EH6+'Parte financiera'!EV6+'Parte financiera'!FJ6+'Parte financiera'!FZ6+'Parte financiera'!GN6+'Parte financiera'!HB6+'Parte financiera'!HP6</f>
        <v>0</v>
      </c>
      <c r="G6" s="382">
        <f>'Parte financiera'!I6+'Parte financiera'!W6+'Parte financiera'!AK6+'Parte financiera'!AY6+'Parte financiera'!BO6+'Parte financiera'!CC6+'Parte financiera'!CQ6+'Parte financiera'!DE6+'Parte financiera'!DU6+'Parte financiera'!EI6+'Parte financiera'!EW6+'Parte financiera'!FK6+'Parte financiera'!GA6+'Parte financiera'!GO6+'Parte financiera'!HC6+'Parte financiera'!HQ6</f>
        <v>8000000000</v>
      </c>
      <c r="H6" s="382">
        <f>'Parte financiera'!J6+'Parte financiera'!X6+'Parte financiera'!AL6+'Parte financiera'!AZ6+'Parte financiera'!BP6+'Parte financiera'!CD6+'Parte financiera'!CR6+'Parte financiera'!DF6+'Parte financiera'!DV6+'Parte financiera'!EJ6+'Parte financiera'!EX6+'Parte financiera'!FL6+'Parte financiera'!GB6+'Parte financiera'!GP6+'Parte financiera'!HD6+'Parte financiera'!HR6</f>
        <v>0</v>
      </c>
      <c r="I6" s="382">
        <f>'Parte financiera'!K6+'Parte financiera'!Y6+'Parte financiera'!AM6+'Parte financiera'!BA6+'Parte financiera'!BQ6+'Parte financiera'!CE6+'Parte financiera'!CS6+'Parte financiera'!DG6+'Parte financiera'!DW6+'Parte financiera'!EK6+'Parte financiera'!EY6+'Parte financiera'!FM6+'Parte financiera'!GC6+'Parte financiera'!GQ6+'Parte financiera'!HE6+'Parte financiera'!HS6</f>
        <v>0</v>
      </c>
      <c r="J6" s="382">
        <f>'Parte financiera'!L6+'Parte financiera'!Z6+'Parte financiera'!AN6+'Parte financiera'!BB6+'Parte financiera'!BR6+'Parte financiera'!CF6+'Parte financiera'!CT6+'Parte financiera'!DH6+'Parte financiera'!DX6+'Parte financiera'!EL6+'Parte financiera'!EZ6+'Parte financiera'!FN6+'Parte financiera'!GD6+'Parte financiera'!GR6+'Parte financiera'!HF6+'Parte financiera'!HT6</f>
        <v>8000000000</v>
      </c>
      <c r="K6" s="382">
        <f>'Parte financiera'!M6+'Parte financiera'!AA6+'Parte financiera'!AO6+'Parte financiera'!BC6+'Parte financiera'!BS6+'Parte financiera'!CG6+'Parte financiera'!CU6+'Parte financiera'!DI6+'Parte financiera'!DY6+'Parte financiera'!EM6+'Parte financiera'!FA6+'Parte financiera'!FO6+'Parte financiera'!GE6+'Parte financiera'!GS6+'Parte financiera'!HG6+'Parte financiera'!HU6</f>
        <v>0</v>
      </c>
      <c r="L6" s="382">
        <f>'Parte financiera'!N6+'Parte financiera'!AB6+'Parte financiera'!AP6+'Parte financiera'!BD6+'Parte financiera'!BT6+'Parte financiera'!CH6+'Parte financiera'!CV6+'Parte financiera'!DJ6+'Parte financiera'!DZ6+'Parte financiera'!EN6+'Parte financiera'!FB6+'Parte financiera'!FP6+'Parte financiera'!GF6+'Parte financiera'!GT6+'Parte financiera'!HH6+'Parte financiera'!HV6</f>
        <v>0</v>
      </c>
      <c r="M6" s="382" t="e">
        <f>'Parte financiera'!O6+'Parte financiera'!AC6+'Parte financiera'!AQ6+'Parte financiera'!BE6+'Parte financiera'!BU6+'Parte financiera'!CI6+'Parte financiera'!CW6+'Parte financiera'!DK6+'Parte financiera'!EA6+'Parte financiera'!EO6+'Parte financiera'!FC6+'Parte financiera'!FQ6+'Parte financiera'!GG6+'Parte financiera'!GU6+'Parte financiera'!HI6+'Parte financiera'!HW6</f>
        <v>#VALUE!</v>
      </c>
      <c r="N6" s="382">
        <f>'Parte financiera'!P6+'Parte financiera'!AD6+'Parte financiera'!AR6+'Parte financiera'!BF6+'Parte financiera'!BV6+'Parte financiera'!CJ6+'Parte financiera'!CX6+'Parte financiera'!DL6+'Parte financiera'!EB6+'Parte financiera'!EP6+'Parte financiera'!FD6+'Parte financiera'!FR6+'Parte financiera'!GH6+'Parte financiera'!GV6+'Parte financiera'!HJ6+'Parte financiera'!HX6</f>
        <v>0</v>
      </c>
      <c r="O6" s="383">
        <f>'Parte financiera'!Q6+'Parte financiera'!AE6+'Parte financiera'!AS6+'Parte financiera'!BG6+'Parte financiera'!BW6+'Parte financiera'!CK6+'Parte financiera'!CY6+'Parte financiera'!DM6+'Parte financiera'!EC6+'Parte financiera'!EQ6+'Parte financiera'!FE6+'Parte financiera'!FS6+'Parte financiera'!GI6+'Parte financiera'!GW6+'Parte financiera'!HK6+'Parte financiera'!HY6</f>
        <v>8000000000</v>
      </c>
    </row>
    <row r="7" spans="1:15">
      <c r="A7" s="463" t="str">
        <f>IF('Parte Estrategica'!B7=0,"",'Parte Estrategica'!B7)</f>
        <v/>
      </c>
      <c r="B7" s="382" t="e">
        <f>'Parte financiera'!D7+'Parte financiera'!R7+'Parte financiera'!AF7+'Parte financiera'!AT7+'Parte financiera'!BJ7+'Parte financiera'!BX7+'Parte financiera'!CL7+'Parte financiera'!CZ7+'Parte financiera'!DP7+'Parte financiera'!ED7+'Parte financiera'!ER7+'Parte financiera'!FF7+'Parte financiera'!FV7+'Parte financiera'!GJ7+'Parte financiera'!GX7+'Parte financiera'!HL7</f>
        <v>#VALUE!</v>
      </c>
      <c r="C7" s="382">
        <f>'Parte financiera'!E7+'Parte financiera'!S7+'Parte financiera'!AG7+'Parte financiera'!AU7+'Parte financiera'!BK7+'Parte financiera'!BY7+'Parte financiera'!CM7+'Parte financiera'!DA7+'Parte financiera'!DQ7+'Parte financiera'!EE7+'Parte financiera'!ES7+'Parte financiera'!FG7+'Parte financiera'!FW7+'Parte financiera'!GK7+'Parte financiera'!GY7+'Parte financiera'!HM7</f>
        <v>0</v>
      </c>
      <c r="D7" s="382">
        <f>'Parte financiera'!F7+'Parte financiera'!T7+'Parte financiera'!AH7+'Parte financiera'!AV7+'Parte financiera'!BL7+'Parte financiera'!BZ7+'Parte financiera'!CN7+'Parte financiera'!DB7+'Parte financiera'!DR7+'Parte financiera'!EF7+'Parte financiera'!ET7+'Parte financiera'!FH7+'Parte financiera'!FX7+'Parte financiera'!GL7+'Parte financiera'!GZ7+'Parte financiera'!HN7</f>
        <v>0</v>
      </c>
      <c r="E7" s="382">
        <f>'Parte financiera'!G7+'Parte financiera'!U7+'Parte financiera'!AI7+'Parte financiera'!AW7+'Parte financiera'!BM7+'Parte financiera'!CA7+'Parte financiera'!CO7+'Parte financiera'!DC7+'Parte financiera'!DS7+'Parte financiera'!EG7+'Parte financiera'!EU7+'Parte financiera'!FI7+'Parte financiera'!FY7+'Parte financiera'!GM7+'Parte financiera'!HA7+'Parte financiera'!HO7</f>
        <v>0</v>
      </c>
      <c r="F7" s="382">
        <f>'Parte financiera'!H7+'Parte financiera'!V7+'Parte financiera'!AJ7+'Parte financiera'!AX7+'Parte financiera'!BN7+'Parte financiera'!CB7+'Parte financiera'!CP7+'Parte financiera'!DD7+'Parte financiera'!DT7+'Parte financiera'!EH7+'Parte financiera'!EV7+'Parte financiera'!FJ7+'Parte financiera'!FZ7+'Parte financiera'!GN7+'Parte financiera'!HB7+'Parte financiera'!HP7</f>
        <v>0</v>
      </c>
      <c r="G7" s="382">
        <f>'Parte financiera'!I7+'Parte financiera'!W7+'Parte financiera'!AK7+'Parte financiera'!AY7+'Parte financiera'!BO7+'Parte financiera'!CC7+'Parte financiera'!CQ7+'Parte financiera'!DE7+'Parte financiera'!DU7+'Parte financiera'!EI7+'Parte financiera'!EW7+'Parte financiera'!FK7+'Parte financiera'!GA7+'Parte financiera'!GO7+'Parte financiera'!HC7+'Parte financiera'!HQ7</f>
        <v>0</v>
      </c>
      <c r="H7" s="382">
        <f>'Parte financiera'!J7+'Parte financiera'!X7+'Parte financiera'!AL7+'Parte financiera'!AZ7+'Parte financiera'!BP7+'Parte financiera'!CD7+'Parte financiera'!CR7+'Parte financiera'!DF7+'Parte financiera'!DV7+'Parte financiera'!EJ7+'Parte financiera'!EX7+'Parte financiera'!FL7+'Parte financiera'!GB7+'Parte financiera'!GP7+'Parte financiera'!HD7+'Parte financiera'!HR7</f>
        <v>0</v>
      </c>
      <c r="I7" s="382">
        <f>'Parte financiera'!K7+'Parte financiera'!Y7+'Parte financiera'!AM7+'Parte financiera'!BA7+'Parte financiera'!BQ7+'Parte financiera'!CE7+'Parte financiera'!CS7+'Parte financiera'!DG7+'Parte financiera'!DW7+'Parte financiera'!EK7+'Parte financiera'!EY7+'Parte financiera'!FM7+'Parte financiera'!GC7+'Parte financiera'!GQ7+'Parte financiera'!HE7+'Parte financiera'!HS7</f>
        <v>0</v>
      </c>
      <c r="J7" s="382">
        <f>'Parte financiera'!L7+'Parte financiera'!Z7+'Parte financiera'!AN7+'Parte financiera'!BB7+'Parte financiera'!BR7+'Parte financiera'!CF7+'Parte financiera'!CT7+'Parte financiera'!DH7+'Parte financiera'!DX7+'Parte financiera'!EL7+'Parte financiera'!EZ7+'Parte financiera'!FN7+'Parte financiera'!GD7+'Parte financiera'!GR7+'Parte financiera'!HF7+'Parte financiera'!HT7</f>
        <v>0</v>
      </c>
      <c r="K7" s="382">
        <f>'Parte financiera'!M7+'Parte financiera'!AA7+'Parte financiera'!AO7+'Parte financiera'!BC7+'Parte financiera'!BS7+'Parte financiera'!CG7+'Parte financiera'!CU7+'Parte financiera'!DI7+'Parte financiera'!DY7+'Parte financiera'!EM7+'Parte financiera'!FA7+'Parte financiera'!FO7+'Parte financiera'!GE7+'Parte financiera'!GS7+'Parte financiera'!HG7+'Parte financiera'!HU7</f>
        <v>0</v>
      </c>
      <c r="L7" s="382">
        <f>'Parte financiera'!N7+'Parte financiera'!AB7+'Parte financiera'!AP7+'Parte financiera'!BD7+'Parte financiera'!BT7+'Parte financiera'!CH7+'Parte financiera'!CV7+'Parte financiera'!DJ7+'Parte financiera'!DZ7+'Parte financiera'!EN7+'Parte financiera'!FB7+'Parte financiera'!FP7+'Parte financiera'!GF7+'Parte financiera'!GT7+'Parte financiera'!HH7+'Parte financiera'!HV7</f>
        <v>0</v>
      </c>
      <c r="M7" s="382" t="e">
        <f>'Parte financiera'!O7+'Parte financiera'!AC7+'Parte financiera'!AQ7+'Parte financiera'!BE7+'Parte financiera'!BU7+'Parte financiera'!CI7+'Parte financiera'!CW7+'Parte financiera'!DK7+'Parte financiera'!EA7+'Parte financiera'!EO7+'Parte financiera'!FC7+'Parte financiera'!FQ7+'Parte financiera'!GG7+'Parte financiera'!GU7+'Parte financiera'!HI7+'Parte financiera'!HW7</f>
        <v>#VALUE!</v>
      </c>
      <c r="N7" s="382">
        <f>'Parte financiera'!P7+'Parte financiera'!AD7+'Parte financiera'!AR7+'Parte financiera'!BF7+'Parte financiera'!BV7+'Parte financiera'!CJ7+'Parte financiera'!CX7+'Parte financiera'!DL7+'Parte financiera'!EB7+'Parte financiera'!EP7+'Parte financiera'!FD7+'Parte financiera'!FR7+'Parte financiera'!GH7+'Parte financiera'!GV7+'Parte financiera'!HJ7+'Parte financiera'!HX7</f>
        <v>0</v>
      </c>
      <c r="O7" s="383">
        <f>'Parte financiera'!Q7+'Parte financiera'!AE7+'Parte financiera'!AS7+'Parte financiera'!BG7+'Parte financiera'!BW7+'Parte financiera'!CK7+'Parte financiera'!CY7+'Parte financiera'!DM7+'Parte financiera'!EC7+'Parte financiera'!EQ7+'Parte financiera'!FE7+'Parte financiera'!FS7+'Parte financiera'!GI7+'Parte financiera'!GW7+'Parte financiera'!HK7+'Parte financiera'!HY7</f>
        <v>0</v>
      </c>
    </row>
    <row r="8" spans="1:15">
      <c r="A8" s="463" t="str">
        <f>IF('Parte Estrategica'!B8=0,"",'Parte Estrategica'!B8)</f>
        <v/>
      </c>
      <c r="B8" s="382" t="e">
        <f>'Parte financiera'!D8+'Parte financiera'!R8+'Parte financiera'!AF8+'Parte financiera'!AT8+'Parte financiera'!BJ8+'Parte financiera'!BX8+'Parte financiera'!CL8+'Parte financiera'!CZ8+'Parte financiera'!DP8+'Parte financiera'!ED8+'Parte financiera'!ER8+'Parte financiera'!FF8+'Parte financiera'!FV8+'Parte financiera'!GJ8+'Parte financiera'!GX8+'Parte financiera'!HL8</f>
        <v>#VALUE!</v>
      </c>
      <c r="C8" s="382">
        <f>'Parte financiera'!E8+'Parte financiera'!S8+'Parte financiera'!AG8+'Parte financiera'!AU8+'Parte financiera'!BK8+'Parte financiera'!BY8+'Parte financiera'!CM8+'Parte financiera'!DA8+'Parte financiera'!DQ8+'Parte financiera'!EE8+'Parte financiera'!ES8+'Parte financiera'!FG8+'Parte financiera'!FW8+'Parte financiera'!GK8+'Parte financiera'!GY8+'Parte financiera'!HM8</f>
        <v>0</v>
      </c>
      <c r="D8" s="382">
        <f>'Parte financiera'!F8+'Parte financiera'!T8+'Parte financiera'!AH8+'Parte financiera'!AV8+'Parte financiera'!BL8+'Parte financiera'!BZ8+'Parte financiera'!CN8+'Parte financiera'!DB8+'Parte financiera'!DR8+'Parte financiera'!EF8+'Parte financiera'!ET8+'Parte financiera'!FH8+'Parte financiera'!FX8+'Parte financiera'!GL8+'Parte financiera'!GZ8+'Parte financiera'!HN8</f>
        <v>0</v>
      </c>
      <c r="E8" s="382">
        <f>'Parte financiera'!G8+'Parte financiera'!U8+'Parte financiera'!AI8+'Parte financiera'!AW8+'Parte financiera'!BM8+'Parte financiera'!CA8+'Parte financiera'!CO8+'Parte financiera'!DC8+'Parte financiera'!DS8+'Parte financiera'!EG8+'Parte financiera'!EU8+'Parte financiera'!FI8+'Parte financiera'!FY8+'Parte financiera'!GM8+'Parte financiera'!HA8+'Parte financiera'!HO8</f>
        <v>0</v>
      </c>
      <c r="F8" s="382">
        <f>'Parte financiera'!H8+'Parte financiera'!V8+'Parte financiera'!AJ8+'Parte financiera'!AX8+'Parte financiera'!BN8+'Parte financiera'!CB8+'Parte financiera'!CP8+'Parte financiera'!DD8+'Parte financiera'!DT8+'Parte financiera'!EH8+'Parte financiera'!EV8+'Parte financiera'!FJ8+'Parte financiera'!FZ8+'Parte financiera'!GN8+'Parte financiera'!HB8+'Parte financiera'!HP8</f>
        <v>0</v>
      </c>
      <c r="G8" s="382">
        <f>'Parte financiera'!I8+'Parte financiera'!W8+'Parte financiera'!AK8+'Parte financiera'!AY8+'Parte financiera'!BO8+'Parte financiera'!CC8+'Parte financiera'!CQ8+'Parte financiera'!DE8+'Parte financiera'!DU8+'Parte financiera'!EI8+'Parte financiera'!EW8+'Parte financiera'!FK8+'Parte financiera'!GA8+'Parte financiera'!GO8+'Parte financiera'!HC8+'Parte financiera'!HQ8</f>
        <v>0</v>
      </c>
      <c r="H8" s="382">
        <f>'Parte financiera'!J8+'Parte financiera'!X8+'Parte financiera'!AL8+'Parte financiera'!AZ8+'Parte financiera'!BP8+'Parte financiera'!CD8+'Parte financiera'!CR8+'Parte financiera'!DF8+'Parte financiera'!DV8+'Parte financiera'!EJ8+'Parte financiera'!EX8+'Parte financiera'!FL8+'Parte financiera'!GB8+'Parte financiera'!GP8+'Parte financiera'!HD8+'Parte financiera'!HR8</f>
        <v>0</v>
      </c>
      <c r="I8" s="382">
        <f>'Parte financiera'!K8+'Parte financiera'!Y8+'Parte financiera'!AM8+'Parte financiera'!BA8+'Parte financiera'!BQ8+'Parte financiera'!CE8+'Parte financiera'!CS8+'Parte financiera'!DG8+'Parte financiera'!DW8+'Parte financiera'!EK8+'Parte financiera'!EY8+'Parte financiera'!FM8+'Parte financiera'!GC8+'Parte financiera'!GQ8+'Parte financiera'!HE8+'Parte financiera'!HS8</f>
        <v>0</v>
      </c>
      <c r="J8" s="382">
        <f>'Parte financiera'!L8+'Parte financiera'!Z8+'Parte financiera'!AN8+'Parte financiera'!BB8+'Parte financiera'!BR8+'Parte financiera'!CF8+'Parte financiera'!CT8+'Parte financiera'!DH8+'Parte financiera'!DX8+'Parte financiera'!EL8+'Parte financiera'!EZ8+'Parte financiera'!FN8+'Parte financiera'!GD8+'Parte financiera'!GR8+'Parte financiera'!HF8+'Parte financiera'!HT8</f>
        <v>0</v>
      </c>
      <c r="K8" s="382">
        <f>'Parte financiera'!M8+'Parte financiera'!AA8+'Parte financiera'!AO8+'Parte financiera'!BC8+'Parte financiera'!BS8+'Parte financiera'!CG8+'Parte financiera'!CU8+'Parte financiera'!DI8+'Parte financiera'!DY8+'Parte financiera'!EM8+'Parte financiera'!FA8+'Parte financiera'!FO8+'Parte financiera'!GE8+'Parte financiera'!GS8+'Parte financiera'!HG8+'Parte financiera'!HU8</f>
        <v>0</v>
      </c>
      <c r="L8" s="382">
        <f>'Parte financiera'!N8+'Parte financiera'!AB8+'Parte financiera'!AP8+'Parte financiera'!BD8+'Parte financiera'!BT8+'Parte financiera'!CH8+'Parte financiera'!CV8+'Parte financiera'!DJ8+'Parte financiera'!DZ8+'Parte financiera'!EN8+'Parte financiera'!FB8+'Parte financiera'!FP8+'Parte financiera'!GF8+'Parte financiera'!GT8+'Parte financiera'!HH8+'Parte financiera'!HV8</f>
        <v>0</v>
      </c>
      <c r="M8" s="382" t="e">
        <f>'Parte financiera'!O8+'Parte financiera'!AC8+'Parte financiera'!AQ8+'Parte financiera'!BE8+'Parte financiera'!BU8+'Parte financiera'!CI8+'Parte financiera'!CW8+'Parte financiera'!DK8+'Parte financiera'!EA8+'Parte financiera'!EO8+'Parte financiera'!FC8+'Parte financiera'!FQ8+'Parte financiera'!GG8+'Parte financiera'!GU8+'Parte financiera'!HI8+'Parte financiera'!HW8</f>
        <v>#VALUE!</v>
      </c>
      <c r="N8" s="382">
        <f>'Parte financiera'!P8+'Parte financiera'!AD8+'Parte financiera'!AR8+'Parte financiera'!BF8+'Parte financiera'!BV8+'Parte financiera'!CJ8+'Parte financiera'!CX8+'Parte financiera'!DL8+'Parte financiera'!EB8+'Parte financiera'!EP8+'Parte financiera'!FD8+'Parte financiera'!FR8+'Parte financiera'!GH8+'Parte financiera'!GV8+'Parte financiera'!HJ8+'Parte financiera'!HX8</f>
        <v>0</v>
      </c>
      <c r="O8" s="383">
        <f>'Parte financiera'!Q8+'Parte financiera'!AE8+'Parte financiera'!AS8+'Parte financiera'!BG8+'Parte financiera'!BW8+'Parte financiera'!CK8+'Parte financiera'!CY8+'Parte financiera'!DM8+'Parte financiera'!EC8+'Parte financiera'!EQ8+'Parte financiera'!FE8+'Parte financiera'!FS8+'Parte financiera'!GI8+'Parte financiera'!GW8+'Parte financiera'!HK8+'Parte financiera'!HY8</f>
        <v>0</v>
      </c>
    </row>
    <row r="9" spans="1:15">
      <c r="A9" s="463" t="str">
        <f>IF('Parte Estrategica'!B9=0,"",'Parte Estrategica'!B9)</f>
        <v/>
      </c>
      <c r="B9" s="382" t="e">
        <f>'Parte financiera'!D9+'Parte financiera'!R9+'Parte financiera'!AF9+'Parte financiera'!AT9+'Parte financiera'!BJ9+'Parte financiera'!BX9+'Parte financiera'!CL9+'Parte financiera'!CZ9+'Parte financiera'!DP9+'Parte financiera'!ED9+'Parte financiera'!ER9+'Parte financiera'!FF9+'Parte financiera'!FV9+'Parte financiera'!GJ9+'Parte financiera'!GX9+'Parte financiera'!HL9</f>
        <v>#VALUE!</v>
      </c>
      <c r="C9" s="382">
        <f>'Parte financiera'!E9+'Parte financiera'!S9+'Parte financiera'!AG9+'Parte financiera'!AU9+'Parte financiera'!BK9+'Parte financiera'!BY9+'Parte financiera'!CM9+'Parte financiera'!DA9+'Parte financiera'!DQ9+'Parte financiera'!EE9+'Parte financiera'!ES9+'Parte financiera'!FG9+'Parte financiera'!FW9+'Parte financiera'!GK9+'Parte financiera'!GY9+'Parte financiera'!HM9</f>
        <v>0</v>
      </c>
      <c r="D9" s="382">
        <f>'Parte financiera'!F9+'Parte financiera'!T9+'Parte financiera'!AH9+'Parte financiera'!AV9+'Parte financiera'!BL9+'Parte financiera'!BZ9+'Parte financiera'!CN9+'Parte financiera'!DB9+'Parte financiera'!DR9+'Parte financiera'!EF9+'Parte financiera'!ET9+'Parte financiera'!FH9+'Parte financiera'!FX9+'Parte financiera'!GL9+'Parte financiera'!GZ9+'Parte financiera'!HN9</f>
        <v>0</v>
      </c>
      <c r="E9" s="382">
        <f>'Parte financiera'!G9+'Parte financiera'!U9+'Parte financiera'!AI9+'Parte financiera'!AW9+'Parte financiera'!BM9+'Parte financiera'!CA9+'Parte financiera'!CO9+'Parte financiera'!DC9+'Parte financiera'!DS9+'Parte financiera'!EG9+'Parte financiera'!EU9+'Parte financiera'!FI9+'Parte financiera'!FY9+'Parte financiera'!GM9+'Parte financiera'!HA9+'Parte financiera'!HO9</f>
        <v>0</v>
      </c>
      <c r="F9" s="382">
        <f>'Parte financiera'!H9+'Parte financiera'!V9+'Parte financiera'!AJ9+'Parte financiera'!AX9+'Parte financiera'!BN9+'Parte financiera'!CB9+'Parte financiera'!CP9+'Parte financiera'!DD9+'Parte financiera'!DT9+'Parte financiera'!EH9+'Parte financiera'!EV9+'Parte financiera'!FJ9+'Parte financiera'!FZ9+'Parte financiera'!GN9+'Parte financiera'!HB9+'Parte financiera'!HP9</f>
        <v>0</v>
      </c>
      <c r="G9" s="382">
        <f>'Parte financiera'!I9+'Parte financiera'!W9+'Parte financiera'!AK9+'Parte financiera'!AY9+'Parte financiera'!BO9+'Parte financiera'!CC9+'Parte financiera'!CQ9+'Parte financiera'!DE9+'Parte financiera'!DU9+'Parte financiera'!EI9+'Parte financiera'!EW9+'Parte financiera'!FK9+'Parte financiera'!GA9+'Parte financiera'!GO9+'Parte financiera'!HC9+'Parte financiera'!HQ9</f>
        <v>0</v>
      </c>
      <c r="H9" s="382">
        <f>'Parte financiera'!J9+'Parte financiera'!X9+'Parte financiera'!AL9+'Parte financiera'!AZ9+'Parte financiera'!BP9+'Parte financiera'!CD9+'Parte financiera'!CR9+'Parte financiera'!DF9+'Parte financiera'!DV9+'Parte financiera'!EJ9+'Parte financiera'!EX9+'Parte financiera'!FL9+'Parte financiera'!GB9+'Parte financiera'!GP9+'Parte financiera'!HD9+'Parte financiera'!HR9</f>
        <v>0</v>
      </c>
      <c r="I9" s="382">
        <f>'Parte financiera'!K9+'Parte financiera'!Y9+'Parte financiera'!AM9+'Parte financiera'!BA9+'Parte financiera'!BQ9+'Parte financiera'!CE9+'Parte financiera'!CS9+'Parte financiera'!DG9+'Parte financiera'!DW9+'Parte financiera'!EK9+'Parte financiera'!EY9+'Parte financiera'!FM9+'Parte financiera'!GC9+'Parte financiera'!GQ9+'Parte financiera'!HE9+'Parte financiera'!HS9</f>
        <v>0</v>
      </c>
      <c r="J9" s="382">
        <f>'Parte financiera'!L9+'Parte financiera'!Z9+'Parte financiera'!AN9+'Parte financiera'!BB9+'Parte financiera'!BR9+'Parte financiera'!CF9+'Parte financiera'!CT9+'Parte financiera'!DH9+'Parte financiera'!DX9+'Parte financiera'!EL9+'Parte financiera'!EZ9+'Parte financiera'!FN9+'Parte financiera'!GD9+'Parte financiera'!GR9+'Parte financiera'!HF9+'Parte financiera'!HT9</f>
        <v>0</v>
      </c>
      <c r="K9" s="382">
        <f>'Parte financiera'!M9+'Parte financiera'!AA9+'Parte financiera'!AO9+'Parte financiera'!BC9+'Parte financiera'!BS9+'Parte financiera'!CG9+'Parte financiera'!CU9+'Parte financiera'!DI9+'Parte financiera'!DY9+'Parte financiera'!EM9+'Parte financiera'!FA9+'Parte financiera'!FO9+'Parte financiera'!GE9+'Parte financiera'!GS9+'Parte financiera'!HG9+'Parte financiera'!HU9</f>
        <v>0</v>
      </c>
      <c r="L9" s="382">
        <f>'Parte financiera'!N9+'Parte financiera'!AB9+'Parte financiera'!AP9+'Parte financiera'!BD9+'Parte financiera'!BT9+'Parte financiera'!CH9+'Parte financiera'!CV9+'Parte financiera'!DJ9+'Parte financiera'!DZ9+'Parte financiera'!EN9+'Parte financiera'!FB9+'Parte financiera'!FP9+'Parte financiera'!GF9+'Parte financiera'!GT9+'Parte financiera'!HH9+'Parte financiera'!HV9</f>
        <v>0</v>
      </c>
      <c r="M9" s="382" t="e">
        <f>'Parte financiera'!O9+'Parte financiera'!AC9+'Parte financiera'!AQ9+'Parte financiera'!BE9+'Parte financiera'!BU9+'Parte financiera'!CI9+'Parte financiera'!CW9+'Parte financiera'!DK9+'Parte financiera'!EA9+'Parte financiera'!EO9+'Parte financiera'!FC9+'Parte financiera'!FQ9+'Parte financiera'!GG9+'Parte financiera'!GU9+'Parte financiera'!HI9+'Parte financiera'!HW9</f>
        <v>#VALUE!</v>
      </c>
      <c r="N9" s="382">
        <f>'Parte financiera'!P9+'Parte financiera'!AD9+'Parte financiera'!AR9+'Parte financiera'!BF9+'Parte financiera'!BV9+'Parte financiera'!CJ9+'Parte financiera'!CX9+'Parte financiera'!DL9+'Parte financiera'!EB9+'Parte financiera'!EP9+'Parte financiera'!FD9+'Parte financiera'!FR9+'Parte financiera'!GH9+'Parte financiera'!GV9+'Parte financiera'!HJ9+'Parte financiera'!HX9</f>
        <v>0</v>
      </c>
      <c r="O9" s="383">
        <f>'Parte financiera'!Q9+'Parte financiera'!AE9+'Parte financiera'!AS9+'Parte financiera'!BG9+'Parte financiera'!BW9+'Parte financiera'!CK9+'Parte financiera'!CY9+'Parte financiera'!DM9+'Parte financiera'!EC9+'Parte financiera'!EQ9+'Parte financiera'!FE9+'Parte financiera'!FS9+'Parte financiera'!GI9+'Parte financiera'!GW9+'Parte financiera'!HK9+'Parte financiera'!HY9</f>
        <v>0</v>
      </c>
    </row>
    <row r="10" spans="1:15">
      <c r="A10" s="463" t="str">
        <f>IF('Parte Estrategica'!B10=0,"",'Parte Estrategica'!B10)</f>
        <v/>
      </c>
      <c r="B10" s="382" t="e">
        <f>'Parte financiera'!D10+'Parte financiera'!R10+'Parte financiera'!AF10+'Parte financiera'!AT10+'Parte financiera'!BJ10+'Parte financiera'!BX10+'Parte financiera'!CL10+'Parte financiera'!CZ10+'Parte financiera'!DP10+'Parte financiera'!ED10+'Parte financiera'!ER10+'Parte financiera'!FF10+'Parte financiera'!FV10+'Parte financiera'!GJ10+'Parte financiera'!GX10+'Parte financiera'!HL10</f>
        <v>#VALUE!</v>
      </c>
      <c r="C10" s="382">
        <f>'Parte financiera'!E10+'Parte financiera'!S10+'Parte financiera'!AG10+'Parte financiera'!AU10+'Parte financiera'!BK10+'Parte financiera'!BY10+'Parte financiera'!CM10+'Parte financiera'!DA10+'Parte financiera'!DQ10+'Parte financiera'!EE10+'Parte financiera'!ES10+'Parte financiera'!FG10+'Parte financiera'!FW10+'Parte financiera'!GK10+'Parte financiera'!GY10+'Parte financiera'!HM10</f>
        <v>0</v>
      </c>
      <c r="D10" s="382">
        <f>'Parte financiera'!F10+'Parte financiera'!T10+'Parte financiera'!AH10+'Parte financiera'!AV10+'Parte financiera'!BL10+'Parte financiera'!BZ10+'Parte financiera'!CN10+'Parte financiera'!DB10+'Parte financiera'!DR10+'Parte financiera'!EF10+'Parte financiera'!ET10+'Parte financiera'!FH10+'Parte financiera'!FX10+'Parte financiera'!GL10+'Parte financiera'!GZ10+'Parte financiera'!HN10</f>
        <v>0</v>
      </c>
      <c r="E10" s="382">
        <f>'Parte financiera'!G10+'Parte financiera'!U10+'Parte financiera'!AI10+'Parte financiera'!AW10+'Parte financiera'!BM10+'Parte financiera'!CA10+'Parte financiera'!CO10+'Parte financiera'!DC10+'Parte financiera'!DS10+'Parte financiera'!EG10+'Parte financiera'!EU10+'Parte financiera'!FI10+'Parte financiera'!FY10+'Parte financiera'!GM10+'Parte financiera'!HA10+'Parte financiera'!HO10</f>
        <v>0</v>
      </c>
      <c r="F10" s="382">
        <f>'Parte financiera'!H10+'Parte financiera'!V10+'Parte financiera'!AJ10+'Parte financiera'!AX10+'Parte financiera'!BN10+'Parte financiera'!CB10+'Parte financiera'!CP10+'Parte financiera'!DD10+'Parte financiera'!DT10+'Parte financiera'!EH10+'Parte financiera'!EV10+'Parte financiera'!FJ10+'Parte financiera'!FZ10+'Parte financiera'!GN10+'Parte financiera'!HB10+'Parte financiera'!HP10</f>
        <v>0</v>
      </c>
      <c r="G10" s="382">
        <f>'Parte financiera'!I10+'Parte financiera'!W10+'Parte financiera'!AK10+'Parte financiera'!AY10+'Parte financiera'!BO10+'Parte financiera'!CC10+'Parte financiera'!CQ10+'Parte financiera'!DE10+'Parte financiera'!DU10+'Parte financiera'!EI10+'Parte financiera'!EW10+'Parte financiera'!FK10+'Parte financiera'!GA10+'Parte financiera'!GO10+'Parte financiera'!HC10+'Parte financiera'!HQ10</f>
        <v>0</v>
      </c>
      <c r="H10" s="382">
        <f>'Parte financiera'!J10+'Parte financiera'!X10+'Parte financiera'!AL10+'Parte financiera'!AZ10+'Parte financiera'!BP10+'Parte financiera'!CD10+'Parte financiera'!CR10+'Parte financiera'!DF10+'Parte financiera'!DV10+'Parte financiera'!EJ10+'Parte financiera'!EX10+'Parte financiera'!FL10+'Parte financiera'!GB10+'Parte financiera'!GP10+'Parte financiera'!HD10+'Parte financiera'!HR10</f>
        <v>0</v>
      </c>
      <c r="I10" s="382">
        <f>'Parte financiera'!K10+'Parte financiera'!Y10+'Parte financiera'!AM10+'Parte financiera'!BA10+'Parte financiera'!BQ10+'Parte financiera'!CE10+'Parte financiera'!CS10+'Parte financiera'!DG10+'Parte financiera'!DW10+'Parte financiera'!EK10+'Parte financiera'!EY10+'Parte financiera'!FM10+'Parte financiera'!GC10+'Parte financiera'!GQ10+'Parte financiera'!HE10+'Parte financiera'!HS10</f>
        <v>0</v>
      </c>
      <c r="J10" s="382">
        <f>'Parte financiera'!L10+'Parte financiera'!Z10+'Parte financiera'!AN10+'Parte financiera'!BB10+'Parte financiera'!BR10+'Parte financiera'!CF10+'Parte financiera'!CT10+'Parte financiera'!DH10+'Parte financiera'!DX10+'Parte financiera'!EL10+'Parte financiera'!EZ10+'Parte financiera'!FN10+'Parte financiera'!GD10+'Parte financiera'!GR10+'Parte financiera'!HF10+'Parte financiera'!HT10</f>
        <v>0</v>
      </c>
      <c r="K10" s="382">
        <f>'Parte financiera'!M10+'Parte financiera'!AA10+'Parte financiera'!AO10+'Parte financiera'!BC10+'Parte financiera'!BS10+'Parte financiera'!CG10+'Parte financiera'!CU10+'Parte financiera'!DI10+'Parte financiera'!DY10+'Parte financiera'!EM10+'Parte financiera'!FA10+'Parte financiera'!FO10+'Parte financiera'!GE10+'Parte financiera'!GS10+'Parte financiera'!HG10+'Parte financiera'!HU10</f>
        <v>0</v>
      </c>
      <c r="L10" s="382">
        <f>'Parte financiera'!N10+'Parte financiera'!AB10+'Parte financiera'!AP10+'Parte financiera'!BD10+'Parte financiera'!BT10+'Parte financiera'!CH10+'Parte financiera'!CV10+'Parte financiera'!DJ10+'Parte financiera'!DZ10+'Parte financiera'!EN10+'Parte financiera'!FB10+'Parte financiera'!FP10+'Parte financiera'!GF10+'Parte financiera'!GT10+'Parte financiera'!HH10+'Parte financiera'!HV10</f>
        <v>0</v>
      </c>
      <c r="M10" s="382" t="e">
        <f>'Parte financiera'!O10+'Parte financiera'!AC10+'Parte financiera'!AQ10+'Parte financiera'!BE10+'Parte financiera'!BU10+'Parte financiera'!CI10+'Parte financiera'!CW10+'Parte financiera'!DK10+'Parte financiera'!EA10+'Parte financiera'!EO10+'Parte financiera'!FC10+'Parte financiera'!FQ10+'Parte financiera'!GG10+'Parte financiera'!GU10+'Parte financiera'!HI10+'Parte financiera'!HW10</f>
        <v>#VALUE!</v>
      </c>
      <c r="N10" s="382">
        <f>'Parte financiera'!P10+'Parte financiera'!AD10+'Parte financiera'!AR10+'Parte financiera'!BF10+'Parte financiera'!BV10+'Parte financiera'!CJ10+'Parte financiera'!CX10+'Parte financiera'!DL10+'Parte financiera'!EB10+'Parte financiera'!EP10+'Parte financiera'!FD10+'Parte financiera'!FR10+'Parte financiera'!GH10+'Parte financiera'!GV10+'Parte financiera'!HJ10+'Parte financiera'!HX10</f>
        <v>0</v>
      </c>
      <c r="O10" s="383">
        <f>'Parte financiera'!Q10+'Parte financiera'!AE10+'Parte financiera'!AS10+'Parte financiera'!BG10+'Parte financiera'!BW10+'Parte financiera'!CK10+'Parte financiera'!CY10+'Parte financiera'!DM10+'Parte financiera'!EC10+'Parte financiera'!EQ10+'Parte financiera'!FE10+'Parte financiera'!FS10+'Parte financiera'!GI10+'Parte financiera'!GW10+'Parte financiera'!HK10+'Parte financiera'!HY10</f>
        <v>0</v>
      </c>
    </row>
    <row r="11" spans="1:15">
      <c r="A11" s="463" t="str">
        <f>IF('Parte Estrategica'!B11=0,"",'Parte Estrategica'!B11)</f>
        <v/>
      </c>
      <c r="B11" s="382" t="e">
        <f>'Parte financiera'!D11+'Parte financiera'!R11+'Parte financiera'!AF11+'Parte financiera'!AT11+'Parte financiera'!BJ11+'Parte financiera'!BX11+'Parte financiera'!CL11+'Parte financiera'!CZ11+'Parte financiera'!DP11+'Parte financiera'!ED11+'Parte financiera'!ER11+'Parte financiera'!FF11+'Parte financiera'!FV11+'Parte financiera'!GJ11+'Parte financiera'!GX11+'Parte financiera'!HL11</f>
        <v>#VALUE!</v>
      </c>
      <c r="C11" s="382">
        <f>'Parte financiera'!E11+'Parte financiera'!S11+'Parte financiera'!AG11+'Parte financiera'!AU11+'Parte financiera'!BK11+'Parte financiera'!BY11+'Parte financiera'!CM11+'Parte financiera'!DA11+'Parte financiera'!DQ11+'Parte financiera'!EE11+'Parte financiera'!ES11+'Parte financiera'!FG11+'Parte financiera'!FW11+'Parte financiera'!GK11+'Parte financiera'!GY11+'Parte financiera'!HM11</f>
        <v>0</v>
      </c>
      <c r="D11" s="382">
        <f>'Parte financiera'!F11+'Parte financiera'!T11+'Parte financiera'!AH11+'Parte financiera'!AV11+'Parte financiera'!BL11+'Parte financiera'!BZ11+'Parte financiera'!CN11+'Parte financiera'!DB11+'Parte financiera'!DR11+'Parte financiera'!EF11+'Parte financiera'!ET11+'Parte financiera'!FH11+'Parte financiera'!FX11+'Parte financiera'!GL11+'Parte financiera'!GZ11+'Parte financiera'!HN11</f>
        <v>0</v>
      </c>
      <c r="E11" s="382">
        <f>'Parte financiera'!G11+'Parte financiera'!U11+'Parte financiera'!AI11+'Parte financiera'!AW11+'Parte financiera'!BM11+'Parte financiera'!CA11+'Parte financiera'!CO11+'Parte financiera'!DC11+'Parte financiera'!DS11+'Parte financiera'!EG11+'Parte financiera'!EU11+'Parte financiera'!FI11+'Parte financiera'!FY11+'Parte financiera'!GM11+'Parte financiera'!HA11+'Parte financiera'!HO11</f>
        <v>0</v>
      </c>
      <c r="F11" s="382">
        <f>'Parte financiera'!H11+'Parte financiera'!V11+'Parte financiera'!AJ11+'Parte financiera'!AX11+'Parte financiera'!BN11+'Parte financiera'!CB11+'Parte financiera'!CP11+'Parte financiera'!DD11+'Parte financiera'!DT11+'Parte financiera'!EH11+'Parte financiera'!EV11+'Parte financiera'!FJ11+'Parte financiera'!FZ11+'Parte financiera'!GN11+'Parte financiera'!HB11+'Parte financiera'!HP11</f>
        <v>0</v>
      </c>
      <c r="G11" s="382">
        <f>'Parte financiera'!I11+'Parte financiera'!W11+'Parte financiera'!AK11+'Parte financiera'!AY11+'Parte financiera'!BO11+'Parte financiera'!CC11+'Parte financiera'!CQ11+'Parte financiera'!DE11+'Parte financiera'!DU11+'Parte financiera'!EI11+'Parte financiera'!EW11+'Parte financiera'!FK11+'Parte financiera'!GA11+'Parte financiera'!GO11+'Parte financiera'!HC11+'Parte financiera'!HQ11</f>
        <v>0</v>
      </c>
      <c r="H11" s="382">
        <f>'Parte financiera'!J11+'Parte financiera'!X11+'Parte financiera'!AL11+'Parte financiera'!AZ11+'Parte financiera'!BP11+'Parte financiera'!CD11+'Parte financiera'!CR11+'Parte financiera'!DF11+'Parte financiera'!DV11+'Parte financiera'!EJ11+'Parte financiera'!EX11+'Parte financiera'!FL11+'Parte financiera'!GB11+'Parte financiera'!GP11+'Parte financiera'!HD11+'Parte financiera'!HR11</f>
        <v>0</v>
      </c>
      <c r="I11" s="382">
        <f>'Parte financiera'!K11+'Parte financiera'!Y11+'Parte financiera'!AM11+'Parte financiera'!BA11+'Parte financiera'!BQ11+'Parte financiera'!CE11+'Parte financiera'!CS11+'Parte financiera'!DG11+'Parte financiera'!DW11+'Parte financiera'!EK11+'Parte financiera'!EY11+'Parte financiera'!FM11+'Parte financiera'!GC11+'Parte financiera'!GQ11+'Parte financiera'!HE11+'Parte financiera'!HS11</f>
        <v>0</v>
      </c>
      <c r="J11" s="382">
        <f>'Parte financiera'!L11+'Parte financiera'!Z11+'Parte financiera'!AN11+'Parte financiera'!BB11+'Parte financiera'!BR11+'Parte financiera'!CF11+'Parte financiera'!CT11+'Parte financiera'!DH11+'Parte financiera'!DX11+'Parte financiera'!EL11+'Parte financiera'!EZ11+'Parte financiera'!FN11+'Parte financiera'!GD11+'Parte financiera'!GR11+'Parte financiera'!HF11+'Parte financiera'!HT11</f>
        <v>0</v>
      </c>
      <c r="K11" s="382">
        <f>'Parte financiera'!M11+'Parte financiera'!AA11+'Parte financiera'!AO11+'Parte financiera'!BC11+'Parte financiera'!BS11+'Parte financiera'!CG11+'Parte financiera'!CU11+'Parte financiera'!DI11+'Parte financiera'!DY11+'Parte financiera'!EM11+'Parte financiera'!FA11+'Parte financiera'!FO11+'Parte financiera'!GE11+'Parte financiera'!GS11+'Parte financiera'!HG11+'Parte financiera'!HU11</f>
        <v>0</v>
      </c>
      <c r="L11" s="382">
        <f>'Parte financiera'!N11+'Parte financiera'!AB11+'Parte financiera'!AP11+'Parte financiera'!BD11+'Parte financiera'!BT11+'Parte financiera'!CH11+'Parte financiera'!CV11+'Parte financiera'!DJ11+'Parte financiera'!DZ11+'Parte financiera'!EN11+'Parte financiera'!FB11+'Parte financiera'!FP11+'Parte financiera'!GF11+'Parte financiera'!GT11+'Parte financiera'!HH11+'Parte financiera'!HV11</f>
        <v>0</v>
      </c>
      <c r="M11" s="382" t="e">
        <f>'Parte financiera'!O11+'Parte financiera'!AC11+'Parte financiera'!AQ11+'Parte financiera'!BE11+'Parte financiera'!BU11+'Parte financiera'!CI11+'Parte financiera'!CW11+'Parte financiera'!DK11+'Parte financiera'!EA11+'Parte financiera'!EO11+'Parte financiera'!FC11+'Parte financiera'!FQ11+'Parte financiera'!GG11+'Parte financiera'!GU11+'Parte financiera'!HI11+'Parte financiera'!HW11</f>
        <v>#VALUE!</v>
      </c>
      <c r="N11" s="382">
        <f>'Parte financiera'!P11+'Parte financiera'!AD11+'Parte financiera'!AR11+'Parte financiera'!BF11+'Parte financiera'!BV11+'Parte financiera'!CJ11+'Parte financiera'!CX11+'Parte financiera'!DL11+'Parte financiera'!EB11+'Parte financiera'!EP11+'Parte financiera'!FD11+'Parte financiera'!FR11+'Parte financiera'!GH11+'Parte financiera'!GV11+'Parte financiera'!HJ11+'Parte financiera'!HX11</f>
        <v>0</v>
      </c>
      <c r="O11" s="383">
        <f>'Parte financiera'!Q11+'Parte financiera'!AE11+'Parte financiera'!AS11+'Parte financiera'!BG11+'Parte financiera'!BW11+'Parte financiera'!CK11+'Parte financiera'!CY11+'Parte financiera'!DM11+'Parte financiera'!EC11+'Parte financiera'!EQ11+'Parte financiera'!FE11+'Parte financiera'!FS11+'Parte financiera'!GI11+'Parte financiera'!GW11+'Parte financiera'!HK11+'Parte financiera'!HY11</f>
        <v>0</v>
      </c>
    </row>
    <row r="12" spans="1:15">
      <c r="A12" s="463" t="str">
        <f>IF('Parte Estrategica'!B12=0,"",'Parte Estrategica'!B12)</f>
        <v/>
      </c>
      <c r="B12" s="382" t="e">
        <f>'Parte financiera'!D12+'Parte financiera'!R12+'Parte financiera'!AF12+'Parte financiera'!AT12+'Parte financiera'!BJ12+'Parte financiera'!BX12+'Parte financiera'!CL12+'Parte financiera'!CZ12+'Parte financiera'!DP12+'Parte financiera'!ED12+'Parte financiera'!ER12+'Parte financiera'!FF12+'Parte financiera'!FV12+'Parte financiera'!GJ12+'Parte financiera'!GX12+'Parte financiera'!HL12</f>
        <v>#VALUE!</v>
      </c>
      <c r="C12" s="382">
        <f>'Parte financiera'!E12+'Parte financiera'!S12+'Parte financiera'!AG12+'Parte financiera'!AU12+'Parte financiera'!BK12+'Parte financiera'!BY12+'Parte financiera'!CM12+'Parte financiera'!DA12+'Parte financiera'!DQ12+'Parte financiera'!EE12+'Parte financiera'!ES12+'Parte financiera'!FG12+'Parte financiera'!FW12+'Parte financiera'!GK12+'Parte financiera'!GY12+'Parte financiera'!HM12</f>
        <v>0</v>
      </c>
      <c r="D12" s="382">
        <f>'Parte financiera'!F12+'Parte financiera'!T12+'Parte financiera'!AH12+'Parte financiera'!AV12+'Parte financiera'!BL12+'Parte financiera'!BZ12+'Parte financiera'!CN12+'Parte financiera'!DB12+'Parte financiera'!DR12+'Parte financiera'!EF12+'Parte financiera'!ET12+'Parte financiera'!FH12+'Parte financiera'!FX12+'Parte financiera'!GL12+'Parte financiera'!GZ12+'Parte financiera'!HN12</f>
        <v>0</v>
      </c>
      <c r="E12" s="382">
        <f>'Parte financiera'!G12+'Parte financiera'!U12+'Parte financiera'!AI12+'Parte financiera'!AW12+'Parte financiera'!BM12+'Parte financiera'!CA12+'Parte financiera'!CO12+'Parte financiera'!DC12+'Parte financiera'!DS12+'Parte financiera'!EG12+'Parte financiera'!EU12+'Parte financiera'!FI12+'Parte financiera'!FY12+'Parte financiera'!GM12+'Parte financiera'!HA12+'Parte financiera'!HO12</f>
        <v>0</v>
      </c>
      <c r="F12" s="382">
        <f>'Parte financiera'!H12+'Parte financiera'!V12+'Parte financiera'!AJ12+'Parte financiera'!AX12+'Parte financiera'!BN12+'Parte financiera'!CB12+'Parte financiera'!CP12+'Parte financiera'!DD12+'Parte financiera'!DT12+'Parte financiera'!EH12+'Parte financiera'!EV12+'Parte financiera'!FJ12+'Parte financiera'!FZ12+'Parte financiera'!GN12+'Parte financiera'!HB12+'Parte financiera'!HP12</f>
        <v>0</v>
      </c>
      <c r="G12" s="382">
        <f>'Parte financiera'!I12+'Parte financiera'!W12+'Parte financiera'!AK12+'Parte financiera'!AY12+'Parte financiera'!BO12+'Parte financiera'!CC12+'Parte financiera'!CQ12+'Parte financiera'!DE12+'Parte financiera'!DU12+'Parte financiera'!EI12+'Parte financiera'!EW12+'Parte financiera'!FK12+'Parte financiera'!GA12+'Parte financiera'!GO12+'Parte financiera'!HC12+'Parte financiera'!HQ12</f>
        <v>0</v>
      </c>
      <c r="H12" s="382">
        <f>'Parte financiera'!J12+'Parte financiera'!X12+'Parte financiera'!AL12+'Parte financiera'!AZ12+'Parte financiera'!BP12+'Parte financiera'!CD12+'Parte financiera'!CR12+'Parte financiera'!DF12+'Parte financiera'!DV12+'Parte financiera'!EJ12+'Parte financiera'!EX12+'Parte financiera'!FL12+'Parte financiera'!GB12+'Parte financiera'!GP12+'Parte financiera'!HD12+'Parte financiera'!HR12</f>
        <v>0</v>
      </c>
      <c r="I12" s="382">
        <f>'Parte financiera'!K12+'Parte financiera'!Y12+'Parte financiera'!AM12+'Parte financiera'!BA12+'Parte financiera'!BQ12+'Parte financiera'!CE12+'Parte financiera'!CS12+'Parte financiera'!DG12+'Parte financiera'!DW12+'Parte financiera'!EK12+'Parte financiera'!EY12+'Parte financiera'!FM12+'Parte financiera'!GC12+'Parte financiera'!GQ12+'Parte financiera'!HE12+'Parte financiera'!HS12</f>
        <v>0</v>
      </c>
      <c r="J12" s="382">
        <f>'Parte financiera'!L12+'Parte financiera'!Z12+'Parte financiera'!AN12+'Parte financiera'!BB12+'Parte financiera'!BR12+'Parte financiera'!CF12+'Parte financiera'!CT12+'Parte financiera'!DH12+'Parte financiera'!DX12+'Parte financiera'!EL12+'Parte financiera'!EZ12+'Parte financiera'!FN12+'Parte financiera'!GD12+'Parte financiera'!GR12+'Parte financiera'!HF12+'Parte financiera'!HT12</f>
        <v>0</v>
      </c>
      <c r="K12" s="382">
        <f>'Parte financiera'!M12+'Parte financiera'!AA12+'Parte financiera'!AO12+'Parte financiera'!BC12+'Parte financiera'!BS12+'Parte financiera'!CG12+'Parte financiera'!CU12+'Parte financiera'!DI12+'Parte financiera'!DY12+'Parte financiera'!EM12+'Parte financiera'!FA12+'Parte financiera'!FO12+'Parte financiera'!GE12+'Parte financiera'!GS12+'Parte financiera'!HG12+'Parte financiera'!HU12</f>
        <v>0</v>
      </c>
      <c r="L12" s="382">
        <f>'Parte financiera'!N12+'Parte financiera'!AB12+'Parte financiera'!AP12+'Parte financiera'!BD12+'Parte financiera'!BT12+'Parte financiera'!CH12+'Parte financiera'!CV12+'Parte financiera'!DJ12+'Parte financiera'!DZ12+'Parte financiera'!EN12+'Parte financiera'!FB12+'Parte financiera'!FP12+'Parte financiera'!GF12+'Parte financiera'!GT12+'Parte financiera'!HH12+'Parte financiera'!HV12</f>
        <v>0</v>
      </c>
      <c r="M12" s="382" t="e">
        <f>'Parte financiera'!O12+'Parte financiera'!AC12+'Parte financiera'!AQ12+'Parte financiera'!BE12+'Parte financiera'!BU12+'Parte financiera'!CI12+'Parte financiera'!CW12+'Parte financiera'!DK12+'Parte financiera'!EA12+'Parte financiera'!EO12+'Parte financiera'!FC12+'Parte financiera'!FQ12+'Parte financiera'!GG12+'Parte financiera'!GU12+'Parte financiera'!HI12+'Parte financiera'!HW12</f>
        <v>#VALUE!</v>
      </c>
      <c r="N12" s="382">
        <f>'Parte financiera'!P12+'Parte financiera'!AD12+'Parte financiera'!AR12+'Parte financiera'!BF12+'Parte financiera'!BV12+'Parte financiera'!CJ12+'Parte financiera'!CX12+'Parte financiera'!DL12+'Parte financiera'!EB12+'Parte financiera'!EP12+'Parte financiera'!FD12+'Parte financiera'!FR12+'Parte financiera'!GH12+'Parte financiera'!GV12+'Parte financiera'!HJ12+'Parte financiera'!HX12</f>
        <v>0</v>
      </c>
      <c r="O12" s="383">
        <f>'Parte financiera'!Q12+'Parte financiera'!AE12+'Parte financiera'!AS12+'Parte financiera'!BG12+'Parte financiera'!BW12+'Parte financiera'!CK12+'Parte financiera'!CY12+'Parte financiera'!DM12+'Parte financiera'!EC12+'Parte financiera'!EQ12+'Parte financiera'!FE12+'Parte financiera'!FS12+'Parte financiera'!GI12+'Parte financiera'!GW12+'Parte financiera'!HK12+'Parte financiera'!HY12</f>
        <v>0</v>
      </c>
    </row>
    <row r="13" spans="1:15">
      <c r="A13" s="463" t="str">
        <f>IF('Parte Estrategica'!B13=0,"",'Parte Estrategica'!B13)</f>
        <v/>
      </c>
      <c r="B13" s="382" t="e">
        <f>'Parte financiera'!D13+'Parte financiera'!R13+'Parte financiera'!AF13+'Parte financiera'!AT13+'Parte financiera'!BJ13+'Parte financiera'!BX13+'Parte financiera'!CL13+'Parte financiera'!CZ13+'Parte financiera'!DP13+'Parte financiera'!ED13+'Parte financiera'!ER13+'Parte financiera'!FF13+'Parte financiera'!FV13+'Parte financiera'!GJ13+'Parte financiera'!GX13+'Parte financiera'!HL13</f>
        <v>#VALUE!</v>
      </c>
      <c r="C13" s="382">
        <f>'Parte financiera'!E13+'Parte financiera'!S13+'Parte financiera'!AG13+'Parte financiera'!AU13+'Parte financiera'!BK13+'Parte financiera'!BY13+'Parte financiera'!CM13+'Parte financiera'!DA13+'Parte financiera'!DQ13+'Parte financiera'!EE13+'Parte financiera'!ES13+'Parte financiera'!FG13+'Parte financiera'!FW13+'Parte financiera'!GK13+'Parte financiera'!GY13+'Parte financiera'!HM13</f>
        <v>0</v>
      </c>
      <c r="D13" s="382">
        <f>'Parte financiera'!F13+'Parte financiera'!T13+'Parte financiera'!AH13+'Parte financiera'!AV13+'Parte financiera'!BL13+'Parte financiera'!BZ13+'Parte financiera'!CN13+'Parte financiera'!DB13+'Parte financiera'!DR13+'Parte financiera'!EF13+'Parte financiera'!ET13+'Parte financiera'!FH13+'Parte financiera'!FX13+'Parte financiera'!GL13+'Parte financiera'!GZ13+'Parte financiera'!HN13</f>
        <v>0</v>
      </c>
      <c r="E13" s="382">
        <f>'Parte financiera'!G13+'Parte financiera'!U13+'Parte financiera'!AI13+'Parte financiera'!AW13+'Parte financiera'!BM13+'Parte financiera'!CA13+'Parte financiera'!CO13+'Parte financiera'!DC13+'Parte financiera'!DS13+'Parte financiera'!EG13+'Parte financiera'!EU13+'Parte financiera'!FI13+'Parte financiera'!FY13+'Parte financiera'!GM13+'Parte financiera'!HA13+'Parte financiera'!HO13</f>
        <v>0</v>
      </c>
      <c r="F13" s="382">
        <f>'Parte financiera'!H13+'Parte financiera'!V13+'Parte financiera'!AJ13+'Parte financiera'!AX13+'Parte financiera'!BN13+'Parte financiera'!CB13+'Parte financiera'!CP13+'Parte financiera'!DD13+'Parte financiera'!DT13+'Parte financiera'!EH13+'Parte financiera'!EV13+'Parte financiera'!FJ13+'Parte financiera'!FZ13+'Parte financiera'!GN13+'Parte financiera'!HB13+'Parte financiera'!HP13</f>
        <v>0</v>
      </c>
      <c r="G13" s="382">
        <f>'Parte financiera'!I13+'Parte financiera'!W13+'Parte financiera'!AK13+'Parte financiera'!AY13+'Parte financiera'!BO13+'Parte financiera'!CC13+'Parte financiera'!CQ13+'Parte financiera'!DE13+'Parte financiera'!DU13+'Parte financiera'!EI13+'Parte financiera'!EW13+'Parte financiera'!FK13+'Parte financiera'!GA13+'Parte financiera'!GO13+'Parte financiera'!HC13+'Parte financiera'!HQ13</f>
        <v>0</v>
      </c>
      <c r="H13" s="382">
        <f>'Parte financiera'!J13+'Parte financiera'!X13+'Parte financiera'!AL13+'Parte financiera'!AZ13+'Parte financiera'!BP13+'Parte financiera'!CD13+'Parte financiera'!CR13+'Parte financiera'!DF13+'Parte financiera'!DV13+'Parte financiera'!EJ13+'Parte financiera'!EX13+'Parte financiera'!FL13+'Parte financiera'!GB13+'Parte financiera'!GP13+'Parte financiera'!HD13+'Parte financiera'!HR13</f>
        <v>0</v>
      </c>
      <c r="I13" s="382">
        <f>'Parte financiera'!K13+'Parte financiera'!Y13+'Parte financiera'!AM13+'Parte financiera'!BA13+'Parte financiera'!BQ13+'Parte financiera'!CE13+'Parte financiera'!CS13+'Parte financiera'!DG13+'Parte financiera'!DW13+'Parte financiera'!EK13+'Parte financiera'!EY13+'Parte financiera'!FM13+'Parte financiera'!GC13+'Parte financiera'!GQ13+'Parte financiera'!HE13+'Parte financiera'!HS13</f>
        <v>0</v>
      </c>
      <c r="J13" s="382">
        <f>'Parte financiera'!L13+'Parte financiera'!Z13+'Parte financiera'!AN13+'Parte financiera'!BB13+'Parte financiera'!BR13+'Parte financiera'!CF13+'Parte financiera'!CT13+'Parte financiera'!DH13+'Parte financiera'!DX13+'Parte financiera'!EL13+'Parte financiera'!EZ13+'Parte financiera'!FN13+'Parte financiera'!GD13+'Parte financiera'!GR13+'Parte financiera'!HF13+'Parte financiera'!HT13</f>
        <v>0</v>
      </c>
      <c r="K13" s="382">
        <f>'Parte financiera'!M13+'Parte financiera'!AA13+'Parte financiera'!AO13+'Parte financiera'!BC13+'Parte financiera'!BS13+'Parte financiera'!CG13+'Parte financiera'!CU13+'Parte financiera'!DI13+'Parte financiera'!DY13+'Parte financiera'!EM13+'Parte financiera'!FA13+'Parte financiera'!FO13+'Parte financiera'!GE13+'Parte financiera'!GS13+'Parte financiera'!HG13+'Parte financiera'!HU13</f>
        <v>0</v>
      </c>
      <c r="L13" s="382">
        <f>'Parte financiera'!N13+'Parte financiera'!AB13+'Parte financiera'!AP13+'Parte financiera'!BD13+'Parte financiera'!BT13+'Parte financiera'!CH13+'Parte financiera'!CV13+'Parte financiera'!DJ13+'Parte financiera'!DZ13+'Parte financiera'!EN13+'Parte financiera'!FB13+'Parte financiera'!FP13+'Parte financiera'!GF13+'Parte financiera'!GT13+'Parte financiera'!HH13+'Parte financiera'!HV13</f>
        <v>0</v>
      </c>
      <c r="M13" s="382" t="e">
        <f>'Parte financiera'!O13+'Parte financiera'!AC13+'Parte financiera'!AQ13+'Parte financiera'!BE13+'Parte financiera'!BU13+'Parte financiera'!CI13+'Parte financiera'!CW13+'Parte financiera'!DK13+'Parte financiera'!EA13+'Parte financiera'!EO13+'Parte financiera'!FC13+'Parte financiera'!FQ13+'Parte financiera'!GG13+'Parte financiera'!GU13+'Parte financiera'!HI13+'Parte financiera'!HW13</f>
        <v>#VALUE!</v>
      </c>
      <c r="N13" s="382">
        <f>'Parte financiera'!P13+'Parte financiera'!AD13+'Parte financiera'!AR13+'Parte financiera'!BF13+'Parte financiera'!BV13+'Parte financiera'!CJ13+'Parte financiera'!CX13+'Parte financiera'!DL13+'Parte financiera'!EB13+'Parte financiera'!EP13+'Parte financiera'!FD13+'Parte financiera'!FR13+'Parte financiera'!GH13+'Parte financiera'!GV13+'Parte financiera'!HJ13+'Parte financiera'!HX13</f>
        <v>0</v>
      </c>
      <c r="O13" s="383">
        <f>'Parte financiera'!Q13+'Parte financiera'!AE13+'Parte financiera'!AS13+'Parte financiera'!BG13+'Parte financiera'!BW13+'Parte financiera'!CK13+'Parte financiera'!CY13+'Parte financiera'!DM13+'Parte financiera'!EC13+'Parte financiera'!EQ13+'Parte financiera'!FE13+'Parte financiera'!FS13+'Parte financiera'!GI13+'Parte financiera'!GW13+'Parte financiera'!HK13+'Parte financiera'!HY13</f>
        <v>0</v>
      </c>
    </row>
    <row r="14" spans="1:15">
      <c r="A14" s="463" t="str">
        <f>IF('Parte Estrategica'!B14=0,"",'Parte Estrategica'!B14)</f>
        <v/>
      </c>
      <c r="B14" s="382" t="e">
        <f>'Parte financiera'!D14+'Parte financiera'!R14+'Parte financiera'!AF14+'Parte financiera'!AT14+'Parte financiera'!BJ14+'Parte financiera'!BX14+'Parte financiera'!CL14+'Parte financiera'!CZ14+'Parte financiera'!DP14+'Parte financiera'!ED14+'Parte financiera'!ER14+'Parte financiera'!FF14+'Parte financiera'!FV14+'Parte financiera'!GJ14+'Parte financiera'!GX14+'Parte financiera'!HL14</f>
        <v>#VALUE!</v>
      </c>
      <c r="C14" s="382">
        <f>'Parte financiera'!E14+'Parte financiera'!S14+'Parte financiera'!AG14+'Parte financiera'!AU14+'Parte financiera'!BK14+'Parte financiera'!BY14+'Parte financiera'!CM14+'Parte financiera'!DA14+'Parte financiera'!DQ14+'Parte financiera'!EE14+'Parte financiera'!ES14+'Parte financiera'!FG14+'Parte financiera'!FW14+'Parte financiera'!GK14+'Parte financiera'!GY14+'Parte financiera'!HM14</f>
        <v>0</v>
      </c>
      <c r="D14" s="382">
        <f>'Parte financiera'!F14+'Parte financiera'!T14+'Parte financiera'!AH14+'Parte financiera'!AV14+'Parte financiera'!BL14+'Parte financiera'!BZ14+'Parte financiera'!CN14+'Parte financiera'!DB14+'Parte financiera'!DR14+'Parte financiera'!EF14+'Parte financiera'!ET14+'Parte financiera'!FH14+'Parte financiera'!FX14+'Parte financiera'!GL14+'Parte financiera'!GZ14+'Parte financiera'!HN14</f>
        <v>0</v>
      </c>
      <c r="E14" s="382">
        <f>'Parte financiera'!G14+'Parte financiera'!U14+'Parte financiera'!AI14+'Parte financiera'!AW14+'Parte financiera'!BM14+'Parte financiera'!CA14+'Parte financiera'!CO14+'Parte financiera'!DC14+'Parte financiera'!DS14+'Parte financiera'!EG14+'Parte financiera'!EU14+'Parte financiera'!FI14+'Parte financiera'!FY14+'Parte financiera'!GM14+'Parte financiera'!HA14+'Parte financiera'!HO14</f>
        <v>0</v>
      </c>
      <c r="F14" s="382">
        <f>'Parte financiera'!H14+'Parte financiera'!V14+'Parte financiera'!AJ14+'Parte financiera'!AX14+'Parte financiera'!BN14+'Parte financiera'!CB14+'Parte financiera'!CP14+'Parte financiera'!DD14+'Parte financiera'!DT14+'Parte financiera'!EH14+'Parte financiera'!EV14+'Parte financiera'!FJ14+'Parte financiera'!FZ14+'Parte financiera'!GN14+'Parte financiera'!HB14+'Parte financiera'!HP14</f>
        <v>0</v>
      </c>
      <c r="G14" s="382">
        <f>'Parte financiera'!I14+'Parte financiera'!W14+'Parte financiera'!AK14+'Parte financiera'!AY14+'Parte financiera'!BO14+'Parte financiera'!CC14+'Parte financiera'!CQ14+'Parte financiera'!DE14+'Parte financiera'!DU14+'Parte financiera'!EI14+'Parte financiera'!EW14+'Parte financiera'!FK14+'Parte financiera'!GA14+'Parte financiera'!GO14+'Parte financiera'!HC14+'Parte financiera'!HQ14</f>
        <v>0</v>
      </c>
      <c r="H14" s="382">
        <f>'Parte financiera'!J14+'Parte financiera'!X14+'Parte financiera'!AL14+'Parte financiera'!AZ14+'Parte financiera'!BP14+'Parte financiera'!CD14+'Parte financiera'!CR14+'Parte financiera'!DF14+'Parte financiera'!DV14+'Parte financiera'!EJ14+'Parte financiera'!EX14+'Parte financiera'!FL14+'Parte financiera'!GB14+'Parte financiera'!GP14+'Parte financiera'!HD14+'Parte financiera'!HR14</f>
        <v>0</v>
      </c>
      <c r="I14" s="382">
        <f>'Parte financiera'!K14+'Parte financiera'!Y14+'Parte financiera'!AM14+'Parte financiera'!BA14+'Parte financiera'!BQ14+'Parte financiera'!CE14+'Parte financiera'!CS14+'Parte financiera'!DG14+'Parte financiera'!DW14+'Parte financiera'!EK14+'Parte financiera'!EY14+'Parte financiera'!FM14+'Parte financiera'!GC14+'Parte financiera'!GQ14+'Parte financiera'!HE14+'Parte financiera'!HS14</f>
        <v>0</v>
      </c>
      <c r="J14" s="382">
        <f>'Parte financiera'!L14+'Parte financiera'!Z14+'Parte financiera'!AN14+'Parte financiera'!BB14+'Parte financiera'!BR14+'Parte financiera'!CF14+'Parte financiera'!CT14+'Parte financiera'!DH14+'Parte financiera'!DX14+'Parte financiera'!EL14+'Parte financiera'!EZ14+'Parte financiera'!FN14+'Parte financiera'!GD14+'Parte financiera'!GR14+'Parte financiera'!HF14+'Parte financiera'!HT14</f>
        <v>0</v>
      </c>
      <c r="K14" s="382">
        <f>'Parte financiera'!M14+'Parte financiera'!AA14+'Parte financiera'!AO14+'Parte financiera'!BC14+'Parte financiera'!BS14+'Parte financiera'!CG14+'Parte financiera'!CU14+'Parte financiera'!DI14+'Parte financiera'!DY14+'Parte financiera'!EM14+'Parte financiera'!FA14+'Parte financiera'!FO14+'Parte financiera'!GE14+'Parte financiera'!GS14+'Parte financiera'!HG14+'Parte financiera'!HU14</f>
        <v>0</v>
      </c>
      <c r="L14" s="382">
        <f>'Parte financiera'!N14+'Parte financiera'!AB14+'Parte financiera'!AP14+'Parte financiera'!BD14+'Parte financiera'!BT14+'Parte financiera'!CH14+'Parte financiera'!CV14+'Parte financiera'!DJ14+'Parte financiera'!DZ14+'Parte financiera'!EN14+'Parte financiera'!FB14+'Parte financiera'!FP14+'Parte financiera'!GF14+'Parte financiera'!GT14+'Parte financiera'!HH14+'Parte financiera'!HV14</f>
        <v>0</v>
      </c>
      <c r="M14" s="382" t="e">
        <f>'Parte financiera'!O14+'Parte financiera'!AC14+'Parte financiera'!AQ14+'Parte financiera'!BE14+'Parte financiera'!BU14+'Parte financiera'!CI14+'Parte financiera'!CW14+'Parte financiera'!DK14+'Parte financiera'!EA14+'Parte financiera'!EO14+'Parte financiera'!FC14+'Parte financiera'!FQ14+'Parte financiera'!GG14+'Parte financiera'!GU14+'Parte financiera'!HI14+'Parte financiera'!HW14</f>
        <v>#VALUE!</v>
      </c>
      <c r="N14" s="382">
        <f>'Parte financiera'!P14+'Parte financiera'!AD14+'Parte financiera'!AR14+'Parte financiera'!BF14+'Parte financiera'!BV14+'Parte financiera'!CJ14+'Parte financiera'!CX14+'Parte financiera'!DL14+'Parte financiera'!EB14+'Parte financiera'!EP14+'Parte financiera'!FD14+'Parte financiera'!FR14+'Parte financiera'!GH14+'Parte financiera'!GV14+'Parte financiera'!HJ14+'Parte financiera'!HX14</f>
        <v>0</v>
      </c>
      <c r="O14" s="383">
        <f>'Parte financiera'!Q14+'Parte financiera'!AE14+'Parte financiera'!AS14+'Parte financiera'!BG14+'Parte financiera'!BW14+'Parte financiera'!CK14+'Parte financiera'!CY14+'Parte financiera'!DM14+'Parte financiera'!EC14+'Parte financiera'!EQ14+'Parte financiera'!FE14+'Parte financiera'!FS14+'Parte financiera'!GI14+'Parte financiera'!GW14+'Parte financiera'!HK14+'Parte financiera'!HY14</f>
        <v>0</v>
      </c>
    </row>
    <row r="15" spans="1:15">
      <c r="A15" s="463" t="str">
        <f>IF('Parte Estrategica'!B15=0,"",'Parte Estrategica'!B15)</f>
        <v/>
      </c>
      <c r="B15" s="382" t="e">
        <f>'Parte financiera'!D15+'Parte financiera'!R15+'Parte financiera'!AF15+'Parte financiera'!AT15+'Parte financiera'!BJ15+'Parte financiera'!BX15+'Parte financiera'!CL15+'Parte financiera'!CZ15+'Parte financiera'!DP15+'Parte financiera'!ED15+'Parte financiera'!ER15+'Parte financiera'!FF15+'Parte financiera'!FV15+'Parte financiera'!GJ15+'Parte financiera'!GX15+'Parte financiera'!HL15</f>
        <v>#VALUE!</v>
      </c>
      <c r="C15" s="382">
        <f>'Parte financiera'!E15+'Parte financiera'!S15+'Parte financiera'!AG15+'Parte financiera'!AU15+'Parte financiera'!BK15+'Parte financiera'!BY15+'Parte financiera'!CM15+'Parte financiera'!DA15+'Parte financiera'!DQ15+'Parte financiera'!EE15+'Parte financiera'!ES15+'Parte financiera'!FG15+'Parte financiera'!FW15+'Parte financiera'!GK15+'Parte financiera'!GY15+'Parte financiera'!HM15</f>
        <v>0</v>
      </c>
      <c r="D15" s="382">
        <f>'Parte financiera'!F15+'Parte financiera'!T15+'Parte financiera'!AH15+'Parte financiera'!AV15+'Parte financiera'!BL15+'Parte financiera'!BZ15+'Parte financiera'!CN15+'Parte financiera'!DB15+'Parte financiera'!DR15+'Parte financiera'!EF15+'Parte financiera'!ET15+'Parte financiera'!FH15+'Parte financiera'!FX15+'Parte financiera'!GL15+'Parte financiera'!GZ15+'Parte financiera'!HN15</f>
        <v>0</v>
      </c>
      <c r="E15" s="382">
        <f>'Parte financiera'!G15+'Parte financiera'!U15+'Parte financiera'!AI15+'Parte financiera'!AW15+'Parte financiera'!BM15+'Parte financiera'!CA15+'Parte financiera'!CO15+'Parte financiera'!DC15+'Parte financiera'!DS15+'Parte financiera'!EG15+'Parte financiera'!EU15+'Parte financiera'!FI15+'Parte financiera'!FY15+'Parte financiera'!GM15+'Parte financiera'!HA15+'Parte financiera'!HO15</f>
        <v>0</v>
      </c>
      <c r="F15" s="382">
        <f>'Parte financiera'!H15+'Parte financiera'!V15+'Parte financiera'!AJ15+'Parte financiera'!AX15+'Parte financiera'!BN15+'Parte financiera'!CB15+'Parte financiera'!CP15+'Parte financiera'!DD15+'Parte financiera'!DT15+'Parte financiera'!EH15+'Parte financiera'!EV15+'Parte financiera'!FJ15+'Parte financiera'!FZ15+'Parte financiera'!GN15+'Parte financiera'!HB15+'Parte financiera'!HP15</f>
        <v>0</v>
      </c>
      <c r="G15" s="382">
        <f>'Parte financiera'!I15+'Parte financiera'!W15+'Parte financiera'!AK15+'Parte financiera'!AY15+'Parte financiera'!BO15+'Parte financiera'!CC15+'Parte financiera'!CQ15+'Parte financiera'!DE15+'Parte financiera'!DU15+'Parte financiera'!EI15+'Parte financiera'!EW15+'Parte financiera'!FK15+'Parte financiera'!GA15+'Parte financiera'!GO15+'Parte financiera'!HC15+'Parte financiera'!HQ15</f>
        <v>0</v>
      </c>
      <c r="H15" s="382">
        <f>'Parte financiera'!J15+'Parte financiera'!X15+'Parte financiera'!AL15+'Parte financiera'!AZ15+'Parte financiera'!BP15+'Parte financiera'!CD15+'Parte financiera'!CR15+'Parte financiera'!DF15+'Parte financiera'!DV15+'Parte financiera'!EJ15+'Parte financiera'!EX15+'Parte financiera'!FL15+'Parte financiera'!GB15+'Parte financiera'!GP15+'Parte financiera'!HD15+'Parte financiera'!HR15</f>
        <v>0</v>
      </c>
      <c r="I15" s="382">
        <f>'Parte financiera'!K15+'Parte financiera'!Y15+'Parte financiera'!AM15+'Parte financiera'!BA15+'Parte financiera'!BQ15+'Parte financiera'!CE15+'Parte financiera'!CS15+'Parte financiera'!DG15+'Parte financiera'!DW15+'Parte financiera'!EK15+'Parte financiera'!EY15+'Parte financiera'!FM15+'Parte financiera'!GC15+'Parte financiera'!GQ15+'Parte financiera'!HE15+'Parte financiera'!HS15</f>
        <v>0</v>
      </c>
      <c r="J15" s="382">
        <f>'Parte financiera'!L15+'Parte financiera'!Z15+'Parte financiera'!AN15+'Parte financiera'!BB15+'Parte financiera'!BR15+'Parte financiera'!CF15+'Parte financiera'!CT15+'Parte financiera'!DH15+'Parte financiera'!DX15+'Parte financiera'!EL15+'Parte financiera'!EZ15+'Parte financiera'!FN15+'Parte financiera'!GD15+'Parte financiera'!GR15+'Parte financiera'!HF15+'Parte financiera'!HT15</f>
        <v>0</v>
      </c>
      <c r="K15" s="382">
        <f>'Parte financiera'!M15+'Parte financiera'!AA15+'Parte financiera'!AO15+'Parte financiera'!BC15+'Parte financiera'!BS15+'Parte financiera'!CG15+'Parte financiera'!CU15+'Parte financiera'!DI15+'Parte financiera'!DY15+'Parte financiera'!EM15+'Parte financiera'!FA15+'Parte financiera'!FO15+'Parte financiera'!GE15+'Parte financiera'!GS15+'Parte financiera'!HG15+'Parte financiera'!HU15</f>
        <v>0</v>
      </c>
      <c r="L15" s="382">
        <f>'Parte financiera'!N15+'Parte financiera'!AB15+'Parte financiera'!AP15+'Parte financiera'!BD15+'Parte financiera'!BT15+'Parte financiera'!CH15+'Parte financiera'!CV15+'Parte financiera'!DJ15+'Parte financiera'!DZ15+'Parte financiera'!EN15+'Parte financiera'!FB15+'Parte financiera'!FP15+'Parte financiera'!GF15+'Parte financiera'!GT15+'Parte financiera'!HH15+'Parte financiera'!HV15</f>
        <v>0</v>
      </c>
      <c r="M15" s="382" t="e">
        <f>'Parte financiera'!O15+'Parte financiera'!AC15+'Parte financiera'!AQ15+'Parte financiera'!BE15+'Parte financiera'!BU15+'Parte financiera'!CI15+'Parte financiera'!CW15+'Parte financiera'!DK15+'Parte financiera'!EA15+'Parte financiera'!EO15+'Parte financiera'!FC15+'Parte financiera'!FQ15+'Parte financiera'!GG15+'Parte financiera'!GU15+'Parte financiera'!HI15+'Parte financiera'!HW15</f>
        <v>#VALUE!</v>
      </c>
      <c r="N15" s="382">
        <f>'Parte financiera'!P15+'Parte financiera'!AD15+'Parte financiera'!AR15+'Parte financiera'!BF15+'Parte financiera'!BV15+'Parte financiera'!CJ15+'Parte financiera'!CX15+'Parte financiera'!DL15+'Parte financiera'!EB15+'Parte financiera'!EP15+'Parte financiera'!FD15+'Parte financiera'!FR15+'Parte financiera'!GH15+'Parte financiera'!GV15+'Parte financiera'!HJ15+'Parte financiera'!HX15</f>
        <v>0</v>
      </c>
      <c r="O15" s="383">
        <f>'Parte financiera'!Q15+'Parte financiera'!AE15+'Parte financiera'!AS15+'Parte financiera'!BG15+'Parte financiera'!BW15+'Parte financiera'!CK15+'Parte financiera'!CY15+'Parte financiera'!DM15+'Parte financiera'!EC15+'Parte financiera'!EQ15+'Parte financiera'!FE15+'Parte financiera'!FS15+'Parte financiera'!GI15+'Parte financiera'!GW15+'Parte financiera'!HK15+'Parte financiera'!HY15</f>
        <v>0</v>
      </c>
    </row>
    <row r="16" spans="1:15">
      <c r="A16" s="463" t="str">
        <f>IF('Parte Estrategica'!B16=0,"",'Parte Estrategica'!B16)</f>
        <v/>
      </c>
      <c r="B16" s="382" t="e">
        <f>'Parte financiera'!D16+'Parte financiera'!R16+'Parte financiera'!AF16+'Parte financiera'!AT16+'Parte financiera'!BJ16+'Parte financiera'!BX16+'Parte financiera'!CL16+'Parte financiera'!CZ16+'Parte financiera'!DP16+'Parte financiera'!ED16+'Parte financiera'!ER16+'Parte financiera'!FF16+'Parte financiera'!FV16+'Parte financiera'!GJ16+'Parte financiera'!GX16+'Parte financiera'!HL16</f>
        <v>#VALUE!</v>
      </c>
      <c r="C16" s="382">
        <f>'Parte financiera'!E16+'Parte financiera'!S16+'Parte financiera'!AG16+'Parte financiera'!AU16+'Parte financiera'!BK16+'Parte financiera'!BY16+'Parte financiera'!CM16+'Parte financiera'!DA16+'Parte financiera'!DQ16+'Parte financiera'!EE16+'Parte financiera'!ES16+'Parte financiera'!FG16+'Parte financiera'!FW16+'Parte financiera'!GK16+'Parte financiera'!GY16+'Parte financiera'!HM16</f>
        <v>0</v>
      </c>
      <c r="D16" s="382">
        <f>'Parte financiera'!F16+'Parte financiera'!T16+'Parte financiera'!AH16+'Parte financiera'!AV16+'Parte financiera'!BL16+'Parte financiera'!BZ16+'Parte financiera'!CN16+'Parte financiera'!DB16+'Parte financiera'!DR16+'Parte financiera'!EF16+'Parte financiera'!ET16+'Parte financiera'!FH16+'Parte financiera'!FX16+'Parte financiera'!GL16+'Parte financiera'!GZ16+'Parte financiera'!HN16</f>
        <v>0</v>
      </c>
      <c r="E16" s="382">
        <f>'Parte financiera'!G16+'Parte financiera'!U16+'Parte financiera'!AI16+'Parte financiera'!AW16+'Parte financiera'!BM16+'Parte financiera'!CA16+'Parte financiera'!CO16+'Parte financiera'!DC16+'Parte financiera'!DS16+'Parte financiera'!EG16+'Parte financiera'!EU16+'Parte financiera'!FI16+'Parte financiera'!FY16+'Parte financiera'!GM16+'Parte financiera'!HA16+'Parte financiera'!HO16</f>
        <v>0</v>
      </c>
      <c r="F16" s="382">
        <f>'Parte financiera'!H16+'Parte financiera'!V16+'Parte financiera'!AJ16+'Parte financiera'!AX16+'Parte financiera'!BN16+'Parte financiera'!CB16+'Parte financiera'!CP16+'Parte financiera'!DD16+'Parte financiera'!DT16+'Parte financiera'!EH16+'Parte financiera'!EV16+'Parte financiera'!FJ16+'Parte financiera'!FZ16+'Parte financiera'!GN16+'Parte financiera'!HB16+'Parte financiera'!HP16</f>
        <v>0</v>
      </c>
      <c r="G16" s="382">
        <f>'Parte financiera'!I16+'Parte financiera'!W16+'Parte financiera'!AK16+'Parte financiera'!AY16+'Parte financiera'!BO16+'Parte financiera'!CC16+'Parte financiera'!CQ16+'Parte financiera'!DE16+'Parte financiera'!DU16+'Parte financiera'!EI16+'Parte financiera'!EW16+'Parte financiera'!FK16+'Parte financiera'!GA16+'Parte financiera'!GO16+'Parte financiera'!HC16+'Parte financiera'!HQ16</f>
        <v>0</v>
      </c>
      <c r="H16" s="382">
        <f>'Parte financiera'!J16+'Parte financiera'!X16+'Parte financiera'!AL16+'Parte financiera'!AZ16+'Parte financiera'!BP16+'Parte financiera'!CD16+'Parte financiera'!CR16+'Parte financiera'!DF16+'Parte financiera'!DV16+'Parte financiera'!EJ16+'Parte financiera'!EX16+'Parte financiera'!FL16+'Parte financiera'!GB16+'Parte financiera'!GP16+'Parte financiera'!HD16+'Parte financiera'!HR16</f>
        <v>0</v>
      </c>
      <c r="I16" s="382">
        <f>'Parte financiera'!K16+'Parte financiera'!Y16+'Parte financiera'!AM16+'Parte financiera'!BA16+'Parte financiera'!BQ16+'Parte financiera'!CE16+'Parte financiera'!CS16+'Parte financiera'!DG16+'Parte financiera'!DW16+'Parte financiera'!EK16+'Parte financiera'!EY16+'Parte financiera'!FM16+'Parte financiera'!GC16+'Parte financiera'!GQ16+'Parte financiera'!HE16+'Parte financiera'!HS16</f>
        <v>0</v>
      </c>
      <c r="J16" s="382">
        <f>'Parte financiera'!L16+'Parte financiera'!Z16+'Parte financiera'!AN16+'Parte financiera'!BB16+'Parte financiera'!BR16+'Parte financiera'!CF16+'Parte financiera'!CT16+'Parte financiera'!DH16+'Parte financiera'!DX16+'Parte financiera'!EL16+'Parte financiera'!EZ16+'Parte financiera'!FN16+'Parte financiera'!GD16+'Parte financiera'!GR16+'Parte financiera'!HF16+'Parte financiera'!HT16</f>
        <v>0</v>
      </c>
      <c r="K16" s="382">
        <f>'Parte financiera'!M16+'Parte financiera'!AA16+'Parte financiera'!AO16+'Parte financiera'!BC16+'Parte financiera'!BS16+'Parte financiera'!CG16+'Parte financiera'!CU16+'Parte financiera'!DI16+'Parte financiera'!DY16+'Parte financiera'!EM16+'Parte financiera'!FA16+'Parte financiera'!FO16+'Parte financiera'!GE16+'Parte financiera'!GS16+'Parte financiera'!HG16+'Parte financiera'!HU16</f>
        <v>0</v>
      </c>
      <c r="L16" s="382">
        <f>'Parte financiera'!N16+'Parte financiera'!AB16+'Parte financiera'!AP16+'Parte financiera'!BD16+'Parte financiera'!BT16+'Parte financiera'!CH16+'Parte financiera'!CV16+'Parte financiera'!DJ16+'Parte financiera'!DZ16+'Parte financiera'!EN16+'Parte financiera'!FB16+'Parte financiera'!FP16+'Parte financiera'!GF16+'Parte financiera'!GT16+'Parte financiera'!HH16+'Parte financiera'!HV16</f>
        <v>0</v>
      </c>
      <c r="M16" s="382" t="e">
        <f>'Parte financiera'!O16+'Parte financiera'!AC16+'Parte financiera'!AQ16+'Parte financiera'!BE16+'Parte financiera'!BU16+'Parte financiera'!CI16+'Parte financiera'!CW16+'Parte financiera'!DK16+'Parte financiera'!EA16+'Parte financiera'!EO16+'Parte financiera'!FC16+'Parte financiera'!FQ16+'Parte financiera'!GG16+'Parte financiera'!GU16+'Parte financiera'!HI16+'Parte financiera'!HW16</f>
        <v>#VALUE!</v>
      </c>
      <c r="N16" s="382">
        <f>'Parte financiera'!P16+'Parte financiera'!AD16+'Parte financiera'!AR16+'Parte financiera'!BF16+'Parte financiera'!BV16+'Parte financiera'!CJ16+'Parte financiera'!CX16+'Parte financiera'!DL16+'Parte financiera'!EB16+'Parte financiera'!EP16+'Parte financiera'!FD16+'Parte financiera'!FR16+'Parte financiera'!GH16+'Parte financiera'!GV16+'Parte financiera'!HJ16+'Parte financiera'!HX16</f>
        <v>0</v>
      </c>
      <c r="O16" s="383">
        <f>'Parte financiera'!Q16+'Parte financiera'!AE16+'Parte financiera'!AS16+'Parte financiera'!BG16+'Parte financiera'!BW16+'Parte financiera'!CK16+'Parte financiera'!CY16+'Parte financiera'!DM16+'Parte financiera'!EC16+'Parte financiera'!EQ16+'Parte financiera'!FE16+'Parte financiera'!FS16+'Parte financiera'!GI16+'Parte financiera'!GW16+'Parte financiera'!HK16+'Parte financiera'!HY16</f>
        <v>0</v>
      </c>
    </row>
    <row r="17" spans="1:15">
      <c r="A17" s="463" t="str">
        <f>IF('Parte Estrategica'!B17=0,"",'Parte Estrategica'!B17)</f>
        <v/>
      </c>
      <c r="B17" s="382" t="e">
        <f>'Parte financiera'!D17+'Parte financiera'!R17+'Parte financiera'!AF17+'Parte financiera'!AT17+'Parte financiera'!BJ17+'Parte financiera'!BX17+'Parte financiera'!CL17+'Parte financiera'!CZ17+'Parte financiera'!DP17+'Parte financiera'!ED17+'Parte financiera'!ER17+'Parte financiera'!FF17+'Parte financiera'!FV17+'Parte financiera'!GJ17+'Parte financiera'!GX17+'Parte financiera'!HL17</f>
        <v>#VALUE!</v>
      </c>
      <c r="C17" s="382">
        <f>'Parte financiera'!E17+'Parte financiera'!S17+'Parte financiera'!AG17+'Parte financiera'!AU17+'Parte financiera'!BK17+'Parte financiera'!BY17+'Parte financiera'!CM17+'Parte financiera'!DA17+'Parte financiera'!DQ17+'Parte financiera'!EE17+'Parte financiera'!ES17+'Parte financiera'!FG17+'Parte financiera'!FW17+'Parte financiera'!GK17+'Parte financiera'!GY17+'Parte financiera'!HM17</f>
        <v>0</v>
      </c>
      <c r="D17" s="382">
        <f>'Parte financiera'!F17+'Parte financiera'!T17+'Parte financiera'!AH17+'Parte financiera'!AV17+'Parte financiera'!BL17+'Parte financiera'!BZ17+'Parte financiera'!CN17+'Parte financiera'!DB17+'Parte financiera'!DR17+'Parte financiera'!EF17+'Parte financiera'!ET17+'Parte financiera'!FH17+'Parte financiera'!FX17+'Parte financiera'!GL17+'Parte financiera'!GZ17+'Parte financiera'!HN17</f>
        <v>0</v>
      </c>
      <c r="E17" s="382">
        <f>'Parte financiera'!G17+'Parte financiera'!U17+'Parte financiera'!AI17+'Parte financiera'!AW17+'Parte financiera'!BM17+'Parte financiera'!CA17+'Parte financiera'!CO17+'Parte financiera'!DC17+'Parte financiera'!DS17+'Parte financiera'!EG17+'Parte financiera'!EU17+'Parte financiera'!FI17+'Parte financiera'!FY17+'Parte financiera'!GM17+'Parte financiera'!HA17+'Parte financiera'!HO17</f>
        <v>0</v>
      </c>
      <c r="F17" s="382">
        <f>'Parte financiera'!H17+'Parte financiera'!V17+'Parte financiera'!AJ17+'Parte financiera'!AX17+'Parte financiera'!BN17+'Parte financiera'!CB17+'Parte financiera'!CP17+'Parte financiera'!DD17+'Parte financiera'!DT17+'Parte financiera'!EH17+'Parte financiera'!EV17+'Parte financiera'!FJ17+'Parte financiera'!FZ17+'Parte financiera'!GN17+'Parte financiera'!HB17+'Parte financiera'!HP17</f>
        <v>0</v>
      </c>
      <c r="G17" s="382">
        <f>'Parte financiera'!I17+'Parte financiera'!W17+'Parte financiera'!AK17+'Parte financiera'!AY17+'Parte financiera'!BO17+'Parte financiera'!CC17+'Parte financiera'!CQ17+'Parte financiera'!DE17+'Parte financiera'!DU17+'Parte financiera'!EI17+'Parte financiera'!EW17+'Parte financiera'!FK17+'Parte financiera'!GA17+'Parte financiera'!GO17+'Parte financiera'!HC17+'Parte financiera'!HQ17</f>
        <v>0</v>
      </c>
      <c r="H17" s="382">
        <f>'Parte financiera'!J17+'Parte financiera'!X17+'Parte financiera'!AL17+'Parte financiera'!AZ17+'Parte financiera'!BP17+'Parte financiera'!CD17+'Parte financiera'!CR17+'Parte financiera'!DF17+'Parte financiera'!DV17+'Parte financiera'!EJ17+'Parte financiera'!EX17+'Parte financiera'!FL17+'Parte financiera'!GB17+'Parte financiera'!GP17+'Parte financiera'!HD17+'Parte financiera'!HR17</f>
        <v>0</v>
      </c>
      <c r="I17" s="382">
        <f>'Parte financiera'!K17+'Parte financiera'!Y17+'Parte financiera'!AM17+'Parte financiera'!BA17+'Parte financiera'!BQ17+'Parte financiera'!CE17+'Parte financiera'!CS17+'Parte financiera'!DG17+'Parte financiera'!DW17+'Parte financiera'!EK17+'Parte financiera'!EY17+'Parte financiera'!FM17+'Parte financiera'!GC17+'Parte financiera'!GQ17+'Parte financiera'!HE17+'Parte financiera'!HS17</f>
        <v>0</v>
      </c>
      <c r="J17" s="382">
        <f>'Parte financiera'!L17+'Parte financiera'!Z17+'Parte financiera'!AN17+'Parte financiera'!BB17+'Parte financiera'!BR17+'Parte financiera'!CF17+'Parte financiera'!CT17+'Parte financiera'!DH17+'Parte financiera'!DX17+'Parte financiera'!EL17+'Parte financiera'!EZ17+'Parte financiera'!FN17+'Parte financiera'!GD17+'Parte financiera'!GR17+'Parte financiera'!HF17+'Parte financiera'!HT17</f>
        <v>0</v>
      </c>
      <c r="K17" s="382">
        <f>'Parte financiera'!M17+'Parte financiera'!AA17+'Parte financiera'!AO17+'Parte financiera'!BC17+'Parte financiera'!BS17+'Parte financiera'!CG17+'Parte financiera'!CU17+'Parte financiera'!DI17+'Parte financiera'!DY17+'Parte financiera'!EM17+'Parte financiera'!FA17+'Parte financiera'!FO17+'Parte financiera'!GE17+'Parte financiera'!GS17+'Parte financiera'!HG17+'Parte financiera'!HU17</f>
        <v>0</v>
      </c>
      <c r="L17" s="382">
        <f>'Parte financiera'!N17+'Parte financiera'!AB17+'Parte financiera'!AP17+'Parte financiera'!BD17+'Parte financiera'!BT17+'Parte financiera'!CH17+'Parte financiera'!CV17+'Parte financiera'!DJ17+'Parte financiera'!DZ17+'Parte financiera'!EN17+'Parte financiera'!FB17+'Parte financiera'!FP17+'Parte financiera'!GF17+'Parte financiera'!GT17+'Parte financiera'!HH17+'Parte financiera'!HV17</f>
        <v>0</v>
      </c>
      <c r="M17" s="382" t="e">
        <f>'Parte financiera'!O17+'Parte financiera'!AC17+'Parte financiera'!AQ17+'Parte financiera'!BE17+'Parte financiera'!BU17+'Parte financiera'!CI17+'Parte financiera'!CW17+'Parte financiera'!DK17+'Parte financiera'!EA17+'Parte financiera'!EO17+'Parte financiera'!FC17+'Parte financiera'!FQ17+'Parte financiera'!GG17+'Parte financiera'!GU17+'Parte financiera'!HI17+'Parte financiera'!HW17</f>
        <v>#VALUE!</v>
      </c>
      <c r="N17" s="382">
        <f>'Parte financiera'!P17+'Parte financiera'!AD17+'Parte financiera'!AR17+'Parte financiera'!BF17+'Parte financiera'!BV17+'Parte financiera'!CJ17+'Parte financiera'!CX17+'Parte financiera'!DL17+'Parte financiera'!EB17+'Parte financiera'!EP17+'Parte financiera'!FD17+'Parte financiera'!FR17+'Parte financiera'!GH17+'Parte financiera'!GV17+'Parte financiera'!HJ17+'Parte financiera'!HX17</f>
        <v>0</v>
      </c>
      <c r="O17" s="383">
        <f>'Parte financiera'!Q17+'Parte financiera'!AE17+'Parte financiera'!AS17+'Parte financiera'!BG17+'Parte financiera'!BW17+'Parte financiera'!CK17+'Parte financiera'!CY17+'Parte financiera'!DM17+'Parte financiera'!EC17+'Parte financiera'!EQ17+'Parte financiera'!FE17+'Parte financiera'!FS17+'Parte financiera'!GI17+'Parte financiera'!GW17+'Parte financiera'!HK17+'Parte financiera'!HY17</f>
        <v>0</v>
      </c>
    </row>
    <row r="18" spans="1:15">
      <c r="A18" s="463" t="str">
        <f>IF('Parte Estrategica'!B18=0,"",'Parte Estrategica'!B18)</f>
        <v/>
      </c>
      <c r="B18" s="382" t="e">
        <f>'Parte financiera'!D18+'Parte financiera'!R18+'Parte financiera'!AF18+'Parte financiera'!AT18+'Parte financiera'!BJ18+'Parte financiera'!BX18+'Parte financiera'!CL18+'Parte financiera'!CZ18+'Parte financiera'!DP18+'Parte financiera'!ED18+'Parte financiera'!ER18+'Parte financiera'!FF18+'Parte financiera'!FV18+'Parte financiera'!GJ18+'Parte financiera'!GX18+'Parte financiera'!HL18</f>
        <v>#VALUE!</v>
      </c>
      <c r="C18" s="382">
        <f>'Parte financiera'!E18+'Parte financiera'!S18+'Parte financiera'!AG18+'Parte financiera'!AU18+'Parte financiera'!BK18+'Parte financiera'!BY18+'Parte financiera'!CM18+'Parte financiera'!DA18+'Parte financiera'!DQ18+'Parte financiera'!EE18+'Parte financiera'!ES18+'Parte financiera'!FG18+'Parte financiera'!FW18+'Parte financiera'!GK18+'Parte financiera'!GY18+'Parte financiera'!HM18</f>
        <v>0</v>
      </c>
      <c r="D18" s="382">
        <f>'Parte financiera'!F18+'Parte financiera'!T18+'Parte financiera'!AH18+'Parte financiera'!AV18+'Parte financiera'!BL18+'Parte financiera'!BZ18+'Parte financiera'!CN18+'Parte financiera'!DB18+'Parte financiera'!DR18+'Parte financiera'!EF18+'Parte financiera'!ET18+'Parte financiera'!FH18+'Parte financiera'!FX18+'Parte financiera'!GL18+'Parte financiera'!GZ18+'Parte financiera'!HN18</f>
        <v>0</v>
      </c>
      <c r="E18" s="382">
        <f>'Parte financiera'!G18+'Parte financiera'!U18+'Parte financiera'!AI18+'Parte financiera'!AW18+'Parte financiera'!BM18+'Parte financiera'!CA18+'Parte financiera'!CO18+'Parte financiera'!DC18+'Parte financiera'!DS18+'Parte financiera'!EG18+'Parte financiera'!EU18+'Parte financiera'!FI18+'Parte financiera'!FY18+'Parte financiera'!GM18+'Parte financiera'!HA18+'Parte financiera'!HO18</f>
        <v>0</v>
      </c>
      <c r="F18" s="382">
        <f>'Parte financiera'!H18+'Parte financiera'!V18+'Parte financiera'!AJ18+'Parte financiera'!AX18+'Parte financiera'!BN18+'Parte financiera'!CB18+'Parte financiera'!CP18+'Parte financiera'!DD18+'Parte financiera'!DT18+'Parte financiera'!EH18+'Parte financiera'!EV18+'Parte financiera'!FJ18+'Parte financiera'!FZ18+'Parte financiera'!GN18+'Parte financiera'!HB18+'Parte financiera'!HP18</f>
        <v>0</v>
      </c>
      <c r="G18" s="382">
        <f>'Parte financiera'!I18+'Parte financiera'!W18+'Parte financiera'!AK18+'Parte financiera'!AY18+'Parte financiera'!BO18+'Parte financiera'!CC18+'Parte financiera'!CQ18+'Parte financiera'!DE18+'Parte financiera'!DU18+'Parte financiera'!EI18+'Parte financiera'!EW18+'Parte financiera'!FK18+'Parte financiera'!GA18+'Parte financiera'!GO18+'Parte financiera'!HC18+'Parte financiera'!HQ18</f>
        <v>0</v>
      </c>
      <c r="H18" s="382">
        <f>'Parte financiera'!J18+'Parte financiera'!X18+'Parte financiera'!AL18+'Parte financiera'!AZ18+'Parte financiera'!BP18+'Parte financiera'!CD18+'Parte financiera'!CR18+'Parte financiera'!DF18+'Parte financiera'!DV18+'Parte financiera'!EJ18+'Parte financiera'!EX18+'Parte financiera'!FL18+'Parte financiera'!GB18+'Parte financiera'!GP18+'Parte financiera'!HD18+'Parte financiera'!HR18</f>
        <v>0</v>
      </c>
      <c r="I18" s="382">
        <f>'Parte financiera'!K18+'Parte financiera'!Y18+'Parte financiera'!AM18+'Parte financiera'!BA18+'Parte financiera'!BQ18+'Parte financiera'!CE18+'Parte financiera'!CS18+'Parte financiera'!DG18+'Parte financiera'!DW18+'Parte financiera'!EK18+'Parte financiera'!EY18+'Parte financiera'!FM18+'Parte financiera'!GC18+'Parte financiera'!GQ18+'Parte financiera'!HE18+'Parte financiera'!HS18</f>
        <v>0</v>
      </c>
      <c r="J18" s="382">
        <f>'Parte financiera'!L18+'Parte financiera'!Z18+'Parte financiera'!AN18+'Parte financiera'!BB18+'Parte financiera'!BR18+'Parte financiera'!CF18+'Parte financiera'!CT18+'Parte financiera'!DH18+'Parte financiera'!DX18+'Parte financiera'!EL18+'Parte financiera'!EZ18+'Parte financiera'!FN18+'Parte financiera'!GD18+'Parte financiera'!GR18+'Parte financiera'!HF18+'Parte financiera'!HT18</f>
        <v>0</v>
      </c>
      <c r="K18" s="382">
        <f>'Parte financiera'!M18+'Parte financiera'!AA18+'Parte financiera'!AO18+'Parte financiera'!BC18+'Parte financiera'!BS18+'Parte financiera'!CG18+'Parte financiera'!CU18+'Parte financiera'!DI18+'Parte financiera'!DY18+'Parte financiera'!EM18+'Parte financiera'!FA18+'Parte financiera'!FO18+'Parte financiera'!GE18+'Parte financiera'!GS18+'Parte financiera'!HG18+'Parte financiera'!HU18</f>
        <v>0</v>
      </c>
      <c r="L18" s="382">
        <f>'Parte financiera'!N18+'Parte financiera'!AB18+'Parte financiera'!AP18+'Parte financiera'!BD18+'Parte financiera'!BT18+'Parte financiera'!CH18+'Parte financiera'!CV18+'Parte financiera'!DJ18+'Parte financiera'!DZ18+'Parte financiera'!EN18+'Parte financiera'!FB18+'Parte financiera'!FP18+'Parte financiera'!GF18+'Parte financiera'!GT18+'Parte financiera'!HH18+'Parte financiera'!HV18</f>
        <v>0</v>
      </c>
      <c r="M18" s="382" t="e">
        <f>'Parte financiera'!O18+'Parte financiera'!AC18+'Parte financiera'!AQ18+'Parte financiera'!BE18+'Parte financiera'!BU18+'Parte financiera'!CI18+'Parte financiera'!CW18+'Parte financiera'!DK18+'Parte financiera'!EA18+'Parte financiera'!EO18+'Parte financiera'!FC18+'Parte financiera'!FQ18+'Parte financiera'!GG18+'Parte financiera'!GU18+'Parte financiera'!HI18+'Parte financiera'!HW18</f>
        <v>#VALUE!</v>
      </c>
      <c r="N18" s="382">
        <f>'Parte financiera'!P18+'Parte financiera'!AD18+'Parte financiera'!AR18+'Parte financiera'!BF18+'Parte financiera'!BV18+'Parte financiera'!CJ18+'Parte financiera'!CX18+'Parte financiera'!DL18+'Parte financiera'!EB18+'Parte financiera'!EP18+'Parte financiera'!FD18+'Parte financiera'!FR18+'Parte financiera'!GH18+'Parte financiera'!GV18+'Parte financiera'!HJ18+'Parte financiera'!HX18</f>
        <v>0</v>
      </c>
      <c r="O18" s="383">
        <f>'Parte financiera'!Q18+'Parte financiera'!AE18+'Parte financiera'!AS18+'Parte financiera'!BG18+'Parte financiera'!BW18+'Parte financiera'!CK18+'Parte financiera'!CY18+'Parte financiera'!DM18+'Parte financiera'!EC18+'Parte financiera'!EQ18+'Parte financiera'!FE18+'Parte financiera'!FS18+'Parte financiera'!GI18+'Parte financiera'!GW18+'Parte financiera'!HK18+'Parte financiera'!HY18</f>
        <v>0</v>
      </c>
    </row>
    <row r="19" spans="1:15">
      <c r="A19" s="463" t="str">
        <f>IF('Parte Estrategica'!B19=0,"",'Parte Estrategica'!B19)</f>
        <v/>
      </c>
      <c r="B19" s="382" t="e">
        <f>'Parte financiera'!D19+'Parte financiera'!R19+'Parte financiera'!AF19+'Parte financiera'!AT19+'Parte financiera'!BJ19+'Parte financiera'!BX19+'Parte financiera'!CL19+'Parte financiera'!CZ19+'Parte financiera'!DP19+'Parte financiera'!ED19+'Parte financiera'!ER19+'Parte financiera'!FF19+'Parte financiera'!FV19+'Parte financiera'!GJ19+'Parte financiera'!GX19+'Parte financiera'!HL19</f>
        <v>#VALUE!</v>
      </c>
      <c r="C19" s="382">
        <f>'Parte financiera'!E19+'Parte financiera'!S19+'Parte financiera'!AG19+'Parte financiera'!AU19+'Parte financiera'!BK19+'Parte financiera'!BY19+'Parte financiera'!CM19+'Parte financiera'!DA19+'Parte financiera'!DQ19+'Parte financiera'!EE19+'Parte financiera'!ES19+'Parte financiera'!FG19+'Parte financiera'!FW19+'Parte financiera'!GK19+'Parte financiera'!GY19+'Parte financiera'!HM19</f>
        <v>0</v>
      </c>
      <c r="D19" s="382">
        <f>'Parte financiera'!F19+'Parte financiera'!T19+'Parte financiera'!AH19+'Parte financiera'!AV19+'Parte financiera'!BL19+'Parte financiera'!BZ19+'Parte financiera'!CN19+'Parte financiera'!DB19+'Parte financiera'!DR19+'Parte financiera'!EF19+'Parte financiera'!ET19+'Parte financiera'!FH19+'Parte financiera'!FX19+'Parte financiera'!GL19+'Parte financiera'!GZ19+'Parte financiera'!HN19</f>
        <v>0</v>
      </c>
      <c r="E19" s="382">
        <f>'Parte financiera'!G19+'Parte financiera'!U19+'Parte financiera'!AI19+'Parte financiera'!AW19+'Parte financiera'!BM19+'Parte financiera'!CA19+'Parte financiera'!CO19+'Parte financiera'!DC19+'Parte financiera'!DS19+'Parte financiera'!EG19+'Parte financiera'!EU19+'Parte financiera'!FI19+'Parte financiera'!FY19+'Parte financiera'!GM19+'Parte financiera'!HA19+'Parte financiera'!HO19</f>
        <v>0</v>
      </c>
      <c r="F19" s="382">
        <f>'Parte financiera'!H19+'Parte financiera'!V19+'Parte financiera'!AJ19+'Parte financiera'!AX19+'Parte financiera'!BN19+'Parte financiera'!CB19+'Parte financiera'!CP19+'Parte financiera'!DD19+'Parte financiera'!DT19+'Parte financiera'!EH19+'Parte financiera'!EV19+'Parte financiera'!FJ19+'Parte financiera'!FZ19+'Parte financiera'!GN19+'Parte financiera'!HB19+'Parte financiera'!HP19</f>
        <v>0</v>
      </c>
      <c r="G19" s="382">
        <f>'Parte financiera'!I19+'Parte financiera'!W19+'Parte financiera'!AK19+'Parte financiera'!AY19+'Parte financiera'!BO19+'Parte financiera'!CC19+'Parte financiera'!CQ19+'Parte financiera'!DE19+'Parte financiera'!DU19+'Parte financiera'!EI19+'Parte financiera'!EW19+'Parte financiera'!FK19+'Parte financiera'!GA19+'Parte financiera'!GO19+'Parte financiera'!HC19+'Parte financiera'!HQ19</f>
        <v>0</v>
      </c>
      <c r="H19" s="382">
        <f>'Parte financiera'!J19+'Parte financiera'!X19+'Parte financiera'!AL19+'Parte financiera'!AZ19+'Parte financiera'!BP19+'Parte financiera'!CD19+'Parte financiera'!CR19+'Parte financiera'!DF19+'Parte financiera'!DV19+'Parte financiera'!EJ19+'Parte financiera'!EX19+'Parte financiera'!FL19+'Parte financiera'!GB19+'Parte financiera'!GP19+'Parte financiera'!HD19+'Parte financiera'!HR19</f>
        <v>0</v>
      </c>
      <c r="I19" s="382">
        <f>'Parte financiera'!K19+'Parte financiera'!Y19+'Parte financiera'!AM19+'Parte financiera'!BA19+'Parte financiera'!BQ19+'Parte financiera'!CE19+'Parte financiera'!CS19+'Parte financiera'!DG19+'Parte financiera'!DW19+'Parte financiera'!EK19+'Parte financiera'!EY19+'Parte financiera'!FM19+'Parte financiera'!GC19+'Parte financiera'!GQ19+'Parte financiera'!HE19+'Parte financiera'!HS19</f>
        <v>0</v>
      </c>
      <c r="J19" s="382">
        <f>'Parte financiera'!L19+'Parte financiera'!Z19+'Parte financiera'!AN19+'Parte financiera'!BB19+'Parte financiera'!BR19+'Parte financiera'!CF19+'Parte financiera'!CT19+'Parte financiera'!DH19+'Parte financiera'!DX19+'Parte financiera'!EL19+'Parte financiera'!EZ19+'Parte financiera'!FN19+'Parte financiera'!GD19+'Parte financiera'!GR19+'Parte financiera'!HF19+'Parte financiera'!HT19</f>
        <v>0</v>
      </c>
      <c r="K19" s="382">
        <f>'Parte financiera'!M19+'Parte financiera'!AA19+'Parte financiera'!AO19+'Parte financiera'!BC19+'Parte financiera'!BS19+'Parte financiera'!CG19+'Parte financiera'!CU19+'Parte financiera'!DI19+'Parte financiera'!DY19+'Parte financiera'!EM19+'Parte financiera'!FA19+'Parte financiera'!FO19+'Parte financiera'!GE19+'Parte financiera'!GS19+'Parte financiera'!HG19+'Parte financiera'!HU19</f>
        <v>0</v>
      </c>
      <c r="L19" s="382">
        <f>'Parte financiera'!N19+'Parte financiera'!AB19+'Parte financiera'!AP19+'Parte financiera'!BD19+'Parte financiera'!BT19+'Parte financiera'!CH19+'Parte financiera'!CV19+'Parte financiera'!DJ19+'Parte financiera'!DZ19+'Parte financiera'!EN19+'Parte financiera'!FB19+'Parte financiera'!FP19+'Parte financiera'!GF19+'Parte financiera'!GT19+'Parte financiera'!HH19+'Parte financiera'!HV19</f>
        <v>0</v>
      </c>
      <c r="M19" s="382" t="e">
        <f>'Parte financiera'!O19+'Parte financiera'!AC19+'Parte financiera'!AQ19+'Parte financiera'!BE19+'Parte financiera'!BU19+'Parte financiera'!CI19+'Parte financiera'!CW19+'Parte financiera'!DK19+'Parte financiera'!EA19+'Parte financiera'!EO19+'Parte financiera'!FC19+'Parte financiera'!FQ19+'Parte financiera'!GG19+'Parte financiera'!GU19+'Parte financiera'!HI19+'Parte financiera'!HW19</f>
        <v>#VALUE!</v>
      </c>
      <c r="N19" s="382">
        <f>'Parte financiera'!P19+'Parte financiera'!AD19+'Parte financiera'!AR19+'Parte financiera'!BF19+'Parte financiera'!BV19+'Parte financiera'!CJ19+'Parte financiera'!CX19+'Parte financiera'!DL19+'Parte financiera'!EB19+'Parte financiera'!EP19+'Parte financiera'!FD19+'Parte financiera'!FR19+'Parte financiera'!GH19+'Parte financiera'!GV19+'Parte financiera'!HJ19+'Parte financiera'!HX19</f>
        <v>0</v>
      </c>
      <c r="O19" s="383">
        <f>'Parte financiera'!Q19+'Parte financiera'!AE19+'Parte financiera'!AS19+'Parte financiera'!BG19+'Parte financiera'!BW19+'Parte financiera'!CK19+'Parte financiera'!CY19+'Parte financiera'!DM19+'Parte financiera'!EC19+'Parte financiera'!EQ19+'Parte financiera'!FE19+'Parte financiera'!FS19+'Parte financiera'!GI19+'Parte financiera'!GW19+'Parte financiera'!HK19+'Parte financiera'!HY19</f>
        <v>0</v>
      </c>
    </row>
    <row r="20" spans="1:15">
      <c r="A20" s="463" t="str">
        <f>IF('Parte Estrategica'!B20=0,"",'Parte Estrategica'!B20)</f>
        <v/>
      </c>
      <c r="B20" s="382" t="e">
        <f>'Parte financiera'!D20+'Parte financiera'!R20+'Parte financiera'!AF20+'Parte financiera'!AT20+'Parte financiera'!BJ20+'Parte financiera'!BX20+'Parte financiera'!CL20+'Parte financiera'!CZ20+'Parte financiera'!DP20+'Parte financiera'!ED20+'Parte financiera'!ER20+'Parte financiera'!FF20+'Parte financiera'!FV20+'Parte financiera'!GJ20+'Parte financiera'!GX20+'Parte financiera'!HL20</f>
        <v>#VALUE!</v>
      </c>
      <c r="C20" s="382">
        <f>'Parte financiera'!E20+'Parte financiera'!S20+'Parte financiera'!AG20+'Parte financiera'!AU20+'Parte financiera'!BK20+'Parte financiera'!BY20+'Parte financiera'!CM20+'Parte financiera'!DA20+'Parte financiera'!DQ20+'Parte financiera'!EE20+'Parte financiera'!ES20+'Parte financiera'!FG20+'Parte financiera'!FW20+'Parte financiera'!GK20+'Parte financiera'!GY20+'Parte financiera'!HM20</f>
        <v>0</v>
      </c>
      <c r="D20" s="382">
        <f>'Parte financiera'!F20+'Parte financiera'!T20+'Parte financiera'!AH20+'Parte financiera'!AV20+'Parte financiera'!BL20+'Parte financiera'!BZ20+'Parte financiera'!CN20+'Parte financiera'!DB20+'Parte financiera'!DR20+'Parte financiera'!EF20+'Parte financiera'!ET20+'Parte financiera'!FH20+'Parte financiera'!FX20+'Parte financiera'!GL20+'Parte financiera'!GZ20+'Parte financiera'!HN20</f>
        <v>0</v>
      </c>
      <c r="E20" s="382">
        <f>'Parte financiera'!G20+'Parte financiera'!U20+'Parte financiera'!AI20+'Parte financiera'!AW20+'Parte financiera'!BM20+'Parte financiera'!CA20+'Parte financiera'!CO20+'Parte financiera'!DC20+'Parte financiera'!DS20+'Parte financiera'!EG20+'Parte financiera'!EU20+'Parte financiera'!FI20+'Parte financiera'!FY20+'Parte financiera'!GM20+'Parte financiera'!HA20+'Parte financiera'!HO20</f>
        <v>0</v>
      </c>
      <c r="F20" s="382">
        <f>'Parte financiera'!H20+'Parte financiera'!V20+'Parte financiera'!AJ20+'Parte financiera'!AX20+'Parte financiera'!BN20+'Parte financiera'!CB20+'Parte financiera'!CP20+'Parte financiera'!DD20+'Parte financiera'!DT20+'Parte financiera'!EH20+'Parte financiera'!EV20+'Parte financiera'!FJ20+'Parte financiera'!FZ20+'Parte financiera'!GN20+'Parte financiera'!HB20+'Parte financiera'!HP20</f>
        <v>0</v>
      </c>
      <c r="G20" s="382">
        <f>'Parte financiera'!I20+'Parte financiera'!W20+'Parte financiera'!AK20+'Parte financiera'!AY20+'Parte financiera'!BO20+'Parte financiera'!CC20+'Parte financiera'!CQ20+'Parte financiera'!DE20+'Parte financiera'!DU20+'Parte financiera'!EI20+'Parte financiera'!EW20+'Parte financiera'!FK20+'Parte financiera'!GA20+'Parte financiera'!GO20+'Parte financiera'!HC20+'Parte financiera'!HQ20</f>
        <v>0</v>
      </c>
      <c r="H20" s="382">
        <f>'Parte financiera'!J20+'Parte financiera'!X20+'Parte financiera'!AL20+'Parte financiera'!AZ20+'Parte financiera'!BP20+'Parte financiera'!CD20+'Parte financiera'!CR20+'Parte financiera'!DF20+'Parte financiera'!DV20+'Parte financiera'!EJ20+'Parte financiera'!EX20+'Parte financiera'!FL20+'Parte financiera'!GB20+'Parte financiera'!GP20+'Parte financiera'!HD20+'Parte financiera'!HR20</f>
        <v>0</v>
      </c>
      <c r="I20" s="382">
        <f>'Parte financiera'!K20+'Parte financiera'!Y20+'Parte financiera'!AM20+'Parte financiera'!BA20+'Parte financiera'!BQ20+'Parte financiera'!CE20+'Parte financiera'!CS20+'Parte financiera'!DG20+'Parte financiera'!DW20+'Parte financiera'!EK20+'Parte financiera'!EY20+'Parte financiera'!FM20+'Parte financiera'!GC20+'Parte financiera'!GQ20+'Parte financiera'!HE20+'Parte financiera'!HS20</f>
        <v>0</v>
      </c>
      <c r="J20" s="382">
        <f>'Parte financiera'!L20+'Parte financiera'!Z20+'Parte financiera'!AN20+'Parte financiera'!BB20+'Parte financiera'!BR20+'Parte financiera'!CF20+'Parte financiera'!CT20+'Parte financiera'!DH20+'Parte financiera'!DX20+'Parte financiera'!EL20+'Parte financiera'!EZ20+'Parte financiera'!FN20+'Parte financiera'!GD20+'Parte financiera'!GR20+'Parte financiera'!HF20+'Parte financiera'!HT20</f>
        <v>0</v>
      </c>
      <c r="K20" s="382">
        <f>'Parte financiera'!M20+'Parte financiera'!AA20+'Parte financiera'!AO20+'Parte financiera'!BC20+'Parte financiera'!BS20+'Parte financiera'!CG20+'Parte financiera'!CU20+'Parte financiera'!DI20+'Parte financiera'!DY20+'Parte financiera'!EM20+'Parte financiera'!FA20+'Parte financiera'!FO20+'Parte financiera'!GE20+'Parte financiera'!GS20+'Parte financiera'!HG20+'Parte financiera'!HU20</f>
        <v>0</v>
      </c>
      <c r="L20" s="382">
        <f>'Parte financiera'!N20+'Parte financiera'!AB20+'Parte financiera'!AP20+'Parte financiera'!BD20+'Parte financiera'!BT20+'Parte financiera'!CH20+'Parte financiera'!CV20+'Parte financiera'!DJ20+'Parte financiera'!DZ20+'Parte financiera'!EN20+'Parte financiera'!FB20+'Parte financiera'!FP20+'Parte financiera'!GF20+'Parte financiera'!GT20+'Parte financiera'!HH20+'Parte financiera'!HV20</f>
        <v>0</v>
      </c>
      <c r="M20" s="382" t="e">
        <f>'Parte financiera'!O20+'Parte financiera'!AC20+'Parte financiera'!AQ20+'Parte financiera'!BE20+'Parte financiera'!BU20+'Parte financiera'!CI20+'Parte financiera'!CW20+'Parte financiera'!DK20+'Parte financiera'!EA20+'Parte financiera'!EO20+'Parte financiera'!FC20+'Parte financiera'!FQ20+'Parte financiera'!GG20+'Parte financiera'!GU20+'Parte financiera'!HI20+'Parte financiera'!HW20</f>
        <v>#VALUE!</v>
      </c>
      <c r="N20" s="382">
        <f>'Parte financiera'!P20+'Parte financiera'!AD20+'Parte financiera'!AR20+'Parte financiera'!BF20+'Parte financiera'!BV20+'Parte financiera'!CJ20+'Parte financiera'!CX20+'Parte financiera'!DL20+'Parte financiera'!EB20+'Parte financiera'!EP20+'Parte financiera'!FD20+'Parte financiera'!FR20+'Parte financiera'!GH20+'Parte financiera'!GV20+'Parte financiera'!HJ20+'Parte financiera'!HX20</f>
        <v>0</v>
      </c>
      <c r="O20" s="383">
        <f>'Parte financiera'!Q20+'Parte financiera'!AE20+'Parte financiera'!AS20+'Parte financiera'!BG20+'Parte financiera'!BW20+'Parte financiera'!CK20+'Parte financiera'!CY20+'Parte financiera'!DM20+'Parte financiera'!EC20+'Parte financiera'!EQ20+'Parte financiera'!FE20+'Parte financiera'!FS20+'Parte financiera'!GI20+'Parte financiera'!GW20+'Parte financiera'!HK20+'Parte financiera'!HY20</f>
        <v>0</v>
      </c>
    </row>
    <row r="21" spans="1:15">
      <c r="A21" s="463" t="str">
        <f>IF('Parte Estrategica'!B21=0,"",'Parte Estrategica'!B21)</f>
        <v/>
      </c>
      <c r="B21" s="382" t="e">
        <f>'Parte financiera'!D21+'Parte financiera'!R21+'Parte financiera'!AF21+'Parte financiera'!AT21+'Parte financiera'!BJ21+'Parte financiera'!BX21+'Parte financiera'!CL21+'Parte financiera'!CZ21+'Parte financiera'!DP21+'Parte financiera'!ED21+'Parte financiera'!ER21+'Parte financiera'!FF21+'Parte financiera'!FV21+'Parte financiera'!GJ21+'Parte financiera'!GX21+'Parte financiera'!HL21</f>
        <v>#VALUE!</v>
      </c>
      <c r="C21" s="382">
        <f>'Parte financiera'!E21+'Parte financiera'!S21+'Parte financiera'!AG21+'Parte financiera'!AU21+'Parte financiera'!BK21+'Parte financiera'!BY21+'Parte financiera'!CM21+'Parte financiera'!DA21+'Parte financiera'!DQ21+'Parte financiera'!EE21+'Parte financiera'!ES21+'Parte financiera'!FG21+'Parte financiera'!FW21+'Parte financiera'!GK21+'Parte financiera'!GY21+'Parte financiera'!HM21</f>
        <v>0</v>
      </c>
      <c r="D21" s="382">
        <f>'Parte financiera'!F21+'Parte financiera'!T21+'Parte financiera'!AH21+'Parte financiera'!AV21+'Parte financiera'!BL21+'Parte financiera'!BZ21+'Parte financiera'!CN21+'Parte financiera'!DB21+'Parte financiera'!DR21+'Parte financiera'!EF21+'Parte financiera'!ET21+'Parte financiera'!FH21+'Parte financiera'!FX21+'Parte financiera'!GL21+'Parte financiera'!GZ21+'Parte financiera'!HN21</f>
        <v>0</v>
      </c>
      <c r="E21" s="382">
        <f>'Parte financiera'!G21+'Parte financiera'!U21+'Parte financiera'!AI21+'Parte financiera'!AW21+'Parte financiera'!BM21+'Parte financiera'!CA21+'Parte financiera'!CO21+'Parte financiera'!DC21+'Parte financiera'!DS21+'Parte financiera'!EG21+'Parte financiera'!EU21+'Parte financiera'!FI21+'Parte financiera'!FY21+'Parte financiera'!GM21+'Parte financiera'!HA21+'Parte financiera'!HO21</f>
        <v>0</v>
      </c>
      <c r="F21" s="382">
        <f>'Parte financiera'!H21+'Parte financiera'!V21+'Parte financiera'!AJ21+'Parte financiera'!AX21+'Parte financiera'!BN21+'Parte financiera'!CB21+'Parte financiera'!CP21+'Parte financiera'!DD21+'Parte financiera'!DT21+'Parte financiera'!EH21+'Parte financiera'!EV21+'Parte financiera'!FJ21+'Parte financiera'!FZ21+'Parte financiera'!GN21+'Parte financiera'!HB21+'Parte financiera'!HP21</f>
        <v>0</v>
      </c>
      <c r="G21" s="382">
        <f>'Parte financiera'!I21+'Parte financiera'!W21+'Parte financiera'!AK21+'Parte financiera'!AY21+'Parte financiera'!BO21+'Parte financiera'!CC21+'Parte financiera'!CQ21+'Parte financiera'!DE21+'Parte financiera'!DU21+'Parte financiera'!EI21+'Parte financiera'!EW21+'Parte financiera'!FK21+'Parte financiera'!GA21+'Parte financiera'!GO21+'Parte financiera'!HC21+'Parte financiera'!HQ21</f>
        <v>0</v>
      </c>
      <c r="H21" s="382">
        <f>'Parte financiera'!J21+'Parte financiera'!X21+'Parte financiera'!AL21+'Parte financiera'!AZ21+'Parte financiera'!BP21+'Parte financiera'!CD21+'Parte financiera'!CR21+'Parte financiera'!DF21+'Parte financiera'!DV21+'Parte financiera'!EJ21+'Parte financiera'!EX21+'Parte financiera'!FL21+'Parte financiera'!GB21+'Parte financiera'!GP21+'Parte financiera'!HD21+'Parte financiera'!HR21</f>
        <v>0</v>
      </c>
      <c r="I21" s="382">
        <f>'Parte financiera'!K21+'Parte financiera'!Y21+'Parte financiera'!AM21+'Parte financiera'!BA21+'Parte financiera'!BQ21+'Parte financiera'!CE21+'Parte financiera'!CS21+'Parte financiera'!DG21+'Parte financiera'!DW21+'Parte financiera'!EK21+'Parte financiera'!EY21+'Parte financiera'!FM21+'Parte financiera'!GC21+'Parte financiera'!GQ21+'Parte financiera'!HE21+'Parte financiera'!HS21</f>
        <v>0</v>
      </c>
      <c r="J21" s="382">
        <f>'Parte financiera'!L21+'Parte financiera'!Z21+'Parte financiera'!AN21+'Parte financiera'!BB21+'Parte financiera'!BR21+'Parte financiera'!CF21+'Parte financiera'!CT21+'Parte financiera'!DH21+'Parte financiera'!DX21+'Parte financiera'!EL21+'Parte financiera'!EZ21+'Parte financiera'!FN21+'Parte financiera'!GD21+'Parte financiera'!GR21+'Parte financiera'!HF21+'Parte financiera'!HT21</f>
        <v>0</v>
      </c>
      <c r="K21" s="382">
        <f>'Parte financiera'!M21+'Parte financiera'!AA21+'Parte financiera'!AO21+'Parte financiera'!BC21+'Parte financiera'!BS21+'Parte financiera'!CG21+'Parte financiera'!CU21+'Parte financiera'!DI21+'Parte financiera'!DY21+'Parte financiera'!EM21+'Parte financiera'!FA21+'Parte financiera'!FO21+'Parte financiera'!GE21+'Parte financiera'!GS21+'Parte financiera'!HG21+'Parte financiera'!HU21</f>
        <v>0</v>
      </c>
      <c r="L21" s="382">
        <f>'Parte financiera'!N21+'Parte financiera'!AB21+'Parte financiera'!AP21+'Parte financiera'!BD21+'Parte financiera'!BT21+'Parte financiera'!CH21+'Parte financiera'!CV21+'Parte financiera'!DJ21+'Parte financiera'!DZ21+'Parte financiera'!EN21+'Parte financiera'!FB21+'Parte financiera'!FP21+'Parte financiera'!GF21+'Parte financiera'!GT21+'Parte financiera'!HH21+'Parte financiera'!HV21</f>
        <v>0</v>
      </c>
      <c r="M21" s="382" t="e">
        <f>'Parte financiera'!O21+'Parte financiera'!AC21+'Parte financiera'!AQ21+'Parte financiera'!BE21+'Parte financiera'!BU21+'Parte financiera'!CI21+'Parte financiera'!CW21+'Parte financiera'!DK21+'Parte financiera'!EA21+'Parte financiera'!EO21+'Parte financiera'!FC21+'Parte financiera'!FQ21+'Parte financiera'!GG21+'Parte financiera'!GU21+'Parte financiera'!HI21+'Parte financiera'!HW21</f>
        <v>#VALUE!</v>
      </c>
      <c r="N21" s="382">
        <f>'Parte financiera'!P21+'Parte financiera'!AD21+'Parte financiera'!AR21+'Parte financiera'!BF21+'Parte financiera'!BV21+'Parte financiera'!CJ21+'Parte financiera'!CX21+'Parte financiera'!DL21+'Parte financiera'!EB21+'Parte financiera'!EP21+'Parte financiera'!FD21+'Parte financiera'!FR21+'Parte financiera'!GH21+'Parte financiera'!GV21+'Parte financiera'!HJ21+'Parte financiera'!HX21</f>
        <v>0</v>
      </c>
      <c r="O21" s="383">
        <f>'Parte financiera'!Q21+'Parte financiera'!AE21+'Parte financiera'!AS21+'Parte financiera'!BG21+'Parte financiera'!BW21+'Parte financiera'!CK21+'Parte financiera'!CY21+'Parte financiera'!DM21+'Parte financiera'!EC21+'Parte financiera'!EQ21+'Parte financiera'!FE21+'Parte financiera'!FS21+'Parte financiera'!GI21+'Parte financiera'!GW21+'Parte financiera'!HK21+'Parte financiera'!HY21</f>
        <v>0</v>
      </c>
    </row>
    <row r="22" spans="1:15">
      <c r="A22" s="463" t="str">
        <f>IF('Parte Estrategica'!B22=0,"",'Parte Estrategica'!B22)</f>
        <v/>
      </c>
      <c r="B22" s="382" t="e">
        <f>'Parte financiera'!D22+'Parte financiera'!R22+'Parte financiera'!AF22+'Parte financiera'!AT22+'Parte financiera'!BJ22+'Parte financiera'!BX22+'Parte financiera'!CL22+'Parte financiera'!CZ22+'Parte financiera'!DP22+'Parte financiera'!ED22+'Parte financiera'!ER22+'Parte financiera'!FF22+'Parte financiera'!FV22+'Parte financiera'!GJ22+'Parte financiera'!GX22+'Parte financiera'!HL22</f>
        <v>#VALUE!</v>
      </c>
      <c r="C22" s="382">
        <f>'Parte financiera'!E22+'Parte financiera'!S22+'Parte financiera'!AG22+'Parte financiera'!AU22+'Parte financiera'!BK22+'Parte financiera'!BY22+'Parte financiera'!CM22+'Parte financiera'!DA22+'Parte financiera'!DQ22+'Parte financiera'!EE22+'Parte financiera'!ES22+'Parte financiera'!FG22+'Parte financiera'!FW22+'Parte financiera'!GK22+'Parte financiera'!GY22+'Parte financiera'!HM22</f>
        <v>0</v>
      </c>
      <c r="D22" s="382">
        <f>'Parte financiera'!F22+'Parte financiera'!T22+'Parte financiera'!AH22+'Parte financiera'!AV22+'Parte financiera'!BL22+'Parte financiera'!BZ22+'Parte financiera'!CN22+'Parte financiera'!DB22+'Parte financiera'!DR22+'Parte financiera'!EF22+'Parte financiera'!ET22+'Parte financiera'!FH22+'Parte financiera'!FX22+'Parte financiera'!GL22+'Parte financiera'!GZ22+'Parte financiera'!HN22</f>
        <v>0</v>
      </c>
      <c r="E22" s="382">
        <f>'Parte financiera'!G22+'Parte financiera'!U22+'Parte financiera'!AI22+'Parte financiera'!AW22+'Parte financiera'!BM22+'Parte financiera'!CA22+'Parte financiera'!CO22+'Parte financiera'!DC22+'Parte financiera'!DS22+'Parte financiera'!EG22+'Parte financiera'!EU22+'Parte financiera'!FI22+'Parte financiera'!FY22+'Parte financiera'!GM22+'Parte financiera'!HA22+'Parte financiera'!HO22</f>
        <v>0</v>
      </c>
      <c r="F22" s="382">
        <f>'Parte financiera'!H22+'Parte financiera'!V22+'Parte financiera'!AJ22+'Parte financiera'!AX22+'Parte financiera'!BN22+'Parte financiera'!CB22+'Parte financiera'!CP22+'Parte financiera'!DD22+'Parte financiera'!DT22+'Parte financiera'!EH22+'Parte financiera'!EV22+'Parte financiera'!FJ22+'Parte financiera'!FZ22+'Parte financiera'!GN22+'Parte financiera'!HB22+'Parte financiera'!HP22</f>
        <v>0</v>
      </c>
      <c r="G22" s="382">
        <f>'Parte financiera'!I22+'Parte financiera'!W22+'Parte financiera'!AK22+'Parte financiera'!AY22+'Parte financiera'!BO22+'Parte financiera'!CC22+'Parte financiera'!CQ22+'Parte financiera'!DE22+'Parte financiera'!DU22+'Parte financiera'!EI22+'Parte financiera'!EW22+'Parte financiera'!FK22+'Parte financiera'!GA22+'Parte financiera'!GO22+'Parte financiera'!HC22+'Parte financiera'!HQ22</f>
        <v>0</v>
      </c>
      <c r="H22" s="382">
        <f>'Parte financiera'!J22+'Parte financiera'!X22+'Parte financiera'!AL22+'Parte financiera'!AZ22+'Parte financiera'!BP22+'Parte financiera'!CD22+'Parte financiera'!CR22+'Parte financiera'!DF22+'Parte financiera'!DV22+'Parte financiera'!EJ22+'Parte financiera'!EX22+'Parte financiera'!FL22+'Parte financiera'!GB22+'Parte financiera'!GP22+'Parte financiera'!HD22+'Parte financiera'!HR22</f>
        <v>0</v>
      </c>
      <c r="I22" s="382">
        <f>'Parte financiera'!K22+'Parte financiera'!Y22+'Parte financiera'!AM22+'Parte financiera'!BA22+'Parte financiera'!BQ22+'Parte financiera'!CE22+'Parte financiera'!CS22+'Parte financiera'!DG22+'Parte financiera'!DW22+'Parte financiera'!EK22+'Parte financiera'!EY22+'Parte financiera'!FM22+'Parte financiera'!GC22+'Parte financiera'!GQ22+'Parte financiera'!HE22+'Parte financiera'!HS22</f>
        <v>0</v>
      </c>
      <c r="J22" s="382">
        <f>'Parte financiera'!L22+'Parte financiera'!Z22+'Parte financiera'!AN22+'Parte financiera'!BB22+'Parte financiera'!BR22+'Parte financiera'!CF22+'Parte financiera'!CT22+'Parte financiera'!DH22+'Parte financiera'!DX22+'Parte financiera'!EL22+'Parte financiera'!EZ22+'Parte financiera'!FN22+'Parte financiera'!GD22+'Parte financiera'!GR22+'Parte financiera'!HF22+'Parte financiera'!HT22</f>
        <v>0</v>
      </c>
      <c r="K22" s="382">
        <f>'Parte financiera'!M22+'Parte financiera'!AA22+'Parte financiera'!AO22+'Parte financiera'!BC22+'Parte financiera'!BS22+'Parte financiera'!CG22+'Parte financiera'!CU22+'Parte financiera'!DI22+'Parte financiera'!DY22+'Parte financiera'!EM22+'Parte financiera'!FA22+'Parte financiera'!FO22+'Parte financiera'!GE22+'Parte financiera'!GS22+'Parte financiera'!HG22+'Parte financiera'!HU22</f>
        <v>0</v>
      </c>
      <c r="L22" s="382">
        <f>'Parte financiera'!N22+'Parte financiera'!AB22+'Parte financiera'!AP22+'Parte financiera'!BD22+'Parte financiera'!BT22+'Parte financiera'!CH22+'Parte financiera'!CV22+'Parte financiera'!DJ22+'Parte financiera'!DZ22+'Parte financiera'!EN22+'Parte financiera'!FB22+'Parte financiera'!FP22+'Parte financiera'!GF22+'Parte financiera'!GT22+'Parte financiera'!HH22+'Parte financiera'!HV22</f>
        <v>0</v>
      </c>
      <c r="M22" s="382" t="e">
        <f>'Parte financiera'!O22+'Parte financiera'!AC22+'Parte financiera'!AQ22+'Parte financiera'!BE22+'Parte financiera'!BU22+'Parte financiera'!CI22+'Parte financiera'!CW22+'Parte financiera'!DK22+'Parte financiera'!EA22+'Parte financiera'!EO22+'Parte financiera'!FC22+'Parte financiera'!FQ22+'Parte financiera'!GG22+'Parte financiera'!GU22+'Parte financiera'!HI22+'Parte financiera'!HW22</f>
        <v>#VALUE!</v>
      </c>
      <c r="N22" s="382">
        <f>'Parte financiera'!P22+'Parte financiera'!AD22+'Parte financiera'!AR22+'Parte financiera'!BF22+'Parte financiera'!BV22+'Parte financiera'!CJ22+'Parte financiera'!CX22+'Parte financiera'!DL22+'Parte financiera'!EB22+'Parte financiera'!EP22+'Parte financiera'!FD22+'Parte financiera'!FR22+'Parte financiera'!GH22+'Parte financiera'!GV22+'Parte financiera'!HJ22+'Parte financiera'!HX22</f>
        <v>0</v>
      </c>
      <c r="O22" s="383">
        <f>'Parte financiera'!Q22+'Parte financiera'!AE22+'Parte financiera'!AS22+'Parte financiera'!BG22+'Parte financiera'!BW22+'Parte financiera'!CK22+'Parte financiera'!CY22+'Parte financiera'!DM22+'Parte financiera'!EC22+'Parte financiera'!EQ22+'Parte financiera'!FE22+'Parte financiera'!FS22+'Parte financiera'!GI22+'Parte financiera'!GW22+'Parte financiera'!HK22+'Parte financiera'!HY22</f>
        <v>0</v>
      </c>
    </row>
    <row r="23" spans="1:15">
      <c r="A23" s="463" t="str">
        <f>IF('Parte Estrategica'!B23=0,"",'Parte Estrategica'!B23)</f>
        <v/>
      </c>
      <c r="B23" s="382" t="e">
        <f>'Parte financiera'!D23+'Parte financiera'!R23+'Parte financiera'!AF23+'Parte financiera'!AT23+'Parte financiera'!BJ23+'Parte financiera'!BX23+'Parte financiera'!CL23+'Parte financiera'!CZ23+'Parte financiera'!DP23+'Parte financiera'!ED23+'Parte financiera'!ER23+'Parte financiera'!FF23+'Parte financiera'!FV23+'Parte financiera'!GJ23+'Parte financiera'!GX23+'Parte financiera'!HL23</f>
        <v>#VALUE!</v>
      </c>
      <c r="C23" s="382">
        <f>'Parte financiera'!E23+'Parte financiera'!S23+'Parte financiera'!AG23+'Parte financiera'!AU23+'Parte financiera'!BK23+'Parte financiera'!BY23+'Parte financiera'!CM23+'Parte financiera'!DA23+'Parte financiera'!DQ23+'Parte financiera'!EE23+'Parte financiera'!ES23+'Parte financiera'!FG23+'Parte financiera'!FW23+'Parte financiera'!GK23+'Parte financiera'!GY23+'Parte financiera'!HM23</f>
        <v>0</v>
      </c>
      <c r="D23" s="382">
        <f>'Parte financiera'!F23+'Parte financiera'!T23+'Parte financiera'!AH23+'Parte financiera'!AV23+'Parte financiera'!BL23+'Parte financiera'!BZ23+'Parte financiera'!CN23+'Parte financiera'!DB23+'Parte financiera'!DR23+'Parte financiera'!EF23+'Parte financiera'!ET23+'Parte financiera'!FH23+'Parte financiera'!FX23+'Parte financiera'!GL23+'Parte financiera'!GZ23+'Parte financiera'!HN23</f>
        <v>0</v>
      </c>
      <c r="E23" s="382">
        <f>'Parte financiera'!G23+'Parte financiera'!U23+'Parte financiera'!AI23+'Parte financiera'!AW23+'Parte financiera'!BM23+'Parte financiera'!CA23+'Parte financiera'!CO23+'Parte financiera'!DC23+'Parte financiera'!DS23+'Parte financiera'!EG23+'Parte financiera'!EU23+'Parte financiera'!FI23+'Parte financiera'!FY23+'Parte financiera'!GM23+'Parte financiera'!HA23+'Parte financiera'!HO23</f>
        <v>0</v>
      </c>
      <c r="F23" s="382">
        <f>'Parte financiera'!H23+'Parte financiera'!V23+'Parte financiera'!AJ23+'Parte financiera'!AX23+'Parte financiera'!BN23+'Parte financiera'!CB23+'Parte financiera'!CP23+'Parte financiera'!DD23+'Parte financiera'!DT23+'Parte financiera'!EH23+'Parte financiera'!EV23+'Parte financiera'!FJ23+'Parte financiera'!FZ23+'Parte financiera'!GN23+'Parte financiera'!HB23+'Parte financiera'!HP23</f>
        <v>0</v>
      </c>
      <c r="G23" s="382">
        <f>'Parte financiera'!I23+'Parte financiera'!W23+'Parte financiera'!AK23+'Parte financiera'!AY23+'Parte financiera'!BO23+'Parte financiera'!CC23+'Parte financiera'!CQ23+'Parte financiera'!DE23+'Parte financiera'!DU23+'Parte financiera'!EI23+'Parte financiera'!EW23+'Parte financiera'!FK23+'Parte financiera'!GA23+'Parte financiera'!GO23+'Parte financiera'!HC23+'Parte financiera'!HQ23</f>
        <v>0</v>
      </c>
      <c r="H23" s="382">
        <f>'Parte financiera'!J23+'Parte financiera'!X23+'Parte financiera'!AL23+'Parte financiera'!AZ23+'Parte financiera'!BP23+'Parte financiera'!CD23+'Parte financiera'!CR23+'Parte financiera'!DF23+'Parte financiera'!DV23+'Parte financiera'!EJ23+'Parte financiera'!EX23+'Parte financiera'!FL23+'Parte financiera'!GB23+'Parte financiera'!GP23+'Parte financiera'!HD23+'Parte financiera'!HR23</f>
        <v>0</v>
      </c>
      <c r="I23" s="382">
        <f>'Parte financiera'!K23+'Parte financiera'!Y23+'Parte financiera'!AM23+'Parte financiera'!BA23+'Parte financiera'!BQ23+'Parte financiera'!CE23+'Parte financiera'!CS23+'Parte financiera'!DG23+'Parte financiera'!DW23+'Parte financiera'!EK23+'Parte financiera'!EY23+'Parte financiera'!FM23+'Parte financiera'!GC23+'Parte financiera'!GQ23+'Parte financiera'!HE23+'Parte financiera'!HS23</f>
        <v>0</v>
      </c>
      <c r="J23" s="382">
        <f>'Parte financiera'!L23+'Parte financiera'!Z23+'Parte financiera'!AN23+'Parte financiera'!BB23+'Parte financiera'!BR23+'Parte financiera'!CF23+'Parte financiera'!CT23+'Parte financiera'!DH23+'Parte financiera'!DX23+'Parte financiera'!EL23+'Parte financiera'!EZ23+'Parte financiera'!FN23+'Parte financiera'!GD23+'Parte financiera'!GR23+'Parte financiera'!HF23+'Parte financiera'!HT23</f>
        <v>0</v>
      </c>
      <c r="K23" s="382">
        <f>'Parte financiera'!M23+'Parte financiera'!AA23+'Parte financiera'!AO23+'Parte financiera'!BC23+'Parte financiera'!BS23+'Parte financiera'!CG23+'Parte financiera'!CU23+'Parte financiera'!DI23+'Parte financiera'!DY23+'Parte financiera'!EM23+'Parte financiera'!FA23+'Parte financiera'!FO23+'Parte financiera'!GE23+'Parte financiera'!GS23+'Parte financiera'!HG23+'Parte financiera'!HU23</f>
        <v>0</v>
      </c>
      <c r="L23" s="382">
        <f>'Parte financiera'!N23+'Parte financiera'!AB23+'Parte financiera'!AP23+'Parte financiera'!BD23+'Parte financiera'!BT23+'Parte financiera'!CH23+'Parte financiera'!CV23+'Parte financiera'!DJ23+'Parte financiera'!DZ23+'Parte financiera'!EN23+'Parte financiera'!FB23+'Parte financiera'!FP23+'Parte financiera'!GF23+'Parte financiera'!GT23+'Parte financiera'!HH23+'Parte financiera'!HV23</f>
        <v>0</v>
      </c>
      <c r="M23" s="382" t="e">
        <f>'Parte financiera'!O23+'Parte financiera'!AC23+'Parte financiera'!AQ23+'Parte financiera'!BE23+'Parte financiera'!BU23+'Parte financiera'!CI23+'Parte financiera'!CW23+'Parte financiera'!DK23+'Parte financiera'!EA23+'Parte financiera'!EO23+'Parte financiera'!FC23+'Parte financiera'!FQ23+'Parte financiera'!GG23+'Parte financiera'!GU23+'Parte financiera'!HI23+'Parte financiera'!HW23</f>
        <v>#VALUE!</v>
      </c>
      <c r="N23" s="382">
        <f>'Parte financiera'!P23+'Parte financiera'!AD23+'Parte financiera'!AR23+'Parte financiera'!BF23+'Parte financiera'!BV23+'Parte financiera'!CJ23+'Parte financiera'!CX23+'Parte financiera'!DL23+'Parte financiera'!EB23+'Parte financiera'!EP23+'Parte financiera'!FD23+'Parte financiera'!FR23+'Parte financiera'!GH23+'Parte financiera'!GV23+'Parte financiera'!HJ23+'Parte financiera'!HX23</f>
        <v>0</v>
      </c>
      <c r="O23" s="383">
        <f>'Parte financiera'!Q23+'Parte financiera'!AE23+'Parte financiera'!AS23+'Parte financiera'!BG23+'Parte financiera'!BW23+'Parte financiera'!CK23+'Parte financiera'!CY23+'Parte financiera'!DM23+'Parte financiera'!EC23+'Parte financiera'!EQ23+'Parte financiera'!FE23+'Parte financiera'!FS23+'Parte financiera'!GI23+'Parte financiera'!GW23+'Parte financiera'!HK23+'Parte financiera'!HY23</f>
        <v>0</v>
      </c>
    </row>
    <row r="24" spans="1:15">
      <c r="A24" s="463" t="str">
        <f>IF('Parte Estrategica'!B24=0,"",'Parte Estrategica'!B24)</f>
        <v/>
      </c>
      <c r="B24" s="382" t="e">
        <f>'Parte financiera'!D24+'Parte financiera'!R24+'Parte financiera'!AF24+'Parte financiera'!AT24+'Parte financiera'!BJ24+'Parte financiera'!BX24+'Parte financiera'!CL24+'Parte financiera'!CZ24+'Parte financiera'!DP24+'Parte financiera'!ED24+'Parte financiera'!ER24+'Parte financiera'!FF24+'Parte financiera'!FV24+'Parte financiera'!GJ24+'Parte financiera'!GX24+'Parte financiera'!HL24</f>
        <v>#VALUE!</v>
      </c>
      <c r="C24" s="382">
        <f>'Parte financiera'!E24+'Parte financiera'!S24+'Parte financiera'!AG24+'Parte financiera'!AU24+'Parte financiera'!BK24+'Parte financiera'!BY24+'Parte financiera'!CM24+'Parte financiera'!DA24+'Parte financiera'!DQ24+'Parte financiera'!EE24+'Parte financiera'!ES24+'Parte financiera'!FG24+'Parte financiera'!FW24+'Parte financiera'!GK24+'Parte financiera'!GY24+'Parte financiera'!HM24</f>
        <v>0</v>
      </c>
      <c r="D24" s="382">
        <f>'Parte financiera'!F24+'Parte financiera'!T24+'Parte financiera'!AH24+'Parte financiera'!AV24+'Parte financiera'!BL24+'Parte financiera'!BZ24+'Parte financiera'!CN24+'Parte financiera'!DB24+'Parte financiera'!DR24+'Parte financiera'!EF24+'Parte financiera'!ET24+'Parte financiera'!FH24+'Parte financiera'!FX24+'Parte financiera'!GL24+'Parte financiera'!GZ24+'Parte financiera'!HN24</f>
        <v>0</v>
      </c>
      <c r="E24" s="382">
        <f>'Parte financiera'!G24+'Parte financiera'!U24+'Parte financiera'!AI24+'Parte financiera'!AW24+'Parte financiera'!BM24+'Parte financiera'!CA24+'Parte financiera'!CO24+'Parte financiera'!DC24+'Parte financiera'!DS24+'Parte financiera'!EG24+'Parte financiera'!EU24+'Parte financiera'!FI24+'Parte financiera'!FY24+'Parte financiera'!GM24+'Parte financiera'!HA24+'Parte financiera'!HO24</f>
        <v>0</v>
      </c>
      <c r="F24" s="382">
        <f>'Parte financiera'!H24+'Parte financiera'!V24+'Parte financiera'!AJ24+'Parte financiera'!AX24+'Parte financiera'!BN24+'Parte financiera'!CB24+'Parte financiera'!CP24+'Parte financiera'!DD24+'Parte financiera'!DT24+'Parte financiera'!EH24+'Parte financiera'!EV24+'Parte financiera'!FJ24+'Parte financiera'!FZ24+'Parte financiera'!GN24+'Parte financiera'!HB24+'Parte financiera'!HP24</f>
        <v>0</v>
      </c>
      <c r="G24" s="382">
        <f>'Parte financiera'!I24+'Parte financiera'!W24+'Parte financiera'!AK24+'Parte financiera'!AY24+'Parte financiera'!BO24+'Parte financiera'!CC24+'Parte financiera'!CQ24+'Parte financiera'!DE24+'Parte financiera'!DU24+'Parte financiera'!EI24+'Parte financiera'!EW24+'Parte financiera'!FK24+'Parte financiera'!GA24+'Parte financiera'!GO24+'Parte financiera'!HC24+'Parte financiera'!HQ24</f>
        <v>0</v>
      </c>
      <c r="H24" s="382">
        <f>'Parte financiera'!J24+'Parte financiera'!X24+'Parte financiera'!AL24+'Parte financiera'!AZ24+'Parte financiera'!BP24+'Parte financiera'!CD24+'Parte financiera'!CR24+'Parte financiera'!DF24+'Parte financiera'!DV24+'Parte financiera'!EJ24+'Parte financiera'!EX24+'Parte financiera'!FL24+'Parte financiera'!GB24+'Parte financiera'!GP24+'Parte financiera'!HD24+'Parte financiera'!HR24</f>
        <v>0</v>
      </c>
      <c r="I24" s="382">
        <f>'Parte financiera'!K24+'Parte financiera'!Y24+'Parte financiera'!AM24+'Parte financiera'!BA24+'Parte financiera'!BQ24+'Parte financiera'!CE24+'Parte financiera'!CS24+'Parte financiera'!DG24+'Parte financiera'!DW24+'Parte financiera'!EK24+'Parte financiera'!EY24+'Parte financiera'!FM24+'Parte financiera'!GC24+'Parte financiera'!GQ24+'Parte financiera'!HE24+'Parte financiera'!HS24</f>
        <v>0</v>
      </c>
      <c r="J24" s="382">
        <f>'Parte financiera'!L24+'Parte financiera'!Z24+'Parte financiera'!AN24+'Parte financiera'!BB24+'Parte financiera'!BR24+'Parte financiera'!CF24+'Parte financiera'!CT24+'Parte financiera'!DH24+'Parte financiera'!DX24+'Parte financiera'!EL24+'Parte financiera'!EZ24+'Parte financiera'!FN24+'Parte financiera'!GD24+'Parte financiera'!GR24+'Parte financiera'!HF24+'Parte financiera'!HT24</f>
        <v>0</v>
      </c>
      <c r="K24" s="382">
        <f>'Parte financiera'!M24+'Parte financiera'!AA24+'Parte financiera'!AO24+'Parte financiera'!BC24+'Parte financiera'!BS24+'Parte financiera'!CG24+'Parte financiera'!CU24+'Parte financiera'!DI24+'Parte financiera'!DY24+'Parte financiera'!EM24+'Parte financiera'!FA24+'Parte financiera'!FO24+'Parte financiera'!GE24+'Parte financiera'!GS24+'Parte financiera'!HG24+'Parte financiera'!HU24</f>
        <v>0</v>
      </c>
      <c r="L24" s="382">
        <f>'Parte financiera'!N24+'Parte financiera'!AB24+'Parte financiera'!AP24+'Parte financiera'!BD24+'Parte financiera'!BT24+'Parte financiera'!CH24+'Parte financiera'!CV24+'Parte financiera'!DJ24+'Parte financiera'!DZ24+'Parte financiera'!EN24+'Parte financiera'!FB24+'Parte financiera'!FP24+'Parte financiera'!GF24+'Parte financiera'!GT24+'Parte financiera'!HH24+'Parte financiera'!HV24</f>
        <v>0</v>
      </c>
      <c r="M24" s="382" t="e">
        <f>'Parte financiera'!O24+'Parte financiera'!AC24+'Parte financiera'!AQ24+'Parte financiera'!BE24+'Parte financiera'!BU24+'Parte financiera'!CI24+'Parte financiera'!CW24+'Parte financiera'!DK24+'Parte financiera'!EA24+'Parte financiera'!EO24+'Parte financiera'!FC24+'Parte financiera'!FQ24+'Parte financiera'!GG24+'Parte financiera'!GU24+'Parte financiera'!HI24+'Parte financiera'!HW24</f>
        <v>#VALUE!</v>
      </c>
      <c r="N24" s="382">
        <f>'Parte financiera'!P24+'Parte financiera'!AD24+'Parte financiera'!AR24+'Parte financiera'!BF24+'Parte financiera'!BV24+'Parte financiera'!CJ24+'Parte financiera'!CX24+'Parte financiera'!DL24+'Parte financiera'!EB24+'Parte financiera'!EP24+'Parte financiera'!FD24+'Parte financiera'!FR24+'Parte financiera'!GH24+'Parte financiera'!GV24+'Parte financiera'!HJ24+'Parte financiera'!HX24</f>
        <v>0</v>
      </c>
      <c r="O24" s="383">
        <f>'Parte financiera'!Q24+'Parte financiera'!AE24+'Parte financiera'!AS24+'Parte financiera'!BG24+'Parte financiera'!BW24+'Parte financiera'!CK24+'Parte financiera'!CY24+'Parte financiera'!DM24+'Parte financiera'!EC24+'Parte financiera'!EQ24+'Parte financiera'!FE24+'Parte financiera'!FS24+'Parte financiera'!GI24+'Parte financiera'!GW24+'Parte financiera'!HK24+'Parte financiera'!HY24</f>
        <v>0</v>
      </c>
    </row>
    <row r="25" spans="1:15">
      <c r="A25" s="463" t="str">
        <f>IF('Parte Estrategica'!B25=0,"",'Parte Estrategica'!B25)</f>
        <v/>
      </c>
      <c r="B25" s="382" t="e">
        <f>'Parte financiera'!D25+'Parte financiera'!R25+'Parte financiera'!AF25+'Parte financiera'!AT25+'Parte financiera'!BJ25+'Parte financiera'!BX25+'Parte financiera'!CL25+'Parte financiera'!CZ25+'Parte financiera'!DP25+'Parte financiera'!ED25+'Parte financiera'!ER25+'Parte financiera'!FF25+'Parte financiera'!FV25+'Parte financiera'!GJ25+'Parte financiera'!GX25+'Parte financiera'!HL25</f>
        <v>#VALUE!</v>
      </c>
      <c r="C25" s="382">
        <f>'Parte financiera'!E25+'Parte financiera'!S25+'Parte financiera'!AG25+'Parte financiera'!AU25+'Parte financiera'!BK25+'Parte financiera'!BY25+'Parte financiera'!CM25+'Parte financiera'!DA25+'Parte financiera'!DQ25+'Parte financiera'!EE25+'Parte financiera'!ES25+'Parte financiera'!FG25+'Parte financiera'!FW25+'Parte financiera'!GK25+'Parte financiera'!GY25+'Parte financiera'!HM25</f>
        <v>0</v>
      </c>
      <c r="D25" s="382">
        <f>'Parte financiera'!F25+'Parte financiera'!T25+'Parte financiera'!AH25+'Parte financiera'!AV25+'Parte financiera'!BL25+'Parte financiera'!BZ25+'Parte financiera'!CN25+'Parte financiera'!DB25+'Parte financiera'!DR25+'Parte financiera'!EF25+'Parte financiera'!ET25+'Parte financiera'!FH25+'Parte financiera'!FX25+'Parte financiera'!GL25+'Parte financiera'!GZ25+'Parte financiera'!HN25</f>
        <v>0</v>
      </c>
      <c r="E25" s="382">
        <f>'Parte financiera'!G25+'Parte financiera'!U25+'Parte financiera'!AI25+'Parte financiera'!AW25+'Parte financiera'!BM25+'Parte financiera'!CA25+'Parte financiera'!CO25+'Parte financiera'!DC25+'Parte financiera'!DS25+'Parte financiera'!EG25+'Parte financiera'!EU25+'Parte financiera'!FI25+'Parte financiera'!FY25+'Parte financiera'!GM25+'Parte financiera'!HA25+'Parte financiera'!HO25</f>
        <v>0</v>
      </c>
      <c r="F25" s="382">
        <f>'Parte financiera'!H25+'Parte financiera'!V25+'Parte financiera'!AJ25+'Parte financiera'!AX25+'Parte financiera'!BN25+'Parte financiera'!CB25+'Parte financiera'!CP25+'Parte financiera'!DD25+'Parte financiera'!DT25+'Parte financiera'!EH25+'Parte financiera'!EV25+'Parte financiera'!FJ25+'Parte financiera'!FZ25+'Parte financiera'!GN25+'Parte financiera'!HB25+'Parte financiera'!HP25</f>
        <v>0</v>
      </c>
      <c r="G25" s="382">
        <f>'Parte financiera'!I25+'Parte financiera'!W25+'Parte financiera'!AK25+'Parte financiera'!AY25+'Parte financiera'!BO25+'Parte financiera'!CC25+'Parte financiera'!CQ25+'Parte financiera'!DE25+'Parte financiera'!DU25+'Parte financiera'!EI25+'Parte financiera'!EW25+'Parte financiera'!FK25+'Parte financiera'!GA25+'Parte financiera'!GO25+'Parte financiera'!HC25+'Parte financiera'!HQ25</f>
        <v>0</v>
      </c>
      <c r="H25" s="382">
        <f>'Parte financiera'!J25+'Parte financiera'!X25+'Parte financiera'!AL25+'Parte financiera'!AZ25+'Parte financiera'!BP25+'Parte financiera'!CD25+'Parte financiera'!CR25+'Parte financiera'!DF25+'Parte financiera'!DV25+'Parte financiera'!EJ25+'Parte financiera'!EX25+'Parte financiera'!FL25+'Parte financiera'!GB25+'Parte financiera'!GP25+'Parte financiera'!HD25+'Parte financiera'!HR25</f>
        <v>0</v>
      </c>
      <c r="I25" s="382">
        <f>'Parte financiera'!K25+'Parte financiera'!Y25+'Parte financiera'!AM25+'Parte financiera'!BA25+'Parte financiera'!BQ25+'Parte financiera'!CE25+'Parte financiera'!CS25+'Parte financiera'!DG25+'Parte financiera'!DW25+'Parte financiera'!EK25+'Parte financiera'!EY25+'Parte financiera'!FM25+'Parte financiera'!GC25+'Parte financiera'!GQ25+'Parte financiera'!HE25+'Parte financiera'!HS25</f>
        <v>0</v>
      </c>
      <c r="J25" s="382">
        <f>'Parte financiera'!L25+'Parte financiera'!Z25+'Parte financiera'!AN25+'Parte financiera'!BB25+'Parte financiera'!BR25+'Parte financiera'!CF25+'Parte financiera'!CT25+'Parte financiera'!DH25+'Parte financiera'!DX25+'Parte financiera'!EL25+'Parte financiera'!EZ25+'Parte financiera'!FN25+'Parte financiera'!GD25+'Parte financiera'!GR25+'Parte financiera'!HF25+'Parte financiera'!HT25</f>
        <v>0</v>
      </c>
      <c r="K25" s="382">
        <f>'Parte financiera'!M25+'Parte financiera'!AA25+'Parte financiera'!AO25+'Parte financiera'!BC25+'Parte financiera'!BS25+'Parte financiera'!CG25+'Parte financiera'!CU25+'Parte financiera'!DI25+'Parte financiera'!DY25+'Parte financiera'!EM25+'Parte financiera'!FA25+'Parte financiera'!FO25+'Parte financiera'!GE25+'Parte financiera'!GS25+'Parte financiera'!HG25+'Parte financiera'!HU25</f>
        <v>0</v>
      </c>
      <c r="L25" s="382">
        <f>'Parte financiera'!N25+'Parte financiera'!AB25+'Parte financiera'!AP25+'Parte financiera'!BD25+'Parte financiera'!BT25+'Parte financiera'!CH25+'Parte financiera'!CV25+'Parte financiera'!DJ25+'Parte financiera'!DZ25+'Parte financiera'!EN25+'Parte financiera'!FB25+'Parte financiera'!FP25+'Parte financiera'!GF25+'Parte financiera'!GT25+'Parte financiera'!HH25+'Parte financiera'!HV25</f>
        <v>0</v>
      </c>
      <c r="M25" s="382" t="e">
        <f>'Parte financiera'!O25+'Parte financiera'!AC25+'Parte financiera'!AQ25+'Parte financiera'!BE25+'Parte financiera'!BU25+'Parte financiera'!CI25+'Parte financiera'!CW25+'Parte financiera'!DK25+'Parte financiera'!EA25+'Parte financiera'!EO25+'Parte financiera'!FC25+'Parte financiera'!FQ25+'Parte financiera'!GG25+'Parte financiera'!GU25+'Parte financiera'!HI25+'Parte financiera'!HW25</f>
        <v>#VALUE!</v>
      </c>
      <c r="N25" s="382">
        <f>'Parte financiera'!P25+'Parte financiera'!AD25+'Parte financiera'!AR25+'Parte financiera'!BF25+'Parte financiera'!BV25+'Parte financiera'!CJ25+'Parte financiera'!CX25+'Parte financiera'!DL25+'Parte financiera'!EB25+'Parte financiera'!EP25+'Parte financiera'!FD25+'Parte financiera'!FR25+'Parte financiera'!GH25+'Parte financiera'!GV25+'Parte financiera'!HJ25+'Parte financiera'!HX25</f>
        <v>0</v>
      </c>
      <c r="O25" s="383">
        <f>'Parte financiera'!Q25+'Parte financiera'!AE25+'Parte financiera'!AS25+'Parte financiera'!BG25+'Parte financiera'!BW25+'Parte financiera'!CK25+'Parte financiera'!CY25+'Parte financiera'!DM25+'Parte financiera'!EC25+'Parte financiera'!EQ25+'Parte financiera'!FE25+'Parte financiera'!FS25+'Parte financiera'!GI25+'Parte financiera'!GW25+'Parte financiera'!HK25+'Parte financiera'!HY25</f>
        <v>0</v>
      </c>
    </row>
    <row r="26" spans="1:15">
      <c r="A26" s="463" t="str">
        <f>IF('Parte Estrategica'!B26=0,"",'Parte Estrategica'!B26)</f>
        <v/>
      </c>
      <c r="B26" s="382" t="e">
        <f>'Parte financiera'!D26+'Parte financiera'!R26+'Parte financiera'!AF26+'Parte financiera'!AT26+'Parte financiera'!BJ26+'Parte financiera'!BX26+'Parte financiera'!CL26+'Parte financiera'!CZ26+'Parte financiera'!DP26+'Parte financiera'!ED26+'Parte financiera'!ER26+'Parte financiera'!FF26+'Parte financiera'!FV26+'Parte financiera'!GJ26+'Parte financiera'!GX26+'Parte financiera'!HL26</f>
        <v>#VALUE!</v>
      </c>
      <c r="C26" s="382">
        <f>'Parte financiera'!E26+'Parte financiera'!S26+'Parte financiera'!AG26+'Parte financiera'!AU26+'Parte financiera'!BK26+'Parte financiera'!BY26+'Parte financiera'!CM26+'Parte financiera'!DA26+'Parte financiera'!DQ26+'Parte financiera'!EE26+'Parte financiera'!ES26+'Parte financiera'!FG26+'Parte financiera'!FW26+'Parte financiera'!GK26+'Parte financiera'!GY26+'Parte financiera'!HM26</f>
        <v>0</v>
      </c>
      <c r="D26" s="382">
        <f>'Parte financiera'!F26+'Parte financiera'!T26+'Parte financiera'!AH26+'Parte financiera'!AV26+'Parte financiera'!BL26+'Parte financiera'!BZ26+'Parte financiera'!CN26+'Parte financiera'!DB26+'Parte financiera'!DR26+'Parte financiera'!EF26+'Parte financiera'!ET26+'Parte financiera'!FH26+'Parte financiera'!FX26+'Parte financiera'!GL26+'Parte financiera'!GZ26+'Parte financiera'!HN26</f>
        <v>0</v>
      </c>
      <c r="E26" s="382">
        <f>'Parte financiera'!G26+'Parte financiera'!U26+'Parte financiera'!AI26+'Parte financiera'!AW26+'Parte financiera'!BM26+'Parte financiera'!CA26+'Parte financiera'!CO26+'Parte financiera'!DC26+'Parte financiera'!DS26+'Parte financiera'!EG26+'Parte financiera'!EU26+'Parte financiera'!FI26+'Parte financiera'!FY26+'Parte financiera'!GM26+'Parte financiera'!HA26+'Parte financiera'!HO26</f>
        <v>0</v>
      </c>
      <c r="F26" s="382">
        <f>'Parte financiera'!H26+'Parte financiera'!V26+'Parte financiera'!AJ26+'Parte financiera'!AX26+'Parte financiera'!BN26+'Parte financiera'!CB26+'Parte financiera'!CP26+'Parte financiera'!DD26+'Parte financiera'!DT26+'Parte financiera'!EH26+'Parte financiera'!EV26+'Parte financiera'!FJ26+'Parte financiera'!FZ26+'Parte financiera'!GN26+'Parte financiera'!HB26+'Parte financiera'!HP26</f>
        <v>0</v>
      </c>
      <c r="G26" s="382">
        <f>'Parte financiera'!I26+'Parte financiera'!W26+'Parte financiera'!AK26+'Parte financiera'!AY26+'Parte financiera'!BO26+'Parte financiera'!CC26+'Parte financiera'!CQ26+'Parte financiera'!DE26+'Parte financiera'!DU26+'Parte financiera'!EI26+'Parte financiera'!EW26+'Parte financiera'!FK26+'Parte financiera'!GA26+'Parte financiera'!GO26+'Parte financiera'!HC26+'Parte financiera'!HQ26</f>
        <v>0</v>
      </c>
      <c r="H26" s="382">
        <f>'Parte financiera'!J26+'Parte financiera'!X26+'Parte financiera'!AL26+'Parte financiera'!AZ26+'Parte financiera'!BP26+'Parte financiera'!CD26+'Parte financiera'!CR26+'Parte financiera'!DF26+'Parte financiera'!DV26+'Parte financiera'!EJ26+'Parte financiera'!EX26+'Parte financiera'!FL26+'Parte financiera'!GB26+'Parte financiera'!GP26+'Parte financiera'!HD26+'Parte financiera'!HR26</f>
        <v>0</v>
      </c>
      <c r="I26" s="382">
        <f>'Parte financiera'!K26+'Parte financiera'!Y26+'Parte financiera'!AM26+'Parte financiera'!BA26+'Parte financiera'!BQ26+'Parte financiera'!CE26+'Parte financiera'!CS26+'Parte financiera'!DG26+'Parte financiera'!DW26+'Parte financiera'!EK26+'Parte financiera'!EY26+'Parte financiera'!FM26+'Parte financiera'!GC26+'Parte financiera'!GQ26+'Parte financiera'!HE26+'Parte financiera'!HS26</f>
        <v>0</v>
      </c>
      <c r="J26" s="382">
        <f>'Parte financiera'!L26+'Parte financiera'!Z26+'Parte financiera'!AN26+'Parte financiera'!BB26+'Parte financiera'!BR26+'Parte financiera'!CF26+'Parte financiera'!CT26+'Parte financiera'!DH26+'Parte financiera'!DX26+'Parte financiera'!EL26+'Parte financiera'!EZ26+'Parte financiera'!FN26+'Parte financiera'!GD26+'Parte financiera'!GR26+'Parte financiera'!HF26+'Parte financiera'!HT26</f>
        <v>0</v>
      </c>
      <c r="K26" s="382">
        <f>'Parte financiera'!M26+'Parte financiera'!AA26+'Parte financiera'!AO26+'Parte financiera'!BC26+'Parte financiera'!BS26+'Parte financiera'!CG26+'Parte financiera'!CU26+'Parte financiera'!DI26+'Parte financiera'!DY26+'Parte financiera'!EM26+'Parte financiera'!FA26+'Parte financiera'!FO26+'Parte financiera'!GE26+'Parte financiera'!GS26+'Parte financiera'!HG26+'Parte financiera'!HU26</f>
        <v>0</v>
      </c>
      <c r="L26" s="382">
        <f>'Parte financiera'!N26+'Parte financiera'!AB26+'Parte financiera'!AP26+'Parte financiera'!BD26+'Parte financiera'!BT26+'Parte financiera'!CH26+'Parte financiera'!CV26+'Parte financiera'!DJ26+'Parte financiera'!DZ26+'Parte financiera'!EN26+'Parte financiera'!FB26+'Parte financiera'!FP26+'Parte financiera'!GF26+'Parte financiera'!GT26+'Parte financiera'!HH26+'Parte financiera'!HV26</f>
        <v>0</v>
      </c>
      <c r="M26" s="382" t="e">
        <f>'Parte financiera'!O26+'Parte financiera'!AC26+'Parte financiera'!AQ26+'Parte financiera'!BE26+'Parte financiera'!BU26+'Parte financiera'!CI26+'Parte financiera'!CW26+'Parte financiera'!DK26+'Parte financiera'!EA26+'Parte financiera'!EO26+'Parte financiera'!FC26+'Parte financiera'!FQ26+'Parte financiera'!GG26+'Parte financiera'!GU26+'Parte financiera'!HI26+'Parte financiera'!HW26</f>
        <v>#VALUE!</v>
      </c>
      <c r="N26" s="382">
        <f>'Parte financiera'!P26+'Parte financiera'!AD26+'Parte financiera'!AR26+'Parte financiera'!BF26+'Parte financiera'!BV26+'Parte financiera'!CJ26+'Parte financiera'!CX26+'Parte financiera'!DL26+'Parte financiera'!EB26+'Parte financiera'!EP26+'Parte financiera'!FD26+'Parte financiera'!FR26+'Parte financiera'!GH26+'Parte financiera'!GV26+'Parte financiera'!HJ26+'Parte financiera'!HX26</f>
        <v>0</v>
      </c>
      <c r="O26" s="383">
        <f>'Parte financiera'!Q26+'Parte financiera'!AE26+'Parte financiera'!AS26+'Parte financiera'!BG26+'Parte financiera'!BW26+'Parte financiera'!CK26+'Parte financiera'!CY26+'Parte financiera'!DM26+'Parte financiera'!EC26+'Parte financiera'!EQ26+'Parte financiera'!FE26+'Parte financiera'!FS26+'Parte financiera'!GI26+'Parte financiera'!GW26+'Parte financiera'!HK26+'Parte financiera'!HY26</f>
        <v>0</v>
      </c>
    </row>
    <row r="27" spans="1:15">
      <c r="A27" s="463" t="str">
        <f>IF('Parte Estrategica'!B27=0,"",'Parte Estrategica'!B27)</f>
        <v/>
      </c>
      <c r="B27" s="382" t="e">
        <f>'Parte financiera'!D27+'Parte financiera'!R27+'Parte financiera'!AF27+'Parte financiera'!AT27+'Parte financiera'!BJ27+'Parte financiera'!BX27+'Parte financiera'!CL27+'Parte financiera'!CZ27+'Parte financiera'!DP27+'Parte financiera'!ED27+'Parte financiera'!ER27+'Parte financiera'!FF27+'Parte financiera'!FV27+'Parte financiera'!GJ27+'Parte financiera'!GX27+'Parte financiera'!HL27</f>
        <v>#VALUE!</v>
      </c>
      <c r="C27" s="382">
        <f>'Parte financiera'!E27+'Parte financiera'!S27+'Parte financiera'!AG27+'Parte financiera'!AU27+'Parte financiera'!BK27+'Parte financiera'!BY27+'Parte financiera'!CM27+'Parte financiera'!DA27+'Parte financiera'!DQ27+'Parte financiera'!EE27+'Parte financiera'!ES27+'Parte financiera'!FG27+'Parte financiera'!FW27+'Parte financiera'!GK27+'Parte financiera'!GY27+'Parte financiera'!HM27</f>
        <v>0</v>
      </c>
      <c r="D27" s="382">
        <f>'Parte financiera'!F27+'Parte financiera'!T27+'Parte financiera'!AH27+'Parte financiera'!AV27+'Parte financiera'!BL27+'Parte financiera'!BZ27+'Parte financiera'!CN27+'Parte financiera'!DB27+'Parte financiera'!DR27+'Parte financiera'!EF27+'Parte financiera'!ET27+'Parte financiera'!FH27+'Parte financiera'!FX27+'Parte financiera'!GL27+'Parte financiera'!GZ27+'Parte financiera'!HN27</f>
        <v>0</v>
      </c>
      <c r="E27" s="382">
        <f>'Parte financiera'!G27+'Parte financiera'!U27+'Parte financiera'!AI27+'Parte financiera'!AW27+'Parte financiera'!BM27+'Parte financiera'!CA27+'Parte financiera'!CO27+'Parte financiera'!DC27+'Parte financiera'!DS27+'Parte financiera'!EG27+'Parte financiera'!EU27+'Parte financiera'!FI27+'Parte financiera'!FY27+'Parte financiera'!GM27+'Parte financiera'!HA27+'Parte financiera'!HO27</f>
        <v>0</v>
      </c>
      <c r="F27" s="382">
        <f>'Parte financiera'!H27+'Parte financiera'!V27+'Parte financiera'!AJ27+'Parte financiera'!AX27+'Parte financiera'!BN27+'Parte financiera'!CB27+'Parte financiera'!CP27+'Parte financiera'!DD27+'Parte financiera'!DT27+'Parte financiera'!EH27+'Parte financiera'!EV27+'Parte financiera'!FJ27+'Parte financiera'!FZ27+'Parte financiera'!GN27+'Parte financiera'!HB27+'Parte financiera'!HP27</f>
        <v>0</v>
      </c>
      <c r="G27" s="382">
        <f>'Parte financiera'!I27+'Parte financiera'!W27+'Parte financiera'!AK27+'Parte financiera'!AY27+'Parte financiera'!BO27+'Parte financiera'!CC27+'Parte financiera'!CQ27+'Parte financiera'!DE27+'Parte financiera'!DU27+'Parte financiera'!EI27+'Parte financiera'!EW27+'Parte financiera'!FK27+'Parte financiera'!GA27+'Parte financiera'!GO27+'Parte financiera'!HC27+'Parte financiera'!HQ27</f>
        <v>0</v>
      </c>
      <c r="H27" s="382">
        <f>'Parte financiera'!J27+'Parte financiera'!X27+'Parte financiera'!AL27+'Parte financiera'!AZ27+'Parte financiera'!BP27+'Parte financiera'!CD27+'Parte financiera'!CR27+'Parte financiera'!DF27+'Parte financiera'!DV27+'Parte financiera'!EJ27+'Parte financiera'!EX27+'Parte financiera'!FL27+'Parte financiera'!GB27+'Parte financiera'!GP27+'Parte financiera'!HD27+'Parte financiera'!HR27</f>
        <v>0</v>
      </c>
      <c r="I27" s="382">
        <f>'Parte financiera'!K27+'Parte financiera'!Y27+'Parte financiera'!AM27+'Parte financiera'!BA27+'Parte financiera'!BQ27+'Parte financiera'!CE27+'Parte financiera'!CS27+'Parte financiera'!DG27+'Parte financiera'!DW27+'Parte financiera'!EK27+'Parte financiera'!EY27+'Parte financiera'!FM27+'Parte financiera'!GC27+'Parte financiera'!GQ27+'Parte financiera'!HE27+'Parte financiera'!HS27</f>
        <v>0</v>
      </c>
      <c r="J27" s="382">
        <f>'Parte financiera'!L27+'Parte financiera'!Z27+'Parte financiera'!AN27+'Parte financiera'!BB27+'Parte financiera'!BR27+'Parte financiera'!CF27+'Parte financiera'!CT27+'Parte financiera'!DH27+'Parte financiera'!DX27+'Parte financiera'!EL27+'Parte financiera'!EZ27+'Parte financiera'!FN27+'Parte financiera'!GD27+'Parte financiera'!GR27+'Parte financiera'!HF27+'Parte financiera'!HT27</f>
        <v>0</v>
      </c>
      <c r="K27" s="382">
        <f>'Parte financiera'!M27+'Parte financiera'!AA27+'Parte financiera'!AO27+'Parte financiera'!BC27+'Parte financiera'!BS27+'Parte financiera'!CG27+'Parte financiera'!CU27+'Parte financiera'!DI27+'Parte financiera'!DY27+'Parte financiera'!EM27+'Parte financiera'!FA27+'Parte financiera'!FO27+'Parte financiera'!GE27+'Parte financiera'!GS27+'Parte financiera'!HG27+'Parte financiera'!HU27</f>
        <v>0</v>
      </c>
      <c r="L27" s="382">
        <f>'Parte financiera'!N27+'Parte financiera'!AB27+'Parte financiera'!AP27+'Parte financiera'!BD27+'Parte financiera'!BT27+'Parte financiera'!CH27+'Parte financiera'!CV27+'Parte financiera'!DJ27+'Parte financiera'!DZ27+'Parte financiera'!EN27+'Parte financiera'!FB27+'Parte financiera'!FP27+'Parte financiera'!GF27+'Parte financiera'!GT27+'Parte financiera'!HH27+'Parte financiera'!HV27</f>
        <v>0</v>
      </c>
      <c r="M27" s="382" t="e">
        <f>'Parte financiera'!O27+'Parte financiera'!AC27+'Parte financiera'!AQ27+'Parte financiera'!BE27+'Parte financiera'!BU27+'Parte financiera'!CI27+'Parte financiera'!CW27+'Parte financiera'!DK27+'Parte financiera'!EA27+'Parte financiera'!EO27+'Parte financiera'!FC27+'Parte financiera'!FQ27+'Parte financiera'!GG27+'Parte financiera'!GU27+'Parte financiera'!HI27+'Parte financiera'!HW27</f>
        <v>#VALUE!</v>
      </c>
      <c r="N27" s="382">
        <f>'Parte financiera'!P27+'Parte financiera'!AD27+'Parte financiera'!AR27+'Parte financiera'!BF27+'Parte financiera'!BV27+'Parte financiera'!CJ27+'Parte financiera'!CX27+'Parte financiera'!DL27+'Parte financiera'!EB27+'Parte financiera'!EP27+'Parte financiera'!FD27+'Parte financiera'!FR27+'Parte financiera'!GH27+'Parte financiera'!GV27+'Parte financiera'!HJ27+'Parte financiera'!HX27</f>
        <v>0</v>
      </c>
      <c r="O27" s="383">
        <f>'Parte financiera'!Q27+'Parte financiera'!AE27+'Parte financiera'!AS27+'Parte financiera'!BG27+'Parte financiera'!BW27+'Parte financiera'!CK27+'Parte financiera'!CY27+'Parte financiera'!DM27+'Parte financiera'!EC27+'Parte financiera'!EQ27+'Parte financiera'!FE27+'Parte financiera'!FS27+'Parte financiera'!GI27+'Parte financiera'!GW27+'Parte financiera'!HK27+'Parte financiera'!HY27</f>
        <v>0</v>
      </c>
    </row>
    <row r="28" spans="1:15">
      <c r="A28" s="463" t="str">
        <f>IF('Parte Estrategica'!B28=0,"",'Parte Estrategica'!B28)</f>
        <v/>
      </c>
      <c r="B28" s="382" t="e">
        <f>'Parte financiera'!D28+'Parte financiera'!R28+'Parte financiera'!AF28+'Parte financiera'!AT28+'Parte financiera'!BJ28+'Parte financiera'!BX28+'Parte financiera'!CL28+'Parte financiera'!CZ28+'Parte financiera'!DP28+'Parte financiera'!ED28+'Parte financiera'!ER28+'Parte financiera'!FF28+'Parte financiera'!FV28+'Parte financiera'!GJ28+'Parte financiera'!GX28+'Parte financiera'!HL28</f>
        <v>#VALUE!</v>
      </c>
      <c r="C28" s="382">
        <f>'Parte financiera'!E28+'Parte financiera'!S28+'Parte financiera'!AG28+'Parte financiera'!AU28+'Parte financiera'!BK28+'Parte financiera'!BY28+'Parte financiera'!CM28+'Parte financiera'!DA28+'Parte financiera'!DQ28+'Parte financiera'!EE28+'Parte financiera'!ES28+'Parte financiera'!FG28+'Parte financiera'!FW28+'Parte financiera'!GK28+'Parte financiera'!GY28+'Parte financiera'!HM28</f>
        <v>0</v>
      </c>
      <c r="D28" s="382">
        <f>'Parte financiera'!F28+'Parte financiera'!T28+'Parte financiera'!AH28+'Parte financiera'!AV28+'Parte financiera'!BL28+'Parte financiera'!BZ28+'Parte financiera'!CN28+'Parte financiera'!DB28+'Parte financiera'!DR28+'Parte financiera'!EF28+'Parte financiera'!ET28+'Parte financiera'!FH28+'Parte financiera'!FX28+'Parte financiera'!GL28+'Parte financiera'!GZ28+'Parte financiera'!HN28</f>
        <v>0</v>
      </c>
      <c r="E28" s="382">
        <f>'Parte financiera'!G28+'Parte financiera'!U28+'Parte financiera'!AI28+'Parte financiera'!AW28+'Parte financiera'!BM28+'Parte financiera'!CA28+'Parte financiera'!CO28+'Parte financiera'!DC28+'Parte financiera'!DS28+'Parte financiera'!EG28+'Parte financiera'!EU28+'Parte financiera'!FI28+'Parte financiera'!FY28+'Parte financiera'!GM28+'Parte financiera'!HA28+'Parte financiera'!HO28</f>
        <v>0</v>
      </c>
      <c r="F28" s="382">
        <f>'Parte financiera'!H28+'Parte financiera'!V28+'Parte financiera'!AJ28+'Parte financiera'!AX28+'Parte financiera'!BN28+'Parte financiera'!CB28+'Parte financiera'!CP28+'Parte financiera'!DD28+'Parte financiera'!DT28+'Parte financiera'!EH28+'Parte financiera'!EV28+'Parte financiera'!FJ28+'Parte financiera'!FZ28+'Parte financiera'!GN28+'Parte financiera'!HB28+'Parte financiera'!HP28</f>
        <v>0</v>
      </c>
      <c r="G28" s="382">
        <f>'Parte financiera'!I28+'Parte financiera'!W28+'Parte financiera'!AK28+'Parte financiera'!AY28+'Parte financiera'!BO28+'Parte financiera'!CC28+'Parte financiera'!CQ28+'Parte financiera'!DE28+'Parte financiera'!DU28+'Parte financiera'!EI28+'Parte financiera'!EW28+'Parte financiera'!FK28+'Parte financiera'!GA28+'Parte financiera'!GO28+'Parte financiera'!HC28+'Parte financiera'!HQ28</f>
        <v>0</v>
      </c>
      <c r="H28" s="382">
        <f>'Parte financiera'!J28+'Parte financiera'!X28+'Parte financiera'!AL28+'Parte financiera'!AZ28+'Parte financiera'!BP28+'Parte financiera'!CD28+'Parte financiera'!CR28+'Parte financiera'!DF28+'Parte financiera'!DV28+'Parte financiera'!EJ28+'Parte financiera'!EX28+'Parte financiera'!FL28+'Parte financiera'!GB28+'Parte financiera'!GP28+'Parte financiera'!HD28+'Parte financiera'!HR28</f>
        <v>0</v>
      </c>
      <c r="I28" s="382">
        <f>'Parte financiera'!K28+'Parte financiera'!Y28+'Parte financiera'!AM28+'Parte financiera'!BA28+'Parte financiera'!BQ28+'Parte financiera'!CE28+'Parte financiera'!CS28+'Parte financiera'!DG28+'Parte financiera'!DW28+'Parte financiera'!EK28+'Parte financiera'!EY28+'Parte financiera'!FM28+'Parte financiera'!GC28+'Parte financiera'!GQ28+'Parte financiera'!HE28+'Parte financiera'!HS28</f>
        <v>0</v>
      </c>
      <c r="J28" s="382">
        <f>'Parte financiera'!L28+'Parte financiera'!Z28+'Parte financiera'!AN28+'Parte financiera'!BB28+'Parte financiera'!BR28+'Parte financiera'!CF28+'Parte financiera'!CT28+'Parte financiera'!DH28+'Parte financiera'!DX28+'Parte financiera'!EL28+'Parte financiera'!EZ28+'Parte financiera'!FN28+'Parte financiera'!GD28+'Parte financiera'!GR28+'Parte financiera'!HF28+'Parte financiera'!HT28</f>
        <v>0</v>
      </c>
      <c r="K28" s="382">
        <f>'Parte financiera'!M28+'Parte financiera'!AA28+'Parte financiera'!AO28+'Parte financiera'!BC28+'Parte financiera'!BS28+'Parte financiera'!CG28+'Parte financiera'!CU28+'Parte financiera'!DI28+'Parte financiera'!DY28+'Parte financiera'!EM28+'Parte financiera'!FA28+'Parte financiera'!FO28+'Parte financiera'!GE28+'Parte financiera'!GS28+'Parte financiera'!HG28+'Parte financiera'!HU28</f>
        <v>0</v>
      </c>
      <c r="L28" s="382">
        <f>'Parte financiera'!N28+'Parte financiera'!AB28+'Parte financiera'!AP28+'Parte financiera'!BD28+'Parte financiera'!BT28+'Parte financiera'!CH28+'Parte financiera'!CV28+'Parte financiera'!DJ28+'Parte financiera'!DZ28+'Parte financiera'!EN28+'Parte financiera'!FB28+'Parte financiera'!FP28+'Parte financiera'!GF28+'Parte financiera'!GT28+'Parte financiera'!HH28+'Parte financiera'!HV28</f>
        <v>0</v>
      </c>
      <c r="M28" s="382" t="e">
        <f>'Parte financiera'!O28+'Parte financiera'!AC28+'Parte financiera'!AQ28+'Parte financiera'!BE28+'Parte financiera'!BU28+'Parte financiera'!CI28+'Parte financiera'!CW28+'Parte financiera'!DK28+'Parte financiera'!EA28+'Parte financiera'!EO28+'Parte financiera'!FC28+'Parte financiera'!FQ28+'Parte financiera'!GG28+'Parte financiera'!GU28+'Parte financiera'!HI28+'Parte financiera'!HW28</f>
        <v>#VALUE!</v>
      </c>
      <c r="N28" s="382">
        <f>'Parte financiera'!P28+'Parte financiera'!AD28+'Parte financiera'!AR28+'Parte financiera'!BF28+'Parte financiera'!BV28+'Parte financiera'!CJ28+'Parte financiera'!CX28+'Parte financiera'!DL28+'Parte financiera'!EB28+'Parte financiera'!EP28+'Parte financiera'!FD28+'Parte financiera'!FR28+'Parte financiera'!GH28+'Parte financiera'!GV28+'Parte financiera'!HJ28+'Parte financiera'!HX28</f>
        <v>0</v>
      </c>
      <c r="O28" s="383">
        <f>'Parte financiera'!Q28+'Parte financiera'!AE28+'Parte financiera'!AS28+'Parte financiera'!BG28+'Parte financiera'!BW28+'Parte financiera'!CK28+'Parte financiera'!CY28+'Parte financiera'!DM28+'Parte financiera'!EC28+'Parte financiera'!EQ28+'Parte financiera'!FE28+'Parte financiera'!FS28+'Parte financiera'!GI28+'Parte financiera'!GW28+'Parte financiera'!HK28+'Parte financiera'!HY28</f>
        <v>0</v>
      </c>
    </row>
    <row r="29" spans="1:15">
      <c r="A29" s="463" t="str">
        <f>IF('Parte Estrategica'!B29=0,"",'Parte Estrategica'!B29)</f>
        <v/>
      </c>
      <c r="B29" s="382" t="e">
        <f>'Parte financiera'!D29+'Parte financiera'!R29+'Parte financiera'!AF29+'Parte financiera'!AT29+'Parte financiera'!BJ29+'Parte financiera'!BX29+'Parte financiera'!CL29+'Parte financiera'!CZ29+'Parte financiera'!DP29+'Parte financiera'!ED29+'Parte financiera'!ER29+'Parte financiera'!FF29+'Parte financiera'!FV29+'Parte financiera'!GJ29+'Parte financiera'!GX29+'Parte financiera'!HL29</f>
        <v>#VALUE!</v>
      </c>
      <c r="C29" s="382">
        <f>'Parte financiera'!E29+'Parte financiera'!S29+'Parte financiera'!AG29+'Parte financiera'!AU29+'Parte financiera'!BK29+'Parte financiera'!BY29+'Parte financiera'!CM29+'Parte financiera'!DA29+'Parte financiera'!DQ29+'Parte financiera'!EE29+'Parte financiera'!ES29+'Parte financiera'!FG29+'Parte financiera'!FW29+'Parte financiera'!GK29+'Parte financiera'!GY29+'Parte financiera'!HM29</f>
        <v>0</v>
      </c>
      <c r="D29" s="382">
        <f>'Parte financiera'!F29+'Parte financiera'!T29+'Parte financiera'!AH29+'Parte financiera'!AV29+'Parte financiera'!BL29+'Parte financiera'!BZ29+'Parte financiera'!CN29+'Parte financiera'!DB29+'Parte financiera'!DR29+'Parte financiera'!EF29+'Parte financiera'!ET29+'Parte financiera'!FH29+'Parte financiera'!FX29+'Parte financiera'!GL29+'Parte financiera'!GZ29+'Parte financiera'!HN29</f>
        <v>0</v>
      </c>
      <c r="E29" s="382">
        <f>'Parte financiera'!G29+'Parte financiera'!U29+'Parte financiera'!AI29+'Parte financiera'!AW29+'Parte financiera'!BM29+'Parte financiera'!CA29+'Parte financiera'!CO29+'Parte financiera'!DC29+'Parte financiera'!DS29+'Parte financiera'!EG29+'Parte financiera'!EU29+'Parte financiera'!FI29+'Parte financiera'!FY29+'Parte financiera'!GM29+'Parte financiera'!HA29+'Parte financiera'!HO29</f>
        <v>0</v>
      </c>
      <c r="F29" s="382">
        <f>'Parte financiera'!H29+'Parte financiera'!V29+'Parte financiera'!AJ29+'Parte financiera'!AX29+'Parte financiera'!BN29+'Parte financiera'!CB29+'Parte financiera'!CP29+'Parte financiera'!DD29+'Parte financiera'!DT29+'Parte financiera'!EH29+'Parte financiera'!EV29+'Parte financiera'!FJ29+'Parte financiera'!FZ29+'Parte financiera'!GN29+'Parte financiera'!HB29+'Parte financiera'!HP29</f>
        <v>0</v>
      </c>
      <c r="G29" s="382">
        <f>'Parte financiera'!I29+'Parte financiera'!W29+'Parte financiera'!AK29+'Parte financiera'!AY29+'Parte financiera'!BO29+'Parte financiera'!CC29+'Parte financiera'!CQ29+'Parte financiera'!DE29+'Parte financiera'!DU29+'Parte financiera'!EI29+'Parte financiera'!EW29+'Parte financiera'!FK29+'Parte financiera'!GA29+'Parte financiera'!GO29+'Parte financiera'!HC29+'Parte financiera'!HQ29</f>
        <v>0</v>
      </c>
      <c r="H29" s="382">
        <f>'Parte financiera'!J29+'Parte financiera'!X29+'Parte financiera'!AL29+'Parte financiera'!AZ29+'Parte financiera'!BP29+'Parte financiera'!CD29+'Parte financiera'!CR29+'Parte financiera'!DF29+'Parte financiera'!DV29+'Parte financiera'!EJ29+'Parte financiera'!EX29+'Parte financiera'!FL29+'Parte financiera'!GB29+'Parte financiera'!GP29+'Parte financiera'!HD29+'Parte financiera'!HR29</f>
        <v>0</v>
      </c>
      <c r="I29" s="382">
        <f>'Parte financiera'!K29+'Parte financiera'!Y29+'Parte financiera'!AM29+'Parte financiera'!BA29+'Parte financiera'!BQ29+'Parte financiera'!CE29+'Parte financiera'!CS29+'Parte financiera'!DG29+'Parte financiera'!DW29+'Parte financiera'!EK29+'Parte financiera'!EY29+'Parte financiera'!FM29+'Parte financiera'!GC29+'Parte financiera'!GQ29+'Parte financiera'!HE29+'Parte financiera'!HS29</f>
        <v>0</v>
      </c>
      <c r="J29" s="382">
        <f>'Parte financiera'!L29+'Parte financiera'!Z29+'Parte financiera'!AN29+'Parte financiera'!BB29+'Parte financiera'!BR29+'Parte financiera'!CF29+'Parte financiera'!CT29+'Parte financiera'!DH29+'Parte financiera'!DX29+'Parte financiera'!EL29+'Parte financiera'!EZ29+'Parte financiera'!FN29+'Parte financiera'!GD29+'Parte financiera'!GR29+'Parte financiera'!HF29+'Parte financiera'!HT29</f>
        <v>0</v>
      </c>
      <c r="K29" s="382">
        <f>'Parte financiera'!M29+'Parte financiera'!AA29+'Parte financiera'!AO29+'Parte financiera'!BC29+'Parte financiera'!BS29+'Parte financiera'!CG29+'Parte financiera'!CU29+'Parte financiera'!DI29+'Parte financiera'!DY29+'Parte financiera'!EM29+'Parte financiera'!FA29+'Parte financiera'!FO29+'Parte financiera'!GE29+'Parte financiera'!GS29+'Parte financiera'!HG29+'Parte financiera'!HU29</f>
        <v>0</v>
      </c>
      <c r="L29" s="382">
        <f>'Parte financiera'!N29+'Parte financiera'!AB29+'Parte financiera'!AP29+'Parte financiera'!BD29+'Parte financiera'!BT29+'Parte financiera'!CH29+'Parte financiera'!CV29+'Parte financiera'!DJ29+'Parte financiera'!DZ29+'Parte financiera'!EN29+'Parte financiera'!FB29+'Parte financiera'!FP29+'Parte financiera'!GF29+'Parte financiera'!GT29+'Parte financiera'!HH29+'Parte financiera'!HV29</f>
        <v>0</v>
      </c>
      <c r="M29" s="382" t="e">
        <f>'Parte financiera'!O29+'Parte financiera'!AC29+'Parte financiera'!AQ29+'Parte financiera'!BE29+'Parte financiera'!BU29+'Parte financiera'!CI29+'Parte financiera'!CW29+'Parte financiera'!DK29+'Parte financiera'!EA29+'Parte financiera'!EO29+'Parte financiera'!FC29+'Parte financiera'!FQ29+'Parte financiera'!GG29+'Parte financiera'!GU29+'Parte financiera'!HI29+'Parte financiera'!HW29</f>
        <v>#VALUE!</v>
      </c>
      <c r="N29" s="382">
        <f>'Parte financiera'!P29+'Parte financiera'!AD29+'Parte financiera'!AR29+'Parte financiera'!BF29+'Parte financiera'!BV29+'Parte financiera'!CJ29+'Parte financiera'!CX29+'Parte financiera'!DL29+'Parte financiera'!EB29+'Parte financiera'!EP29+'Parte financiera'!FD29+'Parte financiera'!FR29+'Parte financiera'!GH29+'Parte financiera'!GV29+'Parte financiera'!HJ29+'Parte financiera'!HX29</f>
        <v>0</v>
      </c>
      <c r="O29" s="383">
        <f>'Parte financiera'!Q29+'Parte financiera'!AE29+'Parte financiera'!AS29+'Parte financiera'!BG29+'Parte financiera'!BW29+'Parte financiera'!CK29+'Parte financiera'!CY29+'Parte financiera'!DM29+'Parte financiera'!EC29+'Parte financiera'!EQ29+'Parte financiera'!FE29+'Parte financiera'!FS29+'Parte financiera'!GI29+'Parte financiera'!GW29+'Parte financiera'!HK29+'Parte financiera'!HY29</f>
        <v>0</v>
      </c>
    </row>
    <row r="30" spans="1:15">
      <c r="A30" s="463" t="str">
        <f>IF('Parte Estrategica'!B30=0,"",'Parte Estrategica'!B30)</f>
        <v/>
      </c>
      <c r="B30" s="382" t="e">
        <f>'Parte financiera'!D30+'Parte financiera'!R30+'Parte financiera'!AF30+'Parte financiera'!AT30+'Parte financiera'!BJ30+'Parte financiera'!BX30+'Parte financiera'!CL30+'Parte financiera'!CZ30+'Parte financiera'!DP30+'Parte financiera'!ED30+'Parte financiera'!ER30+'Parte financiera'!FF30+'Parte financiera'!FV30+'Parte financiera'!GJ30+'Parte financiera'!GX30+'Parte financiera'!HL30</f>
        <v>#VALUE!</v>
      </c>
      <c r="C30" s="382">
        <f>'Parte financiera'!E30+'Parte financiera'!S30+'Parte financiera'!AG30+'Parte financiera'!AU30+'Parte financiera'!BK30+'Parte financiera'!BY30+'Parte financiera'!CM30+'Parte financiera'!DA30+'Parte financiera'!DQ30+'Parte financiera'!EE30+'Parte financiera'!ES30+'Parte financiera'!FG30+'Parte financiera'!FW30+'Parte financiera'!GK30+'Parte financiera'!GY30+'Parte financiera'!HM30</f>
        <v>0</v>
      </c>
      <c r="D30" s="382">
        <f>'Parte financiera'!F30+'Parte financiera'!T30+'Parte financiera'!AH30+'Parte financiera'!AV30+'Parte financiera'!BL30+'Parte financiera'!BZ30+'Parte financiera'!CN30+'Parte financiera'!DB30+'Parte financiera'!DR30+'Parte financiera'!EF30+'Parte financiera'!ET30+'Parte financiera'!FH30+'Parte financiera'!FX30+'Parte financiera'!GL30+'Parte financiera'!GZ30+'Parte financiera'!HN30</f>
        <v>0</v>
      </c>
      <c r="E30" s="382">
        <f>'Parte financiera'!G30+'Parte financiera'!U30+'Parte financiera'!AI30+'Parte financiera'!AW30+'Parte financiera'!BM30+'Parte financiera'!CA30+'Parte financiera'!CO30+'Parte financiera'!DC30+'Parte financiera'!DS30+'Parte financiera'!EG30+'Parte financiera'!EU30+'Parte financiera'!FI30+'Parte financiera'!FY30+'Parte financiera'!GM30+'Parte financiera'!HA30+'Parte financiera'!HO30</f>
        <v>0</v>
      </c>
      <c r="F30" s="382">
        <f>'Parte financiera'!H30+'Parte financiera'!V30+'Parte financiera'!AJ30+'Parte financiera'!AX30+'Parte financiera'!BN30+'Parte financiera'!CB30+'Parte financiera'!CP30+'Parte financiera'!DD30+'Parte financiera'!DT30+'Parte financiera'!EH30+'Parte financiera'!EV30+'Parte financiera'!FJ30+'Parte financiera'!FZ30+'Parte financiera'!GN30+'Parte financiera'!HB30+'Parte financiera'!HP30</f>
        <v>0</v>
      </c>
      <c r="G30" s="382">
        <f>'Parte financiera'!I30+'Parte financiera'!W30+'Parte financiera'!AK30+'Parte financiera'!AY30+'Parte financiera'!BO30+'Parte financiera'!CC30+'Parte financiera'!CQ30+'Parte financiera'!DE30+'Parte financiera'!DU30+'Parte financiera'!EI30+'Parte financiera'!EW30+'Parte financiera'!FK30+'Parte financiera'!GA30+'Parte financiera'!GO30+'Parte financiera'!HC30+'Parte financiera'!HQ30</f>
        <v>0</v>
      </c>
      <c r="H30" s="382">
        <f>'Parte financiera'!J30+'Parte financiera'!X30+'Parte financiera'!AL30+'Parte financiera'!AZ30+'Parte financiera'!BP30+'Parte financiera'!CD30+'Parte financiera'!CR30+'Parte financiera'!DF30+'Parte financiera'!DV30+'Parte financiera'!EJ30+'Parte financiera'!EX30+'Parte financiera'!FL30+'Parte financiera'!GB30+'Parte financiera'!GP30+'Parte financiera'!HD30+'Parte financiera'!HR30</f>
        <v>0</v>
      </c>
      <c r="I30" s="382">
        <f>'Parte financiera'!K30+'Parte financiera'!Y30+'Parte financiera'!AM30+'Parte financiera'!BA30+'Parte financiera'!BQ30+'Parte financiera'!CE30+'Parte financiera'!CS30+'Parte financiera'!DG30+'Parte financiera'!DW30+'Parte financiera'!EK30+'Parte financiera'!EY30+'Parte financiera'!FM30+'Parte financiera'!GC30+'Parte financiera'!GQ30+'Parte financiera'!HE30+'Parte financiera'!HS30</f>
        <v>0</v>
      </c>
      <c r="J30" s="382">
        <f>'Parte financiera'!L30+'Parte financiera'!Z30+'Parte financiera'!AN30+'Parte financiera'!BB30+'Parte financiera'!BR30+'Parte financiera'!CF30+'Parte financiera'!CT30+'Parte financiera'!DH30+'Parte financiera'!DX30+'Parte financiera'!EL30+'Parte financiera'!EZ30+'Parte financiera'!FN30+'Parte financiera'!GD30+'Parte financiera'!GR30+'Parte financiera'!HF30+'Parte financiera'!HT30</f>
        <v>0</v>
      </c>
      <c r="K30" s="382">
        <f>'Parte financiera'!M30+'Parte financiera'!AA30+'Parte financiera'!AO30+'Parte financiera'!BC30+'Parte financiera'!BS30+'Parte financiera'!CG30+'Parte financiera'!CU30+'Parte financiera'!DI30+'Parte financiera'!DY30+'Parte financiera'!EM30+'Parte financiera'!FA30+'Parte financiera'!FO30+'Parte financiera'!GE30+'Parte financiera'!GS30+'Parte financiera'!HG30+'Parte financiera'!HU30</f>
        <v>0</v>
      </c>
      <c r="L30" s="382">
        <f>'Parte financiera'!N30+'Parte financiera'!AB30+'Parte financiera'!AP30+'Parte financiera'!BD30+'Parte financiera'!BT30+'Parte financiera'!CH30+'Parte financiera'!CV30+'Parte financiera'!DJ30+'Parte financiera'!DZ30+'Parte financiera'!EN30+'Parte financiera'!FB30+'Parte financiera'!FP30+'Parte financiera'!GF30+'Parte financiera'!GT30+'Parte financiera'!HH30+'Parte financiera'!HV30</f>
        <v>0</v>
      </c>
      <c r="M30" s="382" t="e">
        <f>'Parte financiera'!O30+'Parte financiera'!AC30+'Parte financiera'!AQ30+'Parte financiera'!BE30+'Parte financiera'!BU30+'Parte financiera'!CI30+'Parte financiera'!CW30+'Parte financiera'!DK30+'Parte financiera'!EA30+'Parte financiera'!EO30+'Parte financiera'!FC30+'Parte financiera'!FQ30+'Parte financiera'!GG30+'Parte financiera'!GU30+'Parte financiera'!HI30+'Parte financiera'!HW30</f>
        <v>#VALUE!</v>
      </c>
      <c r="N30" s="382">
        <f>'Parte financiera'!P30+'Parte financiera'!AD30+'Parte financiera'!AR30+'Parte financiera'!BF30+'Parte financiera'!BV30+'Parte financiera'!CJ30+'Parte financiera'!CX30+'Parte financiera'!DL30+'Parte financiera'!EB30+'Parte financiera'!EP30+'Parte financiera'!FD30+'Parte financiera'!FR30+'Parte financiera'!GH30+'Parte financiera'!GV30+'Parte financiera'!HJ30+'Parte financiera'!HX30</f>
        <v>0</v>
      </c>
      <c r="O30" s="383">
        <f>'Parte financiera'!Q30+'Parte financiera'!AE30+'Parte financiera'!AS30+'Parte financiera'!BG30+'Parte financiera'!BW30+'Parte financiera'!CK30+'Parte financiera'!CY30+'Parte financiera'!DM30+'Parte financiera'!EC30+'Parte financiera'!EQ30+'Parte financiera'!FE30+'Parte financiera'!FS30+'Parte financiera'!GI30+'Parte financiera'!GW30+'Parte financiera'!HK30+'Parte financiera'!HY30</f>
        <v>0</v>
      </c>
    </row>
    <row r="31" spans="1:15">
      <c r="A31" s="463" t="str">
        <f>IF('Parte Estrategica'!B31=0,"",'Parte Estrategica'!B31)</f>
        <v/>
      </c>
      <c r="B31" s="382" t="e">
        <f>'Parte financiera'!D31+'Parte financiera'!R31+'Parte financiera'!AF31+'Parte financiera'!AT31+'Parte financiera'!BJ31+'Parte financiera'!BX31+'Parte financiera'!CL31+'Parte financiera'!CZ31+'Parte financiera'!DP31+'Parte financiera'!ED31+'Parte financiera'!ER31+'Parte financiera'!FF31+'Parte financiera'!FV31+'Parte financiera'!GJ31+'Parte financiera'!GX31+'Parte financiera'!HL31</f>
        <v>#VALUE!</v>
      </c>
      <c r="C31" s="382">
        <f>'Parte financiera'!E31+'Parte financiera'!S31+'Parte financiera'!AG31+'Parte financiera'!AU31+'Parte financiera'!BK31+'Parte financiera'!BY31+'Parte financiera'!CM31+'Parte financiera'!DA31+'Parte financiera'!DQ31+'Parte financiera'!EE31+'Parte financiera'!ES31+'Parte financiera'!FG31+'Parte financiera'!FW31+'Parte financiera'!GK31+'Parte financiera'!GY31+'Parte financiera'!HM31</f>
        <v>0</v>
      </c>
      <c r="D31" s="382">
        <f>'Parte financiera'!F31+'Parte financiera'!T31+'Parte financiera'!AH31+'Parte financiera'!AV31+'Parte financiera'!BL31+'Parte financiera'!BZ31+'Parte financiera'!CN31+'Parte financiera'!DB31+'Parte financiera'!DR31+'Parte financiera'!EF31+'Parte financiera'!ET31+'Parte financiera'!FH31+'Parte financiera'!FX31+'Parte financiera'!GL31+'Parte financiera'!GZ31+'Parte financiera'!HN31</f>
        <v>0</v>
      </c>
      <c r="E31" s="382">
        <f>'Parte financiera'!G31+'Parte financiera'!U31+'Parte financiera'!AI31+'Parte financiera'!AW31+'Parte financiera'!BM31+'Parte financiera'!CA31+'Parte financiera'!CO31+'Parte financiera'!DC31+'Parte financiera'!DS31+'Parte financiera'!EG31+'Parte financiera'!EU31+'Parte financiera'!FI31+'Parte financiera'!FY31+'Parte financiera'!GM31+'Parte financiera'!HA31+'Parte financiera'!HO31</f>
        <v>0</v>
      </c>
      <c r="F31" s="382">
        <f>'Parte financiera'!H31+'Parte financiera'!V31+'Parte financiera'!AJ31+'Parte financiera'!AX31+'Parte financiera'!BN31+'Parte financiera'!CB31+'Parte financiera'!CP31+'Parte financiera'!DD31+'Parte financiera'!DT31+'Parte financiera'!EH31+'Parte financiera'!EV31+'Parte financiera'!FJ31+'Parte financiera'!FZ31+'Parte financiera'!GN31+'Parte financiera'!HB31+'Parte financiera'!HP31</f>
        <v>0</v>
      </c>
      <c r="G31" s="382">
        <f>'Parte financiera'!I31+'Parte financiera'!W31+'Parte financiera'!AK31+'Parte financiera'!AY31+'Parte financiera'!BO31+'Parte financiera'!CC31+'Parte financiera'!CQ31+'Parte financiera'!DE31+'Parte financiera'!DU31+'Parte financiera'!EI31+'Parte financiera'!EW31+'Parte financiera'!FK31+'Parte financiera'!GA31+'Parte financiera'!GO31+'Parte financiera'!HC31+'Parte financiera'!HQ31</f>
        <v>0</v>
      </c>
      <c r="H31" s="382">
        <f>'Parte financiera'!J31+'Parte financiera'!X31+'Parte financiera'!AL31+'Parte financiera'!AZ31+'Parte financiera'!BP31+'Parte financiera'!CD31+'Parte financiera'!CR31+'Parte financiera'!DF31+'Parte financiera'!DV31+'Parte financiera'!EJ31+'Parte financiera'!EX31+'Parte financiera'!FL31+'Parte financiera'!GB31+'Parte financiera'!GP31+'Parte financiera'!HD31+'Parte financiera'!HR31</f>
        <v>0</v>
      </c>
      <c r="I31" s="382">
        <f>'Parte financiera'!K31+'Parte financiera'!Y31+'Parte financiera'!AM31+'Parte financiera'!BA31+'Parte financiera'!BQ31+'Parte financiera'!CE31+'Parte financiera'!CS31+'Parte financiera'!DG31+'Parte financiera'!DW31+'Parte financiera'!EK31+'Parte financiera'!EY31+'Parte financiera'!FM31+'Parte financiera'!GC31+'Parte financiera'!GQ31+'Parte financiera'!HE31+'Parte financiera'!HS31</f>
        <v>0</v>
      </c>
      <c r="J31" s="382">
        <f>'Parte financiera'!L31+'Parte financiera'!Z31+'Parte financiera'!AN31+'Parte financiera'!BB31+'Parte financiera'!BR31+'Parte financiera'!CF31+'Parte financiera'!CT31+'Parte financiera'!DH31+'Parte financiera'!DX31+'Parte financiera'!EL31+'Parte financiera'!EZ31+'Parte financiera'!FN31+'Parte financiera'!GD31+'Parte financiera'!GR31+'Parte financiera'!HF31+'Parte financiera'!HT31</f>
        <v>0</v>
      </c>
      <c r="K31" s="382">
        <f>'Parte financiera'!M31+'Parte financiera'!AA31+'Parte financiera'!AO31+'Parte financiera'!BC31+'Parte financiera'!BS31+'Parte financiera'!CG31+'Parte financiera'!CU31+'Parte financiera'!DI31+'Parte financiera'!DY31+'Parte financiera'!EM31+'Parte financiera'!FA31+'Parte financiera'!FO31+'Parte financiera'!GE31+'Parte financiera'!GS31+'Parte financiera'!HG31+'Parte financiera'!HU31</f>
        <v>0</v>
      </c>
      <c r="L31" s="382">
        <f>'Parte financiera'!N31+'Parte financiera'!AB31+'Parte financiera'!AP31+'Parte financiera'!BD31+'Parte financiera'!BT31+'Parte financiera'!CH31+'Parte financiera'!CV31+'Parte financiera'!DJ31+'Parte financiera'!DZ31+'Parte financiera'!EN31+'Parte financiera'!FB31+'Parte financiera'!FP31+'Parte financiera'!GF31+'Parte financiera'!GT31+'Parte financiera'!HH31+'Parte financiera'!HV31</f>
        <v>0</v>
      </c>
      <c r="M31" s="382" t="e">
        <f>'Parte financiera'!O31+'Parte financiera'!AC31+'Parte financiera'!AQ31+'Parte financiera'!BE31+'Parte financiera'!BU31+'Parte financiera'!CI31+'Parte financiera'!CW31+'Parte financiera'!DK31+'Parte financiera'!EA31+'Parte financiera'!EO31+'Parte financiera'!FC31+'Parte financiera'!FQ31+'Parte financiera'!GG31+'Parte financiera'!GU31+'Parte financiera'!HI31+'Parte financiera'!HW31</f>
        <v>#VALUE!</v>
      </c>
      <c r="N31" s="382">
        <f>'Parte financiera'!P31+'Parte financiera'!AD31+'Parte financiera'!AR31+'Parte financiera'!BF31+'Parte financiera'!BV31+'Parte financiera'!CJ31+'Parte financiera'!CX31+'Parte financiera'!DL31+'Parte financiera'!EB31+'Parte financiera'!EP31+'Parte financiera'!FD31+'Parte financiera'!FR31+'Parte financiera'!GH31+'Parte financiera'!GV31+'Parte financiera'!HJ31+'Parte financiera'!HX31</f>
        <v>0</v>
      </c>
      <c r="O31" s="383">
        <f>'Parte financiera'!Q31+'Parte financiera'!AE31+'Parte financiera'!AS31+'Parte financiera'!BG31+'Parte financiera'!BW31+'Parte financiera'!CK31+'Parte financiera'!CY31+'Parte financiera'!DM31+'Parte financiera'!EC31+'Parte financiera'!EQ31+'Parte financiera'!FE31+'Parte financiera'!FS31+'Parte financiera'!GI31+'Parte financiera'!GW31+'Parte financiera'!HK31+'Parte financiera'!HY31</f>
        <v>0</v>
      </c>
    </row>
    <row r="32" spans="1:15">
      <c r="A32" s="463" t="str">
        <f>IF('Parte Estrategica'!B32=0,"",'Parte Estrategica'!B32)</f>
        <v/>
      </c>
      <c r="B32" s="382" t="e">
        <f>'Parte financiera'!D32+'Parte financiera'!R32+'Parte financiera'!AF32+'Parte financiera'!AT32+'Parte financiera'!BJ32+'Parte financiera'!BX32+'Parte financiera'!CL32+'Parte financiera'!CZ32+'Parte financiera'!DP32+'Parte financiera'!ED32+'Parte financiera'!ER32+'Parte financiera'!FF32+'Parte financiera'!FV32+'Parte financiera'!GJ32+'Parte financiera'!GX32+'Parte financiera'!HL32</f>
        <v>#VALUE!</v>
      </c>
      <c r="C32" s="382">
        <f>'Parte financiera'!E32+'Parte financiera'!S32+'Parte financiera'!AG32+'Parte financiera'!AU32+'Parte financiera'!BK32+'Parte financiera'!BY32+'Parte financiera'!CM32+'Parte financiera'!DA32+'Parte financiera'!DQ32+'Parte financiera'!EE32+'Parte financiera'!ES32+'Parte financiera'!FG32+'Parte financiera'!FW32+'Parte financiera'!GK32+'Parte financiera'!GY32+'Parte financiera'!HM32</f>
        <v>0</v>
      </c>
      <c r="D32" s="382">
        <f>'Parte financiera'!F32+'Parte financiera'!T32+'Parte financiera'!AH32+'Parte financiera'!AV32+'Parte financiera'!BL32+'Parte financiera'!BZ32+'Parte financiera'!CN32+'Parte financiera'!DB32+'Parte financiera'!DR32+'Parte financiera'!EF32+'Parte financiera'!ET32+'Parte financiera'!FH32+'Parte financiera'!FX32+'Parte financiera'!GL32+'Parte financiera'!GZ32+'Parte financiera'!HN32</f>
        <v>0</v>
      </c>
      <c r="E32" s="382">
        <f>'Parte financiera'!G32+'Parte financiera'!U32+'Parte financiera'!AI32+'Parte financiera'!AW32+'Parte financiera'!BM32+'Parte financiera'!CA32+'Parte financiera'!CO32+'Parte financiera'!DC32+'Parte financiera'!DS32+'Parte financiera'!EG32+'Parte financiera'!EU32+'Parte financiera'!FI32+'Parte financiera'!FY32+'Parte financiera'!GM32+'Parte financiera'!HA32+'Parte financiera'!HO32</f>
        <v>0</v>
      </c>
      <c r="F32" s="382">
        <f>'Parte financiera'!H32+'Parte financiera'!V32+'Parte financiera'!AJ32+'Parte financiera'!AX32+'Parte financiera'!BN32+'Parte financiera'!CB32+'Parte financiera'!CP32+'Parte financiera'!DD32+'Parte financiera'!DT32+'Parte financiera'!EH32+'Parte financiera'!EV32+'Parte financiera'!FJ32+'Parte financiera'!FZ32+'Parte financiera'!GN32+'Parte financiera'!HB32+'Parte financiera'!HP32</f>
        <v>0</v>
      </c>
      <c r="G32" s="382">
        <f>'Parte financiera'!I32+'Parte financiera'!W32+'Parte financiera'!AK32+'Parte financiera'!AY32+'Parte financiera'!BO32+'Parte financiera'!CC32+'Parte financiera'!CQ32+'Parte financiera'!DE32+'Parte financiera'!DU32+'Parte financiera'!EI32+'Parte financiera'!EW32+'Parte financiera'!FK32+'Parte financiera'!GA32+'Parte financiera'!GO32+'Parte financiera'!HC32+'Parte financiera'!HQ32</f>
        <v>0</v>
      </c>
      <c r="H32" s="382">
        <f>'Parte financiera'!J32+'Parte financiera'!X32+'Parte financiera'!AL32+'Parte financiera'!AZ32+'Parte financiera'!BP32+'Parte financiera'!CD32+'Parte financiera'!CR32+'Parte financiera'!DF32+'Parte financiera'!DV32+'Parte financiera'!EJ32+'Parte financiera'!EX32+'Parte financiera'!FL32+'Parte financiera'!GB32+'Parte financiera'!GP32+'Parte financiera'!HD32+'Parte financiera'!HR32</f>
        <v>0</v>
      </c>
      <c r="I32" s="382">
        <f>'Parte financiera'!K32+'Parte financiera'!Y32+'Parte financiera'!AM32+'Parte financiera'!BA32+'Parte financiera'!BQ32+'Parte financiera'!CE32+'Parte financiera'!CS32+'Parte financiera'!DG32+'Parte financiera'!DW32+'Parte financiera'!EK32+'Parte financiera'!EY32+'Parte financiera'!FM32+'Parte financiera'!GC32+'Parte financiera'!GQ32+'Parte financiera'!HE32+'Parte financiera'!HS32</f>
        <v>0</v>
      </c>
      <c r="J32" s="382">
        <f>'Parte financiera'!L32+'Parte financiera'!Z32+'Parte financiera'!AN32+'Parte financiera'!BB32+'Parte financiera'!BR32+'Parte financiera'!CF32+'Parte financiera'!CT32+'Parte financiera'!DH32+'Parte financiera'!DX32+'Parte financiera'!EL32+'Parte financiera'!EZ32+'Parte financiera'!FN32+'Parte financiera'!GD32+'Parte financiera'!GR32+'Parte financiera'!HF32+'Parte financiera'!HT32</f>
        <v>0</v>
      </c>
      <c r="K32" s="382">
        <f>'Parte financiera'!M32+'Parte financiera'!AA32+'Parte financiera'!AO32+'Parte financiera'!BC32+'Parte financiera'!BS32+'Parte financiera'!CG32+'Parte financiera'!CU32+'Parte financiera'!DI32+'Parte financiera'!DY32+'Parte financiera'!EM32+'Parte financiera'!FA32+'Parte financiera'!FO32+'Parte financiera'!GE32+'Parte financiera'!GS32+'Parte financiera'!HG32+'Parte financiera'!HU32</f>
        <v>0</v>
      </c>
      <c r="L32" s="382">
        <f>'Parte financiera'!N32+'Parte financiera'!AB32+'Parte financiera'!AP32+'Parte financiera'!BD32+'Parte financiera'!BT32+'Parte financiera'!CH32+'Parte financiera'!CV32+'Parte financiera'!DJ32+'Parte financiera'!DZ32+'Parte financiera'!EN32+'Parte financiera'!FB32+'Parte financiera'!FP32+'Parte financiera'!GF32+'Parte financiera'!GT32+'Parte financiera'!HH32+'Parte financiera'!HV32</f>
        <v>0</v>
      </c>
      <c r="M32" s="382" t="e">
        <f>'Parte financiera'!O32+'Parte financiera'!AC32+'Parte financiera'!AQ32+'Parte financiera'!BE32+'Parte financiera'!BU32+'Parte financiera'!CI32+'Parte financiera'!CW32+'Parte financiera'!DK32+'Parte financiera'!EA32+'Parte financiera'!EO32+'Parte financiera'!FC32+'Parte financiera'!FQ32+'Parte financiera'!GG32+'Parte financiera'!GU32+'Parte financiera'!HI32+'Parte financiera'!HW32</f>
        <v>#VALUE!</v>
      </c>
      <c r="N32" s="382">
        <f>'Parte financiera'!P32+'Parte financiera'!AD32+'Parte financiera'!AR32+'Parte financiera'!BF32+'Parte financiera'!BV32+'Parte financiera'!CJ32+'Parte financiera'!CX32+'Parte financiera'!DL32+'Parte financiera'!EB32+'Parte financiera'!EP32+'Parte financiera'!FD32+'Parte financiera'!FR32+'Parte financiera'!GH32+'Parte financiera'!GV32+'Parte financiera'!HJ32+'Parte financiera'!HX32</f>
        <v>0</v>
      </c>
      <c r="O32" s="383">
        <f>'Parte financiera'!Q32+'Parte financiera'!AE32+'Parte financiera'!AS32+'Parte financiera'!BG32+'Parte financiera'!BW32+'Parte financiera'!CK32+'Parte financiera'!CY32+'Parte financiera'!DM32+'Parte financiera'!EC32+'Parte financiera'!EQ32+'Parte financiera'!FE32+'Parte financiera'!FS32+'Parte financiera'!GI32+'Parte financiera'!GW32+'Parte financiera'!HK32+'Parte financiera'!HY32</f>
        <v>0</v>
      </c>
    </row>
    <row r="33" spans="1:15">
      <c r="A33" s="463" t="str">
        <f>IF('Parte Estrategica'!B33=0,"",'Parte Estrategica'!B33)</f>
        <v/>
      </c>
      <c r="B33" s="382" t="e">
        <f>'Parte financiera'!D33+'Parte financiera'!R33+'Parte financiera'!AF33+'Parte financiera'!AT33+'Parte financiera'!BJ33+'Parte financiera'!BX33+'Parte financiera'!CL33+'Parte financiera'!CZ33+'Parte financiera'!DP33+'Parte financiera'!ED33+'Parte financiera'!ER33+'Parte financiera'!FF33+'Parte financiera'!FV33+'Parte financiera'!GJ33+'Parte financiera'!GX33+'Parte financiera'!HL33</f>
        <v>#VALUE!</v>
      </c>
      <c r="C33" s="382">
        <f>'Parte financiera'!E33+'Parte financiera'!S33+'Parte financiera'!AG33+'Parte financiera'!AU33+'Parte financiera'!BK33+'Parte financiera'!BY33+'Parte financiera'!CM33+'Parte financiera'!DA33+'Parte financiera'!DQ33+'Parte financiera'!EE33+'Parte financiera'!ES33+'Parte financiera'!FG33+'Parte financiera'!FW33+'Parte financiera'!GK33+'Parte financiera'!GY33+'Parte financiera'!HM33</f>
        <v>0</v>
      </c>
      <c r="D33" s="382">
        <f>'Parte financiera'!F33+'Parte financiera'!T33+'Parte financiera'!AH33+'Parte financiera'!AV33+'Parte financiera'!BL33+'Parte financiera'!BZ33+'Parte financiera'!CN33+'Parte financiera'!DB33+'Parte financiera'!DR33+'Parte financiera'!EF33+'Parte financiera'!ET33+'Parte financiera'!FH33+'Parte financiera'!FX33+'Parte financiera'!GL33+'Parte financiera'!GZ33+'Parte financiera'!HN33</f>
        <v>0</v>
      </c>
      <c r="E33" s="382">
        <f>'Parte financiera'!G33+'Parte financiera'!U33+'Parte financiera'!AI33+'Parte financiera'!AW33+'Parte financiera'!BM33+'Parte financiera'!CA33+'Parte financiera'!CO33+'Parte financiera'!DC33+'Parte financiera'!DS33+'Parte financiera'!EG33+'Parte financiera'!EU33+'Parte financiera'!FI33+'Parte financiera'!FY33+'Parte financiera'!GM33+'Parte financiera'!HA33+'Parte financiera'!HO33</f>
        <v>0</v>
      </c>
      <c r="F33" s="382">
        <f>'Parte financiera'!H33+'Parte financiera'!V33+'Parte financiera'!AJ33+'Parte financiera'!AX33+'Parte financiera'!BN33+'Parte financiera'!CB33+'Parte financiera'!CP33+'Parte financiera'!DD33+'Parte financiera'!DT33+'Parte financiera'!EH33+'Parte financiera'!EV33+'Parte financiera'!FJ33+'Parte financiera'!FZ33+'Parte financiera'!GN33+'Parte financiera'!HB33+'Parte financiera'!HP33</f>
        <v>0</v>
      </c>
      <c r="G33" s="382">
        <f>'Parte financiera'!I33+'Parte financiera'!W33+'Parte financiera'!AK33+'Parte financiera'!AY33+'Parte financiera'!BO33+'Parte financiera'!CC33+'Parte financiera'!CQ33+'Parte financiera'!DE33+'Parte financiera'!DU33+'Parte financiera'!EI33+'Parte financiera'!EW33+'Parte financiera'!FK33+'Parte financiera'!GA33+'Parte financiera'!GO33+'Parte financiera'!HC33+'Parte financiera'!HQ33</f>
        <v>0</v>
      </c>
      <c r="H33" s="382">
        <f>'Parte financiera'!J33+'Parte financiera'!X33+'Parte financiera'!AL33+'Parte financiera'!AZ33+'Parte financiera'!BP33+'Parte financiera'!CD33+'Parte financiera'!CR33+'Parte financiera'!DF33+'Parte financiera'!DV33+'Parte financiera'!EJ33+'Parte financiera'!EX33+'Parte financiera'!FL33+'Parte financiera'!GB33+'Parte financiera'!GP33+'Parte financiera'!HD33+'Parte financiera'!HR33</f>
        <v>0</v>
      </c>
      <c r="I33" s="382">
        <f>'Parte financiera'!K33+'Parte financiera'!Y33+'Parte financiera'!AM33+'Parte financiera'!BA33+'Parte financiera'!BQ33+'Parte financiera'!CE33+'Parte financiera'!CS33+'Parte financiera'!DG33+'Parte financiera'!DW33+'Parte financiera'!EK33+'Parte financiera'!EY33+'Parte financiera'!FM33+'Parte financiera'!GC33+'Parte financiera'!GQ33+'Parte financiera'!HE33+'Parte financiera'!HS33</f>
        <v>0</v>
      </c>
      <c r="J33" s="382">
        <f>'Parte financiera'!L33+'Parte financiera'!Z33+'Parte financiera'!AN33+'Parte financiera'!BB33+'Parte financiera'!BR33+'Parte financiera'!CF33+'Parte financiera'!CT33+'Parte financiera'!DH33+'Parte financiera'!DX33+'Parte financiera'!EL33+'Parte financiera'!EZ33+'Parte financiera'!FN33+'Parte financiera'!GD33+'Parte financiera'!GR33+'Parte financiera'!HF33+'Parte financiera'!HT33</f>
        <v>0</v>
      </c>
      <c r="K33" s="382">
        <f>'Parte financiera'!M33+'Parte financiera'!AA33+'Parte financiera'!AO33+'Parte financiera'!BC33+'Parte financiera'!BS33+'Parte financiera'!CG33+'Parte financiera'!CU33+'Parte financiera'!DI33+'Parte financiera'!DY33+'Parte financiera'!EM33+'Parte financiera'!FA33+'Parte financiera'!FO33+'Parte financiera'!GE33+'Parte financiera'!GS33+'Parte financiera'!HG33+'Parte financiera'!HU33</f>
        <v>0</v>
      </c>
      <c r="L33" s="382">
        <f>'Parte financiera'!N33+'Parte financiera'!AB33+'Parte financiera'!AP33+'Parte financiera'!BD33+'Parte financiera'!BT33+'Parte financiera'!CH33+'Parte financiera'!CV33+'Parte financiera'!DJ33+'Parte financiera'!DZ33+'Parte financiera'!EN33+'Parte financiera'!FB33+'Parte financiera'!FP33+'Parte financiera'!GF33+'Parte financiera'!GT33+'Parte financiera'!HH33+'Parte financiera'!HV33</f>
        <v>0</v>
      </c>
      <c r="M33" s="382" t="e">
        <f>'Parte financiera'!O33+'Parte financiera'!AC33+'Parte financiera'!AQ33+'Parte financiera'!BE33+'Parte financiera'!BU33+'Parte financiera'!CI33+'Parte financiera'!CW33+'Parte financiera'!DK33+'Parte financiera'!EA33+'Parte financiera'!EO33+'Parte financiera'!FC33+'Parte financiera'!FQ33+'Parte financiera'!GG33+'Parte financiera'!GU33+'Parte financiera'!HI33+'Parte financiera'!HW33</f>
        <v>#VALUE!</v>
      </c>
      <c r="N33" s="382">
        <f>'Parte financiera'!P33+'Parte financiera'!AD33+'Parte financiera'!AR33+'Parte financiera'!BF33+'Parte financiera'!BV33+'Parte financiera'!CJ33+'Parte financiera'!CX33+'Parte financiera'!DL33+'Parte financiera'!EB33+'Parte financiera'!EP33+'Parte financiera'!FD33+'Parte financiera'!FR33+'Parte financiera'!GH33+'Parte financiera'!GV33+'Parte financiera'!HJ33+'Parte financiera'!HX33</f>
        <v>0</v>
      </c>
      <c r="O33" s="383">
        <f>'Parte financiera'!Q33+'Parte financiera'!AE33+'Parte financiera'!AS33+'Parte financiera'!BG33+'Parte financiera'!BW33+'Parte financiera'!CK33+'Parte financiera'!CY33+'Parte financiera'!DM33+'Parte financiera'!EC33+'Parte financiera'!EQ33+'Parte financiera'!FE33+'Parte financiera'!FS33+'Parte financiera'!GI33+'Parte financiera'!GW33+'Parte financiera'!HK33+'Parte financiera'!HY33</f>
        <v>0</v>
      </c>
    </row>
    <row r="34" spans="1:15">
      <c r="A34" s="463" t="str">
        <f>IF('Parte Estrategica'!B34=0,"",'Parte Estrategica'!B34)</f>
        <v/>
      </c>
      <c r="B34" s="382" t="e">
        <f>'Parte financiera'!D34+'Parte financiera'!R34+'Parte financiera'!AF34+'Parte financiera'!AT34+'Parte financiera'!BJ34+'Parte financiera'!BX34+'Parte financiera'!CL34+'Parte financiera'!CZ34+'Parte financiera'!DP34+'Parte financiera'!ED34+'Parte financiera'!ER34+'Parte financiera'!FF34+'Parte financiera'!FV34+'Parte financiera'!GJ34+'Parte financiera'!GX34+'Parte financiera'!HL34</f>
        <v>#VALUE!</v>
      </c>
      <c r="C34" s="382">
        <f>'Parte financiera'!E34+'Parte financiera'!S34+'Parte financiera'!AG34+'Parte financiera'!AU34+'Parte financiera'!BK34+'Parte financiera'!BY34+'Parte financiera'!CM34+'Parte financiera'!DA34+'Parte financiera'!DQ34+'Parte financiera'!EE34+'Parte financiera'!ES34+'Parte financiera'!FG34+'Parte financiera'!FW34+'Parte financiera'!GK34+'Parte financiera'!GY34+'Parte financiera'!HM34</f>
        <v>0</v>
      </c>
      <c r="D34" s="382">
        <f>'Parte financiera'!F34+'Parte financiera'!T34+'Parte financiera'!AH34+'Parte financiera'!AV34+'Parte financiera'!BL34+'Parte financiera'!BZ34+'Parte financiera'!CN34+'Parte financiera'!DB34+'Parte financiera'!DR34+'Parte financiera'!EF34+'Parte financiera'!ET34+'Parte financiera'!FH34+'Parte financiera'!FX34+'Parte financiera'!GL34+'Parte financiera'!GZ34+'Parte financiera'!HN34</f>
        <v>0</v>
      </c>
      <c r="E34" s="382">
        <f>'Parte financiera'!G34+'Parte financiera'!U34+'Parte financiera'!AI34+'Parte financiera'!AW34+'Parte financiera'!BM34+'Parte financiera'!CA34+'Parte financiera'!CO34+'Parte financiera'!DC34+'Parte financiera'!DS34+'Parte financiera'!EG34+'Parte financiera'!EU34+'Parte financiera'!FI34+'Parte financiera'!FY34+'Parte financiera'!GM34+'Parte financiera'!HA34+'Parte financiera'!HO34</f>
        <v>0</v>
      </c>
      <c r="F34" s="382">
        <f>'Parte financiera'!H34+'Parte financiera'!V34+'Parte financiera'!AJ34+'Parte financiera'!AX34+'Parte financiera'!BN34+'Parte financiera'!CB34+'Parte financiera'!CP34+'Parte financiera'!DD34+'Parte financiera'!DT34+'Parte financiera'!EH34+'Parte financiera'!EV34+'Parte financiera'!FJ34+'Parte financiera'!FZ34+'Parte financiera'!GN34+'Parte financiera'!HB34+'Parte financiera'!HP34</f>
        <v>0</v>
      </c>
      <c r="G34" s="382">
        <f>'Parte financiera'!I34+'Parte financiera'!W34+'Parte financiera'!AK34+'Parte financiera'!AY34+'Parte financiera'!BO34+'Parte financiera'!CC34+'Parte financiera'!CQ34+'Parte financiera'!DE34+'Parte financiera'!DU34+'Parte financiera'!EI34+'Parte financiera'!EW34+'Parte financiera'!FK34+'Parte financiera'!GA34+'Parte financiera'!GO34+'Parte financiera'!HC34+'Parte financiera'!HQ34</f>
        <v>0</v>
      </c>
      <c r="H34" s="382">
        <f>'Parte financiera'!J34+'Parte financiera'!X34+'Parte financiera'!AL34+'Parte financiera'!AZ34+'Parte financiera'!BP34+'Parte financiera'!CD34+'Parte financiera'!CR34+'Parte financiera'!DF34+'Parte financiera'!DV34+'Parte financiera'!EJ34+'Parte financiera'!EX34+'Parte financiera'!FL34+'Parte financiera'!GB34+'Parte financiera'!GP34+'Parte financiera'!HD34+'Parte financiera'!HR34</f>
        <v>0</v>
      </c>
      <c r="I34" s="382">
        <f>'Parte financiera'!K34+'Parte financiera'!Y34+'Parte financiera'!AM34+'Parte financiera'!BA34+'Parte financiera'!BQ34+'Parte financiera'!CE34+'Parte financiera'!CS34+'Parte financiera'!DG34+'Parte financiera'!DW34+'Parte financiera'!EK34+'Parte financiera'!EY34+'Parte financiera'!FM34+'Parte financiera'!GC34+'Parte financiera'!GQ34+'Parte financiera'!HE34+'Parte financiera'!HS34</f>
        <v>0</v>
      </c>
      <c r="J34" s="382">
        <f>'Parte financiera'!L34+'Parte financiera'!Z34+'Parte financiera'!AN34+'Parte financiera'!BB34+'Parte financiera'!BR34+'Parte financiera'!CF34+'Parte financiera'!CT34+'Parte financiera'!DH34+'Parte financiera'!DX34+'Parte financiera'!EL34+'Parte financiera'!EZ34+'Parte financiera'!FN34+'Parte financiera'!GD34+'Parte financiera'!GR34+'Parte financiera'!HF34+'Parte financiera'!HT34</f>
        <v>0</v>
      </c>
      <c r="K34" s="382">
        <f>'Parte financiera'!M34+'Parte financiera'!AA34+'Parte financiera'!AO34+'Parte financiera'!BC34+'Parte financiera'!BS34+'Parte financiera'!CG34+'Parte financiera'!CU34+'Parte financiera'!DI34+'Parte financiera'!DY34+'Parte financiera'!EM34+'Parte financiera'!FA34+'Parte financiera'!FO34+'Parte financiera'!GE34+'Parte financiera'!GS34+'Parte financiera'!HG34+'Parte financiera'!HU34</f>
        <v>0</v>
      </c>
      <c r="L34" s="382">
        <f>'Parte financiera'!N34+'Parte financiera'!AB34+'Parte financiera'!AP34+'Parte financiera'!BD34+'Parte financiera'!BT34+'Parte financiera'!CH34+'Parte financiera'!CV34+'Parte financiera'!DJ34+'Parte financiera'!DZ34+'Parte financiera'!EN34+'Parte financiera'!FB34+'Parte financiera'!FP34+'Parte financiera'!GF34+'Parte financiera'!GT34+'Parte financiera'!HH34+'Parte financiera'!HV34</f>
        <v>0</v>
      </c>
      <c r="M34" s="382" t="e">
        <f>'Parte financiera'!O34+'Parte financiera'!AC34+'Parte financiera'!AQ34+'Parte financiera'!BE34+'Parte financiera'!BU34+'Parte financiera'!CI34+'Parte financiera'!CW34+'Parte financiera'!DK34+'Parte financiera'!EA34+'Parte financiera'!EO34+'Parte financiera'!FC34+'Parte financiera'!FQ34+'Parte financiera'!GG34+'Parte financiera'!GU34+'Parte financiera'!HI34+'Parte financiera'!HW34</f>
        <v>#VALUE!</v>
      </c>
      <c r="N34" s="382">
        <f>'Parte financiera'!P34+'Parte financiera'!AD34+'Parte financiera'!AR34+'Parte financiera'!BF34+'Parte financiera'!BV34+'Parte financiera'!CJ34+'Parte financiera'!CX34+'Parte financiera'!DL34+'Parte financiera'!EB34+'Parte financiera'!EP34+'Parte financiera'!FD34+'Parte financiera'!FR34+'Parte financiera'!GH34+'Parte financiera'!GV34+'Parte financiera'!HJ34+'Parte financiera'!HX34</f>
        <v>0</v>
      </c>
      <c r="O34" s="383">
        <f>'Parte financiera'!Q34+'Parte financiera'!AE34+'Parte financiera'!AS34+'Parte financiera'!BG34+'Parte financiera'!BW34+'Parte financiera'!CK34+'Parte financiera'!CY34+'Parte financiera'!DM34+'Parte financiera'!EC34+'Parte financiera'!EQ34+'Parte financiera'!FE34+'Parte financiera'!FS34+'Parte financiera'!GI34+'Parte financiera'!GW34+'Parte financiera'!HK34+'Parte financiera'!HY34</f>
        <v>0</v>
      </c>
    </row>
    <row r="35" spans="1:15">
      <c r="A35" s="463" t="str">
        <f>IF('Parte Estrategica'!B35=0,"",'Parte Estrategica'!B35)</f>
        <v/>
      </c>
      <c r="B35" s="382" t="e">
        <f>'Parte financiera'!D35+'Parte financiera'!R35+'Parte financiera'!AF35+'Parte financiera'!AT35+'Parte financiera'!BJ35+'Parte financiera'!BX35+'Parte financiera'!CL35+'Parte financiera'!CZ35+'Parte financiera'!DP35+'Parte financiera'!ED35+'Parte financiera'!ER35+'Parte financiera'!FF35+'Parte financiera'!FV35+'Parte financiera'!GJ35+'Parte financiera'!GX35+'Parte financiera'!HL35</f>
        <v>#VALUE!</v>
      </c>
      <c r="C35" s="382">
        <f>'Parte financiera'!E35+'Parte financiera'!S35+'Parte financiera'!AG35+'Parte financiera'!AU35+'Parte financiera'!BK35+'Parte financiera'!BY35+'Parte financiera'!CM35+'Parte financiera'!DA35+'Parte financiera'!DQ35+'Parte financiera'!EE35+'Parte financiera'!ES35+'Parte financiera'!FG35+'Parte financiera'!FW35+'Parte financiera'!GK35+'Parte financiera'!GY35+'Parte financiera'!HM35</f>
        <v>0</v>
      </c>
      <c r="D35" s="382">
        <f>'Parte financiera'!F35+'Parte financiera'!T35+'Parte financiera'!AH35+'Parte financiera'!AV35+'Parte financiera'!BL35+'Parte financiera'!BZ35+'Parte financiera'!CN35+'Parte financiera'!DB35+'Parte financiera'!DR35+'Parte financiera'!EF35+'Parte financiera'!ET35+'Parte financiera'!FH35+'Parte financiera'!FX35+'Parte financiera'!GL35+'Parte financiera'!GZ35+'Parte financiera'!HN35</f>
        <v>0</v>
      </c>
      <c r="E35" s="382">
        <f>'Parte financiera'!G35+'Parte financiera'!U35+'Parte financiera'!AI35+'Parte financiera'!AW35+'Parte financiera'!BM35+'Parte financiera'!CA35+'Parte financiera'!CO35+'Parte financiera'!DC35+'Parte financiera'!DS35+'Parte financiera'!EG35+'Parte financiera'!EU35+'Parte financiera'!FI35+'Parte financiera'!FY35+'Parte financiera'!GM35+'Parte financiera'!HA35+'Parte financiera'!HO35</f>
        <v>0</v>
      </c>
      <c r="F35" s="382">
        <f>'Parte financiera'!H35+'Parte financiera'!V35+'Parte financiera'!AJ35+'Parte financiera'!AX35+'Parte financiera'!BN35+'Parte financiera'!CB35+'Parte financiera'!CP35+'Parte financiera'!DD35+'Parte financiera'!DT35+'Parte financiera'!EH35+'Parte financiera'!EV35+'Parte financiera'!FJ35+'Parte financiera'!FZ35+'Parte financiera'!GN35+'Parte financiera'!HB35+'Parte financiera'!HP35</f>
        <v>0</v>
      </c>
      <c r="G35" s="382">
        <f>'Parte financiera'!I35+'Parte financiera'!W35+'Parte financiera'!AK35+'Parte financiera'!AY35+'Parte financiera'!BO35+'Parte financiera'!CC35+'Parte financiera'!CQ35+'Parte financiera'!DE35+'Parte financiera'!DU35+'Parte financiera'!EI35+'Parte financiera'!EW35+'Parte financiera'!FK35+'Parte financiera'!GA35+'Parte financiera'!GO35+'Parte financiera'!HC35+'Parte financiera'!HQ35</f>
        <v>0</v>
      </c>
      <c r="H35" s="382">
        <f>'Parte financiera'!J35+'Parte financiera'!X35+'Parte financiera'!AL35+'Parte financiera'!AZ35+'Parte financiera'!BP35+'Parte financiera'!CD35+'Parte financiera'!CR35+'Parte financiera'!DF35+'Parte financiera'!DV35+'Parte financiera'!EJ35+'Parte financiera'!EX35+'Parte financiera'!FL35+'Parte financiera'!GB35+'Parte financiera'!GP35+'Parte financiera'!HD35+'Parte financiera'!HR35</f>
        <v>0</v>
      </c>
      <c r="I35" s="382">
        <f>'Parte financiera'!K35+'Parte financiera'!Y35+'Parte financiera'!AM35+'Parte financiera'!BA35+'Parte financiera'!BQ35+'Parte financiera'!CE35+'Parte financiera'!CS35+'Parte financiera'!DG35+'Parte financiera'!DW35+'Parte financiera'!EK35+'Parte financiera'!EY35+'Parte financiera'!FM35+'Parte financiera'!GC35+'Parte financiera'!GQ35+'Parte financiera'!HE35+'Parte financiera'!HS35</f>
        <v>0</v>
      </c>
      <c r="J35" s="382">
        <f>'Parte financiera'!L35+'Parte financiera'!Z35+'Parte financiera'!AN35+'Parte financiera'!BB35+'Parte financiera'!BR35+'Parte financiera'!CF35+'Parte financiera'!CT35+'Parte financiera'!DH35+'Parte financiera'!DX35+'Parte financiera'!EL35+'Parte financiera'!EZ35+'Parte financiera'!FN35+'Parte financiera'!GD35+'Parte financiera'!GR35+'Parte financiera'!HF35+'Parte financiera'!HT35</f>
        <v>0</v>
      </c>
      <c r="K35" s="382">
        <f>'Parte financiera'!M35+'Parte financiera'!AA35+'Parte financiera'!AO35+'Parte financiera'!BC35+'Parte financiera'!BS35+'Parte financiera'!CG35+'Parte financiera'!CU35+'Parte financiera'!DI35+'Parte financiera'!DY35+'Parte financiera'!EM35+'Parte financiera'!FA35+'Parte financiera'!FO35+'Parte financiera'!GE35+'Parte financiera'!GS35+'Parte financiera'!HG35+'Parte financiera'!HU35</f>
        <v>0</v>
      </c>
      <c r="L35" s="382">
        <f>'Parte financiera'!N35+'Parte financiera'!AB35+'Parte financiera'!AP35+'Parte financiera'!BD35+'Parte financiera'!BT35+'Parte financiera'!CH35+'Parte financiera'!CV35+'Parte financiera'!DJ35+'Parte financiera'!DZ35+'Parte financiera'!EN35+'Parte financiera'!FB35+'Parte financiera'!FP35+'Parte financiera'!GF35+'Parte financiera'!GT35+'Parte financiera'!HH35+'Parte financiera'!HV35</f>
        <v>0</v>
      </c>
      <c r="M35" s="382" t="e">
        <f>'Parte financiera'!O35+'Parte financiera'!AC35+'Parte financiera'!AQ35+'Parte financiera'!BE35+'Parte financiera'!BU35+'Parte financiera'!CI35+'Parte financiera'!CW35+'Parte financiera'!DK35+'Parte financiera'!EA35+'Parte financiera'!EO35+'Parte financiera'!FC35+'Parte financiera'!FQ35+'Parte financiera'!GG35+'Parte financiera'!GU35+'Parte financiera'!HI35+'Parte financiera'!HW35</f>
        <v>#VALUE!</v>
      </c>
      <c r="N35" s="382">
        <f>'Parte financiera'!P35+'Parte financiera'!AD35+'Parte financiera'!AR35+'Parte financiera'!BF35+'Parte financiera'!BV35+'Parte financiera'!CJ35+'Parte financiera'!CX35+'Parte financiera'!DL35+'Parte financiera'!EB35+'Parte financiera'!EP35+'Parte financiera'!FD35+'Parte financiera'!FR35+'Parte financiera'!GH35+'Parte financiera'!GV35+'Parte financiera'!HJ35+'Parte financiera'!HX35</f>
        <v>0</v>
      </c>
      <c r="O35" s="383">
        <f>'Parte financiera'!Q35+'Parte financiera'!AE35+'Parte financiera'!AS35+'Parte financiera'!BG35+'Parte financiera'!BW35+'Parte financiera'!CK35+'Parte financiera'!CY35+'Parte financiera'!DM35+'Parte financiera'!EC35+'Parte financiera'!EQ35+'Parte financiera'!FE35+'Parte financiera'!FS35+'Parte financiera'!GI35+'Parte financiera'!GW35+'Parte financiera'!HK35+'Parte financiera'!HY35</f>
        <v>0</v>
      </c>
    </row>
    <row r="36" spans="1:15">
      <c r="A36" s="463" t="str">
        <f>IF('Parte Estrategica'!B36=0,"",'Parte Estrategica'!B36)</f>
        <v/>
      </c>
      <c r="B36" s="382" t="e">
        <f>'Parte financiera'!D36+'Parte financiera'!R36+'Parte financiera'!AF36+'Parte financiera'!AT36+'Parte financiera'!BJ36+'Parte financiera'!BX36+'Parte financiera'!CL36+'Parte financiera'!CZ36+'Parte financiera'!DP36+'Parte financiera'!ED36+'Parte financiera'!ER36+'Parte financiera'!FF36+'Parte financiera'!FV36+'Parte financiera'!GJ36+'Parte financiera'!GX36+'Parte financiera'!HL36</f>
        <v>#VALUE!</v>
      </c>
      <c r="C36" s="382">
        <f>'Parte financiera'!E36+'Parte financiera'!S36+'Parte financiera'!AG36+'Parte financiera'!AU36+'Parte financiera'!BK36+'Parte financiera'!BY36+'Parte financiera'!CM36+'Parte financiera'!DA36+'Parte financiera'!DQ36+'Parte financiera'!EE36+'Parte financiera'!ES36+'Parte financiera'!FG36+'Parte financiera'!FW36+'Parte financiera'!GK36+'Parte financiera'!GY36+'Parte financiera'!HM36</f>
        <v>0</v>
      </c>
      <c r="D36" s="382">
        <f>'Parte financiera'!F36+'Parte financiera'!T36+'Parte financiera'!AH36+'Parte financiera'!AV36+'Parte financiera'!BL36+'Parte financiera'!BZ36+'Parte financiera'!CN36+'Parte financiera'!DB36+'Parte financiera'!DR36+'Parte financiera'!EF36+'Parte financiera'!ET36+'Parte financiera'!FH36+'Parte financiera'!FX36+'Parte financiera'!GL36+'Parte financiera'!GZ36+'Parte financiera'!HN36</f>
        <v>0</v>
      </c>
      <c r="E36" s="382">
        <f>'Parte financiera'!G36+'Parte financiera'!U36+'Parte financiera'!AI36+'Parte financiera'!AW36+'Parte financiera'!BM36+'Parte financiera'!CA36+'Parte financiera'!CO36+'Parte financiera'!DC36+'Parte financiera'!DS36+'Parte financiera'!EG36+'Parte financiera'!EU36+'Parte financiera'!FI36+'Parte financiera'!FY36+'Parte financiera'!GM36+'Parte financiera'!HA36+'Parte financiera'!HO36</f>
        <v>0</v>
      </c>
      <c r="F36" s="382">
        <f>'Parte financiera'!H36+'Parte financiera'!V36+'Parte financiera'!AJ36+'Parte financiera'!AX36+'Parte financiera'!BN36+'Parte financiera'!CB36+'Parte financiera'!CP36+'Parte financiera'!DD36+'Parte financiera'!DT36+'Parte financiera'!EH36+'Parte financiera'!EV36+'Parte financiera'!FJ36+'Parte financiera'!FZ36+'Parte financiera'!GN36+'Parte financiera'!HB36+'Parte financiera'!HP36</f>
        <v>0</v>
      </c>
      <c r="G36" s="382">
        <f>'Parte financiera'!I36+'Parte financiera'!W36+'Parte financiera'!AK36+'Parte financiera'!AY36+'Parte financiera'!BO36+'Parte financiera'!CC36+'Parte financiera'!CQ36+'Parte financiera'!DE36+'Parte financiera'!DU36+'Parte financiera'!EI36+'Parte financiera'!EW36+'Parte financiera'!FK36+'Parte financiera'!GA36+'Parte financiera'!GO36+'Parte financiera'!HC36+'Parte financiera'!HQ36</f>
        <v>0</v>
      </c>
      <c r="H36" s="382">
        <f>'Parte financiera'!J36+'Parte financiera'!X36+'Parte financiera'!AL36+'Parte financiera'!AZ36+'Parte financiera'!BP36+'Parte financiera'!CD36+'Parte financiera'!CR36+'Parte financiera'!DF36+'Parte financiera'!DV36+'Parte financiera'!EJ36+'Parte financiera'!EX36+'Parte financiera'!FL36+'Parte financiera'!GB36+'Parte financiera'!GP36+'Parte financiera'!HD36+'Parte financiera'!HR36</f>
        <v>0</v>
      </c>
      <c r="I36" s="382">
        <f>'Parte financiera'!K36+'Parte financiera'!Y36+'Parte financiera'!AM36+'Parte financiera'!BA36+'Parte financiera'!BQ36+'Parte financiera'!CE36+'Parte financiera'!CS36+'Parte financiera'!DG36+'Parte financiera'!DW36+'Parte financiera'!EK36+'Parte financiera'!EY36+'Parte financiera'!FM36+'Parte financiera'!GC36+'Parte financiera'!GQ36+'Parte financiera'!HE36+'Parte financiera'!HS36</f>
        <v>0</v>
      </c>
      <c r="J36" s="382">
        <f>'Parte financiera'!L36+'Parte financiera'!Z36+'Parte financiera'!AN36+'Parte financiera'!BB36+'Parte financiera'!BR36+'Parte financiera'!CF36+'Parte financiera'!CT36+'Parte financiera'!DH36+'Parte financiera'!DX36+'Parte financiera'!EL36+'Parte financiera'!EZ36+'Parte financiera'!FN36+'Parte financiera'!GD36+'Parte financiera'!GR36+'Parte financiera'!HF36+'Parte financiera'!HT36</f>
        <v>0</v>
      </c>
      <c r="K36" s="382">
        <f>'Parte financiera'!M36+'Parte financiera'!AA36+'Parte financiera'!AO36+'Parte financiera'!BC36+'Parte financiera'!BS36+'Parte financiera'!CG36+'Parte financiera'!CU36+'Parte financiera'!DI36+'Parte financiera'!DY36+'Parte financiera'!EM36+'Parte financiera'!FA36+'Parte financiera'!FO36+'Parte financiera'!GE36+'Parte financiera'!GS36+'Parte financiera'!HG36+'Parte financiera'!HU36</f>
        <v>0</v>
      </c>
      <c r="L36" s="382">
        <f>'Parte financiera'!N36+'Parte financiera'!AB36+'Parte financiera'!AP36+'Parte financiera'!BD36+'Parte financiera'!BT36+'Parte financiera'!CH36+'Parte financiera'!CV36+'Parte financiera'!DJ36+'Parte financiera'!DZ36+'Parte financiera'!EN36+'Parte financiera'!FB36+'Parte financiera'!FP36+'Parte financiera'!GF36+'Parte financiera'!GT36+'Parte financiera'!HH36+'Parte financiera'!HV36</f>
        <v>0</v>
      </c>
      <c r="M36" s="382" t="e">
        <f>'Parte financiera'!O36+'Parte financiera'!AC36+'Parte financiera'!AQ36+'Parte financiera'!BE36+'Parte financiera'!BU36+'Parte financiera'!CI36+'Parte financiera'!CW36+'Parte financiera'!DK36+'Parte financiera'!EA36+'Parte financiera'!EO36+'Parte financiera'!FC36+'Parte financiera'!FQ36+'Parte financiera'!GG36+'Parte financiera'!GU36+'Parte financiera'!HI36+'Parte financiera'!HW36</f>
        <v>#VALUE!</v>
      </c>
      <c r="N36" s="382">
        <f>'Parte financiera'!P36+'Parte financiera'!AD36+'Parte financiera'!AR36+'Parte financiera'!BF36+'Parte financiera'!BV36+'Parte financiera'!CJ36+'Parte financiera'!CX36+'Parte financiera'!DL36+'Parte financiera'!EB36+'Parte financiera'!EP36+'Parte financiera'!FD36+'Parte financiera'!FR36+'Parte financiera'!GH36+'Parte financiera'!GV36+'Parte financiera'!HJ36+'Parte financiera'!HX36</f>
        <v>0</v>
      </c>
      <c r="O36" s="383">
        <f>'Parte financiera'!Q36+'Parte financiera'!AE36+'Parte financiera'!AS36+'Parte financiera'!BG36+'Parte financiera'!BW36+'Parte financiera'!CK36+'Parte financiera'!CY36+'Parte financiera'!DM36+'Parte financiera'!EC36+'Parte financiera'!EQ36+'Parte financiera'!FE36+'Parte financiera'!FS36+'Parte financiera'!GI36+'Parte financiera'!GW36+'Parte financiera'!HK36+'Parte financiera'!HY36</f>
        <v>0</v>
      </c>
    </row>
    <row r="37" spans="1:15">
      <c r="A37" s="463" t="str">
        <f>IF('Parte Estrategica'!B37=0,"",'Parte Estrategica'!B37)</f>
        <v/>
      </c>
      <c r="B37" s="382" t="e">
        <f>'Parte financiera'!D37+'Parte financiera'!R37+'Parte financiera'!AF37+'Parte financiera'!AT37+'Parte financiera'!BJ37+'Parte financiera'!BX37+'Parte financiera'!CL37+'Parte financiera'!CZ37+'Parte financiera'!DP37+'Parte financiera'!ED37+'Parte financiera'!ER37+'Parte financiera'!FF37+'Parte financiera'!FV37+'Parte financiera'!GJ37+'Parte financiera'!GX37+'Parte financiera'!HL37</f>
        <v>#VALUE!</v>
      </c>
      <c r="C37" s="382">
        <f>'Parte financiera'!E37+'Parte financiera'!S37+'Parte financiera'!AG37+'Parte financiera'!AU37+'Parte financiera'!BK37+'Parte financiera'!BY37+'Parte financiera'!CM37+'Parte financiera'!DA37+'Parte financiera'!DQ37+'Parte financiera'!EE37+'Parte financiera'!ES37+'Parte financiera'!FG37+'Parte financiera'!FW37+'Parte financiera'!GK37+'Parte financiera'!GY37+'Parte financiera'!HM37</f>
        <v>0</v>
      </c>
      <c r="D37" s="382">
        <f>'Parte financiera'!F37+'Parte financiera'!T37+'Parte financiera'!AH37+'Parte financiera'!AV37+'Parte financiera'!BL37+'Parte financiera'!BZ37+'Parte financiera'!CN37+'Parte financiera'!DB37+'Parte financiera'!DR37+'Parte financiera'!EF37+'Parte financiera'!ET37+'Parte financiera'!FH37+'Parte financiera'!FX37+'Parte financiera'!GL37+'Parte financiera'!GZ37+'Parte financiera'!HN37</f>
        <v>0</v>
      </c>
      <c r="E37" s="382">
        <f>'Parte financiera'!G37+'Parte financiera'!U37+'Parte financiera'!AI37+'Parte financiera'!AW37+'Parte financiera'!BM37+'Parte financiera'!CA37+'Parte financiera'!CO37+'Parte financiera'!DC37+'Parte financiera'!DS37+'Parte financiera'!EG37+'Parte financiera'!EU37+'Parte financiera'!FI37+'Parte financiera'!FY37+'Parte financiera'!GM37+'Parte financiera'!HA37+'Parte financiera'!HO37</f>
        <v>0</v>
      </c>
      <c r="F37" s="382">
        <f>'Parte financiera'!H37+'Parte financiera'!V37+'Parte financiera'!AJ37+'Parte financiera'!AX37+'Parte financiera'!BN37+'Parte financiera'!CB37+'Parte financiera'!CP37+'Parte financiera'!DD37+'Parte financiera'!DT37+'Parte financiera'!EH37+'Parte financiera'!EV37+'Parte financiera'!FJ37+'Parte financiera'!FZ37+'Parte financiera'!GN37+'Parte financiera'!HB37+'Parte financiera'!HP37</f>
        <v>0</v>
      </c>
      <c r="G37" s="382">
        <f>'Parte financiera'!I37+'Parte financiera'!W37+'Parte financiera'!AK37+'Parte financiera'!AY37+'Parte financiera'!BO37+'Parte financiera'!CC37+'Parte financiera'!CQ37+'Parte financiera'!DE37+'Parte financiera'!DU37+'Parte financiera'!EI37+'Parte financiera'!EW37+'Parte financiera'!FK37+'Parte financiera'!GA37+'Parte financiera'!GO37+'Parte financiera'!HC37+'Parte financiera'!HQ37</f>
        <v>0</v>
      </c>
      <c r="H37" s="382">
        <f>'Parte financiera'!J37+'Parte financiera'!X37+'Parte financiera'!AL37+'Parte financiera'!AZ37+'Parte financiera'!BP37+'Parte financiera'!CD37+'Parte financiera'!CR37+'Parte financiera'!DF37+'Parte financiera'!DV37+'Parte financiera'!EJ37+'Parte financiera'!EX37+'Parte financiera'!FL37+'Parte financiera'!GB37+'Parte financiera'!GP37+'Parte financiera'!HD37+'Parte financiera'!HR37</f>
        <v>0</v>
      </c>
      <c r="I37" s="382">
        <f>'Parte financiera'!K37+'Parte financiera'!Y37+'Parte financiera'!AM37+'Parte financiera'!BA37+'Parte financiera'!BQ37+'Parte financiera'!CE37+'Parte financiera'!CS37+'Parte financiera'!DG37+'Parte financiera'!DW37+'Parte financiera'!EK37+'Parte financiera'!EY37+'Parte financiera'!FM37+'Parte financiera'!GC37+'Parte financiera'!GQ37+'Parte financiera'!HE37+'Parte financiera'!HS37</f>
        <v>0</v>
      </c>
      <c r="J37" s="382">
        <f>'Parte financiera'!L37+'Parte financiera'!Z37+'Parte financiera'!AN37+'Parte financiera'!BB37+'Parte financiera'!BR37+'Parte financiera'!CF37+'Parte financiera'!CT37+'Parte financiera'!DH37+'Parte financiera'!DX37+'Parte financiera'!EL37+'Parte financiera'!EZ37+'Parte financiera'!FN37+'Parte financiera'!GD37+'Parte financiera'!GR37+'Parte financiera'!HF37+'Parte financiera'!HT37</f>
        <v>0</v>
      </c>
      <c r="K37" s="382">
        <f>'Parte financiera'!M37+'Parte financiera'!AA37+'Parte financiera'!AO37+'Parte financiera'!BC37+'Parte financiera'!BS37+'Parte financiera'!CG37+'Parte financiera'!CU37+'Parte financiera'!DI37+'Parte financiera'!DY37+'Parte financiera'!EM37+'Parte financiera'!FA37+'Parte financiera'!FO37+'Parte financiera'!GE37+'Parte financiera'!GS37+'Parte financiera'!HG37+'Parte financiera'!HU37</f>
        <v>0</v>
      </c>
      <c r="L37" s="382">
        <f>'Parte financiera'!N37+'Parte financiera'!AB37+'Parte financiera'!AP37+'Parte financiera'!BD37+'Parte financiera'!BT37+'Parte financiera'!CH37+'Parte financiera'!CV37+'Parte financiera'!DJ37+'Parte financiera'!DZ37+'Parte financiera'!EN37+'Parte financiera'!FB37+'Parte financiera'!FP37+'Parte financiera'!GF37+'Parte financiera'!GT37+'Parte financiera'!HH37+'Parte financiera'!HV37</f>
        <v>0</v>
      </c>
      <c r="M37" s="382" t="e">
        <f>'Parte financiera'!O37+'Parte financiera'!AC37+'Parte financiera'!AQ37+'Parte financiera'!BE37+'Parte financiera'!BU37+'Parte financiera'!CI37+'Parte financiera'!CW37+'Parte financiera'!DK37+'Parte financiera'!EA37+'Parte financiera'!EO37+'Parte financiera'!FC37+'Parte financiera'!FQ37+'Parte financiera'!GG37+'Parte financiera'!GU37+'Parte financiera'!HI37+'Parte financiera'!HW37</f>
        <v>#VALUE!</v>
      </c>
      <c r="N37" s="382">
        <f>'Parte financiera'!P37+'Parte financiera'!AD37+'Parte financiera'!AR37+'Parte financiera'!BF37+'Parte financiera'!BV37+'Parte financiera'!CJ37+'Parte financiera'!CX37+'Parte financiera'!DL37+'Parte financiera'!EB37+'Parte financiera'!EP37+'Parte financiera'!FD37+'Parte financiera'!FR37+'Parte financiera'!GH37+'Parte financiera'!GV37+'Parte financiera'!HJ37+'Parte financiera'!HX37</f>
        <v>0</v>
      </c>
      <c r="O37" s="383">
        <f>'Parte financiera'!Q37+'Parte financiera'!AE37+'Parte financiera'!AS37+'Parte financiera'!BG37+'Parte financiera'!BW37+'Parte financiera'!CK37+'Parte financiera'!CY37+'Parte financiera'!DM37+'Parte financiera'!EC37+'Parte financiera'!EQ37+'Parte financiera'!FE37+'Parte financiera'!FS37+'Parte financiera'!GI37+'Parte financiera'!GW37+'Parte financiera'!HK37+'Parte financiera'!HY37</f>
        <v>0</v>
      </c>
    </row>
    <row r="38" spans="1:15">
      <c r="A38" s="463" t="str">
        <f>IF('Parte Estrategica'!B38=0,"",'Parte Estrategica'!B38)</f>
        <v/>
      </c>
      <c r="B38" s="382" t="e">
        <f>'Parte financiera'!D38+'Parte financiera'!R38+'Parte financiera'!AF38+'Parte financiera'!AT38+'Parte financiera'!BJ38+'Parte financiera'!BX38+'Parte financiera'!CL38+'Parte financiera'!CZ38+'Parte financiera'!DP38+'Parte financiera'!ED38+'Parte financiera'!ER38+'Parte financiera'!FF38+'Parte financiera'!FV38+'Parte financiera'!GJ38+'Parte financiera'!GX38+'Parte financiera'!HL38</f>
        <v>#VALUE!</v>
      </c>
      <c r="C38" s="382">
        <f>'Parte financiera'!E38+'Parte financiera'!S38+'Parte financiera'!AG38+'Parte financiera'!AU38+'Parte financiera'!BK38+'Parte financiera'!BY38+'Parte financiera'!CM38+'Parte financiera'!DA38+'Parte financiera'!DQ38+'Parte financiera'!EE38+'Parte financiera'!ES38+'Parte financiera'!FG38+'Parte financiera'!FW38+'Parte financiera'!GK38+'Parte financiera'!GY38+'Parte financiera'!HM38</f>
        <v>0</v>
      </c>
      <c r="D38" s="382">
        <f>'Parte financiera'!F38+'Parte financiera'!T38+'Parte financiera'!AH38+'Parte financiera'!AV38+'Parte financiera'!BL38+'Parte financiera'!BZ38+'Parte financiera'!CN38+'Parte financiera'!DB38+'Parte financiera'!DR38+'Parte financiera'!EF38+'Parte financiera'!ET38+'Parte financiera'!FH38+'Parte financiera'!FX38+'Parte financiera'!GL38+'Parte financiera'!GZ38+'Parte financiera'!HN38</f>
        <v>0</v>
      </c>
      <c r="E38" s="382">
        <f>'Parte financiera'!G38+'Parte financiera'!U38+'Parte financiera'!AI38+'Parte financiera'!AW38+'Parte financiera'!BM38+'Parte financiera'!CA38+'Parte financiera'!CO38+'Parte financiera'!DC38+'Parte financiera'!DS38+'Parte financiera'!EG38+'Parte financiera'!EU38+'Parte financiera'!FI38+'Parte financiera'!FY38+'Parte financiera'!GM38+'Parte financiera'!HA38+'Parte financiera'!HO38</f>
        <v>0</v>
      </c>
      <c r="F38" s="382">
        <f>'Parte financiera'!H38+'Parte financiera'!V38+'Parte financiera'!AJ38+'Parte financiera'!AX38+'Parte financiera'!BN38+'Parte financiera'!CB38+'Parte financiera'!CP38+'Parte financiera'!DD38+'Parte financiera'!DT38+'Parte financiera'!EH38+'Parte financiera'!EV38+'Parte financiera'!FJ38+'Parte financiera'!FZ38+'Parte financiera'!GN38+'Parte financiera'!HB38+'Parte financiera'!HP38</f>
        <v>0</v>
      </c>
      <c r="G38" s="382">
        <f>'Parte financiera'!I38+'Parte financiera'!W38+'Parte financiera'!AK38+'Parte financiera'!AY38+'Parte financiera'!BO38+'Parte financiera'!CC38+'Parte financiera'!CQ38+'Parte financiera'!DE38+'Parte financiera'!DU38+'Parte financiera'!EI38+'Parte financiera'!EW38+'Parte financiera'!FK38+'Parte financiera'!GA38+'Parte financiera'!GO38+'Parte financiera'!HC38+'Parte financiera'!HQ38</f>
        <v>0</v>
      </c>
      <c r="H38" s="382">
        <f>'Parte financiera'!J38+'Parte financiera'!X38+'Parte financiera'!AL38+'Parte financiera'!AZ38+'Parte financiera'!BP38+'Parte financiera'!CD38+'Parte financiera'!CR38+'Parte financiera'!DF38+'Parte financiera'!DV38+'Parte financiera'!EJ38+'Parte financiera'!EX38+'Parte financiera'!FL38+'Parte financiera'!GB38+'Parte financiera'!GP38+'Parte financiera'!HD38+'Parte financiera'!HR38</f>
        <v>0</v>
      </c>
      <c r="I38" s="382">
        <f>'Parte financiera'!K38+'Parte financiera'!Y38+'Parte financiera'!AM38+'Parte financiera'!BA38+'Parte financiera'!BQ38+'Parte financiera'!CE38+'Parte financiera'!CS38+'Parte financiera'!DG38+'Parte financiera'!DW38+'Parte financiera'!EK38+'Parte financiera'!EY38+'Parte financiera'!FM38+'Parte financiera'!GC38+'Parte financiera'!GQ38+'Parte financiera'!HE38+'Parte financiera'!HS38</f>
        <v>0</v>
      </c>
      <c r="J38" s="382">
        <f>'Parte financiera'!L38+'Parte financiera'!Z38+'Parte financiera'!AN38+'Parte financiera'!BB38+'Parte financiera'!BR38+'Parte financiera'!CF38+'Parte financiera'!CT38+'Parte financiera'!DH38+'Parte financiera'!DX38+'Parte financiera'!EL38+'Parte financiera'!EZ38+'Parte financiera'!FN38+'Parte financiera'!GD38+'Parte financiera'!GR38+'Parte financiera'!HF38+'Parte financiera'!HT38</f>
        <v>0</v>
      </c>
      <c r="K38" s="382">
        <f>'Parte financiera'!M38+'Parte financiera'!AA38+'Parte financiera'!AO38+'Parte financiera'!BC38+'Parte financiera'!BS38+'Parte financiera'!CG38+'Parte financiera'!CU38+'Parte financiera'!DI38+'Parte financiera'!DY38+'Parte financiera'!EM38+'Parte financiera'!FA38+'Parte financiera'!FO38+'Parte financiera'!GE38+'Parte financiera'!GS38+'Parte financiera'!HG38+'Parte financiera'!HU38</f>
        <v>0</v>
      </c>
      <c r="L38" s="382">
        <f>'Parte financiera'!N38+'Parte financiera'!AB38+'Parte financiera'!AP38+'Parte financiera'!BD38+'Parte financiera'!BT38+'Parte financiera'!CH38+'Parte financiera'!CV38+'Parte financiera'!DJ38+'Parte financiera'!DZ38+'Parte financiera'!EN38+'Parte financiera'!FB38+'Parte financiera'!FP38+'Parte financiera'!GF38+'Parte financiera'!GT38+'Parte financiera'!HH38+'Parte financiera'!HV38</f>
        <v>0</v>
      </c>
      <c r="M38" s="382" t="e">
        <f>'Parte financiera'!O38+'Parte financiera'!AC38+'Parte financiera'!AQ38+'Parte financiera'!BE38+'Parte financiera'!BU38+'Parte financiera'!CI38+'Parte financiera'!CW38+'Parte financiera'!DK38+'Parte financiera'!EA38+'Parte financiera'!EO38+'Parte financiera'!FC38+'Parte financiera'!FQ38+'Parte financiera'!GG38+'Parte financiera'!GU38+'Parte financiera'!HI38+'Parte financiera'!HW38</f>
        <v>#VALUE!</v>
      </c>
      <c r="N38" s="382">
        <f>'Parte financiera'!P38+'Parte financiera'!AD38+'Parte financiera'!AR38+'Parte financiera'!BF38+'Parte financiera'!BV38+'Parte financiera'!CJ38+'Parte financiera'!CX38+'Parte financiera'!DL38+'Parte financiera'!EB38+'Parte financiera'!EP38+'Parte financiera'!FD38+'Parte financiera'!FR38+'Parte financiera'!GH38+'Parte financiera'!GV38+'Parte financiera'!HJ38+'Parte financiera'!HX38</f>
        <v>0</v>
      </c>
      <c r="O38" s="383">
        <f>'Parte financiera'!Q38+'Parte financiera'!AE38+'Parte financiera'!AS38+'Parte financiera'!BG38+'Parte financiera'!BW38+'Parte financiera'!CK38+'Parte financiera'!CY38+'Parte financiera'!DM38+'Parte financiera'!EC38+'Parte financiera'!EQ38+'Parte financiera'!FE38+'Parte financiera'!FS38+'Parte financiera'!GI38+'Parte financiera'!GW38+'Parte financiera'!HK38+'Parte financiera'!HY38</f>
        <v>0</v>
      </c>
    </row>
    <row r="39" spans="1:15">
      <c r="A39" s="463" t="str">
        <f>IF('Parte Estrategica'!B39=0,"",'Parte Estrategica'!B39)</f>
        <v/>
      </c>
      <c r="B39" s="382" t="e">
        <f>'Parte financiera'!D39+'Parte financiera'!R39+'Parte financiera'!AF39+'Parte financiera'!AT39+'Parte financiera'!BJ39+'Parte financiera'!BX39+'Parte financiera'!CL39+'Parte financiera'!CZ39+'Parte financiera'!DP39+'Parte financiera'!ED39+'Parte financiera'!ER39+'Parte financiera'!FF39+'Parte financiera'!FV39+'Parte financiera'!GJ39+'Parte financiera'!GX39+'Parte financiera'!HL39</f>
        <v>#VALUE!</v>
      </c>
      <c r="C39" s="382">
        <f>'Parte financiera'!E39+'Parte financiera'!S39+'Parte financiera'!AG39+'Parte financiera'!AU39+'Parte financiera'!BK39+'Parte financiera'!BY39+'Parte financiera'!CM39+'Parte financiera'!DA39+'Parte financiera'!DQ39+'Parte financiera'!EE39+'Parte financiera'!ES39+'Parte financiera'!FG39+'Parte financiera'!FW39+'Parte financiera'!GK39+'Parte financiera'!GY39+'Parte financiera'!HM39</f>
        <v>0</v>
      </c>
      <c r="D39" s="382">
        <f>'Parte financiera'!F39+'Parte financiera'!T39+'Parte financiera'!AH39+'Parte financiera'!AV39+'Parte financiera'!BL39+'Parte financiera'!BZ39+'Parte financiera'!CN39+'Parte financiera'!DB39+'Parte financiera'!DR39+'Parte financiera'!EF39+'Parte financiera'!ET39+'Parte financiera'!FH39+'Parte financiera'!FX39+'Parte financiera'!GL39+'Parte financiera'!GZ39+'Parte financiera'!HN39</f>
        <v>0</v>
      </c>
      <c r="E39" s="382">
        <f>'Parte financiera'!G39+'Parte financiera'!U39+'Parte financiera'!AI39+'Parte financiera'!AW39+'Parte financiera'!BM39+'Parte financiera'!CA39+'Parte financiera'!CO39+'Parte financiera'!DC39+'Parte financiera'!DS39+'Parte financiera'!EG39+'Parte financiera'!EU39+'Parte financiera'!FI39+'Parte financiera'!FY39+'Parte financiera'!GM39+'Parte financiera'!HA39+'Parte financiera'!HO39</f>
        <v>0</v>
      </c>
      <c r="F39" s="382">
        <f>'Parte financiera'!H39+'Parte financiera'!V39+'Parte financiera'!AJ39+'Parte financiera'!AX39+'Parte financiera'!BN39+'Parte financiera'!CB39+'Parte financiera'!CP39+'Parte financiera'!DD39+'Parte financiera'!DT39+'Parte financiera'!EH39+'Parte financiera'!EV39+'Parte financiera'!FJ39+'Parte financiera'!FZ39+'Parte financiera'!GN39+'Parte financiera'!HB39+'Parte financiera'!HP39</f>
        <v>0</v>
      </c>
      <c r="G39" s="382">
        <f>'Parte financiera'!I39+'Parte financiera'!W39+'Parte financiera'!AK39+'Parte financiera'!AY39+'Parte financiera'!BO39+'Parte financiera'!CC39+'Parte financiera'!CQ39+'Parte financiera'!DE39+'Parte financiera'!DU39+'Parte financiera'!EI39+'Parte financiera'!EW39+'Parte financiera'!FK39+'Parte financiera'!GA39+'Parte financiera'!GO39+'Parte financiera'!HC39+'Parte financiera'!HQ39</f>
        <v>0</v>
      </c>
      <c r="H39" s="382">
        <f>'Parte financiera'!J39+'Parte financiera'!X39+'Parte financiera'!AL39+'Parte financiera'!AZ39+'Parte financiera'!BP39+'Parte financiera'!CD39+'Parte financiera'!CR39+'Parte financiera'!DF39+'Parte financiera'!DV39+'Parte financiera'!EJ39+'Parte financiera'!EX39+'Parte financiera'!FL39+'Parte financiera'!GB39+'Parte financiera'!GP39+'Parte financiera'!HD39+'Parte financiera'!HR39</f>
        <v>0</v>
      </c>
      <c r="I39" s="382">
        <f>'Parte financiera'!K39+'Parte financiera'!Y39+'Parte financiera'!AM39+'Parte financiera'!BA39+'Parte financiera'!BQ39+'Parte financiera'!CE39+'Parte financiera'!CS39+'Parte financiera'!DG39+'Parte financiera'!DW39+'Parte financiera'!EK39+'Parte financiera'!EY39+'Parte financiera'!FM39+'Parte financiera'!GC39+'Parte financiera'!GQ39+'Parte financiera'!HE39+'Parte financiera'!HS39</f>
        <v>0</v>
      </c>
      <c r="J39" s="382">
        <f>'Parte financiera'!L39+'Parte financiera'!Z39+'Parte financiera'!AN39+'Parte financiera'!BB39+'Parte financiera'!BR39+'Parte financiera'!CF39+'Parte financiera'!CT39+'Parte financiera'!DH39+'Parte financiera'!DX39+'Parte financiera'!EL39+'Parte financiera'!EZ39+'Parte financiera'!FN39+'Parte financiera'!GD39+'Parte financiera'!GR39+'Parte financiera'!HF39+'Parte financiera'!HT39</f>
        <v>0</v>
      </c>
      <c r="K39" s="382">
        <f>'Parte financiera'!M39+'Parte financiera'!AA39+'Parte financiera'!AO39+'Parte financiera'!BC39+'Parte financiera'!BS39+'Parte financiera'!CG39+'Parte financiera'!CU39+'Parte financiera'!DI39+'Parte financiera'!DY39+'Parte financiera'!EM39+'Parte financiera'!FA39+'Parte financiera'!FO39+'Parte financiera'!GE39+'Parte financiera'!GS39+'Parte financiera'!HG39+'Parte financiera'!HU39</f>
        <v>0</v>
      </c>
      <c r="L39" s="382">
        <f>'Parte financiera'!N39+'Parte financiera'!AB39+'Parte financiera'!AP39+'Parte financiera'!BD39+'Parte financiera'!BT39+'Parte financiera'!CH39+'Parte financiera'!CV39+'Parte financiera'!DJ39+'Parte financiera'!DZ39+'Parte financiera'!EN39+'Parte financiera'!FB39+'Parte financiera'!FP39+'Parte financiera'!GF39+'Parte financiera'!GT39+'Parte financiera'!HH39+'Parte financiera'!HV39</f>
        <v>0</v>
      </c>
      <c r="M39" s="382" t="e">
        <f>'Parte financiera'!O39+'Parte financiera'!AC39+'Parte financiera'!AQ39+'Parte financiera'!BE39+'Parte financiera'!BU39+'Parte financiera'!CI39+'Parte financiera'!CW39+'Parte financiera'!DK39+'Parte financiera'!EA39+'Parte financiera'!EO39+'Parte financiera'!FC39+'Parte financiera'!FQ39+'Parte financiera'!GG39+'Parte financiera'!GU39+'Parte financiera'!HI39+'Parte financiera'!HW39</f>
        <v>#VALUE!</v>
      </c>
      <c r="N39" s="382">
        <f>'Parte financiera'!P39+'Parte financiera'!AD39+'Parte financiera'!AR39+'Parte financiera'!BF39+'Parte financiera'!BV39+'Parte financiera'!CJ39+'Parte financiera'!CX39+'Parte financiera'!DL39+'Parte financiera'!EB39+'Parte financiera'!EP39+'Parte financiera'!FD39+'Parte financiera'!FR39+'Parte financiera'!GH39+'Parte financiera'!GV39+'Parte financiera'!HJ39+'Parte financiera'!HX39</f>
        <v>0</v>
      </c>
      <c r="O39" s="383">
        <f>'Parte financiera'!Q39+'Parte financiera'!AE39+'Parte financiera'!AS39+'Parte financiera'!BG39+'Parte financiera'!BW39+'Parte financiera'!CK39+'Parte financiera'!CY39+'Parte financiera'!DM39+'Parte financiera'!EC39+'Parte financiera'!EQ39+'Parte financiera'!FE39+'Parte financiera'!FS39+'Parte financiera'!GI39+'Parte financiera'!GW39+'Parte financiera'!HK39+'Parte financiera'!HY39</f>
        <v>0</v>
      </c>
    </row>
    <row r="40" spans="1:15">
      <c r="A40" s="463" t="str">
        <f>IF('Parte Estrategica'!B40=0,"",'Parte Estrategica'!B40)</f>
        <v/>
      </c>
      <c r="B40" s="382" t="e">
        <f>'Parte financiera'!D40+'Parte financiera'!R40+'Parte financiera'!AF40+'Parte financiera'!AT40+'Parte financiera'!BJ40+'Parte financiera'!BX40+'Parte financiera'!CL40+'Parte financiera'!CZ40+'Parte financiera'!DP40+'Parte financiera'!ED40+'Parte financiera'!ER40+'Parte financiera'!FF40+'Parte financiera'!FV40+'Parte financiera'!GJ40+'Parte financiera'!GX40+'Parte financiera'!HL40</f>
        <v>#VALUE!</v>
      </c>
      <c r="C40" s="382">
        <f>'Parte financiera'!E40+'Parte financiera'!S40+'Parte financiera'!AG40+'Parte financiera'!AU40+'Parte financiera'!BK40+'Parte financiera'!BY40+'Parte financiera'!CM40+'Parte financiera'!DA40+'Parte financiera'!DQ40+'Parte financiera'!EE40+'Parte financiera'!ES40+'Parte financiera'!FG40+'Parte financiera'!FW40+'Parte financiera'!GK40+'Parte financiera'!GY40+'Parte financiera'!HM40</f>
        <v>0</v>
      </c>
      <c r="D40" s="382">
        <f>'Parte financiera'!F40+'Parte financiera'!T40+'Parte financiera'!AH40+'Parte financiera'!AV40+'Parte financiera'!BL40+'Parte financiera'!BZ40+'Parte financiera'!CN40+'Parte financiera'!DB40+'Parte financiera'!DR40+'Parte financiera'!EF40+'Parte financiera'!ET40+'Parte financiera'!FH40+'Parte financiera'!FX40+'Parte financiera'!GL40+'Parte financiera'!GZ40+'Parte financiera'!HN40</f>
        <v>0</v>
      </c>
      <c r="E40" s="382">
        <f>'Parte financiera'!G40+'Parte financiera'!U40+'Parte financiera'!AI40+'Parte financiera'!AW40+'Parte financiera'!BM40+'Parte financiera'!CA40+'Parte financiera'!CO40+'Parte financiera'!DC40+'Parte financiera'!DS40+'Parte financiera'!EG40+'Parte financiera'!EU40+'Parte financiera'!FI40+'Parte financiera'!FY40+'Parte financiera'!GM40+'Parte financiera'!HA40+'Parte financiera'!HO40</f>
        <v>0</v>
      </c>
      <c r="F40" s="382">
        <f>'Parte financiera'!H40+'Parte financiera'!V40+'Parte financiera'!AJ40+'Parte financiera'!AX40+'Parte financiera'!BN40+'Parte financiera'!CB40+'Parte financiera'!CP40+'Parte financiera'!DD40+'Parte financiera'!DT40+'Parte financiera'!EH40+'Parte financiera'!EV40+'Parte financiera'!FJ40+'Parte financiera'!FZ40+'Parte financiera'!GN40+'Parte financiera'!HB40+'Parte financiera'!HP40</f>
        <v>0</v>
      </c>
      <c r="G40" s="382">
        <f>'Parte financiera'!I40+'Parte financiera'!W40+'Parte financiera'!AK40+'Parte financiera'!AY40+'Parte financiera'!BO40+'Parte financiera'!CC40+'Parte financiera'!CQ40+'Parte financiera'!DE40+'Parte financiera'!DU40+'Parte financiera'!EI40+'Parte financiera'!EW40+'Parte financiera'!FK40+'Parte financiera'!GA40+'Parte financiera'!GO40+'Parte financiera'!HC40+'Parte financiera'!HQ40</f>
        <v>0</v>
      </c>
      <c r="H40" s="382">
        <f>'Parte financiera'!J40+'Parte financiera'!X40+'Parte financiera'!AL40+'Parte financiera'!AZ40+'Parte financiera'!BP40+'Parte financiera'!CD40+'Parte financiera'!CR40+'Parte financiera'!DF40+'Parte financiera'!DV40+'Parte financiera'!EJ40+'Parte financiera'!EX40+'Parte financiera'!FL40+'Parte financiera'!GB40+'Parte financiera'!GP40+'Parte financiera'!HD40+'Parte financiera'!HR40</f>
        <v>0</v>
      </c>
      <c r="I40" s="382">
        <f>'Parte financiera'!K40+'Parte financiera'!Y40+'Parte financiera'!AM40+'Parte financiera'!BA40+'Parte financiera'!BQ40+'Parte financiera'!CE40+'Parte financiera'!CS40+'Parte financiera'!DG40+'Parte financiera'!DW40+'Parte financiera'!EK40+'Parte financiera'!EY40+'Parte financiera'!FM40+'Parte financiera'!GC40+'Parte financiera'!GQ40+'Parte financiera'!HE40+'Parte financiera'!HS40</f>
        <v>0</v>
      </c>
      <c r="J40" s="382">
        <f>'Parte financiera'!L40+'Parte financiera'!Z40+'Parte financiera'!AN40+'Parte financiera'!BB40+'Parte financiera'!BR40+'Parte financiera'!CF40+'Parte financiera'!CT40+'Parte financiera'!DH40+'Parte financiera'!DX40+'Parte financiera'!EL40+'Parte financiera'!EZ40+'Parte financiera'!FN40+'Parte financiera'!GD40+'Parte financiera'!GR40+'Parte financiera'!HF40+'Parte financiera'!HT40</f>
        <v>0</v>
      </c>
      <c r="K40" s="382">
        <f>'Parte financiera'!M40+'Parte financiera'!AA40+'Parte financiera'!AO40+'Parte financiera'!BC40+'Parte financiera'!BS40+'Parte financiera'!CG40+'Parte financiera'!CU40+'Parte financiera'!DI40+'Parte financiera'!DY40+'Parte financiera'!EM40+'Parte financiera'!FA40+'Parte financiera'!FO40+'Parte financiera'!GE40+'Parte financiera'!GS40+'Parte financiera'!HG40+'Parte financiera'!HU40</f>
        <v>0</v>
      </c>
      <c r="L40" s="382">
        <f>'Parte financiera'!N40+'Parte financiera'!AB40+'Parte financiera'!AP40+'Parte financiera'!BD40+'Parte financiera'!BT40+'Parte financiera'!CH40+'Parte financiera'!CV40+'Parte financiera'!DJ40+'Parte financiera'!DZ40+'Parte financiera'!EN40+'Parte financiera'!FB40+'Parte financiera'!FP40+'Parte financiera'!GF40+'Parte financiera'!GT40+'Parte financiera'!HH40+'Parte financiera'!HV40</f>
        <v>0</v>
      </c>
      <c r="M40" s="382" t="e">
        <f>'Parte financiera'!O40+'Parte financiera'!AC40+'Parte financiera'!AQ40+'Parte financiera'!BE40+'Parte financiera'!BU40+'Parte financiera'!CI40+'Parte financiera'!CW40+'Parte financiera'!DK40+'Parte financiera'!EA40+'Parte financiera'!EO40+'Parte financiera'!FC40+'Parte financiera'!FQ40+'Parte financiera'!GG40+'Parte financiera'!GU40+'Parte financiera'!HI40+'Parte financiera'!HW40</f>
        <v>#VALUE!</v>
      </c>
      <c r="N40" s="382">
        <f>'Parte financiera'!P40+'Parte financiera'!AD40+'Parte financiera'!AR40+'Parte financiera'!BF40+'Parte financiera'!BV40+'Parte financiera'!CJ40+'Parte financiera'!CX40+'Parte financiera'!DL40+'Parte financiera'!EB40+'Parte financiera'!EP40+'Parte financiera'!FD40+'Parte financiera'!FR40+'Parte financiera'!GH40+'Parte financiera'!GV40+'Parte financiera'!HJ40+'Parte financiera'!HX40</f>
        <v>0</v>
      </c>
      <c r="O40" s="383">
        <f>'Parte financiera'!Q40+'Parte financiera'!AE40+'Parte financiera'!AS40+'Parte financiera'!BG40+'Parte financiera'!BW40+'Parte financiera'!CK40+'Parte financiera'!CY40+'Parte financiera'!DM40+'Parte financiera'!EC40+'Parte financiera'!EQ40+'Parte financiera'!FE40+'Parte financiera'!FS40+'Parte financiera'!GI40+'Parte financiera'!GW40+'Parte financiera'!HK40+'Parte financiera'!HY40</f>
        <v>0</v>
      </c>
    </row>
    <row r="41" spans="1:15">
      <c r="A41" s="463" t="str">
        <f>IF('Parte Estrategica'!B41=0,"",'Parte Estrategica'!B41)</f>
        <v/>
      </c>
      <c r="B41" s="382" t="e">
        <f>'Parte financiera'!D41+'Parte financiera'!R41+'Parte financiera'!AF41+'Parte financiera'!AT41+'Parte financiera'!BJ41+'Parte financiera'!BX41+'Parte financiera'!CL41+'Parte financiera'!CZ41+'Parte financiera'!DP41+'Parte financiera'!ED41+'Parte financiera'!ER41+'Parte financiera'!FF41+'Parte financiera'!FV41+'Parte financiera'!GJ41+'Parte financiera'!GX41+'Parte financiera'!HL41</f>
        <v>#VALUE!</v>
      </c>
      <c r="C41" s="382">
        <f>'Parte financiera'!E41+'Parte financiera'!S41+'Parte financiera'!AG41+'Parte financiera'!AU41+'Parte financiera'!BK41+'Parte financiera'!BY41+'Parte financiera'!CM41+'Parte financiera'!DA41+'Parte financiera'!DQ41+'Parte financiera'!EE41+'Parte financiera'!ES41+'Parte financiera'!FG41+'Parte financiera'!FW41+'Parte financiera'!GK41+'Parte financiera'!GY41+'Parte financiera'!HM41</f>
        <v>0</v>
      </c>
      <c r="D41" s="382">
        <f>'Parte financiera'!F41+'Parte financiera'!T41+'Parte financiera'!AH41+'Parte financiera'!AV41+'Parte financiera'!BL41+'Parte financiera'!BZ41+'Parte financiera'!CN41+'Parte financiera'!DB41+'Parte financiera'!DR41+'Parte financiera'!EF41+'Parte financiera'!ET41+'Parte financiera'!FH41+'Parte financiera'!FX41+'Parte financiera'!GL41+'Parte financiera'!GZ41+'Parte financiera'!HN41</f>
        <v>0</v>
      </c>
      <c r="E41" s="382">
        <f>'Parte financiera'!G41+'Parte financiera'!U41+'Parte financiera'!AI41+'Parte financiera'!AW41+'Parte financiera'!BM41+'Parte financiera'!CA41+'Parte financiera'!CO41+'Parte financiera'!DC41+'Parte financiera'!DS41+'Parte financiera'!EG41+'Parte financiera'!EU41+'Parte financiera'!FI41+'Parte financiera'!FY41+'Parte financiera'!GM41+'Parte financiera'!HA41+'Parte financiera'!HO41</f>
        <v>0</v>
      </c>
      <c r="F41" s="382">
        <f>'Parte financiera'!H41+'Parte financiera'!V41+'Parte financiera'!AJ41+'Parte financiera'!AX41+'Parte financiera'!BN41+'Parte financiera'!CB41+'Parte financiera'!CP41+'Parte financiera'!DD41+'Parte financiera'!DT41+'Parte financiera'!EH41+'Parte financiera'!EV41+'Parte financiera'!FJ41+'Parte financiera'!FZ41+'Parte financiera'!GN41+'Parte financiera'!HB41+'Parte financiera'!HP41</f>
        <v>0</v>
      </c>
      <c r="G41" s="382">
        <f>'Parte financiera'!I41+'Parte financiera'!W41+'Parte financiera'!AK41+'Parte financiera'!AY41+'Parte financiera'!BO41+'Parte financiera'!CC41+'Parte financiera'!CQ41+'Parte financiera'!DE41+'Parte financiera'!DU41+'Parte financiera'!EI41+'Parte financiera'!EW41+'Parte financiera'!FK41+'Parte financiera'!GA41+'Parte financiera'!GO41+'Parte financiera'!HC41+'Parte financiera'!HQ41</f>
        <v>0</v>
      </c>
      <c r="H41" s="382">
        <f>'Parte financiera'!J41+'Parte financiera'!X41+'Parte financiera'!AL41+'Parte financiera'!AZ41+'Parte financiera'!BP41+'Parte financiera'!CD41+'Parte financiera'!CR41+'Parte financiera'!DF41+'Parte financiera'!DV41+'Parte financiera'!EJ41+'Parte financiera'!EX41+'Parte financiera'!FL41+'Parte financiera'!GB41+'Parte financiera'!GP41+'Parte financiera'!HD41+'Parte financiera'!HR41</f>
        <v>0</v>
      </c>
      <c r="I41" s="382">
        <f>'Parte financiera'!K41+'Parte financiera'!Y41+'Parte financiera'!AM41+'Parte financiera'!BA41+'Parte financiera'!BQ41+'Parte financiera'!CE41+'Parte financiera'!CS41+'Parte financiera'!DG41+'Parte financiera'!DW41+'Parte financiera'!EK41+'Parte financiera'!EY41+'Parte financiera'!FM41+'Parte financiera'!GC41+'Parte financiera'!GQ41+'Parte financiera'!HE41+'Parte financiera'!HS41</f>
        <v>0</v>
      </c>
      <c r="J41" s="382">
        <f>'Parte financiera'!L41+'Parte financiera'!Z41+'Parte financiera'!AN41+'Parte financiera'!BB41+'Parte financiera'!BR41+'Parte financiera'!CF41+'Parte financiera'!CT41+'Parte financiera'!DH41+'Parte financiera'!DX41+'Parte financiera'!EL41+'Parte financiera'!EZ41+'Parte financiera'!FN41+'Parte financiera'!GD41+'Parte financiera'!GR41+'Parte financiera'!HF41+'Parte financiera'!HT41</f>
        <v>0</v>
      </c>
      <c r="K41" s="382">
        <f>'Parte financiera'!M41+'Parte financiera'!AA41+'Parte financiera'!AO41+'Parte financiera'!BC41+'Parte financiera'!BS41+'Parte financiera'!CG41+'Parte financiera'!CU41+'Parte financiera'!DI41+'Parte financiera'!DY41+'Parte financiera'!EM41+'Parte financiera'!FA41+'Parte financiera'!FO41+'Parte financiera'!GE41+'Parte financiera'!GS41+'Parte financiera'!HG41+'Parte financiera'!HU41</f>
        <v>0</v>
      </c>
      <c r="L41" s="382">
        <f>'Parte financiera'!N41+'Parte financiera'!AB41+'Parte financiera'!AP41+'Parte financiera'!BD41+'Parte financiera'!BT41+'Parte financiera'!CH41+'Parte financiera'!CV41+'Parte financiera'!DJ41+'Parte financiera'!DZ41+'Parte financiera'!EN41+'Parte financiera'!FB41+'Parte financiera'!FP41+'Parte financiera'!GF41+'Parte financiera'!GT41+'Parte financiera'!HH41+'Parte financiera'!HV41</f>
        <v>0</v>
      </c>
      <c r="M41" s="382" t="e">
        <f>'Parte financiera'!O41+'Parte financiera'!AC41+'Parte financiera'!AQ41+'Parte financiera'!BE41+'Parte financiera'!BU41+'Parte financiera'!CI41+'Parte financiera'!CW41+'Parte financiera'!DK41+'Parte financiera'!EA41+'Parte financiera'!EO41+'Parte financiera'!FC41+'Parte financiera'!FQ41+'Parte financiera'!GG41+'Parte financiera'!GU41+'Parte financiera'!HI41+'Parte financiera'!HW41</f>
        <v>#VALUE!</v>
      </c>
      <c r="N41" s="382">
        <f>'Parte financiera'!P41+'Parte financiera'!AD41+'Parte financiera'!AR41+'Parte financiera'!BF41+'Parte financiera'!BV41+'Parte financiera'!CJ41+'Parte financiera'!CX41+'Parte financiera'!DL41+'Parte financiera'!EB41+'Parte financiera'!EP41+'Parte financiera'!FD41+'Parte financiera'!FR41+'Parte financiera'!GH41+'Parte financiera'!GV41+'Parte financiera'!HJ41+'Parte financiera'!HX41</f>
        <v>0</v>
      </c>
      <c r="O41" s="383">
        <f>'Parte financiera'!Q41+'Parte financiera'!AE41+'Parte financiera'!AS41+'Parte financiera'!BG41+'Parte financiera'!BW41+'Parte financiera'!CK41+'Parte financiera'!CY41+'Parte financiera'!DM41+'Parte financiera'!EC41+'Parte financiera'!EQ41+'Parte financiera'!FE41+'Parte financiera'!FS41+'Parte financiera'!GI41+'Parte financiera'!GW41+'Parte financiera'!HK41+'Parte financiera'!HY41</f>
        <v>0</v>
      </c>
    </row>
    <row r="42" spans="1:15">
      <c r="A42" s="463" t="str">
        <f>IF('Parte Estrategica'!B42=0,"",'Parte Estrategica'!B42)</f>
        <v/>
      </c>
      <c r="B42" s="382" t="e">
        <f>'Parte financiera'!D42+'Parte financiera'!R42+'Parte financiera'!AF42+'Parte financiera'!AT42+'Parte financiera'!BJ42+'Parte financiera'!BX42+'Parte financiera'!CL42+'Parte financiera'!CZ42+'Parte financiera'!DP42+'Parte financiera'!ED42+'Parte financiera'!ER42+'Parte financiera'!FF42+'Parte financiera'!FV42+'Parte financiera'!GJ42+'Parte financiera'!GX42+'Parte financiera'!HL42</f>
        <v>#VALUE!</v>
      </c>
      <c r="C42" s="382">
        <f>'Parte financiera'!E42+'Parte financiera'!S42+'Parte financiera'!AG42+'Parte financiera'!AU42+'Parte financiera'!BK42+'Parte financiera'!BY42+'Parte financiera'!CM42+'Parte financiera'!DA42+'Parte financiera'!DQ42+'Parte financiera'!EE42+'Parte financiera'!ES42+'Parte financiera'!FG42+'Parte financiera'!FW42+'Parte financiera'!GK42+'Parte financiera'!GY42+'Parte financiera'!HM42</f>
        <v>0</v>
      </c>
      <c r="D42" s="382">
        <f>'Parte financiera'!F42+'Parte financiera'!T42+'Parte financiera'!AH42+'Parte financiera'!AV42+'Parte financiera'!BL42+'Parte financiera'!BZ42+'Parte financiera'!CN42+'Parte financiera'!DB42+'Parte financiera'!DR42+'Parte financiera'!EF42+'Parte financiera'!ET42+'Parte financiera'!FH42+'Parte financiera'!FX42+'Parte financiera'!GL42+'Parte financiera'!GZ42+'Parte financiera'!HN42</f>
        <v>0</v>
      </c>
      <c r="E42" s="382">
        <f>'Parte financiera'!G42+'Parte financiera'!U42+'Parte financiera'!AI42+'Parte financiera'!AW42+'Parte financiera'!BM42+'Parte financiera'!CA42+'Parte financiera'!CO42+'Parte financiera'!DC42+'Parte financiera'!DS42+'Parte financiera'!EG42+'Parte financiera'!EU42+'Parte financiera'!FI42+'Parte financiera'!FY42+'Parte financiera'!GM42+'Parte financiera'!HA42+'Parte financiera'!HO42</f>
        <v>0</v>
      </c>
      <c r="F42" s="382">
        <f>'Parte financiera'!H42+'Parte financiera'!V42+'Parte financiera'!AJ42+'Parte financiera'!AX42+'Parte financiera'!BN42+'Parte financiera'!CB42+'Parte financiera'!CP42+'Parte financiera'!DD42+'Parte financiera'!DT42+'Parte financiera'!EH42+'Parte financiera'!EV42+'Parte financiera'!FJ42+'Parte financiera'!FZ42+'Parte financiera'!GN42+'Parte financiera'!HB42+'Parte financiera'!HP42</f>
        <v>0</v>
      </c>
      <c r="G42" s="382">
        <f>'Parte financiera'!I42+'Parte financiera'!W42+'Parte financiera'!AK42+'Parte financiera'!AY42+'Parte financiera'!BO42+'Parte financiera'!CC42+'Parte financiera'!CQ42+'Parte financiera'!DE42+'Parte financiera'!DU42+'Parte financiera'!EI42+'Parte financiera'!EW42+'Parte financiera'!FK42+'Parte financiera'!GA42+'Parte financiera'!GO42+'Parte financiera'!HC42+'Parte financiera'!HQ42</f>
        <v>0</v>
      </c>
      <c r="H42" s="382">
        <f>'Parte financiera'!J42+'Parte financiera'!X42+'Parte financiera'!AL42+'Parte financiera'!AZ42+'Parte financiera'!BP42+'Parte financiera'!CD42+'Parte financiera'!CR42+'Parte financiera'!DF42+'Parte financiera'!DV42+'Parte financiera'!EJ42+'Parte financiera'!EX42+'Parte financiera'!FL42+'Parte financiera'!GB42+'Parte financiera'!GP42+'Parte financiera'!HD42+'Parte financiera'!HR42</f>
        <v>0</v>
      </c>
      <c r="I42" s="382">
        <f>'Parte financiera'!K42+'Parte financiera'!Y42+'Parte financiera'!AM42+'Parte financiera'!BA42+'Parte financiera'!BQ42+'Parte financiera'!CE42+'Parte financiera'!CS42+'Parte financiera'!DG42+'Parte financiera'!DW42+'Parte financiera'!EK42+'Parte financiera'!EY42+'Parte financiera'!FM42+'Parte financiera'!GC42+'Parte financiera'!GQ42+'Parte financiera'!HE42+'Parte financiera'!HS42</f>
        <v>0</v>
      </c>
      <c r="J42" s="382">
        <f>'Parte financiera'!L42+'Parte financiera'!Z42+'Parte financiera'!AN42+'Parte financiera'!BB42+'Parte financiera'!BR42+'Parte financiera'!CF42+'Parte financiera'!CT42+'Parte financiera'!DH42+'Parte financiera'!DX42+'Parte financiera'!EL42+'Parte financiera'!EZ42+'Parte financiera'!FN42+'Parte financiera'!GD42+'Parte financiera'!GR42+'Parte financiera'!HF42+'Parte financiera'!HT42</f>
        <v>0</v>
      </c>
      <c r="K42" s="382">
        <f>'Parte financiera'!M42+'Parte financiera'!AA42+'Parte financiera'!AO42+'Parte financiera'!BC42+'Parte financiera'!BS42+'Parte financiera'!CG42+'Parte financiera'!CU42+'Parte financiera'!DI42+'Parte financiera'!DY42+'Parte financiera'!EM42+'Parte financiera'!FA42+'Parte financiera'!FO42+'Parte financiera'!GE42+'Parte financiera'!GS42+'Parte financiera'!HG42+'Parte financiera'!HU42</f>
        <v>0</v>
      </c>
      <c r="L42" s="382">
        <f>'Parte financiera'!N42+'Parte financiera'!AB42+'Parte financiera'!AP42+'Parte financiera'!BD42+'Parte financiera'!BT42+'Parte financiera'!CH42+'Parte financiera'!CV42+'Parte financiera'!DJ42+'Parte financiera'!DZ42+'Parte financiera'!EN42+'Parte financiera'!FB42+'Parte financiera'!FP42+'Parte financiera'!GF42+'Parte financiera'!GT42+'Parte financiera'!HH42+'Parte financiera'!HV42</f>
        <v>0</v>
      </c>
      <c r="M42" s="382" t="e">
        <f>'Parte financiera'!O42+'Parte financiera'!AC42+'Parte financiera'!AQ42+'Parte financiera'!BE42+'Parte financiera'!BU42+'Parte financiera'!CI42+'Parte financiera'!CW42+'Parte financiera'!DK42+'Parte financiera'!EA42+'Parte financiera'!EO42+'Parte financiera'!FC42+'Parte financiera'!FQ42+'Parte financiera'!GG42+'Parte financiera'!GU42+'Parte financiera'!HI42+'Parte financiera'!HW42</f>
        <v>#VALUE!</v>
      </c>
      <c r="N42" s="382">
        <f>'Parte financiera'!P42+'Parte financiera'!AD42+'Parte financiera'!AR42+'Parte financiera'!BF42+'Parte financiera'!BV42+'Parte financiera'!CJ42+'Parte financiera'!CX42+'Parte financiera'!DL42+'Parte financiera'!EB42+'Parte financiera'!EP42+'Parte financiera'!FD42+'Parte financiera'!FR42+'Parte financiera'!GH42+'Parte financiera'!GV42+'Parte financiera'!HJ42+'Parte financiera'!HX42</f>
        <v>0</v>
      </c>
      <c r="O42" s="383">
        <f>'Parte financiera'!Q42+'Parte financiera'!AE42+'Parte financiera'!AS42+'Parte financiera'!BG42+'Parte financiera'!BW42+'Parte financiera'!CK42+'Parte financiera'!CY42+'Parte financiera'!DM42+'Parte financiera'!EC42+'Parte financiera'!EQ42+'Parte financiera'!FE42+'Parte financiera'!FS42+'Parte financiera'!GI42+'Parte financiera'!GW42+'Parte financiera'!HK42+'Parte financiera'!HY42</f>
        <v>0</v>
      </c>
    </row>
    <row r="43" spans="1:15">
      <c r="A43" s="463" t="str">
        <f>IF('Parte Estrategica'!B43=0,"",'Parte Estrategica'!B43)</f>
        <v/>
      </c>
      <c r="B43" s="382" t="e">
        <f>'Parte financiera'!D43+'Parte financiera'!R43+'Parte financiera'!AF43+'Parte financiera'!AT43+'Parte financiera'!BJ43+'Parte financiera'!BX43+'Parte financiera'!CL43+'Parte financiera'!CZ43+'Parte financiera'!DP43+'Parte financiera'!ED43+'Parte financiera'!ER43+'Parte financiera'!FF43+'Parte financiera'!FV43+'Parte financiera'!GJ43+'Parte financiera'!GX43+'Parte financiera'!HL43</f>
        <v>#VALUE!</v>
      </c>
      <c r="C43" s="382">
        <f>'Parte financiera'!E43+'Parte financiera'!S43+'Parte financiera'!AG43+'Parte financiera'!AU43+'Parte financiera'!BK43+'Parte financiera'!BY43+'Parte financiera'!CM43+'Parte financiera'!DA43+'Parte financiera'!DQ43+'Parte financiera'!EE43+'Parte financiera'!ES43+'Parte financiera'!FG43+'Parte financiera'!FW43+'Parte financiera'!GK43+'Parte financiera'!GY43+'Parte financiera'!HM43</f>
        <v>0</v>
      </c>
      <c r="D43" s="382">
        <f>'Parte financiera'!F43+'Parte financiera'!T43+'Parte financiera'!AH43+'Parte financiera'!AV43+'Parte financiera'!BL43+'Parte financiera'!BZ43+'Parte financiera'!CN43+'Parte financiera'!DB43+'Parte financiera'!DR43+'Parte financiera'!EF43+'Parte financiera'!ET43+'Parte financiera'!FH43+'Parte financiera'!FX43+'Parte financiera'!GL43+'Parte financiera'!GZ43+'Parte financiera'!HN43</f>
        <v>0</v>
      </c>
      <c r="E43" s="382">
        <f>'Parte financiera'!G43+'Parte financiera'!U43+'Parte financiera'!AI43+'Parte financiera'!AW43+'Parte financiera'!BM43+'Parte financiera'!CA43+'Parte financiera'!CO43+'Parte financiera'!DC43+'Parte financiera'!DS43+'Parte financiera'!EG43+'Parte financiera'!EU43+'Parte financiera'!FI43+'Parte financiera'!FY43+'Parte financiera'!GM43+'Parte financiera'!HA43+'Parte financiera'!HO43</f>
        <v>0</v>
      </c>
      <c r="F43" s="382">
        <f>'Parte financiera'!H43+'Parte financiera'!V43+'Parte financiera'!AJ43+'Parte financiera'!AX43+'Parte financiera'!BN43+'Parte financiera'!CB43+'Parte financiera'!CP43+'Parte financiera'!DD43+'Parte financiera'!DT43+'Parte financiera'!EH43+'Parte financiera'!EV43+'Parte financiera'!FJ43+'Parte financiera'!FZ43+'Parte financiera'!GN43+'Parte financiera'!HB43+'Parte financiera'!HP43</f>
        <v>0</v>
      </c>
      <c r="G43" s="382">
        <f>'Parte financiera'!I43+'Parte financiera'!W43+'Parte financiera'!AK43+'Parte financiera'!AY43+'Parte financiera'!BO43+'Parte financiera'!CC43+'Parte financiera'!CQ43+'Parte financiera'!DE43+'Parte financiera'!DU43+'Parte financiera'!EI43+'Parte financiera'!EW43+'Parte financiera'!FK43+'Parte financiera'!GA43+'Parte financiera'!GO43+'Parte financiera'!HC43+'Parte financiera'!HQ43</f>
        <v>0</v>
      </c>
      <c r="H43" s="382">
        <f>'Parte financiera'!J43+'Parte financiera'!X43+'Parte financiera'!AL43+'Parte financiera'!AZ43+'Parte financiera'!BP43+'Parte financiera'!CD43+'Parte financiera'!CR43+'Parte financiera'!DF43+'Parte financiera'!DV43+'Parte financiera'!EJ43+'Parte financiera'!EX43+'Parte financiera'!FL43+'Parte financiera'!GB43+'Parte financiera'!GP43+'Parte financiera'!HD43+'Parte financiera'!HR43</f>
        <v>0</v>
      </c>
      <c r="I43" s="382">
        <f>'Parte financiera'!K43+'Parte financiera'!Y43+'Parte financiera'!AM43+'Parte financiera'!BA43+'Parte financiera'!BQ43+'Parte financiera'!CE43+'Parte financiera'!CS43+'Parte financiera'!DG43+'Parte financiera'!DW43+'Parte financiera'!EK43+'Parte financiera'!EY43+'Parte financiera'!FM43+'Parte financiera'!GC43+'Parte financiera'!GQ43+'Parte financiera'!HE43+'Parte financiera'!HS43</f>
        <v>0</v>
      </c>
      <c r="J43" s="382">
        <f>'Parte financiera'!L43+'Parte financiera'!Z43+'Parte financiera'!AN43+'Parte financiera'!BB43+'Parte financiera'!BR43+'Parte financiera'!CF43+'Parte financiera'!CT43+'Parte financiera'!DH43+'Parte financiera'!DX43+'Parte financiera'!EL43+'Parte financiera'!EZ43+'Parte financiera'!FN43+'Parte financiera'!GD43+'Parte financiera'!GR43+'Parte financiera'!HF43+'Parte financiera'!HT43</f>
        <v>0</v>
      </c>
      <c r="K43" s="382">
        <f>'Parte financiera'!M43+'Parte financiera'!AA43+'Parte financiera'!AO43+'Parte financiera'!BC43+'Parte financiera'!BS43+'Parte financiera'!CG43+'Parte financiera'!CU43+'Parte financiera'!DI43+'Parte financiera'!DY43+'Parte financiera'!EM43+'Parte financiera'!FA43+'Parte financiera'!FO43+'Parte financiera'!GE43+'Parte financiera'!GS43+'Parte financiera'!HG43+'Parte financiera'!HU43</f>
        <v>0</v>
      </c>
      <c r="L43" s="382">
        <f>'Parte financiera'!N43+'Parte financiera'!AB43+'Parte financiera'!AP43+'Parte financiera'!BD43+'Parte financiera'!BT43+'Parte financiera'!CH43+'Parte financiera'!CV43+'Parte financiera'!DJ43+'Parte financiera'!DZ43+'Parte financiera'!EN43+'Parte financiera'!FB43+'Parte financiera'!FP43+'Parte financiera'!GF43+'Parte financiera'!GT43+'Parte financiera'!HH43+'Parte financiera'!HV43</f>
        <v>0</v>
      </c>
      <c r="M43" s="382" t="e">
        <f>'Parte financiera'!O43+'Parte financiera'!AC43+'Parte financiera'!AQ43+'Parte financiera'!BE43+'Parte financiera'!BU43+'Parte financiera'!CI43+'Parte financiera'!CW43+'Parte financiera'!DK43+'Parte financiera'!EA43+'Parte financiera'!EO43+'Parte financiera'!FC43+'Parte financiera'!FQ43+'Parte financiera'!GG43+'Parte financiera'!GU43+'Parte financiera'!HI43+'Parte financiera'!HW43</f>
        <v>#VALUE!</v>
      </c>
      <c r="N43" s="382">
        <f>'Parte financiera'!P43+'Parte financiera'!AD43+'Parte financiera'!AR43+'Parte financiera'!BF43+'Parte financiera'!BV43+'Parte financiera'!CJ43+'Parte financiera'!CX43+'Parte financiera'!DL43+'Parte financiera'!EB43+'Parte financiera'!EP43+'Parte financiera'!FD43+'Parte financiera'!FR43+'Parte financiera'!GH43+'Parte financiera'!GV43+'Parte financiera'!HJ43+'Parte financiera'!HX43</f>
        <v>0</v>
      </c>
      <c r="O43" s="383">
        <f>'Parte financiera'!Q43+'Parte financiera'!AE43+'Parte financiera'!AS43+'Parte financiera'!BG43+'Parte financiera'!BW43+'Parte financiera'!CK43+'Parte financiera'!CY43+'Parte financiera'!DM43+'Parte financiera'!EC43+'Parte financiera'!EQ43+'Parte financiera'!FE43+'Parte financiera'!FS43+'Parte financiera'!GI43+'Parte financiera'!GW43+'Parte financiera'!HK43+'Parte financiera'!HY43</f>
        <v>0</v>
      </c>
    </row>
    <row r="44" spans="1:15">
      <c r="A44" s="463" t="str">
        <f>IF('Parte Estrategica'!B44=0,"",'Parte Estrategica'!B44)</f>
        <v/>
      </c>
      <c r="B44" s="382" t="e">
        <f>'Parte financiera'!D44+'Parte financiera'!R44+'Parte financiera'!AF44+'Parte financiera'!AT44+'Parte financiera'!BJ44+'Parte financiera'!BX44+'Parte financiera'!CL44+'Parte financiera'!CZ44+'Parte financiera'!DP44+'Parte financiera'!ED44+'Parte financiera'!ER44+'Parte financiera'!FF44+'Parte financiera'!FV44+'Parte financiera'!GJ44+'Parte financiera'!GX44+'Parte financiera'!HL44</f>
        <v>#VALUE!</v>
      </c>
      <c r="C44" s="382">
        <f>'Parte financiera'!E44+'Parte financiera'!S44+'Parte financiera'!AG44+'Parte financiera'!AU44+'Parte financiera'!BK44+'Parte financiera'!BY44+'Parte financiera'!CM44+'Parte financiera'!DA44+'Parte financiera'!DQ44+'Parte financiera'!EE44+'Parte financiera'!ES44+'Parte financiera'!FG44+'Parte financiera'!FW44+'Parte financiera'!GK44+'Parte financiera'!GY44+'Parte financiera'!HM44</f>
        <v>0</v>
      </c>
      <c r="D44" s="382">
        <f>'Parte financiera'!F44+'Parte financiera'!T44+'Parte financiera'!AH44+'Parte financiera'!AV44+'Parte financiera'!BL44+'Parte financiera'!BZ44+'Parte financiera'!CN44+'Parte financiera'!DB44+'Parte financiera'!DR44+'Parte financiera'!EF44+'Parte financiera'!ET44+'Parte financiera'!FH44+'Parte financiera'!FX44+'Parte financiera'!GL44+'Parte financiera'!GZ44+'Parte financiera'!HN44</f>
        <v>0</v>
      </c>
      <c r="E44" s="382">
        <f>'Parte financiera'!G44+'Parte financiera'!U44+'Parte financiera'!AI44+'Parte financiera'!AW44+'Parte financiera'!BM44+'Parte financiera'!CA44+'Parte financiera'!CO44+'Parte financiera'!DC44+'Parte financiera'!DS44+'Parte financiera'!EG44+'Parte financiera'!EU44+'Parte financiera'!FI44+'Parte financiera'!FY44+'Parte financiera'!GM44+'Parte financiera'!HA44+'Parte financiera'!HO44</f>
        <v>0</v>
      </c>
      <c r="F44" s="382">
        <f>'Parte financiera'!H44+'Parte financiera'!V44+'Parte financiera'!AJ44+'Parte financiera'!AX44+'Parte financiera'!BN44+'Parte financiera'!CB44+'Parte financiera'!CP44+'Parte financiera'!DD44+'Parte financiera'!DT44+'Parte financiera'!EH44+'Parte financiera'!EV44+'Parte financiera'!FJ44+'Parte financiera'!FZ44+'Parte financiera'!GN44+'Parte financiera'!HB44+'Parte financiera'!HP44</f>
        <v>0</v>
      </c>
      <c r="G44" s="382">
        <f>'Parte financiera'!I44+'Parte financiera'!W44+'Parte financiera'!AK44+'Parte financiera'!AY44+'Parte financiera'!BO44+'Parte financiera'!CC44+'Parte financiera'!CQ44+'Parte financiera'!DE44+'Parte financiera'!DU44+'Parte financiera'!EI44+'Parte financiera'!EW44+'Parte financiera'!FK44+'Parte financiera'!GA44+'Parte financiera'!GO44+'Parte financiera'!HC44+'Parte financiera'!HQ44</f>
        <v>0</v>
      </c>
      <c r="H44" s="382">
        <f>'Parte financiera'!J44+'Parte financiera'!X44+'Parte financiera'!AL44+'Parte financiera'!AZ44+'Parte financiera'!BP44+'Parte financiera'!CD44+'Parte financiera'!CR44+'Parte financiera'!DF44+'Parte financiera'!DV44+'Parte financiera'!EJ44+'Parte financiera'!EX44+'Parte financiera'!FL44+'Parte financiera'!GB44+'Parte financiera'!GP44+'Parte financiera'!HD44+'Parte financiera'!HR44</f>
        <v>0</v>
      </c>
      <c r="I44" s="382">
        <f>'Parte financiera'!K44+'Parte financiera'!Y44+'Parte financiera'!AM44+'Parte financiera'!BA44+'Parte financiera'!BQ44+'Parte financiera'!CE44+'Parte financiera'!CS44+'Parte financiera'!DG44+'Parte financiera'!DW44+'Parte financiera'!EK44+'Parte financiera'!EY44+'Parte financiera'!FM44+'Parte financiera'!GC44+'Parte financiera'!GQ44+'Parte financiera'!HE44+'Parte financiera'!HS44</f>
        <v>0</v>
      </c>
      <c r="J44" s="382">
        <f>'Parte financiera'!L44+'Parte financiera'!Z44+'Parte financiera'!AN44+'Parte financiera'!BB44+'Parte financiera'!BR44+'Parte financiera'!CF44+'Parte financiera'!CT44+'Parte financiera'!DH44+'Parte financiera'!DX44+'Parte financiera'!EL44+'Parte financiera'!EZ44+'Parte financiera'!FN44+'Parte financiera'!GD44+'Parte financiera'!GR44+'Parte financiera'!HF44+'Parte financiera'!HT44</f>
        <v>0</v>
      </c>
      <c r="K44" s="382">
        <f>'Parte financiera'!M44+'Parte financiera'!AA44+'Parte financiera'!AO44+'Parte financiera'!BC44+'Parte financiera'!BS44+'Parte financiera'!CG44+'Parte financiera'!CU44+'Parte financiera'!DI44+'Parte financiera'!DY44+'Parte financiera'!EM44+'Parte financiera'!FA44+'Parte financiera'!FO44+'Parte financiera'!GE44+'Parte financiera'!GS44+'Parte financiera'!HG44+'Parte financiera'!HU44</f>
        <v>0</v>
      </c>
      <c r="L44" s="382">
        <f>'Parte financiera'!N44+'Parte financiera'!AB44+'Parte financiera'!AP44+'Parte financiera'!BD44+'Parte financiera'!BT44+'Parte financiera'!CH44+'Parte financiera'!CV44+'Parte financiera'!DJ44+'Parte financiera'!DZ44+'Parte financiera'!EN44+'Parte financiera'!FB44+'Parte financiera'!FP44+'Parte financiera'!GF44+'Parte financiera'!GT44+'Parte financiera'!HH44+'Parte financiera'!HV44</f>
        <v>0</v>
      </c>
      <c r="M44" s="382" t="e">
        <f>'Parte financiera'!O44+'Parte financiera'!AC44+'Parte financiera'!AQ44+'Parte financiera'!BE44+'Parte financiera'!BU44+'Parte financiera'!CI44+'Parte financiera'!CW44+'Parte financiera'!DK44+'Parte financiera'!EA44+'Parte financiera'!EO44+'Parte financiera'!FC44+'Parte financiera'!FQ44+'Parte financiera'!GG44+'Parte financiera'!GU44+'Parte financiera'!HI44+'Parte financiera'!HW44</f>
        <v>#VALUE!</v>
      </c>
      <c r="N44" s="382">
        <f>'Parte financiera'!P44+'Parte financiera'!AD44+'Parte financiera'!AR44+'Parte financiera'!BF44+'Parte financiera'!BV44+'Parte financiera'!CJ44+'Parte financiera'!CX44+'Parte financiera'!DL44+'Parte financiera'!EB44+'Parte financiera'!EP44+'Parte financiera'!FD44+'Parte financiera'!FR44+'Parte financiera'!GH44+'Parte financiera'!GV44+'Parte financiera'!HJ44+'Parte financiera'!HX44</f>
        <v>0</v>
      </c>
      <c r="O44" s="383">
        <f>'Parte financiera'!Q44+'Parte financiera'!AE44+'Parte financiera'!AS44+'Parte financiera'!BG44+'Parte financiera'!BW44+'Parte financiera'!CK44+'Parte financiera'!CY44+'Parte financiera'!DM44+'Parte financiera'!EC44+'Parte financiera'!EQ44+'Parte financiera'!FE44+'Parte financiera'!FS44+'Parte financiera'!GI44+'Parte financiera'!GW44+'Parte financiera'!HK44+'Parte financiera'!HY44</f>
        <v>0</v>
      </c>
    </row>
    <row r="45" spans="1:15">
      <c r="A45" s="463" t="str">
        <f>IF('Parte Estrategica'!B45=0,"",'Parte Estrategica'!B45)</f>
        <v/>
      </c>
      <c r="B45" s="382" t="e">
        <f>'Parte financiera'!D45+'Parte financiera'!R45+'Parte financiera'!AF45+'Parte financiera'!AT45+'Parte financiera'!BJ45+'Parte financiera'!BX45+'Parte financiera'!CL45+'Parte financiera'!CZ45+'Parte financiera'!DP45+'Parte financiera'!ED45+'Parte financiera'!ER45+'Parte financiera'!FF45+'Parte financiera'!FV45+'Parte financiera'!GJ45+'Parte financiera'!GX45+'Parte financiera'!HL45</f>
        <v>#VALUE!</v>
      </c>
      <c r="C45" s="382">
        <f>'Parte financiera'!E45+'Parte financiera'!S45+'Parte financiera'!AG45+'Parte financiera'!AU45+'Parte financiera'!BK45+'Parte financiera'!BY45+'Parte financiera'!CM45+'Parte financiera'!DA45+'Parte financiera'!DQ45+'Parte financiera'!EE45+'Parte financiera'!ES45+'Parte financiera'!FG45+'Parte financiera'!FW45+'Parte financiera'!GK45+'Parte financiera'!GY45+'Parte financiera'!HM45</f>
        <v>0</v>
      </c>
      <c r="D45" s="382">
        <f>'Parte financiera'!F45+'Parte financiera'!T45+'Parte financiera'!AH45+'Parte financiera'!AV45+'Parte financiera'!BL45+'Parte financiera'!BZ45+'Parte financiera'!CN45+'Parte financiera'!DB45+'Parte financiera'!DR45+'Parte financiera'!EF45+'Parte financiera'!ET45+'Parte financiera'!FH45+'Parte financiera'!FX45+'Parte financiera'!GL45+'Parte financiera'!GZ45+'Parte financiera'!HN45</f>
        <v>0</v>
      </c>
      <c r="E45" s="382">
        <f>'Parte financiera'!G45+'Parte financiera'!U45+'Parte financiera'!AI45+'Parte financiera'!AW45+'Parte financiera'!BM45+'Parte financiera'!CA45+'Parte financiera'!CO45+'Parte financiera'!DC45+'Parte financiera'!DS45+'Parte financiera'!EG45+'Parte financiera'!EU45+'Parte financiera'!FI45+'Parte financiera'!FY45+'Parte financiera'!GM45+'Parte financiera'!HA45+'Parte financiera'!HO45</f>
        <v>0</v>
      </c>
      <c r="F45" s="382">
        <f>'Parte financiera'!H45+'Parte financiera'!V45+'Parte financiera'!AJ45+'Parte financiera'!AX45+'Parte financiera'!BN45+'Parte financiera'!CB45+'Parte financiera'!CP45+'Parte financiera'!DD45+'Parte financiera'!DT45+'Parte financiera'!EH45+'Parte financiera'!EV45+'Parte financiera'!FJ45+'Parte financiera'!FZ45+'Parte financiera'!GN45+'Parte financiera'!HB45+'Parte financiera'!HP45</f>
        <v>0</v>
      </c>
      <c r="G45" s="382">
        <f>'Parte financiera'!I45+'Parte financiera'!W45+'Parte financiera'!AK45+'Parte financiera'!AY45+'Parte financiera'!BO45+'Parte financiera'!CC45+'Parte financiera'!CQ45+'Parte financiera'!DE45+'Parte financiera'!DU45+'Parte financiera'!EI45+'Parte financiera'!EW45+'Parte financiera'!FK45+'Parte financiera'!GA45+'Parte financiera'!GO45+'Parte financiera'!HC45+'Parte financiera'!HQ45</f>
        <v>0</v>
      </c>
      <c r="H45" s="382">
        <f>'Parte financiera'!J45+'Parte financiera'!X45+'Parte financiera'!AL45+'Parte financiera'!AZ45+'Parte financiera'!BP45+'Parte financiera'!CD45+'Parte financiera'!CR45+'Parte financiera'!DF45+'Parte financiera'!DV45+'Parte financiera'!EJ45+'Parte financiera'!EX45+'Parte financiera'!FL45+'Parte financiera'!GB45+'Parte financiera'!GP45+'Parte financiera'!HD45+'Parte financiera'!HR45</f>
        <v>0</v>
      </c>
      <c r="I45" s="382">
        <f>'Parte financiera'!K45+'Parte financiera'!Y45+'Parte financiera'!AM45+'Parte financiera'!BA45+'Parte financiera'!BQ45+'Parte financiera'!CE45+'Parte financiera'!CS45+'Parte financiera'!DG45+'Parte financiera'!DW45+'Parte financiera'!EK45+'Parte financiera'!EY45+'Parte financiera'!FM45+'Parte financiera'!GC45+'Parte financiera'!GQ45+'Parte financiera'!HE45+'Parte financiera'!HS45</f>
        <v>0</v>
      </c>
      <c r="J45" s="382">
        <f>'Parte financiera'!L45+'Parte financiera'!Z45+'Parte financiera'!AN45+'Parte financiera'!BB45+'Parte financiera'!BR45+'Parte financiera'!CF45+'Parte financiera'!CT45+'Parte financiera'!DH45+'Parte financiera'!DX45+'Parte financiera'!EL45+'Parte financiera'!EZ45+'Parte financiera'!FN45+'Parte financiera'!GD45+'Parte financiera'!GR45+'Parte financiera'!HF45+'Parte financiera'!HT45</f>
        <v>0</v>
      </c>
      <c r="K45" s="382">
        <f>'Parte financiera'!M45+'Parte financiera'!AA45+'Parte financiera'!AO45+'Parte financiera'!BC45+'Parte financiera'!BS45+'Parte financiera'!CG45+'Parte financiera'!CU45+'Parte financiera'!DI45+'Parte financiera'!DY45+'Parte financiera'!EM45+'Parte financiera'!FA45+'Parte financiera'!FO45+'Parte financiera'!GE45+'Parte financiera'!GS45+'Parte financiera'!HG45+'Parte financiera'!HU45</f>
        <v>0</v>
      </c>
      <c r="L45" s="382">
        <f>'Parte financiera'!N45+'Parte financiera'!AB45+'Parte financiera'!AP45+'Parte financiera'!BD45+'Parte financiera'!BT45+'Parte financiera'!CH45+'Parte financiera'!CV45+'Parte financiera'!DJ45+'Parte financiera'!DZ45+'Parte financiera'!EN45+'Parte financiera'!FB45+'Parte financiera'!FP45+'Parte financiera'!GF45+'Parte financiera'!GT45+'Parte financiera'!HH45+'Parte financiera'!HV45</f>
        <v>0</v>
      </c>
      <c r="M45" s="382" t="e">
        <f>'Parte financiera'!O45+'Parte financiera'!AC45+'Parte financiera'!AQ45+'Parte financiera'!BE45+'Parte financiera'!BU45+'Parte financiera'!CI45+'Parte financiera'!CW45+'Parte financiera'!DK45+'Parte financiera'!EA45+'Parte financiera'!EO45+'Parte financiera'!FC45+'Parte financiera'!FQ45+'Parte financiera'!GG45+'Parte financiera'!GU45+'Parte financiera'!HI45+'Parte financiera'!HW45</f>
        <v>#VALUE!</v>
      </c>
      <c r="N45" s="382">
        <f>'Parte financiera'!P45+'Parte financiera'!AD45+'Parte financiera'!AR45+'Parte financiera'!BF45+'Parte financiera'!BV45+'Parte financiera'!CJ45+'Parte financiera'!CX45+'Parte financiera'!DL45+'Parte financiera'!EB45+'Parte financiera'!EP45+'Parte financiera'!FD45+'Parte financiera'!FR45+'Parte financiera'!GH45+'Parte financiera'!GV45+'Parte financiera'!HJ45+'Parte financiera'!HX45</f>
        <v>0</v>
      </c>
      <c r="O45" s="383">
        <f>'Parte financiera'!Q45+'Parte financiera'!AE45+'Parte financiera'!AS45+'Parte financiera'!BG45+'Parte financiera'!BW45+'Parte financiera'!CK45+'Parte financiera'!CY45+'Parte financiera'!DM45+'Parte financiera'!EC45+'Parte financiera'!EQ45+'Parte financiera'!FE45+'Parte financiera'!FS45+'Parte financiera'!GI45+'Parte financiera'!GW45+'Parte financiera'!HK45+'Parte financiera'!HY45</f>
        <v>0</v>
      </c>
    </row>
    <row r="46" spans="1:15">
      <c r="A46" s="463" t="str">
        <f>IF('Parte Estrategica'!B46=0,"",'Parte Estrategica'!B46)</f>
        <v/>
      </c>
      <c r="B46" s="382" t="e">
        <f>'Parte financiera'!D46+'Parte financiera'!R46+'Parte financiera'!AF46+'Parte financiera'!AT46+'Parte financiera'!BJ46+'Parte financiera'!BX46+'Parte financiera'!CL46+'Parte financiera'!CZ46+'Parte financiera'!DP46+'Parte financiera'!ED46+'Parte financiera'!ER46+'Parte financiera'!FF46+'Parte financiera'!FV46+'Parte financiera'!GJ46+'Parte financiera'!GX46+'Parte financiera'!HL46</f>
        <v>#VALUE!</v>
      </c>
      <c r="C46" s="382">
        <f>'Parte financiera'!E46+'Parte financiera'!S46+'Parte financiera'!AG46+'Parte financiera'!AU46+'Parte financiera'!BK46+'Parte financiera'!BY46+'Parte financiera'!CM46+'Parte financiera'!DA46+'Parte financiera'!DQ46+'Parte financiera'!EE46+'Parte financiera'!ES46+'Parte financiera'!FG46+'Parte financiera'!FW46+'Parte financiera'!GK46+'Parte financiera'!GY46+'Parte financiera'!HM46</f>
        <v>0</v>
      </c>
      <c r="D46" s="382">
        <f>'Parte financiera'!F46+'Parte financiera'!T46+'Parte financiera'!AH46+'Parte financiera'!AV46+'Parte financiera'!BL46+'Parte financiera'!BZ46+'Parte financiera'!CN46+'Parte financiera'!DB46+'Parte financiera'!DR46+'Parte financiera'!EF46+'Parte financiera'!ET46+'Parte financiera'!FH46+'Parte financiera'!FX46+'Parte financiera'!GL46+'Parte financiera'!GZ46+'Parte financiera'!HN46</f>
        <v>0</v>
      </c>
      <c r="E46" s="382">
        <f>'Parte financiera'!G46+'Parte financiera'!U46+'Parte financiera'!AI46+'Parte financiera'!AW46+'Parte financiera'!BM46+'Parte financiera'!CA46+'Parte financiera'!CO46+'Parte financiera'!DC46+'Parte financiera'!DS46+'Parte financiera'!EG46+'Parte financiera'!EU46+'Parte financiera'!FI46+'Parte financiera'!FY46+'Parte financiera'!GM46+'Parte financiera'!HA46+'Parte financiera'!HO46</f>
        <v>0</v>
      </c>
      <c r="F46" s="382">
        <f>'Parte financiera'!H46+'Parte financiera'!V46+'Parte financiera'!AJ46+'Parte financiera'!AX46+'Parte financiera'!BN46+'Parte financiera'!CB46+'Parte financiera'!CP46+'Parte financiera'!DD46+'Parte financiera'!DT46+'Parte financiera'!EH46+'Parte financiera'!EV46+'Parte financiera'!FJ46+'Parte financiera'!FZ46+'Parte financiera'!GN46+'Parte financiera'!HB46+'Parte financiera'!HP46</f>
        <v>0</v>
      </c>
      <c r="G46" s="382">
        <f>'Parte financiera'!I46+'Parte financiera'!W46+'Parte financiera'!AK46+'Parte financiera'!AY46+'Parte financiera'!BO46+'Parte financiera'!CC46+'Parte financiera'!CQ46+'Parte financiera'!DE46+'Parte financiera'!DU46+'Parte financiera'!EI46+'Parte financiera'!EW46+'Parte financiera'!FK46+'Parte financiera'!GA46+'Parte financiera'!GO46+'Parte financiera'!HC46+'Parte financiera'!HQ46</f>
        <v>0</v>
      </c>
      <c r="H46" s="382">
        <f>'Parte financiera'!J46+'Parte financiera'!X46+'Parte financiera'!AL46+'Parte financiera'!AZ46+'Parte financiera'!BP46+'Parte financiera'!CD46+'Parte financiera'!CR46+'Parte financiera'!DF46+'Parte financiera'!DV46+'Parte financiera'!EJ46+'Parte financiera'!EX46+'Parte financiera'!FL46+'Parte financiera'!GB46+'Parte financiera'!GP46+'Parte financiera'!HD46+'Parte financiera'!HR46</f>
        <v>0</v>
      </c>
      <c r="I46" s="382">
        <f>'Parte financiera'!K46+'Parte financiera'!Y46+'Parte financiera'!AM46+'Parte financiera'!BA46+'Parte financiera'!BQ46+'Parte financiera'!CE46+'Parte financiera'!CS46+'Parte financiera'!DG46+'Parte financiera'!DW46+'Parte financiera'!EK46+'Parte financiera'!EY46+'Parte financiera'!FM46+'Parte financiera'!GC46+'Parte financiera'!GQ46+'Parte financiera'!HE46+'Parte financiera'!HS46</f>
        <v>0</v>
      </c>
      <c r="J46" s="382">
        <f>'Parte financiera'!L46+'Parte financiera'!Z46+'Parte financiera'!AN46+'Parte financiera'!BB46+'Parte financiera'!BR46+'Parte financiera'!CF46+'Parte financiera'!CT46+'Parte financiera'!DH46+'Parte financiera'!DX46+'Parte financiera'!EL46+'Parte financiera'!EZ46+'Parte financiera'!FN46+'Parte financiera'!GD46+'Parte financiera'!GR46+'Parte financiera'!HF46+'Parte financiera'!HT46</f>
        <v>0</v>
      </c>
      <c r="K46" s="382">
        <f>'Parte financiera'!M46+'Parte financiera'!AA46+'Parte financiera'!AO46+'Parte financiera'!BC46+'Parte financiera'!BS46+'Parte financiera'!CG46+'Parte financiera'!CU46+'Parte financiera'!DI46+'Parte financiera'!DY46+'Parte financiera'!EM46+'Parte financiera'!FA46+'Parte financiera'!FO46+'Parte financiera'!GE46+'Parte financiera'!GS46+'Parte financiera'!HG46+'Parte financiera'!HU46</f>
        <v>0</v>
      </c>
      <c r="L46" s="382">
        <f>'Parte financiera'!N46+'Parte financiera'!AB46+'Parte financiera'!AP46+'Parte financiera'!BD46+'Parte financiera'!BT46+'Parte financiera'!CH46+'Parte financiera'!CV46+'Parte financiera'!DJ46+'Parte financiera'!DZ46+'Parte financiera'!EN46+'Parte financiera'!FB46+'Parte financiera'!FP46+'Parte financiera'!GF46+'Parte financiera'!GT46+'Parte financiera'!HH46+'Parte financiera'!HV46</f>
        <v>0</v>
      </c>
      <c r="M46" s="382" t="e">
        <f>'Parte financiera'!O46+'Parte financiera'!AC46+'Parte financiera'!AQ46+'Parte financiera'!BE46+'Parte financiera'!BU46+'Parte financiera'!CI46+'Parte financiera'!CW46+'Parte financiera'!DK46+'Parte financiera'!EA46+'Parte financiera'!EO46+'Parte financiera'!FC46+'Parte financiera'!FQ46+'Parte financiera'!GG46+'Parte financiera'!GU46+'Parte financiera'!HI46+'Parte financiera'!HW46</f>
        <v>#VALUE!</v>
      </c>
      <c r="N46" s="382">
        <f>'Parte financiera'!P46+'Parte financiera'!AD46+'Parte financiera'!AR46+'Parte financiera'!BF46+'Parte financiera'!BV46+'Parte financiera'!CJ46+'Parte financiera'!CX46+'Parte financiera'!DL46+'Parte financiera'!EB46+'Parte financiera'!EP46+'Parte financiera'!FD46+'Parte financiera'!FR46+'Parte financiera'!GH46+'Parte financiera'!GV46+'Parte financiera'!HJ46+'Parte financiera'!HX46</f>
        <v>0</v>
      </c>
      <c r="O46" s="383">
        <f>'Parte financiera'!Q46+'Parte financiera'!AE46+'Parte financiera'!AS46+'Parte financiera'!BG46+'Parte financiera'!BW46+'Parte financiera'!CK46+'Parte financiera'!CY46+'Parte financiera'!DM46+'Parte financiera'!EC46+'Parte financiera'!EQ46+'Parte financiera'!FE46+'Parte financiera'!FS46+'Parte financiera'!GI46+'Parte financiera'!GW46+'Parte financiera'!HK46+'Parte financiera'!HY46</f>
        <v>0</v>
      </c>
    </row>
    <row r="47" spans="1:15">
      <c r="A47" s="463" t="str">
        <f>IF('Parte Estrategica'!B47=0,"",'Parte Estrategica'!B47)</f>
        <v/>
      </c>
      <c r="B47" s="382" t="e">
        <f>'Parte financiera'!D47+'Parte financiera'!R47+'Parte financiera'!AF47+'Parte financiera'!AT47+'Parte financiera'!BJ47+'Parte financiera'!BX47+'Parte financiera'!CL47+'Parte financiera'!CZ47+'Parte financiera'!DP47+'Parte financiera'!ED47+'Parte financiera'!ER47+'Parte financiera'!FF47+'Parte financiera'!FV47+'Parte financiera'!GJ47+'Parte financiera'!GX47+'Parte financiera'!HL47</f>
        <v>#VALUE!</v>
      </c>
      <c r="C47" s="382">
        <f>'Parte financiera'!E47+'Parte financiera'!S47+'Parte financiera'!AG47+'Parte financiera'!AU47+'Parte financiera'!BK47+'Parte financiera'!BY47+'Parte financiera'!CM47+'Parte financiera'!DA47+'Parte financiera'!DQ47+'Parte financiera'!EE47+'Parte financiera'!ES47+'Parte financiera'!FG47+'Parte financiera'!FW47+'Parte financiera'!GK47+'Parte financiera'!GY47+'Parte financiera'!HM47</f>
        <v>0</v>
      </c>
      <c r="D47" s="382">
        <f>'Parte financiera'!F47+'Parte financiera'!T47+'Parte financiera'!AH47+'Parte financiera'!AV47+'Parte financiera'!BL47+'Parte financiera'!BZ47+'Parte financiera'!CN47+'Parte financiera'!DB47+'Parte financiera'!DR47+'Parte financiera'!EF47+'Parte financiera'!ET47+'Parte financiera'!FH47+'Parte financiera'!FX47+'Parte financiera'!GL47+'Parte financiera'!GZ47+'Parte financiera'!HN47</f>
        <v>0</v>
      </c>
      <c r="E47" s="382">
        <f>'Parte financiera'!G47+'Parte financiera'!U47+'Parte financiera'!AI47+'Parte financiera'!AW47+'Parte financiera'!BM47+'Parte financiera'!CA47+'Parte financiera'!CO47+'Parte financiera'!DC47+'Parte financiera'!DS47+'Parte financiera'!EG47+'Parte financiera'!EU47+'Parte financiera'!FI47+'Parte financiera'!FY47+'Parte financiera'!GM47+'Parte financiera'!HA47+'Parte financiera'!HO47</f>
        <v>0</v>
      </c>
      <c r="F47" s="382">
        <f>'Parte financiera'!H47+'Parte financiera'!V47+'Parte financiera'!AJ47+'Parte financiera'!AX47+'Parte financiera'!BN47+'Parte financiera'!CB47+'Parte financiera'!CP47+'Parte financiera'!DD47+'Parte financiera'!DT47+'Parte financiera'!EH47+'Parte financiera'!EV47+'Parte financiera'!FJ47+'Parte financiera'!FZ47+'Parte financiera'!GN47+'Parte financiera'!HB47+'Parte financiera'!HP47</f>
        <v>0</v>
      </c>
      <c r="G47" s="382">
        <f>'Parte financiera'!I47+'Parte financiera'!W47+'Parte financiera'!AK47+'Parte financiera'!AY47+'Parte financiera'!BO47+'Parte financiera'!CC47+'Parte financiera'!CQ47+'Parte financiera'!DE47+'Parte financiera'!DU47+'Parte financiera'!EI47+'Parte financiera'!EW47+'Parte financiera'!FK47+'Parte financiera'!GA47+'Parte financiera'!GO47+'Parte financiera'!HC47+'Parte financiera'!HQ47</f>
        <v>0</v>
      </c>
      <c r="H47" s="382">
        <f>'Parte financiera'!J47+'Parte financiera'!X47+'Parte financiera'!AL47+'Parte financiera'!AZ47+'Parte financiera'!BP47+'Parte financiera'!CD47+'Parte financiera'!CR47+'Parte financiera'!DF47+'Parte financiera'!DV47+'Parte financiera'!EJ47+'Parte financiera'!EX47+'Parte financiera'!FL47+'Parte financiera'!GB47+'Parte financiera'!GP47+'Parte financiera'!HD47+'Parte financiera'!HR47</f>
        <v>0</v>
      </c>
      <c r="I47" s="382">
        <f>'Parte financiera'!K47+'Parte financiera'!Y47+'Parte financiera'!AM47+'Parte financiera'!BA47+'Parte financiera'!BQ47+'Parte financiera'!CE47+'Parte financiera'!CS47+'Parte financiera'!DG47+'Parte financiera'!DW47+'Parte financiera'!EK47+'Parte financiera'!EY47+'Parte financiera'!FM47+'Parte financiera'!GC47+'Parte financiera'!GQ47+'Parte financiera'!HE47+'Parte financiera'!HS47</f>
        <v>0</v>
      </c>
      <c r="J47" s="382">
        <f>'Parte financiera'!L47+'Parte financiera'!Z47+'Parte financiera'!AN47+'Parte financiera'!BB47+'Parte financiera'!BR47+'Parte financiera'!CF47+'Parte financiera'!CT47+'Parte financiera'!DH47+'Parte financiera'!DX47+'Parte financiera'!EL47+'Parte financiera'!EZ47+'Parte financiera'!FN47+'Parte financiera'!GD47+'Parte financiera'!GR47+'Parte financiera'!HF47+'Parte financiera'!HT47</f>
        <v>0</v>
      </c>
      <c r="K47" s="382">
        <f>'Parte financiera'!M47+'Parte financiera'!AA47+'Parte financiera'!AO47+'Parte financiera'!BC47+'Parte financiera'!BS47+'Parte financiera'!CG47+'Parte financiera'!CU47+'Parte financiera'!DI47+'Parte financiera'!DY47+'Parte financiera'!EM47+'Parte financiera'!FA47+'Parte financiera'!FO47+'Parte financiera'!GE47+'Parte financiera'!GS47+'Parte financiera'!HG47+'Parte financiera'!HU47</f>
        <v>0</v>
      </c>
      <c r="L47" s="382">
        <f>'Parte financiera'!N47+'Parte financiera'!AB47+'Parte financiera'!AP47+'Parte financiera'!BD47+'Parte financiera'!BT47+'Parte financiera'!CH47+'Parte financiera'!CV47+'Parte financiera'!DJ47+'Parte financiera'!DZ47+'Parte financiera'!EN47+'Parte financiera'!FB47+'Parte financiera'!FP47+'Parte financiera'!GF47+'Parte financiera'!GT47+'Parte financiera'!HH47+'Parte financiera'!HV47</f>
        <v>0</v>
      </c>
      <c r="M47" s="382" t="e">
        <f>'Parte financiera'!O47+'Parte financiera'!AC47+'Parte financiera'!AQ47+'Parte financiera'!BE47+'Parte financiera'!BU47+'Parte financiera'!CI47+'Parte financiera'!CW47+'Parte financiera'!DK47+'Parte financiera'!EA47+'Parte financiera'!EO47+'Parte financiera'!FC47+'Parte financiera'!FQ47+'Parte financiera'!GG47+'Parte financiera'!GU47+'Parte financiera'!HI47+'Parte financiera'!HW47</f>
        <v>#VALUE!</v>
      </c>
      <c r="N47" s="382">
        <f>'Parte financiera'!P47+'Parte financiera'!AD47+'Parte financiera'!AR47+'Parte financiera'!BF47+'Parte financiera'!BV47+'Parte financiera'!CJ47+'Parte financiera'!CX47+'Parte financiera'!DL47+'Parte financiera'!EB47+'Parte financiera'!EP47+'Parte financiera'!FD47+'Parte financiera'!FR47+'Parte financiera'!GH47+'Parte financiera'!GV47+'Parte financiera'!HJ47+'Parte financiera'!HX47</f>
        <v>0</v>
      </c>
      <c r="O47" s="383">
        <f>'Parte financiera'!Q47+'Parte financiera'!AE47+'Parte financiera'!AS47+'Parte financiera'!BG47+'Parte financiera'!BW47+'Parte financiera'!CK47+'Parte financiera'!CY47+'Parte financiera'!DM47+'Parte financiera'!EC47+'Parte financiera'!EQ47+'Parte financiera'!FE47+'Parte financiera'!FS47+'Parte financiera'!GI47+'Parte financiera'!GW47+'Parte financiera'!HK47+'Parte financiera'!HY47</f>
        <v>0</v>
      </c>
    </row>
    <row r="48" spans="1:15">
      <c r="A48" s="463" t="str">
        <f>IF('Parte Estrategica'!B48=0,"",'Parte Estrategica'!B48)</f>
        <v/>
      </c>
      <c r="B48" s="382" t="e">
        <f>'Parte financiera'!D48+'Parte financiera'!R48+'Parte financiera'!AF48+'Parte financiera'!AT48+'Parte financiera'!BJ48+'Parte financiera'!BX48+'Parte financiera'!CL48+'Parte financiera'!CZ48+'Parte financiera'!DP48+'Parte financiera'!ED48+'Parte financiera'!ER48+'Parte financiera'!FF48+'Parte financiera'!FV48+'Parte financiera'!GJ48+'Parte financiera'!GX48+'Parte financiera'!HL48</f>
        <v>#VALUE!</v>
      </c>
      <c r="C48" s="382">
        <f>'Parte financiera'!E48+'Parte financiera'!S48+'Parte financiera'!AG48+'Parte financiera'!AU48+'Parte financiera'!BK48+'Parte financiera'!BY48+'Parte financiera'!CM48+'Parte financiera'!DA48+'Parte financiera'!DQ48+'Parte financiera'!EE48+'Parte financiera'!ES48+'Parte financiera'!FG48+'Parte financiera'!FW48+'Parte financiera'!GK48+'Parte financiera'!GY48+'Parte financiera'!HM48</f>
        <v>0</v>
      </c>
      <c r="D48" s="382">
        <f>'Parte financiera'!F48+'Parte financiera'!T48+'Parte financiera'!AH48+'Parte financiera'!AV48+'Parte financiera'!BL48+'Parte financiera'!BZ48+'Parte financiera'!CN48+'Parte financiera'!DB48+'Parte financiera'!DR48+'Parte financiera'!EF48+'Parte financiera'!ET48+'Parte financiera'!FH48+'Parte financiera'!FX48+'Parte financiera'!GL48+'Parte financiera'!GZ48+'Parte financiera'!HN48</f>
        <v>0</v>
      </c>
      <c r="E48" s="382">
        <f>'Parte financiera'!G48+'Parte financiera'!U48+'Parte financiera'!AI48+'Parte financiera'!AW48+'Parte financiera'!BM48+'Parte financiera'!CA48+'Parte financiera'!CO48+'Parte financiera'!DC48+'Parte financiera'!DS48+'Parte financiera'!EG48+'Parte financiera'!EU48+'Parte financiera'!FI48+'Parte financiera'!FY48+'Parte financiera'!GM48+'Parte financiera'!HA48+'Parte financiera'!HO48</f>
        <v>0</v>
      </c>
      <c r="F48" s="382">
        <f>'Parte financiera'!H48+'Parte financiera'!V48+'Parte financiera'!AJ48+'Parte financiera'!AX48+'Parte financiera'!BN48+'Parte financiera'!CB48+'Parte financiera'!CP48+'Parte financiera'!DD48+'Parte financiera'!DT48+'Parte financiera'!EH48+'Parte financiera'!EV48+'Parte financiera'!FJ48+'Parte financiera'!FZ48+'Parte financiera'!GN48+'Parte financiera'!HB48+'Parte financiera'!HP48</f>
        <v>0</v>
      </c>
      <c r="G48" s="382">
        <f>'Parte financiera'!I48+'Parte financiera'!W48+'Parte financiera'!AK48+'Parte financiera'!AY48+'Parte financiera'!BO48+'Parte financiera'!CC48+'Parte financiera'!CQ48+'Parte financiera'!DE48+'Parte financiera'!DU48+'Parte financiera'!EI48+'Parte financiera'!EW48+'Parte financiera'!FK48+'Parte financiera'!GA48+'Parte financiera'!GO48+'Parte financiera'!HC48+'Parte financiera'!HQ48</f>
        <v>0</v>
      </c>
      <c r="H48" s="382">
        <f>'Parte financiera'!J48+'Parte financiera'!X48+'Parte financiera'!AL48+'Parte financiera'!AZ48+'Parte financiera'!BP48+'Parte financiera'!CD48+'Parte financiera'!CR48+'Parte financiera'!DF48+'Parte financiera'!DV48+'Parte financiera'!EJ48+'Parte financiera'!EX48+'Parte financiera'!FL48+'Parte financiera'!GB48+'Parte financiera'!GP48+'Parte financiera'!HD48+'Parte financiera'!HR48</f>
        <v>0</v>
      </c>
      <c r="I48" s="382">
        <f>'Parte financiera'!K48+'Parte financiera'!Y48+'Parte financiera'!AM48+'Parte financiera'!BA48+'Parte financiera'!BQ48+'Parte financiera'!CE48+'Parte financiera'!CS48+'Parte financiera'!DG48+'Parte financiera'!DW48+'Parte financiera'!EK48+'Parte financiera'!EY48+'Parte financiera'!FM48+'Parte financiera'!GC48+'Parte financiera'!GQ48+'Parte financiera'!HE48+'Parte financiera'!HS48</f>
        <v>0</v>
      </c>
      <c r="J48" s="382">
        <f>'Parte financiera'!L48+'Parte financiera'!Z48+'Parte financiera'!AN48+'Parte financiera'!BB48+'Parte financiera'!BR48+'Parte financiera'!CF48+'Parte financiera'!CT48+'Parte financiera'!DH48+'Parte financiera'!DX48+'Parte financiera'!EL48+'Parte financiera'!EZ48+'Parte financiera'!FN48+'Parte financiera'!GD48+'Parte financiera'!GR48+'Parte financiera'!HF48+'Parte financiera'!HT48</f>
        <v>0</v>
      </c>
      <c r="K48" s="382">
        <f>'Parte financiera'!M48+'Parte financiera'!AA48+'Parte financiera'!AO48+'Parte financiera'!BC48+'Parte financiera'!BS48+'Parte financiera'!CG48+'Parte financiera'!CU48+'Parte financiera'!DI48+'Parte financiera'!DY48+'Parte financiera'!EM48+'Parte financiera'!FA48+'Parte financiera'!FO48+'Parte financiera'!GE48+'Parte financiera'!GS48+'Parte financiera'!HG48+'Parte financiera'!HU48</f>
        <v>0</v>
      </c>
      <c r="L48" s="382">
        <f>'Parte financiera'!N48+'Parte financiera'!AB48+'Parte financiera'!AP48+'Parte financiera'!BD48+'Parte financiera'!BT48+'Parte financiera'!CH48+'Parte financiera'!CV48+'Parte financiera'!DJ48+'Parte financiera'!DZ48+'Parte financiera'!EN48+'Parte financiera'!FB48+'Parte financiera'!FP48+'Parte financiera'!GF48+'Parte financiera'!GT48+'Parte financiera'!HH48+'Parte financiera'!HV48</f>
        <v>0</v>
      </c>
      <c r="M48" s="382" t="e">
        <f>'Parte financiera'!O48+'Parte financiera'!AC48+'Parte financiera'!AQ48+'Parte financiera'!BE48+'Parte financiera'!BU48+'Parte financiera'!CI48+'Parte financiera'!CW48+'Parte financiera'!DK48+'Parte financiera'!EA48+'Parte financiera'!EO48+'Parte financiera'!FC48+'Parte financiera'!FQ48+'Parte financiera'!GG48+'Parte financiera'!GU48+'Parte financiera'!HI48+'Parte financiera'!HW48</f>
        <v>#VALUE!</v>
      </c>
      <c r="N48" s="382">
        <f>'Parte financiera'!P48+'Parte financiera'!AD48+'Parte financiera'!AR48+'Parte financiera'!BF48+'Parte financiera'!BV48+'Parte financiera'!CJ48+'Parte financiera'!CX48+'Parte financiera'!DL48+'Parte financiera'!EB48+'Parte financiera'!EP48+'Parte financiera'!FD48+'Parte financiera'!FR48+'Parte financiera'!GH48+'Parte financiera'!GV48+'Parte financiera'!HJ48+'Parte financiera'!HX48</f>
        <v>0</v>
      </c>
      <c r="O48" s="383">
        <f>'Parte financiera'!Q48+'Parte financiera'!AE48+'Parte financiera'!AS48+'Parte financiera'!BG48+'Parte financiera'!BW48+'Parte financiera'!CK48+'Parte financiera'!CY48+'Parte financiera'!DM48+'Parte financiera'!EC48+'Parte financiera'!EQ48+'Parte financiera'!FE48+'Parte financiera'!FS48+'Parte financiera'!GI48+'Parte financiera'!GW48+'Parte financiera'!HK48+'Parte financiera'!HY48</f>
        <v>0</v>
      </c>
    </row>
    <row r="49" spans="1:15">
      <c r="A49" s="463" t="str">
        <f>IF('Parte Estrategica'!B49=0,"",'Parte Estrategica'!B49)</f>
        <v/>
      </c>
      <c r="B49" s="382" t="e">
        <f>'Parte financiera'!D49+'Parte financiera'!R49+'Parte financiera'!AF49+'Parte financiera'!AT49+'Parte financiera'!BJ49+'Parte financiera'!BX49+'Parte financiera'!CL49+'Parte financiera'!CZ49+'Parte financiera'!DP49+'Parte financiera'!ED49+'Parte financiera'!ER49+'Parte financiera'!FF49+'Parte financiera'!FV49+'Parte financiera'!GJ49+'Parte financiera'!GX49+'Parte financiera'!HL49</f>
        <v>#VALUE!</v>
      </c>
      <c r="C49" s="382">
        <f>'Parte financiera'!E49+'Parte financiera'!S49+'Parte financiera'!AG49+'Parte financiera'!AU49+'Parte financiera'!BK49+'Parte financiera'!BY49+'Parte financiera'!CM49+'Parte financiera'!DA49+'Parte financiera'!DQ49+'Parte financiera'!EE49+'Parte financiera'!ES49+'Parte financiera'!FG49+'Parte financiera'!FW49+'Parte financiera'!GK49+'Parte financiera'!GY49+'Parte financiera'!HM49</f>
        <v>0</v>
      </c>
      <c r="D49" s="382">
        <f>'Parte financiera'!F49+'Parte financiera'!T49+'Parte financiera'!AH49+'Parte financiera'!AV49+'Parte financiera'!BL49+'Parte financiera'!BZ49+'Parte financiera'!CN49+'Parte financiera'!DB49+'Parte financiera'!DR49+'Parte financiera'!EF49+'Parte financiera'!ET49+'Parte financiera'!FH49+'Parte financiera'!FX49+'Parte financiera'!GL49+'Parte financiera'!GZ49+'Parte financiera'!HN49</f>
        <v>0</v>
      </c>
      <c r="E49" s="382">
        <f>'Parte financiera'!G49+'Parte financiera'!U49+'Parte financiera'!AI49+'Parte financiera'!AW49+'Parte financiera'!BM49+'Parte financiera'!CA49+'Parte financiera'!CO49+'Parte financiera'!DC49+'Parte financiera'!DS49+'Parte financiera'!EG49+'Parte financiera'!EU49+'Parte financiera'!FI49+'Parte financiera'!FY49+'Parte financiera'!GM49+'Parte financiera'!HA49+'Parte financiera'!HO49</f>
        <v>0</v>
      </c>
      <c r="F49" s="382">
        <f>'Parte financiera'!H49+'Parte financiera'!V49+'Parte financiera'!AJ49+'Parte financiera'!AX49+'Parte financiera'!BN49+'Parte financiera'!CB49+'Parte financiera'!CP49+'Parte financiera'!DD49+'Parte financiera'!DT49+'Parte financiera'!EH49+'Parte financiera'!EV49+'Parte financiera'!FJ49+'Parte financiera'!FZ49+'Parte financiera'!GN49+'Parte financiera'!HB49+'Parte financiera'!HP49</f>
        <v>0</v>
      </c>
      <c r="G49" s="382">
        <f>'Parte financiera'!I49+'Parte financiera'!W49+'Parte financiera'!AK49+'Parte financiera'!AY49+'Parte financiera'!BO49+'Parte financiera'!CC49+'Parte financiera'!CQ49+'Parte financiera'!DE49+'Parte financiera'!DU49+'Parte financiera'!EI49+'Parte financiera'!EW49+'Parte financiera'!FK49+'Parte financiera'!GA49+'Parte financiera'!GO49+'Parte financiera'!HC49+'Parte financiera'!HQ49</f>
        <v>0</v>
      </c>
      <c r="H49" s="382">
        <f>'Parte financiera'!J49+'Parte financiera'!X49+'Parte financiera'!AL49+'Parte financiera'!AZ49+'Parte financiera'!BP49+'Parte financiera'!CD49+'Parte financiera'!CR49+'Parte financiera'!DF49+'Parte financiera'!DV49+'Parte financiera'!EJ49+'Parte financiera'!EX49+'Parte financiera'!FL49+'Parte financiera'!GB49+'Parte financiera'!GP49+'Parte financiera'!HD49+'Parte financiera'!HR49</f>
        <v>0</v>
      </c>
      <c r="I49" s="382">
        <f>'Parte financiera'!K49+'Parte financiera'!Y49+'Parte financiera'!AM49+'Parte financiera'!BA49+'Parte financiera'!BQ49+'Parte financiera'!CE49+'Parte financiera'!CS49+'Parte financiera'!DG49+'Parte financiera'!DW49+'Parte financiera'!EK49+'Parte financiera'!EY49+'Parte financiera'!FM49+'Parte financiera'!GC49+'Parte financiera'!GQ49+'Parte financiera'!HE49+'Parte financiera'!HS49</f>
        <v>0</v>
      </c>
      <c r="J49" s="382">
        <f>'Parte financiera'!L49+'Parte financiera'!Z49+'Parte financiera'!AN49+'Parte financiera'!BB49+'Parte financiera'!BR49+'Parte financiera'!CF49+'Parte financiera'!CT49+'Parte financiera'!DH49+'Parte financiera'!DX49+'Parte financiera'!EL49+'Parte financiera'!EZ49+'Parte financiera'!FN49+'Parte financiera'!GD49+'Parte financiera'!GR49+'Parte financiera'!HF49+'Parte financiera'!HT49</f>
        <v>0</v>
      </c>
      <c r="K49" s="382">
        <f>'Parte financiera'!M49+'Parte financiera'!AA49+'Parte financiera'!AO49+'Parte financiera'!BC49+'Parte financiera'!BS49+'Parte financiera'!CG49+'Parte financiera'!CU49+'Parte financiera'!DI49+'Parte financiera'!DY49+'Parte financiera'!EM49+'Parte financiera'!FA49+'Parte financiera'!FO49+'Parte financiera'!GE49+'Parte financiera'!GS49+'Parte financiera'!HG49+'Parte financiera'!HU49</f>
        <v>0</v>
      </c>
      <c r="L49" s="382">
        <f>'Parte financiera'!N49+'Parte financiera'!AB49+'Parte financiera'!AP49+'Parte financiera'!BD49+'Parte financiera'!BT49+'Parte financiera'!CH49+'Parte financiera'!CV49+'Parte financiera'!DJ49+'Parte financiera'!DZ49+'Parte financiera'!EN49+'Parte financiera'!FB49+'Parte financiera'!FP49+'Parte financiera'!GF49+'Parte financiera'!GT49+'Parte financiera'!HH49+'Parte financiera'!HV49</f>
        <v>0</v>
      </c>
      <c r="M49" s="382" t="e">
        <f>'Parte financiera'!O49+'Parte financiera'!AC49+'Parte financiera'!AQ49+'Parte financiera'!BE49+'Parte financiera'!BU49+'Parte financiera'!CI49+'Parte financiera'!CW49+'Parte financiera'!DK49+'Parte financiera'!EA49+'Parte financiera'!EO49+'Parte financiera'!FC49+'Parte financiera'!FQ49+'Parte financiera'!GG49+'Parte financiera'!GU49+'Parte financiera'!HI49+'Parte financiera'!HW49</f>
        <v>#VALUE!</v>
      </c>
      <c r="N49" s="382">
        <f>'Parte financiera'!P49+'Parte financiera'!AD49+'Parte financiera'!AR49+'Parte financiera'!BF49+'Parte financiera'!BV49+'Parte financiera'!CJ49+'Parte financiera'!CX49+'Parte financiera'!DL49+'Parte financiera'!EB49+'Parte financiera'!EP49+'Parte financiera'!FD49+'Parte financiera'!FR49+'Parte financiera'!GH49+'Parte financiera'!GV49+'Parte financiera'!HJ49+'Parte financiera'!HX49</f>
        <v>0</v>
      </c>
      <c r="O49" s="383">
        <f>'Parte financiera'!Q49+'Parte financiera'!AE49+'Parte financiera'!AS49+'Parte financiera'!BG49+'Parte financiera'!BW49+'Parte financiera'!CK49+'Parte financiera'!CY49+'Parte financiera'!DM49+'Parte financiera'!EC49+'Parte financiera'!EQ49+'Parte financiera'!FE49+'Parte financiera'!FS49+'Parte financiera'!GI49+'Parte financiera'!GW49+'Parte financiera'!HK49+'Parte financiera'!HY49</f>
        <v>0</v>
      </c>
    </row>
    <row r="50" spans="1:15">
      <c r="A50" s="463" t="str">
        <f>IF('Parte Estrategica'!B50=0,"",'Parte Estrategica'!B50)</f>
        <v/>
      </c>
      <c r="B50" s="382" t="e">
        <f>'Parte financiera'!D50+'Parte financiera'!R50+'Parte financiera'!AF50+'Parte financiera'!AT50+'Parte financiera'!BJ50+'Parte financiera'!BX50+'Parte financiera'!CL50+'Parte financiera'!CZ50+'Parte financiera'!DP50+'Parte financiera'!ED50+'Parte financiera'!ER50+'Parte financiera'!FF50+'Parte financiera'!FV50+'Parte financiera'!GJ50+'Parte financiera'!GX50+'Parte financiera'!HL50</f>
        <v>#VALUE!</v>
      </c>
      <c r="C50" s="382">
        <f>'Parte financiera'!E50+'Parte financiera'!S50+'Parte financiera'!AG50+'Parte financiera'!AU50+'Parte financiera'!BK50+'Parte financiera'!BY50+'Parte financiera'!CM50+'Parte financiera'!DA50+'Parte financiera'!DQ50+'Parte financiera'!EE50+'Parte financiera'!ES50+'Parte financiera'!FG50+'Parte financiera'!FW50+'Parte financiera'!GK50+'Parte financiera'!GY50+'Parte financiera'!HM50</f>
        <v>0</v>
      </c>
      <c r="D50" s="382">
        <f>'Parte financiera'!F50+'Parte financiera'!T50+'Parte financiera'!AH50+'Parte financiera'!AV50+'Parte financiera'!BL50+'Parte financiera'!BZ50+'Parte financiera'!CN50+'Parte financiera'!DB50+'Parte financiera'!DR50+'Parte financiera'!EF50+'Parte financiera'!ET50+'Parte financiera'!FH50+'Parte financiera'!FX50+'Parte financiera'!GL50+'Parte financiera'!GZ50+'Parte financiera'!HN50</f>
        <v>0</v>
      </c>
      <c r="E50" s="382">
        <f>'Parte financiera'!G50+'Parte financiera'!U50+'Parte financiera'!AI50+'Parte financiera'!AW50+'Parte financiera'!BM50+'Parte financiera'!CA50+'Parte financiera'!CO50+'Parte financiera'!DC50+'Parte financiera'!DS50+'Parte financiera'!EG50+'Parte financiera'!EU50+'Parte financiera'!FI50+'Parte financiera'!FY50+'Parte financiera'!GM50+'Parte financiera'!HA50+'Parte financiera'!HO50</f>
        <v>0</v>
      </c>
      <c r="F50" s="382">
        <f>'Parte financiera'!H50+'Parte financiera'!V50+'Parte financiera'!AJ50+'Parte financiera'!AX50+'Parte financiera'!BN50+'Parte financiera'!CB50+'Parte financiera'!CP50+'Parte financiera'!DD50+'Parte financiera'!DT50+'Parte financiera'!EH50+'Parte financiera'!EV50+'Parte financiera'!FJ50+'Parte financiera'!FZ50+'Parte financiera'!GN50+'Parte financiera'!HB50+'Parte financiera'!HP50</f>
        <v>0</v>
      </c>
      <c r="G50" s="382">
        <f>'Parte financiera'!I50+'Parte financiera'!W50+'Parte financiera'!AK50+'Parte financiera'!AY50+'Parte financiera'!BO50+'Parte financiera'!CC50+'Parte financiera'!CQ50+'Parte financiera'!DE50+'Parte financiera'!DU50+'Parte financiera'!EI50+'Parte financiera'!EW50+'Parte financiera'!FK50+'Parte financiera'!GA50+'Parte financiera'!GO50+'Parte financiera'!HC50+'Parte financiera'!HQ50</f>
        <v>0</v>
      </c>
      <c r="H50" s="382">
        <f>'Parte financiera'!J50+'Parte financiera'!X50+'Parte financiera'!AL50+'Parte financiera'!AZ50+'Parte financiera'!BP50+'Parte financiera'!CD50+'Parte financiera'!CR50+'Parte financiera'!DF50+'Parte financiera'!DV50+'Parte financiera'!EJ50+'Parte financiera'!EX50+'Parte financiera'!FL50+'Parte financiera'!GB50+'Parte financiera'!GP50+'Parte financiera'!HD50+'Parte financiera'!HR50</f>
        <v>0</v>
      </c>
      <c r="I50" s="382">
        <f>'Parte financiera'!K50+'Parte financiera'!Y50+'Parte financiera'!AM50+'Parte financiera'!BA50+'Parte financiera'!BQ50+'Parte financiera'!CE50+'Parte financiera'!CS50+'Parte financiera'!DG50+'Parte financiera'!DW50+'Parte financiera'!EK50+'Parte financiera'!EY50+'Parte financiera'!FM50+'Parte financiera'!GC50+'Parte financiera'!GQ50+'Parte financiera'!HE50+'Parte financiera'!HS50</f>
        <v>0</v>
      </c>
      <c r="J50" s="382">
        <f>'Parte financiera'!L50+'Parte financiera'!Z50+'Parte financiera'!AN50+'Parte financiera'!BB50+'Parte financiera'!BR50+'Parte financiera'!CF50+'Parte financiera'!CT50+'Parte financiera'!DH50+'Parte financiera'!DX50+'Parte financiera'!EL50+'Parte financiera'!EZ50+'Parte financiera'!FN50+'Parte financiera'!GD50+'Parte financiera'!GR50+'Parte financiera'!HF50+'Parte financiera'!HT50</f>
        <v>0</v>
      </c>
      <c r="K50" s="382">
        <f>'Parte financiera'!M50+'Parte financiera'!AA50+'Parte financiera'!AO50+'Parte financiera'!BC50+'Parte financiera'!BS50+'Parte financiera'!CG50+'Parte financiera'!CU50+'Parte financiera'!DI50+'Parte financiera'!DY50+'Parte financiera'!EM50+'Parte financiera'!FA50+'Parte financiera'!FO50+'Parte financiera'!GE50+'Parte financiera'!GS50+'Parte financiera'!HG50+'Parte financiera'!HU50</f>
        <v>0</v>
      </c>
      <c r="L50" s="382">
        <f>'Parte financiera'!N50+'Parte financiera'!AB50+'Parte financiera'!AP50+'Parte financiera'!BD50+'Parte financiera'!BT50+'Parte financiera'!CH50+'Parte financiera'!CV50+'Parte financiera'!DJ50+'Parte financiera'!DZ50+'Parte financiera'!EN50+'Parte financiera'!FB50+'Parte financiera'!FP50+'Parte financiera'!GF50+'Parte financiera'!GT50+'Parte financiera'!HH50+'Parte financiera'!HV50</f>
        <v>0</v>
      </c>
      <c r="M50" s="382" t="e">
        <f>'Parte financiera'!O50+'Parte financiera'!AC50+'Parte financiera'!AQ50+'Parte financiera'!BE50+'Parte financiera'!BU50+'Parte financiera'!CI50+'Parte financiera'!CW50+'Parte financiera'!DK50+'Parte financiera'!EA50+'Parte financiera'!EO50+'Parte financiera'!FC50+'Parte financiera'!FQ50+'Parte financiera'!GG50+'Parte financiera'!GU50+'Parte financiera'!HI50+'Parte financiera'!HW50</f>
        <v>#VALUE!</v>
      </c>
      <c r="N50" s="382">
        <f>'Parte financiera'!P50+'Parte financiera'!AD50+'Parte financiera'!AR50+'Parte financiera'!BF50+'Parte financiera'!BV50+'Parte financiera'!CJ50+'Parte financiera'!CX50+'Parte financiera'!DL50+'Parte financiera'!EB50+'Parte financiera'!EP50+'Parte financiera'!FD50+'Parte financiera'!FR50+'Parte financiera'!GH50+'Parte financiera'!GV50+'Parte financiera'!HJ50+'Parte financiera'!HX50</f>
        <v>0</v>
      </c>
      <c r="O50" s="383">
        <f>'Parte financiera'!Q50+'Parte financiera'!AE50+'Parte financiera'!AS50+'Parte financiera'!BG50+'Parte financiera'!BW50+'Parte financiera'!CK50+'Parte financiera'!CY50+'Parte financiera'!DM50+'Parte financiera'!EC50+'Parte financiera'!EQ50+'Parte financiera'!FE50+'Parte financiera'!FS50+'Parte financiera'!GI50+'Parte financiera'!GW50+'Parte financiera'!HK50+'Parte financiera'!HY50</f>
        <v>0</v>
      </c>
    </row>
    <row r="51" spans="1:15">
      <c r="A51" s="463" t="str">
        <f>IF('Parte Estrategica'!B51=0,"",'Parte Estrategica'!B51)</f>
        <v/>
      </c>
      <c r="B51" s="382" t="e">
        <f>'Parte financiera'!D51+'Parte financiera'!R51+'Parte financiera'!AF51+'Parte financiera'!AT51+'Parte financiera'!BJ51+'Parte financiera'!BX51+'Parte financiera'!CL51+'Parte financiera'!CZ51+'Parte financiera'!DP51+'Parte financiera'!ED51+'Parte financiera'!ER51+'Parte financiera'!FF51+'Parte financiera'!FV51+'Parte financiera'!GJ51+'Parte financiera'!GX51+'Parte financiera'!HL51</f>
        <v>#VALUE!</v>
      </c>
      <c r="C51" s="382">
        <f>'Parte financiera'!E51+'Parte financiera'!S51+'Parte financiera'!AG51+'Parte financiera'!AU51+'Parte financiera'!BK51+'Parte financiera'!BY51+'Parte financiera'!CM51+'Parte financiera'!DA51+'Parte financiera'!DQ51+'Parte financiera'!EE51+'Parte financiera'!ES51+'Parte financiera'!FG51+'Parte financiera'!FW51+'Parte financiera'!GK51+'Parte financiera'!GY51+'Parte financiera'!HM51</f>
        <v>0</v>
      </c>
      <c r="D51" s="382">
        <f>'Parte financiera'!F51+'Parte financiera'!T51+'Parte financiera'!AH51+'Parte financiera'!AV51+'Parte financiera'!BL51+'Parte financiera'!BZ51+'Parte financiera'!CN51+'Parte financiera'!DB51+'Parte financiera'!DR51+'Parte financiera'!EF51+'Parte financiera'!ET51+'Parte financiera'!FH51+'Parte financiera'!FX51+'Parte financiera'!GL51+'Parte financiera'!GZ51+'Parte financiera'!HN51</f>
        <v>0</v>
      </c>
      <c r="E51" s="382">
        <f>'Parte financiera'!G51+'Parte financiera'!U51+'Parte financiera'!AI51+'Parte financiera'!AW51+'Parte financiera'!BM51+'Parte financiera'!CA51+'Parte financiera'!CO51+'Parte financiera'!DC51+'Parte financiera'!DS51+'Parte financiera'!EG51+'Parte financiera'!EU51+'Parte financiera'!FI51+'Parte financiera'!FY51+'Parte financiera'!GM51+'Parte financiera'!HA51+'Parte financiera'!HO51</f>
        <v>0</v>
      </c>
      <c r="F51" s="382">
        <f>'Parte financiera'!H51+'Parte financiera'!V51+'Parte financiera'!AJ51+'Parte financiera'!AX51+'Parte financiera'!BN51+'Parte financiera'!CB51+'Parte financiera'!CP51+'Parte financiera'!DD51+'Parte financiera'!DT51+'Parte financiera'!EH51+'Parte financiera'!EV51+'Parte financiera'!FJ51+'Parte financiera'!FZ51+'Parte financiera'!GN51+'Parte financiera'!HB51+'Parte financiera'!HP51</f>
        <v>0</v>
      </c>
      <c r="G51" s="382">
        <f>'Parte financiera'!I51+'Parte financiera'!W51+'Parte financiera'!AK51+'Parte financiera'!AY51+'Parte financiera'!BO51+'Parte financiera'!CC51+'Parte financiera'!CQ51+'Parte financiera'!DE51+'Parte financiera'!DU51+'Parte financiera'!EI51+'Parte financiera'!EW51+'Parte financiera'!FK51+'Parte financiera'!GA51+'Parte financiera'!GO51+'Parte financiera'!HC51+'Parte financiera'!HQ51</f>
        <v>0</v>
      </c>
      <c r="H51" s="382">
        <f>'Parte financiera'!J51+'Parte financiera'!X51+'Parte financiera'!AL51+'Parte financiera'!AZ51+'Parte financiera'!BP51+'Parte financiera'!CD51+'Parte financiera'!CR51+'Parte financiera'!DF51+'Parte financiera'!DV51+'Parte financiera'!EJ51+'Parte financiera'!EX51+'Parte financiera'!FL51+'Parte financiera'!GB51+'Parte financiera'!GP51+'Parte financiera'!HD51+'Parte financiera'!HR51</f>
        <v>0</v>
      </c>
      <c r="I51" s="382">
        <f>'Parte financiera'!K51+'Parte financiera'!Y51+'Parte financiera'!AM51+'Parte financiera'!BA51+'Parte financiera'!BQ51+'Parte financiera'!CE51+'Parte financiera'!CS51+'Parte financiera'!DG51+'Parte financiera'!DW51+'Parte financiera'!EK51+'Parte financiera'!EY51+'Parte financiera'!FM51+'Parte financiera'!GC51+'Parte financiera'!GQ51+'Parte financiera'!HE51+'Parte financiera'!HS51</f>
        <v>0</v>
      </c>
      <c r="J51" s="382">
        <f>'Parte financiera'!L51+'Parte financiera'!Z51+'Parte financiera'!AN51+'Parte financiera'!BB51+'Parte financiera'!BR51+'Parte financiera'!CF51+'Parte financiera'!CT51+'Parte financiera'!DH51+'Parte financiera'!DX51+'Parte financiera'!EL51+'Parte financiera'!EZ51+'Parte financiera'!FN51+'Parte financiera'!GD51+'Parte financiera'!GR51+'Parte financiera'!HF51+'Parte financiera'!HT51</f>
        <v>0</v>
      </c>
      <c r="K51" s="382">
        <f>'Parte financiera'!M51+'Parte financiera'!AA51+'Parte financiera'!AO51+'Parte financiera'!BC51+'Parte financiera'!BS51+'Parte financiera'!CG51+'Parte financiera'!CU51+'Parte financiera'!DI51+'Parte financiera'!DY51+'Parte financiera'!EM51+'Parte financiera'!FA51+'Parte financiera'!FO51+'Parte financiera'!GE51+'Parte financiera'!GS51+'Parte financiera'!HG51+'Parte financiera'!HU51</f>
        <v>0</v>
      </c>
      <c r="L51" s="382">
        <f>'Parte financiera'!N51+'Parte financiera'!AB51+'Parte financiera'!AP51+'Parte financiera'!BD51+'Parte financiera'!BT51+'Parte financiera'!CH51+'Parte financiera'!CV51+'Parte financiera'!DJ51+'Parte financiera'!DZ51+'Parte financiera'!EN51+'Parte financiera'!FB51+'Parte financiera'!FP51+'Parte financiera'!GF51+'Parte financiera'!GT51+'Parte financiera'!HH51+'Parte financiera'!HV51</f>
        <v>0</v>
      </c>
      <c r="M51" s="382" t="e">
        <f>'Parte financiera'!O51+'Parte financiera'!AC51+'Parte financiera'!AQ51+'Parte financiera'!BE51+'Parte financiera'!BU51+'Parte financiera'!CI51+'Parte financiera'!CW51+'Parte financiera'!DK51+'Parte financiera'!EA51+'Parte financiera'!EO51+'Parte financiera'!FC51+'Parte financiera'!FQ51+'Parte financiera'!GG51+'Parte financiera'!GU51+'Parte financiera'!HI51+'Parte financiera'!HW51</f>
        <v>#VALUE!</v>
      </c>
      <c r="N51" s="382">
        <f>'Parte financiera'!P51+'Parte financiera'!AD51+'Parte financiera'!AR51+'Parte financiera'!BF51+'Parte financiera'!BV51+'Parte financiera'!CJ51+'Parte financiera'!CX51+'Parte financiera'!DL51+'Parte financiera'!EB51+'Parte financiera'!EP51+'Parte financiera'!FD51+'Parte financiera'!FR51+'Parte financiera'!GH51+'Parte financiera'!GV51+'Parte financiera'!HJ51+'Parte financiera'!HX51</f>
        <v>0</v>
      </c>
      <c r="O51" s="383">
        <f>'Parte financiera'!Q51+'Parte financiera'!AE51+'Parte financiera'!AS51+'Parte financiera'!BG51+'Parte financiera'!BW51+'Parte financiera'!CK51+'Parte financiera'!CY51+'Parte financiera'!DM51+'Parte financiera'!EC51+'Parte financiera'!EQ51+'Parte financiera'!FE51+'Parte financiera'!FS51+'Parte financiera'!GI51+'Parte financiera'!GW51+'Parte financiera'!HK51+'Parte financiera'!HY51</f>
        <v>0</v>
      </c>
    </row>
    <row r="52" spans="1:15">
      <c r="A52" s="463" t="str">
        <f>IF('Parte Estrategica'!B52=0,"",'Parte Estrategica'!B52)</f>
        <v/>
      </c>
      <c r="B52" s="382" t="e">
        <f>'Parte financiera'!D52+'Parte financiera'!R52+'Parte financiera'!AF52+'Parte financiera'!AT52+'Parte financiera'!BJ52+'Parte financiera'!BX52+'Parte financiera'!CL52+'Parte financiera'!CZ52+'Parte financiera'!DP52+'Parte financiera'!ED52+'Parte financiera'!ER52+'Parte financiera'!FF52+'Parte financiera'!FV52+'Parte financiera'!GJ52+'Parte financiera'!GX52+'Parte financiera'!HL52</f>
        <v>#VALUE!</v>
      </c>
      <c r="C52" s="382">
        <f>'Parte financiera'!E52+'Parte financiera'!S52+'Parte financiera'!AG52+'Parte financiera'!AU52+'Parte financiera'!BK52+'Parte financiera'!BY52+'Parte financiera'!CM52+'Parte financiera'!DA52+'Parte financiera'!DQ52+'Parte financiera'!EE52+'Parte financiera'!ES52+'Parte financiera'!FG52+'Parte financiera'!FW52+'Parte financiera'!GK52+'Parte financiera'!GY52+'Parte financiera'!HM52</f>
        <v>0</v>
      </c>
      <c r="D52" s="382">
        <f>'Parte financiera'!F52+'Parte financiera'!T52+'Parte financiera'!AH52+'Parte financiera'!AV52+'Parte financiera'!BL52+'Parte financiera'!BZ52+'Parte financiera'!CN52+'Parte financiera'!DB52+'Parte financiera'!DR52+'Parte financiera'!EF52+'Parte financiera'!ET52+'Parte financiera'!FH52+'Parte financiera'!FX52+'Parte financiera'!GL52+'Parte financiera'!GZ52+'Parte financiera'!HN52</f>
        <v>0</v>
      </c>
      <c r="E52" s="382">
        <f>'Parte financiera'!G52+'Parte financiera'!U52+'Parte financiera'!AI52+'Parte financiera'!AW52+'Parte financiera'!BM52+'Parte financiera'!CA52+'Parte financiera'!CO52+'Parte financiera'!DC52+'Parte financiera'!DS52+'Parte financiera'!EG52+'Parte financiera'!EU52+'Parte financiera'!FI52+'Parte financiera'!FY52+'Parte financiera'!GM52+'Parte financiera'!HA52+'Parte financiera'!HO52</f>
        <v>0</v>
      </c>
      <c r="F52" s="382">
        <f>'Parte financiera'!H52+'Parte financiera'!V52+'Parte financiera'!AJ52+'Parte financiera'!AX52+'Parte financiera'!BN52+'Parte financiera'!CB52+'Parte financiera'!CP52+'Parte financiera'!DD52+'Parte financiera'!DT52+'Parte financiera'!EH52+'Parte financiera'!EV52+'Parte financiera'!FJ52+'Parte financiera'!FZ52+'Parte financiera'!GN52+'Parte financiera'!HB52+'Parte financiera'!HP52</f>
        <v>0</v>
      </c>
      <c r="G52" s="382">
        <f>'Parte financiera'!I52+'Parte financiera'!W52+'Parte financiera'!AK52+'Parte financiera'!AY52+'Parte financiera'!BO52+'Parte financiera'!CC52+'Parte financiera'!CQ52+'Parte financiera'!DE52+'Parte financiera'!DU52+'Parte financiera'!EI52+'Parte financiera'!EW52+'Parte financiera'!FK52+'Parte financiera'!GA52+'Parte financiera'!GO52+'Parte financiera'!HC52+'Parte financiera'!HQ52</f>
        <v>0</v>
      </c>
      <c r="H52" s="382">
        <f>'Parte financiera'!J52+'Parte financiera'!X52+'Parte financiera'!AL52+'Parte financiera'!AZ52+'Parte financiera'!BP52+'Parte financiera'!CD52+'Parte financiera'!CR52+'Parte financiera'!DF52+'Parte financiera'!DV52+'Parte financiera'!EJ52+'Parte financiera'!EX52+'Parte financiera'!FL52+'Parte financiera'!GB52+'Parte financiera'!GP52+'Parte financiera'!HD52+'Parte financiera'!HR52</f>
        <v>0</v>
      </c>
      <c r="I52" s="382">
        <f>'Parte financiera'!K52+'Parte financiera'!Y52+'Parte financiera'!AM52+'Parte financiera'!BA52+'Parte financiera'!BQ52+'Parte financiera'!CE52+'Parte financiera'!CS52+'Parte financiera'!DG52+'Parte financiera'!DW52+'Parte financiera'!EK52+'Parte financiera'!EY52+'Parte financiera'!FM52+'Parte financiera'!GC52+'Parte financiera'!GQ52+'Parte financiera'!HE52+'Parte financiera'!HS52</f>
        <v>0</v>
      </c>
      <c r="J52" s="382">
        <f>'Parte financiera'!L52+'Parte financiera'!Z52+'Parte financiera'!AN52+'Parte financiera'!BB52+'Parte financiera'!BR52+'Parte financiera'!CF52+'Parte financiera'!CT52+'Parte financiera'!DH52+'Parte financiera'!DX52+'Parte financiera'!EL52+'Parte financiera'!EZ52+'Parte financiera'!FN52+'Parte financiera'!GD52+'Parte financiera'!GR52+'Parte financiera'!HF52+'Parte financiera'!HT52</f>
        <v>0</v>
      </c>
      <c r="K52" s="382">
        <f>'Parte financiera'!M52+'Parte financiera'!AA52+'Parte financiera'!AO52+'Parte financiera'!BC52+'Parte financiera'!BS52+'Parte financiera'!CG52+'Parte financiera'!CU52+'Parte financiera'!DI52+'Parte financiera'!DY52+'Parte financiera'!EM52+'Parte financiera'!FA52+'Parte financiera'!FO52+'Parte financiera'!GE52+'Parte financiera'!GS52+'Parte financiera'!HG52+'Parte financiera'!HU52</f>
        <v>0</v>
      </c>
      <c r="L52" s="382">
        <f>'Parte financiera'!N52+'Parte financiera'!AB52+'Parte financiera'!AP52+'Parte financiera'!BD52+'Parte financiera'!BT52+'Parte financiera'!CH52+'Parte financiera'!CV52+'Parte financiera'!DJ52+'Parte financiera'!DZ52+'Parte financiera'!EN52+'Parte financiera'!FB52+'Parte financiera'!FP52+'Parte financiera'!GF52+'Parte financiera'!GT52+'Parte financiera'!HH52+'Parte financiera'!HV52</f>
        <v>0</v>
      </c>
      <c r="M52" s="382" t="e">
        <f>'Parte financiera'!O52+'Parte financiera'!AC52+'Parte financiera'!AQ52+'Parte financiera'!BE52+'Parte financiera'!BU52+'Parte financiera'!CI52+'Parte financiera'!CW52+'Parte financiera'!DK52+'Parte financiera'!EA52+'Parte financiera'!EO52+'Parte financiera'!FC52+'Parte financiera'!FQ52+'Parte financiera'!GG52+'Parte financiera'!GU52+'Parte financiera'!HI52+'Parte financiera'!HW52</f>
        <v>#VALUE!</v>
      </c>
      <c r="N52" s="382">
        <f>'Parte financiera'!P52+'Parte financiera'!AD52+'Parte financiera'!AR52+'Parte financiera'!BF52+'Parte financiera'!BV52+'Parte financiera'!CJ52+'Parte financiera'!CX52+'Parte financiera'!DL52+'Parte financiera'!EB52+'Parte financiera'!EP52+'Parte financiera'!FD52+'Parte financiera'!FR52+'Parte financiera'!GH52+'Parte financiera'!GV52+'Parte financiera'!HJ52+'Parte financiera'!HX52</f>
        <v>0</v>
      </c>
      <c r="O52" s="383">
        <f>'Parte financiera'!Q52+'Parte financiera'!AE52+'Parte financiera'!AS52+'Parte financiera'!BG52+'Parte financiera'!BW52+'Parte financiera'!CK52+'Parte financiera'!CY52+'Parte financiera'!DM52+'Parte financiera'!EC52+'Parte financiera'!EQ52+'Parte financiera'!FE52+'Parte financiera'!FS52+'Parte financiera'!GI52+'Parte financiera'!GW52+'Parte financiera'!HK52+'Parte financiera'!HY52</f>
        <v>0</v>
      </c>
    </row>
    <row r="53" spans="1:15">
      <c r="A53" s="463" t="str">
        <f>IF('Parte Estrategica'!B53=0,"",'Parte Estrategica'!B53)</f>
        <v/>
      </c>
      <c r="B53" s="382" t="e">
        <f>'Parte financiera'!D53+'Parte financiera'!R53+'Parte financiera'!AF53+'Parte financiera'!AT53+'Parte financiera'!BJ53+'Parte financiera'!BX53+'Parte financiera'!CL53+'Parte financiera'!CZ53+'Parte financiera'!DP53+'Parte financiera'!ED53+'Parte financiera'!ER53+'Parte financiera'!FF53+'Parte financiera'!FV53+'Parte financiera'!GJ53+'Parte financiera'!GX53+'Parte financiera'!HL53</f>
        <v>#VALUE!</v>
      </c>
      <c r="C53" s="382">
        <f>'Parte financiera'!E53+'Parte financiera'!S53+'Parte financiera'!AG53+'Parte financiera'!AU53+'Parte financiera'!BK53+'Parte financiera'!BY53+'Parte financiera'!CM53+'Parte financiera'!DA53+'Parte financiera'!DQ53+'Parte financiera'!EE53+'Parte financiera'!ES53+'Parte financiera'!FG53+'Parte financiera'!FW53+'Parte financiera'!GK53+'Parte financiera'!GY53+'Parte financiera'!HM53</f>
        <v>0</v>
      </c>
      <c r="D53" s="382">
        <f>'Parte financiera'!F53+'Parte financiera'!T53+'Parte financiera'!AH53+'Parte financiera'!AV53+'Parte financiera'!BL53+'Parte financiera'!BZ53+'Parte financiera'!CN53+'Parte financiera'!DB53+'Parte financiera'!DR53+'Parte financiera'!EF53+'Parte financiera'!ET53+'Parte financiera'!FH53+'Parte financiera'!FX53+'Parte financiera'!GL53+'Parte financiera'!GZ53+'Parte financiera'!HN53</f>
        <v>0</v>
      </c>
      <c r="E53" s="382">
        <f>'Parte financiera'!G53+'Parte financiera'!U53+'Parte financiera'!AI53+'Parte financiera'!AW53+'Parte financiera'!BM53+'Parte financiera'!CA53+'Parte financiera'!CO53+'Parte financiera'!DC53+'Parte financiera'!DS53+'Parte financiera'!EG53+'Parte financiera'!EU53+'Parte financiera'!FI53+'Parte financiera'!FY53+'Parte financiera'!GM53+'Parte financiera'!HA53+'Parte financiera'!HO53</f>
        <v>0</v>
      </c>
      <c r="F53" s="382">
        <f>'Parte financiera'!H53+'Parte financiera'!V53+'Parte financiera'!AJ53+'Parte financiera'!AX53+'Parte financiera'!BN53+'Parte financiera'!CB53+'Parte financiera'!CP53+'Parte financiera'!DD53+'Parte financiera'!DT53+'Parte financiera'!EH53+'Parte financiera'!EV53+'Parte financiera'!FJ53+'Parte financiera'!FZ53+'Parte financiera'!GN53+'Parte financiera'!HB53+'Parte financiera'!HP53</f>
        <v>0</v>
      </c>
      <c r="G53" s="382">
        <f>'Parte financiera'!I53+'Parte financiera'!W53+'Parte financiera'!AK53+'Parte financiera'!AY53+'Parte financiera'!BO53+'Parte financiera'!CC53+'Parte financiera'!CQ53+'Parte financiera'!DE53+'Parte financiera'!DU53+'Parte financiera'!EI53+'Parte financiera'!EW53+'Parte financiera'!FK53+'Parte financiera'!GA53+'Parte financiera'!GO53+'Parte financiera'!HC53+'Parte financiera'!HQ53</f>
        <v>0</v>
      </c>
      <c r="H53" s="382">
        <f>'Parte financiera'!J53+'Parte financiera'!X53+'Parte financiera'!AL53+'Parte financiera'!AZ53+'Parte financiera'!BP53+'Parte financiera'!CD53+'Parte financiera'!CR53+'Parte financiera'!DF53+'Parte financiera'!DV53+'Parte financiera'!EJ53+'Parte financiera'!EX53+'Parte financiera'!FL53+'Parte financiera'!GB53+'Parte financiera'!GP53+'Parte financiera'!HD53+'Parte financiera'!HR53</f>
        <v>0</v>
      </c>
      <c r="I53" s="382">
        <f>'Parte financiera'!K53+'Parte financiera'!Y53+'Parte financiera'!AM53+'Parte financiera'!BA53+'Parte financiera'!BQ53+'Parte financiera'!CE53+'Parte financiera'!CS53+'Parte financiera'!DG53+'Parte financiera'!DW53+'Parte financiera'!EK53+'Parte financiera'!EY53+'Parte financiera'!FM53+'Parte financiera'!GC53+'Parte financiera'!GQ53+'Parte financiera'!HE53+'Parte financiera'!HS53</f>
        <v>0</v>
      </c>
      <c r="J53" s="382">
        <f>'Parte financiera'!L53+'Parte financiera'!Z53+'Parte financiera'!AN53+'Parte financiera'!BB53+'Parte financiera'!BR53+'Parte financiera'!CF53+'Parte financiera'!CT53+'Parte financiera'!DH53+'Parte financiera'!DX53+'Parte financiera'!EL53+'Parte financiera'!EZ53+'Parte financiera'!FN53+'Parte financiera'!GD53+'Parte financiera'!GR53+'Parte financiera'!HF53+'Parte financiera'!HT53</f>
        <v>0</v>
      </c>
      <c r="K53" s="382">
        <f>'Parte financiera'!M53+'Parte financiera'!AA53+'Parte financiera'!AO53+'Parte financiera'!BC53+'Parte financiera'!BS53+'Parte financiera'!CG53+'Parte financiera'!CU53+'Parte financiera'!DI53+'Parte financiera'!DY53+'Parte financiera'!EM53+'Parte financiera'!FA53+'Parte financiera'!FO53+'Parte financiera'!GE53+'Parte financiera'!GS53+'Parte financiera'!HG53+'Parte financiera'!HU53</f>
        <v>0</v>
      </c>
      <c r="L53" s="382">
        <f>'Parte financiera'!N53+'Parte financiera'!AB53+'Parte financiera'!AP53+'Parte financiera'!BD53+'Parte financiera'!BT53+'Parte financiera'!CH53+'Parte financiera'!CV53+'Parte financiera'!DJ53+'Parte financiera'!DZ53+'Parte financiera'!EN53+'Parte financiera'!FB53+'Parte financiera'!FP53+'Parte financiera'!GF53+'Parte financiera'!GT53+'Parte financiera'!HH53+'Parte financiera'!HV53</f>
        <v>0</v>
      </c>
      <c r="M53" s="382" t="e">
        <f>'Parte financiera'!O53+'Parte financiera'!AC53+'Parte financiera'!AQ53+'Parte financiera'!BE53+'Parte financiera'!BU53+'Parte financiera'!CI53+'Parte financiera'!CW53+'Parte financiera'!DK53+'Parte financiera'!EA53+'Parte financiera'!EO53+'Parte financiera'!FC53+'Parte financiera'!FQ53+'Parte financiera'!GG53+'Parte financiera'!GU53+'Parte financiera'!HI53+'Parte financiera'!HW53</f>
        <v>#VALUE!</v>
      </c>
      <c r="N53" s="382">
        <f>'Parte financiera'!P53+'Parte financiera'!AD53+'Parte financiera'!AR53+'Parte financiera'!BF53+'Parte financiera'!BV53+'Parte financiera'!CJ53+'Parte financiera'!CX53+'Parte financiera'!DL53+'Parte financiera'!EB53+'Parte financiera'!EP53+'Parte financiera'!FD53+'Parte financiera'!FR53+'Parte financiera'!GH53+'Parte financiera'!GV53+'Parte financiera'!HJ53+'Parte financiera'!HX53</f>
        <v>0</v>
      </c>
      <c r="O53" s="383">
        <f>'Parte financiera'!Q53+'Parte financiera'!AE53+'Parte financiera'!AS53+'Parte financiera'!BG53+'Parte financiera'!BW53+'Parte financiera'!CK53+'Parte financiera'!CY53+'Parte financiera'!DM53+'Parte financiera'!EC53+'Parte financiera'!EQ53+'Parte financiera'!FE53+'Parte financiera'!FS53+'Parte financiera'!GI53+'Parte financiera'!GW53+'Parte financiera'!HK53+'Parte financiera'!HY53</f>
        <v>0</v>
      </c>
    </row>
    <row r="54" spans="1:15">
      <c r="A54" s="463" t="str">
        <f>IF('Parte Estrategica'!B54=0,"",'Parte Estrategica'!B54)</f>
        <v/>
      </c>
      <c r="B54" s="382" t="e">
        <f>'Parte financiera'!D54+'Parte financiera'!R54+'Parte financiera'!AF54+'Parte financiera'!AT54+'Parte financiera'!BJ54+'Parte financiera'!BX54+'Parte financiera'!CL54+'Parte financiera'!CZ54+'Parte financiera'!DP54+'Parte financiera'!ED54+'Parte financiera'!ER54+'Parte financiera'!FF54+'Parte financiera'!FV54+'Parte financiera'!GJ54+'Parte financiera'!GX54+'Parte financiera'!HL54</f>
        <v>#VALUE!</v>
      </c>
      <c r="C54" s="382">
        <f>'Parte financiera'!E54+'Parte financiera'!S54+'Parte financiera'!AG54+'Parte financiera'!AU54+'Parte financiera'!BK54+'Parte financiera'!BY54+'Parte financiera'!CM54+'Parte financiera'!DA54+'Parte financiera'!DQ54+'Parte financiera'!EE54+'Parte financiera'!ES54+'Parte financiera'!FG54+'Parte financiera'!FW54+'Parte financiera'!GK54+'Parte financiera'!GY54+'Parte financiera'!HM54</f>
        <v>0</v>
      </c>
      <c r="D54" s="382">
        <f>'Parte financiera'!F54+'Parte financiera'!T54+'Parte financiera'!AH54+'Parte financiera'!AV54+'Parte financiera'!BL54+'Parte financiera'!BZ54+'Parte financiera'!CN54+'Parte financiera'!DB54+'Parte financiera'!DR54+'Parte financiera'!EF54+'Parte financiera'!ET54+'Parte financiera'!FH54+'Parte financiera'!FX54+'Parte financiera'!GL54+'Parte financiera'!GZ54+'Parte financiera'!HN54</f>
        <v>0</v>
      </c>
      <c r="E54" s="382">
        <f>'Parte financiera'!G54+'Parte financiera'!U54+'Parte financiera'!AI54+'Parte financiera'!AW54+'Parte financiera'!BM54+'Parte financiera'!CA54+'Parte financiera'!CO54+'Parte financiera'!DC54+'Parte financiera'!DS54+'Parte financiera'!EG54+'Parte financiera'!EU54+'Parte financiera'!FI54+'Parte financiera'!FY54+'Parte financiera'!GM54+'Parte financiera'!HA54+'Parte financiera'!HO54</f>
        <v>0</v>
      </c>
      <c r="F54" s="382">
        <f>'Parte financiera'!H54+'Parte financiera'!V54+'Parte financiera'!AJ54+'Parte financiera'!AX54+'Parte financiera'!BN54+'Parte financiera'!CB54+'Parte financiera'!CP54+'Parte financiera'!DD54+'Parte financiera'!DT54+'Parte financiera'!EH54+'Parte financiera'!EV54+'Parte financiera'!FJ54+'Parte financiera'!FZ54+'Parte financiera'!GN54+'Parte financiera'!HB54+'Parte financiera'!HP54</f>
        <v>0</v>
      </c>
      <c r="G54" s="382">
        <f>'Parte financiera'!I54+'Parte financiera'!W54+'Parte financiera'!AK54+'Parte financiera'!AY54+'Parte financiera'!BO54+'Parte financiera'!CC54+'Parte financiera'!CQ54+'Parte financiera'!DE54+'Parte financiera'!DU54+'Parte financiera'!EI54+'Parte financiera'!EW54+'Parte financiera'!FK54+'Parte financiera'!GA54+'Parte financiera'!GO54+'Parte financiera'!HC54+'Parte financiera'!HQ54</f>
        <v>0</v>
      </c>
      <c r="H54" s="382">
        <f>'Parte financiera'!J54+'Parte financiera'!X54+'Parte financiera'!AL54+'Parte financiera'!AZ54+'Parte financiera'!BP54+'Parte financiera'!CD54+'Parte financiera'!CR54+'Parte financiera'!DF54+'Parte financiera'!DV54+'Parte financiera'!EJ54+'Parte financiera'!EX54+'Parte financiera'!FL54+'Parte financiera'!GB54+'Parte financiera'!GP54+'Parte financiera'!HD54+'Parte financiera'!HR54</f>
        <v>0</v>
      </c>
      <c r="I54" s="382">
        <f>'Parte financiera'!K54+'Parte financiera'!Y54+'Parte financiera'!AM54+'Parte financiera'!BA54+'Parte financiera'!BQ54+'Parte financiera'!CE54+'Parte financiera'!CS54+'Parte financiera'!DG54+'Parte financiera'!DW54+'Parte financiera'!EK54+'Parte financiera'!EY54+'Parte financiera'!FM54+'Parte financiera'!GC54+'Parte financiera'!GQ54+'Parte financiera'!HE54+'Parte financiera'!HS54</f>
        <v>0</v>
      </c>
      <c r="J54" s="382">
        <f>'Parte financiera'!L54+'Parte financiera'!Z54+'Parte financiera'!AN54+'Parte financiera'!BB54+'Parte financiera'!BR54+'Parte financiera'!CF54+'Parte financiera'!CT54+'Parte financiera'!DH54+'Parte financiera'!DX54+'Parte financiera'!EL54+'Parte financiera'!EZ54+'Parte financiera'!FN54+'Parte financiera'!GD54+'Parte financiera'!GR54+'Parte financiera'!HF54+'Parte financiera'!HT54</f>
        <v>0</v>
      </c>
      <c r="K54" s="382">
        <f>'Parte financiera'!M54+'Parte financiera'!AA54+'Parte financiera'!AO54+'Parte financiera'!BC54+'Parte financiera'!BS54+'Parte financiera'!CG54+'Parte financiera'!CU54+'Parte financiera'!DI54+'Parte financiera'!DY54+'Parte financiera'!EM54+'Parte financiera'!FA54+'Parte financiera'!FO54+'Parte financiera'!GE54+'Parte financiera'!GS54+'Parte financiera'!HG54+'Parte financiera'!HU54</f>
        <v>0</v>
      </c>
      <c r="L54" s="382">
        <f>'Parte financiera'!N54+'Parte financiera'!AB54+'Parte financiera'!AP54+'Parte financiera'!BD54+'Parte financiera'!BT54+'Parte financiera'!CH54+'Parte financiera'!CV54+'Parte financiera'!DJ54+'Parte financiera'!DZ54+'Parte financiera'!EN54+'Parte financiera'!FB54+'Parte financiera'!FP54+'Parte financiera'!GF54+'Parte financiera'!GT54+'Parte financiera'!HH54+'Parte financiera'!HV54</f>
        <v>0</v>
      </c>
      <c r="M54" s="382" t="e">
        <f>'Parte financiera'!O54+'Parte financiera'!AC54+'Parte financiera'!AQ54+'Parte financiera'!BE54+'Parte financiera'!BU54+'Parte financiera'!CI54+'Parte financiera'!CW54+'Parte financiera'!DK54+'Parte financiera'!EA54+'Parte financiera'!EO54+'Parte financiera'!FC54+'Parte financiera'!FQ54+'Parte financiera'!GG54+'Parte financiera'!GU54+'Parte financiera'!HI54+'Parte financiera'!HW54</f>
        <v>#VALUE!</v>
      </c>
      <c r="N54" s="382">
        <f>'Parte financiera'!P54+'Parte financiera'!AD54+'Parte financiera'!AR54+'Parte financiera'!BF54+'Parte financiera'!BV54+'Parte financiera'!CJ54+'Parte financiera'!CX54+'Parte financiera'!DL54+'Parte financiera'!EB54+'Parte financiera'!EP54+'Parte financiera'!FD54+'Parte financiera'!FR54+'Parte financiera'!GH54+'Parte financiera'!GV54+'Parte financiera'!HJ54+'Parte financiera'!HX54</f>
        <v>0</v>
      </c>
      <c r="O54" s="383">
        <f>'Parte financiera'!Q54+'Parte financiera'!AE54+'Parte financiera'!AS54+'Parte financiera'!BG54+'Parte financiera'!BW54+'Parte financiera'!CK54+'Parte financiera'!CY54+'Parte financiera'!DM54+'Parte financiera'!EC54+'Parte financiera'!EQ54+'Parte financiera'!FE54+'Parte financiera'!FS54+'Parte financiera'!GI54+'Parte financiera'!GW54+'Parte financiera'!HK54+'Parte financiera'!HY54</f>
        <v>0</v>
      </c>
    </row>
    <row r="55" spans="1:15">
      <c r="A55" s="463" t="str">
        <f>IF('Parte Estrategica'!B55=0,"",'Parte Estrategica'!B55)</f>
        <v/>
      </c>
      <c r="B55" s="382" t="e">
        <f>'Parte financiera'!D55+'Parte financiera'!R55+'Parte financiera'!AF55+'Parte financiera'!AT55+'Parte financiera'!BJ55+'Parte financiera'!BX55+'Parte financiera'!CL55+'Parte financiera'!CZ55+'Parte financiera'!DP55+'Parte financiera'!ED55+'Parte financiera'!ER55+'Parte financiera'!FF55+'Parte financiera'!FV55+'Parte financiera'!GJ55+'Parte financiera'!GX55+'Parte financiera'!HL55</f>
        <v>#VALUE!</v>
      </c>
      <c r="C55" s="382">
        <f>'Parte financiera'!E55+'Parte financiera'!S55+'Parte financiera'!AG55+'Parte financiera'!AU55+'Parte financiera'!BK55+'Parte financiera'!BY55+'Parte financiera'!CM55+'Parte financiera'!DA55+'Parte financiera'!DQ55+'Parte financiera'!EE55+'Parte financiera'!ES55+'Parte financiera'!FG55+'Parte financiera'!FW55+'Parte financiera'!GK55+'Parte financiera'!GY55+'Parte financiera'!HM55</f>
        <v>0</v>
      </c>
      <c r="D55" s="382">
        <f>'Parte financiera'!F55+'Parte financiera'!T55+'Parte financiera'!AH55+'Parte financiera'!AV55+'Parte financiera'!BL55+'Parte financiera'!BZ55+'Parte financiera'!CN55+'Parte financiera'!DB55+'Parte financiera'!DR55+'Parte financiera'!EF55+'Parte financiera'!ET55+'Parte financiera'!FH55+'Parte financiera'!FX55+'Parte financiera'!GL55+'Parte financiera'!GZ55+'Parte financiera'!HN55</f>
        <v>0</v>
      </c>
      <c r="E55" s="382">
        <f>'Parte financiera'!G55+'Parte financiera'!U55+'Parte financiera'!AI55+'Parte financiera'!AW55+'Parte financiera'!BM55+'Parte financiera'!CA55+'Parte financiera'!CO55+'Parte financiera'!DC55+'Parte financiera'!DS55+'Parte financiera'!EG55+'Parte financiera'!EU55+'Parte financiera'!FI55+'Parte financiera'!FY55+'Parte financiera'!GM55+'Parte financiera'!HA55+'Parte financiera'!HO55</f>
        <v>0</v>
      </c>
      <c r="F55" s="382">
        <f>'Parte financiera'!H55+'Parte financiera'!V55+'Parte financiera'!AJ55+'Parte financiera'!AX55+'Parte financiera'!BN55+'Parte financiera'!CB55+'Parte financiera'!CP55+'Parte financiera'!DD55+'Parte financiera'!DT55+'Parte financiera'!EH55+'Parte financiera'!EV55+'Parte financiera'!FJ55+'Parte financiera'!FZ55+'Parte financiera'!GN55+'Parte financiera'!HB55+'Parte financiera'!HP55</f>
        <v>0</v>
      </c>
      <c r="G55" s="382">
        <f>'Parte financiera'!I55+'Parte financiera'!W55+'Parte financiera'!AK55+'Parte financiera'!AY55+'Parte financiera'!BO55+'Parte financiera'!CC55+'Parte financiera'!CQ55+'Parte financiera'!DE55+'Parte financiera'!DU55+'Parte financiera'!EI55+'Parte financiera'!EW55+'Parte financiera'!FK55+'Parte financiera'!GA55+'Parte financiera'!GO55+'Parte financiera'!HC55+'Parte financiera'!HQ55</f>
        <v>0</v>
      </c>
      <c r="H55" s="382">
        <f>'Parte financiera'!J55+'Parte financiera'!X55+'Parte financiera'!AL55+'Parte financiera'!AZ55+'Parte financiera'!BP55+'Parte financiera'!CD55+'Parte financiera'!CR55+'Parte financiera'!DF55+'Parte financiera'!DV55+'Parte financiera'!EJ55+'Parte financiera'!EX55+'Parte financiera'!FL55+'Parte financiera'!GB55+'Parte financiera'!GP55+'Parte financiera'!HD55+'Parte financiera'!HR55</f>
        <v>0</v>
      </c>
      <c r="I55" s="382">
        <f>'Parte financiera'!K55+'Parte financiera'!Y55+'Parte financiera'!AM55+'Parte financiera'!BA55+'Parte financiera'!BQ55+'Parte financiera'!CE55+'Parte financiera'!CS55+'Parte financiera'!DG55+'Parte financiera'!DW55+'Parte financiera'!EK55+'Parte financiera'!EY55+'Parte financiera'!FM55+'Parte financiera'!GC55+'Parte financiera'!GQ55+'Parte financiera'!HE55+'Parte financiera'!HS55</f>
        <v>0</v>
      </c>
      <c r="J55" s="382">
        <f>'Parte financiera'!L55+'Parte financiera'!Z55+'Parte financiera'!AN55+'Parte financiera'!BB55+'Parte financiera'!BR55+'Parte financiera'!CF55+'Parte financiera'!CT55+'Parte financiera'!DH55+'Parte financiera'!DX55+'Parte financiera'!EL55+'Parte financiera'!EZ55+'Parte financiera'!FN55+'Parte financiera'!GD55+'Parte financiera'!GR55+'Parte financiera'!HF55+'Parte financiera'!HT55</f>
        <v>0</v>
      </c>
      <c r="K55" s="382">
        <f>'Parte financiera'!M55+'Parte financiera'!AA55+'Parte financiera'!AO55+'Parte financiera'!BC55+'Parte financiera'!BS55+'Parte financiera'!CG55+'Parte financiera'!CU55+'Parte financiera'!DI55+'Parte financiera'!DY55+'Parte financiera'!EM55+'Parte financiera'!FA55+'Parte financiera'!FO55+'Parte financiera'!GE55+'Parte financiera'!GS55+'Parte financiera'!HG55+'Parte financiera'!HU55</f>
        <v>0</v>
      </c>
      <c r="L55" s="382">
        <f>'Parte financiera'!N55+'Parte financiera'!AB55+'Parte financiera'!AP55+'Parte financiera'!BD55+'Parte financiera'!BT55+'Parte financiera'!CH55+'Parte financiera'!CV55+'Parte financiera'!DJ55+'Parte financiera'!DZ55+'Parte financiera'!EN55+'Parte financiera'!FB55+'Parte financiera'!FP55+'Parte financiera'!GF55+'Parte financiera'!GT55+'Parte financiera'!HH55+'Parte financiera'!HV55</f>
        <v>0</v>
      </c>
      <c r="M55" s="382" t="e">
        <f>'Parte financiera'!O55+'Parte financiera'!AC55+'Parte financiera'!AQ55+'Parte financiera'!BE55+'Parte financiera'!BU55+'Parte financiera'!CI55+'Parte financiera'!CW55+'Parte financiera'!DK55+'Parte financiera'!EA55+'Parte financiera'!EO55+'Parte financiera'!FC55+'Parte financiera'!FQ55+'Parte financiera'!GG55+'Parte financiera'!GU55+'Parte financiera'!HI55+'Parte financiera'!HW55</f>
        <v>#VALUE!</v>
      </c>
      <c r="N55" s="382">
        <f>'Parte financiera'!P55+'Parte financiera'!AD55+'Parte financiera'!AR55+'Parte financiera'!BF55+'Parte financiera'!BV55+'Parte financiera'!CJ55+'Parte financiera'!CX55+'Parte financiera'!DL55+'Parte financiera'!EB55+'Parte financiera'!EP55+'Parte financiera'!FD55+'Parte financiera'!FR55+'Parte financiera'!GH55+'Parte financiera'!GV55+'Parte financiera'!HJ55+'Parte financiera'!HX55</f>
        <v>0</v>
      </c>
      <c r="O55" s="383">
        <f>'Parte financiera'!Q55+'Parte financiera'!AE55+'Parte financiera'!AS55+'Parte financiera'!BG55+'Parte financiera'!BW55+'Parte financiera'!CK55+'Parte financiera'!CY55+'Parte financiera'!DM55+'Parte financiera'!EC55+'Parte financiera'!EQ55+'Parte financiera'!FE55+'Parte financiera'!FS55+'Parte financiera'!GI55+'Parte financiera'!GW55+'Parte financiera'!HK55+'Parte financiera'!HY55</f>
        <v>0</v>
      </c>
    </row>
    <row r="56" spans="1:15">
      <c r="A56" s="463" t="str">
        <f>IF('Parte Estrategica'!B56=0,"",'Parte Estrategica'!B56)</f>
        <v/>
      </c>
      <c r="B56" s="382" t="e">
        <f>'Parte financiera'!D56+'Parte financiera'!R56+'Parte financiera'!AF56+'Parte financiera'!AT56+'Parte financiera'!BJ56+'Parte financiera'!BX56+'Parte financiera'!CL56+'Parte financiera'!CZ56+'Parte financiera'!DP56+'Parte financiera'!ED56+'Parte financiera'!ER56+'Parte financiera'!FF56+'Parte financiera'!FV56+'Parte financiera'!GJ56+'Parte financiera'!GX56+'Parte financiera'!HL56</f>
        <v>#VALUE!</v>
      </c>
      <c r="C56" s="382">
        <f>'Parte financiera'!E56+'Parte financiera'!S56+'Parte financiera'!AG56+'Parte financiera'!AU56+'Parte financiera'!BK56+'Parte financiera'!BY56+'Parte financiera'!CM56+'Parte financiera'!DA56+'Parte financiera'!DQ56+'Parte financiera'!EE56+'Parte financiera'!ES56+'Parte financiera'!FG56+'Parte financiera'!FW56+'Parte financiera'!GK56+'Parte financiera'!GY56+'Parte financiera'!HM56</f>
        <v>0</v>
      </c>
      <c r="D56" s="382">
        <f>'Parte financiera'!F56+'Parte financiera'!T56+'Parte financiera'!AH56+'Parte financiera'!AV56+'Parte financiera'!BL56+'Parte financiera'!BZ56+'Parte financiera'!CN56+'Parte financiera'!DB56+'Parte financiera'!DR56+'Parte financiera'!EF56+'Parte financiera'!ET56+'Parte financiera'!FH56+'Parte financiera'!FX56+'Parte financiera'!GL56+'Parte financiera'!GZ56+'Parte financiera'!HN56</f>
        <v>0</v>
      </c>
      <c r="E56" s="382">
        <f>'Parte financiera'!G56+'Parte financiera'!U56+'Parte financiera'!AI56+'Parte financiera'!AW56+'Parte financiera'!BM56+'Parte financiera'!CA56+'Parte financiera'!CO56+'Parte financiera'!DC56+'Parte financiera'!DS56+'Parte financiera'!EG56+'Parte financiera'!EU56+'Parte financiera'!FI56+'Parte financiera'!FY56+'Parte financiera'!GM56+'Parte financiera'!HA56+'Parte financiera'!HO56</f>
        <v>0</v>
      </c>
      <c r="F56" s="382">
        <f>'Parte financiera'!H56+'Parte financiera'!V56+'Parte financiera'!AJ56+'Parte financiera'!AX56+'Parte financiera'!BN56+'Parte financiera'!CB56+'Parte financiera'!CP56+'Parte financiera'!DD56+'Parte financiera'!DT56+'Parte financiera'!EH56+'Parte financiera'!EV56+'Parte financiera'!FJ56+'Parte financiera'!FZ56+'Parte financiera'!GN56+'Parte financiera'!HB56+'Parte financiera'!HP56</f>
        <v>0</v>
      </c>
      <c r="G56" s="382">
        <f>'Parte financiera'!I56+'Parte financiera'!W56+'Parte financiera'!AK56+'Parte financiera'!AY56+'Parte financiera'!BO56+'Parte financiera'!CC56+'Parte financiera'!CQ56+'Parte financiera'!DE56+'Parte financiera'!DU56+'Parte financiera'!EI56+'Parte financiera'!EW56+'Parte financiera'!FK56+'Parte financiera'!GA56+'Parte financiera'!GO56+'Parte financiera'!HC56+'Parte financiera'!HQ56</f>
        <v>0</v>
      </c>
      <c r="H56" s="382">
        <f>'Parte financiera'!J56+'Parte financiera'!X56+'Parte financiera'!AL56+'Parte financiera'!AZ56+'Parte financiera'!BP56+'Parte financiera'!CD56+'Parte financiera'!CR56+'Parte financiera'!DF56+'Parte financiera'!DV56+'Parte financiera'!EJ56+'Parte financiera'!EX56+'Parte financiera'!FL56+'Parte financiera'!GB56+'Parte financiera'!GP56+'Parte financiera'!HD56+'Parte financiera'!HR56</f>
        <v>0</v>
      </c>
      <c r="I56" s="382">
        <f>'Parte financiera'!K56+'Parte financiera'!Y56+'Parte financiera'!AM56+'Parte financiera'!BA56+'Parte financiera'!BQ56+'Parte financiera'!CE56+'Parte financiera'!CS56+'Parte financiera'!DG56+'Parte financiera'!DW56+'Parte financiera'!EK56+'Parte financiera'!EY56+'Parte financiera'!FM56+'Parte financiera'!GC56+'Parte financiera'!GQ56+'Parte financiera'!HE56+'Parte financiera'!HS56</f>
        <v>0</v>
      </c>
      <c r="J56" s="382">
        <f>'Parte financiera'!L56+'Parte financiera'!Z56+'Parte financiera'!AN56+'Parte financiera'!BB56+'Parte financiera'!BR56+'Parte financiera'!CF56+'Parte financiera'!CT56+'Parte financiera'!DH56+'Parte financiera'!DX56+'Parte financiera'!EL56+'Parte financiera'!EZ56+'Parte financiera'!FN56+'Parte financiera'!GD56+'Parte financiera'!GR56+'Parte financiera'!HF56+'Parte financiera'!HT56</f>
        <v>0</v>
      </c>
      <c r="K56" s="382">
        <f>'Parte financiera'!M56+'Parte financiera'!AA56+'Parte financiera'!AO56+'Parte financiera'!BC56+'Parte financiera'!BS56+'Parte financiera'!CG56+'Parte financiera'!CU56+'Parte financiera'!DI56+'Parte financiera'!DY56+'Parte financiera'!EM56+'Parte financiera'!FA56+'Parte financiera'!FO56+'Parte financiera'!GE56+'Parte financiera'!GS56+'Parte financiera'!HG56+'Parte financiera'!HU56</f>
        <v>0</v>
      </c>
      <c r="L56" s="382">
        <f>'Parte financiera'!N56+'Parte financiera'!AB56+'Parte financiera'!AP56+'Parte financiera'!BD56+'Parte financiera'!BT56+'Parte financiera'!CH56+'Parte financiera'!CV56+'Parte financiera'!DJ56+'Parte financiera'!DZ56+'Parte financiera'!EN56+'Parte financiera'!FB56+'Parte financiera'!FP56+'Parte financiera'!GF56+'Parte financiera'!GT56+'Parte financiera'!HH56+'Parte financiera'!HV56</f>
        <v>0</v>
      </c>
      <c r="M56" s="382" t="e">
        <f>'Parte financiera'!O56+'Parte financiera'!AC56+'Parte financiera'!AQ56+'Parte financiera'!BE56+'Parte financiera'!BU56+'Parte financiera'!CI56+'Parte financiera'!CW56+'Parte financiera'!DK56+'Parte financiera'!EA56+'Parte financiera'!EO56+'Parte financiera'!FC56+'Parte financiera'!FQ56+'Parte financiera'!GG56+'Parte financiera'!GU56+'Parte financiera'!HI56+'Parte financiera'!HW56</f>
        <v>#VALUE!</v>
      </c>
      <c r="N56" s="382">
        <f>'Parte financiera'!P56+'Parte financiera'!AD56+'Parte financiera'!AR56+'Parte financiera'!BF56+'Parte financiera'!BV56+'Parte financiera'!CJ56+'Parte financiera'!CX56+'Parte financiera'!DL56+'Parte financiera'!EB56+'Parte financiera'!EP56+'Parte financiera'!FD56+'Parte financiera'!FR56+'Parte financiera'!GH56+'Parte financiera'!GV56+'Parte financiera'!HJ56+'Parte financiera'!HX56</f>
        <v>0</v>
      </c>
      <c r="O56" s="383">
        <f>'Parte financiera'!Q56+'Parte financiera'!AE56+'Parte financiera'!AS56+'Parte financiera'!BG56+'Parte financiera'!BW56+'Parte financiera'!CK56+'Parte financiera'!CY56+'Parte financiera'!DM56+'Parte financiera'!EC56+'Parte financiera'!EQ56+'Parte financiera'!FE56+'Parte financiera'!FS56+'Parte financiera'!GI56+'Parte financiera'!GW56+'Parte financiera'!HK56+'Parte financiera'!HY56</f>
        <v>0</v>
      </c>
    </row>
    <row r="57" spans="1:15">
      <c r="A57" s="463" t="str">
        <f>IF('Parte Estrategica'!B57=0,"",'Parte Estrategica'!B57)</f>
        <v/>
      </c>
      <c r="B57" s="382" t="e">
        <f>'Parte financiera'!D57+'Parte financiera'!R57+'Parte financiera'!AF57+'Parte financiera'!AT57+'Parte financiera'!BJ57+'Parte financiera'!BX57+'Parte financiera'!CL57+'Parte financiera'!CZ57+'Parte financiera'!DP57+'Parte financiera'!ED57+'Parte financiera'!ER57+'Parte financiera'!FF57+'Parte financiera'!FV57+'Parte financiera'!GJ57+'Parte financiera'!GX57+'Parte financiera'!HL57</f>
        <v>#VALUE!</v>
      </c>
      <c r="C57" s="382">
        <f>'Parte financiera'!E57+'Parte financiera'!S57+'Parte financiera'!AG57+'Parte financiera'!AU57+'Parte financiera'!BK57+'Parte financiera'!BY57+'Parte financiera'!CM57+'Parte financiera'!DA57+'Parte financiera'!DQ57+'Parte financiera'!EE57+'Parte financiera'!ES57+'Parte financiera'!FG57+'Parte financiera'!FW57+'Parte financiera'!GK57+'Parte financiera'!GY57+'Parte financiera'!HM57</f>
        <v>0</v>
      </c>
      <c r="D57" s="382">
        <f>'Parte financiera'!F57+'Parte financiera'!T57+'Parte financiera'!AH57+'Parte financiera'!AV57+'Parte financiera'!BL57+'Parte financiera'!BZ57+'Parte financiera'!CN57+'Parte financiera'!DB57+'Parte financiera'!DR57+'Parte financiera'!EF57+'Parte financiera'!ET57+'Parte financiera'!FH57+'Parte financiera'!FX57+'Parte financiera'!GL57+'Parte financiera'!GZ57+'Parte financiera'!HN57</f>
        <v>0</v>
      </c>
      <c r="E57" s="382">
        <f>'Parte financiera'!G57+'Parte financiera'!U57+'Parte financiera'!AI57+'Parte financiera'!AW57+'Parte financiera'!BM57+'Parte financiera'!CA57+'Parte financiera'!CO57+'Parte financiera'!DC57+'Parte financiera'!DS57+'Parte financiera'!EG57+'Parte financiera'!EU57+'Parte financiera'!FI57+'Parte financiera'!FY57+'Parte financiera'!GM57+'Parte financiera'!HA57+'Parte financiera'!HO57</f>
        <v>0</v>
      </c>
      <c r="F57" s="382">
        <f>'Parte financiera'!H57+'Parte financiera'!V57+'Parte financiera'!AJ57+'Parte financiera'!AX57+'Parte financiera'!BN57+'Parte financiera'!CB57+'Parte financiera'!CP57+'Parte financiera'!DD57+'Parte financiera'!DT57+'Parte financiera'!EH57+'Parte financiera'!EV57+'Parte financiera'!FJ57+'Parte financiera'!FZ57+'Parte financiera'!GN57+'Parte financiera'!HB57+'Parte financiera'!HP57</f>
        <v>0</v>
      </c>
      <c r="G57" s="382">
        <f>'Parte financiera'!I57+'Parte financiera'!W57+'Parte financiera'!AK57+'Parte financiera'!AY57+'Parte financiera'!BO57+'Parte financiera'!CC57+'Parte financiera'!CQ57+'Parte financiera'!DE57+'Parte financiera'!DU57+'Parte financiera'!EI57+'Parte financiera'!EW57+'Parte financiera'!FK57+'Parte financiera'!GA57+'Parte financiera'!GO57+'Parte financiera'!HC57+'Parte financiera'!HQ57</f>
        <v>0</v>
      </c>
      <c r="H57" s="382">
        <f>'Parte financiera'!J57+'Parte financiera'!X57+'Parte financiera'!AL57+'Parte financiera'!AZ57+'Parte financiera'!BP57+'Parte financiera'!CD57+'Parte financiera'!CR57+'Parte financiera'!DF57+'Parte financiera'!DV57+'Parte financiera'!EJ57+'Parte financiera'!EX57+'Parte financiera'!FL57+'Parte financiera'!GB57+'Parte financiera'!GP57+'Parte financiera'!HD57+'Parte financiera'!HR57</f>
        <v>0</v>
      </c>
      <c r="I57" s="382">
        <f>'Parte financiera'!K57+'Parte financiera'!Y57+'Parte financiera'!AM57+'Parte financiera'!BA57+'Parte financiera'!BQ57+'Parte financiera'!CE57+'Parte financiera'!CS57+'Parte financiera'!DG57+'Parte financiera'!DW57+'Parte financiera'!EK57+'Parte financiera'!EY57+'Parte financiera'!FM57+'Parte financiera'!GC57+'Parte financiera'!GQ57+'Parte financiera'!HE57+'Parte financiera'!HS57</f>
        <v>0</v>
      </c>
      <c r="J57" s="382">
        <f>'Parte financiera'!L57+'Parte financiera'!Z57+'Parte financiera'!AN57+'Parte financiera'!BB57+'Parte financiera'!BR57+'Parte financiera'!CF57+'Parte financiera'!CT57+'Parte financiera'!DH57+'Parte financiera'!DX57+'Parte financiera'!EL57+'Parte financiera'!EZ57+'Parte financiera'!FN57+'Parte financiera'!GD57+'Parte financiera'!GR57+'Parte financiera'!HF57+'Parte financiera'!HT57</f>
        <v>0</v>
      </c>
      <c r="K57" s="382">
        <f>'Parte financiera'!M57+'Parte financiera'!AA57+'Parte financiera'!AO57+'Parte financiera'!BC57+'Parte financiera'!BS57+'Parte financiera'!CG57+'Parte financiera'!CU57+'Parte financiera'!DI57+'Parte financiera'!DY57+'Parte financiera'!EM57+'Parte financiera'!FA57+'Parte financiera'!FO57+'Parte financiera'!GE57+'Parte financiera'!GS57+'Parte financiera'!HG57+'Parte financiera'!HU57</f>
        <v>0</v>
      </c>
      <c r="L57" s="382">
        <f>'Parte financiera'!N57+'Parte financiera'!AB57+'Parte financiera'!AP57+'Parte financiera'!BD57+'Parte financiera'!BT57+'Parte financiera'!CH57+'Parte financiera'!CV57+'Parte financiera'!DJ57+'Parte financiera'!DZ57+'Parte financiera'!EN57+'Parte financiera'!FB57+'Parte financiera'!FP57+'Parte financiera'!GF57+'Parte financiera'!GT57+'Parte financiera'!HH57+'Parte financiera'!HV57</f>
        <v>0</v>
      </c>
      <c r="M57" s="382" t="e">
        <f>'Parte financiera'!O57+'Parte financiera'!AC57+'Parte financiera'!AQ57+'Parte financiera'!BE57+'Parte financiera'!BU57+'Parte financiera'!CI57+'Parte financiera'!CW57+'Parte financiera'!DK57+'Parte financiera'!EA57+'Parte financiera'!EO57+'Parte financiera'!FC57+'Parte financiera'!FQ57+'Parte financiera'!GG57+'Parte financiera'!GU57+'Parte financiera'!HI57+'Parte financiera'!HW57</f>
        <v>#VALUE!</v>
      </c>
      <c r="N57" s="382">
        <f>'Parte financiera'!P57+'Parte financiera'!AD57+'Parte financiera'!AR57+'Parte financiera'!BF57+'Parte financiera'!BV57+'Parte financiera'!CJ57+'Parte financiera'!CX57+'Parte financiera'!DL57+'Parte financiera'!EB57+'Parte financiera'!EP57+'Parte financiera'!FD57+'Parte financiera'!FR57+'Parte financiera'!GH57+'Parte financiera'!GV57+'Parte financiera'!HJ57+'Parte financiera'!HX57</f>
        <v>0</v>
      </c>
      <c r="O57" s="383">
        <f>'Parte financiera'!Q57+'Parte financiera'!AE57+'Parte financiera'!AS57+'Parte financiera'!BG57+'Parte financiera'!BW57+'Parte financiera'!CK57+'Parte financiera'!CY57+'Parte financiera'!DM57+'Parte financiera'!EC57+'Parte financiera'!EQ57+'Parte financiera'!FE57+'Parte financiera'!FS57+'Parte financiera'!GI57+'Parte financiera'!GW57+'Parte financiera'!HK57+'Parte financiera'!HY57</f>
        <v>0</v>
      </c>
    </row>
    <row r="58" spans="1:15">
      <c r="A58" s="463" t="str">
        <f>IF('Parte Estrategica'!B58=0,"",'Parte Estrategica'!B58)</f>
        <v/>
      </c>
      <c r="B58" s="382" t="e">
        <f>'Parte financiera'!D58+'Parte financiera'!R58+'Parte financiera'!AF58+'Parte financiera'!AT58+'Parte financiera'!BJ58+'Parte financiera'!BX58+'Parte financiera'!CL58+'Parte financiera'!CZ58+'Parte financiera'!DP58+'Parte financiera'!ED58+'Parte financiera'!ER58+'Parte financiera'!FF58+'Parte financiera'!FV58+'Parte financiera'!GJ58+'Parte financiera'!GX58+'Parte financiera'!HL58</f>
        <v>#VALUE!</v>
      </c>
      <c r="C58" s="382">
        <f>'Parte financiera'!E58+'Parte financiera'!S58+'Parte financiera'!AG58+'Parte financiera'!AU58+'Parte financiera'!BK58+'Parte financiera'!BY58+'Parte financiera'!CM58+'Parte financiera'!DA58+'Parte financiera'!DQ58+'Parte financiera'!EE58+'Parte financiera'!ES58+'Parte financiera'!FG58+'Parte financiera'!FW58+'Parte financiera'!GK58+'Parte financiera'!GY58+'Parte financiera'!HM58</f>
        <v>0</v>
      </c>
      <c r="D58" s="382">
        <f>'Parte financiera'!F58+'Parte financiera'!T58+'Parte financiera'!AH58+'Parte financiera'!AV58+'Parte financiera'!BL58+'Parte financiera'!BZ58+'Parte financiera'!CN58+'Parte financiera'!DB58+'Parte financiera'!DR58+'Parte financiera'!EF58+'Parte financiera'!ET58+'Parte financiera'!FH58+'Parte financiera'!FX58+'Parte financiera'!GL58+'Parte financiera'!GZ58+'Parte financiera'!HN58</f>
        <v>0</v>
      </c>
      <c r="E58" s="382">
        <f>'Parte financiera'!G58+'Parte financiera'!U58+'Parte financiera'!AI58+'Parte financiera'!AW58+'Parte financiera'!BM58+'Parte financiera'!CA58+'Parte financiera'!CO58+'Parte financiera'!DC58+'Parte financiera'!DS58+'Parte financiera'!EG58+'Parte financiera'!EU58+'Parte financiera'!FI58+'Parte financiera'!FY58+'Parte financiera'!GM58+'Parte financiera'!HA58+'Parte financiera'!HO58</f>
        <v>0</v>
      </c>
      <c r="F58" s="382">
        <f>'Parte financiera'!H58+'Parte financiera'!V58+'Parte financiera'!AJ58+'Parte financiera'!AX58+'Parte financiera'!BN58+'Parte financiera'!CB58+'Parte financiera'!CP58+'Parte financiera'!DD58+'Parte financiera'!DT58+'Parte financiera'!EH58+'Parte financiera'!EV58+'Parte financiera'!FJ58+'Parte financiera'!FZ58+'Parte financiera'!GN58+'Parte financiera'!HB58+'Parte financiera'!HP58</f>
        <v>0</v>
      </c>
      <c r="G58" s="382">
        <f>'Parte financiera'!I58+'Parte financiera'!W58+'Parte financiera'!AK58+'Parte financiera'!AY58+'Parte financiera'!BO58+'Parte financiera'!CC58+'Parte financiera'!CQ58+'Parte financiera'!DE58+'Parte financiera'!DU58+'Parte financiera'!EI58+'Parte financiera'!EW58+'Parte financiera'!FK58+'Parte financiera'!GA58+'Parte financiera'!GO58+'Parte financiera'!HC58+'Parte financiera'!HQ58</f>
        <v>0</v>
      </c>
      <c r="H58" s="382">
        <f>'Parte financiera'!J58+'Parte financiera'!X58+'Parte financiera'!AL58+'Parte financiera'!AZ58+'Parte financiera'!BP58+'Parte financiera'!CD58+'Parte financiera'!CR58+'Parte financiera'!DF58+'Parte financiera'!DV58+'Parte financiera'!EJ58+'Parte financiera'!EX58+'Parte financiera'!FL58+'Parte financiera'!GB58+'Parte financiera'!GP58+'Parte financiera'!HD58+'Parte financiera'!HR58</f>
        <v>0</v>
      </c>
      <c r="I58" s="382">
        <f>'Parte financiera'!K58+'Parte financiera'!Y58+'Parte financiera'!AM58+'Parte financiera'!BA58+'Parte financiera'!BQ58+'Parte financiera'!CE58+'Parte financiera'!CS58+'Parte financiera'!DG58+'Parte financiera'!DW58+'Parte financiera'!EK58+'Parte financiera'!EY58+'Parte financiera'!FM58+'Parte financiera'!GC58+'Parte financiera'!GQ58+'Parte financiera'!HE58+'Parte financiera'!HS58</f>
        <v>0</v>
      </c>
      <c r="J58" s="382">
        <f>'Parte financiera'!L58+'Parte financiera'!Z58+'Parte financiera'!AN58+'Parte financiera'!BB58+'Parte financiera'!BR58+'Parte financiera'!CF58+'Parte financiera'!CT58+'Parte financiera'!DH58+'Parte financiera'!DX58+'Parte financiera'!EL58+'Parte financiera'!EZ58+'Parte financiera'!FN58+'Parte financiera'!GD58+'Parte financiera'!GR58+'Parte financiera'!HF58+'Parte financiera'!HT58</f>
        <v>0</v>
      </c>
      <c r="K58" s="382">
        <f>'Parte financiera'!M58+'Parte financiera'!AA58+'Parte financiera'!AO58+'Parte financiera'!BC58+'Parte financiera'!BS58+'Parte financiera'!CG58+'Parte financiera'!CU58+'Parte financiera'!DI58+'Parte financiera'!DY58+'Parte financiera'!EM58+'Parte financiera'!FA58+'Parte financiera'!FO58+'Parte financiera'!GE58+'Parte financiera'!GS58+'Parte financiera'!HG58+'Parte financiera'!HU58</f>
        <v>0</v>
      </c>
      <c r="L58" s="382">
        <f>'Parte financiera'!N58+'Parte financiera'!AB58+'Parte financiera'!AP58+'Parte financiera'!BD58+'Parte financiera'!BT58+'Parte financiera'!CH58+'Parte financiera'!CV58+'Parte financiera'!DJ58+'Parte financiera'!DZ58+'Parte financiera'!EN58+'Parte financiera'!FB58+'Parte financiera'!FP58+'Parte financiera'!GF58+'Parte financiera'!GT58+'Parte financiera'!HH58+'Parte financiera'!HV58</f>
        <v>0</v>
      </c>
      <c r="M58" s="382" t="e">
        <f>'Parte financiera'!O58+'Parte financiera'!AC58+'Parte financiera'!AQ58+'Parte financiera'!BE58+'Parte financiera'!BU58+'Parte financiera'!CI58+'Parte financiera'!CW58+'Parte financiera'!DK58+'Parte financiera'!EA58+'Parte financiera'!EO58+'Parte financiera'!FC58+'Parte financiera'!FQ58+'Parte financiera'!GG58+'Parte financiera'!GU58+'Parte financiera'!HI58+'Parte financiera'!HW58</f>
        <v>#VALUE!</v>
      </c>
      <c r="N58" s="382">
        <f>'Parte financiera'!P58+'Parte financiera'!AD58+'Parte financiera'!AR58+'Parte financiera'!BF58+'Parte financiera'!BV58+'Parte financiera'!CJ58+'Parte financiera'!CX58+'Parte financiera'!DL58+'Parte financiera'!EB58+'Parte financiera'!EP58+'Parte financiera'!FD58+'Parte financiera'!FR58+'Parte financiera'!GH58+'Parte financiera'!GV58+'Parte financiera'!HJ58+'Parte financiera'!HX58</f>
        <v>0</v>
      </c>
      <c r="O58" s="383">
        <f>'Parte financiera'!Q58+'Parte financiera'!AE58+'Parte financiera'!AS58+'Parte financiera'!BG58+'Parte financiera'!BW58+'Parte financiera'!CK58+'Parte financiera'!CY58+'Parte financiera'!DM58+'Parte financiera'!EC58+'Parte financiera'!EQ58+'Parte financiera'!FE58+'Parte financiera'!FS58+'Parte financiera'!GI58+'Parte financiera'!GW58+'Parte financiera'!HK58+'Parte financiera'!HY58</f>
        <v>0</v>
      </c>
    </row>
    <row r="59" spans="1:15">
      <c r="A59" s="463" t="str">
        <f>IF('Parte Estrategica'!B59=0,"",'Parte Estrategica'!B59)</f>
        <v/>
      </c>
      <c r="B59" s="382" t="e">
        <f>'Parte financiera'!D59+'Parte financiera'!R59+'Parte financiera'!AF59+'Parte financiera'!AT59+'Parte financiera'!BJ59+'Parte financiera'!BX59+'Parte financiera'!CL59+'Parte financiera'!CZ59+'Parte financiera'!DP59+'Parte financiera'!ED59+'Parte financiera'!ER59+'Parte financiera'!FF59+'Parte financiera'!FV59+'Parte financiera'!GJ59+'Parte financiera'!GX59+'Parte financiera'!HL59</f>
        <v>#VALUE!</v>
      </c>
      <c r="C59" s="382">
        <f>'Parte financiera'!E59+'Parte financiera'!S59+'Parte financiera'!AG59+'Parte financiera'!AU59+'Parte financiera'!BK59+'Parte financiera'!BY59+'Parte financiera'!CM59+'Parte financiera'!DA59+'Parte financiera'!DQ59+'Parte financiera'!EE59+'Parte financiera'!ES59+'Parte financiera'!FG59+'Parte financiera'!FW59+'Parte financiera'!GK59+'Parte financiera'!GY59+'Parte financiera'!HM59</f>
        <v>0</v>
      </c>
      <c r="D59" s="382">
        <f>'Parte financiera'!F59+'Parte financiera'!T59+'Parte financiera'!AH59+'Parte financiera'!AV59+'Parte financiera'!BL59+'Parte financiera'!BZ59+'Parte financiera'!CN59+'Parte financiera'!DB59+'Parte financiera'!DR59+'Parte financiera'!EF59+'Parte financiera'!ET59+'Parte financiera'!FH59+'Parte financiera'!FX59+'Parte financiera'!GL59+'Parte financiera'!GZ59+'Parte financiera'!HN59</f>
        <v>0</v>
      </c>
      <c r="E59" s="382">
        <f>'Parte financiera'!G59+'Parte financiera'!U59+'Parte financiera'!AI59+'Parte financiera'!AW59+'Parte financiera'!BM59+'Parte financiera'!CA59+'Parte financiera'!CO59+'Parte financiera'!DC59+'Parte financiera'!DS59+'Parte financiera'!EG59+'Parte financiera'!EU59+'Parte financiera'!FI59+'Parte financiera'!FY59+'Parte financiera'!GM59+'Parte financiera'!HA59+'Parte financiera'!HO59</f>
        <v>0</v>
      </c>
      <c r="F59" s="382">
        <f>'Parte financiera'!H59+'Parte financiera'!V59+'Parte financiera'!AJ59+'Parte financiera'!AX59+'Parte financiera'!BN59+'Parte financiera'!CB59+'Parte financiera'!CP59+'Parte financiera'!DD59+'Parte financiera'!DT59+'Parte financiera'!EH59+'Parte financiera'!EV59+'Parte financiera'!FJ59+'Parte financiera'!FZ59+'Parte financiera'!GN59+'Parte financiera'!HB59+'Parte financiera'!HP59</f>
        <v>0</v>
      </c>
      <c r="G59" s="382">
        <f>'Parte financiera'!I59+'Parte financiera'!W59+'Parte financiera'!AK59+'Parte financiera'!AY59+'Parte financiera'!BO59+'Parte financiera'!CC59+'Parte financiera'!CQ59+'Parte financiera'!DE59+'Parte financiera'!DU59+'Parte financiera'!EI59+'Parte financiera'!EW59+'Parte financiera'!FK59+'Parte financiera'!GA59+'Parte financiera'!GO59+'Parte financiera'!HC59+'Parte financiera'!HQ59</f>
        <v>0</v>
      </c>
      <c r="H59" s="382">
        <f>'Parte financiera'!J59+'Parte financiera'!X59+'Parte financiera'!AL59+'Parte financiera'!AZ59+'Parte financiera'!BP59+'Parte financiera'!CD59+'Parte financiera'!CR59+'Parte financiera'!DF59+'Parte financiera'!DV59+'Parte financiera'!EJ59+'Parte financiera'!EX59+'Parte financiera'!FL59+'Parte financiera'!GB59+'Parte financiera'!GP59+'Parte financiera'!HD59+'Parte financiera'!HR59</f>
        <v>0</v>
      </c>
      <c r="I59" s="382">
        <f>'Parte financiera'!K59+'Parte financiera'!Y59+'Parte financiera'!AM59+'Parte financiera'!BA59+'Parte financiera'!BQ59+'Parte financiera'!CE59+'Parte financiera'!CS59+'Parte financiera'!DG59+'Parte financiera'!DW59+'Parte financiera'!EK59+'Parte financiera'!EY59+'Parte financiera'!FM59+'Parte financiera'!GC59+'Parte financiera'!GQ59+'Parte financiera'!HE59+'Parte financiera'!HS59</f>
        <v>0</v>
      </c>
      <c r="J59" s="382">
        <f>'Parte financiera'!L59+'Parte financiera'!Z59+'Parte financiera'!AN59+'Parte financiera'!BB59+'Parte financiera'!BR59+'Parte financiera'!CF59+'Parte financiera'!CT59+'Parte financiera'!DH59+'Parte financiera'!DX59+'Parte financiera'!EL59+'Parte financiera'!EZ59+'Parte financiera'!FN59+'Parte financiera'!GD59+'Parte financiera'!GR59+'Parte financiera'!HF59+'Parte financiera'!HT59</f>
        <v>0</v>
      </c>
      <c r="K59" s="382">
        <f>'Parte financiera'!M59+'Parte financiera'!AA59+'Parte financiera'!AO59+'Parte financiera'!BC59+'Parte financiera'!BS59+'Parte financiera'!CG59+'Parte financiera'!CU59+'Parte financiera'!DI59+'Parte financiera'!DY59+'Parte financiera'!EM59+'Parte financiera'!FA59+'Parte financiera'!FO59+'Parte financiera'!GE59+'Parte financiera'!GS59+'Parte financiera'!HG59+'Parte financiera'!HU59</f>
        <v>0</v>
      </c>
      <c r="L59" s="382">
        <f>'Parte financiera'!N59+'Parte financiera'!AB59+'Parte financiera'!AP59+'Parte financiera'!BD59+'Parte financiera'!BT59+'Parte financiera'!CH59+'Parte financiera'!CV59+'Parte financiera'!DJ59+'Parte financiera'!DZ59+'Parte financiera'!EN59+'Parte financiera'!FB59+'Parte financiera'!FP59+'Parte financiera'!GF59+'Parte financiera'!GT59+'Parte financiera'!HH59+'Parte financiera'!HV59</f>
        <v>0</v>
      </c>
      <c r="M59" s="382" t="e">
        <f>'Parte financiera'!O59+'Parte financiera'!AC59+'Parte financiera'!AQ59+'Parte financiera'!BE59+'Parte financiera'!BU59+'Parte financiera'!CI59+'Parte financiera'!CW59+'Parte financiera'!DK59+'Parte financiera'!EA59+'Parte financiera'!EO59+'Parte financiera'!FC59+'Parte financiera'!FQ59+'Parte financiera'!GG59+'Parte financiera'!GU59+'Parte financiera'!HI59+'Parte financiera'!HW59</f>
        <v>#VALUE!</v>
      </c>
      <c r="N59" s="382">
        <f>'Parte financiera'!P59+'Parte financiera'!AD59+'Parte financiera'!AR59+'Parte financiera'!BF59+'Parte financiera'!BV59+'Parte financiera'!CJ59+'Parte financiera'!CX59+'Parte financiera'!DL59+'Parte financiera'!EB59+'Parte financiera'!EP59+'Parte financiera'!FD59+'Parte financiera'!FR59+'Parte financiera'!GH59+'Parte financiera'!GV59+'Parte financiera'!HJ59+'Parte financiera'!HX59</f>
        <v>0</v>
      </c>
      <c r="O59" s="383">
        <f>'Parte financiera'!Q59+'Parte financiera'!AE59+'Parte financiera'!AS59+'Parte financiera'!BG59+'Parte financiera'!BW59+'Parte financiera'!CK59+'Parte financiera'!CY59+'Parte financiera'!DM59+'Parte financiera'!EC59+'Parte financiera'!EQ59+'Parte financiera'!FE59+'Parte financiera'!FS59+'Parte financiera'!GI59+'Parte financiera'!GW59+'Parte financiera'!HK59+'Parte financiera'!HY59</f>
        <v>0</v>
      </c>
    </row>
    <row r="60" spans="1:15">
      <c r="A60" s="463" t="str">
        <f>IF('Parte Estrategica'!B60=0,"",'Parte Estrategica'!B60)</f>
        <v/>
      </c>
      <c r="B60" s="382" t="e">
        <f>'Parte financiera'!D60+'Parte financiera'!R60+'Parte financiera'!AF60+'Parte financiera'!AT60+'Parte financiera'!BJ60+'Parte financiera'!BX60+'Parte financiera'!CL60+'Parte financiera'!CZ60+'Parte financiera'!DP60+'Parte financiera'!ED60+'Parte financiera'!ER60+'Parte financiera'!FF60+'Parte financiera'!FV60+'Parte financiera'!GJ60+'Parte financiera'!GX60+'Parte financiera'!HL60</f>
        <v>#VALUE!</v>
      </c>
      <c r="C60" s="382">
        <f>'Parte financiera'!E60+'Parte financiera'!S60+'Parte financiera'!AG60+'Parte financiera'!AU60+'Parte financiera'!BK60+'Parte financiera'!BY60+'Parte financiera'!CM60+'Parte financiera'!DA60+'Parte financiera'!DQ60+'Parte financiera'!EE60+'Parte financiera'!ES60+'Parte financiera'!FG60+'Parte financiera'!FW60+'Parte financiera'!GK60+'Parte financiera'!GY60+'Parte financiera'!HM60</f>
        <v>0</v>
      </c>
      <c r="D60" s="382">
        <f>'Parte financiera'!F60+'Parte financiera'!T60+'Parte financiera'!AH60+'Parte financiera'!AV60+'Parte financiera'!BL60+'Parte financiera'!BZ60+'Parte financiera'!CN60+'Parte financiera'!DB60+'Parte financiera'!DR60+'Parte financiera'!EF60+'Parte financiera'!ET60+'Parte financiera'!FH60+'Parte financiera'!FX60+'Parte financiera'!GL60+'Parte financiera'!GZ60+'Parte financiera'!HN60</f>
        <v>0</v>
      </c>
      <c r="E60" s="382">
        <f>'Parte financiera'!G60+'Parte financiera'!U60+'Parte financiera'!AI60+'Parte financiera'!AW60+'Parte financiera'!BM60+'Parte financiera'!CA60+'Parte financiera'!CO60+'Parte financiera'!DC60+'Parte financiera'!DS60+'Parte financiera'!EG60+'Parte financiera'!EU60+'Parte financiera'!FI60+'Parte financiera'!FY60+'Parte financiera'!GM60+'Parte financiera'!HA60+'Parte financiera'!HO60</f>
        <v>0</v>
      </c>
      <c r="F60" s="382">
        <f>'Parte financiera'!H60+'Parte financiera'!V60+'Parte financiera'!AJ60+'Parte financiera'!AX60+'Parte financiera'!BN60+'Parte financiera'!CB60+'Parte financiera'!CP60+'Parte financiera'!DD60+'Parte financiera'!DT60+'Parte financiera'!EH60+'Parte financiera'!EV60+'Parte financiera'!FJ60+'Parte financiera'!FZ60+'Parte financiera'!GN60+'Parte financiera'!HB60+'Parte financiera'!HP60</f>
        <v>0</v>
      </c>
      <c r="G60" s="382">
        <f>'Parte financiera'!I60+'Parte financiera'!W60+'Parte financiera'!AK60+'Parte financiera'!AY60+'Parte financiera'!BO60+'Parte financiera'!CC60+'Parte financiera'!CQ60+'Parte financiera'!DE60+'Parte financiera'!DU60+'Parte financiera'!EI60+'Parte financiera'!EW60+'Parte financiera'!FK60+'Parte financiera'!GA60+'Parte financiera'!GO60+'Parte financiera'!HC60+'Parte financiera'!HQ60</f>
        <v>0</v>
      </c>
      <c r="H60" s="382">
        <f>'Parte financiera'!J60+'Parte financiera'!X60+'Parte financiera'!AL60+'Parte financiera'!AZ60+'Parte financiera'!BP60+'Parte financiera'!CD60+'Parte financiera'!CR60+'Parte financiera'!DF60+'Parte financiera'!DV60+'Parte financiera'!EJ60+'Parte financiera'!EX60+'Parte financiera'!FL60+'Parte financiera'!GB60+'Parte financiera'!GP60+'Parte financiera'!HD60+'Parte financiera'!HR60</f>
        <v>0</v>
      </c>
      <c r="I60" s="382">
        <f>'Parte financiera'!K60+'Parte financiera'!Y60+'Parte financiera'!AM60+'Parte financiera'!BA60+'Parte financiera'!BQ60+'Parte financiera'!CE60+'Parte financiera'!CS60+'Parte financiera'!DG60+'Parte financiera'!DW60+'Parte financiera'!EK60+'Parte financiera'!EY60+'Parte financiera'!FM60+'Parte financiera'!GC60+'Parte financiera'!GQ60+'Parte financiera'!HE60+'Parte financiera'!HS60</f>
        <v>0</v>
      </c>
      <c r="J60" s="382">
        <f>'Parte financiera'!L60+'Parte financiera'!Z60+'Parte financiera'!AN60+'Parte financiera'!BB60+'Parte financiera'!BR60+'Parte financiera'!CF60+'Parte financiera'!CT60+'Parte financiera'!DH60+'Parte financiera'!DX60+'Parte financiera'!EL60+'Parte financiera'!EZ60+'Parte financiera'!FN60+'Parte financiera'!GD60+'Parte financiera'!GR60+'Parte financiera'!HF60+'Parte financiera'!HT60</f>
        <v>0</v>
      </c>
      <c r="K60" s="382">
        <f>'Parte financiera'!M60+'Parte financiera'!AA60+'Parte financiera'!AO60+'Parte financiera'!BC60+'Parte financiera'!BS60+'Parte financiera'!CG60+'Parte financiera'!CU60+'Parte financiera'!DI60+'Parte financiera'!DY60+'Parte financiera'!EM60+'Parte financiera'!FA60+'Parte financiera'!FO60+'Parte financiera'!GE60+'Parte financiera'!GS60+'Parte financiera'!HG60+'Parte financiera'!HU60</f>
        <v>0</v>
      </c>
      <c r="L60" s="382">
        <f>'Parte financiera'!N60+'Parte financiera'!AB60+'Parte financiera'!AP60+'Parte financiera'!BD60+'Parte financiera'!BT60+'Parte financiera'!CH60+'Parte financiera'!CV60+'Parte financiera'!DJ60+'Parte financiera'!DZ60+'Parte financiera'!EN60+'Parte financiera'!FB60+'Parte financiera'!FP60+'Parte financiera'!GF60+'Parte financiera'!GT60+'Parte financiera'!HH60+'Parte financiera'!HV60</f>
        <v>0</v>
      </c>
      <c r="M60" s="382" t="e">
        <f>'Parte financiera'!O60+'Parte financiera'!AC60+'Parte financiera'!AQ60+'Parte financiera'!BE60+'Parte financiera'!BU60+'Parte financiera'!CI60+'Parte financiera'!CW60+'Parte financiera'!DK60+'Parte financiera'!EA60+'Parte financiera'!EO60+'Parte financiera'!FC60+'Parte financiera'!FQ60+'Parte financiera'!GG60+'Parte financiera'!GU60+'Parte financiera'!HI60+'Parte financiera'!HW60</f>
        <v>#VALUE!</v>
      </c>
      <c r="N60" s="382">
        <f>'Parte financiera'!P60+'Parte financiera'!AD60+'Parte financiera'!AR60+'Parte financiera'!BF60+'Parte financiera'!BV60+'Parte financiera'!CJ60+'Parte financiera'!CX60+'Parte financiera'!DL60+'Parte financiera'!EB60+'Parte financiera'!EP60+'Parte financiera'!FD60+'Parte financiera'!FR60+'Parte financiera'!GH60+'Parte financiera'!GV60+'Parte financiera'!HJ60+'Parte financiera'!HX60</f>
        <v>0</v>
      </c>
      <c r="O60" s="383">
        <f>'Parte financiera'!Q60+'Parte financiera'!AE60+'Parte financiera'!AS60+'Parte financiera'!BG60+'Parte financiera'!BW60+'Parte financiera'!CK60+'Parte financiera'!CY60+'Parte financiera'!DM60+'Parte financiera'!EC60+'Parte financiera'!EQ60+'Parte financiera'!FE60+'Parte financiera'!FS60+'Parte financiera'!GI60+'Parte financiera'!GW60+'Parte financiera'!HK60+'Parte financiera'!HY60</f>
        <v>0</v>
      </c>
    </row>
    <row r="61" spans="1:15">
      <c r="A61" s="463" t="str">
        <f>IF('Parte Estrategica'!B61=0,"",'Parte Estrategica'!B61)</f>
        <v/>
      </c>
      <c r="B61" s="382" t="e">
        <f>'Parte financiera'!D61+'Parte financiera'!R61+'Parte financiera'!AF61+'Parte financiera'!AT61+'Parte financiera'!BJ61+'Parte financiera'!BX61+'Parte financiera'!CL61+'Parte financiera'!CZ61+'Parte financiera'!DP61+'Parte financiera'!ED61+'Parte financiera'!ER61+'Parte financiera'!FF61+'Parte financiera'!FV61+'Parte financiera'!GJ61+'Parte financiera'!GX61+'Parte financiera'!HL61</f>
        <v>#VALUE!</v>
      </c>
      <c r="C61" s="382">
        <f>'Parte financiera'!E61+'Parte financiera'!S61+'Parte financiera'!AG61+'Parte financiera'!AU61+'Parte financiera'!BK61+'Parte financiera'!BY61+'Parte financiera'!CM61+'Parte financiera'!DA61+'Parte financiera'!DQ61+'Parte financiera'!EE61+'Parte financiera'!ES61+'Parte financiera'!FG61+'Parte financiera'!FW61+'Parte financiera'!GK61+'Parte financiera'!GY61+'Parte financiera'!HM61</f>
        <v>0</v>
      </c>
      <c r="D61" s="382">
        <f>'Parte financiera'!F61+'Parte financiera'!T61+'Parte financiera'!AH61+'Parte financiera'!AV61+'Parte financiera'!BL61+'Parte financiera'!BZ61+'Parte financiera'!CN61+'Parte financiera'!DB61+'Parte financiera'!DR61+'Parte financiera'!EF61+'Parte financiera'!ET61+'Parte financiera'!FH61+'Parte financiera'!FX61+'Parte financiera'!GL61+'Parte financiera'!GZ61+'Parte financiera'!HN61</f>
        <v>0</v>
      </c>
      <c r="E61" s="382">
        <f>'Parte financiera'!G61+'Parte financiera'!U61+'Parte financiera'!AI61+'Parte financiera'!AW61+'Parte financiera'!BM61+'Parte financiera'!CA61+'Parte financiera'!CO61+'Parte financiera'!DC61+'Parte financiera'!DS61+'Parte financiera'!EG61+'Parte financiera'!EU61+'Parte financiera'!FI61+'Parte financiera'!FY61+'Parte financiera'!GM61+'Parte financiera'!HA61+'Parte financiera'!HO61</f>
        <v>0</v>
      </c>
      <c r="F61" s="382">
        <f>'Parte financiera'!H61+'Parte financiera'!V61+'Parte financiera'!AJ61+'Parte financiera'!AX61+'Parte financiera'!BN61+'Parte financiera'!CB61+'Parte financiera'!CP61+'Parte financiera'!DD61+'Parte financiera'!DT61+'Parte financiera'!EH61+'Parte financiera'!EV61+'Parte financiera'!FJ61+'Parte financiera'!FZ61+'Parte financiera'!GN61+'Parte financiera'!HB61+'Parte financiera'!HP61</f>
        <v>0</v>
      </c>
      <c r="G61" s="382">
        <f>'Parte financiera'!I61+'Parte financiera'!W61+'Parte financiera'!AK61+'Parte financiera'!AY61+'Parte financiera'!BO61+'Parte financiera'!CC61+'Parte financiera'!CQ61+'Parte financiera'!DE61+'Parte financiera'!DU61+'Parte financiera'!EI61+'Parte financiera'!EW61+'Parte financiera'!FK61+'Parte financiera'!GA61+'Parte financiera'!GO61+'Parte financiera'!HC61+'Parte financiera'!HQ61</f>
        <v>0</v>
      </c>
      <c r="H61" s="382">
        <f>'Parte financiera'!J61+'Parte financiera'!X61+'Parte financiera'!AL61+'Parte financiera'!AZ61+'Parte financiera'!BP61+'Parte financiera'!CD61+'Parte financiera'!CR61+'Parte financiera'!DF61+'Parte financiera'!DV61+'Parte financiera'!EJ61+'Parte financiera'!EX61+'Parte financiera'!FL61+'Parte financiera'!GB61+'Parte financiera'!GP61+'Parte financiera'!HD61+'Parte financiera'!HR61</f>
        <v>0</v>
      </c>
      <c r="I61" s="382">
        <f>'Parte financiera'!K61+'Parte financiera'!Y61+'Parte financiera'!AM61+'Parte financiera'!BA61+'Parte financiera'!BQ61+'Parte financiera'!CE61+'Parte financiera'!CS61+'Parte financiera'!DG61+'Parte financiera'!DW61+'Parte financiera'!EK61+'Parte financiera'!EY61+'Parte financiera'!FM61+'Parte financiera'!GC61+'Parte financiera'!GQ61+'Parte financiera'!HE61+'Parte financiera'!HS61</f>
        <v>0</v>
      </c>
      <c r="J61" s="382">
        <f>'Parte financiera'!L61+'Parte financiera'!Z61+'Parte financiera'!AN61+'Parte financiera'!BB61+'Parte financiera'!BR61+'Parte financiera'!CF61+'Parte financiera'!CT61+'Parte financiera'!DH61+'Parte financiera'!DX61+'Parte financiera'!EL61+'Parte financiera'!EZ61+'Parte financiera'!FN61+'Parte financiera'!GD61+'Parte financiera'!GR61+'Parte financiera'!HF61+'Parte financiera'!HT61</f>
        <v>0</v>
      </c>
      <c r="K61" s="382">
        <f>'Parte financiera'!M61+'Parte financiera'!AA61+'Parte financiera'!AO61+'Parte financiera'!BC61+'Parte financiera'!BS61+'Parte financiera'!CG61+'Parte financiera'!CU61+'Parte financiera'!DI61+'Parte financiera'!DY61+'Parte financiera'!EM61+'Parte financiera'!FA61+'Parte financiera'!FO61+'Parte financiera'!GE61+'Parte financiera'!GS61+'Parte financiera'!HG61+'Parte financiera'!HU61</f>
        <v>0</v>
      </c>
      <c r="L61" s="382">
        <f>'Parte financiera'!N61+'Parte financiera'!AB61+'Parte financiera'!AP61+'Parte financiera'!BD61+'Parte financiera'!BT61+'Parte financiera'!CH61+'Parte financiera'!CV61+'Parte financiera'!DJ61+'Parte financiera'!DZ61+'Parte financiera'!EN61+'Parte financiera'!FB61+'Parte financiera'!FP61+'Parte financiera'!GF61+'Parte financiera'!GT61+'Parte financiera'!HH61+'Parte financiera'!HV61</f>
        <v>0</v>
      </c>
      <c r="M61" s="382" t="e">
        <f>'Parte financiera'!O61+'Parte financiera'!AC61+'Parte financiera'!AQ61+'Parte financiera'!BE61+'Parte financiera'!BU61+'Parte financiera'!CI61+'Parte financiera'!CW61+'Parte financiera'!DK61+'Parte financiera'!EA61+'Parte financiera'!EO61+'Parte financiera'!FC61+'Parte financiera'!FQ61+'Parte financiera'!GG61+'Parte financiera'!GU61+'Parte financiera'!HI61+'Parte financiera'!HW61</f>
        <v>#VALUE!</v>
      </c>
      <c r="N61" s="382">
        <f>'Parte financiera'!P61+'Parte financiera'!AD61+'Parte financiera'!AR61+'Parte financiera'!BF61+'Parte financiera'!BV61+'Parte financiera'!CJ61+'Parte financiera'!CX61+'Parte financiera'!DL61+'Parte financiera'!EB61+'Parte financiera'!EP61+'Parte financiera'!FD61+'Parte financiera'!FR61+'Parte financiera'!GH61+'Parte financiera'!GV61+'Parte financiera'!HJ61+'Parte financiera'!HX61</f>
        <v>0</v>
      </c>
      <c r="O61" s="383">
        <f>'Parte financiera'!Q61+'Parte financiera'!AE61+'Parte financiera'!AS61+'Parte financiera'!BG61+'Parte financiera'!BW61+'Parte financiera'!CK61+'Parte financiera'!CY61+'Parte financiera'!DM61+'Parte financiera'!EC61+'Parte financiera'!EQ61+'Parte financiera'!FE61+'Parte financiera'!FS61+'Parte financiera'!GI61+'Parte financiera'!GW61+'Parte financiera'!HK61+'Parte financiera'!HY61</f>
        <v>0</v>
      </c>
    </row>
    <row r="62" spans="1:15">
      <c r="A62" s="463" t="str">
        <f>IF('Parte Estrategica'!B62=0,"",'Parte Estrategica'!B62)</f>
        <v/>
      </c>
      <c r="B62" s="382" t="e">
        <f>'Parte financiera'!D62+'Parte financiera'!R62+'Parte financiera'!AF62+'Parte financiera'!AT62+'Parte financiera'!BJ62+'Parte financiera'!BX62+'Parte financiera'!CL62+'Parte financiera'!CZ62+'Parte financiera'!DP62+'Parte financiera'!ED62+'Parte financiera'!ER62+'Parte financiera'!FF62+'Parte financiera'!FV62+'Parte financiera'!GJ62+'Parte financiera'!GX62+'Parte financiera'!HL62</f>
        <v>#VALUE!</v>
      </c>
      <c r="C62" s="382">
        <f>'Parte financiera'!E62+'Parte financiera'!S62+'Parte financiera'!AG62+'Parte financiera'!AU62+'Parte financiera'!BK62+'Parte financiera'!BY62+'Parte financiera'!CM62+'Parte financiera'!DA62+'Parte financiera'!DQ62+'Parte financiera'!EE62+'Parte financiera'!ES62+'Parte financiera'!FG62+'Parte financiera'!FW62+'Parte financiera'!GK62+'Parte financiera'!GY62+'Parte financiera'!HM62</f>
        <v>0</v>
      </c>
      <c r="D62" s="382">
        <f>'Parte financiera'!F62+'Parte financiera'!T62+'Parte financiera'!AH62+'Parte financiera'!AV62+'Parte financiera'!BL62+'Parte financiera'!BZ62+'Parte financiera'!CN62+'Parte financiera'!DB62+'Parte financiera'!DR62+'Parte financiera'!EF62+'Parte financiera'!ET62+'Parte financiera'!FH62+'Parte financiera'!FX62+'Parte financiera'!GL62+'Parte financiera'!GZ62+'Parte financiera'!HN62</f>
        <v>0</v>
      </c>
      <c r="E62" s="382">
        <f>'Parte financiera'!G62+'Parte financiera'!U62+'Parte financiera'!AI62+'Parte financiera'!AW62+'Parte financiera'!BM62+'Parte financiera'!CA62+'Parte financiera'!CO62+'Parte financiera'!DC62+'Parte financiera'!DS62+'Parte financiera'!EG62+'Parte financiera'!EU62+'Parte financiera'!FI62+'Parte financiera'!FY62+'Parte financiera'!GM62+'Parte financiera'!HA62+'Parte financiera'!HO62</f>
        <v>0</v>
      </c>
      <c r="F62" s="382">
        <f>'Parte financiera'!H62+'Parte financiera'!V62+'Parte financiera'!AJ62+'Parte financiera'!AX62+'Parte financiera'!BN62+'Parte financiera'!CB62+'Parte financiera'!CP62+'Parte financiera'!DD62+'Parte financiera'!DT62+'Parte financiera'!EH62+'Parte financiera'!EV62+'Parte financiera'!FJ62+'Parte financiera'!FZ62+'Parte financiera'!GN62+'Parte financiera'!HB62+'Parte financiera'!HP62</f>
        <v>0</v>
      </c>
      <c r="G62" s="382">
        <f>'Parte financiera'!I62+'Parte financiera'!W62+'Parte financiera'!AK62+'Parte financiera'!AY62+'Parte financiera'!BO62+'Parte financiera'!CC62+'Parte financiera'!CQ62+'Parte financiera'!DE62+'Parte financiera'!DU62+'Parte financiera'!EI62+'Parte financiera'!EW62+'Parte financiera'!FK62+'Parte financiera'!GA62+'Parte financiera'!GO62+'Parte financiera'!HC62+'Parte financiera'!HQ62</f>
        <v>0</v>
      </c>
      <c r="H62" s="382">
        <f>'Parte financiera'!J62+'Parte financiera'!X62+'Parte financiera'!AL62+'Parte financiera'!AZ62+'Parte financiera'!BP62+'Parte financiera'!CD62+'Parte financiera'!CR62+'Parte financiera'!DF62+'Parte financiera'!DV62+'Parte financiera'!EJ62+'Parte financiera'!EX62+'Parte financiera'!FL62+'Parte financiera'!GB62+'Parte financiera'!GP62+'Parte financiera'!HD62+'Parte financiera'!HR62</f>
        <v>0</v>
      </c>
      <c r="I62" s="382">
        <f>'Parte financiera'!K62+'Parte financiera'!Y62+'Parte financiera'!AM62+'Parte financiera'!BA62+'Parte financiera'!BQ62+'Parte financiera'!CE62+'Parte financiera'!CS62+'Parte financiera'!DG62+'Parte financiera'!DW62+'Parte financiera'!EK62+'Parte financiera'!EY62+'Parte financiera'!FM62+'Parte financiera'!GC62+'Parte financiera'!GQ62+'Parte financiera'!HE62+'Parte financiera'!HS62</f>
        <v>0</v>
      </c>
      <c r="J62" s="382">
        <f>'Parte financiera'!L62+'Parte financiera'!Z62+'Parte financiera'!AN62+'Parte financiera'!BB62+'Parte financiera'!BR62+'Parte financiera'!CF62+'Parte financiera'!CT62+'Parte financiera'!DH62+'Parte financiera'!DX62+'Parte financiera'!EL62+'Parte financiera'!EZ62+'Parte financiera'!FN62+'Parte financiera'!GD62+'Parte financiera'!GR62+'Parte financiera'!HF62+'Parte financiera'!HT62</f>
        <v>0</v>
      </c>
      <c r="K62" s="382">
        <f>'Parte financiera'!M62+'Parte financiera'!AA62+'Parte financiera'!AO62+'Parte financiera'!BC62+'Parte financiera'!BS62+'Parte financiera'!CG62+'Parte financiera'!CU62+'Parte financiera'!DI62+'Parte financiera'!DY62+'Parte financiera'!EM62+'Parte financiera'!FA62+'Parte financiera'!FO62+'Parte financiera'!GE62+'Parte financiera'!GS62+'Parte financiera'!HG62+'Parte financiera'!HU62</f>
        <v>0</v>
      </c>
      <c r="L62" s="382">
        <f>'Parte financiera'!N62+'Parte financiera'!AB62+'Parte financiera'!AP62+'Parte financiera'!BD62+'Parte financiera'!BT62+'Parte financiera'!CH62+'Parte financiera'!CV62+'Parte financiera'!DJ62+'Parte financiera'!DZ62+'Parte financiera'!EN62+'Parte financiera'!FB62+'Parte financiera'!FP62+'Parte financiera'!GF62+'Parte financiera'!GT62+'Parte financiera'!HH62+'Parte financiera'!HV62</f>
        <v>0</v>
      </c>
      <c r="M62" s="382" t="e">
        <f>'Parte financiera'!O62+'Parte financiera'!AC62+'Parte financiera'!AQ62+'Parte financiera'!BE62+'Parte financiera'!BU62+'Parte financiera'!CI62+'Parte financiera'!CW62+'Parte financiera'!DK62+'Parte financiera'!EA62+'Parte financiera'!EO62+'Parte financiera'!FC62+'Parte financiera'!FQ62+'Parte financiera'!GG62+'Parte financiera'!GU62+'Parte financiera'!HI62+'Parte financiera'!HW62</f>
        <v>#VALUE!</v>
      </c>
      <c r="N62" s="382">
        <f>'Parte financiera'!P62+'Parte financiera'!AD62+'Parte financiera'!AR62+'Parte financiera'!BF62+'Parte financiera'!BV62+'Parte financiera'!CJ62+'Parte financiera'!CX62+'Parte financiera'!DL62+'Parte financiera'!EB62+'Parte financiera'!EP62+'Parte financiera'!FD62+'Parte financiera'!FR62+'Parte financiera'!GH62+'Parte financiera'!GV62+'Parte financiera'!HJ62+'Parte financiera'!HX62</f>
        <v>0</v>
      </c>
      <c r="O62" s="383">
        <f>'Parte financiera'!Q62+'Parte financiera'!AE62+'Parte financiera'!AS62+'Parte financiera'!BG62+'Parte financiera'!BW62+'Parte financiera'!CK62+'Parte financiera'!CY62+'Parte financiera'!DM62+'Parte financiera'!EC62+'Parte financiera'!EQ62+'Parte financiera'!FE62+'Parte financiera'!FS62+'Parte financiera'!GI62+'Parte financiera'!GW62+'Parte financiera'!HK62+'Parte financiera'!HY62</f>
        <v>0</v>
      </c>
    </row>
    <row r="63" spans="1:15">
      <c r="A63" s="463" t="str">
        <f>IF('Parte Estrategica'!B63=0,"",'Parte Estrategica'!B63)</f>
        <v/>
      </c>
      <c r="B63" s="382" t="e">
        <f>'Parte financiera'!D63+'Parte financiera'!R63+'Parte financiera'!AF63+'Parte financiera'!AT63+'Parte financiera'!BJ63+'Parte financiera'!BX63+'Parte financiera'!CL63+'Parte financiera'!CZ63+'Parte financiera'!DP63+'Parte financiera'!ED63+'Parte financiera'!ER63+'Parte financiera'!FF63+'Parte financiera'!FV63+'Parte financiera'!GJ63+'Parte financiera'!GX63+'Parte financiera'!HL63</f>
        <v>#VALUE!</v>
      </c>
      <c r="C63" s="382">
        <f>'Parte financiera'!E63+'Parte financiera'!S63+'Parte financiera'!AG63+'Parte financiera'!AU63+'Parte financiera'!BK63+'Parte financiera'!BY63+'Parte financiera'!CM63+'Parte financiera'!DA63+'Parte financiera'!DQ63+'Parte financiera'!EE63+'Parte financiera'!ES63+'Parte financiera'!FG63+'Parte financiera'!FW63+'Parte financiera'!GK63+'Parte financiera'!GY63+'Parte financiera'!HM63</f>
        <v>0</v>
      </c>
      <c r="D63" s="382">
        <f>'Parte financiera'!F63+'Parte financiera'!T63+'Parte financiera'!AH63+'Parte financiera'!AV63+'Parte financiera'!BL63+'Parte financiera'!BZ63+'Parte financiera'!CN63+'Parte financiera'!DB63+'Parte financiera'!DR63+'Parte financiera'!EF63+'Parte financiera'!ET63+'Parte financiera'!FH63+'Parte financiera'!FX63+'Parte financiera'!GL63+'Parte financiera'!GZ63+'Parte financiera'!HN63</f>
        <v>0</v>
      </c>
      <c r="E63" s="382">
        <f>'Parte financiera'!G63+'Parte financiera'!U63+'Parte financiera'!AI63+'Parte financiera'!AW63+'Parte financiera'!BM63+'Parte financiera'!CA63+'Parte financiera'!CO63+'Parte financiera'!DC63+'Parte financiera'!DS63+'Parte financiera'!EG63+'Parte financiera'!EU63+'Parte financiera'!FI63+'Parte financiera'!FY63+'Parte financiera'!GM63+'Parte financiera'!HA63+'Parte financiera'!HO63</f>
        <v>0</v>
      </c>
      <c r="F63" s="382">
        <f>'Parte financiera'!H63+'Parte financiera'!V63+'Parte financiera'!AJ63+'Parte financiera'!AX63+'Parte financiera'!BN63+'Parte financiera'!CB63+'Parte financiera'!CP63+'Parte financiera'!DD63+'Parte financiera'!DT63+'Parte financiera'!EH63+'Parte financiera'!EV63+'Parte financiera'!FJ63+'Parte financiera'!FZ63+'Parte financiera'!GN63+'Parte financiera'!HB63+'Parte financiera'!HP63</f>
        <v>0</v>
      </c>
      <c r="G63" s="382">
        <f>'Parte financiera'!I63+'Parte financiera'!W63+'Parte financiera'!AK63+'Parte financiera'!AY63+'Parte financiera'!BO63+'Parte financiera'!CC63+'Parte financiera'!CQ63+'Parte financiera'!DE63+'Parte financiera'!DU63+'Parte financiera'!EI63+'Parte financiera'!EW63+'Parte financiera'!FK63+'Parte financiera'!GA63+'Parte financiera'!GO63+'Parte financiera'!HC63+'Parte financiera'!HQ63</f>
        <v>0</v>
      </c>
      <c r="H63" s="382">
        <f>'Parte financiera'!J63+'Parte financiera'!X63+'Parte financiera'!AL63+'Parte financiera'!AZ63+'Parte financiera'!BP63+'Parte financiera'!CD63+'Parte financiera'!CR63+'Parte financiera'!DF63+'Parte financiera'!DV63+'Parte financiera'!EJ63+'Parte financiera'!EX63+'Parte financiera'!FL63+'Parte financiera'!GB63+'Parte financiera'!GP63+'Parte financiera'!HD63+'Parte financiera'!HR63</f>
        <v>0</v>
      </c>
      <c r="I63" s="382">
        <f>'Parte financiera'!K63+'Parte financiera'!Y63+'Parte financiera'!AM63+'Parte financiera'!BA63+'Parte financiera'!BQ63+'Parte financiera'!CE63+'Parte financiera'!CS63+'Parte financiera'!DG63+'Parte financiera'!DW63+'Parte financiera'!EK63+'Parte financiera'!EY63+'Parte financiera'!FM63+'Parte financiera'!GC63+'Parte financiera'!GQ63+'Parte financiera'!HE63+'Parte financiera'!HS63</f>
        <v>0</v>
      </c>
      <c r="J63" s="382">
        <f>'Parte financiera'!L63+'Parte financiera'!Z63+'Parte financiera'!AN63+'Parte financiera'!BB63+'Parte financiera'!BR63+'Parte financiera'!CF63+'Parte financiera'!CT63+'Parte financiera'!DH63+'Parte financiera'!DX63+'Parte financiera'!EL63+'Parte financiera'!EZ63+'Parte financiera'!FN63+'Parte financiera'!GD63+'Parte financiera'!GR63+'Parte financiera'!HF63+'Parte financiera'!HT63</f>
        <v>0</v>
      </c>
      <c r="K63" s="382">
        <f>'Parte financiera'!M63+'Parte financiera'!AA63+'Parte financiera'!AO63+'Parte financiera'!BC63+'Parte financiera'!BS63+'Parte financiera'!CG63+'Parte financiera'!CU63+'Parte financiera'!DI63+'Parte financiera'!DY63+'Parte financiera'!EM63+'Parte financiera'!FA63+'Parte financiera'!FO63+'Parte financiera'!GE63+'Parte financiera'!GS63+'Parte financiera'!HG63+'Parte financiera'!HU63</f>
        <v>0</v>
      </c>
      <c r="L63" s="382">
        <f>'Parte financiera'!N63+'Parte financiera'!AB63+'Parte financiera'!AP63+'Parte financiera'!BD63+'Parte financiera'!BT63+'Parte financiera'!CH63+'Parte financiera'!CV63+'Parte financiera'!DJ63+'Parte financiera'!DZ63+'Parte financiera'!EN63+'Parte financiera'!FB63+'Parte financiera'!FP63+'Parte financiera'!GF63+'Parte financiera'!GT63+'Parte financiera'!HH63+'Parte financiera'!HV63</f>
        <v>0</v>
      </c>
      <c r="M63" s="382" t="e">
        <f>'Parte financiera'!O63+'Parte financiera'!AC63+'Parte financiera'!AQ63+'Parte financiera'!BE63+'Parte financiera'!BU63+'Parte financiera'!CI63+'Parte financiera'!CW63+'Parte financiera'!DK63+'Parte financiera'!EA63+'Parte financiera'!EO63+'Parte financiera'!FC63+'Parte financiera'!FQ63+'Parte financiera'!GG63+'Parte financiera'!GU63+'Parte financiera'!HI63+'Parte financiera'!HW63</f>
        <v>#VALUE!</v>
      </c>
      <c r="N63" s="382">
        <f>'Parte financiera'!P63+'Parte financiera'!AD63+'Parte financiera'!AR63+'Parte financiera'!BF63+'Parte financiera'!BV63+'Parte financiera'!CJ63+'Parte financiera'!CX63+'Parte financiera'!DL63+'Parte financiera'!EB63+'Parte financiera'!EP63+'Parte financiera'!FD63+'Parte financiera'!FR63+'Parte financiera'!GH63+'Parte financiera'!GV63+'Parte financiera'!HJ63+'Parte financiera'!HX63</f>
        <v>0</v>
      </c>
      <c r="O63" s="383">
        <f>'Parte financiera'!Q63+'Parte financiera'!AE63+'Parte financiera'!AS63+'Parte financiera'!BG63+'Parte financiera'!BW63+'Parte financiera'!CK63+'Parte financiera'!CY63+'Parte financiera'!DM63+'Parte financiera'!EC63+'Parte financiera'!EQ63+'Parte financiera'!FE63+'Parte financiera'!FS63+'Parte financiera'!GI63+'Parte financiera'!GW63+'Parte financiera'!HK63+'Parte financiera'!HY63</f>
        <v>0</v>
      </c>
    </row>
    <row r="64" spans="1:15">
      <c r="A64" s="463" t="str">
        <f>IF('Parte Estrategica'!B64=0,"",'Parte Estrategica'!B64)</f>
        <v/>
      </c>
      <c r="B64" s="382" t="e">
        <f>'Parte financiera'!D64+'Parte financiera'!R64+'Parte financiera'!AF64+'Parte financiera'!AT64+'Parte financiera'!BJ64+'Parte financiera'!BX64+'Parte financiera'!CL64+'Parte financiera'!CZ64+'Parte financiera'!DP64+'Parte financiera'!ED64+'Parte financiera'!ER64+'Parte financiera'!FF64+'Parte financiera'!FV64+'Parte financiera'!GJ64+'Parte financiera'!GX64+'Parte financiera'!HL64</f>
        <v>#VALUE!</v>
      </c>
      <c r="C64" s="382">
        <f>'Parte financiera'!E64+'Parte financiera'!S64+'Parte financiera'!AG64+'Parte financiera'!AU64+'Parte financiera'!BK64+'Parte financiera'!BY64+'Parte financiera'!CM64+'Parte financiera'!DA64+'Parte financiera'!DQ64+'Parte financiera'!EE64+'Parte financiera'!ES64+'Parte financiera'!FG64+'Parte financiera'!FW64+'Parte financiera'!GK64+'Parte financiera'!GY64+'Parte financiera'!HM64</f>
        <v>0</v>
      </c>
      <c r="D64" s="382">
        <f>'Parte financiera'!F64+'Parte financiera'!T64+'Parte financiera'!AH64+'Parte financiera'!AV64+'Parte financiera'!BL64+'Parte financiera'!BZ64+'Parte financiera'!CN64+'Parte financiera'!DB64+'Parte financiera'!DR64+'Parte financiera'!EF64+'Parte financiera'!ET64+'Parte financiera'!FH64+'Parte financiera'!FX64+'Parte financiera'!GL64+'Parte financiera'!GZ64+'Parte financiera'!HN64</f>
        <v>0</v>
      </c>
      <c r="E64" s="382">
        <f>'Parte financiera'!G64+'Parte financiera'!U64+'Parte financiera'!AI64+'Parte financiera'!AW64+'Parte financiera'!BM64+'Parte financiera'!CA64+'Parte financiera'!CO64+'Parte financiera'!DC64+'Parte financiera'!DS64+'Parte financiera'!EG64+'Parte financiera'!EU64+'Parte financiera'!FI64+'Parte financiera'!FY64+'Parte financiera'!GM64+'Parte financiera'!HA64+'Parte financiera'!HO64</f>
        <v>0</v>
      </c>
      <c r="F64" s="382">
        <f>'Parte financiera'!H64+'Parte financiera'!V64+'Parte financiera'!AJ64+'Parte financiera'!AX64+'Parte financiera'!BN64+'Parte financiera'!CB64+'Parte financiera'!CP64+'Parte financiera'!DD64+'Parte financiera'!DT64+'Parte financiera'!EH64+'Parte financiera'!EV64+'Parte financiera'!FJ64+'Parte financiera'!FZ64+'Parte financiera'!GN64+'Parte financiera'!HB64+'Parte financiera'!HP64</f>
        <v>0</v>
      </c>
      <c r="G64" s="382">
        <f>'Parte financiera'!I64+'Parte financiera'!W64+'Parte financiera'!AK64+'Parte financiera'!AY64+'Parte financiera'!BO64+'Parte financiera'!CC64+'Parte financiera'!CQ64+'Parte financiera'!DE64+'Parte financiera'!DU64+'Parte financiera'!EI64+'Parte financiera'!EW64+'Parte financiera'!FK64+'Parte financiera'!GA64+'Parte financiera'!GO64+'Parte financiera'!HC64+'Parte financiera'!HQ64</f>
        <v>0</v>
      </c>
      <c r="H64" s="382">
        <f>'Parte financiera'!J64+'Parte financiera'!X64+'Parte financiera'!AL64+'Parte financiera'!AZ64+'Parte financiera'!BP64+'Parte financiera'!CD64+'Parte financiera'!CR64+'Parte financiera'!DF64+'Parte financiera'!DV64+'Parte financiera'!EJ64+'Parte financiera'!EX64+'Parte financiera'!FL64+'Parte financiera'!GB64+'Parte financiera'!GP64+'Parte financiera'!HD64+'Parte financiera'!HR64</f>
        <v>0</v>
      </c>
      <c r="I64" s="382">
        <f>'Parte financiera'!K64+'Parte financiera'!Y64+'Parte financiera'!AM64+'Parte financiera'!BA64+'Parte financiera'!BQ64+'Parte financiera'!CE64+'Parte financiera'!CS64+'Parte financiera'!DG64+'Parte financiera'!DW64+'Parte financiera'!EK64+'Parte financiera'!EY64+'Parte financiera'!FM64+'Parte financiera'!GC64+'Parte financiera'!GQ64+'Parte financiera'!HE64+'Parte financiera'!HS64</f>
        <v>0</v>
      </c>
      <c r="J64" s="382">
        <f>'Parte financiera'!L64+'Parte financiera'!Z64+'Parte financiera'!AN64+'Parte financiera'!BB64+'Parte financiera'!BR64+'Parte financiera'!CF64+'Parte financiera'!CT64+'Parte financiera'!DH64+'Parte financiera'!DX64+'Parte financiera'!EL64+'Parte financiera'!EZ64+'Parte financiera'!FN64+'Parte financiera'!GD64+'Parte financiera'!GR64+'Parte financiera'!HF64+'Parte financiera'!HT64</f>
        <v>0</v>
      </c>
      <c r="K64" s="382">
        <f>'Parte financiera'!M64+'Parte financiera'!AA64+'Parte financiera'!AO64+'Parte financiera'!BC64+'Parte financiera'!BS64+'Parte financiera'!CG64+'Parte financiera'!CU64+'Parte financiera'!DI64+'Parte financiera'!DY64+'Parte financiera'!EM64+'Parte financiera'!FA64+'Parte financiera'!FO64+'Parte financiera'!GE64+'Parte financiera'!GS64+'Parte financiera'!HG64+'Parte financiera'!HU64</f>
        <v>0</v>
      </c>
      <c r="L64" s="382">
        <f>'Parte financiera'!N64+'Parte financiera'!AB64+'Parte financiera'!AP64+'Parte financiera'!BD64+'Parte financiera'!BT64+'Parte financiera'!CH64+'Parte financiera'!CV64+'Parte financiera'!DJ64+'Parte financiera'!DZ64+'Parte financiera'!EN64+'Parte financiera'!FB64+'Parte financiera'!FP64+'Parte financiera'!GF64+'Parte financiera'!GT64+'Parte financiera'!HH64+'Parte financiera'!HV64</f>
        <v>0</v>
      </c>
      <c r="M64" s="382" t="e">
        <f>'Parte financiera'!O64+'Parte financiera'!AC64+'Parte financiera'!AQ64+'Parte financiera'!BE64+'Parte financiera'!BU64+'Parte financiera'!CI64+'Parte financiera'!CW64+'Parte financiera'!DK64+'Parte financiera'!EA64+'Parte financiera'!EO64+'Parte financiera'!FC64+'Parte financiera'!FQ64+'Parte financiera'!GG64+'Parte financiera'!GU64+'Parte financiera'!HI64+'Parte financiera'!HW64</f>
        <v>#VALUE!</v>
      </c>
      <c r="N64" s="382">
        <f>'Parte financiera'!P64+'Parte financiera'!AD64+'Parte financiera'!AR64+'Parte financiera'!BF64+'Parte financiera'!BV64+'Parte financiera'!CJ64+'Parte financiera'!CX64+'Parte financiera'!DL64+'Parte financiera'!EB64+'Parte financiera'!EP64+'Parte financiera'!FD64+'Parte financiera'!FR64+'Parte financiera'!GH64+'Parte financiera'!GV64+'Parte financiera'!HJ64+'Parte financiera'!HX64</f>
        <v>0</v>
      </c>
      <c r="O64" s="383">
        <f>'Parte financiera'!Q64+'Parte financiera'!AE64+'Parte financiera'!AS64+'Parte financiera'!BG64+'Parte financiera'!BW64+'Parte financiera'!CK64+'Parte financiera'!CY64+'Parte financiera'!DM64+'Parte financiera'!EC64+'Parte financiera'!EQ64+'Parte financiera'!FE64+'Parte financiera'!FS64+'Parte financiera'!GI64+'Parte financiera'!GW64+'Parte financiera'!HK64+'Parte financiera'!HY64</f>
        <v>0</v>
      </c>
    </row>
    <row r="65" spans="1:15">
      <c r="A65" s="463" t="str">
        <f>IF('Parte Estrategica'!B65=0,"",'Parte Estrategica'!B65)</f>
        <v/>
      </c>
      <c r="B65" s="382" t="e">
        <f>'Parte financiera'!D65+'Parte financiera'!R65+'Parte financiera'!AF65+'Parte financiera'!AT65+'Parte financiera'!BJ65+'Parte financiera'!BX65+'Parte financiera'!CL65+'Parte financiera'!CZ65+'Parte financiera'!DP65+'Parte financiera'!ED65+'Parte financiera'!ER65+'Parte financiera'!FF65+'Parte financiera'!FV65+'Parte financiera'!GJ65+'Parte financiera'!GX65+'Parte financiera'!HL65</f>
        <v>#VALUE!</v>
      </c>
      <c r="C65" s="382">
        <f>'Parte financiera'!E65+'Parte financiera'!S65+'Parte financiera'!AG65+'Parte financiera'!AU65+'Parte financiera'!BK65+'Parte financiera'!BY65+'Parte financiera'!CM65+'Parte financiera'!DA65+'Parte financiera'!DQ65+'Parte financiera'!EE65+'Parte financiera'!ES65+'Parte financiera'!FG65+'Parte financiera'!FW65+'Parte financiera'!GK65+'Parte financiera'!GY65+'Parte financiera'!HM65</f>
        <v>0</v>
      </c>
      <c r="D65" s="382">
        <f>'Parte financiera'!F65+'Parte financiera'!T65+'Parte financiera'!AH65+'Parte financiera'!AV65+'Parte financiera'!BL65+'Parte financiera'!BZ65+'Parte financiera'!CN65+'Parte financiera'!DB65+'Parte financiera'!DR65+'Parte financiera'!EF65+'Parte financiera'!ET65+'Parte financiera'!FH65+'Parte financiera'!FX65+'Parte financiera'!GL65+'Parte financiera'!GZ65+'Parte financiera'!HN65</f>
        <v>0</v>
      </c>
      <c r="E65" s="382">
        <f>'Parte financiera'!G65+'Parte financiera'!U65+'Parte financiera'!AI65+'Parte financiera'!AW65+'Parte financiera'!BM65+'Parte financiera'!CA65+'Parte financiera'!CO65+'Parte financiera'!DC65+'Parte financiera'!DS65+'Parte financiera'!EG65+'Parte financiera'!EU65+'Parte financiera'!FI65+'Parte financiera'!FY65+'Parte financiera'!GM65+'Parte financiera'!HA65+'Parte financiera'!HO65</f>
        <v>0</v>
      </c>
      <c r="F65" s="382">
        <f>'Parte financiera'!H65+'Parte financiera'!V65+'Parte financiera'!AJ65+'Parte financiera'!AX65+'Parte financiera'!BN65+'Parte financiera'!CB65+'Parte financiera'!CP65+'Parte financiera'!DD65+'Parte financiera'!DT65+'Parte financiera'!EH65+'Parte financiera'!EV65+'Parte financiera'!FJ65+'Parte financiera'!FZ65+'Parte financiera'!GN65+'Parte financiera'!HB65+'Parte financiera'!HP65</f>
        <v>0</v>
      </c>
      <c r="G65" s="382">
        <f>'Parte financiera'!I65+'Parte financiera'!W65+'Parte financiera'!AK65+'Parte financiera'!AY65+'Parte financiera'!BO65+'Parte financiera'!CC65+'Parte financiera'!CQ65+'Parte financiera'!DE65+'Parte financiera'!DU65+'Parte financiera'!EI65+'Parte financiera'!EW65+'Parte financiera'!FK65+'Parte financiera'!GA65+'Parte financiera'!GO65+'Parte financiera'!HC65+'Parte financiera'!HQ65</f>
        <v>0</v>
      </c>
      <c r="H65" s="382">
        <f>'Parte financiera'!J65+'Parte financiera'!X65+'Parte financiera'!AL65+'Parte financiera'!AZ65+'Parte financiera'!BP65+'Parte financiera'!CD65+'Parte financiera'!CR65+'Parte financiera'!DF65+'Parte financiera'!DV65+'Parte financiera'!EJ65+'Parte financiera'!EX65+'Parte financiera'!FL65+'Parte financiera'!GB65+'Parte financiera'!GP65+'Parte financiera'!HD65+'Parte financiera'!HR65</f>
        <v>0</v>
      </c>
      <c r="I65" s="382">
        <f>'Parte financiera'!K65+'Parte financiera'!Y65+'Parte financiera'!AM65+'Parte financiera'!BA65+'Parte financiera'!BQ65+'Parte financiera'!CE65+'Parte financiera'!CS65+'Parte financiera'!DG65+'Parte financiera'!DW65+'Parte financiera'!EK65+'Parte financiera'!EY65+'Parte financiera'!FM65+'Parte financiera'!GC65+'Parte financiera'!GQ65+'Parte financiera'!HE65+'Parte financiera'!HS65</f>
        <v>0</v>
      </c>
      <c r="J65" s="382">
        <f>'Parte financiera'!L65+'Parte financiera'!Z65+'Parte financiera'!AN65+'Parte financiera'!BB65+'Parte financiera'!BR65+'Parte financiera'!CF65+'Parte financiera'!CT65+'Parte financiera'!DH65+'Parte financiera'!DX65+'Parte financiera'!EL65+'Parte financiera'!EZ65+'Parte financiera'!FN65+'Parte financiera'!GD65+'Parte financiera'!GR65+'Parte financiera'!HF65+'Parte financiera'!HT65</f>
        <v>0</v>
      </c>
      <c r="K65" s="382">
        <f>'Parte financiera'!M65+'Parte financiera'!AA65+'Parte financiera'!AO65+'Parte financiera'!BC65+'Parte financiera'!BS65+'Parte financiera'!CG65+'Parte financiera'!CU65+'Parte financiera'!DI65+'Parte financiera'!DY65+'Parte financiera'!EM65+'Parte financiera'!FA65+'Parte financiera'!FO65+'Parte financiera'!GE65+'Parte financiera'!GS65+'Parte financiera'!HG65+'Parte financiera'!HU65</f>
        <v>0</v>
      </c>
      <c r="L65" s="382">
        <f>'Parte financiera'!N65+'Parte financiera'!AB65+'Parte financiera'!AP65+'Parte financiera'!BD65+'Parte financiera'!BT65+'Parte financiera'!CH65+'Parte financiera'!CV65+'Parte financiera'!DJ65+'Parte financiera'!DZ65+'Parte financiera'!EN65+'Parte financiera'!FB65+'Parte financiera'!FP65+'Parte financiera'!GF65+'Parte financiera'!GT65+'Parte financiera'!HH65+'Parte financiera'!HV65</f>
        <v>0</v>
      </c>
      <c r="M65" s="382" t="e">
        <f>'Parte financiera'!O65+'Parte financiera'!AC65+'Parte financiera'!AQ65+'Parte financiera'!BE65+'Parte financiera'!BU65+'Parte financiera'!CI65+'Parte financiera'!CW65+'Parte financiera'!DK65+'Parte financiera'!EA65+'Parte financiera'!EO65+'Parte financiera'!FC65+'Parte financiera'!FQ65+'Parte financiera'!GG65+'Parte financiera'!GU65+'Parte financiera'!HI65+'Parte financiera'!HW65</f>
        <v>#VALUE!</v>
      </c>
      <c r="N65" s="382">
        <f>'Parte financiera'!P65+'Parte financiera'!AD65+'Parte financiera'!AR65+'Parte financiera'!BF65+'Parte financiera'!BV65+'Parte financiera'!CJ65+'Parte financiera'!CX65+'Parte financiera'!DL65+'Parte financiera'!EB65+'Parte financiera'!EP65+'Parte financiera'!FD65+'Parte financiera'!FR65+'Parte financiera'!GH65+'Parte financiera'!GV65+'Parte financiera'!HJ65+'Parte financiera'!HX65</f>
        <v>0</v>
      </c>
      <c r="O65" s="383">
        <f>'Parte financiera'!Q65+'Parte financiera'!AE65+'Parte financiera'!AS65+'Parte financiera'!BG65+'Parte financiera'!BW65+'Parte financiera'!CK65+'Parte financiera'!CY65+'Parte financiera'!DM65+'Parte financiera'!EC65+'Parte financiera'!EQ65+'Parte financiera'!FE65+'Parte financiera'!FS65+'Parte financiera'!GI65+'Parte financiera'!GW65+'Parte financiera'!HK65+'Parte financiera'!HY65</f>
        <v>0</v>
      </c>
    </row>
    <row r="66" spans="1:15">
      <c r="A66" s="463" t="str">
        <f>IF('Parte Estrategica'!B66=0,"",'Parte Estrategica'!B66)</f>
        <v/>
      </c>
      <c r="B66" s="382">
        <f>'Parte financiera'!D66+'Parte financiera'!R66+'Parte financiera'!AF66+'Parte financiera'!AT66+'Parte financiera'!BJ66+'Parte financiera'!BX66+'Parte financiera'!CL66+'Parte financiera'!CZ66+'Parte financiera'!DP66+'Parte financiera'!ED66+'Parte financiera'!ER66+'Parte financiera'!FF66+'Parte financiera'!FV66+'Parte financiera'!GJ66+'Parte financiera'!GX66+'Parte financiera'!HL66</f>
        <v>0</v>
      </c>
      <c r="C66" s="382">
        <f>'Parte financiera'!E66+'Parte financiera'!S66+'Parte financiera'!AG66+'Parte financiera'!AU66+'Parte financiera'!BK66+'Parte financiera'!BY66+'Parte financiera'!CM66+'Parte financiera'!DA66+'Parte financiera'!DQ66+'Parte financiera'!EE66+'Parte financiera'!ES66+'Parte financiera'!FG66+'Parte financiera'!FW66+'Parte financiera'!GK66+'Parte financiera'!GY66+'Parte financiera'!HM66</f>
        <v>0</v>
      </c>
      <c r="D66" s="382">
        <f>'Parte financiera'!F66+'Parte financiera'!T66+'Parte financiera'!AH66+'Parte financiera'!AV66+'Parte financiera'!BL66+'Parte financiera'!BZ66+'Parte financiera'!CN66+'Parte financiera'!DB66+'Parte financiera'!DR66+'Parte financiera'!EF66+'Parte financiera'!ET66+'Parte financiera'!FH66+'Parte financiera'!FX66+'Parte financiera'!GL66+'Parte financiera'!GZ66+'Parte financiera'!HN66</f>
        <v>0</v>
      </c>
      <c r="E66" s="382">
        <f>'Parte financiera'!G66+'Parte financiera'!U66+'Parte financiera'!AI66+'Parte financiera'!AW66+'Parte financiera'!BM66+'Parte financiera'!CA66+'Parte financiera'!CO66+'Parte financiera'!DC66+'Parte financiera'!DS66+'Parte financiera'!EG66+'Parte financiera'!EU66+'Parte financiera'!FI66+'Parte financiera'!FY66+'Parte financiera'!GM66+'Parte financiera'!HA66+'Parte financiera'!HO66</f>
        <v>0</v>
      </c>
      <c r="F66" s="382">
        <f>'Parte financiera'!H66+'Parte financiera'!V66+'Parte financiera'!AJ66+'Parte financiera'!AX66+'Parte financiera'!BN66+'Parte financiera'!CB66+'Parte financiera'!CP66+'Parte financiera'!DD66+'Parte financiera'!DT66+'Parte financiera'!EH66+'Parte financiera'!EV66+'Parte financiera'!FJ66+'Parte financiera'!FZ66+'Parte financiera'!GN66+'Parte financiera'!HB66+'Parte financiera'!HP66</f>
        <v>0</v>
      </c>
      <c r="G66" s="382">
        <f>'Parte financiera'!I66+'Parte financiera'!W66+'Parte financiera'!AK66+'Parte financiera'!AY66+'Parte financiera'!BO66+'Parte financiera'!CC66+'Parte financiera'!CQ66+'Parte financiera'!DE66+'Parte financiera'!DU66+'Parte financiera'!EI66+'Parte financiera'!EW66+'Parte financiera'!FK66+'Parte financiera'!GA66+'Parte financiera'!GO66+'Parte financiera'!HC66+'Parte financiera'!HQ66</f>
        <v>0</v>
      </c>
      <c r="H66" s="382">
        <f>'Parte financiera'!J66+'Parte financiera'!X66+'Parte financiera'!AL66+'Parte financiera'!AZ66+'Parte financiera'!BP66+'Parte financiera'!CD66+'Parte financiera'!CR66+'Parte financiera'!DF66+'Parte financiera'!DV66+'Parte financiera'!EJ66+'Parte financiera'!EX66+'Parte financiera'!FL66+'Parte financiera'!GB66+'Parte financiera'!GP66+'Parte financiera'!HD66+'Parte financiera'!HR66</f>
        <v>0</v>
      </c>
      <c r="I66" s="382">
        <f>'Parte financiera'!K66+'Parte financiera'!Y66+'Parte financiera'!AM66+'Parte financiera'!BA66+'Parte financiera'!BQ66+'Parte financiera'!CE66+'Parte financiera'!CS66+'Parte financiera'!DG66+'Parte financiera'!DW66+'Parte financiera'!EK66+'Parte financiera'!EY66+'Parte financiera'!FM66+'Parte financiera'!GC66+'Parte financiera'!GQ66+'Parte financiera'!HE66+'Parte financiera'!HS66</f>
        <v>0</v>
      </c>
      <c r="J66" s="382">
        <f>'Parte financiera'!L66+'Parte financiera'!Z66+'Parte financiera'!AN66+'Parte financiera'!BB66+'Parte financiera'!BR66+'Parte financiera'!CF66+'Parte financiera'!CT66+'Parte financiera'!DH66+'Parte financiera'!DX66+'Parte financiera'!EL66+'Parte financiera'!EZ66+'Parte financiera'!FN66+'Parte financiera'!GD66+'Parte financiera'!GR66+'Parte financiera'!HF66+'Parte financiera'!HT66</f>
        <v>0</v>
      </c>
      <c r="K66" s="382">
        <f>'Parte financiera'!M66+'Parte financiera'!AA66+'Parte financiera'!AO66+'Parte financiera'!BC66+'Parte financiera'!BS66+'Parte financiera'!CG66+'Parte financiera'!CU66+'Parte financiera'!DI66+'Parte financiera'!DY66+'Parte financiera'!EM66+'Parte financiera'!FA66+'Parte financiera'!FO66+'Parte financiera'!GE66+'Parte financiera'!GS66+'Parte financiera'!HG66+'Parte financiera'!HU66</f>
        <v>0</v>
      </c>
      <c r="L66" s="382">
        <f>'Parte financiera'!N66+'Parte financiera'!AB66+'Parte financiera'!AP66+'Parte financiera'!BD66+'Parte financiera'!BT66+'Parte financiera'!CH66+'Parte financiera'!CV66+'Parte financiera'!DJ66+'Parte financiera'!DZ66+'Parte financiera'!EN66+'Parte financiera'!FB66+'Parte financiera'!FP66+'Parte financiera'!GF66+'Parte financiera'!GT66+'Parte financiera'!HH66+'Parte financiera'!HV66</f>
        <v>0</v>
      </c>
      <c r="M66" s="382">
        <f>'Parte financiera'!O66+'Parte financiera'!AC66+'Parte financiera'!AQ66+'Parte financiera'!BE66+'Parte financiera'!BU66+'Parte financiera'!CI66+'Parte financiera'!CW66+'Parte financiera'!DK66+'Parte financiera'!EA66+'Parte financiera'!EO66+'Parte financiera'!FC66+'Parte financiera'!FQ66+'Parte financiera'!GG66+'Parte financiera'!GU66+'Parte financiera'!HI66+'Parte financiera'!HW66</f>
        <v>0</v>
      </c>
      <c r="N66" s="382">
        <f>'Parte financiera'!P66+'Parte financiera'!AD66+'Parte financiera'!AR66+'Parte financiera'!BF66+'Parte financiera'!BV66+'Parte financiera'!CJ66+'Parte financiera'!CX66+'Parte financiera'!DL66+'Parte financiera'!EB66+'Parte financiera'!EP66+'Parte financiera'!FD66+'Parte financiera'!FR66+'Parte financiera'!GH66+'Parte financiera'!GV66+'Parte financiera'!HJ66+'Parte financiera'!HX66</f>
        <v>0</v>
      </c>
      <c r="O66" s="383">
        <f>'Parte financiera'!Q66+'Parte financiera'!AE66+'Parte financiera'!AS66+'Parte financiera'!BG66+'Parte financiera'!BW66+'Parte financiera'!CK66+'Parte financiera'!CY66+'Parte financiera'!DM66+'Parte financiera'!EC66+'Parte financiera'!EQ66+'Parte financiera'!FE66+'Parte financiera'!FS66+'Parte financiera'!GI66+'Parte financiera'!GW66+'Parte financiera'!HK66+'Parte financiera'!HY66</f>
        <v>0</v>
      </c>
    </row>
    <row r="67" spans="1:15">
      <c r="A67" s="463" t="str">
        <f>IF('Parte Estrategica'!B67=0,"",'Parte Estrategica'!B67)</f>
        <v/>
      </c>
      <c r="B67" s="382">
        <f>'Parte financiera'!D67+'Parte financiera'!R67+'Parte financiera'!AF67+'Parte financiera'!AT67+'Parte financiera'!BJ67+'Parte financiera'!BX67+'Parte financiera'!CL67+'Parte financiera'!CZ67+'Parte financiera'!DP67+'Parte financiera'!ED67+'Parte financiera'!ER67+'Parte financiera'!FF67+'Parte financiera'!FV67+'Parte financiera'!GJ67+'Parte financiera'!GX67+'Parte financiera'!HL67</f>
        <v>0</v>
      </c>
      <c r="C67" s="382">
        <f>'Parte financiera'!E67+'Parte financiera'!S67+'Parte financiera'!AG67+'Parte financiera'!AU67+'Parte financiera'!BK67+'Parte financiera'!BY67+'Parte financiera'!CM67+'Parte financiera'!DA67+'Parte financiera'!DQ67+'Parte financiera'!EE67+'Parte financiera'!ES67+'Parte financiera'!FG67+'Parte financiera'!FW67+'Parte financiera'!GK67+'Parte financiera'!GY67+'Parte financiera'!HM67</f>
        <v>0</v>
      </c>
      <c r="D67" s="382">
        <f>'Parte financiera'!F67+'Parte financiera'!T67+'Parte financiera'!AH67+'Parte financiera'!AV67+'Parte financiera'!BL67+'Parte financiera'!BZ67+'Parte financiera'!CN67+'Parte financiera'!DB67+'Parte financiera'!DR67+'Parte financiera'!EF67+'Parte financiera'!ET67+'Parte financiera'!FH67+'Parte financiera'!FX67+'Parte financiera'!GL67+'Parte financiera'!GZ67+'Parte financiera'!HN67</f>
        <v>0</v>
      </c>
      <c r="E67" s="382">
        <f>'Parte financiera'!G67+'Parte financiera'!U67+'Parte financiera'!AI67+'Parte financiera'!AW67+'Parte financiera'!BM67+'Parte financiera'!CA67+'Parte financiera'!CO67+'Parte financiera'!DC67+'Parte financiera'!DS67+'Parte financiera'!EG67+'Parte financiera'!EU67+'Parte financiera'!FI67+'Parte financiera'!FY67+'Parte financiera'!GM67+'Parte financiera'!HA67+'Parte financiera'!HO67</f>
        <v>0</v>
      </c>
      <c r="F67" s="382">
        <f>'Parte financiera'!H67+'Parte financiera'!V67+'Parte financiera'!AJ67+'Parte financiera'!AX67+'Parte financiera'!BN67+'Parte financiera'!CB67+'Parte financiera'!CP67+'Parte financiera'!DD67+'Parte financiera'!DT67+'Parte financiera'!EH67+'Parte financiera'!EV67+'Parte financiera'!FJ67+'Parte financiera'!FZ67+'Parte financiera'!GN67+'Parte financiera'!HB67+'Parte financiera'!HP67</f>
        <v>0</v>
      </c>
      <c r="G67" s="382">
        <f>'Parte financiera'!I67+'Parte financiera'!W67+'Parte financiera'!AK67+'Parte financiera'!AY67+'Parte financiera'!BO67+'Parte financiera'!CC67+'Parte financiera'!CQ67+'Parte financiera'!DE67+'Parte financiera'!DU67+'Parte financiera'!EI67+'Parte financiera'!EW67+'Parte financiera'!FK67+'Parte financiera'!GA67+'Parte financiera'!GO67+'Parte financiera'!HC67+'Parte financiera'!HQ67</f>
        <v>0</v>
      </c>
      <c r="H67" s="382">
        <f>'Parte financiera'!J67+'Parte financiera'!X67+'Parte financiera'!AL67+'Parte financiera'!AZ67+'Parte financiera'!BP67+'Parte financiera'!CD67+'Parte financiera'!CR67+'Parte financiera'!DF67+'Parte financiera'!DV67+'Parte financiera'!EJ67+'Parte financiera'!EX67+'Parte financiera'!FL67+'Parte financiera'!GB67+'Parte financiera'!GP67+'Parte financiera'!HD67+'Parte financiera'!HR67</f>
        <v>0</v>
      </c>
      <c r="I67" s="382">
        <f>'Parte financiera'!K67+'Parte financiera'!Y67+'Parte financiera'!AM67+'Parte financiera'!BA67+'Parte financiera'!BQ67+'Parte financiera'!CE67+'Parte financiera'!CS67+'Parte financiera'!DG67+'Parte financiera'!DW67+'Parte financiera'!EK67+'Parte financiera'!EY67+'Parte financiera'!FM67+'Parte financiera'!GC67+'Parte financiera'!GQ67+'Parte financiera'!HE67+'Parte financiera'!HS67</f>
        <v>0</v>
      </c>
      <c r="J67" s="382">
        <f>'Parte financiera'!L67+'Parte financiera'!Z67+'Parte financiera'!AN67+'Parte financiera'!BB67+'Parte financiera'!BR67+'Parte financiera'!CF67+'Parte financiera'!CT67+'Parte financiera'!DH67+'Parte financiera'!DX67+'Parte financiera'!EL67+'Parte financiera'!EZ67+'Parte financiera'!FN67+'Parte financiera'!GD67+'Parte financiera'!GR67+'Parte financiera'!HF67+'Parte financiera'!HT67</f>
        <v>0</v>
      </c>
      <c r="K67" s="382">
        <f>'Parte financiera'!M67+'Parte financiera'!AA67+'Parte financiera'!AO67+'Parte financiera'!BC67+'Parte financiera'!BS67+'Parte financiera'!CG67+'Parte financiera'!CU67+'Parte financiera'!DI67+'Parte financiera'!DY67+'Parte financiera'!EM67+'Parte financiera'!FA67+'Parte financiera'!FO67+'Parte financiera'!GE67+'Parte financiera'!GS67+'Parte financiera'!HG67+'Parte financiera'!HU67</f>
        <v>0</v>
      </c>
      <c r="L67" s="382">
        <f>'Parte financiera'!N67+'Parte financiera'!AB67+'Parte financiera'!AP67+'Parte financiera'!BD67+'Parte financiera'!BT67+'Parte financiera'!CH67+'Parte financiera'!CV67+'Parte financiera'!DJ67+'Parte financiera'!DZ67+'Parte financiera'!EN67+'Parte financiera'!FB67+'Parte financiera'!FP67+'Parte financiera'!GF67+'Parte financiera'!GT67+'Parte financiera'!HH67+'Parte financiera'!HV67</f>
        <v>0</v>
      </c>
      <c r="M67" s="382">
        <f>'Parte financiera'!O67+'Parte financiera'!AC67+'Parte financiera'!AQ67+'Parte financiera'!BE67+'Parte financiera'!BU67+'Parte financiera'!CI67+'Parte financiera'!CW67+'Parte financiera'!DK67+'Parte financiera'!EA67+'Parte financiera'!EO67+'Parte financiera'!FC67+'Parte financiera'!FQ67+'Parte financiera'!GG67+'Parte financiera'!GU67+'Parte financiera'!HI67+'Parte financiera'!HW67</f>
        <v>0</v>
      </c>
      <c r="N67" s="382">
        <f>'Parte financiera'!P67+'Parte financiera'!AD67+'Parte financiera'!AR67+'Parte financiera'!BF67+'Parte financiera'!BV67+'Parte financiera'!CJ67+'Parte financiera'!CX67+'Parte financiera'!DL67+'Parte financiera'!EB67+'Parte financiera'!EP67+'Parte financiera'!FD67+'Parte financiera'!FR67+'Parte financiera'!GH67+'Parte financiera'!GV67+'Parte financiera'!HJ67+'Parte financiera'!HX67</f>
        <v>0</v>
      </c>
      <c r="O67" s="383">
        <f>'Parte financiera'!Q67+'Parte financiera'!AE67+'Parte financiera'!AS67+'Parte financiera'!BG67+'Parte financiera'!BW67+'Parte financiera'!CK67+'Parte financiera'!CY67+'Parte financiera'!DM67+'Parte financiera'!EC67+'Parte financiera'!EQ67+'Parte financiera'!FE67+'Parte financiera'!FS67+'Parte financiera'!GI67+'Parte financiera'!GW67+'Parte financiera'!HK67+'Parte financiera'!HY67</f>
        <v>0</v>
      </c>
    </row>
    <row r="68" spans="1:15">
      <c r="A68" s="463" t="str">
        <f>IF('Parte Estrategica'!B68=0,"",'Parte Estrategica'!B68)</f>
        <v/>
      </c>
      <c r="B68" s="382">
        <f>'Parte financiera'!D68+'Parte financiera'!R68+'Parte financiera'!AF68+'Parte financiera'!AT68+'Parte financiera'!BJ68+'Parte financiera'!BX68+'Parte financiera'!CL68+'Parte financiera'!CZ68+'Parte financiera'!DP68+'Parte financiera'!ED68+'Parte financiera'!ER68+'Parte financiera'!FF68+'Parte financiera'!FV68+'Parte financiera'!GJ68+'Parte financiera'!GX68+'Parte financiera'!HL68</f>
        <v>0</v>
      </c>
      <c r="C68" s="382">
        <f>'Parte financiera'!E68+'Parte financiera'!S68+'Parte financiera'!AG68+'Parte financiera'!AU68+'Parte financiera'!BK68+'Parte financiera'!BY68+'Parte financiera'!CM68+'Parte financiera'!DA68+'Parte financiera'!DQ68+'Parte financiera'!EE68+'Parte financiera'!ES68+'Parte financiera'!FG68+'Parte financiera'!FW68+'Parte financiera'!GK68+'Parte financiera'!GY68+'Parte financiera'!HM68</f>
        <v>0</v>
      </c>
      <c r="D68" s="382">
        <f>'Parte financiera'!F68+'Parte financiera'!T68+'Parte financiera'!AH68+'Parte financiera'!AV68+'Parte financiera'!BL68+'Parte financiera'!BZ68+'Parte financiera'!CN68+'Parte financiera'!DB68+'Parte financiera'!DR68+'Parte financiera'!EF68+'Parte financiera'!ET68+'Parte financiera'!FH68+'Parte financiera'!FX68+'Parte financiera'!GL68+'Parte financiera'!GZ68+'Parte financiera'!HN68</f>
        <v>0</v>
      </c>
      <c r="E68" s="382">
        <f>'Parte financiera'!G68+'Parte financiera'!U68+'Parte financiera'!AI68+'Parte financiera'!AW68+'Parte financiera'!BM68+'Parte financiera'!CA68+'Parte financiera'!CO68+'Parte financiera'!DC68+'Parte financiera'!DS68+'Parte financiera'!EG68+'Parte financiera'!EU68+'Parte financiera'!FI68+'Parte financiera'!FY68+'Parte financiera'!GM68+'Parte financiera'!HA68+'Parte financiera'!HO68</f>
        <v>0</v>
      </c>
      <c r="F68" s="382">
        <f>'Parte financiera'!H68+'Parte financiera'!V68+'Parte financiera'!AJ68+'Parte financiera'!AX68+'Parte financiera'!BN68+'Parte financiera'!CB68+'Parte financiera'!CP68+'Parte financiera'!DD68+'Parte financiera'!DT68+'Parte financiera'!EH68+'Parte financiera'!EV68+'Parte financiera'!FJ68+'Parte financiera'!FZ68+'Parte financiera'!GN68+'Parte financiera'!HB68+'Parte financiera'!HP68</f>
        <v>0</v>
      </c>
      <c r="G68" s="382">
        <f>'Parte financiera'!I68+'Parte financiera'!W68+'Parte financiera'!AK68+'Parte financiera'!AY68+'Parte financiera'!BO68+'Parte financiera'!CC68+'Parte financiera'!CQ68+'Parte financiera'!DE68+'Parte financiera'!DU68+'Parte financiera'!EI68+'Parte financiera'!EW68+'Parte financiera'!FK68+'Parte financiera'!GA68+'Parte financiera'!GO68+'Parte financiera'!HC68+'Parte financiera'!HQ68</f>
        <v>0</v>
      </c>
      <c r="H68" s="382">
        <f>'Parte financiera'!J68+'Parte financiera'!X68+'Parte financiera'!AL68+'Parte financiera'!AZ68+'Parte financiera'!BP68+'Parte financiera'!CD68+'Parte financiera'!CR68+'Parte financiera'!DF68+'Parte financiera'!DV68+'Parte financiera'!EJ68+'Parte financiera'!EX68+'Parte financiera'!FL68+'Parte financiera'!GB68+'Parte financiera'!GP68+'Parte financiera'!HD68+'Parte financiera'!HR68</f>
        <v>0</v>
      </c>
      <c r="I68" s="382">
        <f>'Parte financiera'!K68+'Parte financiera'!Y68+'Parte financiera'!AM68+'Parte financiera'!BA68+'Parte financiera'!BQ68+'Parte financiera'!CE68+'Parte financiera'!CS68+'Parte financiera'!DG68+'Parte financiera'!DW68+'Parte financiera'!EK68+'Parte financiera'!EY68+'Parte financiera'!FM68+'Parte financiera'!GC68+'Parte financiera'!GQ68+'Parte financiera'!HE68+'Parte financiera'!HS68</f>
        <v>0</v>
      </c>
      <c r="J68" s="382">
        <f>'Parte financiera'!L68+'Parte financiera'!Z68+'Parte financiera'!AN68+'Parte financiera'!BB68+'Parte financiera'!BR68+'Parte financiera'!CF68+'Parte financiera'!CT68+'Parte financiera'!DH68+'Parte financiera'!DX68+'Parte financiera'!EL68+'Parte financiera'!EZ68+'Parte financiera'!FN68+'Parte financiera'!GD68+'Parte financiera'!GR68+'Parte financiera'!HF68+'Parte financiera'!HT68</f>
        <v>0</v>
      </c>
      <c r="K68" s="382">
        <f>'Parte financiera'!M68+'Parte financiera'!AA68+'Parte financiera'!AO68+'Parte financiera'!BC68+'Parte financiera'!BS68+'Parte financiera'!CG68+'Parte financiera'!CU68+'Parte financiera'!DI68+'Parte financiera'!DY68+'Parte financiera'!EM68+'Parte financiera'!FA68+'Parte financiera'!FO68+'Parte financiera'!GE68+'Parte financiera'!GS68+'Parte financiera'!HG68+'Parte financiera'!HU68</f>
        <v>0</v>
      </c>
      <c r="L68" s="382">
        <f>'Parte financiera'!N68+'Parte financiera'!AB68+'Parte financiera'!AP68+'Parte financiera'!BD68+'Parte financiera'!BT68+'Parte financiera'!CH68+'Parte financiera'!CV68+'Parte financiera'!DJ68+'Parte financiera'!DZ68+'Parte financiera'!EN68+'Parte financiera'!FB68+'Parte financiera'!FP68+'Parte financiera'!GF68+'Parte financiera'!GT68+'Parte financiera'!HH68+'Parte financiera'!HV68</f>
        <v>0</v>
      </c>
      <c r="M68" s="382">
        <f>'Parte financiera'!O68+'Parte financiera'!AC68+'Parte financiera'!AQ68+'Parte financiera'!BE68+'Parte financiera'!BU68+'Parte financiera'!CI68+'Parte financiera'!CW68+'Parte financiera'!DK68+'Parte financiera'!EA68+'Parte financiera'!EO68+'Parte financiera'!FC68+'Parte financiera'!FQ68+'Parte financiera'!GG68+'Parte financiera'!GU68+'Parte financiera'!HI68+'Parte financiera'!HW68</f>
        <v>0</v>
      </c>
      <c r="N68" s="382">
        <f>'Parte financiera'!P68+'Parte financiera'!AD68+'Parte financiera'!AR68+'Parte financiera'!BF68+'Parte financiera'!BV68+'Parte financiera'!CJ68+'Parte financiera'!CX68+'Parte financiera'!DL68+'Parte financiera'!EB68+'Parte financiera'!EP68+'Parte financiera'!FD68+'Parte financiera'!FR68+'Parte financiera'!GH68+'Parte financiera'!GV68+'Parte financiera'!HJ68+'Parte financiera'!HX68</f>
        <v>0</v>
      </c>
      <c r="O68" s="383">
        <f>'Parte financiera'!Q68+'Parte financiera'!AE68+'Parte financiera'!AS68+'Parte financiera'!BG68+'Parte financiera'!BW68+'Parte financiera'!CK68+'Parte financiera'!CY68+'Parte financiera'!DM68+'Parte financiera'!EC68+'Parte financiera'!EQ68+'Parte financiera'!FE68+'Parte financiera'!FS68+'Parte financiera'!GI68+'Parte financiera'!GW68+'Parte financiera'!HK68+'Parte financiera'!HY68</f>
        <v>0</v>
      </c>
    </row>
    <row r="69" spans="1:15">
      <c r="A69" s="463" t="str">
        <f>IF('Parte Estrategica'!B69=0,"",'Parte Estrategica'!B69)</f>
        <v/>
      </c>
      <c r="B69" s="382">
        <f>'Parte financiera'!D69+'Parte financiera'!R69+'Parte financiera'!AF69+'Parte financiera'!AT69+'Parte financiera'!BJ69+'Parte financiera'!BX69+'Parte financiera'!CL69+'Parte financiera'!CZ69+'Parte financiera'!DP69+'Parte financiera'!ED69+'Parte financiera'!ER69+'Parte financiera'!FF69+'Parte financiera'!FV69+'Parte financiera'!GJ69+'Parte financiera'!GX69+'Parte financiera'!HL69</f>
        <v>0</v>
      </c>
      <c r="C69" s="382">
        <f>'Parte financiera'!E69+'Parte financiera'!S69+'Parte financiera'!AG69+'Parte financiera'!AU69+'Parte financiera'!BK69+'Parte financiera'!BY69+'Parte financiera'!CM69+'Parte financiera'!DA69+'Parte financiera'!DQ69+'Parte financiera'!EE69+'Parte financiera'!ES69+'Parte financiera'!FG69+'Parte financiera'!FW69+'Parte financiera'!GK69+'Parte financiera'!GY69+'Parte financiera'!HM69</f>
        <v>0</v>
      </c>
      <c r="D69" s="382">
        <f>'Parte financiera'!F69+'Parte financiera'!T69+'Parte financiera'!AH69+'Parte financiera'!AV69+'Parte financiera'!BL69+'Parte financiera'!BZ69+'Parte financiera'!CN69+'Parte financiera'!DB69+'Parte financiera'!DR69+'Parte financiera'!EF69+'Parte financiera'!ET69+'Parte financiera'!FH69+'Parte financiera'!FX69+'Parte financiera'!GL69+'Parte financiera'!GZ69+'Parte financiera'!HN69</f>
        <v>0</v>
      </c>
      <c r="E69" s="382">
        <f>'Parte financiera'!G69+'Parte financiera'!U69+'Parte financiera'!AI69+'Parte financiera'!AW69+'Parte financiera'!BM69+'Parte financiera'!CA69+'Parte financiera'!CO69+'Parte financiera'!DC69+'Parte financiera'!DS69+'Parte financiera'!EG69+'Parte financiera'!EU69+'Parte financiera'!FI69+'Parte financiera'!FY69+'Parte financiera'!GM69+'Parte financiera'!HA69+'Parte financiera'!HO69</f>
        <v>0</v>
      </c>
      <c r="F69" s="382">
        <f>'Parte financiera'!H69+'Parte financiera'!V69+'Parte financiera'!AJ69+'Parte financiera'!AX69+'Parte financiera'!BN69+'Parte financiera'!CB69+'Parte financiera'!CP69+'Parte financiera'!DD69+'Parte financiera'!DT69+'Parte financiera'!EH69+'Parte financiera'!EV69+'Parte financiera'!FJ69+'Parte financiera'!FZ69+'Parte financiera'!GN69+'Parte financiera'!HB69+'Parte financiera'!HP69</f>
        <v>0</v>
      </c>
      <c r="G69" s="382">
        <f>'Parte financiera'!I69+'Parte financiera'!W69+'Parte financiera'!AK69+'Parte financiera'!AY69+'Parte financiera'!BO69+'Parte financiera'!CC69+'Parte financiera'!CQ69+'Parte financiera'!DE69+'Parte financiera'!DU69+'Parte financiera'!EI69+'Parte financiera'!EW69+'Parte financiera'!FK69+'Parte financiera'!GA69+'Parte financiera'!GO69+'Parte financiera'!HC69+'Parte financiera'!HQ69</f>
        <v>0</v>
      </c>
      <c r="H69" s="382">
        <f>'Parte financiera'!J69+'Parte financiera'!X69+'Parte financiera'!AL69+'Parte financiera'!AZ69+'Parte financiera'!BP69+'Parte financiera'!CD69+'Parte financiera'!CR69+'Parte financiera'!DF69+'Parte financiera'!DV69+'Parte financiera'!EJ69+'Parte financiera'!EX69+'Parte financiera'!FL69+'Parte financiera'!GB69+'Parte financiera'!GP69+'Parte financiera'!HD69+'Parte financiera'!HR69</f>
        <v>0</v>
      </c>
      <c r="I69" s="382">
        <f>'Parte financiera'!K69+'Parte financiera'!Y69+'Parte financiera'!AM69+'Parte financiera'!BA69+'Parte financiera'!BQ69+'Parte financiera'!CE69+'Parte financiera'!CS69+'Parte financiera'!DG69+'Parte financiera'!DW69+'Parte financiera'!EK69+'Parte financiera'!EY69+'Parte financiera'!FM69+'Parte financiera'!GC69+'Parte financiera'!GQ69+'Parte financiera'!HE69+'Parte financiera'!HS69</f>
        <v>0</v>
      </c>
      <c r="J69" s="382">
        <f>'Parte financiera'!L69+'Parte financiera'!Z69+'Parte financiera'!AN69+'Parte financiera'!BB69+'Parte financiera'!BR69+'Parte financiera'!CF69+'Parte financiera'!CT69+'Parte financiera'!DH69+'Parte financiera'!DX69+'Parte financiera'!EL69+'Parte financiera'!EZ69+'Parte financiera'!FN69+'Parte financiera'!GD69+'Parte financiera'!GR69+'Parte financiera'!HF69+'Parte financiera'!HT69</f>
        <v>0</v>
      </c>
      <c r="K69" s="382">
        <f>'Parte financiera'!M69+'Parte financiera'!AA69+'Parte financiera'!AO69+'Parte financiera'!BC69+'Parte financiera'!BS69+'Parte financiera'!CG69+'Parte financiera'!CU69+'Parte financiera'!DI69+'Parte financiera'!DY69+'Parte financiera'!EM69+'Parte financiera'!FA69+'Parte financiera'!FO69+'Parte financiera'!GE69+'Parte financiera'!GS69+'Parte financiera'!HG69+'Parte financiera'!HU69</f>
        <v>0</v>
      </c>
      <c r="L69" s="382">
        <f>'Parte financiera'!N69+'Parte financiera'!AB69+'Parte financiera'!AP69+'Parte financiera'!BD69+'Parte financiera'!BT69+'Parte financiera'!CH69+'Parte financiera'!CV69+'Parte financiera'!DJ69+'Parte financiera'!DZ69+'Parte financiera'!EN69+'Parte financiera'!FB69+'Parte financiera'!FP69+'Parte financiera'!GF69+'Parte financiera'!GT69+'Parte financiera'!HH69+'Parte financiera'!HV69</f>
        <v>0</v>
      </c>
      <c r="M69" s="382">
        <f>'Parte financiera'!O69+'Parte financiera'!AC69+'Parte financiera'!AQ69+'Parte financiera'!BE69+'Parte financiera'!BU69+'Parte financiera'!CI69+'Parte financiera'!CW69+'Parte financiera'!DK69+'Parte financiera'!EA69+'Parte financiera'!EO69+'Parte financiera'!FC69+'Parte financiera'!FQ69+'Parte financiera'!GG69+'Parte financiera'!GU69+'Parte financiera'!HI69+'Parte financiera'!HW69</f>
        <v>0</v>
      </c>
      <c r="N69" s="382">
        <f>'Parte financiera'!P69+'Parte financiera'!AD69+'Parte financiera'!AR69+'Parte financiera'!BF69+'Parte financiera'!BV69+'Parte financiera'!CJ69+'Parte financiera'!CX69+'Parte financiera'!DL69+'Parte financiera'!EB69+'Parte financiera'!EP69+'Parte financiera'!FD69+'Parte financiera'!FR69+'Parte financiera'!GH69+'Parte financiera'!GV69+'Parte financiera'!HJ69+'Parte financiera'!HX69</f>
        <v>0</v>
      </c>
      <c r="O69" s="383">
        <f>'Parte financiera'!Q69+'Parte financiera'!AE69+'Parte financiera'!AS69+'Parte financiera'!BG69+'Parte financiera'!BW69+'Parte financiera'!CK69+'Parte financiera'!CY69+'Parte financiera'!DM69+'Parte financiera'!EC69+'Parte financiera'!EQ69+'Parte financiera'!FE69+'Parte financiera'!FS69+'Parte financiera'!GI69+'Parte financiera'!GW69+'Parte financiera'!HK69+'Parte financiera'!HY69</f>
        <v>0</v>
      </c>
    </row>
    <row r="70" spans="1:15" ht="14.4" thickBot="1">
      <c r="A70" s="464" t="str">
        <f>IF('Parte Estrategica'!B70=0,"",'Parte Estrategica'!B70)</f>
        <v/>
      </c>
      <c r="B70" s="382">
        <f>'Parte financiera'!D70+'Parte financiera'!R70+'Parte financiera'!AF70+'Parte financiera'!AT70+'Parte financiera'!BJ70+'Parte financiera'!BX70+'Parte financiera'!CL70+'Parte financiera'!CZ70+'Parte financiera'!DP70+'Parte financiera'!ED70+'Parte financiera'!ER70+'Parte financiera'!FF70+'Parte financiera'!FV70+'Parte financiera'!GJ70+'Parte financiera'!GX70+'Parte financiera'!HL70</f>
        <v>0</v>
      </c>
      <c r="C70" s="382">
        <f>'Parte financiera'!E70+'Parte financiera'!S70+'Parte financiera'!AG70+'Parte financiera'!AU70+'Parte financiera'!BK70+'Parte financiera'!BY70+'Parte financiera'!CM70+'Parte financiera'!DA70+'Parte financiera'!DQ70+'Parte financiera'!EE70+'Parte financiera'!ES70+'Parte financiera'!FG70+'Parte financiera'!FW70+'Parte financiera'!GK70+'Parte financiera'!GY70+'Parte financiera'!HM70</f>
        <v>0</v>
      </c>
      <c r="D70" s="382">
        <f>'Parte financiera'!F70+'Parte financiera'!T70+'Parte financiera'!AH70+'Parte financiera'!AV70+'Parte financiera'!BL70+'Parte financiera'!BZ70+'Parte financiera'!CN70+'Parte financiera'!DB70+'Parte financiera'!DR70+'Parte financiera'!EF70+'Parte financiera'!ET70+'Parte financiera'!FH70+'Parte financiera'!FX70+'Parte financiera'!GL70+'Parte financiera'!GZ70+'Parte financiera'!HN70</f>
        <v>0</v>
      </c>
      <c r="E70" s="382">
        <f>'Parte financiera'!G70+'Parte financiera'!U70+'Parte financiera'!AI70+'Parte financiera'!AW70+'Parte financiera'!BM70+'Parte financiera'!CA70+'Parte financiera'!CO70+'Parte financiera'!DC70+'Parte financiera'!DS70+'Parte financiera'!EG70+'Parte financiera'!EU70+'Parte financiera'!FI70+'Parte financiera'!FY70+'Parte financiera'!GM70+'Parte financiera'!HA70+'Parte financiera'!HO70</f>
        <v>0</v>
      </c>
      <c r="F70" s="382">
        <f>'Parte financiera'!H70+'Parte financiera'!V70+'Parte financiera'!AJ70+'Parte financiera'!AX70+'Parte financiera'!BN70+'Parte financiera'!CB70+'Parte financiera'!CP70+'Parte financiera'!DD70+'Parte financiera'!DT70+'Parte financiera'!EH70+'Parte financiera'!EV70+'Parte financiera'!FJ70+'Parte financiera'!FZ70+'Parte financiera'!GN70+'Parte financiera'!HB70+'Parte financiera'!HP70</f>
        <v>0</v>
      </c>
      <c r="G70" s="382">
        <f>'Parte financiera'!I70+'Parte financiera'!W70+'Parte financiera'!AK70+'Parte financiera'!AY70+'Parte financiera'!BO70+'Parte financiera'!CC70+'Parte financiera'!CQ70+'Parte financiera'!DE70+'Parte financiera'!DU70+'Parte financiera'!EI70+'Parte financiera'!EW70+'Parte financiera'!FK70+'Parte financiera'!GA70+'Parte financiera'!GO70+'Parte financiera'!HC70+'Parte financiera'!HQ70</f>
        <v>0</v>
      </c>
      <c r="H70" s="382">
        <f>'Parte financiera'!J70+'Parte financiera'!X70+'Parte financiera'!AL70+'Parte financiera'!AZ70+'Parte financiera'!BP70+'Parte financiera'!CD70+'Parte financiera'!CR70+'Parte financiera'!DF70+'Parte financiera'!DV70+'Parte financiera'!EJ70+'Parte financiera'!EX70+'Parte financiera'!FL70+'Parte financiera'!GB70+'Parte financiera'!GP70+'Parte financiera'!HD70+'Parte financiera'!HR70</f>
        <v>0</v>
      </c>
      <c r="I70" s="382">
        <f>'Parte financiera'!K70+'Parte financiera'!Y70+'Parte financiera'!AM70+'Parte financiera'!BA70+'Parte financiera'!BQ70+'Parte financiera'!CE70+'Parte financiera'!CS70+'Parte financiera'!DG70+'Parte financiera'!DW70+'Parte financiera'!EK70+'Parte financiera'!EY70+'Parte financiera'!FM70+'Parte financiera'!GC70+'Parte financiera'!GQ70+'Parte financiera'!HE70+'Parte financiera'!HS70</f>
        <v>0</v>
      </c>
      <c r="J70" s="382">
        <f>'Parte financiera'!L70+'Parte financiera'!Z70+'Parte financiera'!AN70+'Parte financiera'!BB70+'Parte financiera'!BR70+'Parte financiera'!CF70+'Parte financiera'!CT70+'Parte financiera'!DH70+'Parte financiera'!DX70+'Parte financiera'!EL70+'Parte financiera'!EZ70+'Parte financiera'!FN70+'Parte financiera'!GD70+'Parte financiera'!GR70+'Parte financiera'!HF70+'Parte financiera'!HT70</f>
        <v>0</v>
      </c>
      <c r="K70" s="382">
        <f>'Parte financiera'!M70+'Parte financiera'!AA70+'Parte financiera'!AO70+'Parte financiera'!BC70+'Parte financiera'!BS70+'Parte financiera'!CG70+'Parte financiera'!CU70+'Parte financiera'!DI70+'Parte financiera'!DY70+'Parte financiera'!EM70+'Parte financiera'!FA70+'Parte financiera'!FO70+'Parte financiera'!GE70+'Parte financiera'!GS70+'Parte financiera'!HG70+'Parte financiera'!HU70</f>
        <v>0</v>
      </c>
      <c r="L70" s="382">
        <f>'Parte financiera'!N70+'Parte financiera'!AB70+'Parte financiera'!AP70+'Parte financiera'!BD70+'Parte financiera'!BT70+'Parte financiera'!CH70+'Parte financiera'!CV70+'Parte financiera'!DJ70+'Parte financiera'!DZ70+'Parte financiera'!EN70+'Parte financiera'!FB70+'Parte financiera'!FP70+'Parte financiera'!GF70+'Parte financiera'!GT70+'Parte financiera'!HH70+'Parte financiera'!HV70</f>
        <v>0</v>
      </c>
      <c r="M70" s="382">
        <f>'Parte financiera'!O70+'Parte financiera'!AC70+'Parte financiera'!AQ70+'Parte financiera'!BE70+'Parte financiera'!BU70+'Parte financiera'!CI70+'Parte financiera'!CW70+'Parte financiera'!DK70+'Parte financiera'!EA70+'Parte financiera'!EO70+'Parte financiera'!FC70+'Parte financiera'!FQ70+'Parte financiera'!GG70+'Parte financiera'!GU70+'Parte financiera'!HI70+'Parte financiera'!HW70</f>
        <v>0</v>
      </c>
      <c r="N70" s="382">
        <f>'Parte financiera'!P70+'Parte financiera'!AD70+'Parte financiera'!AR70+'Parte financiera'!BF70+'Parte financiera'!BV70+'Parte financiera'!CJ70+'Parte financiera'!CX70+'Parte financiera'!DL70+'Parte financiera'!EB70+'Parte financiera'!EP70+'Parte financiera'!FD70+'Parte financiera'!FR70+'Parte financiera'!GH70+'Parte financiera'!GV70+'Parte financiera'!HJ70+'Parte financiera'!HX70</f>
        <v>0</v>
      </c>
      <c r="O70" s="383">
        <f>'Parte financiera'!Q70+'Parte financiera'!AE70+'Parte financiera'!AS70+'Parte financiera'!BG70+'Parte financiera'!BW70+'Parte financiera'!CK70+'Parte financiera'!CY70+'Parte financiera'!DM70+'Parte financiera'!EC70+'Parte financiera'!EQ70+'Parte financiera'!FE70+'Parte financiera'!FS70+'Parte financiera'!GI70+'Parte financiera'!GW70+'Parte financiera'!HK70+'Parte financiera'!HY70</f>
        <v>0</v>
      </c>
    </row>
  </sheetData>
  <dataValidations count="1">
    <dataValidation type="whole" allowBlank="1" showInputMessage="1" showErrorMessage="1" errorTitle="Error en el tipo de dato" error="No ha insertado un dato númerico valido, por favor rectifique el dato ingresado" sqref="B1:N1" xr:uid="{1007F9D2-42BF-4C59-812C-A370844AB973}">
      <formula1>0</formula1>
      <formula2>999999999999</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55A13-3143-4CFA-B47A-ED5D0CD45217}">
  <sheetPr>
    <tabColor theme="0"/>
  </sheetPr>
  <dimension ref="B1:K52"/>
  <sheetViews>
    <sheetView showGridLines="0" topLeftCell="A28" workbookViewId="0">
      <selection activeCell="A45" sqref="A45:XFD52"/>
    </sheetView>
  </sheetViews>
  <sheetFormatPr baseColWidth="10" defaultColWidth="10.69921875" defaultRowHeight="13.8"/>
  <cols>
    <col min="1" max="1" width="5.69921875" style="364" customWidth="1"/>
    <col min="2" max="2" width="138.69921875" style="365" customWidth="1"/>
    <col min="3" max="8" width="10.69921875" style="364"/>
    <col min="9" max="9" width="19.3984375" style="604" customWidth="1"/>
    <col min="10" max="16384" width="10.69921875" style="364"/>
  </cols>
  <sheetData>
    <row r="1" spans="2:11" s="452" customFormat="1" ht="28.5" customHeight="1">
      <c r="B1" s="682" t="s">
        <v>6355</v>
      </c>
      <c r="I1" s="605" t="s">
        <v>2348</v>
      </c>
    </row>
    <row r="2" spans="2:11" s="452" customFormat="1" ht="28.5" customHeight="1" thickBot="1">
      <c r="B2" s="683"/>
      <c r="I2" s="615" t="s">
        <v>4031</v>
      </c>
      <c r="K2" s="452" t="s">
        <v>6789</v>
      </c>
    </row>
    <row r="3" spans="2:11" ht="14.4" thickBot="1">
      <c r="I3" s="615" t="s">
        <v>4101</v>
      </c>
    </row>
    <row r="4" spans="2:11" ht="45" customHeight="1" thickBot="1">
      <c r="B4" s="369" t="s">
        <v>6169</v>
      </c>
      <c r="I4" s="615" t="s">
        <v>4170</v>
      </c>
    </row>
    <row r="5" spans="2:11" ht="21" thickBot="1">
      <c r="I5" s="615" t="s">
        <v>4223</v>
      </c>
    </row>
    <row r="6" spans="2:11" ht="20.399999999999999">
      <c r="B6" s="366" t="s">
        <v>6166</v>
      </c>
      <c r="I6" s="615" t="s">
        <v>4431</v>
      </c>
    </row>
    <row r="7" spans="2:11">
      <c r="B7" s="367" t="s">
        <v>6161</v>
      </c>
      <c r="I7" s="615" t="s">
        <v>1250</v>
      </c>
    </row>
    <row r="8" spans="2:11">
      <c r="B8" s="367" t="s">
        <v>5651</v>
      </c>
      <c r="I8" s="615" t="s">
        <v>4722</v>
      </c>
    </row>
    <row r="9" spans="2:11" ht="14.4" thickBot="1">
      <c r="B9" s="368" t="s">
        <v>6162</v>
      </c>
      <c r="I9" s="615" t="s">
        <v>2461</v>
      </c>
    </row>
    <row r="10" spans="2:11" ht="14.4" thickBot="1">
      <c r="I10" s="621"/>
    </row>
    <row r="11" spans="2:11">
      <c r="B11" s="366" t="s">
        <v>6163</v>
      </c>
      <c r="I11"/>
    </row>
    <row r="12" spans="2:11">
      <c r="B12" s="367"/>
      <c r="I12"/>
    </row>
    <row r="13" spans="2:11">
      <c r="B13" s="367" t="s">
        <v>6160</v>
      </c>
      <c r="I13"/>
    </row>
    <row r="14" spans="2:11" ht="32.549999999999997" customHeight="1">
      <c r="B14" s="367" t="s">
        <v>6164</v>
      </c>
      <c r="I14"/>
    </row>
    <row r="15" spans="2:11" ht="16.05" customHeight="1">
      <c r="B15" s="367" t="s">
        <v>6737</v>
      </c>
      <c r="I15"/>
    </row>
    <row r="16" spans="2:11" ht="27.6">
      <c r="B16" s="367" t="s">
        <v>6165</v>
      </c>
      <c r="I16"/>
    </row>
    <row r="17" spans="2:9" ht="31.5" customHeight="1">
      <c r="B17" s="367" t="s">
        <v>6735</v>
      </c>
      <c r="I17"/>
    </row>
    <row r="18" spans="2:9" ht="16.05" customHeight="1">
      <c r="B18" s="367" t="s">
        <v>6736</v>
      </c>
      <c r="I18"/>
    </row>
    <row r="19" spans="2:9" ht="29.55" customHeight="1">
      <c r="B19" s="367" t="s">
        <v>6738</v>
      </c>
      <c r="I19"/>
    </row>
    <row r="20" spans="2:9" ht="29.55" customHeight="1">
      <c r="B20" s="598" t="s">
        <v>6739</v>
      </c>
      <c r="I20"/>
    </row>
    <row r="21" spans="2:9" ht="29.55" customHeight="1">
      <c r="B21" s="598" t="s">
        <v>6740</v>
      </c>
      <c r="I21"/>
    </row>
    <row r="22" spans="2:9" ht="25.05" customHeight="1" thickBot="1">
      <c r="B22" s="368" t="s">
        <v>6741</v>
      </c>
      <c r="I22"/>
    </row>
    <row r="23" spans="2:9">
      <c r="I23"/>
    </row>
    <row r="24" spans="2:9" ht="14.4" thickBot="1">
      <c r="I24"/>
    </row>
    <row r="25" spans="2:9">
      <c r="B25" s="366" t="s">
        <v>6335</v>
      </c>
      <c r="I25"/>
    </row>
    <row r="26" spans="2:9">
      <c r="B26" s="367"/>
      <c r="I26"/>
    </row>
    <row r="27" spans="2:9" ht="41.4">
      <c r="B27" s="367" t="s">
        <v>6742</v>
      </c>
      <c r="I27"/>
    </row>
    <row r="28" spans="2:9" ht="14.4" thickBot="1">
      <c r="B28" s="368"/>
      <c r="I28"/>
    </row>
    <row r="29" spans="2:9" ht="14.4" thickBot="1">
      <c r="I29"/>
    </row>
    <row r="30" spans="2:9">
      <c r="B30" s="366" t="s">
        <v>5652</v>
      </c>
      <c r="I30"/>
    </row>
    <row r="31" spans="2:9">
      <c r="B31" s="367"/>
      <c r="I31"/>
    </row>
    <row r="32" spans="2:9" ht="25.95" customHeight="1">
      <c r="B32" s="598" t="s">
        <v>6743</v>
      </c>
      <c r="I32"/>
    </row>
    <row r="33" spans="2:9" ht="25.95" customHeight="1">
      <c r="B33" s="598" t="s">
        <v>6744</v>
      </c>
      <c r="I33"/>
    </row>
    <row r="34" spans="2:9" ht="25.95" customHeight="1">
      <c r="B34" s="598" t="s">
        <v>6745</v>
      </c>
      <c r="I34"/>
    </row>
    <row r="35" spans="2:9" ht="25.95" customHeight="1">
      <c r="B35" s="367" t="s">
        <v>6167</v>
      </c>
      <c r="I35"/>
    </row>
    <row r="36" spans="2:9" ht="22.95" customHeight="1" thickBot="1">
      <c r="B36" s="368" t="s">
        <v>5653</v>
      </c>
      <c r="I36"/>
    </row>
    <row r="37" spans="2:9" ht="12.45" customHeight="1" thickBot="1">
      <c r="B37" s="367"/>
      <c r="I37"/>
    </row>
    <row r="38" spans="2:9">
      <c r="B38" s="366" t="s">
        <v>6790</v>
      </c>
      <c r="I38"/>
    </row>
    <row r="39" spans="2:9">
      <c r="B39" s="367"/>
      <c r="I39"/>
    </row>
    <row r="40" spans="2:9" ht="41.4">
      <c r="B40" s="367" t="s">
        <v>6791</v>
      </c>
      <c r="I40"/>
    </row>
    <row r="41" spans="2:9">
      <c r="B41" s="367"/>
      <c r="I41"/>
    </row>
    <row r="42" spans="2:9">
      <c r="B42" s="367" t="s">
        <v>6792</v>
      </c>
      <c r="I42"/>
    </row>
    <row r="43" spans="2:9" ht="14.4" thickBot="1">
      <c r="B43" s="368"/>
      <c r="I43"/>
    </row>
    <row r="44" spans="2:9" ht="9" customHeight="1">
      <c r="B44" s="367"/>
      <c r="I44"/>
    </row>
    <row r="45" spans="2:9" hidden="1">
      <c r="B45" s="366" t="s">
        <v>5654</v>
      </c>
      <c r="I45"/>
    </row>
    <row r="46" spans="2:9" hidden="1">
      <c r="B46" s="367"/>
      <c r="I46"/>
    </row>
    <row r="47" spans="2:9" hidden="1">
      <c r="B47" s="367" t="s">
        <v>5655</v>
      </c>
      <c r="I47"/>
    </row>
    <row r="48" spans="2:9" hidden="1">
      <c r="B48" s="367" t="s">
        <v>5658</v>
      </c>
      <c r="I48"/>
    </row>
    <row r="49" spans="2:9" hidden="1">
      <c r="B49" s="367" t="s">
        <v>5656</v>
      </c>
      <c r="I49"/>
    </row>
    <row r="50" spans="2:9" hidden="1">
      <c r="B50" s="367" t="s">
        <v>5657</v>
      </c>
      <c r="I50"/>
    </row>
    <row r="51" spans="2:9" hidden="1">
      <c r="B51" s="367" t="s">
        <v>5659</v>
      </c>
      <c r="I51"/>
    </row>
    <row r="52" spans="2:9" ht="14.4" hidden="1" thickBot="1">
      <c r="B52" s="368" t="s">
        <v>6168</v>
      </c>
      <c r="I52"/>
    </row>
  </sheetData>
  <sheetProtection algorithmName="SHA-512" hashValue="XMotaK4xlhuaSZr3TXHOuNN0k1R1OlubNG3dQYSCbzhKkxizla6CtDbx2y2ONt3wuHGap/wyIRAg18uOpV8wHQ==" saltValue="7Lh4LbFg6zG/3oPr/Nh9Lg==" spinCount="100000" sheet="1" objects="1" scenarios="1"/>
  <mergeCells count="1">
    <mergeCell ref="B1:B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02175-2E00-415B-A6D6-DEC74DA9FD74}">
  <sheetPr>
    <tabColor theme="6"/>
  </sheetPr>
  <dimension ref="A1:G3"/>
  <sheetViews>
    <sheetView workbookViewId="0">
      <selection activeCell="G2" sqref="G2"/>
    </sheetView>
  </sheetViews>
  <sheetFormatPr baseColWidth="10" defaultRowHeight="13.8"/>
  <cols>
    <col min="1" max="1" width="21" customWidth="1"/>
    <col min="2" max="2" width="19.19921875" customWidth="1"/>
    <col min="3" max="3" width="16.69921875" customWidth="1"/>
    <col min="4" max="4" width="27.09765625" bestFit="1" customWidth="1"/>
    <col min="5" max="5" width="21.19921875" customWidth="1"/>
    <col min="6" max="6" width="17.59765625" customWidth="1"/>
    <col min="7" max="7" width="16.296875" bestFit="1" customWidth="1"/>
  </cols>
  <sheetData>
    <row r="1" spans="1:7">
      <c r="A1" s="361" t="s">
        <v>5071</v>
      </c>
      <c r="B1" s="361" t="s">
        <v>5068</v>
      </c>
      <c r="C1" s="361" t="s">
        <v>5069</v>
      </c>
      <c r="D1" s="361" t="s">
        <v>5070</v>
      </c>
      <c r="E1" s="361" t="s">
        <v>5072</v>
      </c>
      <c r="F1" s="361" t="s">
        <v>5073</v>
      </c>
      <c r="G1" s="361" t="s">
        <v>5074</v>
      </c>
    </row>
    <row r="2" spans="1:7">
      <c r="A2" s="362" t="s">
        <v>4606</v>
      </c>
      <c r="B2" s="343" t="s">
        <v>6793</v>
      </c>
      <c r="C2" s="343" t="s">
        <v>6794</v>
      </c>
      <c r="D2" s="343" t="s">
        <v>6795</v>
      </c>
      <c r="E2" s="662" t="s">
        <v>6796</v>
      </c>
      <c r="F2" s="662" t="s">
        <v>6796</v>
      </c>
      <c r="G2" s="343">
        <v>3118327918</v>
      </c>
    </row>
    <row r="3" spans="1:7">
      <c r="A3" s="362"/>
      <c r="B3" s="343"/>
      <c r="C3" s="343"/>
      <c r="D3" s="343"/>
      <c r="E3" s="343"/>
      <c r="F3" s="343"/>
      <c r="G3" s="343"/>
    </row>
  </sheetData>
  <hyperlinks>
    <hyperlink ref="E2" r:id="rId1" xr:uid="{0E83055C-F7F0-4636-A890-881229FC5FF8}"/>
    <hyperlink ref="F2" r:id="rId2" xr:uid="{FCEB00E0-DE0D-41D1-BD90-D7EC960572D2}"/>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B614D55-0865-4664-8B56-E6D5E123385A}">
          <x14:formula1>
            <xm:f>'Listas Desplegables'!$A$2:$A$33</xm:f>
          </x14:formula1>
          <xm:sqref>A2:A3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7EC84-6482-4C8D-8AFF-0368537010C5}">
  <dimension ref="A1:K21"/>
  <sheetViews>
    <sheetView workbookViewId="0">
      <selection activeCell="D16" sqref="D16"/>
    </sheetView>
  </sheetViews>
  <sheetFormatPr baseColWidth="10" defaultRowHeight="13.8"/>
  <cols>
    <col min="1" max="1" width="40.3984375" bestFit="1" customWidth="1"/>
    <col min="2" max="2" width="22.69921875" bestFit="1" customWidth="1"/>
    <col min="3" max="3" width="23.796875" bestFit="1" customWidth="1"/>
    <col min="4" max="4" width="19.59765625" bestFit="1" customWidth="1"/>
    <col min="5" max="5" width="19.796875" bestFit="1" customWidth="1"/>
    <col min="6" max="6" width="50.09765625" bestFit="1" customWidth="1"/>
    <col min="7" max="7" width="40.59765625" bestFit="1" customWidth="1"/>
    <col min="8" max="8" width="16.5" bestFit="1" customWidth="1"/>
    <col min="9" max="9" width="16.8984375" bestFit="1" customWidth="1"/>
    <col min="10" max="10" width="23" bestFit="1" customWidth="1"/>
    <col min="11" max="11" width="23.796875" bestFit="1" customWidth="1"/>
  </cols>
  <sheetData>
    <row r="1" spans="1:11">
      <c r="A1" s="541" t="s">
        <v>2348</v>
      </c>
      <c r="B1" t="s" vm="1">
        <v>4191</v>
      </c>
    </row>
    <row r="3" spans="1:11">
      <c r="A3" t="s">
        <v>6356</v>
      </c>
      <c r="B3" t="s">
        <v>6358</v>
      </c>
      <c r="C3" t="s">
        <v>6357</v>
      </c>
      <c r="D3" t="s">
        <v>6359</v>
      </c>
      <c r="E3" t="s">
        <v>6360</v>
      </c>
      <c r="F3" t="s">
        <v>6361</v>
      </c>
      <c r="G3" t="s">
        <v>6362</v>
      </c>
      <c r="H3" t="s">
        <v>6363</v>
      </c>
      <c r="I3" t="s">
        <v>6364</v>
      </c>
      <c r="J3" t="s">
        <v>6365</v>
      </c>
      <c r="K3" t="s">
        <v>6366</v>
      </c>
    </row>
    <row r="4" spans="1:11">
      <c r="A4">
        <v>19702665174</v>
      </c>
      <c r="B4">
        <v>0</v>
      </c>
      <c r="C4">
        <v>0</v>
      </c>
      <c r="D4">
        <v>0</v>
      </c>
      <c r="E4">
        <v>0</v>
      </c>
      <c r="F4">
        <v>0</v>
      </c>
      <c r="G4">
        <v>97910000000</v>
      </c>
      <c r="H4">
        <v>0</v>
      </c>
      <c r="I4">
        <v>5047000000</v>
      </c>
      <c r="J4">
        <v>22255000000</v>
      </c>
      <c r="K4">
        <v>156000000</v>
      </c>
    </row>
    <row r="9" spans="1:11">
      <c r="A9" s="542" t="s">
        <v>6367</v>
      </c>
      <c r="B9" s="542" t="s">
        <v>6368</v>
      </c>
    </row>
    <row r="10" spans="1:11">
      <c r="A10" s="544" t="s">
        <v>3978</v>
      </c>
      <c r="B10" s="543">
        <v>19702665174</v>
      </c>
    </row>
    <row r="11" spans="1:11">
      <c r="A11" s="544" t="s">
        <v>3979</v>
      </c>
      <c r="B11" s="543">
        <v>0</v>
      </c>
    </row>
    <row r="12" spans="1:11">
      <c r="A12" s="544" t="s">
        <v>3980</v>
      </c>
      <c r="B12" s="543">
        <v>0</v>
      </c>
    </row>
    <row r="13" spans="1:11">
      <c r="A13" s="544" t="s">
        <v>3981</v>
      </c>
      <c r="B13" s="543">
        <v>0</v>
      </c>
    </row>
    <row r="14" spans="1:11">
      <c r="A14" s="544" t="s">
        <v>3982</v>
      </c>
      <c r="B14" s="543">
        <v>0</v>
      </c>
    </row>
    <row r="15" spans="1:11">
      <c r="A15" s="544" t="s">
        <v>3983</v>
      </c>
      <c r="B15" s="543">
        <v>0</v>
      </c>
    </row>
    <row r="16" spans="1:11">
      <c r="A16" s="544" t="s">
        <v>3984</v>
      </c>
      <c r="B16" s="543">
        <v>97910000000</v>
      </c>
    </row>
    <row r="17" spans="1:2" ht="14.4" thickBot="1">
      <c r="A17" s="547" t="s">
        <v>3985</v>
      </c>
      <c r="B17" s="548">
        <v>0</v>
      </c>
    </row>
    <row r="18" spans="1:2">
      <c r="A18" s="545" t="s">
        <v>3987</v>
      </c>
      <c r="B18" s="546">
        <v>5047000000</v>
      </c>
    </row>
    <row r="19" spans="1:2">
      <c r="A19" s="544" t="s">
        <v>3988</v>
      </c>
      <c r="B19" s="543">
        <v>22255000000</v>
      </c>
    </row>
    <row r="20" spans="1:2" ht="14.4" thickBot="1">
      <c r="A20" s="547" t="s">
        <v>3989</v>
      </c>
      <c r="B20" s="548">
        <v>156000000</v>
      </c>
    </row>
    <row r="21" spans="1:2">
      <c r="A21" s="549" t="s">
        <v>5307</v>
      </c>
      <c r="B21" s="546">
        <f>SUM(B10:B20)</f>
        <v>145070665174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41473-FA9F-40D0-8C2F-5BEC1A3E53DF}">
  <sheetPr>
    <tabColor rgb="FF494529"/>
  </sheetPr>
  <dimension ref="A1:CQ578"/>
  <sheetViews>
    <sheetView topLeftCell="BW1" zoomScaleNormal="100" workbookViewId="0">
      <selection activeCell="CD302" sqref="CD302"/>
    </sheetView>
  </sheetViews>
  <sheetFormatPr baseColWidth="10" defaultColWidth="10.69921875" defaultRowHeight="11.4" outlineLevelCol="1"/>
  <cols>
    <col min="1" max="1" width="15.69921875" style="347" customWidth="1"/>
    <col min="2" max="2" width="12.69921875" style="347" bestFit="1" customWidth="1"/>
    <col min="3" max="3" width="22.296875" style="347" customWidth="1"/>
    <col min="4" max="4" width="31.19921875" style="347" customWidth="1"/>
    <col min="5" max="5" width="27.19921875" style="347" customWidth="1"/>
    <col min="6" max="6" width="30.69921875" style="347" customWidth="1" outlineLevel="1"/>
    <col min="7" max="7" width="49.3984375" style="347" customWidth="1" outlineLevel="1"/>
    <col min="8" max="8" width="10.69921875" style="347" customWidth="1" outlineLevel="1"/>
    <col min="9" max="9" width="16.8984375" style="347" customWidth="1" outlineLevel="1"/>
    <col min="10" max="10" width="10.69921875" style="347" customWidth="1" outlineLevel="1"/>
    <col min="11" max="11" width="15.69921875" style="347" customWidth="1" outlineLevel="1"/>
    <col min="12" max="12" width="10.69921875" style="347" customWidth="1" outlineLevel="1"/>
    <col min="13" max="13" width="23" style="347" customWidth="1" outlineLevel="1"/>
    <col min="14" max="14" width="10.69921875" style="347" customWidth="1" outlineLevel="1"/>
    <col min="15" max="15" width="14.09765625" style="347" customWidth="1" outlineLevel="1"/>
    <col min="16" max="16" width="10.69921875" style="347" bestFit="1" customWidth="1"/>
    <col min="17" max="17" width="21.19921875" style="347" customWidth="1"/>
    <col min="18" max="18" width="21.8984375" style="347" customWidth="1"/>
    <col min="19" max="19" width="13.796875" style="347" customWidth="1"/>
    <col min="20" max="22" width="10.69921875" style="347" bestFit="1" customWidth="1"/>
    <col min="23" max="23" width="15.19921875" style="347" customWidth="1"/>
    <col min="24" max="25" width="10.69921875" style="347" bestFit="1" customWidth="1"/>
    <col min="26" max="26" width="13.69921875" style="347" bestFit="1" customWidth="1"/>
    <col min="27" max="28" width="14.69921875" style="347" bestFit="1" customWidth="1"/>
    <col min="29" max="30" width="13.69921875" style="347" bestFit="1" customWidth="1"/>
    <col min="31" max="31" width="28.59765625" style="347" customWidth="1"/>
    <col min="32" max="32" width="22.5" style="347" customWidth="1"/>
    <col min="33" max="33" width="13.69921875" style="347" bestFit="1" customWidth="1"/>
    <col min="34" max="34" width="16.09765625" style="347" bestFit="1" customWidth="1"/>
    <col min="35" max="38" width="14.69921875" style="347" bestFit="1" customWidth="1"/>
    <col min="39" max="39" width="16.09765625" style="347" bestFit="1" customWidth="1"/>
    <col min="40" max="40" width="13.69921875" style="347" bestFit="1" customWidth="1"/>
    <col min="41" max="42" width="14.69921875" style="347" bestFit="1" customWidth="1"/>
    <col min="43" max="44" width="13.69921875" style="347" bestFit="1" customWidth="1"/>
    <col min="45" max="45" width="29.19921875" style="347" customWidth="1"/>
    <col min="46" max="46" width="23.69921875" style="347" customWidth="1"/>
    <col min="47" max="47" width="13.69921875" style="347" bestFit="1" customWidth="1"/>
    <col min="48" max="48" width="16.09765625" style="347" bestFit="1" customWidth="1"/>
    <col min="49" max="52" width="14.69921875" style="347" bestFit="1" customWidth="1"/>
    <col min="53" max="53" width="16.09765625" style="347" bestFit="1" customWidth="1"/>
    <col min="54" max="54" width="13.69921875" style="347" bestFit="1" customWidth="1"/>
    <col min="55" max="56" width="14.69921875" style="347" bestFit="1" customWidth="1"/>
    <col min="57" max="58" width="13.69921875" style="347" bestFit="1" customWidth="1"/>
    <col min="59" max="59" width="29.796875" style="347" customWidth="1"/>
    <col min="60" max="60" width="23.69921875" style="347" customWidth="1"/>
    <col min="61" max="61" width="13.69921875" style="347" bestFit="1" customWidth="1"/>
    <col min="62" max="62" width="16.09765625" style="347" bestFit="1" customWidth="1"/>
    <col min="63" max="63" width="14.69921875" style="347" bestFit="1" customWidth="1"/>
    <col min="64" max="64" width="13.69921875" style="347" bestFit="1" customWidth="1"/>
    <col min="65" max="65" width="18.3984375" style="347" bestFit="1" customWidth="1"/>
    <col min="66" max="67" width="16.09765625" style="347" bestFit="1" customWidth="1"/>
    <col min="68" max="68" width="13.69921875" style="347" bestFit="1" customWidth="1"/>
    <col min="69" max="69" width="14.69921875" style="347" bestFit="1" customWidth="1"/>
    <col min="70" max="70" width="16.09765625" style="347" bestFit="1" customWidth="1"/>
    <col min="71" max="72" width="13.69921875" style="347" bestFit="1" customWidth="1"/>
    <col min="73" max="73" width="29.796875" style="347" customWidth="1"/>
    <col min="74" max="74" width="23.69921875" style="347" customWidth="1"/>
    <col min="75" max="75" width="12.69921875" style="347" bestFit="1" customWidth="1"/>
    <col min="76" max="76" width="16.09765625" style="347" bestFit="1" customWidth="1"/>
    <col min="77" max="77" width="14.69921875" style="347" bestFit="1" customWidth="1"/>
    <col min="78" max="78" width="13.69921875" style="347" bestFit="1" customWidth="1"/>
    <col min="79" max="79" width="18.3984375" style="347" bestFit="1" customWidth="1"/>
    <col min="80" max="81" width="16.09765625" style="347" bestFit="1" customWidth="1"/>
    <col min="82" max="82" width="17.59765625" style="347" bestFit="1" customWidth="1"/>
    <col min="83" max="83" width="13.296875" style="347" bestFit="1" customWidth="1"/>
    <col min="84" max="84" width="11.19921875" style="347" bestFit="1" customWidth="1"/>
    <col min="85" max="85" width="13.19921875" style="347" customWidth="1"/>
    <col min="86" max="87" width="10.69921875" style="347" bestFit="1" customWidth="1"/>
    <col min="88" max="88" width="29.796875" style="347" customWidth="1"/>
    <col min="89" max="89" width="23.69921875" style="347" customWidth="1"/>
    <col min="90" max="92" width="14.19921875" style="347" bestFit="1" customWidth="1"/>
    <col min="93" max="93" width="13.19921875" style="347" customWidth="1"/>
    <col min="94" max="95" width="10.69921875" style="347" hidden="1" customWidth="1"/>
    <col min="96" max="16384" width="10.69921875" style="347"/>
  </cols>
  <sheetData>
    <row r="1" spans="1:95" ht="19.5" customHeight="1" thickBot="1">
      <c r="B1" s="347">
        <v>1</v>
      </c>
      <c r="C1" s="347">
        <v>2</v>
      </c>
      <c r="D1" s="347">
        <v>3</v>
      </c>
      <c r="E1" s="347">
        <v>4</v>
      </c>
      <c r="F1" s="347">
        <v>5</v>
      </c>
      <c r="G1" s="347">
        <v>6</v>
      </c>
      <c r="H1" s="347">
        <v>7</v>
      </c>
      <c r="I1" s="347">
        <v>8</v>
      </c>
      <c r="J1" s="347">
        <v>9</v>
      </c>
      <c r="K1" s="347">
        <v>10</v>
      </c>
      <c r="L1" s="347">
        <v>11</v>
      </c>
      <c r="M1" s="347">
        <v>12</v>
      </c>
      <c r="N1" s="347">
        <v>13</v>
      </c>
      <c r="O1" s="347">
        <v>14</v>
      </c>
      <c r="P1" s="347">
        <v>15</v>
      </c>
      <c r="Q1" s="347">
        <v>16</v>
      </c>
      <c r="R1" s="347">
        <v>17</v>
      </c>
      <c r="S1" s="347">
        <v>18</v>
      </c>
      <c r="T1" s="347">
        <v>19</v>
      </c>
      <c r="U1" s="347">
        <v>20</v>
      </c>
      <c r="V1" s="347">
        <v>21</v>
      </c>
      <c r="W1" s="347">
        <v>22</v>
      </c>
      <c r="X1" s="347">
        <v>23</v>
      </c>
      <c r="Y1" s="347">
        <v>24</v>
      </c>
      <c r="Z1" s="347">
        <v>25</v>
      </c>
      <c r="AA1" s="347">
        <v>26</v>
      </c>
      <c r="AB1" s="347">
        <v>27</v>
      </c>
      <c r="AC1" s="347">
        <v>28</v>
      </c>
      <c r="AD1" s="347">
        <v>29</v>
      </c>
      <c r="AE1" s="347">
        <v>30</v>
      </c>
      <c r="AF1" s="347">
        <v>31</v>
      </c>
      <c r="AG1" s="347">
        <v>32</v>
      </c>
      <c r="AH1" s="347">
        <v>33</v>
      </c>
      <c r="AI1" s="347">
        <v>34</v>
      </c>
      <c r="AJ1" s="347">
        <v>35</v>
      </c>
      <c r="AK1" s="347">
        <v>36</v>
      </c>
      <c r="AL1" s="347">
        <v>37</v>
      </c>
      <c r="AM1" s="347">
        <v>38</v>
      </c>
      <c r="AN1" s="347">
        <v>39</v>
      </c>
      <c r="AO1" s="347">
        <v>40</v>
      </c>
      <c r="AP1" s="347">
        <v>41</v>
      </c>
      <c r="AQ1" s="347">
        <v>42</v>
      </c>
      <c r="AR1" s="347">
        <v>43</v>
      </c>
      <c r="AS1" s="347">
        <v>44</v>
      </c>
      <c r="AT1" s="347">
        <v>45</v>
      </c>
      <c r="AU1" s="347">
        <v>46</v>
      </c>
      <c r="AV1" s="347">
        <v>47</v>
      </c>
      <c r="AW1" s="347">
        <v>48</v>
      </c>
      <c r="AX1" s="347">
        <v>49</v>
      </c>
      <c r="AY1" s="347">
        <v>50</v>
      </c>
      <c r="AZ1" s="347">
        <v>51</v>
      </c>
      <c r="BA1" s="347">
        <v>52</v>
      </c>
      <c r="BB1" s="347">
        <v>53</v>
      </c>
      <c r="BC1" s="347">
        <v>54</v>
      </c>
      <c r="BD1" s="347">
        <v>55</v>
      </c>
      <c r="BE1" s="347">
        <v>56</v>
      </c>
      <c r="BF1" s="347">
        <v>57</v>
      </c>
      <c r="BG1" s="347">
        <v>58</v>
      </c>
      <c r="BH1" s="347">
        <v>59</v>
      </c>
      <c r="BI1" s="347">
        <v>60</v>
      </c>
      <c r="BJ1" s="347">
        <v>61</v>
      </c>
      <c r="BK1" s="347">
        <v>62</v>
      </c>
      <c r="BL1" s="347">
        <v>63</v>
      </c>
      <c r="BM1" s="347">
        <v>64</v>
      </c>
      <c r="BN1" s="347">
        <v>65</v>
      </c>
      <c r="BO1" s="347">
        <v>66</v>
      </c>
      <c r="BP1" s="347">
        <v>67</v>
      </c>
      <c r="BQ1" s="347">
        <v>68</v>
      </c>
      <c r="BR1" s="347">
        <v>69</v>
      </c>
      <c r="BS1" s="347">
        <v>70</v>
      </c>
      <c r="BT1" s="347">
        <v>71</v>
      </c>
      <c r="BU1" s="347">
        <v>72</v>
      </c>
      <c r="BV1" s="347">
        <v>73</v>
      </c>
      <c r="BW1" s="347">
        <v>74</v>
      </c>
      <c r="BX1" s="347">
        <v>75</v>
      </c>
      <c r="BY1" s="347">
        <v>76</v>
      </c>
      <c r="BZ1" s="347">
        <v>77</v>
      </c>
      <c r="CA1" s="347">
        <v>78</v>
      </c>
      <c r="CB1" s="347">
        <v>79</v>
      </c>
      <c r="CC1" s="347">
        <v>80</v>
      </c>
      <c r="CD1" s="347">
        <v>81</v>
      </c>
      <c r="CE1" s="347">
        <v>82</v>
      </c>
      <c r="CF1" s="347">
        <v>83</v>
      </c>
      <c r="CG1" s="347">
        <v>84</v>
      </c>
      <c r="CH1" s="347">
        <v>85</v>
      </c>
      <c r="CI1" s="347">
        <v>86</v>
      </c>
      <c r="CJ1" s="347">
        <v>87</v>
      </c>
      <c r="CK1" s="347">
        <v>88</v>
      </c>
      <c r="CL1" s="347">
        <v>89</v>
      </c>
      <c r="CM1" s="347">
        <v>90</v>
      </c>
      <c r="CN1" s="347">
        <v>91</v>
      </c>
      <c r="CO1" s="347">
        <v>92</v>
      </c>
      <c r="CP1" s="347">
        <v>93</v>
      </c>
      <c r="CQ1" s="347">
        <v>94</v>
      </c>
    </row>
    <row r="2" spans="1:95" ht="19.5" customHeight="1" thickBot="1">
      <c r="A2" s="553" t="s">
        <v>2348</v>
      </c>
      <c r="B2" s="473" t="s">
        <v>5023</v>
      </c>
      <c r="C2" s="472" t="s">
        <v>3991</v>
      </c>
      <c r="D2" s="472" t="s">
        <v>3992</v>
      </c>
      <c r="E2" s="472" t="s">
        <v>5027</v>
      </c>
      <c r="F2" s="472" t="s">
        <v>3993</v>
      </c>
      <c r="G2" s="472" t="s">
        <v>3994</v>
      </c>
      <c r="H2" s="472" t="s">
        <v>0</v>
      </c>
      <c r="I2" s="474" t="s">
        <v>2347</v>
      </c>
      <c r="J2" s="475" t="s">
        <v>3995</v>
      </c>
      <c r="K2" s="472" t="s">
        <v>3996</v>
      </c>
      <c r="L2" s="472" t="s">
        <v>3997</v>
      </c>
      <c r="M2" s="472" t="s">
        <v>5660</v>
      </c>
      <c r="N2" s="476" t="s">
        <v>753</v>
      </c>
      <c r="O2" s="472" t="s">
        <v>3998</v>
      </c>
      <c r="P2" s="472" t="s">
        <v>3999</v>
      </c>
      <c r="Q2" s="477" t="s">
        <v>5311</v>
      </c>
      <c r="R2" s="477" t="s">
        <v>5312</v>
      </c>
      <c r="S2" s="477" t="s">
        <v>5313</v>
      </c>
      <c r="T2" s="477" t="s">
        <v>6659</v>
      </c>
      <c r="U2" s="477" t="s">
        <v>5314</v>
      </c>
      <c r="V2" s="477" t="s">
        <v>5315</v>
      </c>
      <c r="W2" s="477" t="s">
        <v>5316</v>
      </c>
      <c r="X2" s="477" t="s">
        <v>628</v>
      </c>
      <c r="Y2" s="477" t="s">
        <v>5317</v>
      </c>
      <c r="Z2" s="392" t="s">
        <v>3978</v>
      </c>
      <c r="AA2" s="393" t="s">
        <v>3979</v>
      </c>
      <c r="AB2" s="393" t="s">
        <v>3980</v>
      </c>
      <c r="AC2" s="393" t="s">
        <v>3981</v>
      </c>
      <c r="AD2" s="393" t="s">
        <v>3982</v>
      </c>
      <c r="AE2" s="393" t="s">
        <v>3983</v>
      </c>
      <c r="AF2" s="393" t="s">
        <v>3984</v>
      </c>
      <c r="AG2" s="393" t="s">
        <v>3985</v>
      </c>
      <c r="AH2" s="393" t="s">
        <v>3986</v>
      </c>
      <c r="AI2" s="394" t="s">
        <v>3987</v>
      </c>
      <c r="AJ2" s="394" t="s">
        <v>3988</v>
      </c>
      <c r="AK2" s="394" t="s">
        <v>3989</v>
      </c>
      <c r="AL2" s="394" t="s">
        <v>6660</v>
      </c>
      <c r="AM2" s="395" t="s">
        <v>3990</v>
      </c>
      <c r="AN2" s="393" t="s">
        <v>6661</v>
      </c>
      <c r="AO2" s="393" t="s">
        <v>6662</v>
      </c>
      <c r="AP2" s="393" t="s">
        <v>6663</v>
      </c>
      <c r="AQ2" s="393" t="s">
        <v>6664</v>
      </c>
      <c r="AR2" s="393" t="s">
        <v>6665</v>
      </c>
      <c r="AS2" s="393" t="s">
        <v>6666</v>
      </c>
      <c r="AT2" s="393" t="s">
        <v>6667</v>
      </c>
      <c r="AU2" s="393" t="s">
        <v>6668</v>
      </c>
      <c r="AV2" s="393" t="s">
        <v>6669</v>
      </c>
      <c r="AW2" s="396" t="s">
        <v>6670</v>
      </c>
      <c r="AX2" s="396" t="s">
        <v>6671</v>
      </c>
      <c r="AY2" s="396" t="s">
        <v>6672</v>
      </c>
      <c r="AZ2" s="396" t="s">
        <v>6673</v>
      </c>
      <c r="BA2" s="397" t="s">
        <v>4000</v>
      </c>
      <c r="BB2" s="393" t="s">
        <v>6674</v>
      </c>
      <c r="BC2" s="393" t="s">
        <v>6675</v>
      </c>
      <c r="BD2" s="393" t="s">
        <v>6676</v>
      </c>
      <c r="BE2" s="393" t="s">
        <v>6677</v>
      </c>
      <c r="BF2" s="393" t="s">
        <v>6678</v>
      </c>
      <c r="BG2" s="393" t="s">
        <v>6679</v>
      </c>
      <c r="BH2" s="393" t="s">
        <v>6680</v>
      </c>
      <c r="BI2" s="393" t="s">
        <v>6681</v>
      </c>
      <c r="BJ2" s="393" t="s">
        <v>6682</v>
      </c>
      <c r="BK2" s="396" t="s">
        <v>6683</v>
      </c>
      <c r="BL2" s="396" t="s">
        <v>6684</v>
      </c>
      <c r="BM2" s="396" t="s">
        <v>6685</v>
      </c>
      <c r="BN2" s="396" t="s">
        <v>6686</v>
      </c>
      <c r="BO2" s="395" t="s">
        <v>4001</v>
      </c>
      <c r="BP2" s="393" t="s">
        <v>6687</v>
      </c>
      <c r="BQ2" s="393" t="s">
        <v>6688</v>
      </c>
      <c r="BR2" s="393" t="s">
        <v>6689</v>
      </c>
      <c r="BS2" s="393" t="s">
        <v>6690</v>
      </c>
      <c r="BT2" s="393" t="s">
        <v>6691</v>
      </c>
      <c r="BU2" s="393" t="s">
        <v>6692</v>
      </c>
      <c r="BV2" s="393" t="s">
        <v>6693</v>
      </c>
      <c r="BW2" s="393" t="s">
        <v>6694</v>
      </c>
      <c r="BX2" s="393" t="s">
        <v>6695</v>
      </c>
      <c r="BY2" s="396" t="s">
        <v>6696</v>
      </c>
      <c r="BZ2" s="396" t="s">
        <v>6697</v>
      </c>
      <c r="CA2" s="396" t="s">
        <v>6698</v>
      </c>
      <c r="CB2" s="396" t="s">
        <v>6699</v>
      </c>
      <c r="CC2" s="398" t="s">
        <v>4002</v>
      </c>
      <c r="CD2" s="399" t="s">
        <v>4003</v>
      </c>
      <c r="CE2" s="393" t="s">
        <v>6700</v>
      </c>
      <c r="CF2" s="393" t="s">
        <v>6701</v>
      </c>
      <c r="CG2" s="393" t="s">
        <v>6702</v>
      </c>
      <c r="CH2" s="393" t="s">
        <v>6703</v>
      </c>
      <c r="CI2" s="393" t="s">
        <v>6704</v>
      </c>
      <c r="CJ2" s="393" t="s">
        <v>6705</v>
      </c>
      <c r="CK2" s="393" t="s">
        <v>6706</v>
      </c>
      <c r="CL2" s="393" t="s">
        <v>6707</v>
      </c>
      <c r="CM2" s="396" t="s">
        <v>6708</v>
      </c>
      <c r="CN2" s="396" t="s">
        <v>6709</v>
      </c>
      <c r="CO2" s="396" t="s">
        <v>6710</v>
      </c>
      <c r="CP2" s="478" t="s">
        <v>628</v>
      </c>
      <c r="CQ2" s="478" t="s">
        <v>6203</v>
      </c>
    </row>
    <row r="3" spans="1:95" ht="30.45" hidden="1" customHeight="1" thickBot="1">
      <c r="A3" s="554" t="s">
        <v>4011</v>
      </c>
      <c r="B3" s="479">
        <v>1</v>
      </c>
      <c r="C3" s="480" t="s">
        <v>4004</v>
      </c>
      <c r="D3" s="480" t="s">
        <v>4005</v>
      </c>
      <c r="E3" s="480" t="str">
        <f>MID(F3,1,6)</f>
        <v xml:space="preserve">1.1.1 </v>
      </c>
      <c r="F3" s="480" t="s">
        <v>6372</v>
      </c>
      <c r="G3" s="480" t="s">
        <v>4006</v>
      </c>
      <c r="H3" s="481">
        <v>23</v>
      </c>
      <c r="I3" s="480" t="s">
        <v>4007</v>
      </c>
      <c r="J3" s="482">
        <v>230103000</v>
      </c>
      <c r="K3" s="483" t="s">
        <v>4008</v>
      </c>
      <c r="L3" s="483" t="s">
        <v>4009</v>
      </c>
      <c r="M3" s="483" t="s">
        <v>6396</v>
      </c>
      <c r="N3" s="484">
        <v>3826</v>
      </c>
      <c r="O3" s="483" t="s">
        <v>4010</v>
      </c>
      <c r="P3" s="485">
        <v>8000</v>
      </c>
      <c r="Q3" s="485" t="s">
        <v>5318</v>
      </c>
      <c r="R3" s="485" t="s">
        <v>5319</v>
      </c>
      <c r="S3" s="485" t="s">
        <v>5320</v>
      </c>
      <c r="T3" s="485">
        <v>14</v>
      </c>
      <c r="U3" s="485" t="s">
        <v>5321</v>
      </c>
      <c r="V3" s="485">
        <v>11</v>
      </c>
      <c r="W3" s="485" t="s">
        <v>5322</v>
      </c>
      <c r="X3" s="485">
        <v>9</v>
      </c>
      <c r="Y3" s="485" t="s">
        <v>5323</v>
      </c>
      <c r="Z3" s="486">
        <v>0</v>
      </c>
      <c r="AA3" s="486">
        <v>0</v>
      </c>
      <c r="AB3" s="486">
        <v>0</v>
      </c>
      <c r="AC3" s="486">
        <v>0</v>
      </c>
      <c r="AD3" s="486">
        <v>0</v>
      </c>
      <c r="AE3" s="486">
        <v>0</v>
      </c>
      <c r="AF3" s="486">
        <v>0</v>
      </c>
      <c r="AG3" s="486">
        <v>0</v>
      </c>
      <c r="AH3" s="487">
        <v>0</v>
      </c>
      <c r="AI3" s="486">
        <v>400000000</v>
      </c>
      <c r="AJ3" s="486">
        <v>0</v>
      </c>
      <c r="AK3" s="486">
        <v>0</v>
      </c>
      <c r="AL3" s="488">
        <v>400000000</v>
      </c>
      <c r="AM3" s="489">
        <v>400000000</v>
      </c>
      <c r="AN3" s="486">
        <v>0</v>
      </c>
      <c r="AO3" s="486">
        <v>0</v>
      </c>
      <c r="AP3" s="486">
        <v>0</v>
      </c>
      <c r="AQ3" s="486">
        <v>0</v>
      </c>
      <c r="AR3" s="486">
        <v>0</v>
      </c>
      <c r="AS3" s="486">
        <v>0</v>
      </c>
      <c r="AT3" s="486">
        <v>0</v>
      </c>
      <c r="AU3" s="486">
        <v>0</v>
      </c>
      <c r="AV3" s="487">
        <v>0</v>
      </c>
      <c r="AW3" s="486">
        <v>400000000</v>
      </c>
      <c r="AX3" s="486">
        <v>0</v>
      </c>
      <c r="AY3" s="486">
        <v>0</v>
      </c>
      <c r="AZ3" s="488">
        <v>400000000</v>
      </c>
      <c r="BA3" s="490">
        <v>400000000</v>
      </c>
      <c r="BB3" s="486">
        <v>0</v>
      </c>
      <c r="BC3" s="486">
        <v>0</v>
      </c>
      <c r="BD3" s="486">
        <v>0</v>
      </c>
      <c r="BE3" s="486">
        <v>0</v>
      </c>
      <c r="BF3" s="486">
        <v>0</v>
      </c>
      <c r="BG3" s="486">
        <v>0</v>
      </c>
      <c r="BH3" s="486">
        <v>0</v>
      </c>
      <c r="BI3" s="486">
        <v>0</v>
      </c>
      <c r="BJ3" s="487">
        <v>0</v>
      </c>
      <c r="BK3" s="486">
        <v>400000000</v>
      </c>
      <c r="BL3" s="486">
        <v>0</v>
      </c>
      <c r="BM3" s="486">
        <v>0</v>
      </c>
      <c r="BN3" s="488">
        <v>400000000</v>
      </c>
      <c r="BO3" s="490">
        <v>400000000</v>
      </c>
      <c r="BP3" s="486">
        <v>0</v>
      </c>
      <c r="BQ3" s="486">
        <v>0</v>
      </c>
      <c r="BR3" s="486">
        <v>0</v>
      </c>
      <c r="BS3" s="486">
        <v>0</v>
      </c>
      <c r="BT3" s="486">
        <v>0</v>
      </c>
      <c r="BU3" s="486">
        <v>0</v>
      </c>
      <c r="BV3" s="486">
        <v>0</v>
      </c>
      <c r="BW3" s="486">
        <v>0</v>
      </c>
      <c r="BX3" s="487">
        <v>0</v>
      </c>
      <c r="BY3" s="486">
        <v>400000000</v>
      </c>
      <c r="BZ3" s="486">
        <v>0</v>
      </c>
      <c r="CA3" s="486">
        <v>0</v>
      </c>
      <c r="CB3" s="488">
        <v>400000000</v>
      </c>
      <c r="CC3" s="491">
        <v>400000000</v>
      </c>
      <c r="CD3" s="492">
        <v>1600000000</v>
      </c>
      <c r="CE3" s="493">
        <v>0</v>
      </c>
      <c r="CF3" s="493">
        <f t="shared" ref="CF3:CL18" si="0">AA3+AO3+BC3+BQ3</f>
        <v>0</v>
      </c>
      <c r="CG3" s="493">
        <f t="shared" si="0"/>
        <v>0</v>
      </c>
      <c r="CH3" s="493">
        <f t="shared" si="0"/>
        <v>0</v>
      </c>
      <c r="CI3" s="493">
        <f t="shared" si="0"/>
        <v>0</v>
      </c>
      <c r="CJ3" s="493">
        <f t="shared" si="0"/>
        <v>0</v>
      </c>
      <c r="CK3" s="493">
        <f t="shared" si="0"/>
        <v>0</v>
      </c>
      <c r="CL3" s="493">
        <f t="shared" si="0"/>
        <v>0</v>
      </c>
      <c r="CM3" s="493">
        <f>AI3+AW3+BK3+BY3</f>
        <v>1600000000</v>
      </c>
      <c r="CN3" s="493">
        <f>AJ3+AX3+BL3+BZ3</f>
        <v>0</v>
      </c>
      <c r="CO3" s="493">
        <f>AK3+AY3+BM3+CA3</f>
        <v>0</v>
      </c>
      <c r="CP3" s="494" t="s">
        <v>6204</v>
      </c>
      <c r="CQ3" s="494" t="s">
        <v>6205</v>
      </c>
    </row>
    <row r="4" spans="1:95" ht="30.45" hidden="1" customHeight="1" thickBot="1">
      <c r="A4" s="555" t="s">
        <v>4011</v>
      </c>
      <c r="B4" s="479">
        <v>2</v>
      </c>
      <c r="C4" s="480" t="s">
        <v>4004</v>
      </c>
      <c r="D4" s="480" t="s">
        <v>4005</v>
      </c>
      <c r="E4" s="480" t="str">
        <f t="shared" ref="E4:E67" si="1">MID(F4,1,6)</f>
        <v xml:space="preserve">1.1.1 </v>
      </c>
      <c r="F4" s="480" t="s">
        <v>6372</v>
      </c>
      <c r="G4" s="480" t="s">
        <v>4006</v>
      </c>
      <c r="H4" s="481">
        <v>23</v>
      </c>
      <c r="I4" s="480" t="s">
        <v>4012</v>
      </c>
      <c r="J4" s="495">
        <v>230206100</v>
      </c>
      <c r="K4" s="480" t="s">
        <v>4008</v>
      </c>
      <c r="L4" s="480" t="s">
        <v>6397</v>
      </c>
      <c r="M4" s="480" t="s">
        <v>5661</v>
      </c>
      <c r="N4" s="484">
        <v>1473</v>
      </c>
      <c r="O4" s="480" t="s">
        <v>4010</v>
      </c>
      <c r="P4" s="485">
        <v>3000</v>
      </c>
      <c r="Q4" s="485" t="s">
        <v>5318</v>
      </c>
      <c r="R4" s="485" t="s">
        <v>5319</v>
      </c>
      <c r="S4" s="485" t="s">
        <v>5320</v>
      </c>
      <c r="T4" s="485">
        <v>14</v>
      </c>
      <c r="U4" s="485" t="s">
        <v>5321</v>
      </c>
      <c r="V4" s="485">
        <v>11</v>
      </c>
      <c r="W4" s="485" t="s">
        <v>5322</v>
      </c>
      <c r="X4" s="485">
        <v>9</v>
      </c>
      <c r="Y4" s="485" t="s">
        <v>5323</v>
      </c>
      <c r="Z4" s="486">
        <v>0</v>
      </c>
      <c r="AA4" s="486">
        <v>0</v>
      </c>
      <c r="AB4" s="486">
        <v>0</v>
      </c>
      <c r="AC4" s="486">
        <v>0</v>
      </c>
      <c r="AD4" s="486">
        <v>0</v>
      </c>
      <c r="AE4" s="486">
        <v>0</v>
      </c>
      <c r="AF4" s="486">
        <v>0</v>
      </c>
      <c r="AG4" s="486">
        <v>0</v>
      </c>
      <c r="AH4" s="487">
        <v>0</v>
      </c>
      <c r="AI4" s="486">
        <v>150000000</v>
      </c>
      <c r="AJ4" s="486">
        <v>0</v>
      </c>
      <c r="AK4" s="486">
        <v>0</v>
      </c>
      <c r="AL4" s="488">
        <v>150000000</v>
      </c>
      <c r="AM4" s="489">
        <v>150000000</v>
      </c>
      <c r="AN4" s="486">
        <v>0</v>
      </c>
      <c r="AO4" s="486">
        <v>0</v>
      </c>
      <c r="AP4" s="486">
        <v>0</v>
      </c>
      <c r="AQ4" s="486">
        <v>0</v>
      </c>
      <c r="AR4" s="486">
        <v>0</v>
      </c>
      <c r="AS4" s="486">
        <v>0</v>
      </c>
      <c r="AT4" s="486">
        <v>0</v>
      </c>
      <c r="AU4" s="486">
        <v>0</v>
      </c>
      <c r="AV4" s="487">
        <v>0</v>
      </c>
      <c r="AW4" s="486">
        <v>150000000</v>
      </c>
      <c r="AX4" s="486">
        <v>0</v>
      </c>
      <c r="AY4" s="486">
        <v>0</v>
      </c>
      <c r="AZ4" s="488">
        <v>150000000</v>
      </c>
      <c r="BA4" s="490">
        <v>150000000</v>
      </c>
      <c r="BB4" s="486">
        <v>0</v>
      </c>
      <c r="BC4" s="486">
        <v>0</v>
      </c>
      <c r="BD4" s="486">
        <v>0</v>
      </c>
      <c r="BE4" s="486">
        <v>0</v>
      </c>
      <c r="BF4" s="486">
        <v>0</v>
      </c>
      <c r="BG4" s="486">
        <v>0</v>
      </c>
      <c r="BH4" s="486">
        <v>0</v>
      </c>
      <c r="BI4" s="486">
        <v>0</v>
      </c>
      <c r="BJ4" s="487">
        <v>0</v>
      </c>
      <c r="BK4" s="486">
        <v>150000000</v>
      </c>
      <c r="BL4" s="486">
        <v>0</v>
      </c>
      <c r="BM4" s="486">
        <v>0</v>
      </c>
      <c r="BN4" s="488">
        <v>150000000</v>
      </c>
      <c r="BO4" s="490">
        <v>150000000</v>
      </c>
      <c r="BP4" s="486">
        <v>0</v>
      </c>
      <c r="BQ4" s="486">
        <v>0</v>
      </c>
      <c r="BR4" s="486">
        <v>0</v>
      </c>
      <c r="BS4" s="486">
        <v>0</v>
      </c>
      <c r="BT4" s="486">
        <v>0</v>
      </c>
      <c r="BU4" s="486">
        <v>0</v>
      </c>
      <c r="BV4" s="486">
        <v>0</v>
      </c>
      <c r="BW4" s="486">
        <v>0</v>
      </c>
      <c r="BX4" s="487">
        <v>0</v>
      </c>
      <c r="BY4" s="486">
        <v>150000000</v>
      </c>
      <c r="BZ4" s="486">
        <v>0</v>
      </c>
      <c r="CA4" s="486">
        <v>0</v>
      </c>
      <c r="CB4" s="488">
        <v>150000000</v>
      </c>
      <c r="CC4" s="491">
        <v>150000000</v>
      </c>
      <c r="CD4" s="492">
        <v>600000000</v>
      </c>
      <c r="CE4" s="493">
        <f t="shared" ref="CE4:CL48" si="2">Z4+AN4+BB4+BP4</f>
        <v>0</v>
      </c>
      <c r="CF4" s="493">
        <f t="shared" si="0"/>
        <v>0</v>
      </c>
      <c r="CG4" s="493">
        <f t="shared" si="0"/>
        <v>0</v>
      </c>
      <c r="CH4" s="493">
        <f t="shared" si="0"/>
        <v>0</v>
      </c>
      <c r="CI4" s="493">
        <f t="shared" si="0"/>
        <v>0</v>
      </c>
      <c r="CJ4" s="493">
        <f t="shared" si="0"/>
        <v>0</v>
      </c>
      <c r="CK4" s="493">
        <f t="shared" si="0"/>
        <v>0</v>
      </c>
      <c r="CL4" s="493">
        <f t="shared" si="0"/>
        <v>0</v>
      </c>
      <c r="CM4" s="493">
        <f t="shared" ref="CM4:CO67" si="3">AI4+AW4+BK4+BY4</f>
        <v>600000000</v>
      </c>
      <c r="CN4" s="493">
        <f t="shared" si="3"/>
        <v>0</v>
      </c>
      <c r="CO4" s="493">
        <f t="shared" si="3"/>
        <v>0</v>
      </c>
      <c r="CP4" s="496" t="s">
        <v>6206</v>
      </c>
      <c r="CQ4" s="496" t="s">
        <v>6207</v>
      </c>
    </row>
    <row r="5" spans="1:95" ht="30.45" hidden="1" customHeight="1" thickBot="1">
      <c r="A5" s="555" t="s">
        <v>4011</v>
      </c>
      <c r="B5" s="479">
        <v>3</v>
      </c>
      <c r="C5" s="480" t="s">
        <v>4004</v>
      </c>
      <c r="D5" s="480" t="s">
        <v>4005</v>
      </c>
      <c r="E5" s="480" t="str">
        <f t="shared" si="1"/>
        <v xml:space="preserve">1.1.1 </v>
      </c>
      <c r="F5" s="480" t="s">
        <v>6372</v>
      </c>
      <c r="G5" s="480" t="s">
        <v>4006</v>
      </c>
      <c r="H5" s="481">
        <v>23</v>
      </c>
      <c r="I5" s="480" t="s">
        <v>4007</v>
      </c>
      <c r="J5" s="495">
        <v>230106202</v>
      </c>
      <c r="K5" s="480" t="s">
        <v>4013</v>
      </c>
      <c r="L5" s="480" t="s">
        <v>4014</v>
      </c>
      <c r="M5" s="480" t="s">
        <v>5662</v>
      </c>
      <c r="N5" s="484">
        <v>51485</v>
      </c>
      <c r="O5" s="480" t="s">
        <v>4010</v>
      </c>
      <c r="P5" s="485">
        <v>80000</v>
      </c>
      <c r="Q5" s="485" t="s">
        <v>5318</v>
      </c>
      <c r="R5" s="485" t="s">
        <v>5319</v>
      </c>
      <c r="S5" s="485" t="s">
        <v>5320</v>
      </c>
      <c r="T5" s="485">
        <v>14</v>
      </c>
      <c r="U5" s="485" t="s">
        <v>5321</v>
      </c>
      <c r="V5" s="485">
        <v>11</v>
      </c>
      <c r="W5" s="485" t="s">
        <v>5322</v>
      </c>
      <c r="X5" s="485">
        <v>9</v>
      </c>
      <c r="Y5" s="485" t="s">
        <v>5323</v>
      </c>
      <c r="Z5" s="486">
        <v>0</v>
      </c>
      <c r="AA5" s="486">
        <v>0</v>
      </c>
      <c r="AB5" s="486">
        <v>0</v>
      </c>
      <c r="AC5" s="486">
        <v>0</v>
      </c>
      <c r="AD5" s="486">
        <v>0</v>
      </c>
      <c r="AE5" s="486">
        <v>0</v>
      </c>
      <c r="AF5" s="486">
        <v>0</v>
      </c>
      <c r="AG5" s="486">
        <v>0</v>
      </c>
      <c r="AH5" s="487">
        <v>0</v>
      </c>
      <c r="AI5" s="486">
        <v>4000000000</v>
      </c>
      <c r="AJ5" s="486">
        <v>0</v>
      </c>
      <c r="AK5" s="486">
        <v>0</v>
      </c>
      <c r="AL5" s="488">
        <v>4000000000</v>
      </c>
      <c r="AM5" s="489">
        <v>4000000000</v>
      </c>
      <c r="AN5" s="486">
        <v>0</v>
      </c>
      <c r="AO5" s="486">
        <v>0</v>
      </c>
      <c r="AP5" s="486">
        <v>0</v>
      </c>
      <c r="AQ5" s="486">
        <v>0</v>
      </c>
      <c r="AR5" s="486">
        <v>0</v>
      </c>
      <c r="AS5" s="486">
        <v>0</v>
      </c>
      <c r="AT5" s="486">
        <v>6000000000</v>
      </c>
      <c r="AU5" s="486">
        <v>0</v>
      </c>
      <c r="AV5" s="487">
        <v>6000000000</v>
      </c>
      <c r="AW5" s="486">
        <v>0</v>
      </c>
      <c r="AX5" s="486">
        <v>0</v>
      </c>
      <c r="AY5" s="486">
        <v>0</v>
      </c>
      <c r="AZ5" s="488">
        <v>0</v>
      </c>
      <c r="BA5" s="490">
        <v>6000000000</v>
      </c>
      <c r="BB5" s="486">
        <v>0</v>
      </c>
      <c r="BC5" s="486">
        <v>0</v>
      </c>
      <c r="BD5" s="486">
        <v>0</v>
      </c>
      <c r="BE5" s="486">
        <v>0</v>
      </c>
      <c r="BF5" s="486">
        <v>0</v>
      </c>
      <c r="BG5" s="486">
        <v>0</v>
      </c>
      <c r="BH5" s="486">
        <v>0</v>
      </c>
      <c r="BI5" s="486">
        <v>0</v>
      </c>
      <c r="BJ5" s="487">
        <v>0</v>
      </c>
      <c r="BK5" s="486">
        <v>0</v>
      </c>
      <c r="BL5" s="486">
        <v>0</v>
      </c>
      <c r="BM5" s="486">
        <v>0</v>
      </c>
      <c r="BN5" s="488">
        <v>0</v>
      </c>
      <c r="BO5" s="490">
        <v>0</v>
      </c>
      <c r="BP5" s="486">
        <v>0</v>
      </c>
      <c r="BQ5" s="486">
        <v>0</v>
      </c>
      <c r="BR5" s="486">
        <v>0</v>
      </c>
      <c r="BS5" s="486">
        <v>0</v>
      </c>
      <c r="BT5" s="486">
        <v>0</v>
      </c>
      <c r="BU5" s="486">
        <v>0</v>
      </c>
      <c r="BV5" s="486">
        <v>0</v>
      </c>
      <c r="BW5" s="486">
        <v>0</v>
      </c>
      <c r="BX5" s="487">
        <v>0</v>
      </c>
      <c r="BY5" s="486">
        <v>0</v>
      </c>
      <c r="BZ5" s="486">
        <v>0</v>
      </c>
      <c r="CA5" s="486">
        <v>0</v>
      </c>
      <c r="CB5" s="488">
        <v>0</v>
      </c>
      <c r="CC5" s="491">
        <v>0</v>
      </c>
      <c r="CD5" s="492">
        <v>10000000000</v>
      </c>
      <c r="CE5" s="493">
        <f t="shared" si="2"/>
        <v>0</v>
      </c>
      <c r="CF5" s="493">
        <f t="shared" si="0"/>
        <v>0</v>
      </c>
      <c r="CG5" s="493">
        <f t="shared" si="0"/>
        <v>0</v>
      </c>
      <c r="CH5" s="493">
        <f t="shared" si="0"/>
        <v>0</v>
      </c>
      <c r="CI5" s="493">
        <f t="shared" si="0"/>
        <v>0</v>
      </c>
      <c r="CJ5" s="493">
        <f t="shared" si="0"/>
        <v>0</v>
      </c>
      <c r="CK5" s="493">
        <f t="shared" si="0"/>
        <v>6000000000</v>
      </c>
      <c r="CL5" s="493">
        <f t="shared" si="0"/>
        <v>0</v>
      </c>
      <c r="CM5" s="493">
        <f t="shared" si="3"/>
        <v>4000000000</v>
      </c>
      <c r="CN5" s="493">
        <f t="shared" si="3"/>
        <v>0</v>
      </c>
      <c r="CO5" s="493">
        <f t="shared" si="3"/>
        <v>0</v>
      </c>
      <c r="CP5" s="494">
        <v>9</v>
      </c>
      <c r="CQ5" s="497" t="s">
        <v>6208</v>
      </c>
    </row>
    <row r="6" spans="1:95" ht="30.45" hidden="1" customHeight="1" thickBot="1">
      <c r="A6" s="555" t="s">
        <v>4011</v>
      </c>
      <c r="B6" s="479">
        <v>4</v>
      </c>
      <c r="C6" s="480" t="s">
        <v>4004</v>
      </c>
      <c r="D6" s="480" t="s">
        <v>4005</v>
      </c>
      <c r="E6" s="480" t="str">
        <f t="shared" si="1"/>
        <v xml:space="preserve">1.1.1 </v>
      </c>
      <c r="F6" s="480" t="s">
        <v>6372</v>
      </c>
      <c r="G6" s="480" t="s">
        <v>4006</v>
      </c>
      <c r="H6" s="481">
        <v>23</v>
      </c>
      <c r="I6" s="480" t="s">
        <v>4012</v>
      </c>
      <c r="J6" s="495">
        <v>230204200</v>
      </c>
      <c r="K6" s="480" t="s">
        <v>4015</v>
      </c>
      <c r="L6" s="480" t="s">
        <v>6398</v>
      </c>
      <c r="M6" s="480" t="s">
        <v>5663</v>
      </c>
      <c r="N6" s="484">
        <v>2</v>
      </c>
      <c r="O6" s="480" t="s">
        <v>4010</v>
      </c>
      <c r="P6" s="485">
        <v>8</v>
      </c>
      <c r="Q6" s="485" t="s">
        <v>5318</v>
      </c>
      <c r="R6" s="485" t="s">
        <v>5319</v>
      </c>
      <c r="S6" s="485" t="s">
        <v>5320</v>
      </c>
      <c r="T6" s="485">
        <v>14</v>
      </c>
      <c r="U6" s="485" t="s">
        <v>5321</v>
      </c>
      <c r="V6" s="485">
        <v>11</v>
      </c>
      <c r="W6" s="485" t="s">
        <v>5322</v>
      </c>
      <c r="X6" s="485">
        <v>9</v>
      </c>
      <c r="Y6" s="485" t="s">
        <v>5323</v>
      </c>
      <c r="Z6" s="486">
        <v>175000000</v>
      </c>
      <c r="AA6" s="486">
        <v>0</v>
      </c>
      <c r="AB6" s="486">
        <v>0</v>
      </c>
      <c r="AC6" s="486">
        <v>0</v>
      </c>
      <c r="AD6" s="486">
        <v>0</v>
      </c>
      <c r="AE6" s="486">
        <v>0</v>
      </c>
      <c r="AF6" s="486">
        <v>0</v>
      </c>
      <c r="AG6" s="486">
        <v>0</v>
      </c>
      <c r="AH6" s="487">
        <v>175000000</v>
      </c>
      <c r="AI6" s="486"/>
      <c r="AJ6" s="486">
        <v>0</v>
      </c>
      <c r="AK6" s="486">
        <v>0</v>
      </c>
      <c r="AL6" s="488">
        <v>0</v>
      </c>
      <c r="AM6" s="489">
        <v>175000000</v>
      </c>
      <c r="AN6" s="486">
        <v>182000000</v>
      </c>
      <c r="AO6" s="486">
        <v>0</v>
      </c>
      <c r="AP6" s="486">
        <v>0</v>
      </c>
      <c r="AQ6" s="486">
        <v>0</v>
      </c>
      <c r="AR6" s="486">
        <v>0</v>
      </c>
      <c r="AS6" s="486">
        <v>0</v>
      </c>
      <c r="AT6" s="486">
        <v>0</v>
      </c>
      <c r="AU6" s="486">
        <v>0</v>
      </c>
      <c r="AV6" s="487">
        <v>182000000</v>
      </c>
      <c r="AW6" s="486">
        <v>0</v>
      </c>
      <c r="AX6" s="486">
        <v>0</v>
      </c>
      <c r="AY6" s="486">
        <v>0</v>
      </c>
      <c r="AZ6" s="488">
        <v>0</v>
      </c>
      <c r="BA6" s="490">
        <v>182000000</v>
      </c>
      <c r="BB6" s="486">
        <v>189280000</v>
      </c>
      <c r="BC6" s="486">
        <v>0</v>
      </c>
      <c r="BD6" s="486">
        <v>0</v>
      </c>
      <c r="BE6" s="486">
        <v>0</v>
      </c>
      <c r="BF6" s="486">
        <v>0</v>
      </c>
      <c r="BG6" s="486">
        <v>0</v>
      </c>
      <c r="BH6" s="486">
        <v>0</v>
      </c>
      <c r="BI6" s="486">
        <v>0</v>
      </c>
      <c r="BJ6" s="487">
        <v>189280000</v>
      </c>
      <c r="BK6" s="486">
        <v>0</v>
      </c>
      <c r="BL6" s="486">
        <v>0</v>
      </c>
      <c r="BM6" s="486">
        <v>0</v>
      </c>
      <c r="BN6" s="488">
        <v>0</v>
      </c>
      <c r="BO6" s="490">
        <v>189280000</v>
      </c>
      <c r="BP6" s="486">
        <v>196851200</v>
      </c>
      <c r="BQ6" s="486">
        <v>0</v>
      </c>
      <c r="BR6" s="486">
        <v>0</v>
      </c>
      <c r="BS6" s="486">
        <v>0</v>
      </c>
      <c r="BT6" s="486">
        <v>0</v>
      </c>
      <c r="BU6" s="486">
        <v>0</v>
      </c>
      <c r="BV6" s="486">
        <v>0</v>
      </c>
      <c r="BW6" s="486">
        <v>0</v>
      </c>
      <c r="BX6" s="487">
        <v>196851200</v>
      </c>
      <c r="BY6" s="486">
        <v>0</v>
      </c>
      <c r="BZ6" s="486">
        <v>0</v>
      </c>
      <c r="CA6" s="486">
        <v>0</v>
      </c>
      <c r="CB6" s="488">
        <v>0</v>
      </c>
      <c r="CC6" s="491">
        <v>196851200</v>
      </c>
      <c r="CD6" s="492">
        <v>743131200</v>
      </c>
      <c r="CE6" s="493">
        <f t="shared" si="2"/>
        <v>743131200</v>
      </c>
      <c r="CF6" s="493">
        <f t="shared" si="0"/>
        <v>0</v>
      </c>
      <c r="CG6" s="493">
        <f t="shared" si="0"/>
        <v>0</v>
      </c>
      <c r="CH6" s="493">
        <f t="shared" si="0"/>
        <v>0</v>
      </c>
      <c r="CI6" s="493">
        <f t="shared" si="0"/>
        <v>0</v>
      </c>
      <c r="CJ6" s="493">
        <f t="shared" si="0"/>
        <v>0</v>
      </c>
      <c r="CK6" s="493">
        <f t="shared" si="0"/>
        <v>0</v>
      </c>
      <c r="CL6" s="493">
        <f t="shared" si="0"/>
        <v>0</v>
      </c>
      <c r="CM6" s="493">
        <f t="shared" si="3"/>
        <v>0</v>
      </c>
      <c r="CN6" s="493">
        <f t="shared" si="3"/>
        <v>0</v>
      </c>
      <c r="CO6" s="493">
        <f t="shared" si="3"/>
        <v>0</v>
      </c>
      <c r="CP6" s="494">
        <v>9</v>
      </c>
      <c r="CQ6" s="497" t="s">
        <v>6209</v>
      </c>
    </row>
    <row r="7" spans="1:95" ht="30.45" hidden="1" customHeight="1" thickBot="1">
      <c r="A7" s="555" t="s">
        <v>4011</v>
      </c>
      <c r="B7" s="479">
        <v>5</v>
      </c>
      <c r="C7" s="480" t="s">
        <v>4004</v>
      </c>
      <c r="D7" s="480" t="s">
        <v>4005</v>
      </c>
      <c r="E7" s="480" t="str">
        <f t="shared" si="1"/>
        <v xml:space="preserve">1.1.1 </v>
      </c>
      <c r="F7" s="480" t="s">
        <v>6372</v>
      </c>
      <c r="G7" s="480" t="s">
        <v>4006</v>
      </c>
      <c r="H7" s="481">
        <v>23</v>
      </c>
      <c r="I7" s="480" t="s">
        <v>4012</v>
      </c>
      <c r="J7" s="495">
        <v>230202000</v>
      </c>
      <c r="K7" s="480" t="s">
        <v>4016</v>
      </c>
      <c r="L7" s="480" t="s">
        <v>4017</v>
      </c>
      <c r="M7" s="480" t="s">
        <v>5664</v>
      </c>
      <c r="N7" s="484">
        <v>3</v>
      </c>
      <c r="O7" s="480" t="s">
        <v>4010</v>
      </c>
      <c r="P7" s="485">
        <v>20</v>
      </c>
      <c r="Q7" s="485" t="s">
        <v>5318</v>
      </c>
      <c r="R7" s="485" t="s">
        <v>5319</v>
      </c>
      <c r="S7" s="485" t="s">
        <v>5320</v>
      </c>
      <c r="T7" s="485">
        <v>14</v>
      </c>
      <c r="U7" s="485" t="s">
        <v>5321</v>
      </c>
      <c r="V7" s="485">
        <v>11</v>
      </c>
      <c r="W7" s="485" t="s">
        <v>5322</v>
      </c>
      <c r="X7" s="485">
        <v>9</v>
      </c>
      <c r="Y7" s="485" t="s">
        <v>5323</v>
      </c>
      <c r="Z7" s="486">
        <v>100000000</v>
      </c>
      <c r="AA7" s="486">
        <v>0</v>
      </c>
      <c r="AB7" s="486">
        <v>0</v>
      </c>
      <c r="AC7" s="486">
        <v>0</v>
      </c>
      <c r="AD7" s="486">
        <v>0</v>
      </c>
      <c r="AE7" s="486">
        <v>0</v>
      </c>
      <c r="AF7" s="486">
        <v>0</v>
      </c>
      <c r="AG7" s="486">
        <v>0</v>
      </c>
      <c r="AH7" s="487">
        <v>100000000</v>
      </c>
      <c r="AI7" s="486">
        <v>0</v>
      </c>
      <c r="AJ7" s="486">
        <v>0</v>
      </c>
      <c r="AK7" s="486">
        <v>0</v>
      </c>
      <c r="AL7" s="488">
        <v>0</v>
      </c>
      <c r="AM7" s="489">
        <v>100000000</v>
      </c>
      <c r="AN7" s="486">
        <v>104000000</v>
      </c>
      <c r="AO7" s="486">
        <v>0</v>
      </c>
      <c r="AP7" s="486">
        <v>0</v>
      </c>
      <c r="AQ7" s="486">
        <v>0</v>
      </c>
      <c r="AR7" s="486">
        <v>0</v>
      </c>
      <c r="AS7" s="486">
        <v>0</v>
      </c>
      <c r="AT7" s="486">
        <v>0</v>
      </c>
      <c r="AU7" s="486">
        <v>0</v>
      </c>
      <c r="AV7" s="487">
        <v>104000000</v>
      </c>
      <c r="AW7" s="486">
        <v>0</v>
      </c>
      <c r="AX7" s="486">
        <v>0</v>
      </c>
      <c r="AY7" s="486">
        <v>0</v>
      </c>
      <c r="AZ7" s="488">
        <v>0</v>
      </c>
      <c r="BA7" s="490">
        <v>104000000</v>
      </c>
      <c r="BB7" s="486">
        <v>108160000</v>
      </c>
      <c r="BC7" s="486">
        <v>0</v>
      </c>
      <c r="BD7" s="486">
        <v>0</v>
      </c>
      <c r="BE7" s="486">
        <v>0</v>
      </c>
      <c r="BF7" s="486">
        <v>0</v>
      </c>
      <c r="BG7" s="486">
        <v>0</v>
      </c>
      <c r="BH7" s="486">
        <v>0</v>
      </c>
      <c r="BI7" s="486">
        <v>0</v>
      </c>
      <c r="BJ7" s="487">
        <v>108160000</v>
      </c>
      <c r="BK7" s="486">
        <v>0</v>
      </c>
      <c r="BL7" s="486">
        <v>0</v>
      </c>
      <c r="BM7" s="486">
        <v>0</v>
      </c>
      <c r="BN7" s="488">
        <v>0</v>
      </c>
      <c r="BO7" s="490">
        <v>108160000</v>
      </c>
      <c r="BP7" s="486">
        <v>112486400</v>
      </c>
      <c r="BQ7" s="486">
        <v>0</v>
      </c>
      <c r="BR7" s="486">
        <v>0</v>
      </c>
      <c r="BS7" s="486">
        <v>0</v>
      </c>
      <c r="BT7" s="486">
        <v>0</v>
      </c>
      <c r="BU7" s="486">
        <v>0</v>
      </c>
      <c r="BV7" s="486">
        <v>0</v>
      </c>
      <c r="BW7" s="486">
        <v>0</v>
      </c>
      <c r="BX7" s="487">
        <v>112486400</v>
      </c>
      <c r="BY7" s="486">
        <v>0</v>
      </c>
      <c r="BZ7" s="486">
        <v>0</v>
      </c>
      <c r="CA7" s="486">
        <v>0</v>
      </c>
      <c r="CB7" s="488">
        <v>0</v>
      </c>
      <c r="CC7" s="491">
        <v>112486400</v>
      </c>
      <c r="CD7" s="492">
        <v>424646400</v>
      </c>
      <c r="CE7" s="493">
        <f t="shared" si="2"/>
        <v>424646400</v>
      </c>
      <c r="CF7" s="493">
        <f t="shared" si="0"/>
        <v>0</v>
      </c>
      <c r="CG7" s="493">
        <f t="shared" si="0"/>
        <v>0</v>
      </c>
      <c r="CH7" s="493">
        <f t="shared" si="0"/>
        <v>0</v>
      </c>
      <c r="CI7" s="493">
        <f t="shared" si="0"/>
        <v>0</v>
      </c>
      <c r="CJ7" s="493">
        <f t="shared" si="0"/>
        <v>0</v>
      </c>
      <c r="CK7" s="493">
        <f t="shared" si="0"/>
        <v>0</v>
      </c>
      <c r="CL7" s="493">
        <f t="shared" si="0"/>
        <v>0</v>
      </c>
      <c r="CM7" s="493">
        <f t="shared" si="3"/>
        <v>0</v>
      </c>
      <c r="CN7" s="493">
        <f t="shared" si="3"/>
        <v>0</v>
      </c>
      <c r="CO7" s="493">
        <f t="shared" si="3"/>
        <v>0</v>
      </c>
      <c r="CP7" s="494">
        <v>9</v>
      </c>
      <c r="CQ7" s="494" t="s">
        <v>6210</v>
      </c>
    </row>
    <row r="8" spans="1:95" ht="30.45" hidden="1" customHeight="1" thickBot="1">
      <c r="A8" s="555" t="s">
        <v>4011</v>
      </c>
      <c r="B8" s="479">
        <v>6</v>
      </c>
      <c r="C8" s="480" t="s">
        <v>4004</v>
      </c>
      <c r="D8" s="480" t="s">
        <v>4005</v>
      </c>
      <c r="E8" s="480" t="str">
        <f t="shared" si="1"/>
        <v>1.1.2 </v>
      </c>
      <c r="F8" s="480" t="s">
        <v>4018</v>
      </c>
      <c r="G8" s="480" t="s">
        <v>4019</v>
      </c>
      <c r="H8" s="481">
        <v>23</v>
      </c>
      <c r="I8" s="480" t="s">
        <v>4007</v>
      </c>
      <c r="J8" s="495">
        <v>230102700</v>
      </c>
      <c r="K8" s="480" t="s">
        <v>4020</v>
      </c>
      <c r="L8" s="480" t="s">
        <v>4021</v>
      </c>
      <c r="M8" s="480" t="s">
        <v>5665</v>
      </c>
      <c r="N8" s="484">
        <v>145523</v>
      </c>
      <c r="O8" s="480" t="s">
        <v>4022</v>
      </c>
      <c r="P8" s="485">
        <v>159203</v>
      </c>
      <c r="Q8" s="485">
        <v>30010035</v>
      </c>
      <c r="R8" s="485" t="s">
        <v>5324</v>
      </c>
      <c r="S8" s="485" t="s">
        <v>677</v>
      </c>
      <c r="T8" s="485" t="s">
        <v>5325</v>
      </c>
      <c r="U8" s="485" t="s">
        <v>5326</v>
      </c>
      <c r="V8" s="485" t="s">
        <v>5327</v>
      </c>
      <c r="W8" s="485" t="s">
        <v>5328</v>
      </c>
      <c r="X8" s="485">
        <v>9</v>
      </c>
      <c r="Y8" s="485" t="s">
        <v>5323</v>
      </c>
      <c r="Z8" s="486">
        <v>300000000</v>
      </c>
      <c r="AA8" s="486">
        <v>0</v>
      </c>
      <c r="AB8" s="486">
        <v>0</v>
      </c>
      <c r="AC8" s="486">
        <v>0</v>
      </c>
      <c r="AD8" s="486">
        <v>0</v>
      </c>
      <c r="AE8" s="486">
        <v>0</v>
      </c>
      <c r="AF8" s="486">
        <v>0</v>
      </c>
      <c r="AG8" s="486">
        <v>0</v>
      </c>
      <c r="AH8" s="487">
        <v>300000000</v>
      </c>
      <c r="AI8" s="486">
        <v>17000000000</v>
      </c>
      <c r="AJ8" s="486">
        <v>0</v>
      </c>
      <c r="AK8" s="486">
        <v>0</v>
      </c>
      <c r="AL8" s="488">
        <v>17000000000</v>
      </c>
      <c r="AM8" s="489">
        <v>17300000000</v>
      </c>
      <c r="AN8" s="486">
        <v>312000000</v>
      </c>
      <c r="AO8" s="486">
        <v>0</v>
      </c>
      <c r="AP8" s="486">
        <v>0</v>
      </c>
      <c r="AQ8" s="486">
        <v>0</v>
      </c>
      <c r="AR8" s="486">
        <v>0</v>
      </c>
      <c r="AS8" s="486">
        <v>0</v>
      </c>
      <c r="AT8" s="486">
        <v>0</v>
      </c>
      <c r="AU8" s="486">
        <v>0</v>
      </c>
      <c r="AV8" s="487">
        <v>312000000</v>
      </c>
      <c r="AW8" s="486">
        <v>7253333334</v>
      </c>
      <c r="AX8" s="486">
        <v>0</v>
      </c>
      <c r="AY8" s="486">
        <v>0</v>
      </c>
      <c r="AZ8" s="488">
        <v>7253333334</v>
      </c>
      <c r="BA8" s="490">
        <v>7565333334</v>
      </c>
      <c r="BB8" s="486">
        <v>324480000</v>
      </c>
      <c r="BC8" s="486">
        <v>0</v>
      </c>
      <c r="BD8" s="486">
        <v>0</v>
      </c>
      <c r="BE8" s="486">
        <v>0</v>
      </c>
      <c r="BF8" s="486">
        <v>0</v>
      </c>
      <c r="BG8" s="486">
        <v>0</v>
      </c>
      <c r="BH8" s="486">
        <v>0</v>
      </c>
      <c r="BI8" s="486">
        <v>0</v>
      </c>
      <c r="BJ8" s="487">
        <v>324480000</v>
      </c>
      <c r="BK8" s="486">
        <v>7253333333</v>
      </c>
      <c r="BL8" s="486">
        <v>0</v>
      </c>
      <c r="BM8" s="486">
        <v>0</v>
      </c>
      <c r="BN8" s="488">
        <v>7253333333</v>
      </c>
      <c r="BO8" s="490">
        <v>7577813333</v>
      </c>
      <c r="BP8" s="486">
        <v>337459200</v>
      </c>
      <c r="BQ8" s="486">
        <v>0</v>
      </c>
      <c r="BR8" s="486">
        <v>0</v>
      </c>
      <c r="BS8" s="486">
        <v>0</v>
      </c>
      <c r="BT8" s="486">
        <v>0</v>
      </c>
      <c r="BU8" s="486">
        <v>0</v>
      </c>
      <c r="BV8" s="486">
        <v>0</v>
      </c>
      <c r="BW8" s="486">
        <v>0</v>
      </c>
      <c r="BX8" s="487">
        <v>337459200</v>
      </c>
      <c r="BY8" s="486">
        <v>7253333333</v>
      </c>
      <c r="BZ8" s="486">
        <v>0</v>
      </c>
      <c r="CA8" s="486">
        <v>0</v>
      </c>
      <c r="CB8" s="488">
        <v>7253333333</v>
      </c>
      <c r="CC8" s="491">
        <v>7590792533</v>
      </c>
      <c r="CD8" s="492">
        <v>40033939200</v>
      </c>
      <c r="CE8" s="493">
        <f t="shared" si="2"/>
        <v>1273939200</v>
      </c>
      <c r="CF8" s="493">
        <f t="shared" si="0"/>
        <v>0</v>
      </c>
      <c r="CG8" s="493">
        <f t="shared" si="0"/>
        <v>0</v>
      </c>
      <c r="CH8" s="493">
        <f t="shared" si="0"/>
        <v>0</v>
      </c>
      <c r="CI8" s="493">
        <f t="shared" si="0"/>
        <v>0</v>
      </c>
      <c r="CJ8" s="493">
        <f t="shared" si="0"/>
        <v>0</v>
      </c>
      <c r="CK8" s="493">
        <f t="shared" si="0"/>
        <v>0</v>
      </c>
      <c r="CL8" s="493">
        <f t="shared" si="0"/>
        <v>0</v>
      </c>
      <c r="CM8" s="493">
        <f t="shared" si="3"/>
        <v>38760000000</v>
      </c>
      <c r="CN8" s="493">
        <f t="shared" si="3"/>
        <v>0</v>
      </c>
      <c r="CO8" s="493">
        <f t="shared" si="3"/>
        <v>0</v>
      </c>
      <c r="CP8" s="494" t="s">
        <v>6211</v>
      </c>
      <c r="CQ8" s="498" t="s">
        <v>6212</v>
      </c>
    </row>
    <row r="9" spans="1:95" ht="30.45" hidden="1" customHeight="1" thickBot="1">
      <c r="A9" s="555" t="s">
        <v>4011</v>
      </c>
      <c r="B9" s="479">
        <v>7</v>
      </c>
      <c r="C9" s="480" t="s">
        <v>4004</v>
      </c>
      <c r="D9" s="480" t="s">
        <v>4005</v>
      </c>
      <c r="E9" s="480" t="str">
        <f t="shared" si="1"/>
        <v>1.1.2 </v>
      </c>
      <c r="F9" s="480" t="s">
        <v>4018</v>
      </c>
      <c r="G9" s="480" t="s">
        <v>4019</v>
      </c>
      <c r="H9" s="481">
        <v>23</v>
      </c>
      <c r="I9" s="480" t="s">
        <v>4007</v>
      </c>
      <c r="J9" s="495">
        <v>230102800</v>
      </c>
      <c r="K9" s="480" t="s">
        <v>4023</v>
      </c>
      <c r="L9" s="480" t="s">
        <v>4024</v>
      </c>
      <c r="M9" s="480" t="s">
        <v>6399</v>
      </c>
      <c r="N9" s="499">
        <v>0</v>
      </c>
      <c r="O9" s="480" t="s">
        <v>4025</v>
      </c>
      <c r="P9" s="485">
        <v>60</v>
      </c>
      <c r="Q9" s="485">
        <v>30010035</v>
      </c>
      <c r="R9" s="485" t="s">
        <v>5324</v>
      </c>
      <c r="S9" s="485" t="s">
        <v>677</v>
      </c>
      <c r="T9" s="485" t="s">
        <v>5325</v>
      </c>
      <c r="U9" s="485" t="s">
        <v>5326</v>
      </c>
      <c r="V9" s="485" t="s">
        <v>5327</v>
      </c>
      <c r="W9" s="485" t="s">
        <v>5328</v>
      </c>
      <c r="X9" s="485">
        <v>9</v>
      </c>
      <c r="Y9" s="485" t="s">
        <v>5323</v>
      </c>
      <c r="Z9" s="486">
        <v>100000000</v>
      </c>
      <c r="AA9" s="486">
        <v>0</v>
      </c>
      <c r="AB9" s="486">
        <v>0</v>
      </c>
      <c r="AC9" s="486">
        <v>0</v>
      </c>
      <c r="AD9" s="486">
        <v>0</v>
      </c>
      <c r="AE9" s="486">
        <v>0</v>
      </c>
      <c r="AF9" s="486">
        <v>0</v>
      </c>
      <c r="AG9" s="486">
        <v>0</v>
      </c>
      <c r="AH9" s="487">
        <v>100000000</v>
      </c>
      <c r="AI9" s="486">
        <v>0</v>
      </c>
      <c r="AJ9" s="486">
        <v>0</v>
      </c>
      <c r="AK9" s="486">
        <v>0</v>
      </c>
      <c r="AL9" s="488">
        <v>0</v>
      </c>
      <c r="AM9" s="489">
        <v>100000000</v>
      </c>
      <c r="AN9" s="486">
        <v>104000000</v>
      </c>
      <c r="AO9" s="486">
        <v>0</v>
      </c>
      <c r="AP9" s="486">
        <v>0</v>
      </c>
      <c r="AQ9" s="486">
        <v>0</v>
      </c>
      <c r="AR9" s="486">
        <v>0</v>
      </c>
      <c r="AS9" s="486">
        <v>0</v>
      </c>
      <c r="AT9" s="486">
        <v>0</v>
      </c>
      <c r="AU9" s="486">
        <v>0</v>
      </c>
      <c r="AV9" s="487">
        <v>104000000</v>
      </c>
      <c r="AW9" s="486">
        <v>2250000000</v>
      </c>
      <c r="AX9" s="486">
        <v>4500000000</v>
      </c>
      <c r="AY9" s="486">
        <v>0</v>
      </c>
      <c r="AZ9" s="488">
        <v>6750000000</v>
      </c>
      <c r="BA9" s="490">
        <v>6854000000</v>
      </c>
      <c r="BB9" s="486">
        <v>108160000</v>
      </c>
      <c r="BC9" s="486">
        <v>0</v>
      </c>
      <c r="BD9" s="486">
        <v>0</v>
      </c>
      <c r="BE9" s="486">
        <v>0</v>
      </c>
      <c r="BF9" s="486">
        <v>0</v>
      </c>
      <c r="BG9" s="486">
        <v>0</v>
      </c>
      <c r="BH9" s="486">
        <v>0</v>
      </c>
      <c r="BI9" s="486">
        <v>0</v>
      </c>
      <c r="BJ9" s="487">
        <v>108160000</v>
      </c>
      <c r="BK9" s="486">
        <v>2250000000</v>
      </c>
      <c r="BL9" s="486">
        <v>0</v>
      </c>
      <c r="BM9" s="486">
        <v>0</v>
      </c>
      <c r="BN9" s="488">
        <v>2250000000</v>
      </c>
      <c r="BO9" s="490">
        <v>2358160000</v>
      </c>
      <c r="BP9" s="486">
        <v>112486400</v>
      </c>
      <c r="BQ9" s="486">
        <v>0</v>
      </c>
      <c r="BR9" s="486">
        <v>0</v>
      </c>
      <c r="BS9" s="486">
        <v>0</v>
      </c>
      <c r="BT9" s="486">
        <v>0</v>
      </c>
      <c r="BU9" s="486">
        <v>0</v>
      </c>
      <c r="BV9" s="486">
        <v>0</v>
      </c>
      <c r="BW9" s="486">
        <v>0</v>
      </c>
      <c r="BX9" s="487">
        <v>112486400</v>
      </c>
      <c r="BY9" s="486">
        <v>0</v>
      </c>
      <c r="BZ9" s="486">
        <v>0</v>
      </c>
      <c r="CA9" s="486">
        <v>0</v>
      </c>
      <c r="CB9" s="488">
        <v>0</v>
      </c>
      <c r="CC9" s="491">
        <v>112486400</v>
      </c>
      <c r="CD9" s="492">
        <v>9424646400</v>
      </c>
      <c r="CE9" s="493">
        <f t="shared" si="2"/>
        <v>424646400</v>
      </c>
      <c r="CF9" s="493">
        <f t="shared" si="0"/>
        <v>0</v>
      </c>
      <c r="CG9" s="493">
        <f t="shared" si="0"/>
        <v>0</v>
      </c>
      <c r="CH9" s="493">
        <f t="shared" si="0"/>
        <v>0</v>
      </c>
      <c r="CI9" s="493">
        <f t="shared" si="0"/>
        <v>0</v>
      </c>
      <c r="CJ9" s="493">
        <f t="shared" si="0"/>
        <v>0</v>
      </c>
      <c r="CK9" s="493">
        <f t="shared" si="0"/>
        <v>0</v>
      </c>
      <c r="CL9" s="493">
        <f t="shared" si="0"/>
        <v>0</v>
      </c>
      <c r="CM9" s="493">
        <f t="shared" si="3"/>
        <v>4500000000</v>
      </c>
      <c r="CN9" s="493">
        <f t="shared" si="3"/>
        <v>4500000000</v>
      </c>
      <c r="CO9" s="493">
        <f t="shared" si="3"/>
        <v>0</v>
      </c>
      <c r="CP9" s="494" t="s">
        <v>6211</v>
      </c>
      <c r="CQ9" s="498" t="s">
        <v>6212</v>
      </c>
    </row>
    <row r="10" spans="1:95" ht="30.45" hidden="1" customHeight="1" thickBot="1">
      <c r="A10" s="555" t="s">
        <v>4011</v>
      </c>
      <c r="B10" s="479">
        <v>8</v>
      </c>
      <c r="C10" s="480" t="s">
        <v>4004</v>
      </c>
      <c r="D10" s="480" t="s">
        <v>4005</v>
      </c>
      <c r="E10" s="480" t="str">
        <f t="shared" si="1"/>
        <v>1.1.2 </v>
      </c>
      <c r="F10" s="480" t="s">
        <v>4018</v>
      </c>
      <c r="G10" s="480" t="s">
        <v>4019</v>
      </c>
      <c r="H10" s="481">
        <v>23</v>
      </c>
      <c r="I10" s="480" t="s">
        <v>4007</v>
      </c>
      <c r="J10" s="495">
        <v>230101400</v>
      </c>
      <c r="K10" s="480" t="s">
        <v>4023</v>
      </c>
      <c r="L10" s="480" t="s">
        <v>4026</v>
      </c>
      <c r="M10" s="480" t="s">
        <v>5666</v>
      </c>
      <c r="N10" s="484">
        <v>77</v>
      </c>
      <c r="O10" s="480" t="s">
        <v>4010</v>
      </c>
      <c r="P10" s="485">
        <v>90</v>
      </c>
      <c r="Q10" s="485">
        <v>30010035</v>
      </c>
      <c r="R10" s="485" t="s">
        <v>5324</v>
      </c>
      <c r="S10" s="485" t="s">
        <v>677</v>
      </c>
      <c r="T10" s="485" t="s">
        <v>5325</v>
      </c>
      <c r="U10" s="485" t="s">
        <v>5326</v>
      </c>
      <c r="V10" s="485" t="s">
        <v>5327</v>
      </c>
      <c r="W10" s="485" t="s">
        <v>5328</v>
      </c>
      <c r="X10" s="485">
        <v>9</v>
      </c>
      <c r="Y10" s="485" t="s">
        <v>5323</v>
      </c>
      <c r="Z10" s="486">
        <v>0</v>
      </c>
      <c r="AA10" s="486">
        <v>0</v>
      </c>
      <c r="AB10" s="486">
        <v>0</v>
      </c>
      <c r="AC10" s="486">
        <v>0</v>
      </c>
      <c r="AD10" s="486">
        <v>0</v>
      </c>
      <c r="AE10" s="486">
        <v>0</v>
      </c>
      <c r="AF10" s="486">
        <v>0</v>
      </c>
      <c r="AG10" s="486">
        <v>0</v>
      </c>
      <c r="AH10" s="487">
        <v>0</v>
      </c>
      <c r="AI10" s="486">
        <v>0</v>
      </c>
      <c r="AJ10" s="486">
        <v>0</v>
      </c>
      <c r="AK10" s="486">
        <v>0</v>
      </c>
      <c r="AL10" s="488">
        <v>0</v>
      </c>
      <c r="AM10" s="489">
        <v>0</v>
      </c>
      <c r="AN10" s="486">
        <v>0</v>
      </c>
      <c r="AO10" s="486">
        <v>0</v>
      </c>
      <c r="AP10" s="486">
        <v>0</v>
      </c>
      <c r="AQ10" s="486">
        <v>0</v>
      </c>
      <c r="AR10" s="486">
        <v>0</v>
      </c>
      <c r="AS10" s="486">
        <v>0</v>
      </c>
      <c r="AT10" s="486">
        <v>0</v>
      </c>
      <c r="AU10" s="486">
        <v>0</v>
      </c>
      <c r="AV10" s="487">
        <v>0</v>
      </c>
      <c r="AW10" s="486">
        <v>5000000000</v>
      </c>
      <c r="AX10" s="486">
        <v>0</v>
      </c>
      <c r="AY10" s="486">
        <v>0</v>
      </c>
      <c r="AZ10" s="488">
        <v>5000000000</v>
      </c>
      <c r="BA10" s="490">
        <v>5000000000</v>
      </c>
      <c r="BB10" s="486">
        <v>0</v>
      </c>
      <c r="BC10" s="486">
        <v>0</v>
      </c>
      <c r="BD10" s="486">
        <v>0</v>
      </c>
      <c r="BE10" s="486">
        <v>0</v>
      </c>
      <c r="BF10" s="486">
        <v>0</v>
      </c>
      <c r="BG10" s="486">
        <v>0</v>
      </c>
      <c r="BH10" s="486">
        <v>0</v>
      </c>
      <c r="BI10" s="486">
        <v>0</v>
      </c>
      <c r="BJ10" s="487">
        <v>0</v>
      </c>
      <c r="BK10" s="486">
        <v>0</v>
      </c>
      <c r="BL10" s="486">
        <v>0</v>
      </c>
      <c r="BM10" s="486">
        <v>0</v>
      </c>
      <c r="BN10" s="488">
        <v>0</v>
      </c>
      <c r="BO10" s="490">
        <v>0</v>
      </c>
      <c r="BP10" s="486">
        <v>0</v>
      </c>
      <c r="BQ10" s="486">
        <v>0</v>
      </c>
      <c r="BR10" s="486">
        <v>0</v>
      </c>
      <c r="BS10" s="486">
        <v>0</v>
      </c>
      <c r="BT10" s="486">
        <v>0</v>
      </c>
      <c r="BU10" s="486">
        <v>0</v>
      </c>
      <c r="BV10" s="486">
        <v>0</v>
      </c>
      <c r="BW10" s="486">
        <v>0</v>
      </c>
      <c r="BX10" s="487">
        <v>0</v>
      </c>
      <c r="BY10" s="486">
        <v>0</v>
      </c>
      <c r="BZ10" s="486">
        <v>0</v>
      </c>
      <c r="CA10" s="486">
        <v>0</v>
      </c>
      <c r="CB10" s="488">
        <v>0</v>
      </c>
      <c r="CC10" s="491">
        <v>0</v>
      </c>
      <c r="CD10" s="492">
        <v>5000000000</v>
      </c>
      <c r="CE10" s="493">
        <f t="shared" si="2"/>
        <v>0</v>
      </c>
      <c r="CF10" s="493">
        <f t="shared" si="0"/>
        <v>0</v>
      </c>
      <c r="CG10" s="493">
        <f t="shared" si="0"/>
        <v>0</v>
      </c>
      <c r="CH10" s="493">
        <f t="shared" si="0"/>
        <v>0</v>
      </c>
      <c r="CI10" s="493">
        <f t="shared" si="0"/>
        <v>0</v>
      </c>
      <c r="CJ10" s="493">
        <f t="shared" si="0"/>
        <v>0</v>
      </c>
      <c r="CK10" s="493">
        <f t="shared" si="0"/>
        <v>0</v>
      </c>
      <c r="CL10" s="493">
        <f t="shared" si="0"/>
        <v>0</v>
      </c>
      <c r="CM10" s="493">
        <f t="shared" si="3"/>
        <v>5000000000</v>
      </c>
      <c r="CN10" s="493">
        <f t="shared" si="3"/>
        <v>0</v>
      </c>
      <c r="CO10" s="493">
        <f t="shared" si="3"/>
        <v>0</v>
      </c>
      <c r="CP10" s="494" t="s">
        <v>6211</v>
      </c>
      <c r="CQ10" s="498" t="s">
        <v>6212</v>
      </c>
    </row>
    <row r="11" spans="1:95" ht="30.45" hidden="1" customHeight="1" thickBot="1">
      <c r="A11" s="555" t="s">
        <v>4011</v>
      </c>
      <c r="B11" s="479">
        <v>9</v>
      </c>
      <c r="C11" s="480" t="s">
        <v>4004</v>
      </c>
      <c r="D11" s="480" t="s">
        <v>4005</v>
      </c>
      <c r="E11" s="480" t="str">
        <f t="shared" si="1"/>
        <v>1.1.2 </v>
      </c>
      <c r="F11" s="480" t="s">
        <v>4018</v>
      </c>
      <c r="G11" s="480" t="s">
        <v>4019</v>
      </c>
      <c r="H11" s="481">
        <v>23</v>
      </c>
      <c r="I11" s="480" t="s">
        <v>4007</v>
      </c>
      <c r="J11" s="495">
        <v>230102400</v>
      </c>
      <c r="K11" s="480" t="s">
        <v>4027</v>
      </c>
      <c r="L11" s="480" t="s">
        <v>4028</v>
      </c>
      <c r="M11" s="480" t="s">
        <v>5667</v>
      </c>
      <c r="N11" s="484">
        <v>8</v>
      </c>
      <c r="O11" s="480" t="s">
        <v>4010</v>
      </c>
      <c r="P11" s="485">
        <v>8</v>
      </c>
      <c r="Q11" s="485">
        <v>30010035</v>
      </c>
      <c r="R11" s="485" t="s">
        <v>5324</v>
      </c>
      <c r="S11" s="485" t="s">
        <v>677</v>
      </c>
      <c r="T11" s="485" t="s">
        <v>5325</v>
      </c>
      <c r="U11" s="485" t="s">
        <v>5326</v>
      </c>
      <c r="V11" s="485" t="s">
        <v>5327</v>
      </c>
      <c r="W11" s="485" t="s">
        <v>5328</v>
      </c>
      <c r="X11" s="485">
        <v>9</v>
      </c>
      <c r="Y11" s="485" t="s">
        <v>5323</v>
      </c>
      <c r="Z11" s="486">
        <v>100000000</v>
      </c>
      <c r="AA11" s="486">
        <v>0</v>
      </c>
      <c r="AB11" s="486">
        <v>0</v>
      </c>
      <c r="AC11" s="486">
        <v>0</v>
      </c>
      <c r="AD11" s="486">
        <v>0</v>
      </c>
      <c r="AE11" s="486">
        <v>0</v>
      </c>
      <c r="AF11" s="486">
        <v>0</v>
      </c>
      <c r="AG11" s="486">
        <v>0</v>
      </c>
      <c r="AH11" s="487">
        <v>100000000</v>
      </c>
      <c r="AI11" s="486">
        <v>20000000000</v>
      </c>
      <c r="AJ11" s="486">
        <v>0</v>
      </c>
      <c r="AK11" s="486">
        <v>0</v>
      </c>
      <c r="AL11" s="488">
        <v>20000000000</v>
      </c>
      <c r="AM11" s="489">
        <v>20100000000</v>
      </c>
      <c r="AN11" s="486">
        <v>104000000</v>
      </c>
      <c r="AO11" s="486">
        <v>0</v>
      </c>
      <c r="AP11" s="486">
        <v>0</v>
      </c>
      <c r="AQ11" s="486">
        <v>0</v>
      </c>
      <c r="AR11" s="486">
        <v>0</v>
      </c>
      <c r="AS11" s="486">
        <v>0</v>
      </c>
      <c r="AT11" s="486">
        <v>4000000000</v>
      </c>
      <c r="AU11" s="486">
        <v>0</v>
      </c>
      <c r="AV11" s="487">
        <v>4104000000</v>
      </c>
      <c r="AW11" s="486">
        <v>1000000000</v>
      </c>
      <c r="AX11" s="486">
        <v>0</v>
      </c>
      <c r="AY11" s="486">
        <v>0</v>
      </c>
      <c r="AZ11" s="488">
        <v>1000000000</v>
      </c>
      <c r="BA11" s="490">
        <v>5104000000</v>
      </c>
      <c r="BB11" s="486">
        <v>108160000</v>
      </c>
      <c r="BC11" s="486">
        <v>0</v>
      </c>
      <c r="BD11" s="486">
        <v>0</v>
      </c>
      <c r="BE11" s="486">
        <v>0</v>
      </c>
      <c r="BF11" s="486">
        <v>0</v>
      </c>
      <c r="BG11" s="486">
        <v>0</v>
      </c>
      <c r="BH11" s="486">
        <v>0</v>
      </c>
      <c r="BI11" s="486">
        <v>0</v>
      </c>
      <c r="BJ11" s="487">
        <v>108160000</v>
      </c>
      <c r="BK11" s="486">
        <v>5000000000</v>
      </c>
      <c r="BL11" s="486">
        <v>0</v>
      </c>
      <c r="BM11" s="486">
        <v>0</v>
      </c>
      <c r="BN11" s="488">
        <v>5000000000</v>
      </c>
      <c r="BO11" s="490">
        <v>5108160000</v>
      </c>
      <c r="BP11" s="486">
        <v>112486400</v>
      </c>
      <c r="BQ11" s="486">
        <v>0</v>
      </c>
      <c r="BR11" s="486">
        <v>0</v>
      </c>
      <c r="BS11" s="486">
        <v>0</v>
      </c>
      <c r="BT11" s="486">
        <v>0</v>
      </c>
      <c r="BU11" s="486">
        <v>0</v>
      </c>
      <c r="BV11" s="486">
        <v>0</v>
      </c>
      <c r="BW11" s="486">
        <v>0</v>
      </c>
      <c r="BX11" s="487">
        <v>112486400</v>
      </c>
      <c r="BY11" s="486">
        <v>0</v>
      </c>
      <c r="BZ11" s="486">
        <v>0</v>
      </c>
      <c r="CA11" s="486">
        <v>0</v>
      </c>
      <c r="CB11" s="488">
        <v>0</v>
      </c>
      <c r="CC11" s="491">
        <v>112486400</v>
      </c>
      <c r="CD11" s="492">
        <v>30424646400</v>
      </c>
      <c r="CE11" s="493">
        <f t="shared" si="2"/>
        <v>424646400</v>
      </c>
      <c r="CF11" s="493">
        <f t="shared" si="0"/>
        <v>0</v>
      </c>
      <c r="CG11" s="493">
        <f t="shared" si="0"/>
        <v>0</v>
      </c>
      <c r="CH11" s="493">
        <f t="shared" si="0"/>
        <v>0</v>
      </c>
      <c r="CI11" s="493">
        <f t="shared" si="0"/>
        <v>0</v>
      </c>
      <c r="CJ11" s="493">
        <f t="shared" si="0"/>
        <v>0</v>
      </c>
      <c r="CK11" s="493">
        <f t="shared" si="0"/>
        <v>4000000000</v>
      </c>
      <c r="CL11" s="493">
        <f t="shared" si="0"/>
        <v>0</v>
      </c>
      <c r="CM11" s="493">
        <f t="shared" si="3"/>
        <v>26000000000</v>
      </c>
      <c r="CN11" s="493">
        <f t="shared" si="3"/>
        <v>0</v>
      </c>
      <c r="CO11" s="493">
        <f t="shared" si="3"/>
        <v>0</v>
      </c>
      <c r="CP11" s="494">
        <v>9</v>
      </c>
      <c r="CQ11" s="497" t="s">
        <v>6208</v>
      </c>
    </row>
    <row r="12" spans="1:95" ht="30.45" hidden="1" customHeight="1" thickBot="1">
      <c r="A12" s="555" t="s">
        <v>4031</v>
      </c>
      <c r="B12" s="479">
        <v>10</v>
      </c>
      <c r="C12" s="480" t="s">
        <v>4004</v>
      </c>
      <c r="D12" s="480" t="s">
        <v>4029</v>
      </c>
      <c r="E12" s="480" t="str">
        <f t="shared" si="1"/>
        <v xml:space="preserve">1.2.1 </v>
      </c>
      <c r="F12" s="480" t="s">
        <v>6373</v>
      </c>
      <c r="G12" s="480" t="s">
        <v>6391</v>
      </c>
      <c r="H12" s="481">
        <v>22</v>
      </c>
      <c r="I12" s="480" t="s">
        <v>4048</v>
      </c>
      <c r="J12" s="495">
        <v>220103400</v>
      </c>
      <c r="K12" s="480" t="s">
        <v>6400</v>
      </c>
      <c r="L12" s="480" t="s">
        <v>4030</v>
      </c>
      <c r="M12" s="480" t="s">
        <v>5668</v>
      </c>
      <c r="N12" s="499">
        <v>0</v>
      </c>
      <c r="O12" s="480" t="s">
        <v>6401</v>
      </c>
      <c r="P12" s="485">
        <v>50</v>
      </c>
      <c r="Q12" s="485" t="s">
        <v>5318</v>
      </c>
      <c r="R12" s="485" t="s">
        <v>5329</v>
      </c>
      <c r="S12" s="485" t="s">
        <v>677</v>
      </c>
      <c r="T12" s="485">
        <v>0.41</v>
      </c>
      <c r="U12" s="485" t="s">
        <v>5330</v>
      </c>
      <c r="V12" s="485">
        <v>0.45</v>
      </c>
      <c r="W12" s="485" t="s">
        <v>5331</v>
      </c>
      <c r="X12" s="485">
        <v>4</v>
      </c>
      <c r="Y12" s="485" t="s">
        <v>5332</v>
      </c>
      <c r="Z12" s="486">
        <v>430000000</v>
      </c>
      <c r="AA12" s="486">
        <v>0</v>
      </c>
      <c r="AB12" s="486">
        <v>0</v>
      </c>
      <c r="AC12" s="486">
        <v>0</v>
      </c>
      <c r="AD12" s="486">
        <v>0</v>
      </c>
      <c r="AE12" s="486">
        <v>0</v>
      </c>
      <c r="AF12" s="486">
        <v>0</v>
      </c>
      <c r="AG12" s="486">
        <v>0</v>
      </c>
      <c r="AH12" s="487">
        <v>430000000</v>
      </c>
      <c r="AI12" s="486">
        <v>0</v>
      </c>
      <c r="AJ12" s="486">
        <v>0</v>
      </c>
      <c r="AK12" s="486">
        <v>0</v>
      </c>
      <c r="AL12" s="488">
        <v>0</v>
      </c>
      <c r="AM12" s="489">
        <v>430000000</v>
      </c>
      <c r="AN12" s="486">
        <v>447200000</v>
      </c>
      <c r="AO12" s="486">
        <v>0</v>
      </c>
      <c r="AP12" s="486">
        <v>0</v>
      </c>
      <c r="AQ12" s="486">
        <v>0</v>
      </c>
      <c r="AR12" s="486">
        <v>0</v>
      </c>
      <c r="AS12" s="486">
        <v>0</v>
      </c>
      <c r="AT12" s="486">
        <v>0</v>
      </c>
      <c r="AU12" s="486">
        <v>0</v>
      </c>
      <c r="AV12" s="487">
        <v>447200000</v>
      </c>
      <c r="AW12" s="486">
        <v>0</v>
      </c>
      <c r="AX12" s="486">
        <v>0</v>
      </c>
      <c r="AY12" s="486">
        <v>0</v>
      </c>
      <c r="AZ12" s="488">
        <v>0</v>
      </c>
      <c r="BA12" s="490">
        <v>447200000</v>
      </c>
      <c r="BB12" s="486">
        <v>465088000</v>
      </c>
      <c r="BC12" s="486">
        <v>0</v>
      </c>
      <c r="BD12" s="486">
        <v>0</v>
      </c>
      <c r="BE12" s="486">
        <v>0</v>
      </c>
      <c r="BF12" s="486">
        <v>0</v>
      </c>
      <c r="BG12" s="486">
        <v>0</v>
      </c>
      <c r="BH12" s="486">
        <v>0</v>
      </c>
      <c r="BI12" s="486">
        <v>0</v>
      </c>
      <c r="BJ12" s="487">
        <v>465088000</v>
      </c>
      <c r="BK12" s="486">
        <v>0</v>
      </c>
      <c r="BL12" s="486">
        <v>0</v>
      </c>
      <c r="BM12" s="486">
        <v>0</v>
      </c>
      <c r="BN12" s="488">
        <v>0</v>
      </c>
      <c r="BO12" s="490">
        <v>465088000</v>
      </c>
      <c r="BP12" s="486">
        <v>483691520</v>
      </c>
      <c r="BQ12" s="486">
        <v>0</v>
      </c>
      <c r="BR12" s="486">
        <v>0</v>
      </c>
      <c r="BS12" s="486">
        <v>0</v>
      </c>
      <c r="BT12" s="486">
        <v>0</v>
      </c>
      <c r="BU12" s="486">
        <v>0</v>
      </c>
      <c r="BV12" s="486">
        <v>0</v>
      </c>
      <c r="BW12" s="486">
        <v>0</v>
      </c>
      <c r="BX12" s="487">
        <v>483691520</v>
      </c>
      <c r="BY12" s="486">
        <v>0</v>
      </c>
      <c r="BZ12" s="486">
        <v>0</v>
      </c>
      <c r="CA12" s="486">
        <v>0</v>
      </c>
      <c r="CB12" s="488">
        <v>0</v>
      </c>
      <c r="CC12" s="491">
        <v>483691520</v>
      </c>
      <c r="CD12" s="492">
        <v>1825979520</v>
      </c>
      <c r="CE12" s="493">
        <f t="shared" si="2"/>
        <v>1825979520</v>
      </c>
      <c r="CF12" s="493">
        <f t="shared" si="0"/>
        <v>0</v>
      </c>
      <c r="CG12" s="493">
        <f t="shared" si="0"/>
        <v>0</v>
      </c>
      <c r="CH12" s="493">
        <f t="shared" si="0"/>
        <v>0</v>
      </c>
      <c r="CI12" s="493">
        <f t="shared" si="0"/>
        <v>0</v>
      </c>
      <c r="CJ12" s="493">
        <f t="shared" si="0"/>
        <v>0</v>
      </c>
      <c r="CK12" s="493">
        <f t="shared" si="0"/>
        <v>0</v>
      </c>
      <c r="CL12" s="493">
        <f t="shared" si="0"/>
        <v>0</v>
      </c>
      <c r="CM12" s="493">
        <f t="shared" si="3"/>
        <v>0</v>
      </c>
      <c r="CN12" s="493">
        <f t="shared" si="3"/>
        <v>0</v>
      </c>
      <c r="CO12" s="493">
        <f t="shared" si="3"/>
        <v>0</v>
      </c>
      <c r="CP12" s="494">
        <v>4</v>
      </c>
      <c r="CQ12" s="497" t="s">
        <v>6213</v>
      </c>
    </row>
    <row r="13" spans="1:95" ht="30.45" hidden="1" customHeight="1" thickBot="1">
      <c r="A13" s="555" t="s">
        <v>4031</v>
      </c>
      <c r="B13" s="479">
        <v>11</v>
      </c>
      <c r="C13" s="480" t="s">
        <v>4004</v>
      </c>
      <c r="D13" s="480" t="s">
        <v>4029</v>
      </c>
      <c r="E13" s="480" t="str">
        <f t="shared" si="1"/>
        <v xml:space="preserve">1.2.1 </v>
      </c>
      <c r="F13" s="480" t="s">
        <v>6373</v>
      </c>
      <c r="G13" s="480" t="s">
        <v>6391</v>
      </c>
      <c r="H13" s="481">
        <v>22</v>
      </c>
      <c r="I13" s="480" t="s">
        <v>4048</v>
      </c>
      <c r="J13" s="495">
        <v>220108500</v>
      </c>
      <c r="K13" s="480" t="s">
        <v>6402</v>
      </c>
      <c r="L13" s="480" t="s">
        <v>4033</v>
      </c>
      <c r="M13" s="480" t="s">
        <v>5669</v>
      </c>
      <c r="N13" s="499">
        <v>60</v>
      </c>
      <c r="O13" s="480" t="s">
        <v>6403</v>
      </c>
      <c r="P13" s="485">
        <v>60</v>
      </c>
      <c r="Q13" s="485" t="s">
        <v>5318</v>
      </c>
      <c r="R13" s="485" t="s">
        <v>5329</v>
      </c>
      <c r="S13" s="485" t="s">
        <v>677</v>
      </c>
      <c r="T13" s="485">
        <v>0.41</v>
      </c>
      <c r="U13" s="485" t="s">
        <v>5330</v>
      </c>
      <c r="V13" s="485">
        <v>0.45</v>
      </c>
      <c r="W13" s="485" t="s">
        <v>5331</v>
      </c>
      <c r="X13" s="485">
        <v>4</v>
      </c>
      <c r="Y13" s="485" t="s">
        <v>5332</v>
      </c>
      <c r="Z13" s="486">
        <v>15000000</v>
      </c>
      <c r="AA13" s="486">
        <v>0</v>
      </c>
      <c r="AB13" s="486">
        <v>0</v>
      </c>
      <c r="AC13" s="486">
        <v>0</v>
      </c>
      <c r="AD13" s="486">
        <v>0</v>
      </c>
      <c r="AE13" s="486">
        <v>0</v>
      </c>
      <c r="AF13" s="486">
        <v>0</v>
      </c>
      <c r="AG13" s="486">
        <v>0</v>
      </c>
      <c r="AH13" s="487">
        <v>15000000</v>
      </c>
      <c r="AI13" s="486">
        <v>0</v>
      </c>
      <c r="AJ13" s="486">
        <v>0</v>
      </c>
      <c r="AK13" s="486">
        <v>0</v>
      </c>
      <c r="AL13" s="488">
        <v>0</v>
      </c>
      <c r="AM13" s="489">
        <v>15000000</v>
      </c>
      <c r="AN13" s="486">
        <v>15600000</v>
      </c>
      <c r="AO13" s="486">
        <v>0</v>
      </c>
      <c r="AP13" s="486">
        <v>0</v>
      </c>
      <c r="AQ13" s="486">
        <v>0</v>
      </c>
      <c r="AR13" s="486">
        <v>0</v>
      </c>
      <c r="AS13" s="486">
        <v>0</v>
      </c>
      <c r="AT13" s="486">
        <v>0</v>
      </c>
      <c r="AU13" s="486">
        <v>0</v>
      </c>
      <c r="AV13" s="487">
        <v>15600000</v>
      </c>
      <c r="AW13" s="486">
        <v>0</v>
      </c>
      <c r="AX13" s="486">
        <v>0</v>
      </c>
      <c r="AY13" s="486">
        <v>0</v>
      </c>
      <c r="AZ13" s="488">
        <v>0</v>
      </c>
      <c r="BA13" s="490">
        <v>15600000</v>
      </c>
      <c r="BB13" s="486">
        <v>16224000</v>
      </c>
      <c r="BC13" s="486">
        <v>0</v>
      </c>
      <c r="BD13" s="486">
        <v>0</v>
      </c>
      <c r="BE13" s="486">
        <v>0</v>
      </c>
      <c r="BF13" s="486">
        <v>0</v>
      </c>
      <c r="BG13" s="486">
        <v>0</v>
      </c>
      <c r="BH13" s="486">
        <v>0</v>
      </c>
      <c r="BI13" s="486">
        <v>0</v>
      </c>
      <c r="BJ13" s="487">
        <v>16224000</v>
      </c>
      <c r="BK13" s="486">
        <v>0</v>
      </c>
      <c r="BL13" s="486">
        <v>0</v>
      </c>
      <c r="BM13" s="486">
        <v>0</v>
      </c>
      <c r="BN13" s="488">
        <v>0</v>
      </c>
      <c r="BO13" s="490">
        <v>16224000</v>
      </c>
      <c r="BP13" s="486">
        <v>16872960</v>
      </c>
      <c r="BQ13" s="486">
        <v>0</v>
      </c>
      <c r="BR13" s="486">
        <v>0</v>
      </c>
      <c r="BS13" s="486">
        <v>0</v>
      </c>
      <c r="BT13" s="486">
        <v>0</v>
      </c>
      <c r="BU13" s="486">
        <v>0</v>
      </c>
      <c r="BV13" s="486">
        <v>0</v>
      </c>
      <c r="BW13" s="486">
        <v>0</v>
      </c>
      <c r="BX13" s="487">
        <v>16872960</v>
      </c>
      <c r="BY13" s="486">
        <v>0</v>
      </c>
      <c r="BZ13" s="486">
        <v>0</v>
      </c>
      <c r="CA13" s="486">
        <v>0</v>
      </c>
      <c r="CB13" s="488">
        <v>0</v>
      </c>
      <c r="CC13" s="491">
        <v>16872960</v>
      </c>
      <c r="CD13" s="492">
        <v>63696960</v>
      </c>
      <c r="CE13" s="493">
        <f t="shared" si="2"/>
        <v>63696960</v>
      </c>
      <c r="CF13" s="493">
        <f t="shared" si="0"/>
        <v>0</v>
      </c>
      <c r="CG13" s="493">
        <f t="shared" si="0"/>
        <v>0</v>
      </c>
      <c r="CH13" s="493">
        <f t="shared" si="0"/>
        <v>0</v>
      </c>
      <c r="CI13" s="493">
        <f t="shared" si="0"/>
        <v>0</v>
      </c>
      <c r="CJ13" s="493">
        <f t="shared" si="0"/>
        <v>0</v>
      </c>
      <c r="CK13" s="493">
        <f t="shared" si="0"/>
        <v>0</v>
      </c>
      <c r="CL13" s="493">
        <f t="shared" si="0"/>
        <v>0</v>
      </c>
      <c r="CM13" s="493">
        <f t="shared" si="3"/>
        <v>0</v>
      </c>
      <c r="CN13" s="493">
        <f t="shared" si="3"/>
        <v>0</v>
      </c>
      <c r="CO13" s="493">
        <f t="shared" si="3"/>
        <v>0</v>
      </c>
      <c r="CP13" s="494">
        <v>4</v>
      </c>
      <c r="CQ13" s="494" t="s">
        <v>6214</v>
      </c>
    </row>
    <row r="14" spans="1:95" ht="30.45" hidden="1" customHeight="1" thickBot="1">
      <c r="A14" s="555" t="s">
        <v>4031</v>
      </c>
      <c r="B14" s="479">
        <v>12</v>
      </c>
      <c r="C14" s="480" t="s">
        <v>4004</v>
      </c>
      <c r="D14" s="480" t="s">
        <v>4029</v>
      </c>
      <c r="E14" s="480" t="str">
        <f t="shared" si="1"/>
        <v xml:space="preserve">1.2.1 </v>
      </c>
      <c r="F14" s="480" t="s">
        <v>6373</v>
      </c>
      <c r="G14" s="480" t="s">
        <v>6391</v>
      </c>
      <c r="H14" s="481">
        <v>22</v>
      </c>
      <c r="I14" s="480" t="s">
        <v>6404</v>
      </c>
      <c r="J14" s="495">
        <v>220206100</v>
      </c>
      <c r="K14" s="480" t="s">
        <v>4035</v>
      </c>
      <c r="L14" s="480" t="s">
        <v>6405</v>
      </c>
      <c r="M14" s="480" t="s">
        <v>5670</v>
      </c>
      <c r="N14" s="484">
        <v>112</v>
      </c>
      <c r="O14" s="480" t="s">
        <v>4036</v>
      </c>
      <c r="P14" s="485">
        <v>112</v>
      </c>
      <c r="Q14" s="485" t="s">
        <v>5318</v>
      </c>
      <c r="R14" s="485" t="s">
        <v>5329</v>
      </c>
      <c r="S14" s="485" t="s">
        <v>677</v>
      </c>
      <c r="T14" s="485">
        <v>0.41</v>
      </c>
      <c r="U14" s="485" t="s">
        <v>5330</v>
      </c>
      <c r="V14" s="485">
        <v>0.45</v>
      </c>
      <c r="W14" s="485" t="s">
        <v>5331</v>
      </c>
      <c r="X14" s="485">
        <v>4</v>
      </c>
      <c r="Y14" s="485" t="s">
        <v>5332</v>
      </c>
      <c r="Z14" s="486">
        <v>1927889862</v>
      </c>
      <c r="AA14" s="486">
        <v>0</v>
      </c>
      <c r="AB14" s="486">
        <v>0</v>
      </c>
      <c r="AC14" s="486">
        <v>0</v>
      </c>
      <c r="AD14" s="486">
        <v>0</v>
      </c>
      <c r="AE14" s="486">
        <v>0</v>
      </c>
      <c r="AF14" s="486">
        <v>0</v>
      </c>
      <c r="AG14" s="486">
        <v>0</v>
      </c>
      <c r="AH14" s="487">
        <v>1927889862</v>
      </c>
      <c r="AI14" s="486">
        <v>0</v>
      </c>
      <c r="AJ14" s="486">
        <v>0</v>
      </c>
      <c r="AK14" s="486">
        <v>0</v>
      </c>
      <c r="AL14" s="488">
        <v>0</v>
      </c>
      <c r="AM14" s="489">
        <v>1927889862</v>
      </c>
      <c r="AN14" s="486">
        <v>2005005456.48</v>
      </c>
      <c r="AO14" s="486">
        <v>0</v>
      </c>
      <c r="AP14" s="486">
        <v>0</v>
      </c>
      <c r="AQ14" s="486">
        <v>0</v>
      </c>
      <c r="AR14" s="486">
        <v>0</v>
      </c>
      <c r="AS14" s="486">
        <v>0</v>
      </c>
      <c r="AT14" s="486">
        <v>0</v>
      </c>
      <c r="AU14" s="486">
        <v>0</v>
      </c>
      <c r="AV14" s="487">
        <v>2005005456.48</v>
      </c>
      <c r="AW14" s="486">
        <v>0</v>
      </c>
      <c r="AX14" s="486">
        <v>0</v>
      </c>
      <c r="AY14" s="486">
        <v>0</v>
      </c>
      <c r="AZ14" s="488">
        <v>0</v>
      </c>
      <c r="BA14" s="490">
        <v>2005005456.48</v>
      </c>
      <c r="BB14" s="486">
        <v>2085205674.7392001</v>
      </c>
      <c r="BC14" s="486">
        <v>0</v>
      </c>
      <c r="BD14" s="486">
        <v>0</v>
      </c>
      <c r="BE14" s="486">
        <v>0</v>
      </c>
      <c r="BF14" s="486">
        <v>0</v>
      </c>
      <c r="BG14" s="486">
        <v>0</v>
      </c>
      <c r="BH14" s="486">
        <v>0</v>
      </c>
      <c r="BI14" s="486">
        <v>0</v>
      </c>
      <c r="BJ14" s="487">
        <v>2085205674.7392001</v>
      </c>
      <c r="BK14" s="486">
        <v>0</v>
      </c>
      <c r="BL14" s="486">
        <v>0</v>
      </c>
      <c r="BM14" s="486">
        <v>0</v>
      </c>
      <c r="BN14" s="488">
        <v>0</v>
      </c>
      <c r="BO14" s="490">
        <v>2085205674.7392001</v>
      </c>
      <c r="BP14" s="486">
        <v>2168613901.7287683</v>
      </c>
      <c r="BQ14" s="486">
        <v>0</v>
      </c>
      <c r="BR14" s="486">
        <v>0</v>
      </c>
      <c r="BS14" s="486">
        <v>0</v>
      </c>
      <c r="BT14" s="486">
        <v>0</v>
      </c>
      <c r="BU14" s="486">
        <v>0</v>
      </c>
      <c r="BV14" s="486">
        <v>0</v>
      </c>
      <c r="BW14" s="486">
        <v>0</v>
      </c>
      <c r="BX14" s="487">
        <v>2168613901.7287683</v>
      </c>
      <c r="BY14" s="486">
        <v>0</v>
      </c>
      <c r="BZ14" s="486">
        <v>0</v>
      </c>
      <c r="CA14" s="486">
        <v>0</v>
      </c>
      <c r="CB14" s="488">
        <v>0</v>
      </c>
      <c r="CC14" s="491">
        <v>2168613901.7287683</v>
      </c>
      <c r="CD14" s="492">
        <v>8186714894.9479685</v>
      </c>
      <c r="CE14" s="493">
        <f t="shared" si="2"/>
        <v>8186714894.9479685</v>
      </c>
      <c r="CF14" s="493">
        <f t="shared" si="0"/>
        <v>0</v>
      </c>
      <c r="CG14" s="493">
        <f t="shared" si="0"/>
        <v>0</v>
      </c>
      <c r="CH14" s="493">
        <f t="shared" si="0"/>
        <v>0</v>
      </c>
      <c r="CI14" s="493">
        <f t="shared" si="0"/>
        <v>0</v>
      </c>
      <c r="CJ14" s="493">
        <f t="shared" si="0"/>
        <v>0</v>
      </c>
      <c r="CK14" s="493">
        <f t="shared" si="0"/>
        <v>0</v>
      </c>
      <c r="CL14" s="493">
        <f t="shared" si="0"/>
        <v>0</v>
      </c>
      <c r="CM14" s="493">
        <f t="shared" si="3"/>
        <v>0</v>
      </c>
      <c r="CN14" s="493">
        <f t="shared" si="3"/>
        <v>0</v>
      </c>
      <c r="CO14" s="493">
        <f t="shared" si="3"/>
        <v>0</v>
      </c>
      <c r="CP14" s="494">
        <v>4</v>
      </c>
      <c r="CQ14" s="497" t="s">
        <v>6215</v>
      </c>
    </row>
    <row r="15" spans="1:95" ht="30.45" hidden="1" customHeight="1" thickBot="1">
      <c r="A15" s="555" t="s">
        <v>4031</v>
      </c>
      <c r="B15" s="479">
        <v>13</v>
      </c>
      <c r="C15" s="480" t="s">
        <v>4004</v>
      </c>
      <c r="D15" s="480" t="s">
        <v>4029</v>
      </c>
      <c r="E15" s="480" t="str">
        <f t="shared" si="1"/>
        <v xml:space="preserve">1.2.1 </v>
      </c>
      <c r="F15" s="480" t="s">
        <v>6373</v>
      </c>
      <c r="G15" s="480" t="s">
        <v>6391</v>
      </c>
      <c r="H15" s="481">
        <v>22</v>
      </c>
      <c r="I15" s="480" t="s">
        <v>4034</v>
      </c>
      <c r="J15" s="495">
        <v>220105200</v>
      </c>
      <c r="K15" s="480" t="s">
        <v>4037</v>
      </c>
      <c r="L15" s="480" t="s">
        <v>4038</v>
      </c>
      <c r="M15" s="480" t="s">
        <v>5671</v>
      </c>
      <c r="N15" s="499">
        <v>0</v>
      </c>
      <c r="O15" s="480" t="s">
        <v>4039</v>
      </c>
      <c r="P15" s="485">
        <v>10</v>
      </c>
      <c r="Q15" s="485" t="s">
        <v>5318</v>
      </c>
      <c r="R15" s="485" t="s">
        <v>5329</v>
      </c>
      <c r="S15" s="485" t="s">
        <v>677</v>
      </c>
      <c r="T15" s="485">
        <v>0.41</v>
      </c>
      <c r="U15" s="485" t="s">
        <v>5330</v>
      </c>
      <c r="V15" s="485">
        <v>0.45</v>
      </c>
      <c r="W15" s="485" t="s">
        <v>5331</v>
      </c>
      <c r="X15" s="485">
        <v>4</v>
      </c>
      <c r="Y15" s="485" t="s">
        <v>5332</v>
      </c>
      <c r="Z15" s="486"/>
      <c r="AA15" s="486">
        <v>1000000000</v>
      </c>
      <c r="AB15" s="486">
        <v>0</v>
      </c>
      <c r="AC15" s="486">
        <v>0</v>
      </c>
      <c r="AD15" s="486">
        <v>0</v>
      </c>
      <c r="AE15" s="486">
        <v>0</v>
      </c>
      <c r="AF15" s="486">
        <v>0</v>
      </c>
      <c r="AG15" s="486">
        <v>0</v>
      </c>
      <c r="AH15" s="487">
        <v>1000000000</v>
      </c>
      <c r="AI15" s="486">
        <v>0</v>
      </c>
      <c r="AJ15" s="486">
        <v>0</v>
      </c>
      <c r="AK15" s="486">
        <v>0</v>
      </c>
      <c r="AL15" s="488">
        <v>0</v>
      </c>
      <c r="AM15" s="489">
        <v>1000000000</v>
      </c>
      <c r="AN15" s="486">
        <v>0</v>
      </c>
      <c r="AO15" s="486">
        <v>1040000000</v>
      </c>
      <c r="AP15" s="486">
        <v>0</v>
      </c>
      <c r="AQ15" s="486">
        <v>0</v>
      </c>
      <c r="AR15" s="486">
        <v>0</v>
      </c>
      <c r="AS15" s="486">
        <v>0</v>
      </c>
      <c r="AT15" s="486">
        <v>20000000000</v>
      </c>
      <c r="AU15" s="486">
        <v>0</v>
      </c>
      <c r="AV15" s="487">
        <v>21040000000</v>
      </c>
      <c r="AW15" s="486">
        <v>0</v>
      </c>
      <c r="AX15" s="486">
        <v>0</v>
      </c>
      <c r="AY15" s="486">
        <v>0</v>
      </c>
      <c r="AZ15" s="488">
        <v>0</v>
      </c>
      <c r="BA15" s="490">
        <v>21040000000</v>
      </c>
      <c r="BB15" s="486">
        <v>0</v>
      </c>
      <c r="BC15" s="486">
        <v>1081600000</v>
      </c>
      <c r="BD15" s="486">
        <v>0</v>
      </c>
      <c r="BE15" s="486">
        <v>0</v>
      </c>
      <c r="BF15" s="486">
        <v>0</v>
      </c>
      <c r="BG15" s="486">
        <v>0</v>
      </c>
      <c r="BH15" s="486">
        <v>20000000000</v>
      </c>
      <c r="BI15" s="486">
        <v>0</v>
      </c>
      <c r="BJ15" s="487">
        <v>21081600000</v>
      </c>
      <c r="BK15" s="486">
        <v>0</v>
      </c>
      <c r="BL15" s="486">
        <v>0</v>
      </c>
      <c r="BM15" s="486">
        <v>0</v>
      </c>
      <c r="BN15" s="488">
        <v>0</v>
      </c>
      <c r="BO15" s="490">
        <v>21081600000</v>
      </c>
      <c r="BP15" s="486">
        <v>0</v>
      </c>
      <c r="BQ15" s="486">
        <v>1124864000</v>
      </c>
      <c r="BR15" s="486">
        <v>0</v>
      </c>
      <c r="BS15" s="486">
        <v>0</v>
      </c>
      <c r="BT15" s="486">
        <v>0</v>
      </c>
      <c r="BU15" s="486">
        <v>0</v>
      </c>
      <c r="BV15" s="486">
        <v>0</v>
      </c>
      <c r="BW15" s="486">
        <v>0</v>
      </c>
      <c r="BX15" s="487">
        <v>1124864000</v>
      </c>
      <c r="BY15" s="486">
        <v>0</v>
      </c>
      <c r="BZ15" s="486">
        <v>0</v>
      </c>
      <c r="CA15" s="486">
        <v>0</v>
      </c>
      <c r="CB15" s="488">
        <v>0</v>
      </c>
      <c r="CC15" s="491">
        <v>1124864000</v>
      </c>
      <c r="CD15" s="492">
        <v>44246464000</v>
      </c>
      <c r="CE15" s="493">
        <f t="shared" si="2"/>
        <v>0</v>
      </c>
      <c r="CF15" s="493">
        <f t="shared" si="0"/>
        <v>4246464000</v>
      </c>
      <c r="CG15" s="493">
        <f t="shared" si="0"/>
        <v>0</v>
      </c>
      <c r="CH15" s="493">
        <f t="shared" si="0"/>
        <v>0</v>
      </c>
      <c r="CI15" s="493">
        <f t="shared" si="0"/>
        <v>0</v>
      </c>
      <c r="CJ15" s="493">
        <f t="shared" si="0"/>
        <v>0</v>
      </c>
      <c r="CK15" s="493">
        <f t="shared" si="0"/>
        <v>40000000000</v>
      </c>
      <c r="CL15" s="493">
        <f t="shared" si="0"/>
        <v>0</v>
      </c>
      <c r="CM15" s="493">
        <f t="shared" si="3"/>
        <v>0</v>
      </c>
      <c r="CN15" s="493">
        <f t="shared" si="3"/>
        <v>0</v>
      </c>
      <c r="CO15" s="493">
        <f t="shared" si="3"/>
        <v>0</v>
      </c>
      <c r="CP15" s="494">
        <v>4</v>
      </c>
      <c r="CQ15" s="494" t="s">
        <v>6216</v>
      </c>
    </row>
    <row r="16" spans="1:95" ht="30.45" hidden="1" customHeight="1" thickBot="1">
      <c r="A16" s="555" t="s">
        <v>4031</v>
      </c>
      <c r="B16" s="479">
        <v>14</v>
      </c>
      <c r="C16" s="480" t="s">
        <v>4004</v>
      </c>
      <c r="D16" s="480" t="s">
        <v>4029</v>
      </c>
      <c r="E16" s="480" t="str">
        <f t="shared" si="1"/>
        <v xml:space="preserve">1.2.1 </v>
      </c>
      <c r="F16" s="480" t="s">
        <v>6373</v>
      </c>
      <c r="G16" s="480" t="s">
        <v>6391</v>
      </c>
      <c r="H16" s="481">
        <v>22</v>
      </c>
      <c r="I16" s="480" t="s">
        <v>6406</v>
      </c>
      <c r="J16" s="495">
        <v>220207100</v>
      </c>
      <c r="K16" s="480" t="s">
        <v>4037</v>
      </c>
      <c r="L16" s="480" t="s">
        <v>4040</v>
      </c>
      <c r="M16" s="480" t="s">
        <v>5672</v>
      </c>
      <c r="N16" s="484">
        <v>1</v>
      </c>
      <c r="O16" s="480" t="s">
        <v>4039</v>
      </c>
      <c r="P16" s="485">
        <v>6</v>
      </c>
      <c r="Q16" s="485" t="s">
        <v>5318</v>
      </c>
      <c r="R16" s="485" t="s">
        <v>5329</v>
      </c>
      <c r="S16" s="485" t="s">
        <v>677</v>
      </c>
      <c r="T16" s="485">
        <v>0.41</v>
      </c>
      <c r="U16" s="485" t="s">
        <v>5330</v>
      </c>
      <c r="V16" s="485">
        <v>0.45</v>
      </c>
      <c r="W16" s="485" t="s">
        <v>5331</v>
      </c>
      <c r="X16" s="485">
        <v>4</v>
      </c>
      <c r="Y16" s="485" t="s">
        <v>5332</v>
      </c>
      <c r="Z16" s="486">
        <v>0</v>
      </c>
      <c r="AA16" s="486">
        <v>1000000000</v>
      </c>
      <c r="AB16" s="486">
        <v>0</v>
      </c>
      <c r="AC16" s="486">
        <v>0</v>
      </c>
      <c r="AD16" s="486">
        <v>0</v>
      </c>
      <c r="AE16" s="486">
        <v>0</v>
      </c>
      <c r="AF16" s="486">
        <v>0</v>
      </c>
      <c r="AG16" s="486">
        <v>0</v>
      </c>
      <c r="AH16" s="487">
        <v>1000000000</v>
      </c>
      <c r="AI16" s="486">
        <v>0</v>
      </c>
      <c r="AJ16" s="486">
        <v>0</v>
      </c>
      <c r="AK16" s="486">
        <v>0</v>
      </c>
      <c r="AL16" s="488">
        <v>0</v>
      </c>
      <c r="AM16" s="489">
        <v>1000000000</v>
      </c>
      <c r="AN16" s="486">
        <v>0</v>
      </c>
      <c r="AO16" s="486">
        <v>1040000000</v>
      </c>
      <c r="AP16" s="486">
        <v>0</v>
      </c>
      <c r="AQ16" s="486">
        <v>0</v>
      </c>
      <c r="AR16" s="486">
        <v>0</v>
      </c>
      <c r="AS16" s="486">
        <v>0</v>
      </c>
      <c r="AT16" s="486">
        <v>0</v>
      </c>
      <c r="AU16" s="486">
        <v>0</v>
      </c>
      <c r="AV16" s="487">
        <v>1040000000</v>
      </c>
      <c r="AW16" s="486">
        <v>0</v>
      </c>
      <c r="AX16" s="486">
        <v>0</v>
      </c>
      <c r="AY16" s="486">
        <v>0</v>
      </c>
      <c r="AZ16" s="488">
        <v>0</v>
      </c>
      <c r="BA16" s="490">
        <v>1040000000</v>
      </c>
      <c r="BB16" s="486">
        <v>0</v>
      </c>
      <c r="BC16" s="486">
        <v>1081600000</v>
      </c>
      <c r="BD16" s="486">
        <v>0</v>
      </c>
      <c r="BE16" s="486">
        <v>0</v>
      </c>
      <c r="BF16" s="486">
        <v>0</v>
      </c>
      <c r="BG16" s="486">
        <v>0</v>
      </c>
      <c r="BH16" s="486">
        <v>0</v>
      </c>
      <c r="BI16" s="486">
        <v>0</v>
      </c>
      <c r="BJ16" s="487">
        <v>1081600000</v>
      </c>
      <c r="BK16" s="486">
        <v>0</v>
      </c>
      <c r="BL16" s="486">
        <v>0</v>
      </c>
      <c r="BM16" s="486">
        <v>0</v>
      </c>
      <c r="BN16" s="488">
        <v>0</v>
      </c>
      <c r="BO16" s="490">
        <v>1081600000</v>
      </c>
      <c r="BP16" s="486">
        <v>0</v>
      </c>
      <c r="BQ16" s="486">
        <v>1124864000</v>
      </c>
      <c r="BR16" s="486">
        <v>0</v>
      </c>
      <c r="BS16" s="486">
        <v>0</v>
      </c>
      <c r="BT16" s="486">
        <v>0</v>
      </c>
      <c r="BU16" s="486">
        <v>0</v>
      </c>
      <c r="BV16" s="486">
        <v>0</v>
      </c>
      <c r="BW16" s="486">
        <v>0</v>
      </c>
      <c r="BX16" s="487">
        <v>1124864000</v>
      </c>
      <c r="BY16" s="486">
        <v>0</v>
      </c>
      <c r="BZ16" s="486">
        <v>0</v>
      </c>
      <c r="CA16" s="486">
        <v>0</v>
      </c>
      <c r="CB16" s="488">
        <v>0</v>
      </c>
      <c r="CC16" s="491">
        <v>1124864000</v>
      </c>
      <c r="CD16" s="492">
        <v>4246464000</v>
      </c>
      <c r="CE16" s="493">
        <f t="shared" si="2"/>
        <v>0</v>
      </c>
      <c r="CF16" s="493">
        <f t="shared" si="0"/>
        <v>4246464000</v>
      </c>
      <c r="CG16" s="493">
        <f t="shared" si="0"/>
        <v>0</v>
      </c>
      <c r="CH16" s="493">
        <f t="shared" si="0"/>
        <v>0</v>
      </c>
      <c r="CI16" s="493">
        <f t="shared" si="0"/>
        <v>0</v>
      </c>
      <c r="CJ16" s="493">
        <f t="shared" si="0"/>
        <v>0</v>
      </c>
      <c r="CK16" s="493">
        <f t="shared" si="0"/>
        <v>0</v>
      </c>
      <c r="CL16" s="493">
        <f t="shared" si="0"/>
        <v>0</v>
      </c>
      <c r="CM16" s="493">
        <f t="shared" si="3"/>
        <v>0</v>
      </c>
      <c r="CN16" s="493">
        <f t="shared" si="3"/>
        <v>0</v>
      </c>
      <c r="CO16" s="493">
        <f t="shared" si="3"/>
        <v>0</v>
      </c>
      <c r="CP16" s="494">
        <v>4</v>
      </c>
      <c r="CQ16" s="494" t="s">
        <v>2594</v>
      </c>
    </row>
    <row r="17" spans="1:95" ht="30.45" hidden="1" customHeight="1" thickBot="1">
      <c r="A17" s="555" t="s">
        <v>4031</v>
      </c>
      <c r="B17" s="479">
        <v>15</v>
      </c>
      <c r="C17" s="480" t="s">
        <v>4004</v>
      </c>
      <c r="D17" s="480" t="s">
        <v>4029</v>
      </c>
      <c r="E17" s="480" t="str">
        <f t="shared" si="1"/>
        <v xml:space="preserve">1.2.1 </v>
      </c>
      <c r="F17" s="480" t="s">
        <v>6373</v>
      </c>
      <c r="G17" s="480" t="s">
        <v>6391</v>
      </c>
      <c r="H17" s="481">
        <v>22</v>
      </c>
      <c r="I17" s="480" t="s">
        <v>4048</v>
      </c>
      <c r="J17" s="495">
        <v>220107400</v>
      </c>
      <c r="K17" s="480" t="s">
        <v>4041</v>
      </c>
      <c r="L17" s="480" t="s">
        <v>6407</v>
      </c>
      <c r="M17" s="480" t="s">
        <v>5673</v>
      </c>
      <c r="N17" s="484">
        <v>118</v>
      </c>
      <c r="O17" s="480" t="s">
        <v>4042</v>
      </c>
      <c r="P17" s="485">
        <v>200</v>
      </c>
      <c r="Q17" s="485" t="s">
        <v>5318</v>
      </c>
      <c r="R17" s="485" t="s">
        <v>5329</v>
      </c>
      <c r="S17" s="485" t="s">
        <v>677</v>
      </c>
      <c r="T17" s="485">
        <v>0.41</v>
      </c>
      <c r="U17" s="485" t="s">
        <v>5330</v>
      </c>
      <c r="V17" s="485">
        <v>0.45</v>
      </c>
      <c r="W17" s="485" t="s">
        <v>5331</v>
      </c>
      <c r="X17" s="485">
        <v>4</v>
      </c>
      <c r="Y17" s="485" t="s">
        <v>5332</v>
      </c>
      <c r="Z17" s="486">
        <v>1708981502</v>
      </c>
      <c r="AA17" s="486">
        <v>0</v>
      </c>
      <c r="AB17" s="486">
        <v>0</v>
      </c>
      <c r="AC17" s="486">
        <v>0</v>
      </c>
      <c r="AD17" s="486">
        <v>0</v>
      </c>
      <c r="AE17" s="486">
        <v>0</v>
      </c>
      <c r="AF17" s="486">
        <v>0</v>
      </c>
      <c r="AG17" s="486">
        <v>0</v>
      </c>
      <c r="AH17" s="487">
        <v>1708981502</v>
      </c>
      <c r="AI17" s="486">
        <v>0</v>
      </c>
      <c r="AJ17" s="486">
        <v>0</v>
      </c>
      <c r="AK17" s="486">
        <v>0</v>
      </c>
      <c r="AL17" s="488">
        <v>0</v>
      </c>
      <c r="AM17" s="489">
        <v>1708981502</v>
      </c>
      <c r="AN17" s="486">
        <v>1777340762.28</v>
      </c>
      <c r="AO17" s="486">
        <v>0</v>
      </c>
      <c r="AP17" s="486">
        <v>0</v>
      </c>
      <c r="AQ17" s="486">
        <v>0</v>
      </c>
      <c r="AR17" s="486">
        <v>0</v>
      </c>
      <c r="AS17" s="486">
        <v>0</v>
      </c>
      <c r="AT17" s="486">
        <v>0</v>
      </c>
      <c r="AU17" s="486">
        <v>0</v>
      </c>
      <c r="AV17" s="487">
        <v>1777340762.28</v>
      </c>
      <c r="AW17" s="486">
        <v>0</v>
      </c>
      <c r="AX17" s="486">
        <v>0</v>
      </c>
      <c r="AY17" s="486">
        <v>0</v>
      </c>
      <c r="AZ17" s="488">
        <v>0</v>
      </c>
      <c r="BA17" s="490">
        <v>1777340762.28</v>
      </c>
      <c r="BB17" s="486">
        <v>1848434392.7711999</v>
      </c>
      <c r="BC17" s="486">
        <v>0</v>
      </c>
      <c r="BD17" s="486">
        <v>0</v>
      </c>
      <c r="BE17" s="486">
        <v>0</v>
      </c>
      <c r="BF17" s="486">
        <v>0</v>
      </c>
      <c r="BG17" s="486">
        <v>0</v>
      </c>
      <c r="BH17" s="486">
        <v>0</v>
      </c>
      <c r="BI17" s="486">
        <v>0</v>
      </c>
      <c r="BJ17" s="487">
        <v>1848434392.7711999</v>
      </c>
      <c r="BK17" s="486">
        <v>0</v>
      </c>
      <c r="BL17" s="486">
        <v>0</v>
      </c>
      <c r="BM17" s="486">
        <v>0</v>
      </c>
      <c r="BN17" s="488">
        <v>0</v>
      </c>
      <c r="BO17" s="490">
        <v>1848434392.7711999</v>
      </c>
      <c r="BP17" s="486">
        <v>1922371768.482048</v>
      </c>
      <c r="BQ17" s="486">
        <v>0</v>
      </c>
      <c r="BR17" s="486">
        <v>0</v>
      </c>
      <c r="BS17" s="486">
        <v>0</v>
      </c>
      <c r="BT17" s="486">
        <v>0</v>
      </c>
      <c r="BU17" s="486">
        <v>0</v>
      </c>
      <c r="BV17" s="486">
        <v>0</v>
      </c>
      <c r="BW17" s="486">
        <v>0</v>
      </c>
      <c r="BX17" s="487">
        <v>1922371768.482048</v>
      </c>
      <c r="BY17" s="486">
        <v>0</v>
      </c>
      <c r="BZ17" s="486">
        <v>0</v>
      </c>
      <c r="CA17" s="486">
        <v>0</v>
      </c>
      <c r="CB17" s="488">
        <v>0</v>
      </c>
      <c r="CC17" s="491">
        <v>1922371768.482048</v>
      </c>
      <c r="CD17" s="492">
        <v>7257128425.5332479</v>
      </c>
      <c r="CE17" s="493">
        <f t="shared" si="2"/>
        <v>7257128425.5332479</v>
      </c>
      <c r="CF17" s="493">
        <f t="shared" si="0"/>
        <v>0</v>
      </c>
      <c r="CG17" s="493">
        <f t="shared" si="0"/>
        <v>0</v>
      </c>
      <c r="CH17" s="493">
        <f t="shared" si="0"/>
        <v>0</v>
      </c>
      <c r="CI17" s="493">
        <f t="shared" si="0"/>
        <v>0</v>
      </c>
      <c r="CJ17" s="493">
        <f t="shared" si="0"/>
        <v>0</v>
      </c>
      <c r="CK17" s="493">
        <f t="shared" si="0"/>
        <v>0</v>
      </c>
      <c r="CL17" s="493">
        <f t="shared" si="0"/>
        <v>0</v>
      </c>
      <c r="CM17" s="493">
        <f t="shared" si="3"/>
        <v>0</v>
      </c>
      <c r="CN17" s="493">
        <f t="shared" si="3"/>
        <v>0</v>
      </c>
      <c r="CO17" s="493">
        <f t="shared" si="3"/>
        <v>0</v>
      </c>
      <c r="CP17" s="494">
        <v>4</v>
      </c>
      <c r="CQ17" s="494" t="s">
        <v>6217</v>
      </c>
    </row>
    <row r="18" spans="1:95" ht="30.45" hidden="1" customHeight="1" thickBot="1">
      <c r="A18" s="555" t="s">
        <v>4031</v>
      </c>
      <c r="B18" s="479">
        <v>16</v>
      </c>
      <c r="C18" s="480" t="s">
        <v>4004</v>
      </c>
      <c r="D18" s="480" t="s">
        <v>4029</v>
      </c>
      <c r="E18" s="480" t="str">
        <f t="shared" si="1"/>
        <v xml:space="preserve">1.2.1 </v>
      </c>
      <c r="F18" s="480" t="s">
        <v>6373</v>
      </c>
      <c r="G18" s="480" t="s">
        <v>6391</v>
      </c>
      <c r="H18" s="481">
        <v>22</v>
      </c>
      <c r="I18" s="480" t="s">
        <v>6406</v>
      </c>
      <c r="J18" s="495">
        <v>220206800</v>
      </c>
      <c r="K18" s="480" t="s">
        <v>4043</v>
      </c>
      <c r="L18" s="480" t="s">
        <v>4044</v>
      </c>
      <c r="M18" s="480" t="s">
        <v>6408</v>
      </c>
      <c r="N18" s="499">
        <v>0</v>
      </c>
      <c r="O18" s="480" t="s">
        <v>6409</v>
      </c>
      <c r="P18" s="485">
        <v>255</v>
      </c>
      <c r="Q18" s="485" t="s">
        <v>5318</v>
      </c>
      <c r="R18" s="485" t="s">
        <v>5329</v>
      </c>
      <c r="S18" s="485" t="s">
        <v>677</v>
      </c>
      <c r="T18" s="485">
        <v>0.41</v>
      </c>
      <c r="U18" s="485" t="s">
        <v>5330</v>
      </c>
      <c r="V18" s="485">
        <v>0.45</v>
      </c>
      <c r="W18" s="485" t="s">
        <v>5331</v>
      </c>
      <c r="X18" s="485">
        <v>4</v>
      </c>
      <c r="Y18" s="485" t="s">
        <v>5332</v>
      </c>
      <c r="Z18" s="486">
        <v>20000000</v>
      </c>
      <c r="AA18" s="486">
        <v>0</v>
      </c>
      <c r="AB18" s="486">
        <v>0</v>
      </c>
      <c r="AC18" s="486">
        <v>0</v>
      </c>
      <c r="AD18" s="486">
        <v>0</v>
      </c>
      <c r="AE18" s="486">
        <v>0</v>
      </c>
      <c r="AF18" s="486">
        <v>0</v>
      </c>
      <c r="AG18" s="486">
        <v>0</v>
      </c>
      <c r="AH18" s="487">
        <v>20000000</v>
      </c>
      <c r="AI18" s="486">
        <v>0</v>
      </c>
      <c r="AJ18" s="486">
        <v>0</v>
      </c>
      <c r="AK18" s="486">
        <v>0</v>
      </c>
      <c r="AL18" s="488">
        <v>0</v>
      </c>
      <c r="AM18" s="489">
        <v>20000000</v>
      </c>
      <c r="AN18" s="486">
        <v>20800000</v>
      </c>
      <c r="AO18" s="486">
        <v>0</v>
      </c>
      <c r="AP18" s="486">
        <v>0</v>
      </c>
      <c r="AQ18" s="486">
        <v>0</v>
      </c>
      <c r="AR18" s="486">
        <v>0</v>
      </c>
      <c r="AS18" s="486">
        <v>0</v>
      </c>
      <c r="AT18" s="486">
        <v>0</v>
      </c>
      <c r="AU18" s="486">
        <v>0</v>
      </c>
      <c r="AV18" s="487">
        <v>20800000</v>
      </c>
      <c r="AW18" s="486">
        <v>0</v>
      </c>
      <c r="AX18" s="486">
        <v>0</v>
      </c>
      <c r="AY18" s="486">
        <v>0</v>
      </c>
      <c r="AZ18" s="488">
        <v>0</v>
      </c>
      <c r="BA18" s="490">
        <v>20800000</v>
      </c>
      <c r="BB18" s="486">
        <v>21632000</v>
      </c>
      <c r="BC18" s="486">
        <v>0</v>
      </c>
      <c r="BD18" s="486">
        <v>0</v>
      </c>
      <c r="BE18" s="486">
        <v>0</v>
      </c>
      <c r="BF18" s="486">
        <v>0</v>
      </c>
      <c r="BG18" s="486">
        <v>0</v>
      </c>
      <c r="BH18" s="486">
        <v>0</v>
      </c>
      <c r="BI18" s="486">
        <v>0</v>
      </c>
      <c r="BJ18" s="487">
        <v>21632000</v>
      </c>
      <c r="BK18" s="486">
        <v>0</v>
      </c>
      <c r="BL18" s="486">
        <v>0</v>
      </c>
      <c r="BM18" s="486">
        <v>0</v>
      </c>
      <c r="BN18" s="488">
        <v>0</v>
      </c>
      <c r="BO18" s="490">
        <v>21632000</v>
      </c>
      <c r="BP18" s="486">
        <v>22497280</v>
      </c>
      <c r="BQ18" s="486">
        <v>0</v>
      </c>
      <c r="BR18" s="486">
        <v>0</v>
      </c>
      <c r="BS18" s="486">
        <v>0</v>
      </c>
      <c r="BT18" s="486">
        <v>0</v>
      </c>
      <c r="BU18" s="486">
        <v>0</v>
      </c>
      <c r="BV18" s="486">
        <v>0</v>
      </c>
      <c r="BW18" s="486">
        <v>0</v>
      </c>
      <c r="BX18" s="487">
        <v>22497280</v>
      </c>
      <c r="BY18" s="486">
        <v>0</v>
      </c>
      <c r="BZ18" s="486">
        <v>0</v>
      </c>
      <c r="CA18" s="486">
        <v>0</v>
      </c>
      <c r="CB18" s="488">
        <v>0</v>
      </c>
      <c r="CC18" s="491">
        <v>22497280</v>
      </c>
      <c r="CD18" s="492">
        <v>84929280</v>
      </c>
      <c r="CE18" s="493">
        <f t="shared" si="2"/>
        <v>84929280</v>
      </c>
      <c r="CF18" s="493">
        <f t="shared" si="0"/>
        <v>0</v>
      </c>
      <c r="CG18" s="493">
        <f t="shared" si="0"/>
        <v>0</v>
      </c>
      <c r="CH18" s="493">
        <f t="shared" si="0"/>
        <v>0</v>
      </c>
      <c r="CI18" s="493">
        <f t="shared" si="0"/>
        <v>0</v>
      </c>
      <c r="CJ18" s="493">
        <f t="shared" si="0"/>
        <v>0</v>
      </c>
      <c r="CK18" s="493">
        <f t="shared" si="0"/>
        <v>0</v>
      </c>
      <c r="CL18" s="493">
        <f t="shared" si="0"/>
        <v>0</v>
      </c>
      <c r="CM18" s="493">
        <f t="shared" si="3"/>
        <v>0</v>
      </c>
      <c r="CN18" s="493">
        <f t="shared" si="3"/>
        <v>0</v>
      </c>
      <c r="CO18" s="493">
        <f t="shared" si="3"/>
        <v>0</v>
      </c>
      <c r="CP18" s="494">
        <v>4</v>
      </c>
      <c r="CQ18" s="497" t="s">
        <v>2594</v>
      </c>
    </row>
    <row r="19" spans="1:95" ht="43.05" hidden="1" customHeight="1" thickBot="1">
      <c r="A19" s="555" t="s">
        <v>4031</v>
      </c>
      <c r="B19" s="479">
        <v>17</v>
      </c>
      <c r="C19" s="480" t="s">
        <v>4004</v>
      </c>
      <c r="D19" s="480" t="s">
        <v>4045</v>
      </c>
      <c r="E19" s="480" t="str">
        <f t="shared" si="1"/>
        <v xml:space="preserve">1.3.1 </v>
      </c>
      <c r="F19" s="480" t="s">
        <v>4046</v>
      </c>
      <c r="G19" s="480" t="s">
        <v>4047</v>
      </c>
      <c r="H19" s="481">
        <v>22</v>
      </c>
      <c r="I19" s="480" t="s">
        <v>4048</v>
      </c>
      <c r="J19" s="495">
        <v>220107000</v>
      </c>
      <c r="K19" s="480" t="s">
        <v>4049</v>
      </c>
      <c r="L19" s="480" t="s">
        <v>4050</v>
      </c>
      <c r="M19" s="480" t="s">
        <v>5674</v>
      </c>
      <c r="N19" s="484">
        <v>38</v>
      </c>
      <c r="O19" s="480" t="s">
        <v>4051</v>
      </c>
      <c r="P19" s="485">
        <v>88</v>
      </c>
      <c r="Q19" s="485">
        <v>40020002</v>
      </c>
      <c r="R19" s="485" t="s">
        <v>5333</v>
      </c>
      <c r="S19" s="485" t="s">
        <v>677</v>
      </c>
      <c r="T19" s="485" t="s">
        <v>5334</v>
      </c>
      <c r="U19" s="485" t="s">
        <v>5335</v>
      </c>
      <c r="V19" s="485" t="s">
        <v>5336</v>
      </c>
      <c r="W19" s="485" t="s">
        <v>5331</v>
      </c>
      <c r="X19" s="485">
        <v>4</v>
      </c>
      <c r="Y19" s="485" t="s">
        <v>5337</v>
      </c>
      <c r="Z19" s="486">
        <v>19250000</v>
      </c>
      <c r="AA19" s="486">
        <v>0</v>
      </c>
      <c r="AB19" s="486">
        <v>0</v>
      </c>
      <c r="AC19" s="486">
        <v>0</v>
      </c>
      <c r="AD19" s="486">
        <v>0</v>
      </c>
      <c r="AE19" s="486">
        <v>0</v>
      </c>
      <c r="AF19" s="486">
        <v>0</v>
      </c>
      <c r="AG19" s="486">
        <v>0</v>
      </c>
      <c r="AH19" s="487">
        <v>19250000</v>
      </c>
      <c r="AI19" s="486">
        <v>0</v>
      </c>
      <c r="AJ19" s="486">
        <v>0</v>
      </c>
      <c r="AK19" s="486">
        <v>0</v>
      </c>
      <c r="AL19" s="488">
        <v>0</v>
      </c>
      <c r="AM19" s="489">
        <v>19250000</v>
      </c>
      <c r="AN19" s="486">
        <v>20020000</v>
      </c>
      <c r="AO19" s="486">
        <v>0</v>
      </c>
      <c r="AP19" s="486">
        <v>0</v>
      </c>
      <c r="AQ19" s="486">
        <v>0</v>
      </c>
      <c r="AR19" s="486">
        <v>0</v>
      </c>
      <c r="AS19" s="486">
        <v>0</v>
      </c>
      <c r="AT19" s="486">
        <v>0</v>
      </c>
      <c r="AU19" s="486">
        <v>0</v>
      </c>
      <c r="AV19" s="487">
        <v>20020000</v>
      </c>
      <c r="AW19" s="486">
        <v>0</v>
      </c>
      <c r="AX19" s="486">
        <v>0</v>
      </c>
      <c r="AY19" s="486">
        <v>0</v>
      </c>
      <c r="AZ19" s="488">
        <v>0</v>
      </c>
      <c r="BA19" s="490">
        <v>20020000</v>
      </c>
      <c r="BB19" s="486">
        <v>20820800</v>
      </c>
      <c r="BC19" s="486">
        <v>0</v>
      </c>
      <c r="BD19" s="486">
        <v>0</v>
      </c>
      <c r="BE19" s="486">
        <v>0</v>
      </c>
      <c r="BF19" s="486">
        <v>0</v>
      </c>
      <c r="BG19" s="486">
        <v>0</v>
      </c>
      <c r="BH19" s="486">
        <v>0</v>
      </c>
      <c r="BI19" s="486">
        <v>0</v>
      </c>
      <c r="BJ19" s="487">
        <v>20820800</v>
      </c>
      <c r="BK19" s="486">
        <v>0</v>
      </c>
      <c r="BL19" s="486">
        <v>0</v>
      </c>
      <c r="BM19" s="486">
        <v>0</v>
      </c>
      <c r="BN19" s="488">
        <v>0</v>
      </c>
      <c r="BO19" s="490">
        <v>20820800</v>
      </c>
      <c r="BP19" s="486">
        <v>21653632</v>
      </c>
      <c r="BQ19" s="486">
        <v>0</v>
      </c>
      <c r="BR19" s="486">
        <v>0</v>
      </c>
      <c r="BS19" s="486">
        <v>0</v>
      </c>
      <c r="BT19" s="486">
        <v>0</v>
      </c>
      <c r="BU19" s="486">
        <v>0</v>
      </c>
      <c r="BV19" s="486">
        <v>0</v>
      </c>
      <c r="BW19" s="486">
        <v>0</v>
      </c>
      <c r="BX19" s="487">
        <v>21653632</v>
      </c>
      <c r="BY19" s="486">
        <v>0</v>
      </c>
      <c r="BZ19" s="486">
        <v>0</v>
      </c>
      <c r="CA19" s="486">
        <v>0</v>
      </c>
      <c r="CB19" s="488">
        <v>0</v>
      </c>
      <c r="CC19" s="491">
        <v>21653632</v>
      </c>
      <c r="CD19" s="492">
        <v>81744432</v>
      </c>
      <c r="CE19" s="493">
        <f t="shared" si="2"/>
        <v>81744432</v>
      </c>
      <c r="CF19" s="493">
        <f t="shared" si="2"/>
        <v>0</v>
      </c>
      <c r="CG19" s="493">
        <f t="shared" si="2"/>
        <v>0</v>
      </c>
      <c r="CH19" s="493">
        <f t="shared" si="2"/>
        <v>0</v>
      </c>
      <c r="CI19" s="493">
        <f t="shared" si="2"/>
        <v>0</v>
      </c>
      <c r="CJ19" s="493">
        <f t="shared" si="2"/>
        <v>0</v>
      </c>
      <c r="CK19" s="493">
        <f t="shared" si="2"/>
        <v>0</v>
      </c>
      <c r="CL19" s="493">
        <f t="shared" si="2"/>
        <v>0</v>
      </c>
      <c r="CM19" s="493">
        <f t="shared" si="3"/>
        <v>0</v>
      </c>
      <c r="CN19" s="493">
        <f t="shared" si="3"/>
        <v>0</v>
      </c>
      <c r="CO19" s="493">
        <f t="shared" si="3"/>
        <v>0</v>
      </c>
      <c r="CP19" s="494">
        <v>4</v>
      </c>
      <c r="CQ19" s="494" t="s">
        <v>2587</v>
      </c>
    </row>
    <row r="20" spans="1:95" ht="52.5" hidden="1" customHeight="1" thickBot="1">
      <c r="A20" s="555" t="s">
        <v>4031</v>
      </c>
      <c r="B20" s="479">
        <v>18</v>
      </c>
      <c r="C20" s="480" t="s">
        <v>4004</v>
      </c>
      <c r="D20" s="480" t="s">
        <v>4045</v>
      </c>
      <c r="E20" s="480" t="str">
        <f t="shared" si="1"/>
        <v xml:space="preserve">1.3.1 </v>
      </c>
      <c r="F20" s="480" t="s">
        <v>4046</v>
      </c>
      <c r="G20" s="480" t="s">
        <v>4047</v>
      </c>
      <c r="H20" s="481">
        <v>22</v>
      </c>
      <c r="I20" s="480" t="s">
        <v>4048</v>
      </c>
      <c r="J20" s="495">
        <v>220108400</v>
      </c>
      <c r="K20" s="480" t="s">
        <v>4037</v>
      </c>
      <c r="L20" s="480" t="s">
        <v>6410</v>
      </c>
      <c r="M20" s="480" t="s">
        <v>5675</v>
      </c>
      <c r="N20" s="484">
        <v>255</v>
      </c>
      <c r="O20" s="480" t="s">
        <v>4052</v>
      </c>
      <c r="P20" s="485">
        <v>255</v>
      </c>
      <c r="Q20" s="485">
        <v>40020002</v>
      </c>
      <c r="R20" s="485" t="s">
        <v>5333</v>
      </c>
      <c r="S20" s="485" t="s">
        <v>677</v>
      </c>
      <c r="T20" s="485" t="s">
        <v>5334</v>
      </c>
      <c r="U20" s="485" t="s">
        <v>5335</v>
      </c>
      <c r="V20" s="485" t="s">
        <v>5336</v>
      </c>
      <c r="W20" s="485" t="s">
        <v>5331</v>
      </c>
      <c r="X20" s="485">
        <v>4</v>
      </c>
      <c r="Y20" s="485" t="s">
        <v>5337</v>
      </c>
      <c r="Z20" s="486">
        <v>0</v>
      </c>
      <c r="AA20" s="486">
        <v>0</v>
      </c>
      <c r="AB20" s="486">
        <v>2651647100</v>
      </c>
      <c r="AC20" s="486">
        <v>0</v>
      </c>
      <c r="AD20" s="486">
        <v>0</v>
      </c>
      <c r="AE20" s="486">
        <v>0</v>
      </c>
      <c r="AF20" s="486">
        <v>0</v>
      </c>
      <c r="AG20" s="486">
        <v>0</v>
      </c>
      <c r="AH20" s="487">
        <v>2651647100</v>
      </c>
      <c r="AI20" s="486">
        <v>0</v>
      </c>
      <c r="AJ20" s="486">
        <v>0</v>
      </c>
      <c r="AK20" s="486">
        <v>0</v>
      </c>
      <c r="AL20" s="488">
        <v>0</v>
      </c>
      <c r="AM20" s="489">
        <v>2651647100</v>
      </c>
      <c r="AN20" s="486">
        <v>0</v>
      </c>
      <c r="AO20" s="486">
        <v>0</v>
      </c>
      <c r="AP20" s="486">
        <v>2757712984</v>
      </c>
      <c r="AQ20" s="486">
        <v>0</v>
      </c>
      <c r="AR20" s="486">
        <v>0</v>
      </c>
      <c r="AS20" s="486">
        <v>0</v>
      </c>
      <c r="AT20" s="486">
        <v>0</v>
      </c>
      <c r="AU20" s="486">
        <v>0</v>
      </c>
      <c r="AV20" s="487">
        <v>2757712984</v>
      </c>
      <c r="AW20" s="486">
        <v>0</v>
      </c>
      <c r="AX20" s="486">
        <v>0</v>
      </c>
      <c r="AY20" s="486">
        <v>0</v>
      </c>
      <c r="AZ20" s="488">
        <v>0</v>
      </c>
      <c r="BA20" s="490">
        <v>2757712984</v>
      </c>
      <c r="BB20" s="486">
        <v>0</v>
      </c>
      <c r="BC20" s="486">
        <v>0</v>
      </c>
      <c r="BD20" s="486">
        <v>2868021503.3600001</v>
      </c>
      <c r="BE20" s="486">
        <v>0</v>
      </c>
      <c r="BF20" s="486">
        <v>0</v>
      </c>
      <c r="BG20" s="486">
        <v>0</v>
      </c>
      <c r="BH20" s="486">
        <v>0</v>
      </c>
      <c r="BI20" s="486">
        <v>0</v>
      </c>
      <c r="BJ20" s="487">
        <v>2868021503.3600001</v>
      </c>
      <c r="BK20" s="486">
        <v>0</v>
      </c>
      <c r="BL20" s="486">
        <v>0</v>
      </c>
      <c r="BM20" s="486">
        <v>0</v>
      </c>
      <c r="BN20" s="488">
        <v>0</v>
      </c>
      <c r="BO20" s="490">
        <v>2868021503.3600001</v>
      </c>
      <c r="BP20" s="486">
        <v>0</v>
      </c>
      <c r="BQ20" s="486">
        <v>0</v>
      </c>
      <c r="BR20" s="486">
        <v>2982742363.4944</v>
      </c>
      <c r="BS20" s="486">
        <v>0</v>
      </c>
      <c r="BT20" s="486">
        <v>0</v>
      </c>
      <c r="BU20" s="486">
        <v>0</v>
      </c>
      <c r="BV20" s="486">
        <v>0</v>
      </c>
      <c r="BW20" s="486">
        <v>0</v>
      </c>
      <c r="BX20" s="487">
        <v>2982742363.4944</v>
      </c>
      <c r="BY20" s="486">
        <v>0</v>
      </c>
      <c r="BZ20" s="486">
        <v>0</v>
      </c>
      <c r="CA20" s="486">
        <v>0</v>
      </c>
      <c r="CB20" s="488">
        <v>0</v>
      </c>
      <c r="CC20" s="491">
        <v>2982742363.4944</v>
      </c>
      <c r="CD20" s="492">
        <v>11260123950.854401</v>
      </c>
      <c r="CE20" s="493">
        <f t="shared" si="2"/>
        <v>0</v>
      </c>
      <c r="CF20" s="493">
        <f t="shared" si="2"/>
        <v>0</v>
      </c>
      <c r="CG20" s="493">
        <f t="shared" si="2"/>
        <v>11260123950.854401</v>
      </c>
      <c r="CH20" s="493">
        <f t="shared" si="2"/>
        <v>0</v>
      </c>
      <c r="CI20" s="493">
        <f t="shared" si="2"/>
        <v>0</v>
      </c>
      <c r="CJ20" s="493">
        <f t="shared" si="2"/>
        <v>0</v>
      </c>
      <c r="CK20" s="493">
        <f t="shared" si="2"/>
        <v>0</v>
      </c>
      <c r="CL20" s="493">
        <f t="shared" si="2"/>
        <v>0</v>
      </c>
      <c r="CM20" s="493">
        <f t="shared" si="3"/>
        <v>0</v>
      </c>
      <c r="CN20" s="493">
        <f t="shared" si="3"/>
        <v>0</v>
      </c>
      <c r="CO20" s="493">
        <f t="shared" si="3"/>
        <v>0</v>
      </c>
      <c r="CP20" s="494">
        <v>4</v>
      </c>
      <c r="CQ20" s="494" t="s">
        <v>6218</v>
      </c>
    </row>
    <row r="21" spans="1:95" ht="30.45" hidden="1" customHeight="1" thickBot="1">
      <c r="A21" s="555" t="s">
        <v>4031</v>
      </c>
      <c r="B21" s="479">
        <v>19</v>
      </c>
      <c r="C21" s="480" t="s">
        <v>4004</v>
      </c>
      <c r="D21" s="480" t="s">
        <v>4045</v>
      </c>
      <c r="E21" s="480" t="str">
        <f t="shared" si="1"/>
        <v xml:space="preserve">1.3.1 </v>
      </c>
      <c r="F21" s="480" t="s">
        <v>4046</v>
      </c>
      <c r="G21" s="480" t="s">
        <v>4047</v>
      </c>
      <c r="H21" s="481">
        <v>22</v>
      </c>
      <c r="I21" s="480" t="s">
        <v>4048</v>
      </c>
      <c r="J21" s="495">
        <v>220103300</v>
      </c>
      <c r="K21" s="480" t="s">
        <v>4008</v>
      </c>
      <c r="L21" s="480" t="s">
        <v>4053</v>
      </c>
      <c r="M21" s="480" t="s">
        <v>5676</v>
      </c>
      <c r="N21" s="484">
        <v>900</v>
      </c>
      <c r="O21" s="480" t="s">
        <v>6411</v>
      </c>
      <c r="P21" s="485">
        <v>2100</v>
      </c>
      <c r="Q21" s="485">
        <v>40020002</v>
      </c>
      <c r="R21" s="485" t="s">
        <v>5333</v>
      </c>
      <c r="S21" s="485" t="s">
        <v>677</v>
      </c>
      <c r="T21" s="485" t="s">
        <v>5334</v>
      </c>
      <c r="U21" s="485" t="s">
        <v>5335</v>
      </c>
      <c r="V21" s="485" t="s">
        <v>5336</v>
      </c>
      <c r="W21" s="485" t="s">
        <v>5331</v>
      </c>
      <c r="X21" s="485">
        <v>4</v>
      </c>
      <c r="Y21" s="485" t="s">
        <v>5337</v>
      </c>
      <c r="Z21" s="486">
        <v>15400000</v>
      </c>
      <c r="AA21" s="486">
        <v>0</v>
      </c>
      <c r="AB21" s="486">
        <v>0</v>
      </c>
      <c r="AC21" s="486">
        <v>0</v>
      </c>
      <c r="AD21" s="486">
        <v>0</v>
      </c>
      <c r="AE21" s="486">
        <v>0</v>
      </c>
      <c r="AF21" s="486">
        <v>0</v>
      </c>
      <c r="AG21" s="486">
        <v>0</v>
      </c>
      <c r="AH21" s="487">
        <v>15400000</v>
      </c>
      <c r="AI21" s="486">
        <v>0</v>
      </c>
      <c r="AJ21" s="486">
        <v>0</v>
      </c>
      <c r="AK21" s="486">
        <v>0</v>
      </c>
      <c r="AL21" s="488">
        <v>0</v>
      </c>
      <c r="AM21" s="489">
        <v>15400000</v>
      </c>
      <c r="AN21" s="486">
        <v>16016000</v>
      </c>
      <c r="AO21" s="486">
        <v>0</v>
      </c>
      <c r="AP21" s="486">
        <v>0</v>
      </c>
      <c r="AQ21" s="486">
        <v>0</v>
      </c>
      <c r="AR21" s="486">
        <v>0</v>
      </c>
      <c r="AS21" s="486">
        <v>0</v>
      </c>
      <c r="AT21" s="486">
        <v>0</v>
      </c>
      <c r="AU21" s="486">
        <v>0</v>
      </c>
      <c r="AV21" s="487">
        <v>16016000</v>
      </c>
      <c r="AW21" s="486">
        <v>0</v>
      </c>
      <c r="AX21" s="486">
        <v>0</v>
      </c>
      <c r="AY21" s="486">
        <v>0</v>
      </c>
      <c r="AZ21" s="488">
        <v>0</v>
      </c>
      <c r="BA21" s="490">
        <v>16016000</v>
      </c>
      <c r="BB21" s="486">
        <v>16656640</v>
      </c>
      <c r="BC21" s="486">
        <v>0</v>
      </c>
      <c r="BD21" s="486">
        <v>0</v>
      </c>
      <c r="BE21" s="486">
        <v>0</v>
      </c>
      <c r="BF21" s="486">
        <v>0</v>
      </c>
      <c r="BG21" s="486">
        <v>0</v>
      </c>
      <c r="BH21" s="486">
        <v>0</v>
      </c>
      <c r="BI21" s="486">
        <v>0</v>
      </c>
      <c r="BJ21" s="487">
        <v>16656640</v>
      </c>
      <c r="BK21" s="486">
        <v>0</v>
      </c>
      <c r="BL21" s="486">
        <v>0</v>
      </c>
      <c r="BM21" s="486">
        <v>0</v>
      </c>
      <c r="BN21" s="488">
        <v>0</v>
      </c>
      <c r="BO21" s="490">
        <v>16656640</v>
      </c>
      <c r="BP21" s="486">
        <v>17322905.600000001</v>
      </c>
      <c r="BQ21" s="486">
        <v>0</v>
      </c>
      <c r="BR21" s="486">
        <v>0</v>
      </c>
      <c r="BS21" s="486">
        <v>0</v>
      </c>
      <c r="BT21" s="486">
        <v>0</v>
      </c>
      <c r="BU21" s="486">
        <v>0</v>
      </c>
      <c r="BV21" s="486">
        <v>0</v>
      </c>
      <c r="BW21" s="486">
        <v>0</v>
      </c>
      <c r="BX21" s="487">
        <v>17322905.600000001</v>
      </c>
      <c r="BY21" s="486">
        <v>0</v>
      </c>
      <c r="BZ21" s="486">
        <v>0</v>
      </c>
      <c r="CA21" s="486">
        <v>0</v>
      </c>
      <c r="CB21" s="488">
        <v>0</v>
      </c>
      <c r="CC21" s="491">
        <v>17322905.600000001</v>
      </c>
      <c r="CD21" s="492">
        <v>65395545.600000001</v>
      </c>
      <c r="CE21" s="493">
        <f t="shared" si="2"/>
        <v>65395545.600000001</v>
      </c>
      <c r="CF21" s="493">
        <f t="shared" si="2"/>
        <v>0</v>
      </c>
      <c r="CG21" s="493">
        <f t="shared" si="2"/>
        <v>0</v>
      </c>
      <c r="CH21" s="493">
        <f t="shared" si="2"/>
        <v>0</v>
      </c>
      <c r="CI21" s="493">
        <f t="shared" si="2"/>
        <v>0</v>
      </c>
      <c r="CJ21" s="493">
        <f t="shared" si="2"/>
        <v>0</v>
      </c>
      <c r="CK21" s="493">
        <f t="shared" si="2"/>
        <v>0</v>
      </c>
      <c r="CL21" s="493">
        <f t="shared" si="2"/>
        <v>0</v>
      </c>
      <c r="CM21" s="493">
        <f t="shared" si="3"/>
        <v>0</v>
      </c>
      <c r="CN21" s="493">
        <f t="shared" si="3"/>
        <v>0</v>
      </c>
      <c r="CO21" s="493">
        <f t="shared" si="3"/>
        <v>0</v>
      </c>
      <c r="CP21" s="494">
        <v>4</v>
      </c>
      <c r="CQ21" s="494" t="s">
        <v>6219</v>
      </c>
    </row>
    <row r="22" spans="1:95" ht="30.45" hidden="1" customHeight="1" thickBot="1">
      <c r="A22" s="555" t="s">
        <v>4031</v>
      </c>
      <c r="B22" s="479">
        <v>20</v>
      </c>
      <c r="C22" s="480" t="s">
        <v>4004</v>
      </c>
      <c r="D22" s="480" t="s">
        <v>4045</v>
      </c>
      <c r="E22" s="480" t="str">
        <f t="shared" si="1"/>
        <v xml:space="preserve">1.3.1 </v>
      </c>
      <c r="F22" s="480" t="s">
        <v>4046</v>
      </c>
      <c r="G22" s="480" t="s">
        <v>4047</v>
      </c>
      <c r="H22" s="481">
        <v>22</v>
      </c>
      <c r="I22" s="480" t="s">
        <v>4048</v>
      </c>
      <c r="J22" s="495">
        <v>220103000</v>
      </c>
      <c r="K22" s="480" t="s">
        <v>4054</v>
      </c>
      <c r="L22" s="480" t="s">
        <v>6412</v>
      </c>
      <c r="M22" s="480" t="s">
        <v>6413</v>
      </c>
      <c r="N22" s="484">
        <v>31594</v>
      </c>
      <c r="O22" s="480" t="s">
        <v>6414</v>
      </c>
      <c r="P22" s="485">
        <v>31594</v>
      </c>
      <c r="Q22" s="485">
        <v>40020002</v>
      </c>
      <c r="R22" s="485" t="s">
        <v>5333</v>
      </c>
      <c r="S22" s="485" t="s">
        <v>677</v>
      </c>
      <c r="T22" s="485" t="s">
        <v>5334</v>
      </c>
      <c r="U22" s="485" t="s">
        <v>5335</v>
      </c>
      <c r="V22" s="485" t="s">
        <v>5336</v>
      </c>
      <c r="W22" s="485" t="s">
        <v>5331</v>
      </c>
      <c r="X22" s="485">
        <v>4</v>
      </c>
      <c r="Y22" s="485" t="s">
        <v>5337</v>
      </c>
      <c r="Z22" s="486">
        <v>17325000</v>
      </c>
      <c r="AA22" s="486">
        <v>0</v>
      </c>
      <c r="AB22" s="486">
        <v>0</v>
      </c>
      <c r="AC22" s="486">
        <v>0</v>
      </c>
      <c r="AD22" s="486">
        <v>0</v>
      </c>
      <c r="AE22" s="486">
        <v>0</v>
      </c>
      <c r="AF22" s="486">
        <v>0</v>
      </c>
      <c r="AG22" s="486">
        <v>0</v>
      </c>
      <c r="AH22" s="487">
        <v>17325000</v>
      </c>
      <c r="AI22" s="486">
        <v>0</v>
      </c>
      <c r="AJ22" s="486">
        <v>0</v>
      </c>
      <c r="AK22" s="486">
        <v>0</v>
      </c>
      <c r="AL22" s="488">
        <v>0</v>
      </c>
      <c r="AM22" s="489">
        <v>17325000</v>
      </c>
      <c r="AN22" s="486">
        <v>18018000</v>
      </c>
      <c r="AO22" s="486">
        <v>0</v>
      </c>
      <c r="AP22" s="486">
        <v>0</v>
      </c>
      <c r="AQ22" s="486">
        <v>0</v>
      </c>
      <c r="AR22" s="486">
        <v>0</v>
      </c>
      <c r="AS22" s="486">
        <v>0</v>
      </c>
      <c r="AT22" s="486">
        <v>0</v>
      </c>
      <c r="AU22" s="486">
        <v>0</v>
      </c>
      <c r="AV22" s="487">
        <v>18018000</v>
      </c>
      <c r="AW22" s="486">
        <v>0</v>
      </c>
      <c r="AX22" s="486">
        <v>0</v>
      </c>
      <c r="AY22" s="486">
        <v>0</v>
      </c>
      <c r="AZ22" s="488">
        <v>0</v>
      </c>
      <c r="BA22" s="490">
        <v>18018000</v>
      </c>
      <c r="BB22" s="486">
        <v>18738720</v>
      </c>
      <c r="BC22" s="486">
        <v>0</v>
      </c>
      <c r="BD22" s="486">
        <v>0</v>
      </c>
      <c r="BE22" s="486">
        <v>0</v>
      </c>
      <c r="BF22" s="486">
        <v>0</v>
      </c>
      <c r="BG22" s="486">
        <v>0</v>
      </c>
      <c r="BH22" s="486">
        <v>0</v>
      </c>
      <c r="BI22" s="486">
        <v>0</v>
      </c>
      <c r="BJ22" s="487">
        <v>18738720</v>
      </c>
      <c r="BK22" s="486">
        <v>0</v>
      </c>
      <c r="BL22" s="486">
        <v>0</v>
      </c>
      <c r="BM22" s="486">
        <v>0</v>
      </c>
      <c r="BN22" s="488">
        <v>0</v>
      </c>
      <c r="BO22" s="490">
        <v>18738720</v>
      </c>
      <c r="BP22" s="486">
        <v>19488268.800000001</v>
      </c>
      <c r="BQ22" s="486">
        <v>0</v>
      </c>
      <c r="BR22" s="486">
        <v>0</v>
      </c>
      <c r="BS22" s="486">
        <v>0</v>
      </c>
      <c r="BT22" s="486">
        <v>0</v>
      </c>
      <c r="BU22" s="486">
        <v>0</v>
      </c>
      <c r="BV22" s="486">
        <v>0</v>
      </c>
      <c r="BW22" s="486">
        <v>0</v>
      </c>
      <c r="BX22" s="487">
        <v>19488268.800000001</v>
      </c>
      <c r="BY22" s="486">
        <v>0</v>
      </c>
      <c r="BZ22" s="486">
        <v>0</v>
      </c>
      <c r="CA22" s="486">
        <v>0</v>
      </c>
      <c r="CB22" s="488">
        <v>0</v>
      </c>
      <c r="CC22" s="491">
        <v>19488268.800000001</v>
      </c>
      <c r="CD22" s="492">
        <v>73569988.799999997</v>
      </c>
      <c r="CE22" s="493">
        <f t="shared" si="2"/>
        <v>73569988.799999997</v>
      </c>
      <c r="CF22" s="493">
        <f t="shared" si="2"/>
        <v>0</v>
      </c>
      <c r="CG22" s="493">
        <f t="shared" si="2"/>
        <v>0</v>
      </c>
      <c r="CH22" s="493">
        <f t="shared" si="2"/>
        <v>0</v>
      </c>
      <c r="CI22" s="493">
        <f t="shared" si="2"/>
        <v>0</v>
      </c>
      <c r="CJ22" s="493">
        <f t="shared" si="2"/>
        <v>0</v>
      </c>
      <c r="CK22" s="493">
        <f t="shared" si="2"/>
        <v>0</v>
      </c>
      <c r="CL22" s="493">
        <f t="shared" si="2"/>
        <v>0</v>
      </c>
      <c r="CM22" s="493">
        <f t="shared" si="3"/>
        <v>0</v>
      </c>
      <c r="CN22" s="493">
        <f t="shared" si="3"/>
        <v>0</v>
      </c>
      <c r="CO22" s="493">
        <f t="shared" si="3"/>
        <v>0</v>
      </c>
      <c r="CP22" s="494">
        <v>4</v>
      </c>
      <c r="CQ22" s="497" t="s">
        <v>732</v>
      </c>
    </row>
    <row r="23" spans="1:95" ht="30.45" hidden="1" customHeight="1" thickBot="1">
      <c r="A23" s="555" t="s">
        <v>4031</v>
      </c>
      <c r="B23" s="479">
        <v>21</v>
      </c>
      <c r="C23" s="480" t="s">
        <v>4004</v>
      </c>
      <c r="D23" s="480" t="s">
        <v>4045</v>
      </c>
      <c r="E23" s="480" t="str">
        <f t="shared" si="1"/>
        <v xml:space="preserve">1.3.1 </v>
      </c>
      <c r="F23" s="480" t="s">
        <v>4046</v>
      </c>
      <c r="G23" s="480" t="s">
        <v>4047</v>
      </c>
      <c r="H23" s="481">
        <v>22</v>
      </c>
      <c r="I23" s="480" t="s">
        <v>4048</v>
      </c>
      <c r="J23" s="495">
        <v>220103400</v>
      </c>
      <c r="K23" s="480" t="s">
        <v>4013</v>
      </c>
      <c r="L23" s="480" t="s">
        <v>4030</v>
      </c>
      <c r="M23" s="480" t="s">
        <v>5677</v>
      </c>
      <c r="N23" s="484">
        <v>5990</v>
      </c>
      <c r="O23" s="480" t="s">
        <v>6415</v>
      </c>
      <c r="P23" s="485">
        <v>10000</v>
      </c>
      <c r="Q23" s="485">
        <v>40020002</v>
      </c>
      <c r="R23" s="485" t="s">
        <v>5333</v>
      </c>
      <c r="S23" s="485" t="s">
        <v>677</v>
      </c>
      <c r="T23" s="485" t="s">
        <v>5334</v>
      </c>
      <c r="U23" s="485" t="s">
        <v>5335</v>
      </c>
      <c r="V23" s="485" t="s">
        <v>5336</v>
      </c>
      <c r="W23" s="485" t="s">
        <v>5331</v>
      </c>
      <c r="X23" s="485">
        <v>4</v>
      </c>
      <c r="Y23" s="485" t="s">
        <v>5337</v>
      </c>
      <c r="Z23" s="486">
        <v>10000000</v>
      </c>
      <c r="AA23" s="486">
        <v>0</v>
      </c>
      <c r="AB23" s="486">
        <v>0</v>
      </c>
      <c r="AC23" s="486">
        <v>0</v>
      </c>
      <c r="AD23" s="486">
        <v>0</v>
      </c>
      <c r="AE23" s="486">
        <v>0</v>
      </c>
      <c r="AF23" s="486">
        <v>0</v>
      </c>
      <c r="AG23" s="486">
        <v>0</v>
      </c>
      <c r="AH23" s="487">
        <v>10000000</v>
      </c>
      <c r="AI23" s="486">
        <v>0</v>
      </c>
      <c r="AJ23" s="486">
        <v>0</v>
      </c>
      <c r="AK23" s="486">
        <v>0</v>
      </c>
      <c r="AL23" s="488">
        <v>0</v>
      </c>
      <c r="AM23" s="489">
        <v>10000000</v>
      </c>
      <c r="AN23" s="486">
        <v>10400000</v>
      </c>
      <c r="AO23" s="486">
        <v>0</v>
      </c>
      <c r="AP23" s="486">
        <v>0</v>
      </c>
      <c r="AQ23" s="486">
        <v>0</v>
      </c>
      <c r="AR23" s="486">
        <v>0</v>
      </c>
      <c r="AS23" s="486">
        <v>0</v>
      </c>
      <c r="AT23" s="486">
        <v>0</v>
      </c>
      <c r="AU23" s="486">
        <v>0</v>
      </c>
      <c r="AV23" s="487">
        <v>10400000</v>
      </c>
      <c r="AW23" s="486">
        <v>0</v>
      </c>
      <c r="AX23" s="486">
        <v>0</v>
      </c>
      <c r="AY23" s="486">
        <v>0</v>
      </c>
      <c r="AZ23" s="488">
        <v>0</v>
      </c>
      <c r="BA23" s="490">
        <v>10400000</v>
      </c>
      <c r="BB23" s="486">
        <v>10816000</v>
      </c>
      <c r="BC23" s="486">
        <v>0</v>
      </c>
      <c r="BD23" s="486">
        <v>0</v>
      </c>
      <c r="BE23" s="486">
        <v>0</v>
      </c>
      <c r="BF23" s="486">
        <v>0</v>
      </c>
      <c r="BG23" s="486">
        <v>0</v>
      </c>
      <c r="BH23" s="486">
        <v>0</v>
      </c>
      <c r="BI23" s="486">
        <v>0</v>
      </c>
      <c r="BJ23" s="487">
        <v>10816000</v>
      </c>
      <c r="BK23" s="486">
        <v>0</v>
      </c>
      <c r="BL23" s="486">
        <v>0</v>
      </c>
      <c r="BM23" s="486">
        <v>0</v>
      </c>
      <c r="BN23" s="488">
        <v>0</v>
      </c>
      <c r="BO23" s="490">
        <v>10816000</v>
      </c>
      <c r="BP23" s="486">
        <v>11248640</v>
      </c>
      <c r="BQ23" s="486">
        <v>0</v>
      </c>
      <c r="BR23" s="486">
        <v>0</v>
      </c>
      <c r="BS23" s="486">
        <v>0</v>
      </c>
      <c r="BT23" s="486">
        <v>0</v>
      </c>
      <c r="BU23" s="486">
        <v>0</v>
      </c>
      <c r="BV23" s="486">
        <v>0</v>
      </c>
      <c r="BW23" s="486">
        <v>0</v>
      </c>
      <c r="BX23" s="487">
        <v>11248640</v>
      </c>
      <c r="BY23" s="486">
        <v>0</v>
      </c>
      <c r="BZ23" s="486">
        <v>0</v>
      </c>
      <c r="CA23" s="486">
        <v>0</v>
      </c>
      <c r="CB23" s="488">
        <v>0</v>
      </c>
      <c r="CC23" s="491">
        <v>11248640</v>
      </c>
      <c r="CD23" s="492">
        <v>42464640</v>
      </c>
      <c r="CE23" s="493">
        <f t="shared" si="2"/>
        <v>42464640</v>
      </c>
      <c r="CF23" s="493">
        <f t="shared" si="2"/>
        <v>0</v>
      </c>
      <c r="CG23" s="493">
        <f t="shared" si="2"/>
        <v>0</v>
      </c>
      <c r="CH23" s="493">
        <f t="shared" si="2"/>
        <v>0</v>
      </c>
      <c r="CI23" s="493">
        <f t="shared" si="2"/>
        <v>0</v>
      </c>
      <c r="CJ23" s="493">
        <f t="shared" si="2"/>
        <v>0</v>
      </c>
      <c r="CK23" s="493">
        <f t="shared" si="2"/>
        <v>0</v>
      </c>
      <c r="CL23" s="493">
        <f t="shared" si="2"/>
        <v>0</v>
      </c>
      <c r="CM23" s="493">
        <f t="shared" si="3"/>
        <v>0</v>
      </c>
      <c r="CN23" s="493">
        <f t="shared" si="3"/>
        <v>0</v>
      </c>
      <c r="CO23" s="493">
        <f t="shared" si="3"/>
        <v>0</v>
      </c>
      <c r="CP23" s="494">
        <v>4</v>
      </c>
      <c r="CQ23" s="494" t="s">
        <v>5433</v>
      </c>
    </row>
    <row r="24" spans="1:95" ht="30.45" hidden="1" customHeight="1" thickBot="1">
      <c r="A24" s="555" t="s">
        <v>4031</v>
      </c>
      <c r="B24" s="479">
        <v>22</v>
      </c>
      <c r="C24" s="480" t="s">
        <v>4004</v>
      </c>
      <c r="D24" s="480" t="s">
        <v>4045</v>
      </c>
      <c r="E24" s="480" t="str">
        <f t="shared" si="1"/>
        <v xml:space="preserve">1.3.1 </v>
      </c>
      <c r="F24" s="480" t="s">
        <v>4046</v>
      </c>
      <c r="G24" s="480" t="s">
        <v>4047</v>
      </c>
      <c r="H24" s="481">
        <v>22</v>
      </c>
      <c r="I24" s="480" t="s">
        <v>4048</v>
      </c>
      <c r="J24" s="495">
        <v>220104300</v>
      </c>
      <c r="K24" s="480" t="s">
        <v>4055</v>
      </c>
      <c r="L24" s="480" t="s">
        <v>4056</v>
      </c>
      <c r="M24" s="480" t="s">
        <v>5678</v>
      </c>
      <c r="N24" s="484">
        <v>41328</v>
      </c>
      <c r="O24" s="480" t="s">
        <v>6416</v>
      </c>
      <c r="P24" s="485">
        <v>41328</v>
      </c>
      <c r="Q24" s="485">
        <v>40020002</v>
      </c>
      <c r="R24" s="485" t="s">
        <v>5333</v>
      </c>
      <c r="S24" s="485" t="s">
        <v>677</v>
      </c>
      <c r="T24" s="485" t="s">
        <v>5334</v>
      </c>
      <c r="U24" s="485" t="s">
        <v>5335</v>
      </c>
      <c r="V24" s="485" t="s">
        <v>5336</v>
      </c>
      <c r="W24" s="485" t="s">
        <v>5331</v>
      </c>
      <c r="X24" s="485">
        <v>4</v>
      </c>
      <c r="Y24" s="485" t="s">
        <v>5337</v>
      </c>
      <c r="Z24" s="486"/>
      <c r="AA24" s="486">
        <v>0</v>
      </c>
      <c r="AB24" s="486">
        <v>2953492132</v>
      </c>
      <c r="AC24" s="486">
        <v>0</v>
      </c>
      <c r="AD24" s="486">
        <v>0</v>
      </c>
      <c r="AE24" s="486">
        <v>0</v>
      </c>
      <c r="AF24" s="486">
        <v>0</v>
      </c>
      <c r="AG24" s="486">
        <v>0</v>
      </c>
      <c r="AH24" s="487">
        <v>2953492132</v>
      </c>
      <c r="AI24" s="486">
        <v>0</v>
      </c>
      <c r="AJ24" s="486">
        <v>0</v>
      </c>
      <c r="AK24" s="486">
        <v>0</v>
      </c>
      <c r="AL24" s="488">
        <v>0</v>
      </c>
      <c r="AM24" s="489">
        <v>2953492132</v>
      </c>
      <c r="AN24" s="486">
        <v>0</v>
      </c>
      <c r="AO24" s="486">
        <v>0</v>
      </c>
      <c r="AP24" s="486">
        <v>3071631817.2800002</v>
      </c>
      <c r="AQ24" s="486">
        <v>0</v>
      </c>
      <c r="AR24" s="486">
        <v>0</v>
      </c>
      <c r="AS24" s="486">
        <v>0</v>
      </c>
      <c r="AT24" s="486">
        <v>0</v>
      </c>
      <c r="AU24" s="486">
        <v>0</v>
      </c>
      <c r="AV24" s="487">
        <v>3071631817.2800002</v>
      </c>
      <c r="AW24" s="486">
        <v>0</v>
      </c>
      <c r="AX24" s="486">
        <v>0</v>
      </c>
      <c r="AY24" s="486">
        <v>0</v>
      </c>
      <c r="AZ24" s="488">
        <v>0</v>
      </c>
      <c r="BA24" s="490">
        <v>3071631817.2800002</v>
      </c>
      <c r="BB24" s="486">
        <v>0</v>
      </c>
      <c r="BC24" s="486">
        <v>0</v>
      </c>
      <c r="BD24" s="486">
        <v>3194497089.9712005</v>
      </c>
      <c r="BE24" s="486">
        <v>0</v>
      </c>
      <c r="BF24" s="486">
        <v>0</v>
      </c>
      <c r="BG24" s="486">
        <v>0</v>
      </c>
      <c r="BH24" s="486">
        <v>0</v>
      </c>
      <c r="BI24" s="486">
        <v>0</v>
      </c>
      <c r="BJ24" s="487">
        <v>3194497089.9712005</v>
      </c>
      <c r="BK24" s="486">
        <v>0</v>
      </c>
      <c r="BL24" s="486">
        <v>0</v>
      </c>
      <c r="BM24" s="486">
        <v>0</v>
      </c>
      <c r="BN24" s="488">
        <v>0</v>
      </c>
      <c r="BO24" s="490">
        <v>3194497089.9712005</v>
      </c>
      <c r="BP24" s="486">
        <v>0</v>
      </c>
      <c r="BQ24" s="486">
        <v>0</v>
      </c>
      <c r="BR24" s="486">
        <v>3322276973.5700488</v>
      </c>
      <c r="BS24" s="486">
        <v>0</v>
      </c>
      <c r="BT24" s="486">
        <v>0</v>
      </c>
      <c r="BU24" s="486">
        <v>0</v>
      </c>
      <c r="BV24" s="486">
        <v>0</v>
      </c>
      <c r="BW24" s="486">
        <v>0</v>
      </c>
      <c r="BX24" s="487">
        <v>3322276973.5700488</v>
      </c>
      <c r="BY24" s="486">
        <v>0</v>
      </c>
      <c r="BZ24" s="486">
        <v>0</v>
      </c>
      <c r="CA24" s="486">
        <v>0</v>
      </c>
      <c r="CB24" s="488">
        <v>0</v>
      </c>
      <c r="CC24" s="491">
        <v>3322276973.5700488</v>
      </c>
      <c r="CD24" s="492">
        <v>12541898012.821249</v>
      </c>
      <c r="CE24" s="493">
        <f t="shared" si="2"/>
        <v>0</v>
      </c>
      <c r="CF24" s="493">
        <f t="shared" si="2"/>
        <v>0</v>
      </c>
      <c r="CG24" s="493">
        <f t="shared" si="2"/>
        <v>12541898012.821251</v>
      </c>
      <c r="CH24" s="493">
        <f t="shared" si="2"/>
        <v>0</v>
      </c>
      <c r="CI24" s="493">
        <f t="shared" si="2"/>
        <v>0</v>
      </c>
      <c r="CJ24" s="493">
        <f t="shared" si="2"/>
        <v>0</v>
      </c>
      <c r="CK24" s="493">
        <f t="shared" si="2"/>
        <v>0</v>
      </c>
      <c r="CL24" s="493">
        <f t="shared" si="2"/>
        <v>0</v>
      </c>
      <c r="CM24" s="493">
        <f t="shared" si="3"/>
        <v>0</v>
      </c>
      <c r="CN24" s="493">
        <f t="shared" si="3"/>
        <v>0</v>
      </c>
      <c r="CO24" s="493">
        <f t="shared" si="3"/>
        <v>0</v>
      </c>
      <c r="CP24" s="494">
        <v>4</v>
      </c>
      <c r="CQ24" s="494" t="s">
        <v>5433</v>
      </c>
    </row>
    <row r="25" spans="1:95" ht="30.45" hidden="1" customHeight="1" thickBot="1">
      <c r="A25" s="555" t="s">
        <v>4031</v>
      </c>
      <c r="B25" s="479">
        <v>23</v>
      </c>
      <c r="C25" s="480" t="s">
        <v>4004</v>
      </c>
      <c r="D25" s="480" t="s">
        <v>4045</v>
      </c>
      <c r="E25" s="480" t="str">
        <f t="shared" si="1"/>
        <v xml:space="preserve">1.3.1 </v>
      </c>
      <c r="F25" s="480" t="s">
        <v>4046</v>
      </c>
      <c r="G25" s="480" t="s">
        <v>4047</v>
      </c>
      <c r="H25" s="481">
        <v>22</v>
      </c>
      <c r="I25" s="480" t="s">
        <v>4048</v>
      </c>
      <c r="J25" s="495">
        <v>220106100</v>
      </c>
      <c r="K25" s="480" t="s">
        <v>4057</v>
      </c>
      <c r="L25" s="480" t="s">
        <v>6417</v>
      </c>
      <c r="M25" s="480" t="s">
        <v>6418</v>
      </c>
      <c r="N25" s="484">
        <v>69</v>
      </c>
      <c r="O25" s="480" t="s">
        <v>6416</v>
      </c>
      <c r="P25" s="485">
        <v>150</v>
      </c>
      <c r="Q25" s="485">
        <v>40020002</v>
      </c>
      <c r="R25" s="485" t="s">
        <v>5333</v>
      </c>
      <c r="S25" s="485" t="s">
        <v>677</v>
      </c>
      <c r="T25" s="485" t="s">
        <v>5334</v>
      </c>
      <c r="U25" s="485" t="s">
        <v>5335</v>
      </c>
      <c r="V25" s="485" t="s">
        <v>5336</v>
      </c>
      <c r="W25" s="485" t="s">
        <v>5331</v>
      </c>
      <c r="X25" s="485">
        <v>4</v>
      </c>
      <c r="Y25" s="485" t="s">
        <v>5337</v>
      </c>
      <c r="Z25" s="486">
        <v>10000000</v>
      </c>
      <c r="AA25" s="486">
        <v>0</v>
      </c>
      <c r="AB25" s="486">
        <v>0</v>
      </c>
      <c r="AC25" s="486">
        <v>0</v>
      </c>
      <c r="AD25" s="486">
        <v>0</v>
      </c>
      <c r="AE25" s="486">
        <v>0</v>
      </c>
      <c r="AF25" s="486">
        <v>0</v>
      </c>
      <c r="AG25" s="486">
        <v>0</v>
      </c>
      <c r="AH25" s="487">
        <v>10000000</v>
      </c>
      <c r="AI25" s="486">
        <v>0</v>
      </c>
      <c r="AJ25" s="486">
        <v>0</v>
      </c>
      <c r="AK25" s="486">
        <v>0</v>
      </c>
      <c r="AL25" s="488">
        <v>0</v>
      </c>
      <c r="AM25" s="489">
        <v>10000000</v>
      </c>
      <c r="AN25" s="486">
        <v>10400000</v>
      </c>
      <c r="AO25" s="486">
        <v>0</v>
      </c>
      <c r="AP25" s="486">
        <v>0</v>
      </c>
      <c r="AQ25" s="486">
        <v>0</v>
      </c>
      <c r="AR25" s="486">
        <v>0</v>
      </c>
      <c r="AS25" s="486">
        <v>0</v>
      </c>
      <c r="AT25" s="486">
        <v>0</v>
      </c>
      <c r="AU25" s="486">
        <v>0</v>
      </c>
      <c r="AV25" s="487">
        <v>10400000</v>
      </c>
      <c r="AW25" s="486">
        <v>0</v>
      </c>
      <c r="AX25" s="486">
        <v>0</v>
      </c>
      <c r="AY25" s="486">
        <v>0</v>
      </c>
      <c r="AZ25" s="488">
        <v>0</v>
      </c>
      <c r="BA25" s="490">
        <v>10400000</v>
      </c>
      <c r="BB25" s="486">
        <v>10816000</v>
      </c>
      <c r="BC25" s="486">
        <v>0</v>
      </c>
      <c r="BD25" s="486">
        <v>0</v>
      </c>
      <c r="BE25" s="486">
        <v>0</v>
      </c>
      <c r="BF25" s="486">
        <v>0</v>
      </c>
      <c r="BG25" s="486">
        <v>0</v>
      </c>
      <c r="BH25" s="486">
        <v>0</v>
      </c>
      <c r="BI25" s="486">
        <v>0</v>
      </c>
      <c r="BJ25" s="487">
        <v>10816000</v>
      </c>
      <c r="BK25" s="486">
        <v>0</v>
      </c>
      <c r="BL25" s="486">
        <v>0</v>
      </c>
      <c r="BM25" s="486">
        <v>0</v>
      </c>
      <c r="BN25" s="488">
        <v>0</v>
      </c>
      <c r="BO25" s="490">
        <v>10816000</v>
      </c>
      <c r="BP25" s="486">
        <v>11248640</v>
      </c>
      <c r="BQ25" s="486">
        <v>0</v>
      </c>
      <c r="BR25" s="486">
        <v>0</v>
      </c>
      <c r="BS25" s="486">
        <v>0</v>
      </c>
      <c r="BT25" s="486">
        <v>0</v>
      </c>
      <c r="BU25" s="486">
        <v>0</v>
      </c>
      <c r="BV25" s="486">
        <v>0</v>
      </c>
      <c r="BW25" s="486">
        <v>0</v>
      </c>
      <c r="BX25" s="487">
        <v>11248640</v>
      </c>
      <c r="BY25" s="486">
        <v>0</v>
      </c>
      <c r="BZ25" s="486">
        <v>0</v>
      </c>
      <c r="CA25" s="486">
        <v>0</v>
      </c>
      <c r="CB25" s="488">
        <v>0</v>
      </c>
      <c r="CC25" s="491">
        <v>11248640</v>
      </c>
      <c r="CD25" s="492">
        <v>42464640</v>
      </c>
      <c r="CE25" s="493">
        <f t="shared" si="2"/>
        <v>42464640</v>
      </c>
      <c r="CF25" s="493">
        <f t="shared" si="2"/>
        <v>0</v>
      </c>
      <c r="CG25" s="493">
        <f t="shared" si="2"/>
        <v>0</v>
      </c>
      <c r="CH25" s="493">
        <f t="shared" si="2"/>
        <v>0</v>
      </c>
      <c r="CI25" s="493">
        <f t="shared" si="2"/>
        <v>0</v>
      </c>
      <c r="CJ25" s="493">
        <f t="shared" si="2"/>
        <v>0</v>
      </c>
      <c r="CK25" s="493">
        <f t="shared" si="2"/>
        <v>0</v>
      </c>
      <c r="CL25" s="493">
        <f t="shared" si="2"/>
        <v>0</v>
      </c>
      <c r="CM25" s="493">
        <f t="shared" si="3"/>
        <v>0</v>
      </c>
      <c r="CN25" s="493">
        <f t="shared" si="3"/>
        <v>0</v>
      </c>
      <c r="CO25" s="493">
        <f t="shared" si="3"/>
        <v>0</v>
      </c>
      <c r="CP25" s="494">
        <v>4</v>
      </c>
      <c r="CQ25" s="494" t="s">
        <v>5433</v>
      </c>
    </row>
    <row r="26" spans="1:95" ht="30.45" hidden="1" customHeight="1" thickBot="1">
      <c r="A26" s="555" t="s">
        <v>4031</v>
      </c>
      <c r="B26" s="479">
        <v>24</v>
      </c>
      <c r="C26" s="480" t="s">
        <v>4004</v>
      </c>
      <c r="D26" s="480" t="s">
        <v>4045</v>
      </c>
      <c r="E26" s="480" t="str">
        <f t="shared" si="1"/>
        <v xml:space="preserve">1.3.1 </v>
      </c>
      <c r="F26" s="480" t="s">
        <v>4046</v>
      </c>
      <c r="G26" s="480" t="s">
        <v>4047</v>
      </c>
      <c r="H26" s="481">
        <v>22</v>
      </c>
      <c r="I26" s="480" t="s">
        <v>4048</v>
      </c>
      <c r="J26" s="495">
        <v>220107600</v>
      </c>
      <c r="K26" s="480" t="s">
        <v>4058</v>
      </c>
      <c r="L26" s="480" t="s">
        <v>4059</v>
      </c>
      <c r="M26" s="480" t="s">
        <v>5679</v>
      </c>
      <c r="N26" s="484">
        <v>55</v>
      </c>
      <c r="O26" s="480" t="s">
        <v>6419</v>
      </c>
      <c r="P26" s="500" t="s">
        <v>4060</v>
      </c>
      <c r="Q26" s="485">
        <v>40020002</v>
      </c>
      <c r="R26" s="485" t="s">
        <v>5333</v>
      </c>
      <c r="S26" s="485" t="s">
        <v>677</v>
      </c>
      <c r="T26" s="485" t="s">
        <v>5334</v>
      </c>
      <c r="U26" s="485" t="s">
        <v>5335</v>
      </c>
      <c r="V26" s="485" t="s">
        <v>5336</v>
      </c>
      <c r="W26" s="485" t="s">
        <v>5331</v>
      </c>
      <c r="X26" s="485">
        <v>4</v>
      </c>
      <c r="Y26" s="485" t="s">
        <v>5337</v>
      </c>
      <c r="Z26" s="486">
        <v>1925000</v>
      </c>
      <c r="AA26" s="486">
        <v>0</v>
      </c>
      <c r="AB26" s="486">
        <v>0</v>
      </c>
      <c r="AC26" s="486">
        <v>0</v>
      </c>
      <c r="AD26" s="486">
        <v>0</v>
      </c>
      <c r="AE26" s="486">
        <v>0</v>
      </c>
      <c r="AF26" s="486">
        <v>0</v>
      </c>
      <c r="AG26" s="486">
        <v>0</v>
      </c>
      <c r="AH26" s="487">
        <v>1925000</v>
      </c>
      <c r="AI26" s="486">
        <v>0</v>
      </c>
      <c r="AJ26" s="486">
        <v>0</v>
      </c>
      <c r="AK26" s="486">
        <v>0</v>
      </c>
      <c r="AL26" s="488">
        <v>0</v>
      </c>
      <c r="AM26" s="489">
        <v>1925000</v>
      </c>
      <c r="AN26" s="486">
        <v>2002000</v>
      </c>
      <c r="AO26" s="486">
        <v>0</v>
      </c>
      <c r="AP26" s="486">
        <v>0</v>
      </c>
      <c r="AQ26" s="486">
        <v>0</v>
      </c>
      <c r="AR26" s="486">
        <v>0</v>
      </c>
      <c r="AS26" s="486">
        <v>0</v>
      </c>
      <c r="AT26" s="486">
        <v>0</v>
      </c>
      <c r="AU26" s="486">
        <v>0</v>
      </c>
      <c r="AV26" s="487">
        <v>2002000</v>
      </c>
      <c r="AW26" s="486">
        <v>0</v>
      </c>
      <c r="AX26" s="486">
        <v>0</v>
      </c>
      <c r="AY26" s="486">
        <v>0</v>
      </c>
      <c r="AZ26" s="488">
        <v>0</v>
      </c>
      <c r="BA26" s="490">
        <v>2002000</v>
      </c>
      <c r="BB26" s="486">
        <v>2082080</v>
      </c>
      <c r="BC26" s="486">
        <v>0</v>
      </c>
      <c r="BD26" s="486">
        <v>0</v>
      </c>
      <c r="BE26" s="486">
        <v>0</v>
      </c>
      <c r="BF26" s="486">
        <v>0</v>
      </c>
      <c r="BG26" s="486">
        <v>0</v>
      </c>
      <c r="BH26" s="486">
        <v>0</v>
      </c>
      <c r="BI26" s="486">
        <v>0</v>
      </c>
      <c r="BJ26" s="487">
        <v>2082080</v>
      </c>
      <c r="BK26" s="486">
        <v>0</v>
      </c>
      <c r="BL26" s="486">
        <v>0</v>
      </c>
      <c r="BM26" s="486">
        <v>0</v>
      </c>
      <c r="BN26" s="488">
        <v>0</v>
      </c>
      <c r="BO26" s="490">
        <v>2082080</v>
      </c>
      <c r="BP26" s="486">
        <v>2165363.2000000002</v>
      </c>
      <c r="BQ26" s="486">
        <v>0</v>
      </c>
      <c r="BR26" s="486">
        <v>0</v>
      </c>
      <c r="BS26" s="486">
        <v>0</v>
      </c>
      <c r="BT26" s="486">
        <v>0</v>
      </c>
      <c r="BU26" s="486">
        <v>0</v>
      </c>
      <c r="BV26" s="486">
        <v>0</v>
      </c>
      <c r="BW26" s="486">
        <v>0</v>
      </c>
      <c r="BX26" s="487">
        <v>2165363.2000000002</v>
      </c>
      <c r="BY26" s="486">
        <v>0</v>
      </c>
      <c r="BZ26" s="486">
        <v>0</v>
      </c>
      <c r="CA26" s="486">
        <v>0</v>
      </c>
      <c r="CB26" s="488">
        <v>0</v>
      </c>
      <c r="CC26" s="491">
        <v>2165363.2000000002</v>
      </c>
      <c r="CD26" s="492">
        <v>8174443.2000000002</v>
      </c>
      <c r="CE26" s="493">
        <f t="shared" si="2"/>
        <v>8174443.2000000002</v>
      </c>
      <c r="CF26" s="493">
        <f t="shared" si="2"/>
        <v>0</v>
      </c>
      <c r="CG26" s="493">
        <f t="shared" si="2"/>
        <v>0</v>
      </c>
      <c r="CH26" s="493">
        <f t="shared" si="2"/>
        <v>0</v>
      </c>
      <c r="CI26" s="493">
        <f t="shared" si="2"/>
        <v>0</v>
      </c>
      <c r="CJ26" s="493">
        <f t="shared" si="2"/>
        <v>0</v>
      </c>
      <c r="CK26" s="493">
        <f t="shared" si="2"/>
        <v>0</v>
      </c>
      <c r="CL26" s="493">
        <f t="shared" si="2"/>
        <v>0</v>
      </c>
      <c r="CM26" s="493">
        <f t="shared" si="3"/>
        <v>0</v>
      </c>
      <c r="CN26" s="493">
        <f t="shared" si="3"/>
        <v>0</v>
      </c>
      <c r="CO26" s="493">
        <f t="shared" si="3"/>
        <v>0</v>
      </c>
      <c r="CP26" s="494">
        <v>4</v>
      </c>
      <c r="CQ26" s="494" t="s">
        <v>6216</v>
      </c>
    </row>
    <row r="27" spans="1:95" ht="30.45" hidden="1" customHeight="1" thickBot="1">
      <c r="A27" s="555" t="s">
        <v>4031</v>
      </c>
      <c r="B27" s="479">
        <v>25</v>
      </c>
      <c r="C27" s="480" t="s">
        <v>4004</v>
      </c>
      <c r="D27" s="480" t="s">
        <v>4045</v>
      </c>
      <c r="E27" s="480" t="str">
        <f t="shared" si="1"/>
        <v xml:space="preserve">1.3.2 </v>
      </c>
      <c r="F27" s="480" t="s">
        <v>4061</v>
      </c>
      <c r="G27" s="480" t="s">
        <v>4062</v>
      </c>
      <c r="H27" s="481">
        <v>22</v>
      </c>
      <c r="I27" s="480" t="s">
        <v>4048</v>
      </c>
      <c r="J27" s="495">
        <v>220101200</v>
      </c>
      <c r="K27" s="480" t="s">
        <v>4063</v>
      </c>
      <c r="L27" s="480" t="s">
        <v>4064</v>
      </c>
      <c r="M27" s="480" t="s">
        <v>5680</v>
      </c>
      <c r="N27" s="499">
        <v>0</v>
      </c>
      <c r="O27" s="480" t="s">
        <v>6420</v>
      </c>
      <c r="P27" s="500">
        <v>3</v>
      </c>
      <c r="Q27" s="485">
        <v>40010006</v>
      </c>
      <c r="R27" s="485" t="s">
        <v>5338</v>
      </c>
      <c r="S27" s="485" t="s">
        <v>677</v>
      </c>
      <c r="T27" s="485">
        <v>0.91</v>
      </c>
      <c r="U27" s="485" t="s">
        <v>5335</v>
      </c>
      <c r="V27" s="485">
        <v>0.91</v>
      </c>
      <c r="W27" s="485" t="s">
        <v>5331</v>
      </c>
      <c r="X27" s="485">
        <v>4</v>
      </c>
      <c r="Y27" s="485" t="s">
        <v>5339</v>
      </c>
      <c r="Z27" s="486">
        <v>1000000</v>
      </c>
      <c r="AA27" s="486">
        <v>0</v>
      </c>
      <c r="AB27" s="486">
        <v>0</v>
      </c>
      <c r="AC27" s="486">
        <v>0</v>
      </c>
      <c r="AD27" s="486">
        <v>0</v>
      </c>
      <c r="AE27" s="486">
        <v>0</v>
      </c>
      <c r="AF27" s="486">
        <v>0</v>
      </c>
      <c r="AG27" s="486">
        <v>0</v>
      </c>
      <c r="AH27" s="487">
        <v>1000000</v>
      </c>
      <c r="AI27" s="486">
        <v>0</v>
      </c>
      <c r="AJ27" s="486">
        <v>0</v>
      </c>
      <c r="AK27" s="486">
        <v>0</v>
      </c>
      <c r="AL27" s="488">
        <v>0</v>
      </c>
      <c r="AM27" s="489">
        <v>1000000</v>
      </c>
      <c r="AN27" s="486">
        <v>1040000</v>
      </c>
      <c r="AO27" s="486">
        <v>0</v>
      </c>
      <c r="AP27" s="486">
        <v>0</v>
      </c>
      <c r="AQ27" s="486">
        <v>0</v>
      </c>
      <c r="AR27" s="486">
        <v>0</v>
      </c>
      <c r="AS27" s="486">
        <v>0</v>
      </c>
      <c r="AT27" s="486">
        <v>0</v>
      </c>
      <c r="AU27" s="486">
        <v>0</v>
      </c>
      <c r="AV27" s="487">
        <v>1040000</v>
      </c>
      <c r="AW27" s="486">
        <v>0</v>
      </c>
      <c r="AX27" s="486">
        <v>0</v>
      </c>
      <c r="AY27" s="486">
        <v>0</v>
      </c>
      <c r="AZ27" s="488">
        <v>0</v>
      </c>
      <c r="BA27" s="490">
        <v>1040000</v>
      </c>
      <c r="BB27" s="486">
        <v>1081600</v>
      </c>
      <c r="BC27" s="486">
        <v>0</v>
      </c>
      <c r="BD27" s="486">
        <v>0</v>
      </c>
      <c r="BE27" s="486">
        <v>0</v>
      </c>
      <c r="BF27" s="486">
        <v>0</v>
      </c>
      <c r="BG27" s="486">
        <v>0</v>
      </c>
      <c r="BH27" s="486">
        <v>0</v>
      </c>
      <c r="BI27" s="486">
        <v>0</v>
      </c>
      <c r="BJ27" s="487">
        <v>1081600</v>
      </c>
      <c r="BK27" s="486">
        <v>0</v>
      </c>
      <c r="BL27" s="486">
        <v>0</v>
      </c>
      <c r="BM27" s="486">
        <v>0</v>
      </c>
      <c r="BN27" s="488">
        <v>0</v>
      </c>
      <c r="BO27" s="490">
        <v>1081600</v>
      </c>
      <c r="BP27" s="486">
        <v>1124864</v>
      </c>
      <c r="BQ27" s="486">
        <v>0</v>
      </c>
      <c r="BR27" s="486">
        <v>0</v>
      </c>
      <c r="BS27" s="486">
        <v>0</v>
      </c>
      <c r="BT27" s="486">
        <v>0</v>
      </c>
      <c r="BU27" s="486">
        <v>0</v>
      </c>
      <c r="BV27" s="486">
        <v>0</v>
      </c>
      <c r="BW27" s="486">
        <v>0</v>
      </c>
      <c r="BX27" s="487">
        <v>1124864</v>
      </c>
      <c r="BY27" s="486">
        <v>0</v>
      </c>
      <c r="BZ27" s="486">
        <v>0</v>
      </c>
      <c r="CA27" s="486">
        <v>0</v>
      </c>
      <c r="CB27" s="488">
        <v>0</v>
      </c>
      <c r="CC27" s="491">
        <v>1124864</v>
      </c>
      <c r="CD27" s="492">
        <v>4246464</v>
      </c>
      <c r="CE27" s="493">
        <f t="shared" si="2"/>
        <v>4246464</v>
      </c>
      <c r="CF27" s="493">
        <f t="shared" si="2"/>
        <v>0</v>
      </c>
      <c r="CG27" s="493">
        <f t="shared" si="2"/>
        <v>0</v>
      </c>
      <c r="CH27" s="493">
        <f t="shared" si="2"/>
        <v>0</v>
      </c>
      <c r="CI27" s="493">
        <f t="shared" si="2"/>
        <v>0</v>
      </c>
      <c r="CJ27" s="493">
        <f t="shared" si="2"/>
        <v>0</v>
      </c>
      <c r="CK27" s="493">
        <f t="shared" si="2"/>
        <v>0</v>
      </c>
      <c r="CL27" s="493">
        <f t="shared" si="2"/>
        <v>0</v>
      </c>
      <c r="CM27" s="493">
        <f t="shared" si="3"/>
        <v>0</v>
      </c>
      <c r="CN27" s="493">
        <f t="shared" si="3"/>
        <v>0</v>
      </c>
      <c r="CO27" s="493">
        <f t="shared" si="3"/>
        <v>0</v>
      </c>
      <c r="CP27" s="494">
        <v>4</v>
      </c>
      <c r="CQ27" s="494" t="s">
        <v>6219</v>
      </c>
    </row>
    <row r="28" spans="1:95" ht="30.45" hidden="1" customHeight="1" thickBot="1">
      <c r="A28" s="555" t="s">
        <v>4031</v>
      </c>
      <c r="B28" s="479">
        <v>26</v>
      </c>
      <c r="C28" s="480" t="s">
        <v>4004</v>
      </c>
      <c r="D28" s="480" t="s">
        <v>4045</v>
      </c>
      <c r="E28" s="480" t="str">
        <f t="shared" si="1"/>
        <v xml:space="preserve">1.3.2 </v>
      </c>
      <c r="F28" s="480" t="s">
        <v>4061</v>
      </c>
      <c r="G28" s="480" t="s">
        <v>4062</v>
      </c>
      <c r="H28" s="481">
        <v>22</v>
      </c>
      <c r="I28" s="480" t="s">
        <v>4048</v>
      </c>
      <c r="J28" s="495">
        <v>220101700</v>
      </c>
      <c r="K28" s="480" t="s">
        <v>4008</v>
      </c>
      <c r="L28" s="480" t="s">
        <v>6421</v>
      </c>
      <c r="M28" s="480" t="s">
        <v>5681</v>
      </c>
      <c r="N28" s="484">
        <v>126886</v>
      </c>
      <c r="O28" s="480" t="s">
        <v>6420</v>
      </c>
      <c r="P28" s="500">
        <v>127000</v>
      </c>
      <c r="Q28" s="485">
        <v>40010006</v>
      </c>
      <c r="R28" s="485" t="s">
        <v>5338</v>
      </c>
      <c r="S28" s="485" t="s">
        <v>677</v>
      </c>
      <c r="T28" s="485">
        <v>0.91</v>
      </c>
      <c r="U28" s="485" t="s">
        <v>5335</v>
      </c>
      <c r="V28" s="485">
        <v>0.91</v>
      </c>
      <c r="W28" s="485" t="s">
        <v>5331</v>
      </c>
      <c r="X28" s="485">
        <v>4</v>
      </c>
      <c r="Y28" s="485" t="s">
        <v>5339</v>
      </c>
      <c r="Z28" s="486">
        <v>0</v>
      </c>
      <c r="AA28" s="486">
        <v>0</v>
      </c>
      <c r="AB28" s="486">
        <v>927480290</v>
      </c>
      <c r="AC28" s="486">
        <v>0</v>
      </c>
      <c r="AD28" s="486">
        <v>0</v>
      </c>
      <c r="AE28" s="486">
        <v>0</v>
      </c>
      <c r="AF28" s="486">
        <v>0</v>
      </c>
      <c r="AG28" s="486">
        <v>0</v>
      </c>
      <c r="AH28" s="487">
        <v>927480290</v>
      </c>
      <c r="AI28" s="486">
        <v>0</v>
      </c>
      <c r="AJ28" s="486">
        <v>0</v>
      </c>
      <c r="AK28" s="486">
        <v>0</v>
      </c>
      <c r="AL28" s="488">
        <v>0</v>
      </c>
      <c r="AM28" s="489">
        <v>927480290</v>
      </c>
      <c r="AN28" s="486">
        <v>0</v>
      </c>
      <c r="AO28" s="486">
        <v>0</v>
      </c>
      <c r="AP28" s="486">
        <v>964579501.60000002</v>
      </c>
      <c r="AQ28" s="486">
        <v>0</v>
      </c>
      <c r="AR28" s="486">
        <v>0</v>
      </c>
      <c r="AS28" s="486">
        <v>0</v>
      </c>
      <c r="AT28" s="486">
        <v>0</v>
      </c>
      <c r="AU28" s="486">
        <v>0</v>
      </c>
      <c r="AV28" s="487">
        <v>964579501.60000002</v>
      </c>
      <c r="AW28" s="486">
        <v>0</v>
      </c>
      <c r="AX28" s="486">
        <v>0</v>
      </c>
      <c r="AY28" s="486">
        <v>0</v>
      </c>
      <c r="AZ28" s="488">
        <v>0</v>
      </c>
      <c r="BA28" s="490">
        <v>964579501.60000002</v>
      </c>
      <c r="BB28" s="486">
        <v>0</v>
      </c>
      <c r="BC28" s="486">
        <v>0</v>
      </c>
      <c r="BD28" s="486">
        <v>1003162681.664</v>
      </c>
      <c r="BE28" s="486">
        <v>0</v>
      </c>
      <c r="BF28" s="486">
        <v>0</v>
      </c>
      <c r="BG28" s="486">
        <v>0</v>
      </c>
      <c r="BH28" s="486">
        <v>0</v>
      </c>
      <c r="BI28" s="486">
        <v>0</v>
      </c>
      <c r="BJ28" s="487">
        <v>1003162681.664</v>
      </c>
      <c r="BK28" s="486">
        <v>0</v>
      </c>
      <c r="BL28" s="486">
        <v>0</v>
      </c>
      <c r="BM28" s="486">
        <v>0</v>
      </c>
      <c r="BN28" s="488">
        <v>0</v>
      </c>
      <c r="BO28" s="490">
        <v>1003162681.664</v>
      </c>
      <c r="BP28" s="486">
        <v>0</v>
      </c>
      <c r="BQ28" s="486">
        <v>0</v>
      </c>
      <c r="BR28" s="486">
        <v>1043289188.9305601</v>
      </c>
      <c r="BS28" s="486">
        <v>0</v>
      </c>
      <c r="BT28" s="486">
        <v>0</v>
      </c>
      <c r="BU28" s="486">
        <v>0</v>
      </c>
      <c r="BV28" s="486">
        <v>0</v>
      </c>
      <c r="BW28" s="486">
        <v>0</v>
      </c>
      <c r="BX28" s="487">
        <v>1043289188.9305601</v>
      </c>
      <c r="BY28" s="486">
        <v>0</v>
      </c>
      <c r="BZ28" s="486">
        <v>0</v>
      </c>
      <c r="CA28" s="486">
        <v>0</v>
      </c>
      <c r="CB28" s="488">
        <v>0</v>
      </c>
      <c r="CC28" s="491">
        <v>1043289188.9305601</v>
      </c>
      <c r="CD28" s="492">
        <v>3938511662.1945601</v>
      </c>
      <c r="CE28" s="493">
        <f t="shared" si="2"/>
        <v>0</v>
      </c>
      <c r="CF28" s="493">
        <f t="shared" si="2"/>
        <v>0</v>
      </c>
      <c r="CG28" s="493">
        <f t="shared" si="2"/>
        <v>3938511662.1945601</v>
      </c>
      <c r="CH28" s="493">
        <f t="shared" si="2"/>
        <v>0</v>
      </c>
      <c r="CI28" s="493">
        <f t="shared" si="2"/>
        <v>0</v>
      </c>
      <c r="CJ28" s="493">
        <f t="shared" si="2"/>
        <v>0</v>
      </c>
      <c r="CK28" s="493">
        <f t="shared" si="2"/>
        <v>0</v>
      </c>
      <c r="CL28" s="493">
        <f t="shared" si="2"/>
        <v>0</v>
      </c>
      <c r="CM28" s="493">
        <f t="shared" si="3"/>
        <v>0</v>
      </c>
      <c r="CN28" s="493">
        <f t="shared" si="3"/>
        <v>0</v>
      </c>
      <c r="CO28" s="493">
        <f t="shared" si="3"/>
        <v>0</v>
      </c>
      <c r="CP28" s="494">
        <v>4</v>
      </c>
      <c r="CQ28" s="497" t="s">
        <v>6217</v>
      </c>
    </row>
    <row r="29" spans="1:95" ht="30.45" hidden="1" customHeight="1" thickBot="1">
      <c r="A29" s="555" t="s">
        <v>4031</v>
      </c>
      <c r="B29" s="479">
        <v>27</v>
      </c>
      <c r="C29" s="480" t="s">
        <v>4004</v>
      </c>
      <c r="D29" s="480" t="s">
        <v>4045</v>
      </c>
      <c r="E29" s="480" t="str">
        <f t="shared" si="1"/>
        <v xml:space="preserve">1.3.2 </v>
      </c>
      <c r="F29" s="480" t="s">
        <v>4061</v>
      </c>
      <c r="G29" s="480" t="s">
        <v>4062</v>
      </c>
      <c r="H29" s="481">
        <v>22</v>
      </c>
      <c r="I29" s="480" t="s">
        <v>4048</v>
      </c>
      <c r="J29" s="495">
        <v>220102800</v>
      </c>
      <c r="K29" s="480" t="s">
        <v>4065</v>
      </c>
      <c r="L29" s="480" t="s">
        <v>4066</v>
      </c>
      <c r="M29" s="480" t="s">
        <v>5682</v>
      </c>
      <c r="N29" s="484">
        <v>92908000</v>
      </c>
      <c r="O29" s="480" t="s">
        <v>6422</v>
      </c>
      <c r="P29" s="500">
        <v>92908000</v>
      </c>
      <c r="Q29" s="485">
        <v>40010006</v>
      </c>
      <c r="R29" s="485" t="s">
        <v>5338</v>
      </c>
      <c r="S29" s="485" t="s">
        <v>677</v>
      </c>
      <c r="T29" s="485">
        <v>0.91</v>
      </c>
      <c r="U29" s="485" t="s">
        <v>5335</v>
      </c>
      <c r="V29" s="485">
        <v>0.91</v>
      </c>
      <c r="W29" s="485" t="s">
        <v>5331</v>
      </c>
      <c r="X29" s="485">
        <v>4</v>
      </c>
      <c r="Y29" s="485" t="s">
        <v>5339</v>
      </c>
      <c r="Z29" s="486">
        <v>0</v>
      </c>
      <c r="AA29" s="486">
        <v>0</v>
      </c>
      <c r="AB29" s="486">
        <v>0</v>
      </c>
      <c r="AC29" s="486">
        <v>0</v>
      </c>
      <c r="AD29" s="486">
        <v>0</v>
      </c>
      <c r="AE29" s="486">
        <v>0</v>
      </c>
      <c r="AF29" s="486">
        <v>51000000000</v>
      </c>
      <c r="AG29" s="486">
        <v>0</v>
      </c>
      <c r="AH29" s="487">
        <v>51000000000</v>
      </c>
      <c r="AI29" s="486">
        <v>0</v>
      </c>
      <c r="AJ29" s="486">
        <v>0</v>
      </c>
      <c r="AK29" s="486">
        <v>55000000000</v>
      </c>
      <c r="AL29" s="488">
        <v>55000000000</v>
      </c>
      <c r="AM29" s="489">
        <v>106000000000</v>
      </c>
      <c r="AN29" s="486">
        <v>0</v>
      </c>
      <c r="AO29" s="486">
        <v>0</v>
      </c>
      <c r="AP29" s="486">
        <v>0</v>
      </c>
      <c r="AQ29" s="486">
        <v>0</v>
      </c>
      <c r="AR29" s="486">
        <v>0</v>
      </c>
      <c r="AS29" s="486">
        <v>0</v>
      </c>
      <c r="AT29" s="486">
        <v>50000000000</v>
      </c>
      <c r="AU29" s="486">
        <v>0</v>
      </c>
      <c r="AV29" s="487">
        <v>50000000000</v>
      </c>
      <c r="AW29" s="486">
        <v>0</v>
      </c>
      <c r="AX29" s="486">
        <v>0</v>
      </c>
      <c r="AY29" s="486">
        <v>57200000000</v>
      </c>
      <c r="AZ29" s="488">
        <v>57200000000</v>
      </c>
      <c r="BA29" s="490">
        <v>107200000000</v>
      </c>
      <c r="BB29" s="486">
        <v>0</v>
      </c>
      <c r="BC29" s="486">
        <v>0</v>
      </c>
      <c r="BD29" s="486">
        <v>0</v>
      </c>
      <c r="BE29" s="486">
        <v>0</v>
      </c>
      <c r="BF29" s="486">
        <v>0</v>
      </c>
      <c r="BG29" s="486">
        <v>0</v>
      </c>
      <c r="BH29" s="486">
        <v>50000000000</v>
      </c>
      <c r="BI29" s="486">
        <v>0</v>
      </c>
      <c r="BJ29" s="487">
        <v>50000000000</v>
      </c>
      <c r="BK29" s="486">
        <v>0</v>
      </c>
      <c r="BL29" s="486">
        <v>0</v>
      </c>
      <c r="BM29" s="486">
        <v>59488000000</v>
      </c>
      <c r="BN29" s="488">
        <v>59488000000</v>
      </c>
      <c r="BO29" s="490">
        <v>109488000000</v>
      </c>
      <c r="BP29" s="486">
        <v>0</v>
      </c>
      <c r="BQ29" s="486">
        <v>0</v>
      </c>
      <c r="BR29" s="486">
        <v>0</v>
      </c>
      <c r="BS29" s="486">
        <v>0</v>
      </c>
      <c r="BT29" s="486">
        <v>0</v>
      </c>
      <c r="BU29" s="486">
        <v>0</v>
      </c>
      <c r="BV29" s="486">
        <v>50000000000</v>
      </c>
      <c r="BW29" s="486">
        <v>0</v>
      </c>
      <c r="BX29" s="487">
        <v>50000000000</v>
      </c>
      <c r="BY29" s="486">
        <v>0</v>
      </c>
      <c r="BZ29" s="486">
        <v>0</v>
      </c>
      <c r="CA29" s="486">
        <v>61867520000</v>
      </c>
      <c r="CB29" s="488">
        <v>61867520000</v>
      </c>
      <c r="CC29" s="491">
        <v>111867520000</v>
      </c>
      <c r="CD29" s="492">
        <v>434555520000</v>
      </c>
      <c r="CE29" s="493">
        <f t="shared" si="2"/>
        <v>0</v>
      </c>
      <c r="CF29" s="493">
        <f t="shared" si="2"/>
        <v>0</v>
      </c>
      <c r="CG29" s="493">
        <f t="shared" si="2"/>
        <v>0</v>
      </c>
      <c r="CH29" s="493">
        <f t="shared" si="2"/>
        <v>0</v>
      </c>
      <c r="CI29" s="493">
        <f t="shared" si="2"/>
        <v>0</v>
      </c>
      <c r="CJ29" s="493">
        <f t="shared" si="2"/>
        <v>0</v>
      </c>
      <c r="CK29" s="493">
        <f t="shared" si="2"/>
        <v>201000000000</v>
      </c>
      <c r="CL29" s="493">
        <f t="shared" si="2"/>
        <v>0</v>
      </c>
      <c r="CM29" s="493">
        <f t="shared" si="3"/>
        <v>0</v>
      </c>
      <c r="CN29" s="493">
        <f t="shared" si="3"/>
        <v>0</v>
      </c>
      <c r="CO29" s="493">
        <f t="shared" si="3"/>
        <v>233555520000</v>
      </c>
      <c r="CP29" s="494">
        <v>4</v>
      </c>
      <c r="CQ29" s="497" t="s">
        <v>6219</v>
      </c>
    </row>
    <row r="30" spans="1:95" ht="30.45" hidden="1" customHeight="1" thickBot="1">
      <c r="A30" s="555" t="s">
        <v>4031</v>
      </c>
      <c r="B30" s="479">
        <v>28</v>
      </c>
      <c r="C30" s="480" t="s">
        <v>4004</v>
      </c>
      <c r="D30" s="480" t="s">
        <v>4045</v>
      </c>
      <c r="E30" s="480" t="str">
        <f t="shared" si="1"/>
        <v xml:space="preserve">1.3.2 </v>
      </c>
      <c r="F30" s="480" t="s">
        <v>4061</v>
      </c>
      <c r="G30" s="480" t="s">
        <v>4062</v>
      </c>
      <c r="H30" s="481">
        <v>22</v>
      </c>
      <c r="I30" s="480" t="s">
        <v>4048</v>
      </c>
      <c r="J30" s="495">
        <v>220103100</v>
      </c>
      <c r="K30" s="480" t="s">
        <v>4008</v>
      </c>
      <c r="L30" s="480" t="s">
        <v>6423</v>
      </c>
      <c r="M30" s="480" t="s">
        <v>6424</v>
      </c>
      <c r="N30" s="484">
        <v>3892</v>
      </c>
      <c r="O30" s="480" t="s">
        <v>6425</v>
      </c>
      <c r="P30" s="500">
        <v>24000</v>
      </c>
      <c r="Q30" s="485">
        <v>40010006</v>
      </c>
      <c r="R30" s="485" t="s">
        <v>5338</v>
      </c>
      <c r="S30" s="485" t="s">
        <v>677</v>
      </c>
      <c r="T30" s="485">
        <v>0.91</v>
      </c>
      <c r="U30" s="485" t="s">
        <v>5335</v>
      </c>
      <c r="V30" s="485">
        <v>0.91</v>
      </c>
      <c r="W30" s="485" t="s">
        <v>5331</v>
      </c>
      <c r="X30" s="485">
        <v>4</v>
      </c>
      <c r="Y30" s="485" t="s">
        <v>5339</v>
      </c>
      <c r="Z30" s="486">
        <v>0</v>
      </c>
      <c r="AA30" s="486">
        <v>0</v>
      </c>
      <c r="AB30" s="486">
        <v>6828749777</v>
      </c>
      <c r="AC30" s="486">
        <v>0</v>
      </c>
      <c r="AD30" s="486">
        <v>0</v>
      </c>
      <c r="AE30" s="486">
        <v>0</v>
      </c>
      <c r="AF30" s="486">
        <v>0</v>
      </c>
      <c r="AG30" s="486">
        <v>0</v>
      </c>
      <c r="AH30" s="487">
        <v>6828749777</v>
      </c>
      <c r="AI30" s="486">
        <v>0</v>
      </c>
      <c r="AJ30" s="486">
        <v>0</v>
      </c>
      <c r="AK30" s="486">
        <v>0</v>
      </c>
      <c r="AL30" s="488">
        <v>0</v>
      </c>
      <c r="AM30" s="489">
        <v>6828749777</v>
      </c>
      <c r="AN30" s="486">
        <v>0</v>
      </c>
      <c r="AO30" s="486">
        <v>0</v>
      </c>
      <c r="AP30" s="486">
        <v>7101899768.0799999</v>
      </c>
      <c r="AQ30" s="486">
        <v>0</v>
      </c>
      <c r="AR30" s="486">
        <v>0</v>
      </c>
      <c r="AS30" s="486">
        <v>0</v>
      </c>
      <c r="AT30" s="486">
        <v>0</v>
      </c>
      <c r="AU30" s="486">
        <v>0</v>
      </c>
      <c r="AV30" s="487">
        <v>7101899768.0799999</v>
      </c>
      <c r="AW30" s="486">
        <v>0</v>
      </c>
      <c r="AX30" s="486">
        <v>0</v>
      </c>
      <c r="AY30" s="486">
        <v>0</v>
      </c>
      <c r="AZ30" s="488">
        <v>0</v>
      </c>
      <c r="BA30" s="490">
        <v>7101899768.0799999</v>
      </c>
      <c r="BB30" s="486">
        <v>0</v>
      </c>
      <c r="BC30" s="486">
        <v>0</v>
      </c>
      <c r="BD30" s="486">
        <v>7385975758.8031998</v>
      </c>
      <c r="BE30" s="486">
        <v>0</v>
      </c>
      <c r="BF30" s="486">
        <v>0</v>
      </c>
      <c r="BG30" s="486">
        <v>0</v>
      </c>
      <c r="BH30" s="486">
        <v>0</v>
      </c>
      <c r="BI30" s="486">
        <v>0</v>
      </c>
      <c r="BJ30" s="487">
        <v>7385975758.8031998</v>
      </c>
      <c r="BK30" s="486">
        <v>0</v>
      </c>
      <c r="BL30" s="486">
        <v>0</v>
      </c>
      <c r="BM30" s="486">
        <v>0</v>
      </c>
      <c r="BN30" s="488">
        <v>0</v>
      </c>
      <c r="BO30" s="490">
        <v>7385975758.8031998</v>
      </c>
      <c r="BP30" s="486">
        <v>0</v>
      </c>
      <c r="BQ30" s="486">
        <v>0</v>
      </c>
      <c r="BR30" s="486">
        <v>7681414789.1553278</v>
      </c>
      <c r="BS30" s="486">
        <v>0</v>
      </c>
      <c r="BT30" s="486">
        <v>0</v>
      </c>
      <c r="BU30" s="486">
        <v>0</v>
      </c>
      <c r="BV30" s="486">
        <v>0</v>
      </c>
      <c r="BW30" s="486">
        <v>0</v>
      </c>
      <c r="BX30" s="487">
        <v>7681414789.1553278</v>
      </c>
      <c r="BY30" s="486">
        <v>0</v>
      </c>
      <c r="BZ30" s="486">
        <v>0</v>
      </c>
      <c r="CA30" s="486">
        <v>0</v>
      </c>
      <c r="CB30" s="488">
        <v>0</v>
      </c>
      <c r="CC30" s="491">
        <v>7681414789.1553278</v>
      </c>
      <c r="CD30" s="492">
        <v>28998040093.038528</v>
      </c>
      <c r="CE30" s="493">
        <f t="shared" si="2"/>
        <v>0</v>
      </c>
      <c r="CF30" s="493">
        <f t="shared" si="2"/>
        <v>0</v>
      </c>
      <c r="CG30" s="493">
        <f t="shared" si="2"/>
        <v>28998040093.038528</v>
      </c>
      <c r="CH30" s="493">
        <f t="shared" si="2"/>
        <v>0</v>
      </c>
      <c r="CI30" s="493">
        <f t="shared" si="2"/>
        <v>0</v>
      </c>
      <c r="CJ30" s="493">
        <f t="shared" si="2"/>
        <v>0</v>
      </c>
      <c r="CK30" s="493">
        <f t="shared" si="2"/>
        <v>0</v>
      </c>
      <c r="CL30" s="493">
        <f t="shared" si="2"/>
        <v>0</v>
      </c>
      <c r="CM30" s="493">
        <f t="shared" si="3"/>
        <v>0</v>
      </c>
      <c r="CN30" s="493">
        <f t="shared" si="3"/>
        <v>0</v>
      </c>
      <c r="CO30" s="493">
        <f t="shared" si="3"/>
        <v>0</v>
      </c>
      <c r="CP30" s="494">
        <v>4</v>
      </c>
      <c r="CQ30" s="494" t="s">
        <v>6219</v>
      </c>
    </row>
    <row r="31" spans="1:95" ht="30.45" hidden="1" customHeight="1" thickBot="1">
      <c r="A31" s="555" t="s">
        <v>4031</v>
      </c>
      <c r="B31" s="479">
        <v>29</v>
      </c>
      <c r="C31" s="480" t="s">
        <v>4004</v>
      </c>
      <c r="D31" s="480" t="s">
        <v>4045</v>
      </c>
      <c r="E31" s="480" t="str">
        <f t="shared" si="1"/>
        <v xml:space="preserve">1.3.2 </v>
      </c>
      <c r="F31" s="480" t="s">
        <v>4061</v>
      </c>
      <c r="G31" s="480" t="s">
        <v>4062</v>
      </c>
      <c r="H31" s="481">
        <v>22</v>
      </c>
      <c r="I31" s="480" t="s">
        <v>4048</v>
      </c>
      <c r="J31" s="495">
        <v>220103200</v>
      </c>
      <c r="K31" s="480" t="s">
        <v>4008</v>
      </c>
      <c r="L31" s="480" t="s">
        <v>4067</v>
      </c>
      <c r="M31" s="480" t="s">
        <v>5683</v>
      </c>
      <c r="N31" s="484">
        <v>1256</v>
      </c>
      <c r="O31" s="480" t="s">
        <v>6426</v>
      </c>
      <c r="P31" s="500">
        <v>2756</v>
      </c>
      <c r="Q31" s="485">
        <v>40010006</v>
      </c>
      <c r="R31" s="485" t="s">
        <v>5338</v>
      </c>
      <c r="S31" s="485" t="s">
        <v>677</v>
      </c>
      <c r="T31" s="485">
        <v>0.91</v>
      </c>
      <c r="U31" s="485" t="s">
        <v>5335</v>
      </c>
      <c r="V31" s="485">
        <v>0.91</v>
      </c>
      <c r="W31" s="485" t="s">
        <v>5331</v>
      </c>
      <c r="X31" s="485">
        <v>4</v>
      </c>
      <c r="Y31" s="485" t="s">
        <v>5339</v>
      </c>
      <c r="Z31" s="486">
        <v>10000000</v>
      </c>
      <c r="AA31" s="486">
        <v>0</v>
      </c>
      <c r="AB31" s="486">
        <v>0</v>
      </c>
      <c r="AC31" s="486">
        <v>0</v>
      </c>
      <c r="AD31" s="486">
        <v>0</v>
      </c>
      <c r="AE31" s="486">
        <v>0</v>
      </c>
      <c r="AF31" s="486">
        <v>0</v>
      </c>
      <c r="AG31" s="486">
        <v>0</v>
      </c>
      <c r="AH31" s="487">
        <v>10000000</v>
      </c>
      <c r="AI31" s="486">
        <v>0</v>
      </c>
      <c r="AJ31" s="486">
        <v>0</v>
      </c>
      <c r="AK31" s="486">
        <v>0</v>
      </c>
      <c r="AL31" s="488">
        <v>0</v>
      </c>
      <c r="AM31" s="489">
        <v>10000000</v>
      </c>
      <c r="AN31" s="486">
        <v>10400000</v>
      </c>
      <c r="AO31" s="486">
        <v>0</v>
      </c>
      <c r="AP31" s="486">
        <v>0</v>
      </c>
      <c r="AQ31" s="486">
        <v>0</v>
      </c>
      <c r="AR31" s="486">
        <v>0</v>
      </c>
      <c r="AS31" s="486">
        <v>0</v>
      </c>
      <c r="AT31" s="486">
        <v>0</v>
      </c>
      <c r="AU31" s="486">
        <v>0</v>
      </c>
      <c r="AV31" s="487">
        <v>10400000</v>
      </c>
      <c r="AW31" s="486">
        <v>0</v>
      </c>
      <c r="AX31" s="486">
        <v>0</v>
      </c>
      <c r="AY31" s="486">
        <v>0</v>
      </c>
      <c r="AZ31" s="488">
        <v>0</v>
      </c>
      <c r="BA31" s="490">
        <v>10400000</v>
      </c>
      <c r="BB31" s="486">
        <v>10816000</v>
      </c>
      <c r="BC31" s="486">
        <v>0</v>
      </c>
      <c r="BD31" s="486">
        <v>0</v>
      </c>
      <c r="BE31" s="486">
        <v>0</v>
      </c>
      <c r="BF31" s="486">
        <v>0</v>
      </c>
      <c r="BG31" s="486">
        <v>0</v>
      </c>
      <c r="BH31" s="486">
        <v>0</v>
      </c>
      <c r="BI31" s="486">
        <v>0</v>
      </c>
      <c r="BJ31" s="487">
        <v>10816000</v>
      </c>
      <c r="BK31" s="486">
        <v>0</v>
      </c>
      <c r="BL31" s="486">
        <v>0</v>
      </c>
      <c r="BM31" s="486">
        <v>0</v>
      </c>
      <c r="BN31" s="488">
        <v>0</v>
      </c>
      <c r="BO31" s="490">
        <v>10816000</v>
      </c>
      <c r="BP31" s="486">
        <v>11248640</v>
      </c>
      <c r="BQ31" s="486">
        <v>0</v>
      </c>
      <c r="BR31" s="486">
        <v>0</v>
      </c>
      <c r="BS31" s="486">
        <v>0</v>
      </c>
      <c r="BT31" s="486">
        <v>0</v>
      </c>
      <c r="BU31" s="486">
        <v>0</v>
      </c>
      <c r="BV31" s="486">
        <v>0</v>
      </c>
      <c r="BW31" s="486">
        <v>0</v>
      </c>
      <c r="BX31" s="487">
        <v>11248640</v>
      </c>
      <c r="BY31" s="486">
        <v>0</v>
      </c>
      <c r="BZ31" s="486">
        <v>0</v>
      </c>
      <c r="CA31" s="486">
        <v>0</v>
      </c>
      <c r="CB31" s="488">
        <v>0</v>
      </c>
      <c r="CC31" s="491">
        <v>11248640</v>
      </c>
      <c r="CD31" s="492">
        <v>42464640</v>
      </c>
      <c r="CE31" s="493">
        <f t="shared" si="2"/>
        <v>42464640</v>
      </c>
      <c r="CF31" s="493">
        <f t="shared" si="2"/>
        <v>0</v>
      </c>
      <c r="CG31" s="493">
        <f t="shared" si="2"/>
        <v>0</v>
      </c>
      <c r="CH31" s="493">
        <f t="shared" si="2"/>
        <v>0</v>
      </c>
      <c r="CI31" s="493">
        <f t="shared" si="2"/>
        <v>0</v>
      </c>
      <c r="CJ31" s="493">
        <f t="shared" si="2"/>
        <v>0</v>
      </c>
      <c r="CK31" s="493">
        <f t="shared" si="2"/>
        <v>0</v>
      </c>
      <c r="CL31" s="493">
        <f t="shared" si="2"/>
        <v>0</v>
      </c>
      <c r="CM31" s="493">
        <f t="shared" si="3"/>
        <v>0</v>
      </c>
      <c r="CN31" s="493">
        <f t="shared" si="3"/>
        <v>0</v>
      </c>
      <c r="CO31" s="493">
        <f t="shared" si="3"/>
        <v>0</v>
      </c>
      <c r="CP31" s="494">
        <v>4</v>
      </c>
      <c r="CQ31" s="494" t="s">
        <v>6220</v>
      </c>
    </row>
    <row r="32" spans="1:95" ht="30.45" hidden="1" customHeight="1" thickBot="1">
      <c r="A32" s="555" t="s">
        <v>4031</v>
      </c>
      <c r="B32" s="479">
        <v>30</v>
      </c>
      <c r="C32" s="480" t="s">
        <v>4004</v>
      </c>
      <c r="D32" s="480" t="s">
        <v>4045</v>
      </c>
      <c r="E32" s="480" t="str">
        <f t="shared" si="1"/>
        <v xml:space="preserve">1.3.2 </v>
      </c>
      <c r="F32" s="480" t="s">
        <v>4061</v>
      </c>
      <c r="G32" s="480" t="s">
        <v>4062</v>
      </c>
      <c r="H32" s="481">
        <v>22</v>
      </c>
      <c r="I32" s="480" t="s">
        <v>4048</v>
      </c>
      <c r="J32" s="495">
        <v>220102900</v>
      </c>
      <c r="K32" s="480" t="s">
        <v>4054</v>
      </c>
      <c r="L32" s="480" t="s">
        <v>4068</v>
      </c>
      <c r="M32" s="480" t="s">
        <v>5684</v>
      </c>
      <c r="N32" s="484">
        <v>25000</v>
      </c>
      <c r="O32" s="480" t="s">
        <v>6427</v>
      </c>
      <c r="P32" s="500">
        <v>68000</v>
      </c>
      <c r="Q32" s="485">
        <v>40010006</v>
      </c>
      <c r="R32" s="485" t="s">
        <v>5338</v>
      </c>
      <c r="S32" s="485" t="s">
        <v>677</v>
      </c>
      <c r="T32" s="485">
        <v>0.91</v>
      </c>
      <c r="U32" s="485" t="s">
        <v>5335</v>
      </c>
      <c r="V32" s="485">
        <v>0.91</v>
      </c>
      <c r="W32" s="485" t="s">
        <v>5331</v>
      </c>
      <c r="X32" s="485">
        <v>4</v>
      </c>
      <c r="Y32" s="485" t="s">
        <v>5339</v>
      </c>
      <c r="Z32" s="486">
        <v>2000000</v>
      </c>
      <c r="AA32" s="486">
        <v>0</v>
      </c>
      <c r="AB32" s="486">
        <v>0</v>
      </c>
      <c r="AC32" s="486">
        <v>0</v>
      </c>
      <c r="AD32" s="486">
        <v>0</v>
      </c>
      <c r="AE32" s="486">
        <v>0</v>
      </c>
      <c r="AF32" s="486">
        <v>0</v>
      </c>
      <c r="AG32" s="486">
        <v>0</v>
      </c>
      <c r="AH32" s="487">
        <v>2000000</v>
      </c>
      <c r="AI32" s="486">
        <v>0</v>
      </c>
      <c r="AJ32" s="486">
        <v>0</v>
      </c>
      <c r="AK32" s="486">
        <v>0</v>
      </c>
      <c r="AL32" s="488">
        <v>0</v>
      </c>
      <c r="AM32" s="489">
        <v>2000000</v>
      </c>
      <c r="AN32" s="486">
        <v>2080000</v>
      </c>
      <c r="AO32" s="486">
        <v>0</v>
      </c>
      <c r="AP32" s="486">
        <v>0</v>
      </c>
      <c r="AQ32" s="486">
        <v>0</v>
      </c>
      <c r="AR32" s="486">
        <v>0</v>
      </c>
      <c r="AS32" s="486">
        <v>0</v>
      </c>
      <c r="AT32" s="486">
        <v>0</v>
      </c>
      <c r="AU32" s="486">
        <v>0</v>
      </c>
      <c r="AV32" s="487">
        <v>2080000</v>
      </c>
      <c r="AW32" s="486">
        <v>0</v>
      </c>
      <c r="AX32" s="486">
        <v>0</v>
      </c>
      <c r="AY32" s="486">
        <v>0</v>
      </c>
      <c r="AZ32" s="488">
        <v>0</v>
      </c>
      <c r="BA32" s="490">
        <v>2080000</v>
      </c>
      <c r="BB32" s="486">
        <v>2163200</v>
      </c>
      <c r="BC32" s="486">
        <v>0</v>
      </c>
      <c r="BD32" s="486">
        <v>0</v>
      </c>
      <c r="BE32" s="486">
        <v>0</v>
      </c>
      <c r="BF32" s="486">
        <v>0</v>
      </c>
      <c r="BG32" s="486">
        <v>0</v>
      </c>
      <c r="BH32" s="486">
        <v>0</v>
      </c>
      <c r="BI32" s="486">
        <v>0</v>
      </c>
      <c r="BJ32" s="487">
        <v>2163200</v>
      </c>
      <c r="BK32" s="486">
        <v>0</v>
      </c>
      <c r="BL32" s="486">
        <v>0</v>
      </c>
      <c r="BM32" s="486">
        <v>0</v>
      </c>
      <c r="BN32" s="488">
        <v>0</v>
      </c>
      <c r="BO32" s="490">
        <v>2163200</v>
      </c>
      <c r="BP32" s="486">
        <v>2249728</v>
      </c>
      <c r="BQ32" s="486">
        <v>0</v>
      </c>
      <c r="BR32" s="486">
        <v>0</v>
      </c>
      <c r="BS32" s="486">
        <v>0</v>
      </c>
      <c r="BT32" s="486">
        <v>0</v>
      </c>
      <c r="BU32" s="486">
        <v>0</v>
      </c>
      <c r="BV32" s="486">
        <v>0</v>
      </c>
      <c r="BW32" s="486">
        <v>0</v>
      </c>
      <c r="BX32" s="487">
        <v>2249728</v>
      </c>
      <c r="BY32" s="486">
        <v>0</v>
      </c>
      <c r="BZ32" s="486">
        <v>0</v>
      </c>
      <c r="CA32" s="486">
        <v>0</v>
      </c>
      <c r="CB32" s="488">
        <v>0</v>
      </c>
      <c r="CC32" s="491">
        <v>2249728</v>
      </c>
      <c r="CD32" s="492">
        <v>8492928</v>
      </c>
      <c r="CE32" s="493">
        <f t="shared" si="2"/>
        <v>8492928</v>
      </c>
      <c r="CF32" s="493">
        <f t="shared" si="2"/>
        <v>0</v>
      </c>
      <c r="CG32" s="493">
        <f t="shared" si="2"/>
        <v>0</v>
      </c>
      <c r="CH32" s="493">
        <f t="shared" si="2"/>
        <v>0</v>
      </c>
      <c r="CI32" s="493">
        <f t="shared" si="2"/>
        <v>0</v>
      </c>
      <c r="CJ32" s="493">
        <f t="shared" si="2"/>
        <v>0</v>
      </c>
      <c r="CK32" s="493">
        <f t="shared" si="2"/>
        <v>0</v>
      </c>
      <c r="CL32" s="493">
        <f t="shared" si="2"/>
        <v>0</v>
      </c>
      <c r="CM32" s="493">
        <f t="shared" si="3"/>
        <v>0</v>
      </c>
      <c r="CN32" s="493">
        <f t="shared" si="3"/>
        <v>0</v>
      </c>
      <c r="CO32" s="493">
        <f t="shared" si="3"/>
        <v>0</v>
      </c>
      <c r="CP32" s="494">
        <v>4</v>
      </c>
      <c r="CQ32" s="497" t="s">
        <v>6219</v>
      </c>
    </row>
    <row r="33" spans="1:95" ht="30.45" hidden="1" customHeight="1" thickBot="1">
      <c r="A33" s="555" t="s">
        <v>4031</v>
      </c>
      <c r="B33" s="479">
        <v>31</v>
      </c>
      <c r="C33" s="480" t="s">
        <v>4004</v>
      </c>
      <c r="D33" s="480" t="s">
        <v>4045</v>
      </c>
      <c r="E33" s="480" t="str">
        <f t="shared" si="1"/>
        <v xml:space="preserve">1.3.3 </v>
      </c>
      <c r="F33" s="480" t="s">
        <v>4069</v>
      </c>
      <c r="G33" s="480" t="s">
        <v>4070</v>
      </c>
      <c r="H33" s="481">
        <v>22</v>
      </c>
      <c r="I33" s="480" t="s">
        <v>4048</v>
      </c>
      <c r="J33" s="495">
        <v>220100600</v>
      </c>
      <c r="K33" s="480" t="s">
        <v>4071</v>
      </c>
      <c r="L33" s="480" t="s">
        <v>6428</v>
      </c>
      <c r="M33" s="480" t="s">
        <v>6429</v>
      </c>
      <c r="N33" s="484">
        <v>255</v>
      </c>
      <c r="O33" s="480" t="s">
        <v>6416</v>
      </c>
      <c r="P33" s="500">
        <v>255</v>
      </c>
      <c r="Q33" s="485" t="s">
        <v>5340</v>
      </c>
      <c r="R33" s="485" t="s">
        <v>5341</v>
      </c>
      <c r="S33" s="485" t="s">
        <v>689</v>
      </c>
      <c r="T33" s="485">
        <v>262</v>
      </c>
      <c r="U33" s="485" t="s">
        <v>5342</v>
      </c>
      <c r="V33" s="485">
        <v>263</v>
      </c>
      <c r="W33" s="485" t="s">
        <v>5343</v>
      </c>
      <c r="X33" s="485">
        <v>4</v>
      </c>
      <c r="Y33" s="485" t="s">
        <v>732</v>
      </c>
      <c r="Z33" s="486">
        <v>4000000</v>
      </c>
      <c r="AA33" s="486">
        <v>0</v>
      </c>
      <c r="AB33" s="486">
        <v>0</v>
      </c>
      <c r="AC33" s="486">
        <v>0</v>
      </c>
      <c r="AD33" s="486">
        <v>0</v>
      </c>
      <c r="AE33" s="486">
        <v>0</v>
      </c>
      <c r="AF33" s="486">
        <v>0</v>
      </c>
      <c r="AG33" s="486">
        <v>0</v>
      </c>
      <c r="AH33" s="487">
        <v>4000000</v>
      </c>
      <c r="AI33" s="486">
        <v>0</v>
      </c>
      <c r="AJ33" s="486">
        <v>0</v>
      </c>
      <c r="AK33" s="486">
        <v>0</v>
      </c>
      <c r="AL33" s="488">
        <v>0</v>
      </c>
      <c r="AM33" s="489">
        <v>4000000</v>
      </c>
      <c r="AN33" s="486">
        <v>4160000</v>
      </c>
      <c r="AO33" s="486">
        <v>0</v>
      </c>
      <c r="AP33" s="486">
        <v>0</v>
      </c>
      <c r="AQ33" s="486">
        <v>0</v>
      </c>
      <c r="AR33" s="486">
        <v>0</v>
      </c>
      <c r="AS33" s="486">
        <v>0</v>
      </c>
      <c r="AT33" s="486">
        <v>0</v>
      </c>
      <c r="AU33" s="486">
        <v>0</v>
      </c>
      <c r="AV33" s="487">
        <v>4160000</v>
      </c>
      <c r="AW33" s="486">
        <v>0</v>
      </c>
      <c r="AX33" s="486">
        <v>0</v>
      </c>
      <c r="AY33" s="486">
        <v>0</v>
      </c>
      <c r="AZ33" s="488">
        <v>0</v>
      </c>
      <c r="BA33" s="490">
        <v>4160000</v>
      </c>
      <c r="BB33" s="486">
        <v>4326400</v>
      </c>
      <c r="BC33" s="486">
        <v>0</v>
      </c>
      <c r="BD33" s="486">
        <v>0</v>
      </c>
      <c r="BE33" s="486">
        <v>0</v>
      </c>
      <c r="BF33" s="486">
        <v>0</v>
      </c>
      <c r="BG33" s="486">
        <v>0</v>
      </c>
      <c r="BH33" s="486">
        <v>0</v>
      </c>
      <c r="BI33" s="486">
        <v>0</v>
      </c>
      <c r="BJ33" s="487">
        <v>4326400</v>
      </c>
      <c r="BK33" s="486">
        <v>0</v>
      </c>
      <c r="BL33" s="486">
        <v>0</v>
      </c>
      <c r="BM33" s="486">
        <v>0</v>
      </c>
      <c r="BN33" s="488">
        <v>0</v>
      </c>
      <c r="BO33" s="490">
        <v>4326400</v>
      </c>
      <c r="BP33" s="486">
        <v>4499456</v>
      </c>
      <c r="BQ33" s="486">
        <v>0</v>
      </c>
      <c r="BR33" s="486">
        <v>0</v>
      </c>
      <c r="BS33" s="486">
        <v>0</v>
      </c>
      <c r="BT33" s="486">
        <v>0</v>
      </c>
      <c r="BU33" s="486">
        <v>0</v>
      </c>
      <c r="BV33" s="486">
        <v>0</v>
      </c>
      <c r="BW33" s="486">
        <v>0</v>
      </c>
      <c r="BX33" s="487">
        <v>4499456</v>
      </c>
      <c r="BY33" s="486">
        <v>0</v>
      </c>
      <c r="BZ33" s="486">
        <v>0</v>
      </c>
      <c r="CA33" s="486">
        <v>0</v>
      </c>
      <c r="CB33" s="488">
        <v>0</v>
      </c>
      <c r="CC33" s="491">
        <v>4499456</v>
      </c>
      <c r="CD33" s="492">
        <v>16985856</v>
      </c>
      <c r="CE33" s="493">
        <f t="shared" si="2"/>
        <v>16985856</v>
      </c>
      <c r="CF33" s="493">
        <f t="shared" si="2"/>
        <v>0</v>
      </c>
      <c r="CG33" s="493">
        <f t="shared" si="2"/>
        <v>0</v>
      </c>
      <c r="CH33" s="493">
        <f t="shared" si="2"/>
        <v>0</v>
      </c>
      <c r="CI33" s="493">
        <f t="shared" si="2"/>
        <v>0</v>
      </c>
      <c r="CJ33" s="493">
        <f t="shared" si="2"/>
        <v>0</v>
      </c>
      <c r="CK33" s="493">
        <f t="shared" si="2"/>
        <v>0</v>
      </c>
      <c r="CL33" s="493">
        <f t="shared" si="2"/>
        <v>0</v>
      </c>
      <c r="CM33" s="493">
        <f t="shared" si="3"/>
        <v>0</v>
      </c>
      <c r="CN33" s="493">
        <f t="shared" si="3"/>
        <v>0</v>
      </c>
      <c r="CO33" s="493">
        <f t="shared" si="3"/>
        <v>0</v>
      </c>
      <c r="CP33" s="494">
        <v>4</v>
      </c>
      <c r="CQ33" s="494" t="s">
        <v>6217</v>
      </c>
    </row>
    <row r="34" spans="1:95" ht="30.45" hidden="1" customHeight="1" thickBot="1">
      <c r="A34" s="555" t="s">
        <v>4031</v>
      </c>
      <c r="B34" s="479">
        <v>32</v>
      </c>
      <c r="C34" s="480" t="s">
        <v>4004</v>
      </c>
      <c r="D34" s="480" t="s">
        <v>4045</v>
      </c>
      <c r="E34" s="480" t="str">
        <f t="shared" si="1"/>
        <v xml:space="preserve">1.3.3 </v>
      </c>
      <c r="F34" s="480" t="s">
        <v>4069</v>
      </c>
      <c r="G34" s="480" t="s">
        <v>4070</v>
      </c>
      <c r="H34" s="481">
        <v>22</v>
      </c>
      <c r="I34" s="480" t="s">
        <v>4048</v>
      </c>
      <c r="J34" s="495">
        <v>220108100</v>
      </c>
      <c r="K34" s="480" t="s">
        <v>4037</v>
      </c>
      <c r="L34" s="480" t="s">
        <v>4072</v>
      </c>
      <c r="M34" s="480" t="s">
        <v>5685</v>
      </c>
      <c r="N34" s="484">
        <v>255</v>
      </c>
      <c r="O34" s="480" t="s">
        <v>6416</v>
      </c>
      <c r="P34" s="500">
        <v>255</v>
      </c>
      <c r="Q34" s="485" t="s">
        <v>5340</v>
      </c>
      <c r="R34" s="485" t="s">
        <v>5341</v>
      </c>
      <c r="S34" s="485" t="s">
        <v>689</v>
      </c>
      <c r="T34" s="485">
        <v>262</v>
      </c>
      <c r="U34" s="485" t="s">
        <v>5342</v>
      </c>
      <c r="V34" s="485">
        <v>263</v>
      </c>
      <c r="W34" s="485" t="s">
        <v>5343</v>
      </c>
      <c r="X34" s="485">
        <v>4</v>
      </c>
      <c r="Y34" s="485" t="s">
        <v>732</v>
      </c>
      <c r="Z34" s="486">
        <v>30000000</v>
      </c>
      <c r="AA34" s="486">
        <v>0</v>
      </c>
      <c r="AB34" s="486">
        <v>0</v>
      </c>
      <c r="AC34" s="486">
        <v>0</v>
      </c>
      <c r="AD34" s="486">
        <v>0</v>
      </c>
      <c r="AE34" s="486">
        <v>0</v>
      </c>
      <c r="AF34" s="486">
        <v>0</v>
      </c>
      <c r="AG34" s="486">
        <v>0</v>
      </c>
      <c r="AH34" s="487">
        <v>30000000</v>
      </c>
      <c r="AI34" s="486">
        <v>0</v>
      </c>
      <c r="AJ34" s="486">
        <v>0</v>
      </c>
      <c r="AK34" s="486">
        <v>0</v>
      </c>
      <c r="AL34" s="488">
        <v>0</v>
      </c>
      <c r="AM34" s="489">
        <v>30000000</v>
      </c>
      <c r="AN34" s="486">
        <v>31200000</v>
      </c>
      <c r="AO34" s="486">
        <v>0</v>
      </c>
      <c r="AP34" s="486">
        <v>0</v>
      </c>
      <c r="AQ34" s="486">
        <v>0</v>
      </c>
      <c r="AR34" s="486">
        <v>0</v>
      </c>
      <c r="AS34" s="486">
        <v>0</v>
      </c>
      <c r="AT34" s="486">
        <v>0</v>
      </c>
      <c r="AU34" s="486">
        <v>0</v>
      </c>
      <c r="AV34" s="487">
        <v>31200000</v>
      </c>
      <c r="AW34" s="486">
        <v>0</v>
      </c>
      <c r="AX34" s="486">
        <v>0</v>
      </c>
      <c r="AY34" s="486">
        <v>0</v>
      </c>
      <c r="AZ34" s="488">
        <v>0</v>
      </c>
      <c r="BA34" s="490">
        <v>31200000</v>
      </c>
      <c r="BB34" s="486">
        <v>32448000</v>
      </c>
      <c r="BC34" s="486">
        <v>0</v>
      </c>
      <c r="BD34" s="486">
        <v>0</v>
      </c>
      <c r="BE34" s="486">
        <v>0</v>
      </c>
      <c r="BF34" s="486">
        <v>0</v>
      </c>
      <c r="BG34" s="486">
        <v>0</v>
      </c>
      <c r="BH34" s="486">
        <v>0</v>
      </c>
      <c r="BI34" s="486">
        <v>0</v>
      </c>
      <c r="BJ34" s="487">
        <v>32448000</v>
      </c>
      <c r="BK34" s="486">
        <v>0</v>
      </c>
      <c r="BL34" s="486">
        <v>0</v>
      </c>
      <c r="BM34" s="486">
        <v>0</v>
      </c>
      <c r="BN34" s="488">
        <v>0</v>
      </c>
      <c r="BO34" s="490">
        <v>32448000</v>
      </c>
      <c r="BP34" s="486">
        <v>33745920</v>
      </c>
      <c r="BQ34" s="486">
        <v>0</v>
      </c>
      <c r="BR34" s="486">
        <v>0</v>
      </c>
      <c r="BS34" s="486">
        <v>0</v>
      </c>
      <c r="BT34" s="486">
        <v>0</v>
      </c>
      <c r="BU34" s="486">
        <v>0</v>
      </c>
      <c r="BV34" s="486">
        <v>0</v>
      </c>
      <c r="BW34" s="486">
        <v>0</v>
      </c>
      <c r="BX34" s="487">
        <v>33745920</v>
      </c>
      <c r="BY34" s="486">
        <v>0</v>
      </c>
      <c r="BZ34" s="486">
        <v>0</v>
      </c>
      <c r="CA34" s="486">
        <v>0</v>
      </c>
      <c r="CB34" s="488">
        <v>0</v>
      </c>
      <c r="CC34" s="491">
        <v>33745920</v>
      </c>
      <c r="CD34" s="492">
        <v>127393920</v>
      </c>
      <c r="CE34" s="493">
        <f t="shared" si="2"/>
        <v>127393920</v>
      </c>
      <c r="CF34" s="493">
        <f t="shared" si="2"/>
        <v>0</v>
      </c>
      <c r="CG34" s="493">
        <f t="shared" si="2"/>
        <v>0</v>
      </c>
      <c r="CH34" s="493">
        <f t="shared" si="2"/>
        <v>0</v>
      </c>
      <c r="CI34" s="493">
        <f t="shared" si="2"/>
        <v>0</v>
      </c>
      <c r="CJ34" s="493">
        <f t="shared" si="2"/>
        <v>0</v>
      </c>
      <c r="CK34" s="493">
        <f t="shared" si="2"/>
        <v>0</v>
      </c>
      <c r="CL34" s="493">
        <f t="shared" si="2"/>
        <v>0</v>
      </c>
      <c r="CM34" s="493">
        <f t="shared" si="3"/>
        <v>0</v>
      </c>
      <c r="CN34" s="493">
        <f t="shared" si="3"/>
        <v>0</v>
      </c>
      <c r="CO34" s="493">
        <f t="shared" si="3"/>
        <v>0</v>
      </c>
      <c r="CP34" s="494">
        <v>4</v>
      </c>
      <c r="CQ34" s="494" t="s">
        <v>6219</v>
      </c>
    </row>
    <row r="35" spans="1:95" ht="30.45" hidden="1" customHeight="1" thickBot="1">
      <c r="A35" s="555" t="s">
        <v>4031</v>
      </c>
      <c r="B35" s="479">
        <v>33</v>
      </c>
      <c r="C35" s="480" t="s">
        <v>4004</v>
      </c>
      <c r="D35" s="480" t="s">
        <v>4045</v>
      </c>
      <c r="E35" s="480" t="str">
        <f t="shared" si="1"/>
        <v xml:space="preserve">1.3.3 </v>
      </c>
      <c r="F35" s="480" t="s">
        <v>4069</v>
      </c>
      <c r="G35" s="480" t="s">
        <v>4070</v>
      </c>
      <c r="H35" s="481">
        <v>22</v>
      </c>
      <c r="I35" s="480" t="s">
        <v>6430</v>
      </c>
      <c r="J35" s="495">
        <v>220104900</v>
      </c>
      <c r="K35" s="480" t="s">
        <v>4008</v>
      </c>
      <c r="L35" s="480" t="s">
        <v>6431</v>
      </c>
      <c r="M35" s="480" t="s">
        <v>5686</v>
      </c>
      <c r="N35" s="484">
        <v>2800</v>
      </c>
      <c r="O35" s="480" t="s">
        <v>6432</v>
      </c>
      <c r="P35" s="500">
        <v>10000</v>
      </c>
      <c r="Q35" s="485" t="s">
        <v>5340</v>
      </c>
      <c r="R35" s="485" t="s">
        <v>5341</v>
      </c>
      <c r="S35" s="485" t="s">
        <v>689</v>
      </c>
      <c r="T35" s="485">
        <v>262</v>
      </c>
      <c r="U35" s="485" t="s">
        <v>5342</v>
      </c>
      <c r="V35" s="485">
        <v>263</v>
      </c>
      <c r="W35" s="485" t="s">
        <v>5343</v>
      </c>
      <c r="X35" s="485">
        <v>4</v>
      </c>
      <c r="Y35" s="485" t="s">
        <v>732</v>
      </c>
      <c r="Z35" s="486">
        <v>25000000</v>
      </c>
      <c r="AA35" s="486">
        <v>0</v>
      </c>
      <c r="AB35" s="486">
        <v>0</v>
      </c>
      <c r="AC35" s="486">
        <v>0</v>
      </c>
      <c r="AD35" s="486">
        <v>0</v>
      </c>
      <c r="AE35" s="486">
        <v>0</v>
      </c>
      <c r="AF35" s="486">
        <v>0</v>
      </c>
      <c r="AG35" s="486">
        <v>0</v>
      </c>
      <c r="AH35" s="487">
        <v>25000000</v>
      </c>
      <c r="AI35" s="486">
        <v>0</v>
      </c>
      <c r="AJ35" s="486">
        <v>0</v>
      </c>
      <c r="AK35" s="486">
        <v>0</v>
      </c>
      <c r="AL35" s="488">
        <v>0</v>
      </c>
      <c r="AM35" s="489">
        <v>25000000</v>
      </c>
      <c r="AN35" s="486">
        <v>26000000</v>
      </c>
      <c r="AO35" s="486">
        <v>0</v>
      </c>
      <c r="AP35" s="486">
        <v>0</v>
      </c>
      <c r="AQ35" s="486">
        <v>0</v>
      </c>
      <c r="AR35" s="486">
        <v>0</v>
      </c>
      <c r="AS35" s="486">
        <v>0</v>
      </c>
      <c r="AT35" s="486">
        <v>0</v>
      </c>
      <c r="AU35" s="486">
        <v>0</v>
      </c>
      <c r="AV35" s="487">
        <v>26000000</v>
      </c>
      <c r="AW35" s="486">
        <v>0</v>
      </c>
      <c r="AX35" s="486">
        <v>0</v>
      </c>
      <c r="AY35" s="486">
        <v>0</v>
      </c>
      <c r="AZ35" s="488">
        <v>0</v>
      </c>
      <c r="BA35" s="490">
        <v>26000000</v>
      </c>
      <c r="BB35" s="486">
        <v>27040000</v>
      </c>
      <c r="BC35" s="486">
        <v>0</v>
      </c>
      <c r="BD35" s="486">
        <v>0</v>
      </c>
      <c r="BE35" s="486">
        <v>0</v>
      </c>
      <c r="BF35" s="486">
        <v>0</v>
      </c>
      <c r="BG35" s="486">
        <v>0</v>
      </c>
      <c r="BH35" s="486">
        <v>0</v>
      </c>
      <c r="BI35" s="486">
        <v>0</v>
      </c>
      <c r="BJ35" s="487">
        <v>27040000</v>
      </c>
      <c r="BK35" s="486">
        <v>0</v>
      </c>
      <c r="BL35" s="486">
        <v>0</v>
      </c>
      <c r="BM35" s="486">
        <v>0</v>
      </c>
      <c r="BN35" s="488">
        <v>0</v>
      </c>
      <c r="BO35" s="490">
        <v>27040000</v>
      </c>
      <c r="BP35" s="486">
        <v>28121600</v>
      </c>
      <c r="BQ35" s="486">
        <v>0</v>
      </c>
      <c r="BR35" s="486">
        <v>0</v>
      </c>
      <c r="BS35" s="486">
        <v>0</v>
      </c>
      <c r="BT35" s="486">
        <v>0</v>
      </c>
      <c r="BU35" s="486">
        <v>0</v>
      </c>
      <c r="BV35" s="486">
        <v>0</v>
      </c>
      <c r="BW35" s="486">
        <v>0</v>
      </c>
      <c r="BX35" s="487">
        <v>28121600</v>
      </c>
      <c r="BY35" s="486">
        <v>0</v>
      </c>
      <c r="BZ35" s="486">
        <v>0</v>
      </c>
      <c r="CA35" s="486">
        <v>0</v>
      </c>
      <c r="CB35" s="488">
        <v>0</v>
      </c>
      <c r="CC35" s="491">
        <v>28121600</v>
      </c>
      <c r="CD35" s="492">
        <v>106161600</v>
      </c>
      <c r="CE35" s="493">
        <f t="shared" si="2"/>
        <v>106161600</v>
      </c>
      <c r="CF35" s="493">
        <f t="shared" si="2"/>
        <v>0</v>
      </c>
      <c r="CG35" s="493">
        <f t="shared" si="2"/>
        <v>0</v>
      </c>
      <c r="CH35" s="493">
        <f t="shared" si="2"/>
        <v>0</v>
      </c>
      <c r="CI35" s="493">
        <f t="shared" si="2"/>
        <v>0</v>
      </c>
      <c r="CJ35" s="493">
        <f t="shared" si="2"/>
        <v>0</v>
      </c>
      <c r="CK35" s="493">
        <f t="shared" si="2"/>
        <v>0</v>
      </c>
      <c r="CL35" s="493">
        <f t="shared" si="2"/>
        <v>0</v>
      </c>
      <c r="CM35" s="493">
        <f t="shared" si="3"/>
        <v>0</v>
      </c>
      <c r="CN35" s="493">
        <f t="shared" si="3"/>
        <v>0</v>
      </c>
      <c r="CO35" s="493">
        <f t="shared" si="3"/>
        <v>0</v>
      </c>
      <c r="CP35" s="501">
        <v>4</v>
      </c>
      <c r="CQ35" s="497" t="s">
        <v>6220</v>
      </c>
    </row>
    <row r="36" spans="1:95" ht="30.45" hidden="1" customHeight="1" thickBot="1">
      <c r="A36" s="555" t="s">
        <v>4031</v>
      </c>
      <c r="B36" s="479">
        <v>34</v>
      </c>
      <c r="C36" s="480" t="s">
        <v>4004</v>
      </c>
      <c r="D36" s="480" t="s">
        <v>4045</v>
      </c>
      <c r="E36" s="480" t="str">
        <f t="shared" si="1"/>
        <v xml:space="preserve">1.3.3 </v>
      </c>
      <c r="F36" s="480" t="s">
        <v>4069</v>
      </c>
      <c r="G36" s="480" t="s">
        <v>4070</v>
      </c>
      <c r="H36" s="481">
        <v>22</v>
      </c>
      <c r="I36" s="480" t="s">
        <v>4048</v>
      </c>
      <c r="J36" s="495">
        <v>220108900</v>
      </c>
      <c r="K36" s="480" t="s">
        <v>4073</v>
      </c>
      <c r="L36" s="480" t="s">
        <v>6433</v>
      </c>
      <c r="M36" s="480" t="s">
        <v>5687</v>
      </c>
      <c r="N36" s="484">
        <v>82</v>
      </c>
      <c r="O36" s="480" t="s">
        <v>6434</v>
      </c>
      <c r="P36" s="500">
        <v>165</v>
      </c>
      <c r="Q36" s="485" t="s">
        <v>5340</v>
      </c>
      <c r="R36" s="485" t="s">
        <v>5341</v>
      </c>
      <c r="S36" s="485" t="s">
        <v>689</v>
      </c>
      <c r="T36" s="485">
        <v>262</v>
      </c>
      <c r="U36" s="485" t="s">
        <v>5342</v>
      </c>
      <c r="V36" s="485">
        <v>263</v>
      </c>
      <c r="W36" s="485" t="s">
        <v>5343</v>
      </c>
      <c r="X36" s="485">
        <v>4</v>
      </c>
      <c r="Y36" s="485" t="s">
        <v>732</v>
      </c>
      <c r="Z36" s="486">
        <v>5000000</v>
      </c>
      <c r="AA36" s="486">
        <v>0</v>
      </c>
      <c r="AB36" s="486">
        <v>0</v>
      </c>
      <c r="AC36" s="486">
        <v>0</v>
      </c>
      <c r="AD36" s="486">
        <v>0</v>
      </c>
      <c r="AE36" s="486">
        <v>0</v>
      </c>
      <c r="AF36" s="486">
        <v>0</v>
      </c>
      <c r="AG36" s="486">
        <v>0</v>
      </c>
      <c r="AH36" s="487">
        <v>5000000</v>
      </c>
      <c r="AI36" s="486">
        <v>0</v>
      </c>
      <c r="AJ36" s="486">
        <v>0</v>
      </c>
      <c r="AK36" s="486">
        <v>0</v>
      </c>
      <c r="AL36" s="488">
        <v>0</v>
      </c>
      <c r="AM36" s="489">
        <v>5000000</v>
      </c>
      <c r="AN36" s="486">
        <v>5200000</v>
      </c>
      <c r="AO36" s="486">
        <v>0</v>
      </c>
      <c r="AP36" s="486">
        <v>0</v>
      </c>
      <c r="AQ36" s="486">
        <v>0</v>
      </c>
      <c r="AR36" s="486">
        <v>0</v>
      </c>
      <c r="AS36" s="486">
        <v>0</v>
      </c>
      <c r="AT36" s="486">
        <v>0</v>
      </c>
      <c r="AU36" s="486">
        <v>0</v>
      </c>
      <c r="AV36" s="487">
        <v>5200000</v>
      </c>
      <c r="AW36" s="486">
        <v>0</v>
      </c>
      <c r="AX36" s="486">
        <v>0</v>
      </c>
      <c r="AY36" s="486">
        <v>0</v>
      </c>
      <c r="AZ36" s="488">
        <v>0</v>
      </c>
      <c r="BA36" s="490">
        <v>5200000</v>
      </c>
      <c r="BB36" s="486">
        <v>5408000</v>
      </c>
      <c r="BC36" s="486">
        <v>0</v>
      </c>
      <c r="BD36" s="486">
        <v>0</v>
      </c>
      <c r="BE36" s="486">
        <v>0</v>
      </c>
      <c r="BF36" s="486">
        <v>0</v>
      </c>
      <c r="BG36" s="486">
        <v>0</v>
      </c>
      <c r="BH36" s="486">
        <v>0</v>
      </c>
      <c r="BI36" s="486">
        <v>0</v>
      </c>
      <c r="BJ36" s="487">
        <v>5408000</v>
      </c>
      <c r="BK36" s="486">
        <v>0</v>
      </c>
      <c r="BL36" s="486">
        <v>0</v>
      </c>
      <c r="BM36" s="486">
        <v>0</v>
      </c>
      <c r="BN36" s="488">
        <v>0</v>
      </c>
      <c r="BO36" s="490">
        <v>5408000</v>
      </c>
      <c r="BP36" s="486">
        <v>5624320</v>
      </c>
      <c r="BQ36" s="486">
        <v>0</v>
      </c>
      <c r="BR36" s="486">
        <v>0</v>
      </c>
      <c r="BS36" s="486">
        <v>0</v>
      </c>
      <c r="BT36" s="486">
        <v>0</v>
      </c>
      <c r="BU36" s="486">
        <v>0</v>
      </c>
      <c r="BV36" s="486">
        <v>0</v>
      </c>
      <c r="BW36" s="486">
        <v>0</v>
      </c>
      <c r="BX36" s="487">
        <v>5624320</v>
      </c>
      <c r="BY36" s="486">
        <v>0</v>
      </c>
      <c r="BZ36" s="486">
        <v>0</v>
      </c>
      <c r="CA36" s="486">
        <v>0</v>
      </c>
      <c r="CB36" s="488">
        <v>0</v>
      </c>
      <c r="CC36" s="491">
        <v>5624320</v>
      </c>
      <c r="CD36" s="492">
        <v>21232320</v>
      </c>
      <c r="CE36" s="493">
        <f t="shared" si="2"/>
        <v>21232320</v>
      </c>
      <c r="CF36" s="493">
        <f t="shared" si="2"/>
        <v>0</v>
      </c>
      <c r="CG36" s="493">
        <f t="shared" si="2"/>
        <v>0</v>
      </c>
      <c r="CH36" s="493">
        <f t="shared" si="2"/>
        <v>0</v>
      </c>
      <c r="CI36" s="493">
        <f t="shared" si="2"/>
        <v>0</v>
      </c>
      <c r="CJ36" s="493">
        <f t="shared" si="2"/>
        <v>0</v>
      </c>
      <c r="CK36" s="493">
        <f t="shared" si="2"/>
        <v>0</v>
      </c>
      <c r="CL36" s="493">
        <f t="shared" si="2"/>
        <v>0</v>
      </c>
      <c r="CM36" s="493">
        <f t="shared" si="3"/>
        <v>0</v>
      </c>
      <c r="CN36" s="493">
        <f t="shared" si="3"/>
        <v>0</v>
      </c>
      <c r="CO36" s="493">
        <f t="shared" si="3"/>
        <v>0</v>
      </c>
      <c r="CP36" s="494">
        <v>4</v>
      </c>
      <c r="CQ36" s="494" t="s">
        <v>6217</v>
      </c>
    </row>
    <row r="37" spans="1:95" ht="30.45" hidden="1" customHeight="1" thickBot="1">
      <c r="A37" s="555" t="s">
        <v>4031</v>
      </c>
      <c r="B37" s="479">
        <v>35</v>
      </c>
      <c r="C37" s="480" t="s">
        <v>4004</v>
      </c>
      <c r="D37" s="480" t="s">
        <v>4045</v>
      </c>
      <c r="E37" s="480" t="str">
        <f t="shared" si="1"/>
        <v xml:space="preserve">1.3.3 </v>
      </c>
      <c r="F37" s="480" t="s">
        <v>4069</v>
      </c>
      <c r="G37" s="480" t="s">
        <v>4070</v>
      </c>
      <c r="H37" s="481">
        <v>22</v>
      </c>
      <c r="I37" s="480" t="s">
        <v>4048</v>
      </c>
      <c r="J37" s="495">
        <v>220104700</v>
      </c>
      <c r="K37" s="480" t="s">
        <v>4057</v>
      </c>
      <c r="L37" s="480" t="s">
        <v>6435</v>
      </c>
      <c r="M37" s="480" t="s">
        <v>5688</v>
      </c>
      <c r="N37" s="484">
        <v>14</v>
      </c>
      <c r="O37" s="480" t="s">
        <v>6432</v>
      </c>
      <c r="P37" s="500">
        <v>74</v>
      </c>
      <c r="Q37" s="485" t="s">
        <v>5340</v>
      </c>
      <c r="R37" s="485" t="s">
        <v>5341</v>
      </c>
      <c r="S37" s="485" t="s">
        <v>689</v>
      </c>
      <c r="T37" s="485">
        <v>262</v>
      </c>
      <c r="U37" s="485" t="s">
        <v>5342</v>
      </c>
      <c r="V37" s="485">
        <v>263</v>
      </c>
      <c r="W37" s="485" t="s">
        <v>5343</v>
      </c>
      <c r="X37" s="485">
        <v>4</v>
      </c>
      <c r="Y37" s="485" t="s">
        <v>732</v>
      </c>
      <c r="Z37" s="486">
        <v>27720000</v>
      </c>
      <c r="AA37" s="486">
        <v>0</v>
      </c>
      <c r="AB37" s="486">
        <v>0</v>
      </c>
      <c r="AC37" s="486">
        <v>0</v>
      </c>
      <c r="AD37" s="486">
        <v>0</v>
      </c>
      <c r="AE37" s="486">
        <v>0</v>
      </c>
      <c r="AF37" s="486">
        <v>0</v>
      </c>
      <c r="AG37" s="486">
        <v>0</v>
      </c>
      <c r="AH37" s="487">
        <v>27720000</v>
      </c>
      <c r="AI37" s="486">
        <v>0</v>
      </c>
      <c r="AJ37" s="486">
        <v>0</v>
      </c>
      <c r="AK37" s="486">
        <v>0</v>
      </c>
      <c r="AL37" s="488">
        <v>0</v>
      </c>
      <c r="AM37" s="489">
        <v>27720000</v>
      </c>
      <c r="AN37" s="486">
        <v>28828800</v>
      </c>
      <c r="AO37" s="486">
        <v>0</v>
      </c>
      <c r="AP37" s="486">
        <v>0</v>
      </c>
      <c r="AQ37" s="486">
        <v>0</v>
      </c>
      <c r="AR37" s="486">
        <v>0</v>
      </c>
      <c r="AS37" s="486">
        <v>0</v>
      </c>
      <c r="AT37" s="486">
        <v>0</v>
      </c>
      <c r="AU37" s="486">
        <v>0</v>
      </c>
      <c r="AV37" s="487">
        <v>28828800</v>
      </c>
      <c r="AW37" s="486">
        <v>0</v>
      </c>
      <c r="AX37" s="486">
        <v>0</v>
      </c>
      <c r="AY37" s="486">
        <v>0</v>
      </c>
      <c r="AZ37" s="488">
        <v>0</v>
      </c>
      <c r="BA37" s="490">
        <v>28828800</v>
      </c>
      <c r="BB37" s="486">
        <v>29981952</v>
      </c>
      <c r="BC37" s="486">
        <v>0</v>
      </c>
      <c r="BD37" s="486">
        <v>0</v>
      </c>
      <c r="BE37" s="486">
        <v>0</v>
      </c>
      <c r="BF37" s="486">
        <v>0</v>
      </c>
      <c r="BG37" s="486">
        <v>0</v>
      </c>
      <c r="BH37" s="486">
        <v>0</v>
      </c>
      <c r="BI37" s="486">
        <v>0</v>
      </c>
      <c r="BJ37" s="487">
        <v>29981952</v>
      </c>
      <c r="BK37" s="486">
        <v>0</v>
      </c>
      <c r="BL37" s="486">
        <v>0</v>
      </c>
      <c r="BM37" s="486">
        <v>0</v>
      </c>
      <c r="BN37" s="488">
        <v>0</v>
      </c>
      <c r="BO37" s="490">
        <v>29981952</v>
      </c>
      <c r="BP37" s="486">
        <v>31181230.080000002</v>
      </c>
      <c r="BQ37" s="486">
        <v>0</v>
      </c>
      <c r="BR37" s="486">
        <v>0</v>
      </c>
      <c r="BS37" s="486">
        <v>0</v>
      </c>
      <c r="BT37" s="486">
        <v>0</v>
      </c>
      <c r="BU37" s="486">
        <v>0</v>
      </c>
      <c r="BV37" s="486">
        <v>0</v>
      </c>
      <c r="BW37" s="486">
        <v>0</v>
      </c>
      <c r="BX37" s="487">
        <v>31181230.080000002</v>
      </c>
      <c r="BY37" s="486">
        <v>0</v>
      </c>
      <c r="BZ37" s="486">
        <v>0</v>
      </c>
      <c r="CA37" s="486">
        <v>0</v>
      </c>
      <c r="CB37" s="488">
        <v>0</v>
      </c>
      <c r="CC37" s="491">
        <v>31181230.080000002</v>
      </c>
      <c r="CD37" s="492">
        <v>117711982.08</v>
      </c>
      <c r="CE37" s="493">
        <f t="shared" si="2"/>
        <v>117711982.08</v>
      </c>
      <c r="CF37" s="493">
        <f t="shared" si="2"/>
        <v>0</v>
      </c>
      <c r="CG37" s="493">
        <f t="shared" si="2"/>
        <v>0</v>
      </c>
      <c r="CH37" s="493">
        <f t="shared" si="2"/>
        <v>0</v>
      </c>
      <c r="CI37" s="493">
        <f t="shared" si="2"/>
        <v>0</v>
      </c>
      <c r="CJ37" s="493">
        <f t="shared" si="2"/>
        <v>0</v>
      </c>
      <c r="CK37" s="493">
        <f t="shared" si="2"/>
        <v>0</v>
      </c>
      <c r="CL37" s="493">
        <f t="shared" si="2"/>
        <v>0</v>
      </c>
      <c r="CM37" s="493">
        <f t="shared" si="3"/>
        <v>0</v>
      </c>
      <c r="CN37" s="493">
        <f t="shared" si="3"/>
        <v>0</v>
      </c>
      <c r="CO37" s="493">
        <f t="shared" si="3"/>
        <v>0</v>
      </c>
      <c r="CP37" s="494" t="s">
        <v>6204</v>
      </c>
      <c r="CQ37" s="494" t="s">
        <v>6221</v>
      </c>
    </row>
    <row r="38" spans="1:95" ht="30.45" hidden="1" customHeight="1" thickBot="1">
      <c r="A38" s="555" t="s">
        <v>4031</v>
      </c>
      <c r="B38" s="479">
        <v>36</v>
      </c>
      <c r="C38" s="480" t="s">
        <v>4004</v>
      </c>
      <c r="D38" s="480" t="s">
        <v>4045</v>
      </c>
      <c r="E38" s="480" t="str">
        <f t="shared" si="1"/>
        <v xml:space="preserve">1.3.3 </v>
      </c>
      <c r="F38" s="480" t="s">
        <v>4069</v>
      </c>
      <c r="G38" s="480" t="s">
        <v>4070</v>
      </c>
      <c r="H38" s="481">
        <v>22</v>
      </c>
      <c r="I38" s="480" t="s">
        <v>4048</v>
      </c>
      <c r="J38" s="495">
        <v>220105000</v>
      </c>
      <c r="K38" s="480" t="s">
        <v>4013</v>
      </c>
      <c r="L38" s="480" t="s">
        <v>4074</v>
      </c>
      <c r="M38" s="480" t="s">
        <v>5689</v>
      </c>
      <c r="N38" s="484">
        <v>90767</v>
      </c>
      <c r="O38" s="480" t="s">
        <v>6436</v>
      </c>
      <c r="P38" s="500">
        <v>90767</v>
      </c>
      <c r="Q38" s="485" t="s">
        <v>5340</v>
      </c>
      <c r="R38" s="485" t="s">
        <v>5341</v>
      </c>
      <c r="S38" s="485" t="s">
        <v>689</v>
      </c>
      <c r="T38" s="485">
        <v>262</v>
      </c>
      <c r="U38" s="485" t="s">
        <v>5342</v>
      </c>
      <c r="V38" s="485">
        <v>263</v>
      </c>
      <c r="W38" s="485" t="s">
        <v>5343</v>
      </c>
      <c r="X38" s="485">
        <v>4</v>
      </c>
      <c r="Y38" s="485" t="s">
        <v>732</v>
      </c>
      <c r="Z38" s="486">
        <v>0</v>
      </c>
      <c r="AA38" s="486">
        <v>0</v>
      </c>
      <c r="AB38" s="486">
        <v>1918064939.4000001</v>
      </c>
      <c r="AC38" s="486">
        <v>0</v>
      </c>
      <c r="AD38" s="486">
        <v>0</v>
      </c>
      <c r="AE38" s="486">
        <v>0</v>
      </c>
      <c r="AF38" s="486">
        <v>0</v>
      </c>
      <c r="AG38" s="486">
        <v>0</v>
      </c>
      <c r="AH38" s="487">
        <v>1918064939.4000001</v>
      </c>
      <c r="AI38" s="486">
        <v>0</v>
      </c>
      <c r="AJ38" s="486">
        <v>0</v>
      </c>
      <c r="AK38" s="486">
        <v>0</v>
      </c>
      <c r="AL38" s="488">
        <v>0</v>
      </c>
      <c r="AM38" s="489">
        <v>1918064939.4000001</v>
      </c>
      <c r="AN38" s="486">
        <v>0</v>
      </c>
      <c r="AO38" s="486">
        <v>0</v>
      </c>
      <c r="AP38" s="486">
        <v>1994787536.9760001</v>
      </c>
      <c r="AQ38" s="486">
        <v>0</v>
      </c>
      <c r="AR38" s="486">
        <v>0</v>
      </c>
      <c r="AS38" s="486">
        <v>0</v>
      </c>
      <c r="AT38" s="486">
        <v>0</v>
      </c>
      <c r="AU38" s="486">
        <v>0</v>
      </c>
      <c r="AV38" s="487">
        <v>1994787536.9760001</v>
      </c>
      <c r="AW38" s="486">
        <v>0</v>
      </c>
      <c r="AX38" s="486">
        <v>0</v>
      </c>
      <c r="AY38" s="486">
        <v>0</v>
      </c>
      <c r="AZ38" s="488">
        <v>0</v>
      </c>
      <c r="BA38" s="490">
        <v>1994787536.9760001</v>
      </c>
      <c r="BB38" s="486">
        <v>0</v>
      </c>
      <c r="BC38" s="486">
        <v>0</v>
      </c>
      <c r="BD38" s="486">
        <v>2074579038.4550402</v>
      </c>
      <c r="BE38" s="486">
        <v>0</v>
      </c>
      <c r="BF38" s="486">
        <v>0</v>
      </c>
      <c r="BG38" s="486">
        <v>0</v>
      </c>
      <c r="BH38" s="486">
        <v>0</v>
      </c>
      <c r="BI38" s="486">
        <v>0</v>
      </c>
      <c r="BJ38" s="487">
        <v>2074579038.4550402</v>
      </c>
      <c r="BK38" s="486">
        <v>0</v>
      </c>
      <c r="BL38" s="486">
        <v>0</v>
      </c>
      <c r="BM38" s="486">
        <v>0</v>
      </c>
      <c r="BN38" s="488">
        <v>0</v>
      </c>
      <c r="BO38" s="490">
        <v>2074579038.4550402</v>
      </c>
      <c r="BP38" s="486">
        <v>0</v>
      </c>
      <c r="BQ38" s="486">
        <v>0</v>
      </c>
      <c r="BR38" s="486">
        <v>2157562199.9932418</v>
      </c>
      <c r="BS38" s="486">
        <v>0</v>
      </c>
      <c r="BT38" s="486">
        <v>0</v>
      </c>
      <c r="BU38" s="486">
        <v>0</v>
      </c>
      <c r="BV38" s="486">
        <v>0</v>
      </c>
      <c r="BW38" s="486">
        <v>0</v>
      </c>
      <c r="BX38" s="487">
        <v>2157562199.9932418</v>
      </c>
      <c r="BY38" s="486">
        <v>0</v>
      </c>
      <c r="BZ38" s="486">
        <v>0</v>
      </c>
      <c r="CA38" s="486">
        <v>0</v>
      </c>
      <c r="CB38" s="488">
        <v>0</v>
      </c>
      <c r="CC38" s="491">
        <v>2157562199.9932418</v>
      </c>
      <c r="CD38" s="492">
        <v>8144993714.8242817</v>
      </c>
      <c r="CE38" s="493">
        <f t="shared" si="2"/>
        <v>0</v>
      </c>
      <c r="CF38" s="493">
        <f t="shared" si="2"/>
        <v>0</v>
      </c>
      <c r="CG38" s="493">
        <f t="shared" si="2"/>
        <v>8144993714.8242817</v>
      </c>
      <c r="CH38" s="493">
        <f t="shared" si="2"/>
        <v>0</v>
      </c>
      <c r="CI38" s="493">
        <f t="shared" si="2"/>
        <v>0</v>
      </c>
      <c r="CJ38" s="493">
        <f t="shared" si="2"/>
        <v>0</v>
      </c>
      <c r="CK38" s="493">
        <f t="shared" si="2"/>
        <v>0</v>
      </c>
      <c r="CL38" s="493">
        <f t="shared" si="2"/>
        <v>0</v>
      </c>
      <c r="CM38" s="493">
        <f t="shared" si="3"/>
        <v>0</v>
      </c>
      <c r="CN38" s="493">
        <f t="shared" si="3"/>
        <v>0</v>
      </c>
      <c r="CO38" s="493">
        <f t="shared" si="3"/>
        <v>0</v>
      </c>
      <c r="CP38" s="494" t="s">
        <v>6204</v>
      </c>
      <c r="CQ38" s="494" t="s">
        <v>6222</v>
      </c>
    </row>
    <row r="39" spans="1:95" ht="30.45" hidden="1" customHeight="1" thickBot="1">
      <c r="A39" s="555" t="s">
        <v>4031</v>
      </c>
      <c r="B39" s="479">
        <v>37</v>
      </c>
      <c r="C39" s="480" t="s">
        <v>4004</v>
      </c>
      <c r="D39" s="480" t="s">
        <v>4045</v>
      </c>
      <c r="E39" s="480" t="str">
        <f t="shared" si="1"/>
        <v xml:space="preserve">1.3.3 </v>
      </c>
      <c r="F39" s="480" t="s">
        <v>4069</v>
      </c>
      <c r="G39" s="480" t="s">
        <v>4070</v>
      </c>
      <c r="H39" s="481">
        <v>22</v>
      </c>
      <c r="I39" s="480" t="s">
        <v>4048</v>
      </c>
      <c r="J39" s="495">
        <v>220100600</v>
      </c>
      <c r="K39" s="480" t="s">
        <v>4071</v>
      </c>
      <c r="L39" s="480" t="s">
        <v>4075</v>
      </c>
      <c r="M39" s="480" t="s">
        <v>5690</v>
      </c>
      <c r="N39" s="484">
        <v>18</v>
      </c>
      <c r="O39" s="480" t="s">
        <v>6437</v>
      </c>
      <c r="P39" s="500">
        <v>58</v>
      </c>
      <c r="Q39" s="485" t="s">
        <v>5340</v>
      </c>
      <c r="R39" s="485" t="s">
        <v>5341</v>
      </c>
      <c r="S39" s="485" t="s">
        <v>689</v>
      </c>
      <c r="T39" s="485">
        <v>262</v>
      </c>
      <c r="U39" s="485" t="s">
        <v>5342</v>
      </c>
      <c r="V39" s="485">
        <v>263</v>
      </c>
      <c r="W39" s="485" t="s">
        <v>5343</v>
      </c>
      <c r="X39" s="485">
        <v>4</v>
      </c>
      <c r="Y39" s="485" t="s">
        <v>732</v>
      </c>
      <c r="Z39" s="486">
        <v>13475000</v>
      </c>
      <c r="AA39" s="486">
        <v>0</v>
      </c>
      <c r="AB39" s="486">
        <v>0</v>
      </c>
      <c r="AC39" s="486">
        <v>0</v>
      </c>
      <c r="AD39" s="486">
        <v>0</v>
      </c>
      <c r="AE39" s="486">
        <v>0</v>
      </c>
      <c r="AF39" s="486">
        <v>0</v>
      </c>
      <c r="AG39" s="486">
        <v>0</v>
      </c>
      <c r="AH39" s="487">
        <v>13475000</v>
      </c>
      <c r="AI39" s="486">
        <v>0</v>
      </c>
      <c r="AJ39" s="486">
        <v>0</v>
      </c>
      <c r="AK39" s="486">
        <v>0</v>
      </c>
      <c r="AL39" s="488">
        <v>0</v>
      </c>
      <c r="AM39" s="489">
        <v>13475000</v>
      </c>
      <c r="AN39" s="486">
        <v>14014000</v>
      </c>
      <c r="AO39" s="486">
        <v>0</v>
      </c>
      <c r="AP39" s="486">
        <v>0</v>
      </c>
      <c r="AQ39" s="486">
        <v>0</v>
      </c>
      <c r="AR39" s="486">
        <v>0</v>
      </c>
      <c r="AS39" s="486">
        <v>0</v>
      </c>
      <c r="AT39" s="486">
        <v>0</v>
      </c>
      <c r="AU39" s="486">
        <v>0</v>
      </c>
      <c r="AV39" s="487">
        <v>14014000</v>
      </c>
      <c r="AW39" s="486">
        <v>0</v>
      </c>
      <c r="AX39" s="486">
        <v>0</v>
      </c>
      <c r="AY39" s="486">
        <v>0</v>
      </c>
      <c r="AZ39" s="488">
        <v>0</v>
      </c>
      <c r="BA39" s="490">
        <v>14014000</v>
      </c>
      <c r="BB39" s="486">
        <v>14574560</v>
      </c>
      <c r="BC39" s="486">
        <v>0</v>
      </c>
      <c r="BD39" s="486">
        <v>0</v>
      </c>
      <c r="BE39" s="486">
        <v>0</v>
      </c>
      <c r="BF39" s="486">
        <v>0</v>
      </c>
      <c r="BG39" s="486">
        <v>0</v>
      </c>
      <c r="BH39" s="486">
        <v>0</v>
      </c>
      <c r="BI39" s="486">
        <v>0</v>
      </c>
      <c r="BJ39" s="487">
        <v>14574560</v>
      </c>
      <c r="BK39" s="486">
        <v>0</v>
      </c>
      <c r="BL39" s="486">
        <v>0</v>
      </c>
      <c r="BM39" s="486">
        <v>0</v>
      </c>
      <c r="BN39" s="488">
        <v>0</v>
      </c>
      <c r="BO39" s="490">
        <v>14574560</v>
      </c>
      <c r="BP39" s="486">
        <v>15157542.4</v>
      </c>
      <c r="BQ39" s="486">
        <v>0</v>
      </c>
      <c r="BR39" s="486">
        <v>0</v>
      </c>
      <c r="BS39" s="486">
        <v>0</v>
      </c>
      <c r="BT39" s="486">
        <v>0</v>
      </c>
      <c r="BU39" s="486">
        <v>0</v>
      </c>
      <c r="BV39" s="486">
        <v>0</v>
      </c>
      <c r="BW39" s="486">
        <v>0</v>
      </c>
      <c r="BX39" s="487">
        <v>15157542.4</v>
      </c>
      <c r="BY39" s="486">
        <v>0</v>
      </c>
      <c r="BZ39" s="486">
        <v>0</v>
      </c>
      <c r="CA39" s="486">
        <v>0</v>
      </c>
      <c r="CB39" s="488">
        <v>0</v>
      </c>
      <c r="CC39" s="491">
        <v>15157542.4</v>
      </c>
      <c r="CD39" s="492">
        <v>57221102.399999999</v>
      </c>
      <c r="CE39" s="493">
        <f t="shared" si="2"/>
        <v>57221102.399999999</v>
      </c>
      <c r="CF39" s="493">
        <f t="shared" si="2"/>
        <v>0</v>
      </c>
      <c r="CG39" s="493">
        <f t="shared" si="2"/>
        <v>0</v>
      </c>
      <c r="CH39" s="493">
        <f t="shared" si="2"/>
        <v>0</v>
      </c>
      <c r="CI39" s="493">
        <f t="shared" si="2"/>
        <v>0</v>
      </c>
      <c r="CJ39" s="493">
        <f t="shared" si="2"/>
        <v>0</v>
      </c>
      <c r="CK39" s="493">
        <f t="shared" si="2"/>
        <v>0</v>
      </c>
      <c r="CL39" s="493">
        <f t="shared" si="2"/>
        <v>0</v>
      </c>
      <c r="CM39" s="493">
        <f t="shared" si="3"/>
        <v>0</v>
      </c>
      <c r="CN39" s="493">
        <f t="shared" si="3"/>
        <v>0</v>
      </c>
      <c r="CO39" s="493">
        <f t="shared" si="3"/>
        <v>0</v>
      </c>
      <c r="CP39" s="494">
        <v>4</v>
      </c>
      <c r="CQ39" s="502" t="s">
        <v>6223</v>
      </c>
    </row>
    <row r="40" spans="1:95" ht="30.45" hidden="1" customHeight="1" thickBot="1">
      <c r="A40" s="555" t="s">
        <v>4031</v>
      </c>
      <c r="B40" s="479">
        <v>38</v>
      </c>
      <c r="C40" s="480" t="s">
        <v>4004</v>
      </c>
      <c r="D40" s="480" t="s">
        <v>4045</v>
      </c>
      <c r="E40" s="480" t="str">
        <f t="shared" si="1"/>
        <v xml:space="preserve">1.3.4 </v>
      </c>
      <c r="F40" s="480" t="s">
        <v>4076</v>
      </c>
      <c r="G40" s="480" t="s">
        <v>4077</v>
      </c>
      <c r="H40" s="481">
        <v>22</v>
      </c>
      <c r="I40" s="480" t="s">
        <v>4048</v>
      </c>
      <c r="J40" s="495">
        <v>220105100</v>
      </c>
      <c r="K40" s="480" t="s">
        <v>4037</v>
      </c>
      <c r="L40" s="480" t="s">
        <v>4078</v>
      </c>
      <c r="M40" s="480" t="s">
        <v>5691</v>
      </c>
      <c r="N40" s="484">
        <v>24</v>
      </c>
      <c r="O40" s="480" t="s">
        <v>4079</v>
      </c>
      <c r="P40" s="500">
        <v>40</v>
      </c>
      <c r="Q40" s="485">
        <v>40010006</v>
      </c>
      <c r="R40" s="485" t="s">
        <v>5338</v>
      </c>
      <c r="S40" s="485" t="s">
        <v>677</v>
      </c>
      <c r="T40" s="485">
        <v>0.91</v>
      </c>
      <c r="U40" s="485" t="s">
        <v>5335</v>
      </c>
      <c r="V40" s="485">
        <v>0.91</v>
      </c>
      <c r="W40" s="485" t="s">
        <v>5331</v>
      </c>
      <c r="X40" s="485">
        <v>4</v>
      </c>
      <c r="Y40" s="485" t="s">
        <v>2587</v>
      </c>
      <c r="Z40" s="486">
        <v>0</v>
      </c>
      <c r="AA40" s="486">
        <v>59260000</v>
      </c>
      <c r="AB40" s="486">
        <v>0</v>
      </c>
      <c r="AC40" s="486">
        <v>0</v>
      </c>
      <c r="AD40" s="486">
        <v>0</v>
      </c>
      <c r="AE40" s="486">
        <v>0</v>
      </c>
      <c r="AF40" s="486">
        <v>0</v>
      </c>
      <c r="AG40" s="486">
        <v>0</v>
      </c>
      <c r="AH40" s="487">
        <v>59260000</v>
      </c>
      <c r="AI40" s="486">
        <v>0</v>
      </c>
      <c r="AJ40" s="486">
        <v>0</v>
      </c>
      <c r="AK40" s="486">
        <v>0</v>
      </c>
      <c r="AL40" s="488">
        <v>0</v>
      </c>
      <c r="AM40" s="489">
        <v>59260000</v>
      </c>
      <c r="AN40" s="486">
        <v>0</v>
      </c>
      <c r="AO40" s="486">
        <v>61630400</v>
      </c>
      <c r="AP40" s="486">
        <v>0</v>
      </c>
      <c r="AQ40" s="486">
        <v>0</v>
      </c>
      <c r="AR40" s="486">
        <v>0</v>
      </c>
      <c r="AS40" s="486">
        <v>0</v>
      </c>
      <c r="AT40" s="486">
        <v>0</v>
      </c>
      <c r="AU40" s="486">
        <v>0</v>
      </c>
      <c r="AV40" s="487">
        <v>61630400</v>
      </c>
      <c r="AW40" s="486">
        <v>0</v>
      </c>
      <c r="AX40" s="486">
        <v>0</v>
      </c>
      <c r="AY40" s="486">
        <v>0</v>
      </c>
      <c r="AZ40" s="488">
        <v>0</v>
      </c>
      <c r="BA40" s="490">
        <v>61630400</v>
      </c>
      <c r="BB40" s="486">
        <v>0</v>
      </c>
      <c r="BC40" s="486">
        <v>64095616</v>
      </c>
      <c r="BD40" s="486">
        <v>0</v>
      </c>
      <c r="BE40" s="486">
        <v>0</v>
      </c>
      <c r="BF40" s="486">
        <v>0</v>
      </c>
      <c r="BG40" s="486">
        <v>0</v>
      </c>
      <c r="BH40" s="486">
        <v>0</v>
      </c>
      <c r="BI40" s="486">
        <v>0</v>
      </c>
      <c r="BJ40" s="487">
        <v>64095616</v>
      </c>
      <c r="BK40" s="486">
        <v>0</v>
      </c>
      <c r="BL40" s="486">
        <v>0</v>
      </c>
      <c r="BM40" s="486">
        <v>0</v>
      </c>
      <c r="BN40" s="488">
        <v>0</v>
      </c>
      <c r="BO40" s="490">
        <v>64095616</v>
      </c>
      <c r="BP40" s="486">
        <v>0</v>
      </c>
      <c r="BQ40" s="486">
        <v>66659440.640000001</v>
      </c>
      <c r="BR40" s="486">
        <v>0</v>
      </c>
      <c r="BS40" s="486">
        <v>0</v>
      </c>
      <c r="BT40" s="486">
        <v>0</v>
      </c>
      <c r="BU40" s="486">
        <v>0</v>
      </c>
      <c r="BV40" s="486">
        <v>0</v>
      </c>
      <c r="BW40" s="486">
        <v>0</v>
      </c>
      <c r="BX40" s="487">
        <v>66659440.640000001</v>
      </c>
      <c r="BY40" s="486">
        <v>0</v>
      </c>
      <c r="BZ40" s="486">
        <v>0</v>
      </c>
      <c r="CA40" s="486">
        <v>0</v>
      </c>
      <c r="CB40" s="488">
        <v>0</v>
      </c>
      <c r="CC40" s="491">
        <v>66659440.640000001</v>
      </c>
      <c r="CD40" s="492">
        <v>251645456.63999999</v>
      </c>
      <c r="CE40" s="493">
        <f t="shared" si="2"/>
        <v>0</v>
      </c>
      <c r="CF40" s="493">
        <f t="shared" si="2"/>
        <v>251645456.63999999</v>
      </c>
      <c r="CG40" s="493">
        <f t="shared" si="2"/>
        <v>0</v>
      </c>
      <c r="CH40" s="493">
        <f t="shared" si="2"/>
        <v>0</v>
      </c>
      <c r="CI40" s="493">
        <f t="shared" si="2"/>
        <v>0</v>
      </c>
      <c r="CJ40" s="493">
        <f t="shared" si="2"/>
        <v>0</v>
      </c>
      <c r="CK40" s="493">
        <f t="shared" si="2"/>
        <v>0</v>
      </c>
      <c r="CL40" s="493">
        <f t="shared" si="2"/>
        <v>0</v>
      </c>
      <c r="CM40" s="493">
        <f t="shared" si="3"/>
        <v>0</v>
      </c>
      <c r="CN40" s="493">
        <f t="shared" si="3"/>
        <v>0</v>
      </c>
      <c r="CO40" s="493">
        <f t="shared" si="3"/>
        <v>0</v>
      </c>
      <c r="CP40" s="494">
        <v>4</v>
      </c>
      <c r="CQ40" s="494" t="s">
        <v>6216</v>
      </c>
    </row>
    <row r="41" spans="1:95" ht="30.45" hidden="1" customHeight="1" thickBot="1">
      <c r="A41" s="555" t="s">
        <v>4031</v>
      </c>
      <c r="B41" s="479">
        <v>39</v>
      </c>
      <c r="C41" s="480" t="s">
        <v>4004</v>
      </c>
      <c r="D41" s="480" t="s">
        <v>4045</v>
      </c>
      <c r="E41" s="480" t="str">
        <f t="shared" si="1"/>
        <v xml:space="preserve">1.3.4 </v>
      </c>
      <c r="F41" s="480" t="s">
        <v>4076</v>
      </c>
      <c r="G41" s="480" t="s">
        <v>4077</v>
      </c>
      <c r="H41" s="481">
        <v>22</v>
      </c>
      <c r="I41" s="480" t="s">
        <v>4048</v>
      </c>
      <c r="J41" s="495">
        <v>220105200</v>
      </c>
      <c r="K41" s="480" t="s">
        <v>4037</v>
      </c>
      <c r="L41" s="480" t="s">
        <v>4038</v>
      </c>
      <c r="M41" s="480" t="s">
        <v>6438</v>
      </c>
      <c r="N41" s="484">
        <v>220</v>
      </c>
      <c r="O41" s="480" t="s">
        <v>4079</v>
      </c>
      <c r="P41" s="500">
        <v>590</v>
      </c>
      <c r="Q41" s="485">
        <v>40010006</v>
      </c>
      <c r="R41" s="485" t="s">
        <v>5338</v>
      </c>
      <c r="S41" s="485" t="s">
        <v>677</v>
      </c>
      <c r="T41" s="485">
        <v>0.91</v>
      </c>
      <c r="U41" s="485" t="s">
        <v>5335</v>
      </c>
      <c r="V41" s="485">
        <v>0.91</v>
      </c>
      <c r="W41" s="485" t="s">
        <v>5331</v>
      </c>
      <c r="X41" s="485">
        <v>4</v>
      </c>
      <c r="Y41" s="485" t="s">
        <v>2587</v>
      </c>
      <c r="Z41" s="486">
        <v>0</v>
      </c>
      <c r="AA41" s="486">
        <v>3773195876</v>
      </c>
      <c r="AB41" s="486">
        <v>0</v>
      </c>
      <c r="AC41" s="486">
        <v>0</v>
      </c>
      <c r="AD41" s="486">
        <v>0</v>
      </c>
      <c r="AE41" s="486">
        <v>0</v>
      </c>
      <c r="AF41" s="486">
        <v>0</v>
      </c>
      <c r="AG41" s="486">
        <v>0</v>
      </c>
      <c r="AH41" s="487">
        <v>3773195876</v>
      </c>
      <c r="AI41" s="486">
        <v>0</v>
      </c>
      <c r="AJ41" s="486">
        <v>0</v>
      </c>
      <c r="AK41" s="486">
        <v>0</v>
      </c>
      <c r="AL41" s="488">
        <v>0</v>
      </c>
      <c r="AM41" s="489">
        <v>3773195876</v>
      </c>
      <c r="AN41" s="486">
        <v>0</v>
      </c>
      <c r="AO41" s="486">
        <v>3924123711.04</v>
      </c>
      <c r="AP41" s="486">
        <v>0</v>
      </c>
      <c r="AQ41" s="486">
        <v>0</v>
      </c>
      <c r="AR41" s="486">
        <v>0</v>
      </c>
      <c r="AS41" s="486">
        <v>0</v>
      </c>
      <c r="AT41" s="486">
        <v>0</v>
      </c>
      <c r="AU41" s="486">
        <v>0</v>
      </c>
      <c r="AV41" s="487">
        <v>3924123711.04</v>
      </c>
      <c r="AW41" s="486">
        <v>0</v>
      </c>
      <c r="AX41" s="486">
        <v>0</v>
      </c>
      <c r="AY41" s="486">
        <v>0</v>
      </c>
      <c r="AZ41" s="488">
        <v>0</v>
      </c>
      <c r="BA41" s="490">
        <v>3924123711.04</v>
      </c>
      <c r="BB41" s="486">
        <v>0</v>
      </c>
      <c r="BC41" s="486">
        <v>4081088659.4816003</v>
      </c>
      <c r="BD41" s="486">
        <v>0</v>
      </c>
      <c r="BE41" s="486">
        <v>0</v>
      </c>
      <c r="BF41" s="486">
        <v>0</v>
      </c>
      <c r="BG41" s="486">
        <v>0</v>
      </c>
      <c r="BH41" s="486">
        <v>0</v>
      </c>
      <c r="BI41" s="486">
        <v>0</v>
      </c>
      <c r="BJ41" s="487">
        <v>4081088659.4816003</v>
      </c>
      <c r="BK41" s="486">
        <v>0</v>
      </c>
      <c r="BL41" s="486">
        <v>0</v>
      </c>
      <c r="BM41" s="486">
        <v>0</v>
      </c>
      <c r="BN41" s="488">
        <v>0</v>
      </c>
      <c r="BO41" s="490">
        <v>4081088659.4816003</v>
      </c>
      <c r="BP41" s="486">
        <v>0</v>
      </c>
      <c r="BQ41" s="486">
        <v>4244332205.8608646</v>
      </c>
      <c r="BR41" s="486">
        <v>0</v>
      </c>
      <c r="BS41" s="486">
        <v>0</v>
      </c>
      <c r="BT41" s="486">
        <v>0</v>
      </c>
      <c r="BU41" s="486">
        <v>0</v>
      </c>
      <c r="BV41" s="486">
        <v>0</v>
      </c>
      <c r="BW41" s="486">
        <v>0</v>
      </c>
      <c r="BX41" s="487">
        <v>4244332205.8608646</v>
      </c>
      <c r="BY41" s="486">
        <v>0</v>
      </c>
      <c r="BZ41" s="486">
        <v>0</v>
      </c>
      <c r="CA41" s="486">
        <v>0</v>
      </c>
      <c r="CB41" s="488">
        <v>0</v>
      </c>
      <c r="CC41" s="491">
        <v>4244332205.8608646</v>
      </c>
      <c r="CD41" s="492">
        <v>16022740452.382465</v>
      </c>
      <c r="CE41" s="493">
        <f t="shared" si="2"/>
        <v>0</v>
      </c>
      <c r="CF41" s="493">
        <f t="shared" si="2"/>
        <v>16022740452.382465</v>
      </c>
      <c r="CG41" s="493">
        <f t="shared" si="2"/>
        <v>0</v>
      </c>
      <c r="CH41" s="493">
        <f t="shared" si="2"/>
        <v>0</v>
      </c>
      <c r="CI41" s="493">
        <f t="shared" si="2"/>
        <v>0</v>
      </c>
      <c r="CJ41" s="493">
        <f t="shared" si="2"/>
        <v>0</v>
      </c>
      <c r="CK41" s="493">
        <f t="shared" si="2"/>
        <v>0</v>
      </c>
      <c r="CL41" s="493">
        <f t="shared" si="2"/>
        <v>0</v>
      </c>
      <c r="CM41" s="493">
        <f t="shared" si="3"/>
        <v>0</v>
      </c>
      <c r="CN41" s="493">
        <f t="shared" si="3"/>
        <v>0</v>
      </c>
      <c r="CO41" s="493">
        <f t="shared" si="3"/>
        <v>0</v>
      </c>
      <c r="CP41" s="494">
        <v>4</v>
      </c>
      <c r="CQ41" s="494" t="s">
        <v>6216</v>
      </c>
    </row>
    <row r="42" spans="1:95" ht="30.45" hidden="1" customHeight="1" thickBot="1">
      <c r="A42" s="555" t="s">
        <v>4031</v>
      </c>
      <c r="B42" s="479">
        <v>40</v>
      </c>
      <c r="C42" s="480" t="s">
        <v>4004</v>
      </c>
      <c r="D42" s="480" t="s">
        <v>4045</v>
      </c>
      <c r="E42" s="480" t="str">
        <f t="shared" si="1"/>
        <v xml:space="preserve">1.3.4 </v>
      </c>
      <c r="F42" s="480" t="s">
        <v>4076</v>
      </c>
      <c r="G42" s="480" t="s">
        <v>4077</v>
      </c>
      <c r="H42" s="481">
        <v>22</v>
      </c>
      <c r="I42" s="480" t="s">
        <v>4048</v>
      </c>
      <c r="J42" s="495">
        <v>220106900</v>
      </c>
      <c r="K42" s="480" t="s">
        <v>4037</v>
      </c>
      <c r="L42" s="480" t="s">
        <v>4080</v>
      </c>
      <c r="M42" s="480" t="s">
        <v>5692</v>
      </c>
      <c r="N42" s="484">
        <v>63</v>
      </c>
      <c r="O42" s="480" t="s">
        <v>4079</v>
      </c>
      <c r="P42" s="500">
        <v>318</v>
      </c>
      <c r="Q42" s="485">
        <v>40010006</v>
      </c>
      <c r="R42" s="485" t="s">
        <v>5338</v>
      </c>
      <c r="S42" s="485" t="s">
        <v>677</v>
      </c>
      <c r="T42" s="485">
        <v>0.91</v>
      </c>
      <c r="U42" s="485" t="s">
        <v>5335</v>
      </c>
      <c r="V42" s="485">
        <v>0.91</v>
      </c>
      <c r="W42" s="485" t="s">
        <v>5331</v>
      </c>
      <c r="X42" s="485">
        <v>4</v>
      </c>
      <c r="Y42" s="485" t="s">
        <v>2587</v>
      </c>
      <c r="Z42" s="486">
        <v>0</v>
      </c>
      <c r="AA42" s="486">
        <v>40000000</v>
      </c>
      <c r="AB42" s="486">
        <v>0</v>
      </c>
      <c r="AC42" s="486">
        <v>0</v>
      </c>
      <c r="AD42" s="486">
        <v>0</v>
      </c>
      <c r="AE42" s="486">
        <v>0</v>
      </c>
      <c r="AF42" s="486">
        <v>29000000000</v>
      </c>
      <c r="AG42" s="486">
        <v>0</v>
      </c>
      <c r="AH42" s="487">
        <v>29040000000</v>
      </c>
      <c r="AI42" s="486">
        <v>0</v>
      </c>
      <c r="AJ42" s="486">
        <v>0</v>
      </c>
      <c r="AK42" s="486"/>
      <c r="AL42" s="488">
        <v>0</v>
      </c>
      <c r="AM42" s="489">
        <v>29040000000</v>
      </c>
      <c r="AN42" s="486">
        <v>0</v>
      </c>
      <c r="AO42" s="486">
        <v>41600000</v>
      </c>
      <c r="AP42" s="486">
        <v>0</v>
      </c>
      <c r="AQ42" s="486">
        <v>0</v>
      </c>
      <c r="AR42" s="486">
        <v>0</v>
      </c>
      <c r="AS42" s="486">
        <v>0</v>
      </c>
      <c r="AT42" s="486">
        <v>0</v>
      </c>
      <c r="AU42" s="486">
        <v>0</v>
      </c>
      <c r="AV42" s="487">
        <v>41600000</v>
      </c>
      <c r="AW42" s="486">
        <v>0</v>
      </c>
      <c r="AX42" s="486">
        <v>0</v>
      </c>
      <c r="AY42" s="486">
        <v>0</v>
      </c>
      <c r="AZ42" s="488">
        <v>0</v>
      </c>
      <c r="BA42" s="490">
        <v>41600000</v>
      </c>
      <c r="BB42" s="486">
        <v>0</v>
      </c>
      <c r="BC42" s="486">
        <v>43264000</v>
      </c>
      <c r="BD42" s="486">
        <v>0</v>
      </c>
      <c r="BE42" s="486">
        <v>0</v>
      </c>
      <c r="BF42" s="486">
        <v>0</v>
      </c>
      <c r="BG42" s="486">
        <v>0</v>
      </c>
      <c r="BH42" s="486">
        <v>0</v>
      </c>
      <c r="BI42" s="486">
        <v>0</v>
      </c>
      <c r="BJ42" s="487">
        <v>43264000</v>
      </c>
      <c r="BK42" s="486">
        <v>0</v>
      </c>
      <c r="BL42" s="486">
        <v>0</v>
      </c>
      <c r="BM42" s="486">
        <v>0</v>
      </c>
      <c r="BN42" s="488">
        <v>0</v>
      </c>
      <c r="BO42" s="490">
        <v>43264000</v>
      </c>
      <c r="BP42" s="486">
        <v>0</v>
      </c>
      <c r="BQ42" s="486">
        <v>44994560</v>
      </c>
      <c r="BR42" s="486">
        <v>0</v>
      </c>
      <c r="BS42" s="486">
        <v>0</v>
      </c>
      <c r="BT42" s="486">
        <v>0</v>
      </c>
      <c r="BU42" s="486">
        <v>0</v>
      </c>
      <c r="BV42" s="486">
        <v>0</v>
      </c>
      <c r="BW42" s="486">
        <v>0</v>
      </c>
      <c r="BX42" s="487">
        <v>44994560</v>
      </c>
      <c r="BY42" s="486">
        <v>0</v>
      </c>
      <c r="BZ42" s="486">
        <v>0</v>
      </c>
      <c r="CA42" s="486">
        <v>0</v>
      </c>
      <c r="CB42" s="488">
        <v>0</v>
      </c>
      <c r="CC42" s="491">
        <v>44994560</v>
      </c>
      <c r="CD42" s="492">
        <v>29169858560</v>
      </c>
      <c r="CE42" s="493">
        <f t="shared" si="2"/>
        <v>0</v>
      </c>
      <c r="CF42" s="493">
        <f t="shared" si="2"/>
        <v>169858560</v>
      </c>
      <c r="CG42" s="493">
        <f t="shared" si="2"/>
        <v>0</v>
      </c>
      <c r="CH42" s="493">
        <f t="shared" si="2"/>
        <v>0</v>
      </c>
      <c r="CI42" s="493">
        <f t="shared" si="2"/>
        <v>0</v>
      </c>
      <c r="CJ42" s="493">
        <f t="shared" si="2"/>
        <v>0</v>
      </c>
      <c r="CK42" s="493">
        <f t="shared" si="2"/>
        <v>29000000000</v>
      </c>
      <c r="CL42" s="493">
        <f t="shared" si="2"/>
        <v>0</v>
      </c>
      <c r="CM42" s="493">
        <f t="shared" si="3"/>
        <v>0</v>
      </c>
      <c r="CN42" s="493">
        <f t="shared" si="3"/>
        <v>0</v>
      </c>
      <c r="CO42" s="493">
        <f t="shared" si="3"/>
        <v>0</v>
      </c>
      <c r="CP42" s="494">
        <v>4</v>
      </c>
      <c r="CQ42" s="494" t="s">
        <v>6216</v>
      </c>
    </row>
    <row r="43" spans="1:95" ht="30.45" hidden="1" customHeight="1" thickBot="1">
      <c r="A43" s="555" t="s">
        <v>4031</v>
      </c>
      <c r="B43" s="479">
        <v>41</v>
      </c>
      <c r="C43" s="480" t="s">
        <v>4004</v>
      </c>
      <c r="D43" s="480" t="s">
        <v>4045</v>
      </c>
      <c r="E43" s="480" t="str">
        <f t="shared" si="1"/>
        <v xml:space="preserve">1.3.5 </v>
      </c>
      <c r="F43" s="480" t="s">
        <v>4081</v>
      </c>
      <c r="G43" s="480" t="s">
        <v>4082</v>
      </c>
      <c r="H43" s="481">
        <v>22</v>
      </c>
      <c r="I43" s="480" t="s">
        <v>4048</v>
      </c>
      <c r="J43" s="495">
        <v>220104900</v>
      </c>
      <c r="K43" s="480" t="s">
        <v>4008</v>
      </c>
      <c r="L43" s="480" t="s">
        <v>4083</v>
      </c>
      <c r="M43" s="480" t="s">
        <v>5693</v>
      </c>
      <c r="N43" s="484">
        <v>3191</v>
      </c>
      <c r="O43" s="480" t="s">
        <v>6432</v>
      </c>
      <c r="P43" s="500">
        <v>5166</v>
      </c>
      <c r="Q43" s="485" t="s">
        <v>5340</v>
      </c>
      <c r="R43" s="485" t="s">
        <v>5344</v>
      </c>
      <c r="S43" s="485" t="s">
        <v>5345</v>
      </c>
      <c r="T43" s="485">
        <v>262</v>
      </c>
      <c r="U43" s="485" t="s">
        <v>5342</v>
      </c>
      <c r="V43" s="485">
        <v>263</v>
      </c>
      <c r="W43" s="485" t="s">
        <v>5331</v>
      </c>
      <c r="X43" s="485">
        <v>4</v>
      </c>
      <c r="Y43" s="485" t="s">
        <v>5332</v>
      </c>
      <c r="Z43" s="486">
        <v>50000000</v>
      </c>
      <c r="AA43" s="486">
        <v>0</v>
      </c>
      <c r="AB43" s="486">
        <v>0</v>
      </c>
      <c r="AC43" s="486">
        <v>0</v>
      </c>
      <c r="AD43" s="486">
        <v>0</v>
      </c>
      <c r="AE43" s="486">
        <v>0</v>
      </c>
      <c r="AF43" s="486">
        <v>0</v>
      </c>
      <c r="AG43" s="486">
        <v>0</v>
      </c>
      <c r="AH43" s="487">
        <v>50000000</v>
      </c>
      <c r="AI43" s="486">
        <v>0</v>
      </c>
      <c r="AJ43" s="486">
        <v>0</v>
      </c>
      <c r="AK43" s="486">
        <v>0</v>
      </c>
      <c r="AL43" s="488">
        <v>0</v>
      </c>
      <c r="AM43" s="489">
        <v>50000000</v>
      </c>
      <c r="AN43" s="486">
        <v>52000000</v>
      </c>
      <c r="AO43" s="486">
        <v>0</v>
      </c>
      <c r="AP43" s="486">
        <v>0</v>
      </c>
      <c r="AQ43" s="486">
        <v>0</v>
      </c>
      <c r="AR43" s="486">
        <v>0</v>
      </c>
      <c r="AS43" s="486">
        <v>0</v>
      </c>
      <c r="AT43" s="486">
        <v>0</v>
      </c>
      <c r="AU43" s="486">
        <v>0</v>
      </c>
      <c r="AV43" s="487">
        <v>52000000</v>
      </c>
      <c r="AW43" s="486">
        <v>0</v>
      </c>
      <c r="AX43" s="486">
        <v>0</v>
      </c>
      <c r="AY43" s="486">
        <v>0</v>
      </c>
      <c r="AZ43" s="488">
        <v>0</v>
      </c>
      <c r="BA43" s="490">
        <v>52000000</v>
      </c>
      <c r="BB43" s="486">
        <v>54080000</v>
      </c>
      <c r="BC43" s="486">
        <v>0</v>
      </c>
      <c r="BD43" s="486">
        <v>0</v>
      </c>
      <c r="BE43" s="486">
        <v>0</v>
      </c>
      <c r="BF43" s="486">
        <v>0</v>
      </c>
      <c r="BG43" s="486">
        <v>0</v>
      </c>
      <c r="BH43" s="486">
        <v>0</v>
      </c>
      <c r="BI43" s="486">
        <v>0</v>
      </c>
      <c r="BJ43" s="487">
        <v>54080000</v>
      </c>
      <c r="BK43" s="486">
        <v>0</v>
      </c>
      <c r="BL43" s="486">
        <v>0</v>
      </c>
      <c r="BM43" s="486">
        <v>0</v>
      </c>
      <c r="BN43" s="488">
        <v>0</v>
      </c>
      <c r="BO43" s="490">
        <v>54080000</v>
      </c>
      <c r="BP43" s="486">
        <v>56243200</v>
      </c>
      <c r="BQ43" s="486">
        <v>0</v>
      </c>
      <c r="BR43" s="486">
        <v>0</v>
      </c>
      <c r="BS43" s="486">
        <v>0</v>
      </c>
      <c r="BT43" s="486">
        <v>0</v>
      </c>
      <c r="BU43" s="486">
        <v>0</v>
      </c>
      <c r="BV43" s="486">
        <v>0</v>
      </c>
      <c r="BW43" s="486">
        <v>0</v>
      </c>
      <c r="BX43" s="487">
        <v>56243200</v>
      </c>
      <c r="BY43" s="486">
        <v>0</v>
      </c>
      <c r="BZ43" s="486">
        <v>0</v>
      </c>
      <c r="CA43" s="486">
        <v>0</v>
      </c>
      <c r="CB43" s="488">
        <v>0</v>
      </c>
      <c r="CC43" s="491">
        <v>56243200</v>
      </c>
      <c r="CD43" s="492">
        <v>212323200</v>
      </c>
      <c r="CE43" s="493">
        <f t="shared" si="2"/>
        <v>212323200</v>
      </c>
      <c r="CF43" s="493">
        <f t="shared" si="2"/>
        <v>0</v>
      </c>
      <c r="CG43" s="493">
        <f t="shared" si="2"/>
        <v>0</v>
      </c>
      <c r="CH43" s="493">
        <f t="shared" si="2"/>
        <v>0</v>
      </c>
      <c r="CI43" s="493">
        <f t="shared" si="2"/>
        <v>0</v>
      </c>
      <c r="CJ43" s="493">
        <f t="shared" si="2"/>
        <v>0</v>
      </c>
      <c r="CK43" s="493">
        <f t="shared" si="2"/>
        <v>0</v>
      </c>
      <c r="CL43" s="493">
        <f t="shared" si="2"/>
        <v>0</v>
      </c>
      <c r="CM43" s="493">
        <f t="shared" si="3"/>
        <v>0</v>
      </c>
      <c r="CN43" s="493">
        <f t="shared" si="3"/>
        <v>0</v>
      </c>
      <c r="CO43" s="493">
        <f t="shared" si="3"/>
        <v>0</v>
      </c>
      <c r="CP43" s="494">
        <v>4</v>
      </c>
      <c r="CQ43" s="494" t="s">
        <v>6224</v>
      </c>
    </row>
    <row r="44" spans="1:95" ht="30.45" hidden="1" customHeight="1" thickBot="1">
      <c r="A44" s="555" t="s">
        <v>4031</v>
      </c>
      <c r="B44" s="479">
        <v>42</v>
      </c>
      <c r="C44" s="480" t="s">
        <v>4004</v>
      </c>
      <c r="D44" s="480" t="s">
        <v>4045</v>
      </c>
      <c r="E44" s="480" t="str">
        <f t="shared" si="1"/>
        <v xml:space="preserve">1.3.5 </v>
      </c>
      <c r="F44" s="480" t="s">
        <v>4081</v>
      </c>
      <c r="G44" s="480" t="s">
        <v>4082</v>
      </c>
      <c r="H44" s="481">
        <v>22</v>
      </c>
      <c r="I44" s="480" t="s">
        <v>4048</v>
      </c>
      <c r="J44" s="495">
        <v>220107400</v>
      </c>
      <c r="K44" s="480" t="s">
        <v>4041</v>
      </c>
      <c r="L44" s="480" t="s">
        <v>6439</v>
      </c>
      <c r="M44" s="480" t="s">
        <v>6440</v>
      </c>
      <c r="N44" s="484">
        <v>2812</v>
      </c>
      <c r="O44" s="480" t="s">
        <v>4051</v>
      </c>
      <c r="P44" s="500">
        <v>10500</v>
      </c>
      <c r="Q44" s="485" t="s">
        <v>5340</v>
      </c>
      <c r="R44" s="485" t="s">
        <v>5344</v>
      </c>
      <c r="S44" s="485" t="s">
        <v>5345</v>
      </c>
      <c r="T44" s="485">
        <v>262</v>
      </c>
      <c r="U44" s="485" t="s">
        <v>5342</v>
      </c>
      <c r="V44" s="485">
        <v>263</v>
      </c>
      <c r="W44" s="485" t="s">
        <v>5331</v>
      </c>
      <c r="X44" s="485">
        <v>4</v>
      </c>
      <c r="Y44" s="485" t="s">
        <v>5332</v>
      </c>
      <c r="Z44" s="486">
        <v>23475000</v>
      </c>
      <c r="AA44" s="486">
        <v>0</v>
      </c>
      <c r="AB44" s="486">
        <v>0</v>
      </c>
      <c r="AC44" s="486">
        <v>0</v>
      </c>
      <c r="AD44" s="486">
        <v>0</v>
      </c>
      <c r="AE44" s="486">
        <v>0</v>
      </c>
      <c r="AF44" s="486">
        <v>0</v>
      </c>
      <c r="AG44" s="486">
        <v>0</v>
      </c>
      <c r="AH44" s="487">
        <v>23475000</v>
      </c>
      <c r="AI44" s="486">
        <v>0</v>
      </c>
      <c r="AJ44" s="486">
        <v>0</v>
      </c>
      <c r="AK44" s="486">
        <v>0</v>
      </c>
      <c r="AL44" s="488">
        <v>0</v>
      </c>
      <c r="AM44" s="489">
        <v>23475000</v>
      </c>
      <c r="AN44" s="486">
        <v>24414000</v>
      </c>
      <c r="AO44" s="486">
        <v>0</v>
      </c>
      <c r="AP44" s="486">
        <v>0</v>
      </c>
      <c r="AQ44" s="486">
        <v>0</v>
      </c>
      <c r="AR44" s="486">
        <v>0</v>
      </c>
      <c r="AS44" s="486">
        <v>0</v>
      </c>
      <c r="AT44" s="486">
        <v>0</v>
      </c>
      <c r="AU44" s="486">
        <v>0</v>
      </c>
      <c r="AV44" s="487">
        <v>24414000</v>
      </c>
      <c r="AW44" s="486">
        <v>0</v>
      </c>
      <c r="AX44" s="486">
        <v>0</v>
      </c>
      <c r="AY44" s="486">
        <v>0</v>
      </c>
      <c r="AZ44" s="488">
        <v>0</v>
      </c>
      <c r="BA44" s="490">
        <v>24414000</v>
      </c>
      <c r="BB44" s="486">
        <v>25390560</v>
      </c>
      <c r="BC44" s="486">
        <v>0</v>
      </c>
      <c r="BD44" s="486">
        <v>0</v>
      </c>
      <c r="BE44" s="486">
        <v>0</v>
      </c>
      <c r="BF44" s="486">
        <v>0</v>
      </c>
      <c r="BG44" s="486">
        <v>0</v>
      </c>
      <c r="BH44" s="486">
        <v>0</v>
      </c>
      <c r="BI44" s="486">
        <v>0</v>
      </c>
      <c r="BJ44" s="487">
        <v>25390560</v>
      </c>
      <c r="BK44" s="486">
        <v>0</v>
      </c>
      <c r="BL44" s="486">
        <v>0</v>
      </c>
      <c r="BM44" s="486">
        <v>0</v>
      </c>
      <c r="BN44" s="488">
        <v>0</v>
      </c>
      <c r="BO44" s="490">
        <v>25390560</v>
      </c>
      <c r="BP44" s="486">
        <v>26406182.400000002</v>
      </c>
      <c r="BQ44" s="486">
        <v>0</v>
      </c>
      <c r="BR44" s="486">
        <v>0</v>
      </c>
      <c r="BS44" s="486">
        <v>0</v>
      </c>
      <c r="BT44" s="486">
        <v>0</v>
      </c>
      <c r="BU44" s="486">
        <v>0</v>
      </c>
      <c r="BV44" s="486">
        <v>0</v>
      </c>
      <c r="BW44" s="486">
        <v>0</v>
      </c>
      <c r="BX44" s="487">
        <v>26406182.400000002</v>
      </c>
      <c r="BY44" s="486">
        <v>0</v>
      </c>
      <c r="BZ44" s="486">
        <v>0</v>
      </c>
      <c r="CA44" s="486">
        <v>0</v>
      </c>
      <c r="CB44" s="488">
        <v>0</v>
      </c>
      <c r="CC44" s="491">
        <v>26406182.400000002</v>
      </c>
      <c r="CD44" s="492">
        <v>99685742.400000006</v>
      </c>
      <c r="CE44" s="493">
        <f t="shared" si="2"/>
        <v>99685742.400000006</v>
      </c>
      <c r="CF44" s="493">
        <f t="shared" si="2"/>
        <v>0</v>
      </c>
      <c r="CG44" s="493">
        <f t="shared" si="2"/>
        <v>0</v>
      </c>
      <c r="CH44" s="493">
        <f t="shared" si="2"/>
        <v>0</v>
      </c>
      <c r="CI44" s="493">
        <f t="shared" si="2"/>
        <v>0</v>
      </c>
      <c r="CJ44" s="493">
        <f t="shared" si="2"/>
        <v>0</v>
      </c>
      <c r="CK44" s="493">
        <f t="shared" si="2"/>
        <v>0</v>
      </c>
      <c r="CL44" s="493">
        <f t="shared" si="2"/>
        <v>0</v>
      </c>
      <c r="CM44" s="493">
        <f t="shared" si="3"/>
        <v>0</v>
      </c>
      <c r="CN44" s="493">
        <f t="shared" si="3"/>
        <v>0</v>
      </c>
      <c r="CO44" s="493">
        <f t="shared" si="3"/>
        <v>0</v>
      </c>
      <c r="CP44" s="494">
        <v>4</v>
      </c>
      <c r="CQ44" s="497" t="s">
        <v>6225</v>
      </c>
    </row>
    <row r="45" spans="1:95" ht="30.45" hidden="1" customHeight="1" thickBot="1">
      <c r="A45" s="555" t="s">
        <v>4031</v>
      </c>
      <c r="B45" s="479">
        <v>43</v>
      </c>
      <c r="C45" s="480" t="s">
        <v>4004</v>
      </c>
      <c r="D45" s="480" t="s">
        <v>4045</v>
      </c>
      <c r="E45" s="480" t="str">
        <f t="shared" si="1"/>
        <v xml:space="preserve">1.3.5 </v>
      </c>
      <c r="F45" s="480" t="s">
        <v>4081</v>
      </c>
      <c r="G45" s="480" t="s">
        <v>4082</v>
      </c>
      <c r="H45" s="481">
        <v>22</v>
      </c>
      <c r="I45" s="480" t="s">
        <v>4048</v>
      </c>
      <c r="J45" s="495">
        <v>220108900</v>
      </c>
      <c r="K45" s="480" t="s">
        <v>4073</v>
      </c>
      <c r="L45" s="480" t="s">
        <v>5694</v>
      </c>
      <c r="M45" s="480" t="s">
        <v>4085</v>
      </c>
      <c r="N45" s="484">
        <v>1</v>
      </c>
      <c r="O45" s="480" t="s">
        <v>6441</v>
      </c>
      <c r="P45" s="500">
        <v>2</v>
      </c>
      <c r="Q45" s="485" t="s">
        <v>5340</v>
      </c>
      <c r="R45" s="485" t="s">
        <v>5344</v>
      </c>
      <c r="S45" s="485" t="s">
        <v>5345</v>
      </c>
      <c r="T45" s="485">
        <v>262</v>
      </c>
      <c r="U45" s="485" t="s">
        <v>5342</v>
      </c>
      <c r="V45" s="485">
        <v>263</v>
      </c>
      <c r="W45" s="485" t="s">
        <v>5331</v>
      </c>
      <c r="X45" s="485">
        <v>4</v>
      </c>
      <c r="Y45" s="485" t="s">
        <v>5332</v>
      </c>
      <c r="Z45" s="486">
        <v>354192305</v>
      </c>
      <c r="AA45" s="486">
        <v>0</v>
      </c>
      <c r="AB45" s="486">
        <v>0</v>
      </c>
      <c r="AC45" s="486">
        <v>0</v>
      </c>
      <c r="AD45" s="486">
        <v>0</v>
      </c>
      <c r="AE45" s="486">
        <v>0</v>
      </c>
      <c r="AF45" s="486">
        <v>0</v>
      </c>
      <c r="AG45" s="486">
        <v>0</v>
      </c>
      <c r="AH45" s="487">
        <v>354192305</v>
      </c>
      <c r="AI45" s="486">
        <v>0</v>
      </c>
      <c r="AJ45" s="486">
        <v>0</v>
      </c>
      <c r="AK45" s="486">
        <v>0</v>
      </c>
      <c r="AL45" s="488">
        <v>0</v>
      </c>
      <c r="AM45" s="489">
        <v>354192305</v>
      </c>
      <c r="AN45" s="486">
        <v>368359997.19999999</v>
      </c>
      <c r="AO45" s="486">
        <v>0</v>
      </c>
      <c r="AP45" s="486">
        <v>0</v>
      </c>
      <c r="AQ45" s="486">
        <v>0</v>
      </c>
      <c r="AR45" s="486">
        <v>0</v>
      </c>
      <c r="AS45" s="486">
        <v>0</v>
      </c>
      <c r="AT45" s="486">
        <v>0</v>
      </c>
      <c r="AU45" s="486">
        <v>0</v>
      </c>
      <c r="AV45" s="487">
        <v>368359997.19999999</v>
      </c>
      <c r="AW45" s="486">
        <v>0</v>
      </c>
      <c r="AX45" s="486">
        <v>0</v>
      </c>
      <c r="AY45" s="486">
        <v>0</v>
      </c>
      <c r="AZ45" s="488">
        <v>0</v>
      </c>
      <c r="BA45" s="490">
        <v>368359997.19999999</v>
      </c>
      <c r="BB45" s="486">
        <v>383094397.088</v>
      </c>
      <c r="BC45" s="486">
        <v>0</v>
      </c>
      <c r="BD45" s="486">
        <v>0</v>
      </c>
      <c r="BE45" s="486">
        <v>0</v>
      </c>
      <c r="BF45" s="486">
        <v>0</v>
      </c>
      <c r="BG45" s="486">
        <v>0</v>
      </c>
      <c r="BH45" s="486">
        <v>0</v>
      </c>
      <c r="BI45" s="486">
        <v>0</v>
      </c>
      <c r="BJ45" s="487">
        <v>383094397.088</v>
      </c>
      <c r="BK45" s="486">
        <v>0</v>
      </c>
      <c r="BL45" s="486">
        <v>0</v>
      </c>
      <c r="BM45" s="486">
        <v>0</v>
      </c>
      <c r="BN45" s="488">
        <v>0</v>
      </c>
      <c r="BO45" s="490">
        <v>383094397.088</v>
      </c>
      <c r="BP45" s="486">
        <v>398418172.97152001</v>
      </c>
      <c r="BQ45" s="486">
        <v>0</v>
      </c>
      <c r="BR45" s="486">
        <v>0</v>
      </c>
      <c r="BS45" s="486">
        <v>0</v>
      </c>
      <c r="BT45" s="486">
        <v>0</v>
      </c>
      <c r="BU45" s="486">
        <v>0</v>
      </c>
      <c r="BV45" s="486">
        <v>0</v>
      </c>
      <c r="BW45" s="486">
        <v>0</v>
      </c>
      <c r="BX45" s="487">
        <v>398418172.97152001</v>
      </c>
      <c r="BY45" s="486">
        <v>0</v>
      </c>
      <c r="BZ45" s="486">
        <v>0</v>
      </c>
      <c r="CA45" s="486">
        <v>0</v>
      </c>
      <c r="CB45" s="488">
        <v>0</v>
      </c>
      <c r="CC45" s="491">
        <v>398418172.97152001</v>
      </c>
      <c r="CD45" s="492">
        <v>1504064872.2595201</v>
      </c>
      <c r="CE45" s="493">
        <f t="shared" si="2"/>
        <v>1504064872.2595201</v>
      </c>
      <c r="CF45" s="493">
        <f t="shared" si="2"/>
        <v>0</v>
      </c>
      <c r="CG45" s="493">
        <f t="shared" si="2"/>
        <v>0</v>
      </c>
      <c r="CH45" s="493">
        <f t="shared" si="2"/>
        <v>0</v>
      </c>
      <c r="CI45" s="493">
        <f t="shared" si="2"/>
        <v>0</v>
      </c>
      <c r="CJ45" s="493">
        <f t="shared" si="2"/>
        <v>0</v>
      </c>
      <c r="CK45" s="493">
        <f t="shared" si="2"/>
        <v>0</v>
      </c>
      <c r="CL45" s="493">
        <f t="shared" si="2"/>
        <v>0</v>
      </c>
      <c r="CM45" s="493">
        <f t="shared" si="3"/>
        <v>0</v>
      </c>
      <c r="CN45" s="493">
        <f t="shared" si="3"/>
        <v>0</v>
      </c>
      <c r="CO45" s="493">
        <f t="shared" si="3"/>
        <v>0</v>
      </c>
      <c r="CP45" s="503">
        <v>2</v>
      </c>
      <c r="CQ45" s="503" t="s">
        <v>6226</v>
      </c>
    </row>
    <row r="46" spans="1:95" ht="30.45" hidden="1" customHeight="1" thickBot="1">
      <c r="A46" s="555" t="s">
        <v>4031</v>
      </c>
      <c r="B46" s="479">
        <v>44</v>
      </c>
      <c r="C46" s="480" t="s">
        <v>4004</v>
      </c>
      <c r="D46" s="480" t="s">
        <v>4045</v>
      </c>
      <c r="E46" s="480" t="str">
        <f t="shared" si="1"/>
        <v xml:space="preserve">1.3.5 </v>
      </c>
      <c r="F46" s="480" t="s">
        <v>4081</v>
      </c>
      <c r="G46" s="480" t="s">
        <v>4082</v>
      </c>
      <c r="H46" s="481">
        <v>22</v>
      </c>
      <c r="I46" s="480" t="s">
        <v>4048</v>
      </c>
      <c r="J46" s="495">
        <v>220107200</v>
      </c>
      <c r="K46" s="480" t="s">
        <v>4086</v>
      </c>
      <c r="L46" s="480" t="s">
        <v>4087</v>
      </c>
      <c r="M46" s="480" t="s">
        <v>5695</v>
      </c>
      <c r="N46" s="484">
        <v>3</v>
      </c>
      <c r="O46" s="480" t="s">
        <v>6432</v>
      </c>
      <c r="P46" s="500">
        <v>7</v>
      </c>
      <c r="Q46" s="485" t="s">
        <v>5340</v>
      </c>
      <c r="R46" s="485" t="s">
        <v>5344</v>
      </c>
      <c r="S46" s="485" t="s">
        <v>5345</v>
      </c>
      <c r="T46" s="485">
        <v>262</v>
      </c>
      <c r="U46" s="485" t="s">
        <v>5342</v>
      </c>
      <c r="V46" s="485">
        <v>263</v>
      </c>
      <c r="W46" s="485" t="s">
        <v>5331</v>
      </c>
      <c r="X46" s="485">
        <v>4</v>
      </c>
      <c r="Y46" s="485" t="s">
        <v>5332</v>
      </c>
      <c r="Z46" s="486">
        <v>70155000</v>
      </c>
      <c r="AA46" s="486">
        <v>0</v>
      </c>
      <c r="AB46" s="486">
        <v>0</v>
      </c>
      <c r="AC46" s="486">
        <v>0</v>
      </c>
      <c r="AD46" s="486">
        <v>0</v>
      </c>
      <c r="AE46" s="486">
        <v>0</v>
      </c>
      <c r="AF46" s="486">
        <v>0</v>
      </c>
      <c r="AG46" s="486">
        <v>0</v>
      </c>
      <c r="AH46" s="487">
        <v>70155000</v>
      </c>
      <c r="AI46" s="486">
        <v>0</v>
      </c>
      <c r="AJ46" s="486">
        <v>0</v>
      </c>
      <c r="AK46" s="486">
        <v>0</v>
      </c>
      <c r="AL46" s="488">
        <v>0</v>
      </c>
      <c r="AM46" s="489">
        <v>70155000</v>
      </c>
      <c r="AN46" s="486">
        <v>72961200</v>
      </c>
      <c r="AO46" s="486">
        <v>0</v>
      </c>
      <c r="AP46" s="486">
        <v>0</v>
      </c>
      <c r="AQ46" s="486">
        <v>0</v>
      </c>
      <c r="AR46" s="486">
        <v>0</v>
      </c>
      <c r="AS46" s="486">
        <v>0</v>
      </c>
      <c r="AT46" s="486">
        <v>0</v>
      </c>
      <c r="AU46" s="486">
        <v>0</v>
      </c>
      <c r="AV46" s="487">
        <v>72961200</v>
      </c>
      <c r="AW46" s="486">
        <v>0</v>
      </c>
      <c r="AX46" s="486">
        <v>0</v>
      </c>
      <c r="AY46" s="486">
        <v>0</v>
      </c>
      <c r="AZ46" s="488">
        <v>0</v>
      </c>
      <c r="BA46" s="490">
        <v>72961200</v>
      </c>
      <c r="BB46" s="486">
        <v>75879648</v>
      </c>
      <c r="BC46" s="486">
        <v>0</v>
      </c>
      <c r="BD46" s="486">
        <v>0</v>
      </c>
      <c r="BE46" s="486">
        <v>0</v>
      </c>
      <c r="BF46" s="486">
        <v>0</v>
      </c>
      <c r="BG46" s="486">
        <v>0</v>
      </c>
      <c r="BH46" s="486">
        <v>0</v>
      </c>
      <c r="BI46" s="486">
        <v>0</v>
      </c>
      <c r="BJ46" s="487">
        <v>75879648</v>
      </c>
      <c r="BK46" s="486">
        <v>0</v>
      </c>
      <c r="BL46" s="486">
        <v>0</v>
      </c>
      <c r="BM46" s="486">
        <v>0</v>
      </c>
      <c r="BN46" s="488">
        <v>0</v>
      </c>
      <c r="BO46" s="490">
        <v>75879648</v>
      </c>
      <c r="BP46" s="486">
        <v>78914833.920000002</v>
      </c>
      <c r="BQ46" s="486">
        <v>0</v>
      </c>
      <c r="BR46" s="486">
        <v>0</v>
      </c>
      <c r="BS46" s="486">
        <v>0</v>
      </c>
      <c r="BT46" s="486">
        <v>0</v>
      </c>
      <c r="BU46" s="486">
        <v>0</v>
      </c>
      <c r="BV46" s="486">
        <v>0</v>
      </c>
      <c r="BW46" s="486">
        <v>0</v>
      </c>
      <c r="BX46" s="487">
        <v>78914833.920000002</v>
      </c>
      <c r="BY46" s="486">
        <v>0</v>
      </c>
      <c r="BZ46" s="486">
        <v>0</v>
      </c>
      <c r="CA46" s="486">
        <v>0</v>
      </c>
      <c r="CB46" s="488">
        <v>0</v>
      </c>
      <c r="CC46" s="491">
        <v>78914833.920000002</v>
      </c>
      <c r="CD46" s="492">
        <v>297910681.92000002</v>
      </c>
      <c r="CE46" s="493">
        <f t="shared" si="2"/>
        <v>297910681.92000002</v>
      </c>
      <c r="CF46" s="493">
        <f t="shared" si="2"/>
        <v>0</v>
      </c>
      <c r="CG46" s="493">
        <f t="shared" si="2"/>
        <v>0</v>
      </c>
      <c r="CH46" s="493">
        <f t="shared" si="2"/>
        <v>0</v>
      </c>
      <c r="CI46" s="493">
        <f t="shared" si="2"/>
        <v>0</v>
      </c>
      <c r="CJ46" s="493">
        <f t="shared" si="2"/>
        <v>0</v>
      </c>
      <c r="CK46" s="493">
        <f t="shared" si="2"/>
        <v>0</v>
      </c>
      <c r="CL46" s="493">
        <f t="shared" si="2"/>
        <v>0</v>
      </c>
      <c r="CM46" s="493">
        <f t="shared" si="3"/>
        <v>0</v>
      </c>
      <c r="CN46" s="493">
        <f t="shared" si="3"/>
        <v>0</v>
      </c>
      <c r="CO46" s="493">
        <f t="shared" si="3"/>
        <v>0</v>
      </c>
      <c r="CP46" s="494">
        <v>4</v>
      </c>
      <c r="CQ46" s="494" t="s">
        <v>6219</v>
      </c>
    </row>
    <row r="47" spans="1:95" ht="30.45" hidden="1" customHeight="1" thickBot="1">
      <c r="A47" s="555" t="s">
        <v>4031</v>
      </c>
      <c r="B47" s="479">
        <v>45</v>
      </c>
      <c r="C47" s="480" t="s">
        <v>4004</v>
      </c>
      <c r="D47" s="480" t="s">
        <v>4045</v>
      </c>
      <c r="E47" s="480" t="str">
        <f t="shared" si="1"/>
        <v xml:space="preserve">1.3.5 </v>
      </c>
      <c r="F47" s="480" t="s">
        <v>4081</v>
      </c>
      <c r="G47" s="480" t="s">
        <v>4082</v>
      </c>
      <c r="H47" s="481">
        <v>22</v>
      </c>
      <c r="I47" s="480" t="s">
        <v>4048</v>
      </c>
      <c r="J47" s="495">
        <v>220101300</v>
      </c>
      <c r="K47" s="480" t="s">
        <v>4088</v>
      </c>
      <c r="L47" s="480" t="s">
        <v>6442</v>
      </c>
      <c r="M47" s="480" t="s">
        <v>5696</v>
      </c>
      <c r="N47" s="504">
        <v>35</v>
      </c>
      <c r="O47" s="480" t="s">
        <v>6443</v>
      </c>
      <c r="P47" s="505">
        <v>155</v>
      </c>
      <c r="Q47" s="485" t="s">
        <v>5340</v>
      </c>
      <c r="R47" s="485" t="s">
        <v>5344</v>
      </c>
      <c r="S47" s="485" t="s">
        <v>5345</v>
      </c>
      <c r="T47" s="485">
        <v>262</v>
      </c>
      <c r="U47" s="485" t="s">
        <v>5342</v>
      </c>
      <c r="V47" s="485">
        <v>263</v>
      </c>
      <c r="W47" s="485" t="s">
        <v>5331</v>
      </c>
      <c r="X47" s="485">
        <v>4</v>
      </c>
      <c r="Y47" s="485" t="s">
        <v>5332</v>
      </c>
      <c r="Z47" s="486">
        <v>7475000</v>
      </c>
      <c r="AA47" s="486">
        <v>0</v>
      </c>
      <c r="AB47" s="486">
        <v>0</v>
      </c>
      <c r="AC47" s="486">
        <v>0</v>
      </c>
      <c r="AD47" s="486">
        <v>0</v>
      </c>
      <c r="AE47" s="486">
        <v>0</v>
      </c>
      <c r="AF47" s="486">
        <v>0</v>
      </c>
      <c r="AG47" s="486">
        <v>0</v>
      </c>
      <c r="AH47" s="487">
        <v>7475000</v>
      </c>
      <c r="AI47" s="486">
        <v>0</v>
      </c>
      <c r="AJ47" s="486">
        <v>0</v>
      </c>
      <c r="AK47" s="486">
        <v>0</v>
      </c>
      <c r="AL47" s="488">
        <v>0</v>
      </c>
      <c r="AM47" s="489">
        <v>7475000</v>
      </c>
      <c r="AN47" s="486">
        <v>7774000</v>
      </c>
      <c r="AO47" s="486">
        <v>0</v>
      </c>
      <c r="AP47" s="486">
        <v>0</v>
      </c>
      <c r="AQ47" s="486">
        <v>0</v>
      </c>
      <c r="AR47" s="486">
        <v>0</v>
      </c>
      <c r="AS47" s="486">
        <v>0</v>
      </c>
      <c r="AT47" s="486">
        <v>0</v>
      </c>
      <c r="AU47" s="486">
        <v>0</v>
      </c>
      <c r="AV47" s="487">
        <v>7774000</v>
      </c>
      <c r="AW47" s="486">
        <v>0</v>
      </c>
      <c r="AX47" s="486">
        <v>0</v>
      </c>
      <c r="AY47" s="486">
        <v>0</v>
      </c>
      <c r="AZ47" s="488">
        <v>0</v>
      </c>
      <c r="BA47" s="490">
        <v>7774000</v>
      </c>
      <c r="BB47" s="486">
        <v>8084960</v>
      </c>
      <c r="BC47" s="486">
        <v>0</v>
      </c>
      <c r="BD47" s="486">
        <v>0</v>
      </c>
      <c r="BE47" s="486">
        <v>0</v>
      </c>
      <c r="BF47" s="486">
        <v>0</v>
      </c>
      <c r="BG47" s="486">
        <v>0</v>
      </c>
      <c r="BH47" s="486">
        <v>0</v>
      </c>
      <c r="BI47" s="486">
        <v>0</v>
      </c>
      <c r="BJ47" s="487">
        <v>8084960</v>
      </c>
      <c r="BK47" s="486">
        <v>0</v>
      </c>
      <c r="BL47" s="486">
        <v>0</v>
      </c>
      <c r="BM47" s="486">
        <v>0</v>
      </c>
      <c r="BN47" s="488">
        <v>0</v>
      </c>
      <c r="BO47" s="490">
        <v>8084960</v>
      </c>
      <c r="BP47" s="486">
        <v>8408358.4000000004</v>
      </c>
      <c r="BQ47" s="486">
        <v>0</v>
      </c>
      <c r="BR47" s="486">
        <v>0</v>
      </c>
      <c r="BS47" s="486">
        <v>0</v>
      </c>
      <c r="BT47" s="486">
        <v>0</v>
      </c>
      <c r="BU47" s="486">
        <v>0</v>
      </c>
      <c r="BV47" s="486">
        <v>0</v>
      </c>
      <c r="BW47" s="486">
        <v>0</v>
      </c>
      <c r="BX47" s="487">
        <v>8408358.4000000004</v>
      </c>
      <c r="BY47" s="486">
        <v>0</v>
      </c>
      <c r="BZ47" s="486">
        <v>0</v>
      </c>
      <c r="CA47" s="486">
        <v>0</v>
      </c>
      <c r="CB47" s="488">
        <v>0</v>
      </c>
      <c r="CC47" s="491">
        <v>8408358.4000000004</v>
      </c>
      <c r="CD47" s="492">
        <v>31742318.399999999</v>
      </c>
      <c r="CE47" s="493">
        <f t="shared" si="2"/>
        <v>31742318.399999999</v>
      </c>
      <c r="CF47" s="493">
        <f t="shared" si="2"/>
        <v>0</v>
      </c>
      <c r="CG47" s="493">
        <f t="shared" si="2"/>
        <v>0</v>
      </c>
      <c r="CH47" s="493">
        <f t="shared" si="2"/>
        <v>0</v>
      </c>
      <c r="CI47" s="493">
        <f t="shared" si="2"/>
        <v>0</v>
      </c>
      <c r="CJ47" s="493">
        <f t="shared" si="2"/>
        <v>0</v>
      </c>
      <c r="CK47" s="493">
        <f t="shared" si="2"/>
        <v>0</v>
      </c>
      <c r="CL47" s="493">
        <f t="shared" si="2"/>
        <v>0</v>
      </c>
      <c r="CM47" s="493">
        <f t="shared" si="3"/>
        <v>0</v>
      </c>
      <c r="CN47" s="493">
        <f t="shared" si="3"/>
        <v>0</v>
      </c>
      <c r="CO47" s="493">
        <f t="shared" si="3"/>
        <v>0</v>
      </c>
      <c r="CP47" s="494">
        <v>4</v>
      </c>
      <c r="CQ47" s="494" t="s">
        <v>6218</v>
      </c>
    </row>
    <row r="48" spans="1:95" ht="30.45" hidden="1" customHeight="1" thickBot="1">
      <c r="A48" s="555" t="s">
        <v>4031</v>
      </c>
      <c r="B48" s="479">
        <v>46</v>
      </c>
      <c r="C48" s="480" t="s">
        <v>4004</v>
      </c>
      <c r="D48" s="480" t="s">
        <v>4045</v>
      </c>
      <c r="E48" s="480" t="str">
        <f t="shared" si="1"/>
        <v xml:space="preserve">1.3.5 </v>
      </c>
      <c r="F48" s="480" t="s">
        <v>4081</v>
      </c>
      <c r="G48" s="480" t="s">
        <v>4082</v>
      </c>
      <c r="H48" s="481">
        <v>22</v>
      </c>
      <c r="I48" s="480" t="s">
        <v>4048</v>
      </c>
      <c r="J48" s="495">
        <v>220106700</v>
      </c>
      <c r="K48" s="480" t="s">
        <v>4089</v>
      </c>
      <c r="L48" s="480" t="s">
        <v>4090</v>
      </c>
      <c r="M48" s="480" t="s">
        <v>5697</v>
      </c>
      <c r="N48" s="484">
        <v>20</v>
      </c>
      <c r="O48" s="480" t="s">
        <v>4051</v>
      </c>
      <c r="P48" s="500">
        <v>140</v>
      </c>
      <c r="Q48" s="485" t="s">
        <v>5340</v>
      </c>
      <c r="R48" s="485" t="s">
        <v>5344</v>
      </c>
      <c r="S48" s="485" t="s">
        <v>5345</v>
      </c>
      <c r="T48" s="485">
        <v>262</v>
      </c>
      <c r="U48" s="485" t="s">
        <v>5342</v>
      </c>
      <c r="V48" s="485">
        <v>263</v>
      </c>
      <c r="W48" s="485" t="s">
        <v>5331</v>
      </c>
      <c r="X48" s="485">
        <v>4</v>
      </c>
      <c r="Y48" s="485" t="s">
        <v>5332</v>
      </c>
      <c r="Z48" s="486">
        <v>10475000</v>
      </c>
      <c r="AA48" s="486">
        <v>0</v>
      </c>
      <c r="AB48" s="486">
        <v>0</v>
      </c>
      <c r="AC48" s="486">
        <v>0</v>
      </c>
      <c r="AD48" s="486">
        <v>0</v>
      </c>
      <c r="AE48" s="486">
        <v>0</v>
      </c>
      <c r="AF48" s="486">
        <v>0</v>
      </c>
      <c r="AG48" s="486">
        <v>0</v>
      </c>
      <c r="AH48" s="487">
        <v>10475000</v>
      </c>
      <c r="AI48" s="486">
        <v>0</v>
      </c>
      <c r="AJ48" s="486">
        <v>0</v>
      </c>
      <c r="AK48" s="486">
        <v>0</v>
      </c>
      <c r="AL48" s="488">
        <v>0</v>
      </c>
      <c r="AM48" s="489">
        <v>10475000</v>
      </c>
      <c r="AN48" s="486">
        <v>10894000</v>
      </c>
      <c r="AO48" s="486">
        <v>0</v>
      </c>
      <c r="AP48" s="486">
        <v>0</v>
      </c>
      <c r="AQ48" s="486">
        <v>0</v>
      </c>
      <c r="AR48" s="486">
        <v>0</v>
      </c>
      <c r="AS48" s="486">
        <v>0</v>
      </c>
      <c r="AT48" s="486">
        <v>0</v>
      </c>
      <c r="AU48" s="486">
        <v>0</v>
      </c>
      <c r="AV48" s="487">
        <v>10894000</v>
      </c>
      <c r="AW48" s="486">
        <v>0</v>
      </c>
      <c r="AX48" s="486">
        <v>0</v>
      </c>
      <c r="AY48" s="486">
        <v>0</v>
      </c>
      <c r="AZ48" s="488">
        <v>0</v>
      </c>
      <c r="BA48" s="490">
        <v>10894000</v>
      </c>
      <c r="BB48" s="486">
        <v>11329760</v>
      </c>
      <c r="BC48" s="486">
        <v>0</v>
      </c>
      <c r="BD48" s="486">
        <v>0</v>
      </c>
      <c r="BE48" s="486">
        <v>0</v>
      </c>
      <c r="BF48" s="486">
        <v>0</v>
      </c>
      <c r="BG48" s="486">
        <v>0</v>
      </c>
      <c r="BH48" s="486">
        <v>0</v>
      </c>
      <c r="BI48" s="486">
        <v>0</v>
      </c>
      <c r="BJ48" s="487">
        <v>11329760</v>
      </c>
      <c r="BK48" s="486">
        <v>0</v>
      </c>
      <c r="BL48" s="486">
        <v>0</v>
      </c>
      <c r="BM48" s="486">
        <v>0</v>
      </c>
      <c r="BN48" s="488">
        <v>0</v>
      </c>
      <c r="BO48" s="490">
        <v>11329760</v>
      </c>
      <c r="BP48" s="486">
        <v>11782950.4</v>
      </c>
      <c r="BQ48" s="486">
        <v>0</v>
      </c>
      <c r="BR48" s="486">
        <v>0</v>
      </c>
      <c r="BS48" s="486">
        <v>0</v>
      </c>
      <c r="BT48" s="486">
        <v>0</v>
      </c>
      <c r="BU48" s="486">
        <v>0</v>
      </c>
      <c r="BV48" s="486">
        <v>0</v>
      </c>
      <c r="BW48" s="486">
        <v>0</v>
      </c>
      <c r="BX48" s="487">
        <v>11782950.4</v>
      </c>
      <c r="BY48" s="486">
        <v>0</v>
      </c>
      <c r="BZ48" s="486">
        <v>0</v>
      </c>
      <c r="CA48" s="486">
        <v>0</v>
      </c>
      <c r="CB48" s="488">
        <v>0</v>
      </c>
      <c r="CC48" s="491">
        <v>11782950.4</v>
      </c>
      <c r="CD48" s="492">
        <v>44481710.399999999</v>
      </c>
      <c r="CE48" s="493">
        <f t="shared" si="2"/>
        <v>44481710.399999999</v>
      </c>
      <c r="CF48" s="493">
        <f t="shared" si="2"/>
        <v>0</v>
      </c>
      <c r="CG48" s="493">
        <f t="shared" si="2"/>
        <v>0</v>
      </c>
      <c r="CH48" s="493">
        <f t="shared" si="2"/>
        <v>0</v>
      </c>
      <c r="CI48" s="493">
        <f t="shared" si="2"/>
        <v>0</v>
      </c>
      <c r="CJ48" s="493">
        <f t="shared" si="2"/>
        <v>0</v>
      </c>
      <c r="CK48" s="493">
        <f t="shared" si="2"/>
        <v>0</v>
      </c>
      <c r="CL48" s="493">
        <f t="shared" si="2"/>
        <v>0</v>
      </c>
      <c r="CM48" s="493">
        <f t="shared" si="3"/>
        <v>0</v>
      </c>
      <c r="CN48" s="493">
        <f t="shared" si="3"/>
        <v>0</v>
      </c>
      <c r="CO48" s="493">
        <f t="shared" si="3"/>
        <v>0</v>
      </c>
      <c r="CP48" s="494">
        <v>4</v>
      </c>
      <c r="CQ48" s="497" t="s">
        <v>6217</v>
      </c>
    </row>
    <row r="49" spans="1:95" ht="30.45" hidden="1" customHeight="1" thickBot="1">
      <c r="A49" s="555" t="s">
        <v>4031</v>
      </c>
      <c r="B49" s="479">
        <v>47</v>
      </c>
      <c r="C49" s="480" t="s">
        <v>4004</v>
      </c>
      <c r="D49" s="480" t="s">
        <v>4045</v>
      </c>
      <c r="E49" s="480" t="str">
        <f t="shared" si="1"/>
        <v xml:space="preserve">1.3.5 </v>
      </c>
      <c r="F49" s="480" t="s">
        <v>4081</v>
      </c>
      <c r="G49" s="480" t="s">
        <v>4082</v>
      </c>
      <c r="H49" s="481">
        <v>22</v>
      </c>
      <c r="I49" s="480" t="s">
        <v>4048</v>
      </c>
      <c r="J49" s="495">
        <v>220103800</v>
      </c>
      <c r="K49" s="480" t="s">
        <v>4091</v>
      </c>
      <c r="L49" s="480" t="s">
        <v>4092</v>
      </c>
      <c r="M49" s="480" t="s">
        <v>6444</v>
      </c>
      <c r="N49" s="484">
        <v>9345</v>
      </c>
      <c r="O49" s="480" t="s">
        <v>4093</v>
      </c>
      <c r="P49" s="500">
        <v>9345</v>
      </c>
      <c r="Q49" s="485" t="s">
        <v>5340</v>
      </c>
      <c r="R49" s="485" t="s">
        <v>5344</v>
      </c>
      <c r="S49" s="485" t="s">
        <v>5345</v>
      </c>
      <c r="T49" s="485">
        <v>262</v>
      </c>
      <c r="U49" s="485" t="s">
        <v>5342</v>
      </c>
      <c r="V49" s="485">
        <v>263</v>
      </c>
      <c r="W49" s="485" t="s">
        <v>5331</v>
      </c>
      <c r="X49" s="485">
        <v>4</v>
      </c>
      <c r="Y49" s="485" t="s">
        <v>5332</v>
      </c>
      <c r="Z49" s="486">
        <v>0</v>
      </c>
      <c r="AA49" s="486">
        <v>0</v>
      </c>
      <c r="AB49" s="486">
        <v>901264217064.59998</v>
      </c>
      <c r="AC49" s="486">
        <v>0</v>
      </c>
      <c r="AD49" s="486">
        <v>0</v>
      </c>
      <c r="AE49" s="486">
        <v>0</v>
      </c>
      <c r="AF49" s="486">
        <v>0</v>
      </c>
      <c r="AG49" s="486">
        <v>0</v>
      </c>
      <c r="AH49" s="487">
        <v>901264217064.59998</v>
      </c>
      <c r="AI49" s="486">
        <v>0</v>
      </c>
      <c r="AJ49" s="486">
        <v>0</v>
      </c>
      <c r="AK49" s="486">
        <v>0</v>
      </c>
      <c r="AL49" s="488">
        <v>0</v>
      </c>
      <c r="AM49" s="489">
        <v>901264217064.59998</v>
      </c>
      <c r="AN49" s="486">
        <v>0</v>
      </c>
      <c r="AO49" s="486">
        <v>0</v>
      </c>
      <c r="AP49" s="486">
        <v>937314785747.18396</v>
      </c>
      <c r="AQ49" s="486">
        <v>0</v>
      </c>
      <c r="AR49" s="486">
        <v>0</v>
      </c>
      <c r="AS49" s="486">
        <v>0</v>
      </c>
      <c r="AT49" s="486">
        <v>0</v>
      </c>
      <c r="AU49" s="486">
        <v>0</v>
      </c>
      <c r="AV49" s="487">
        <v>937314785747.18396</v>
      </c>
      <c r="AW49" s="486">
        <v>0</v>
      </c>
      <c r="AX49" s="486">
        <v>0</v>
      </c>
      <c r="AY49" s="486">
        <v>0</v>
      </c>
      <c r="AZ49" s="488">
        <v>0</v>
      </c>
      <c r="BA49" s="490">
        <v>937314785747.18396</v>
      </c>
      <c r="BB49" s="486">
        <v>0</v>
      </c>
      <c r="BC49" s="486">
        <v>0</v>
      </c>
      <c r="BD49" s="486">
        <v>974807377177.07141</v>
      </c>
      <c r="BE49" s="486">
        <v>0</v>
      </c>
      <c r="BF49" s="486">
        <v>0</v>
      </c>
      <c r="BG49" s="486">
        <v>0</v>
      </c>
      <c r="BH49" s="486">
        <v>0</v>
      </c>
      <c r="BI49" s="486">
        <v>0</v>
      </c>
      <c r="BJ49" s="487">
        <v>974807377177.07141</v>
      </c>
      <c r="BK49" s="486">
        <v>0</v>
      </c>
      <c r="BL49" s="486">
        <v>0</v>
      </c>
      <c r="BM49" s="486">
        <v>0</v>
      </c>
      <c r="BN49" s="488">
        <v>0</v>
      </c>
      <c r="BO49" s="490">
        <v>974807377177.07141</v>
      </c>
      <c r="BP49" s="486">
        <v>0</v>
      </c>
      <c r="BQ49" s="486">
        <v>0</v>
      </c>
      <c r="BR49" s="486">
        <v>1013799672264.1543</v>
      </c>
      <c r="BS49" s="486">
        <v>0</v>
      </c>
      <c r="BT49" s="486">
        <v>0</v>
      </c>
      <c r="BU49" s="486">
        <v>0</v>
      </c>
      <c r="BV49" s="486">
        <v>0</v>
      </c>
      <c r="BW49" s="486">
        <v>0</v>
      </c>
      <c r="BX49" s="487">
        <v>1013799672264.1543</v>
      </c>
      <c r="BY49" s="486">
        <v>0</v>
      </c>
      <c r="BZ49" s="486">
        <v>0</v>
      </c>
      <c r="CA49" s="486">
        <v>0</v>
      </c>
      <c r="CB49" s="488">
        <v>0</v>
      </c>
      <c r="CC49" s="491">
        <v>1013799672264.1543</v>
      </c>
      <c r="CD49" s="492">
        <v>3827186052253.0098</v>
      </c>
      <c r="CE49" s="493">
        <f t="shared" ref="CE49:CL80" si="4">Z49+AN49+BB49+BP49</f>
        <v>0</v>
      </c>
      <c r="CF49" s="493">
        <f t="shared" si="4"/>
        <v>0</v>
      </c>
      <c r="CG49" s="493">
        <f t="shared" si="4"/>
        <v>3827186052253.0098</v>
      </c>
      <c r="CH49" s="493">
        <f t="shared" si="4"/>
        <v>0</v>
      </c>
      <c r="CI49" s="493">
        <f t="shared" si="4"/>
        <v>0</v>
      </c>
      <c r="CJ49" s="493">
        <f t="shared" si="4"/>
        <v>0</v>
      </c>
      <c r="CK49" s="493">
        <f t="shared" si="4"/>
        <v>0</v>
      </c>
      <c r="CL49" s="493">
        <f t="shared" si="4"/>
        <v>0</v>
      </c>
      <c r="CM49" s="493">
        <f t="shared" si="3"/>
        <v>0</v>
      </c>
      <c r="CN49" s="493">
        <f t="shared" si="3"/>
        <v>0</v>
      </c>
      <c r="CO49" s="493">
        <f t="shared" si="3"/>
        <v>0</v>
      </c>
      <c r="CP49" s="494">
        <v>4</v>
      </c>
      <c r="CQ49" s="494" t="s">
        <v>5433</v>
      </c>
    </row>
    <row r="50" spans="1:95" ht="30.45" hidden="1" customHeight="1" thickBot="1">
      <c r="A50" s="555" t="s">
        <v>4031</v>
      </c>
      <c r="B50" s="479">
        <v>48</v>
      </c>
      <c r="C50" s="480" t="s">
        <v>4004</v>
      </c>
      <c r="D50" s="480" t="s">
        <v>4045</v>
      </c>
      <c r="E50" s="480" t="str">
        <f t="shared" si="1"/>
        <v xml:space="preserve">1.3.5 </v>
      </c>
      <c r="F50" s="480" t="s">
        <v>4081</v>
      </c>
      <c r="G50" s="480" t="s">
        <v>4082</v>
      </c>
      <c r="H50" s="481">
        <v>22</v>
      </c>
      <c r="I50" s="480" t="s">
        <v>4048</v>
      </c>
      <c r="J50" s="495">
        <v>220108900</v>
      </c>
      <c r="K50" s="480" t="s">
        <v>4073</v>
      </c>
      <c r="L50" s="480" t="s">
        <v>6433</v>
      </c>
      <c r="M50" s="480" t="s">
        <v>5698</v>
      </c>
      <c r="N50" s="484">
        <v>115</v>
      </c>
      <c r="O50" s="480" t="s">
        <v>6445</v>
      </c>
      <c r="P50" s="500">
        <v>115</v>
      </c>
      <c r="Q50" s="485" t="s">
        <v>5340</v>
      </c>
      <c r="R50" s="485" t="s">
        <v>5344</v>
      </c>
      <c r="S50" s="485" t="s">
        <v>5345</v>
      </c>
      <c r="T50" s="485">
        <v>262</v>
      </c>
      <c r="U50" s="485" t="s">
        <v>5342</v>
      </c>
      <c r="V50" s="485">
        <v>263</v>
      </c>
      <c r="W50" s="485" t="s">
        <v>5331</v>
      </c>
      <c r="X50" s="485">
        <v>4</v>
      </c>
      <c r="Y50" s="485" t="s">
        <v>5332</v>
      </c>
      <c r="Z50" s="486">
        <v>1092064696</v>
      </c>
      <c r="AA50" s="486">
        <v>0</v>
      </c>
      <c r="AB50" s="486">
        <v>0</v>
      </c>
      <c r="AC50" s="486">
        <v>0</v>
      </c>
      <c r="AD50" s="486">
        <v>0</v>
      </c>
      <c r="AE50" s="486">
        <v>0</v>
      </c>
      <c r="AF50" s="486">
        <v>0</v>
      </c>
      <c r="AG50" s="486">
        <v>0</v>
      </c>
      <c r="AH50" s="487">
        <v>1092064696</v>
      </c>
      <c r="AI50" s="486">
        <v>0</v>
      </c>
      <c r="AJ50" s="486">
        <v>0</v>
      </c>
      <c r="AK50" s="486">
        <v>0</v>
      </c>
      <c r="AL50" s="488">
        <v>0</v>
      </c>
      <c r="AM50" s="489">
        <v>1092064696</v>
      </c>
      <c r="AN50" s="486">
        <v>1135747283.8400002</v>
      </c>
      <c r="AO50" s="486">
        <v>0</v>
      </c>
      <c r="AP50" s="486">
        <v>0</v>
      </c>
      <c r="AQ50" s="486">
        <v>0</v>
      </c>
      <c r="AR50" s="486">
        <v>0</v>
      </c>
      <c r="AS50" s="486">
        <v>0</v>
      </c>
      <c r="AT50" s="486">
        <v>0</v>
      </c>
      <c r="AU50" s="486">
        <v>0</v>
      </c>
      <c r="AV50" s="487">
        <v>1135747283.8400002</v>
      </c>
      <c r="AW50" s="486">
        <v>0</v>
      </c>
      <c r="AX50" s="486">
        <v>0</v>
      </c>
      <c r="AY50" s="486">
        <v>0</v>
      </c>
      <c r="AZ50" s="488">
        <v>0</v>
      </c>
      <c r="BA50" s="490">
        <v>1135747283.8400002</v>
      </c>
      <c r="BB50" s="486">
        <v>1181177175.1936002</v>
      </c>
      <c r="BC50" s="486">
        <v>0</v>
      </c>
      <c r="BD50" s="486">
        <v>0</v>
      </c>
      <c r="BE50" s="486">
        <v>0</v>
      </c>
      <c r="BF50" s="486">
        <v>0</v>
      </c>
      <c r="BG50" s="486">
        <v>0</v>
      </c>
      <c r="BH50" s="486">
        <v>0</v>
      </c>
      <c r="BI50" s="486">
        <v>0</v>
      </c>
      <c r="BJ50" s="487">
        <v>1181177175.1936002</v>
      </c>
      <c r="BK50" s="486">
        <v>0</v>
      </c>
      <c r="BL50" s="486">
        <v>0</v>
      </c>
      <c r="BM50" s="486">
        <v>0</v>
      </c>
      <c r="BN50" s="488">
        <v>0</v>
      </c>
      <c r="BO50" s="490">
        <v>1181177175.1936002</v>
      </c>
      <c r="BP50" s="486">
        <v>1228424262.2013443</v>
      </c>
      <c r="BQ50" s="486">
        <v>0</v>
      </c>
      <c r="BR50" s="486">
        <v>0</v>
      </c>
      <c r="BS50" s="486">
        <v>0</v>
      </c>
      <c r="BT50" s="486">
        <v>0</v>
      </c>
      <c r="BU50" s="486">
        <v>0</v>
      </c>
      <c r="BV50" s="486">
        <v>0</v>
      </c>
      <c r="BW50" s="486">
        <v>0</v>
      </c>
      <c r="BX50" s="487">
        <v>1228424262.2013443</v>
      </c>
      <c r="BY50" s="486">
        <v>0</v>
      </c>
      <c r="BZ50" s="486">
        <v>0</v>
      </c>
      <c r="CA50" s="486">
        <v>0</v>
      </c>
      <c r="CB50" s="488">
        <v>0</v>
      </c>
      <c r="CC50" s="491">
        <v>1228424262.2013443</v>
      </c>
      <c r="CD50" s="492">
        <v>4637413417.2349443</v>
      </c>
      <c r="CE50" s="493">
        <f t="shared" si="4"/>
        <v>4637413417.2349443</v>
      </c>
      <c r="CF50" s="493">
        <f t="shared" si="4"/>
        <v>0</v>
      </c>
      <c r="CG50" s="493">
        <f t="shared" si="4"/>
        <v>0</v>
      </c>
      <c r="CH50" s="493">
        <f t="shared" si="4"/>
        <v>0</v>
      </c>
      <c r="CI50" s="493">
        <f t="shared" si="4"/>
        <v>0</v>
      </c>
      <c r="CJ50" s="493">
        <f t="shared" si="4"/>
        <v>0</v>
      </c>
      <c r="CK50" s="493">
        <f t="shared" si="4"/>
        <v>0</v>
      </c>
      <c r="CL50" s="493">
        <f t="shared" si="4"/>
        <v>0</v>
      </c>
      <c r="CM50" s="493">
        <f t="shared" si="3"/>
        <v>0</v>
      </c>
      <c r="CN50" s="493">
        <f t="shared" si="3"/>
        <v>0</v>
      </c>
      <c r="CO50" s="493">
        <f t="shared" si="3"/>
        <v>0</v>
      </c>
      <c r="CP50" s="494">
        <v>4</v>
      </c>
      <c r="CQ50" s="494" t="s">
        <v>6217</v>
      </c>
    </row>
    <row r="51" spans="1:95" ht="30.45" hidden="1" customHeight="1" thickBot="1">
      <c r="A51" s="555" t="s">
        <v>4031</v>
      </c>
      <c r="B51" s="479">
        <v>49</v>
      </c>
      <c r="C51" s="480" t="s">
        <v>4004</v>
      </c>
      <c r="D51" s="480" t="s">
        <v>4045</v>
      </c>
      <c r="E51" s="480" t="str">
        <f t="shared" si="1"/>
        <v xml:space="preserve">1.3.5 </v>
      </c>
      <c r="F51" s="480" t="s">
        <v>4081</v>
      </c>
      <c r="G51" s="480" t="s">
        <v>4082</v>
      </c>
      <c r="H51" s="481">
        <v>22</v>
      </c>
      <c r="I51" s="480" t="s">
        <v>4048</v>
      </c>
      <c r="J51" s="495">
        <v>220104300</v>
      </c>
      <c r="K51" s="480" t="s">
        <v>4055</v>
      </c>
      <c r="L51" s="480" t="s">
        <v>6446</v>
      </c>
      <c r="M51" s="480" t="s">
        <v>5699</v>
      </c>
      <c r="N51" s="484">
        <v>100</v>
      </c>
      <c r="O51" s="480" t="s">
        <v>6447</v>
      </c>
      <c r="P51" s="500">
        <v>1500</v>
      </c>
      <c r="Q51" s="485" t="s">
        <v>5340</v>
      </c>
      <c r="R51" s="485" t="s">
        <v>5344</v>
      </c>
      <c r="S51" s="485" t="s">
        <v>5345</v>
      </c>
      <c r="T51" s="485">
        <v>262</v>
      </c>
      <c r="U51" s="485" t="s">
        <v>5342</v>
      </c>
      <c r="V51" s="485">
        <v>263</v>
      </c>
      <c r="W51" s="485" t="s">
        <v>5331</v>
      </c>
      <c r="X51" s="485">
        <v>4</v>
      </c>
      <c r="Y51" s="485" t="s">
        <v>5332</v>
      </c>
      <c r="Z51" s="486">
        <v>13475000</v>
      </c>
      <c r="AA51" s="486">
        <v>0</v>
      </c>
      <c r="AB51" s="486">
        <v>0</v>
      </c>
      <c r="AC51" s="486">
        <v>0</v>
      </c>
      <c r="AD51" s="486">
        <v>0</v>
      </c>
      <c r="AE51" s="486">
        <v>0</v>
      </c>
      <c r="AF51" s="486">
        <v>0</v>
      </c>
      <c r="AG51" s="486">
        <v>0</v>
      </c>
      <c r="AH51" s="487">
        <v>13475000</v>
      </c>
      <c r="AI51" s="486">
        <v>0</v>
      </c>
      <c r="AJ51" s="486">
        <v>0</v>
      </c>
      <c r="AK51" s="486">
        <v>0</v>
      </c>
      <c r="AL51" s="488">
        <v>0</v>
      </c>
      <c r="AM51" s="489">
        <v>13475000</v>
      </c>
      <c r="AN51" s="486">
        <v>14014005</v>
      </c>
      <c r="AO51" s="486">
        <v>0</v>
      </c>
      <c r="AP51" s="486">
        <v>0</v>
      </c>
      <c r="AQ51" s="486">
        <v>0</v>
      </c>
      <c r="AR51" s="486">
        <v>0</v>
      </c>
      <c r="AS51" s="486">
        <v>0</v>
      </c>
      <c r="AT51" s="486">
        <v>0</v>
      </c>
      <c r="AU51" s="486">
        <v>0</v>
      </c>
      <c r="AV51" s="487">
        <v>14014005</v>
      </c>
      <c r="AW51" s="486">
        <v>0</v>
      </c>
      <c r="AX51" s="486">
        <v>0</v>
      </c>
      <c r="AY51" s="486">
        <v>0</v>
      </c>
      <c r="AZ51" s="488">
        <v>0</v>
      </c>
      <c r="BA51" s="490">
        <v>14014005</v>
      </c>
      <c r="BB51" s="486">
        <v>14574565.200000001</v>
      </c>
      <c r="BC51" s="486">
        <v>0</v>
      </c>
      <c r="BD51" s="486">
        <v>0</v>
      </c>
      <c r="BE51" s="486">
        <v>0</v>
      </c>
      <c r="BF51" s="486">
        <v>0</v>
      </c>
      <c r="BG51" s="486">
        <v>0</v>
      </c>
      <c r="BH51" s="486">
        <v>0</v>
      </c>
      <c r="BI51" s="486">
        <v>0</v>
      </c>
      <c r="BJ51" s="487">
        <v>14574565.200000001</v>
      </c>
      <c r="BK51" s="486">
        <v>0</v>
      </c>
      <c r="BL51" s="486">
        <v>0</v>
      </c>
      <c r="BM51" s="486">
        <v>0</v>
      </c>
      <c r="BN51" s="488">
        <v>0</v>
      </c>
      <c r="BO51" s="490">
        <v>14574565.200000001</v>
      </c>
      <c r="BP51" s="486">
        <v>15157547.808000002</v>
      </c>
      <c r="BQ51" s="486">
        <v>0</v>
      </c>
      <c r="BR51" s="486">
        <v>0</v>
      </c>
      <c r="BS51" s="486">
        <v>0</v>
      </c>
      <c r="BT51" s="486">
        <v>0</v>
      </c>
      <c r="BU51" s="486">
        <v>0</v>
      </c>
      <c r="BV51" s="486">
        <v>0</v>
      </c>
      <c r="BW51" s="486">
        <v>0</v>
      </c>
      <c r="BX51" s="487">
        <v>15157547.808000002</v>
      </c>
      <c r="BY51" s="486">
        <v>0</v>
      </c>
      <c r="BZ51" s="486">
        <v>0</v>
      </c>
      <c r="CA51" s="486">
        <v>0</v>
      </c>
      <c r="CB51" s="488">
        <v>0</v>
      </c>
      <c r="CC51" s="491">
        <v>15157547.808000002</v>
      </c>
      <c r="CD51" s="492">
        <v>57221118.008000001</v>
      </c>
      <c r="CE51" s="493">
        <f t="shared" si="4"/>
        <v>57221118.008000001</v>
      </c>
      <c r="CF51" s="493">
        <f t="shared" si="4"/>
        <v>0</v>
      </c>
      <c r="CG51" s="493">
        <f t="shared" si="4"/>
        <v>0</v>
      </c>
      <c r="CH51" s="493">
        <f t="shared" si="4"/>
        <v>0</v>
      </c>
      <c r="CI51" s="493">
        <f t="shared" si="4"/>
        <v>0</v>
      </c>
      <c r="CJ51" s="493">
        <f t="shared" si="4"/>
        <v>0</v>
      </c>
      <c r="CK51" s="493">
        <f t="shared" si="4"/>
        <v>0</v>
      </c>
      <c r="CL51" s="493">
        <f t="shared" si="4"/>
        <v>0</v>
      </c>
      <c r="CM51" s="493">
        <f t="shared" si="3"/>
        <v>0</v>
      </c>
      <c r="CN51" s="493">
        <f t="shared" si="3"/>
        <v>0</v>
      </c>
      <c r="CO51" s="493">
        <f t="shared" si="3"/>
        <v>0</v>
      </c>
      <c r="CP51" s="494">
        <v>4</v>
      </c>
      <c r="CQ51" s="497" t="s">
        <v>6224</v>
      </c>
    </row>
    <row r="52" spans="1:95" ht="30.45" hidden="1" customHeight="1" thickBot="1">
      <c r="A52" s="555" t="s">
        <v>4031</v>
      </c>
      <c r="B52" s="479">
        <v>50</v>
      </c>
      <c r="C52" s="480" t="s">
        <v>4004</v>
      </c>
      <c r="D52" s="480" t="s">
        <v>4045</v>
      </c>
      <c r="E52" s="480" t="str">
        <f t="shared" si="1"/>
        <v xml:space="preserve">1.3.5 </v>
      </c>
      <c r="F52" s="480" t="s">
        <v>4081</v>
      </c>
      <c r="G52" s="480" t="s">
        <v>4082</v>
      </c>
      <c r="H52" s="481">
        <v>22</v>
      </c>
      <c r="I52" s="480" t="s">
        <v>4048</v>
      </c>
      <c r="J52" s="495">
        <v>220101800</v>
      </c>
      <c r="K52" s="480" t="s">
        <v>4094</v>
      </c>
      <c r="L52" s="480" t="s">
        <v>4095</v>
      </c>
      <c r="M52" s="480" t="s">
        <v>5700</v>
      </c>
      <c r="N52" s="499">
        <v>0</v>
      </c>
      <c r="O52" s="480" t="s">
        <v>6445</v>
      </c>
      <c r="P52" s="500">
        <v>1</v>
      </c>
      <c r="Q52" s="485" t="s">
        <v>5340</v>
      </c>
      <c r="R52" s="485" t="s">
        <v>5344</v>
      </c>
      <c r="S52" s="485" t="s">
        <v>5345</v>
      </c>
      <c r="T52" s="485">
        <v>262</v>
      </c>
      <c r="U52" s="485" t="s">
        <v>5342</v>
      </c>
      <c r="V52" s="485">
        <v>263</v>
      </c>
      <c r="W52" s="485" t="s">
        <v>5331</v>
      </c>
      <c r="X52" s="485">
        <v>4</v>
      </c>
      <c r="Y52" s="485" t="s">
        <v>5332</v>
      </c>
      <c r="Z52" s="486">
        <v>46200000</v>
      </c>
      <c r="AA52" s="486">
        <v>0</v>
      </c>
      <c r="AB52" s="486">
        <v>0</v>
      </c>
      <c r="AC52" s="486">
        <v>0</v>
      </c>
      <c r="AD52" s="486">
        <v>0</v>
      </c>
      <c r="AE52" s="486">
        <v>0</v>
      </c>
      <c r="AF52" s="486">
        <v>0</v>
      </c>
      <c r="AG52" s="486">
        <v>0</v>
      </c>
      <c r="AH52" s="487">
        <v>46200000</v>
      </c>
      <c r="AI52" s="486">
        <v>0</v>
      </c>
      <c r="AJ52" s="486">
        <v>0</v>
      </c>
      <c r="AK52" s="486">
        <v>0</v>
      </c>
      <c r="AL52" s="488">
        <v>0</v>
      </c>
      <c r="AM52" s="489">
        <v>46200000</v>
      </c>
      <c r="AN52" s="486">
        <v>48048000</v>
      </c>
      <c r="AO52" s="486">
        <v>0</v>
      </c>
      <c r="AP52" s="486">
        <v>0</v>
      </c>
      <c r="AQ52" s="486">
        <v>0</v>
      </c>
      <c r="AR52" s="486">
        <v>0</v>
      </c>
      <c r="AS52" s="486">
        <v>0</v>
      </c>
      <c r="AT52" s="486">
        <v>0</v>
      </c>
      <c r="AU52" s="486">
        <v>0</v>
      </c>
      <c r="AV52" s="487">
        <v>48048000</v>
      </c>
      <c r="AW52" s="486">
        <v>0</v>
      </c>
      <c r="AX52" s="486">
        <v>0</v>
      </c>
      <c r="AY52" s="486">
        <v>0</v>
      </c>
      <c r="AZ52" s="488">
        <v>0</v>
      </c>
      <c r="BA52" s="490">
        <v>48048000</v>
      </c>
      <c r="BB52" s="486">
        <v>49969920</v>
      </c>
      <c r="BC52" s="486">
        <v>0</v>
      </c>
      <c r="BD52" s="486">
        <v>0</v>
      </c>
      <c r="BE52" s="486">
        <v>0</v>
      </c>
      <c r="BF52" s="486">
        <v>0</v>
      </c>
      <c r="BG52" s="486">
        <v>0</v>
      </c>
      <c r="BH52" s="486">
        <v>0</v>
      </c>
      <c r="BI52" s="486">
        <v>0</v>
      </c>
      <c r="BJ52" s="487">
        <v>49969920</v>
      </c>
      <c r="BK52" s="486">
        <v>0</v>
      </c>
      <c r="BL52" s="486">
        <v>0</v>
      </c>
      <c r="BM52" s="486">
        <v>0</v>
      </c>
      <c r="BN52" s="488">
        <v>0</v>
      </c>
      <c r="BO52" s="490">
        <v>49969920</v>
      </c>
      <c r="BP52" s="486">
        <v>51968716.800000004</v>
      </c>
      <c r="BQ52" s="486">
        <v>0</v>
      </c>
      <c r="BR52" s="486">
        <v>0</v>
      </c>
      <c r="BS52" s="486">
        <v>0</v>
      </c>
      <c r="BT52" s="486">
        <v>0</v>
      </c>
      <c r="BU52" s="486">
        <v>0</v>
      </c>
      <c r="BV52" s="486">
        <v>0</v>
      </c>
      <c r="BW52" s="486">
        <v>0</v>
      </c>
      <c r="BX52" s="487">
        <v>51968716.800000004</v>
      </c>
      <c r="BY52" s="486">
        <v>0</v>
      </c>
      <c r="BZ52" s="486">
        <v>0</v>
      </c>
      <c r="CA52" s="486">
        <v>0</v>
      </c>
      <c r="CB52" s="488">
        <v>0</v>
      </c>
      <c r="CC52" s="491">
        <v>51968716.800000004</v>
      </c>
      <c r="CD52" s="492">
        <v>196186636.80000001</v>
      </c>
      <c r="CE52" s="493">
        <f t="shared" si="4"/>
        <v>196186636.80000001</v>
      </c>
      <c r="CF52" s="493">
        <f t="shared" si="4"/>
        <v>0</v>
      </c>
      <c r="CG52" s="493">
        <f t="shared" si="4"/>
        <v>0</v>
      </c>
      <c r="CH52" s="493">
        <f t="shared" si="4"/>
        <v>0</v>
      </c>
      <c r="CI52" s="493">
        <f t="shared" si="4"/>
        <v>0</v>
      </c>
      <c r="CJ52" s="493">
        <f t="shared" si="4"/>
        <v>0</v>
      </c>
      <c r="CK52" s="493">
        <f t="shared" si="4"/>
        <v>0</v>
      </c>
      <c r="CL52" s="493">
        <f t="shared" si="4"/>
        <v>0</v>
      </c>
      <c r="CM52" s="493">
        <f t="shared" si="3"/>
        <v>0</v>
      </c>
      <c r="CN52" s="493">
        <f t="shared" si="3"/>
        <v>0</v>
      </c>
      <c r="CO52" s="493">
        <f t="shared" si="3"/>
        <v>0</v>
      </c>
      <c r="CP52" s="503">
        <v>4</v>
      </c>
      <c r="CQ52" s="506" t="s">
        <v>6217</v>
      </c>
    </row>
    <row r="53" spans="1:95" ht="30.45" hidden="1" customHeight="1" thickBot="1">
      <c r="A53" s="555" t="s">
        <v>4101</v>
      </c>
      <c r="B53" s="479">
        <v>51</v>
      </c>
      <c r="C53" s="480" t="s">
        <v>4004</v>
      </c>
      <c r="D53" s="480" t="s">
        <v>4096</v>
      </c>
      <c r="E53" s="480" t="str">
        <f t="shared" si="1"/>
        <v xml:space="preserve">1.4.1 </v>
      </c>
      <c r="F53" s="480" t="s">
        <v>6374</v>
      </c>
      <c r="G53" s="480" t="s">
        <v>6392</v>
      </c>
      <c r="H53" s="481">
        <v>33</v>
      </c>
      <c r="I53" s="480" t="s">
        <v>4098</v>
      </c>
      <c r="J53" s="495">
        <v>330105100</v>
      </c>
      <c r="K53" s="480" t="s">
        <v>4008</v>
      </c>
      <c r="L53" s="480" t="s">
        <v>4099</v>
      </c>
      <c r="M53" s="480" t="s">
        <v>6448</v>
      </c>
      <c r="N53" s="484">
        <v>6000</v>
      </c>
      <c r="O53" s="480" t="s">
        <v>4100</v>
      </c>
      <c r="P53" s="500">
        <v>13000</v>
      </c>
      <c r="Q53" s="485">
        <v>270030002</v>
      </c>
      <c r="R53" s="485" t="s">
        <v>5346</v>
      </c>
      <c r="S53" s="485" t="s">
        <v>5347</v>
      </c>
      <c r="T53" s="485">
        <v>7530</v>
      </c>
      <c r="U53" s="485" t="s">
        <v>4100</v>
      </c>
      <c r="V53" s="485">
        <v>16530</v>
      </c>
      <c r="W53" s="485" t="s">
        <v>5343</v>
      </c>
      <c r="X53" s="485">
        <v>4</v>
      </c>
      <c r="Y53" s="485" t="s">
        <v>5348</v>
      </c>
      <c r="Z53" s="486">
        <v>82000000</v>
      </c>
      <c r="AA53" s="486">
        <v>173000000</v>
      </c>
      <c r="AB53" s="486">
        <v>0</v>
      </c>
      <c r="AC53" s="486">
        <v>0</v>
      </c>
      <c r="AD53" s="486">
        <v>0</v>
      </c>
      <c r="AE53" s="486">
        <v>0</v>
      </c>
      <c r="AF53" s="486">
        <v>0</v>
      </c>
      <c r="AG53" s="486">
        <v>0</v>
      </c>
      <c r="AH53" s="487">
        <v>255000000</v>
      </c>
      <c r="AI53" s="486">
        <v>28000000</v>
      </c>
      <c r="AJ53" s="486">
        <v>0</v>
      </c>
      <c r="AK53" s="486">
        <v>0</v>
      </c>
      <c r="AL53" s="488">
        <v>28000000</v>
      </c>
      <c r="AM53" s="489">
        <v>283000000</v>
      </c>
      <c r="AN53" s="486">
        <v>93000000</v>
      </c>
      <c r="AO53" s="486">
        <v>180320000</v>
      </c>
      <c r="AP53" s="486">
        <v>0</v>
      </c>
      <c r="AQ53" s="486">
        <v>0</v>
      </c>
      <c r="AR53" s="486">
        <v>0</v>
      </c>
      <c r="AS53" s="486">
        <v>0</v>
      </c>
      <c r="AT53" s="486">
        <v>0</v>
      </c>
      <c r="AU53" s="486">
        <v>0</v>
      </c>
      <c r="AV53" s="487">
        <v>273320000</v>
      </c>
      <c r="AW53" s="486">
        <v>28000000</v>
      </c>
      <c r="AX53" s="486">
        <v>0</v>
      </c>
      <c r="AY53" s="486">
        <v>0</v>
      </c>
      <c r="AZ53" s="488">
        <v>28000000</v>
      </c>
      <c r="BA53" s="490">
        <v>301320000</v>
      </c>
      <c r="BB53" s="486">
        <v>104000000</v>
      </c>
      <c r="BC53" s="486">
        <v>187932800</v>
      </c>
      <c r="BD53" s="486">
        <v>0</v>
      </c>
      <c r="BE53" s="486">
        <v>0</v>
      </c>
      <c r="BF53" s="486">
        <v>0</v>
      </c>
      <c r="BG53" s="486">
        <v>0</v>
      </c>
      <c r="BH53" s="486">
        <v>0</v>
      </c>
      <c r="BI53" s="486">
        <v>0</v>
      </c>
      <c r="BJ53" s="487">
        <v>291932800</v>
      </c>
      <c r="BK53" s="486">
        <v>28000000</v>
      </c>
      <c r="BL53" s="486">
        <v>0</v>
      </c>
      <c r="BM53" s="486">
        <v>0</v>
      </c>
      <c r="BN53" s="488">
        <v>28000000</v>
      </c>
      <c r="BO53" s="490">
        <v>319932800</v>
      </c>
      <c r="BP53" s="486">
        <v>115000000</v>
      </c>
      <c r="BQ53" s="486">
        <v>195850112</v>
      </c>
      <c r="BR53" s="486">
        <v>0</v>
      </c>
      <c r="BS53" s="486">
        <v>0</v>
      </c>
      <c r="BT53" s="486">
        <v>0</v>
      </c>
      <c r="BU53" s="486">
        <v>0</v>
      </c>
      <c r="BV53" s="486">
        <v>0</v>
      </c>
      <c r="BW53" s="486">
        <v>0</v>
      </c>
      <c r="BX53" s="487">
        <v>310850112</v>
      </c>
      <c r="BY53" s="486">
        <v>28000000</v>
      </c>
      <c r="BZ53" s="486">
        <v>0</v>
      </c>
      <c r="CA53" s="486">
        <v>0</v>
      </c>
      <c r="CB53" s="488">
        <v>28000000</v>
      </c>
      <c r="CC53" s="491">
        <v>338850112</v>
      </c>
      <c r="CD53" s="492">
        <v>1243102912</v>
      </c>
      <c r="CE53" s="493">
        <f t="shared" si="4"/>
        <v>394000000</v>
      </c>
      <c r="CF53" s="493">
        <f t="shared" si="4"/>
        <v>737102912</v>
      </c>
      <c r="CG53" s="493">
        <f t="shared" si="4"/>
        <v>0</v>
      </c>
      <c r="CH53" s="493">
        <f t="shared" si="4"/>
        <v>0</v>
      </c>
      <c r="CI53" s="493">
        <f t="shared" si="4"/>
        <v>0</v>
      </c>
      <c r="CJ53" s="493">
        <f t="shared" si="4"/>
        <v>0</v>
      </c>
      <c r="CK53" s="493">
        <f t="shared" si="4"/>
        <v>0</v>
      </c>
      <c r="CL53" s="493">
        <f t="shared" si="4"/>
        <v>0</v>
      </c>
      <c r="CM53" s="493">
        <f t="shared" si="3"/>
        <v>112000000</v>
      </c>
      <c r="CN53" s="493">
        <f t="shared" si="3"/>
        <v>0</v>
      </c>
      <c r="CO53" s="493">
        <f t="shared" si="3"/>
        <v>0</v>
      </c>
      <c r="CP53" s="494">
        <v>4</v>
      </c>
      <c r="CQ53" s="494" t="s">
        <v>5433</v>
      </c>
    </row>
    <row r="54" spans="1:95" ht="30.45" hidden="1" customHeight="1" thickBot="1">
      <c r="A54" s="555" t="s">
        <v>4101</v>
      </c>
      <c r="B54" s="479">
        <v>52</v>
      </c>
      <c r="C54" s="480" t="s">
        <v>4004</v>
      </c>
      <c r="D54" s="480" t="s">
        <v>4096</v>
      </c>
      <c r="E54" s="480" t="str">
        <f t="shared" si="1"/>
        <v xml:space="preserve">1.4.1 </v>
      </c>
      <c r="F54" s="480" t="s">
        <v>6374</v>
      </c>
      <c r="G54" s="480" t="s">
        <v>4097</v>
      </c>
      <c r="H54" s="481">
        <v>33</v>
      </c>
      <c r="I54" s="480" t="s">
        <v>4098</v>
      </c>
      <c r="J54" s="495">
        <v>330105200</v>
      </c>
      <c r="K54" s="480" t="s">
        <v>4008</v>
      </c>
      <c r="L54" s="480" t="s">
        <v>4102</v>
      </c>
      <c r="M54" s="480" t="s">
        <v>5701</v>
      </c>
      <c r="N54" s="484">
        <v>130</v>
      </c>
      <c r="O54" s="480" t="s">
        <v>4100</v>
      </c>
      <c r="P54" s="500">
        <v>230</v>
      </c>
      <c r="Q54" s="485">
        <v>270030002</v>
      </c>
      <c r="R54" s="485" t="s">
        <v>5346</v>
      </c>
      <c r="S54" s="485" t="s">
        <v>5347</v>
      </c>
      <c r="T54" s="485">
        <v>7530</v>
      </c>
      <c r="U54" s="485" t="s">
        <v>4100</v>
      </c>
      <c r="V54" s="485">
        <v>16530</v>
      </c>
      <c r="W54" s="485" t="s">
        <v>5343</v>
      </c>
      <c r="X54" s="485">
        <v>4</v>
      </c>
      <c r="Y54" s="485" t="s">
        <v>5348</v>
      </c>
      <c r="Z54" s="486">
        <v>535000000</v>
      </c>
      <c r="AA54" s="486">
        <v>90000000</v>
      </c>
      <c r="AB54" s="486">
        <v>0</v>
      </c>
      <c r="AC54" s="486">
        <v>0</v>
      </c>
      <c r="AD54" s="486">
        <v>0</v>
      </c>
      <c r="AE54" s="486">
        <v>0</v>
      </c>
      <c r="AF54" s="486">
        <v>0</v>
      </c>
      <c r="AG54" s="486">
        <v>0</v>
      </c>
      <c r="AH54" s="487">
        <v>625000000</v>
      </c>
      <c r="AI54" s="486">
        <v>153000000</v>
      </c>
      <c r="AJ54" s="486">
        <v>0</v>
      </c>
      <c r="AK54" s="486">
        <v>0</v>
      </c>
      <c r="AL54" s="488">
        <v>153000000</v>
      </c>
      <c r="AM54" s="489">
        <v>778000000</v>
      </c>
      <c r="AN54" s="486">
        <v>578000000</v>
      </c>
      <c r="AO54" s="486">
        <v>93600000</v>
      </c>
      <c r="AP54" s="486">
        <v>0</v>
      </c>
      <c r="AQ54" s="486">
        <v>0</v>
      </c>
      <c r="AR54" s="486">
        <v>0</v>
      </c>
      <c r="AS54" s="486">
        <v>0</v>
      </c>
      <c r="AT54" s="486">
        <v>0</v>
      </c>
      <c r="AU54" s="486">
        <v>0</v>
      </c>
      <c r="AV54" s="487">
        <v>671600000</v>
      </c>
      <c r="AW54" s="486">
        <v>158000000</v>
      </c>
      <c r="AX54" s="486">
        <v>0</v>
      </c>
      <c r="AY54" s="486">
        <v>0</v>
      </c>
      <c r="AZ54" s="488">
        <v>158000000</v>
      </c>
      <c r="BA54" s="490">
        <v>829600000</v>
      </c>
      <c r="BB54" s="486">
        <v>604000000</v>
      </c>
      <c r="BC54" s="486">
        <v>97344000</v>
      </c>
      <c r="BD54" s="486">
        <v>0</v>
      </c>
      <c r="BE54" s="486">
        <v>0</v>
      </c>
      <c r="BF54" s="486">
        <v>0</v>
      </c>
      <c r="BG54" s="486">
        <v>0</v>
      </c>
      <c r="BH54" s="486">
        <v>0</v>
      </c>
      <c r="BI54" s="486">
        <v>0</v>
      </c>
      <c r="BJ54" s="487">
        <v>701344000</v>
      </c>
      <c r="BK54" s="486">
        <v>163200000</v>
      </c>
      <c r="BL54" s="486">
        <v>0</v>
      </c>
      <c r="BM54" s="486">
        <v>0</v>
      </c>
      <c r="BN54" s="488">
        <v>163200000</v>
      </c>
      <c r="BO54" s="490">
        <v>864544000</v>
      </c>
      <c r="BP54" s="486">
        <v>630000000</v>
      </c>
      <c r="BQ54" s="486">
        <v>101237760</v>
      </c>
      <c r="BR54" s="486">
        <v>0</v>
      </c>
      <c r="BS54" s="486">
        <v>0</v>
      </c>
      <c r="BT54" s="486">
        <v>0</v>
      </c>
      <c r="BU54" s="486">
        <v>0</v>
      </c>
      <c r="BV54" s="486">
        <v>0</v>
      </c>
      <c r="BW54" s="486">
        <v>0</v>
      </c>
      <c r="BX54" s="487">
        <v>731237760</v>
      </c>
      <c r="BY54" s="486">
        <v>168608000</v>
      </c>
      <c r="BZ54" s="486">
        <v>0</v>
      </c>
      <c r="CA54" s="486">
        <v>0</v>
      </c>
      <c r="CB54" s="488">
        <v>168608000</v>
      </c>
      <c r="CC54" s="491">
        <v>899845760</v>
      </c>
      <c r="CD54" s="492">
        <v>3371989760</v>
      </c>
      <c r="CE54" s="493">
        <f t="shared" si="4"/>
        <v>2347000000</v>
      </c>
      <c r="CF54" s="493">
        <f t="shared" si="4"/>
        <v>382181760</v>
      </c>
      <c r="CG54" s="493">
        <f t="shared" si="4"/>
        <v>0</v>
      </c>
      <c r="CH54" s="493">
        <f t="shared" si="4"/>
        <v>0</v>
      </c>
      <c r="CI54" s="493">
        <f t="shared" si="4"/>
        <v>0</v>
      </c>
      <c r="CJ54" s="493">
        <f t="shared" si="4"/>
        <v>0</v>
      </c>
      <c r="CK54" s="493">
        <f t="shared" si="4"/>
        <v>0</v>
      </c>
      <c r="CL54" s="493">
        <f t="shared" si="4"/>
        <v>0</v>
      </c>
      <c r="CM54" s="493">
        <f t="shared" si="3"/>
        <v>642808000</v>
      </c>
      <c r="CN54" s="493">
        <f t="shared" si="3"/>
        <v>0</v>
      </c>
      <c r="CO54" s="493">
        <f t="shared" si="3"/>
        <v>0</v>
      </c>
      <c r="CP54" s="494">
        <v>4</v>
      </c>
      <c r="CQ54" s="494" t="s">
        <v>5433</v>
      </c>
    </row>
    <row r="55" spans="1:95" ht="30.45" hidden="1" customHeight="1" thickBot="1">
      <c r="A55" s="555" t="s">
        <v>4101</v>
      </c>
      <c r="B55" s="479">
        <v>53</v>
      </c>
      <c r="C55" s="480" t="s">
        <v>4004</v>
      </c>
      <c r="D55" s="480" t="s">
        <v>4096</v>
      </c>
      <c r="E55" s="480" t="str">
        <f t="shared" si="1"/>
        <v xml:space="preserve">1.4.1 </v>
      </c>
      <c r="F55" s="480" t="s">
        <v>6374</v>
      </c>
      <c r="G55" s="480" t="s">
        <v>4097</v>
      </c>
      <c r="H55" s="481">
        <v>33</v>
      </c>
      <c r="I55" s="480" t="s">
        <v>4098</v>
      </c>
      <c r="J55" s="495">
        <v>330105400</v>
      </c>
      <c r="K55" s="480" t="s">
        <v>4103</v>
      </c>
      <c r="L55" s="480" t="s">
        <v>6449</v>
      </c>
      <c r="M55" s="480" t="s">
        <v>5702</v>
      </c>
      <c r="N55" s="484">
        <v>1400</v>
      </c>
      <c r="O55" s="480" t="s">
        <v>4100</v>
      </c>
      <c r="P55" s="500">
        <v>3200</v>
      </c>
      <c r="Q55" s="485">
        <v>270030002</v>
      </c>
      <c r="R55" s="485" t="s">
        <v>5346</v>
      </c>
      <c r="S55" s="485" t="s">
        <v>5347</v>
      </c>
      <c r="T55" s="485">
        <v>7530</v>
      </c>
      <c r="U55" s="485" t="s">
        <v>4100</v>
      </c>
      <c r="V55" s="485">
        <v>16530</v>
      </c>
      <c r="W55" s="485" t="s">
        <v>5343</v>
      </c>
      <c r="X55" s="485">
        <v>4</v>
      </c>
      <c r="Y55" s="485" t="s">
        <v>5348</v>
      </c>
      <c r="Z55" s="486">
        <v>346200000</v>
      </c>
      <c r="AA55" s="486">
        <v>3070000000</v>
      </c>
      <c r="AB55" s="486">
        <v>0</v>
      </c>
      <c r="AC55" s="486">
        <v>0</v>
      </c>
      <c r="AD55" s="486">
        <v>0</v>
      </c>
      <c r="AE55" s="486">
        <v>0</v>
      </c>
      <c r="AF55" s="486">
        <v>0</v>
      </c>
      <c r="AG55" s="486">
        <v>0</v>
      </c>
      <c r="AH55" s="487">
        <v>3416200000</v>
      </c>
      <c r="AI55" s="486">
        <v>29362110</v>
      </c>
      <c r="AJ55" s="486">
        <v>0</v>
      </c>
      <c r="AK55" s="486">
        <v>0</v>
      </c>
      <c r="AL55" s="488">
        <v>29362110</v>
      </c>
      <c r="AM55" s="489">
        <v>3445562110</v>
      </c>
      <c r="AN55" s="486">
        <v>368100000</v>
      </c>
      <c r="AO55" s="486">
        <v>3171400000</v>
      </c>
      <c r="AP55" s="486">
        <v>0</v>
      </c>
      <c r="AQ55" s="486">
        <v>0</v>
      </c>
      <c r="AR55" s="486">
        <v>0</v>
      </c>
      <c r="AS55" s="486">
        <v>0</v>
      </c>
      <c r="AT55" s="486">
        <v>0</v>
      </c>
      <c r="AU55" s="486">
        <v>0</v>
      </c>
      <c r="AV55" s="487">
        <v>3539500000</v>
      </c>
      <c r="AW55" s="486">
        <v>4216594</v>
      </c>
      <c r="AX55" s="486">
        <v>0</v>
      </c>
      <c r="AY55" s="486">
        <v>0</v>
      </c>
      <c r="AZ55" s="488">
        <v>4216594</v>
      </c>
      <c r="BA55" s="490">
        <v>3543716594</v>
      </c>
      <c r="BB55" s="486">
        <v>409800000</v>
      </c>
      <c r="BC55" s="486">
        <v>3278656000</v>
      </c>
      <c r="BD55" s="486">
        <v>0</v>
      </c>
      <c r="BE55" s="486">
        <v>0</v>
      </c>
      <c r="BF55" s="486">
        <v>0</v>
      </c>
      <c r="BG55" s="486">
        <v>0</v>
      </c>
      <c r="BH55" s="486">
        <v>0</v>
      </c>
      <c r="BI55" s="486">
        <v>0</v>
      </c>
      <c r="BJ55" s="487">
        <v>3688456000</v>
      </c>
      <c r="BK55" s="486">
        <v>1501258176</v>
      </c>
      <c r="BL55" s="486">
        <v>0</v>
      </c>
      <c r="BM55" s="486">
        <v>0</v>
      </c>
      <c r="BN55" s="488">
        <v>1501258176</v>
      </c>
      <c r="BO55" s="490">
        <v>5189714176</v>
      </c>
      <c r="BP55" s="486">
        <v>467400000</v>
      </c>
      <c r="BQ55" s="486">
        <v>3392002240</v>
      </c>
      <c r="BR55" s="486">
        <v>0</v>
      </c>
      <c r="BS55" s="486">
        <v>0</v>
      </c>
      <c r="BT55" s="486">
        <v>0</v>
      </c>
      <c r="BU55" s="486">
        <v>0</v>
      </c>
      <c r="BV55" s="486">
        <v>0</v>
      </c>
      <c r="BW55" s="486">
        <v>0</v>
      </c>
      <c r="BX55" s="487">
        <v>3859402240</v>
      </c>
      <c r="BY55" s="486">
        <v>1560188503</v>
      </c>
      <c r="BZ55" s="486">
        <v>0</v>
      </c>
      <c r="CA55" s="486">
        <v>0</v>
      </c>
      <c r="CB55" s="488">
        <v>1560188503</v>
      </c>
      <c r="CC55" s="491">
        <v>5419590743</v>
      </c>
      <c r="CD55" s="492">
        <v>17598583623</v>
      </c>
      <c r="CE55" s="493">
        <f t="shared" si="4"/>
        <v>1591500000</v>
      </c>
      <c r="CF55" s="493">
        <f t="shared" si="4"/>
        <v>12912058240</v>
      </c>
      <c r="CG55" s="493">
        <f t="shared" si="4"/>
        <v>0</v>
      </c>
      <c r="CH55" s="493">
        <f t="shared" si="4"/>
        <v>0</v>
      </c>
      <c r="CI55" s="493">
        <f t="shared" si="4"/>
        <v>0</v>
      </c>
      <c r="CJ55" s="493">
        <f t="shared" si="4"/>
        <v>0</v>
      </c>
      <c r="CK55" s="493">
        <f t="shared" si="4"/>
        <v>0</v>
      </c>
      <c r="CL55" s="493">
        <f t="shared" si="4"/>
        <v>0</v>
      </c>
      <c r="CM55" s="493">
        <f t="shared" si="3"/>
        <v>3095025383</v>
      </c>
      <c r="CN55" s="493">
        <f t="shared" si="3"/>
        <v>0</v>
      </c>
      <c r="CO55" s="493">
        <f t="shared" si="3"/>
        <v>0</v>
      </c>
      <c r="CP55" s="494">
        <v>4</v>
      </c>
      <c r="CQ55" s="494" t="s">
        <v>5433</v>
      </c>
    </row>
    <row r="56" spans="1:95" ht="30.45" hidden="1" customHeight="1" thickBot="1">
      <c r="A56" s="555" t="s">
        <v>4101</v>
      </c>
      <c r="B56" s="479">
        <v>54</v>
      </c>
      <c r="C56" s="480" t="s">
        <v>4004</v>
      </c>
      <c r="D56" s="480" t="s">
        <v>4096</v>
      </c>
      <c r="E56" s="480" t="str">
        <f t="shared" si="1"/>
        <v xml:space="preserve">1.4.1 </v>
      </c>
      <c r="F56" s="480" t="s">
        <v>6374</v>
      </c>
      <c r="G56" s="480" t="s">
        <v>4097</v>
      </c>
      <c r="H56" s="481">
        <v>33</v>
      </c>
      <c r="I56" s="480" t="s">
        <v>4098</v>
      </c>
      <c r="J56" s="495">
        <v>330106400</v>
      </c>
      <c r="K56" s="480" t="s">
        <v>4073</v>
      </c>
      <c r="L56" s="480" t="s">
        <v>4104</v>
      </c>
      <c r="M56" s="480" t="s">
        <v>5703</v>
      </c>
      <c r="N56" s="484">
        <v>100</v>
      </c>
      <c r="O56" s="480" t="s">
        <v>4100</v>
      </c>
      <c r="P56" s="500" t="s">
        <v>4105</v>
      </c>
      <c r="Q56" s="485">
        <v>270030002</v>
      </c>
      <c r="R56" s="485" t="s">
        <v>5346</v>
      </c>
      <c r="S56" s="485" t="s">
        <v>5347</v>
      </c>
      <c r="T56" s="485">
        <v>7530</v>
      </c>
      <c r="U56" s="485" t="s">
        <v>4100</v>
      </c>
      <c r="V56" s="485">
        <v>16530</v>
      </c>
      <c r="W56" s="485" t="s">
        <v>5343</v>
      </c>
      <c r="X56" s="485">
        <v>4</v>
      </c>
      <c r="Y56" s="485" t="s">
        <v>5348</v>
      </c>
      <c r="Z56" s="486">
        <v>17000000</v>
      </c>
      <c r="AA56" s="486">
        <v>0</v>
      </c>
      <c r="AB56" s="486">
        <v>0</v>
      </c>
      <c r="AC56" s="486">
        <v>0</v>
      </c>
      <c r="AD56" s="486">
        <v>0</v>
      </c>
      <c r="AE56" s="486">
        <v>0</v>
      </c>
      <c r="AF56" s="486">
        <v>0</v>
      </c>
      <c r="AG56" s="486">
        <v>0</v>
      </c>
      <c r="AH56" s="487">
        <v>17000000</v>
      </c>
      <c r="AI56" s="486">
        <v>28000000</v>
      </c>
      <c r="AJ56" s="486">
        <v>0</v>
      </c>
      <c r="AK56" s="486">
        <v>0</v>
      </c>
      <c r="AL56" s="488">
        <v>28000000</v>
      </c>
      <c r="AM56" s="489">
        <v>45000000</v>
      </c>
      <c r="AN56" s="486">
        <v>18000000</v>
      </c>
      <c r="AO56" s="486">
        <v>0</v>
      </c>
      <c r="AP56" s="486">
        <v>0</v>
      </c>
      <c r="AQ56" s="486">
        <v>0</v>
      </c>
      <c r="AR56" s="486">
        <v>0</v>
      </c>
      <c r="AS56" s="486">
        <v>0</v>
      </c>
      <c r="AT56" s="486">
        <v>0</v>
      </c>
      <c r="AU56" s="486">
        <v>0</v>
      </c>
      <c r="AV56" s="487">
        <v>18000000</v>
      </c>
      <c r="AW56" s="486">
        <v>28000000</v>
      </c>
      <c r="AX56" s="486">
        <v>0</v>
      </c>
      <c r="AY56" s="486">
        <v>0</v>
      </c>
      <c r="AZ56" s="488">
        <v>28000000</v>
      </c>
      <c r="BA56" s="490">
        <v>46000000</v>
      </c>
      <c r="BB56" s="486">
        <v>19000000</v>
      </c>
      <c r="BC56" s="486">
        <v>0</v>
      </c>
      <c r="BD56" s="486">
        <v>0</v>
      </c>
      <c r="BE56" s="486">
        <v>0</v>
      </c>
      <c r="BF56" s="486">
        <v>0</v>
      </c>
      <c r="BG56" s="486">
        <v>0</v>
      </c>
      <c r="BH56" s="486">
        <v>0</v>
      </c>
      <c r="BI56" s="486">
        <v>0</v>
      </c>
      <c r="BJ56" s="487">
        <v>19000000</v>
      </c>
      <c r="BK56" s="486">
        <v>28000000</v>
      </c>
      <c r="BL56" s="486">
        <v>0</v>
      </c>
      <c r="BM56" s="486">
        <v>0</v>
      </c>
      <c r="BN56" s="488">
        <v>28000000</v>
      </c>
      <c r="BO56" s="490">
        <v>47000000</v>
      </c>
      <c r="BP56" s="486">
        <v>20000000</v>
      </c>
      <c r="BQ56" s="486">
        <v>0</v>
      </c>
      <c r="BR56" s="486">
        <v>0</v>
      </c>
      <c r="BS56" s="486">
        <v>0</v>
      </c>
      <c r="BT56" s="486">
        <v>0</v>
      </c>
      <c r="BU56" s="486">
        <v>0</v>
      </c>
      <c r="BV56" s="486">
        <v>0</v>
      </c>
      <c r="BW56" s="486">
        <v>0</v>
      </c>
      <c r="BX56" s="487">
        <v>20000000</v>
      </c>
      <c r="BY56" s="486">
        <v>28000000</v>
      </c>
      <c r="BZ56" s="486">
        <v>0</v>
      </c>
      <c r="CA56" s="486">
        <v>0</v>
      </c>
      <c r="CB56" s="488">
        <v>28000000</v>
      </c>
      <c r="CC56" s="491">
        <v>48000000</v>
      </c>
      <c r="CD56" s="492">
        <v>186000000</v>
      </c>
      <c r="CE56" s="493">
        <f t="shared" si="4"/>
        <v>74000000</v>
      </c>
      <c r="CF56" s="493">
        <f t="shared" si="4"/>
        <v>0</v>
      </c>
      <c r="CG56" s="493">
        <f t="shared" si="4"/>
        <v>0</v>
      </c>
      <c r="CH56" s="493">
        <f t="shared" si="4"/>
        <v>0</v>
      </c>
      <c r="CI56" s="493">
        <f t="shared" si="4"/>
        <v>0</v>
      </c>
      <c r="CJ56" s="493">
        <f t="shared" si="4"/>
        <v>0</v>
      </c>
      <c r="CK56" s="493">
        <f t="shared" si="4"/>
        <v>0</v>
      </c>
      <c r="CL56" s="493">
        <f t="shared" si="4"/>
        <v>0</v>
      </c>
      <c r="CM56" s="493">
        <f t="shared" si="3"/>
        <v>112000000</v>
      </c>
      <c r="CN56" s="493">
        <f t="shared" si="3"/>
        <v>0</v>
      </c>
      <c r="CO56" s="493">
        <f t="shared" si="3"/>
        <v>0</v>
      </c>
      <c r="CP56" s="494">
        <v>4</v>
      </c>
      <c r="CQ56" s="494" t="s">
        <v>5433</v>
      </c>
    </row>
    <row r="57" spans="1:95" ht="30.45" hidden="1" customHeight="1" thickBot="1">
      <c r="A57" s="555" t="s">
        <v>4101</v>
      </c>
      <c r="B57" s="479">
        <v>55</v>
      </c>
      <c r="C57" s="480" t="s">
        <v>4004</v>
      </c>
      <c r="D57" s="480" t="s">
        <v>4096</v>
      </c>
      <c r="E57" s="480" t="str">
        <f t="shared" si="1"/>
        <v xml:space="preserve">1.4.1 </v>
      </c>
      <c r="F57" s="480" t="s">
        <v>6374</v>
      </c>
      <c r="G57" s="480" t="s">
        <v>4097</v>
      </c>
      <c r="H57" s="481">
        <v>33</v>
      </c>
      <c r="I57" s="480" t="s">
        <v>4098</v>
      </c>
      <c r="J57" s="495">
        <v>330112600</v>
      </c>
      <c r="K57" s="480" t="s">
        <v>4106</v>
      </c>
      <c r="L57" s="480" t="s">
        <v>4107</v>
      </c>
      <c r="M57" s="480" t="s">
        <v>5704</v>
      </c>
      <c r="N57" s="484">
        <v>2</v>
      </c>
      <c r="O57" s="480" t="s">
        <v>4100</v>
      </c>
      <c r="P57" s="500" t="s">
        <v>4108</v>
      </c>
      <c r="Q57" s="485">
        <v>270030002</v>
      </c>
      <c r="R57" s="485" t="s">
        <v>5346</v>
      </c>
      <c r="S57" s="485" t="s">
        <v>5347</v>
      </c>
      <c r="T57" s="485">
        <v>7530</v>
      </c>
      <c r="U57" s="485" t="s">
        <v>4100</v>
      </c>
      <c r="V57" s="485">
        <v>16530</v>
      </c>
      <c r="W57" s="485" t="s">
        <v>5343</v>
      </c>
      <c r="X57" s="485">
        <v>4</v>
      </c>
      <c r="Y57" s="485" t="s">
        <v>5348</v>
      </c>
      <c r="Z57" s="486">
        <v>167000000</v>
      </c>
      <c r="AA57" s="486">
        <v>300000000</v>
      </c>
      <c r="AB57" s="486">
        <v>0</v>
      </c>
      <c r="AC57" s="486">
        <v>0</v>
      </c>
      <c r="AD57" s="486">
        <v>0</v>
      </c>
      <c r="AE57" s="486">
        <v>0</v>
      </c>
      <c r="AF57" s="486">
        <v>0</v>
      </c>
      <c r="AG57" s="486">
        <v>0</v>
      </c>
      <c r="AH57" s="487">
        <v>467000000</v>
      </c>
      <c r="AI57" s="486">
        <v>28000000</v>
      </c>
      <c r="AJ57" s="486">
        <v>0</v>
      </c>
      <c r="AK57" s="486">
        <v>0</v>
      </c>
      <c r="AL57" s="488">
        <v>28000000</v>
      </c>
      <c r="AM57" s="489">
        <v>495000000</v>
      </c>
      <c r="AN57" s="486">
        <v>118000000</v>
      </c>
      <c r="AO57" s="486">
        <v>320000000</v>
      </c>
      <c r="AP57" s="486">
        <v>0</v>
      </c>
      <c r="AQ57" s="486">
        <v>0</v>
      </c>
      <c r="AR57" s="486">
        <v>0</v>
      </c>
      <c r="AS57" s="486">
        <v>0</v>
      </c>
      <c r="AT57" s="486">
        <v>0</v>
      </c>
      <c r="AU57" s="486">
        <v>0</v>
      </c>
      <c r="AV57" s="487">
        <v>438000000</v>
      </c>
      <c r="AW57" s="486">
        <v>28000000</v>
      </c>
      <c r="AX57" s="486">
        <v>0</v>
      </c>
      <c r="AY57" s="486">
        <v>0</v>
      </c>
      <c r="AZ57" s="488">
        <v>28000000</v>
      </c>
      <c r="BA57" s="490">
        <v>466000000</v>
      </c>
      <c r="BB57" s="486">
        <v>169000000</v>
      </c>
      <c r="BC57" s="486">
        <v>340000000</v>
      </c>
      <c r="BD57" s="486">
        <v>0</v>
      </c>
      <c r="BE57" s="486">
        <v>0</v>
      </c>
      <c r="BF57" s="486">
        <v>0</v>
      </c>
      <c r="BG57" s="486">
        <v>0</v>
      </c>
      <c r="BH57" s="486">
        <v>0</v>
      </c>
      <c r="BI57" s="486">
        <v>0</v>
      </c>
      <c r="BJ57" s="487">
        <v>509000000</v>
      </c>
      <c r="BK57" s="486">
        <v>1028000000</v>
      </c>
      <c r="BL57" s="486">
        <v>0</v>
      </c>
      <c r="BM57" s="486">
        <v>0</v>
      </c>
      <c r="BN57" s="488">
        <v>1028000000</v>
      </c>
      <c r="BO57" s="490">
        <v>1537000000</v>
      </c>
      <c r="BP57" s="486">
        <v>170000000</v>
      </c>
      <c r="BQ57" s="486">
        <v>360000000</v>
      </c>
      <c r="BR57" s="486">
        <v>0</v>
      </c>
      <c r="BS57" s="486">
        <v>0</v>
      </c>
      <c r="BT57" s="486">
        <v>0</v>
      </c>
      <c r="BU57" s="486">
        <v>0</v>
      </c>
      <c r="BV57" s="486">
        <v>0</v>
      </c>
      <c r="BW57" s="486">
        <v>0</v>
      </c>
      <c r="BX57" s="487">
        <v>530000000</v>
      </c>
      <c r="BY57" s="486">
        <v>1028000000</v>
      </c>
      <c r="BZ57" s="486">
        <v>0</v>
      </c>
      <c r="CA57" s="486">
        <v>0</v>
      </c>
      <c r="CB57" s="488">
        <v>1028000000</v>
      </c>
      <c r="CC57" s="491">
        <v>1558000000</v>
      </c>
      <c r="CD57" s="492">
        <v>4056000000</v>
      </c>
      <c r="CE57" s="493">
        <f t="shared" si="4"/>
        <v>624000000</v>
      </c>
      <c r="CF57" s="493">
        <f t="shared" si="4"/>
        <v>1320000000</v>
      </c>
      <c r="CG57" s="493">
        <f t="shared" si="4"/>
        <v>0</v>
      </c>
      <c r="CH57" s="493">
        <f t="shared" si="4"/>
        <v>0</v>
      </c>
      <c r="CI57" s="493">
        <f t="shared" si="4"/>
        <v>0</v>
      </c>
      <c r="CJ57" s="493">
        <f t="shared" si="4"/>
        <v>0</v>
      </c>
      <c r="CK57" s="493">
        <f t="shared" si="4"/>
        <v>0</v>
      </c>
      <c r="CL57" s="493">
        <f t="shared" si="4"/>
        <v>0</v>
      </c>
      <c r="CM57" s="493">
        <f t="shared" si="3"/>
        <v>2112000000</v>
      </c>
      <c r="CN57" s="493">
        <f t="shared" si="3"/>
        <v>0</v>
      </c>
      <c r="CO57" s="493">
        <f t="shared" si="3"/>
        <v>0</v>
      </c>
      <c r="CP57" s="494">
        <v>4</v>
      </c>
      <c r="CQ57" s="494" t="s">
        <v>5433</v>
      </c>
    </row>
    <row r="58" spans="1:95" ht="30.45" hidden="1" customHeight="1" thickBot="1">
      <c r="A58" s="555" t="s">
        <v>4101</v>
      </c>
      <c r="B58" s="479">
        <v>56</v>
      </c>
      <c r="C58" s="480" t="s">
        <v>4004</v>
      </c>
      <c r="D58" s="480" t="s">
        <v>4096</v>
      </c>
      <c r="E58" s="480" t="str">
        <f t="shared" si="1"/>
        <v xml:space="preserve">1.4.2 </v>
      </c>
      <c r="F58" s="480" t="s">
        <v>4109</v>
      </c>
      <c r="G58" s="480" t="s">
        <v>4110</v>
      </c>
      <c r="H58" s="481">
        <v>33</v>
      </c>
      <c r="I58" s="480" t="s">
        <v>4098</v>
      </c>
      <c r="J58" s="495">
        <v>330106500</v>
      </c>
      <c r="K58" s="480" t="s">
        <v>4008</v>
      </c>
      <c r="L58" s="480" t="s">
        <v>4111</v>
      </c>
      <c r="M58" s="480" t="s">
        <v>6450</v>
      </c>
      <c r="N58" s="484">
        <v>129</v>
      </c>
      <c r="O58" s="480" t="s">
        <v>4100</v>
      </c>
      <c r="P58" s="500">
        <v>129</v>
      </c>
      <c r="Q58" s="485" t="s">
        <v>5349</v>
      </c>
      <c r="R58" s="485" t="s">
        <v>5350</v>
      </c>
      <c r="S58" s="485" t="s">
        <v>677</v>
      </c>
      <c r="T58" s="485">
        <v>1</v>
      </c>
      <c r="U58" s="485" t="s">
        <v>4100</v>
      </c>
      <c r="V58" s="485">
        <v>1</v>
      </c>
      <c r="W58" s="485" t="s">
        <v>5351</v>
      </c>
      <c r="X58" s="485">
        <v>16</v>
      </c>
      <c r="Y58" s="485" t="s">
        <v>5352</v>
      </c>
      <c r="Z58" s="486">
        <v>17000000</v>
      </c>
      <c r="AA58" s="486">
        <v>90000000</v>
      </c>
      <c r="AB58" s="486">
        <v>0</v>
      </c>
      <c r="AC58" s="486">
        <v>0</v>
      </c>
      <c r="AD58" s="486">
        <v>0</v>
      </c>
      <c r="AE58" s="486">
        <v>0</v>
      </c>
      <c r="AF58" s="486">
        <v>0</v>
      </c>
      <c r="AG58" s="486">
        <v>0</v>
      </c>
      <c r="AH58" s="487">
        <v>107000000</v>
      </c>
      <c r="AI58" s="486">
        <v>28000000</v>
      </c>
      <c r="AJ58" s="486">
        <v>0</v>
      </c>
      <c r="AK58" s="486">
        <v>0</v>
      </c>
      <c r="AL58" s="488">
        <v>28000000</v>
      </c>
      <c r="AM58" s="489">
        <v>135000000</v>
      </c>
      <c r="AN58" s="486">
        <v>18000000</v>
      </c>
      <c r="AO58" s="486">
        <v>95000000</v>
      </c>
      <c r="AP58" s="486">
        <v>0</v>
      </c>
      <c r="AQ58" s="486">
        <v>0</v>
      </c>
      <c r="AR58" s="486">
        <v>0</v>
      </c>
      <c r="AS58" s="486">
        <v>0</v>
      </c>
      <c r="AT58" s="486">
        <v>0</v>
      </c>
      <c r="AU58" s="486">
        <v>0</v>
      </c>
      <c r="AV58" s="487">
        <v>113000000</v>
      </c>
      <c r="AW58" s="486">
        <v>28000000</v>
      </c>
      <c r="AX58" s="486">
        <v>0</v>
      </c>
      <c r="AY58" s="486">
        <v>0</v>
      </c>
      <c r="AZ58" s="488">
        <v>28000000</v>
      </c>
      <c r="BA58" s="490">
        <v>141000000</v>
      </c>
      <c r="BB58" s="486">
        <v>19000000</v>
      </c>
      <c r="BC58" s="486">
        <v>100000000</v>
      </c>
      <c r="BD58" s="486">
        <v>0</v>
      </c>
      <c r="BE58" s="486">
        <v>0</v>
      </c>
      <c r="BF58" s="486">
        <v>0</v>
      </c>
      <c r="BG58" s="486">
        <v>0</v>
      </c>
      <c r="BH58" s="486">
        <v>0</v>
      </c>
      <c r="BI58" s="486">
        <v>0</v>
      </c>
      <c r="BJ58" s="487">
        <v>119000000</v>
      </c>
      <c r="BK58" s="486">
        <v>28000000</v>
      </c>
      <c r="BL58" s="486">
        <v>0</v>
      </c>
      <c r="BM58" s="486">
        <v>0</v>
      </c>
      <c r="BN58" s="488">
        <v>28000000</v>
      </c>
      <c r="BO58" s="490">
        <v>147000000</v>
      </c>
      <c r="BP58" s="486">
        <v>20000000</v>
      </c>
      <c r="BQ58" s="486">
        <v>105000000</v>
      </c>
      <c r="BR58" s="486">
        <v>0</v>
      </c>
      <c r="BS58" s="486">
        <v>0</v>
      </c>
      <c r="BT58" s="486">
        <v>0</v>
      </c>
      <c r="BU58" s="486">
        <v>0</v>
      </c>
      <c r="BV58" s="486">
        <v>0</v>
      </c>
      <c r="BW58" s="486">
        <v>0</v>
      </c>
      <c r="BX58" s="487">
        <v>125000000</v>
      </c>
      <c r="BY58" s="486">
        <v>28000000</v>
      </c>
      <c r="BZ58" s="486">
        <v>0</v>
      </c>
      <c r="CA58" s="486">
        <v>0</v>
      </c>
      <c r="CB58" s="488">
        <v>28000000</v>
      </c>
      <c r="CC58" s="491">
        <v>153000000</v>
      </c>
      <c r="CD58" s="492">
        <v>576000000</v>
      </c>
      <c r="CE58" s="493">
        <f t="shared" si="4"/>
        <v>74000000</v>
      </c>
      <c r="CF58" s="493">
        <f t="shared" si="4"/>
        <v>390000000</v>
      </c>
      <c r="CG58" s="493">
        <f t="shared" si="4"/>
        <v>0</v>
      </c>
      <c r="CH58" s="493">
        <f t="shared" si="4"/>
        <v>0</v>
      </c>
      <c r="CI58" s="493">
        <f t="shared" si="4"/>
        <v>0</v>
      </c>
      <c r="CJ58" s="493">
        <f t="shared" si="4"/>
        <v>0</v>
      </c>
      <c r="CK58" s="493">
        <f t="shared" si="4"/>
        <v>0</v>
      </c>
      <c r="CL58" s="493">
        <f t="shared" si="4"/>
        <v>0</v>
      </c>
      <c r="CM58" s="493">
        <f t="shared" si="3"/>
        <v>112000000</v>
      </c>
      <c r="CN58" s="493">
        <f t="shared" si="3"/>
        <v>0</v>
      </c>
      <c r="CO58" s="493">
        <f t="shared" si="3"/>
        <v>0</v>
      </c>
      <c r="CP58" s="494">
        <v>10</v>
      </c>
      <c r="CQ58" s="494" t="s">
        <v>862</v>
      </c>
    </row>
    <row r="59" spans="1:95" ht="30.45" hidden="1" customHeight="1" thickBot="1">
      <c r="A59" s="555" t="s">
        <v>4101</v>
      </c>
      <c r="B59" s="479">
        <v>57</v>
      </c>
      <c r="C59" s="480" t="s">
        <v>4004</v>
      </c>
      <c r="D59" s="480" t="s">
        <v>4096</v>
      </c>
      <c r="E59" s="480" t="str">
        <f t="shared" si="1"/>
        <v xml:space="preserve">1.4.2 </v>
      </c>
      <c r="F59" s="480" t="s">
        <v>4109</v>
      </c>
      <c r="G59" s="480" t="s">
        <v>4110</v>
      </c>
      <c r="H59" s="481">
        <v>33</v>
      </c>
      <c r="I59" s="480" t="s">
        <v>4098</v>
      </c>
      <c r="J59" s="495">
        <v>330107000</v>
      </c>
      <c r="K59" s="480" t="s">
        <v>4063</v>
      </c>
      <c r="L59" s="480" t="s">
        <v>4112</v>
      </c>
      <c r="M59" s="480" t="s">
        <v>5705</v>
      </c>
      <c r="N59" s="499">
        <v>0</v>
      </c>
      <c r="O59" s="480" t="s">
        <v>4100</v>
      </c>
      <c r="P59" s="500">
        <v>3</v>
      </c>
      <c r="Q59" s="485" t="s">
        <v>5349</v>
      </c>
      <c r="R59" s="485" t="s">
        <v>5350</v>
      </c>
      <c r="S59" s="485" t="s">
        <v>677</v>
      </c>
      <c r="T59" s="485">
        <v>1</v>
      </c>
      <c r="U59" s="485" t="s">
        <v>4100</v>
      </c>
      <c r="V59" s="485">
        <v>1</v>
      </c>
      <c r="W59" s="485" t="s">
        <v>5351</v>
      </c>
      <c r="X59" s="485">
        <v>16</v>
      </c>
      <c r="Y59" s="485" t="s">
        <v>5352</v>
      </c>
      <c r="Z59" s="486">
        <v>0</v>
      </c>
      <c r="AA59" s="486">
        <v>0</v>
      </c>
      <c r="AB59" s="486">
        <v>0</v>
      </c>
      <c r="AC59" s="486">
        <v>0</v>
      </c>
      <c r="AD59" s="486">
        <v>0</v>
      </c>
      <c r="AE59" s="486">
        <v>0</v>
      </c>
      <c r="AF59" s="486">
        <v>0</v>
      </c>
      <c r="AG59" s="486">
        <v>0</v>
      </c>
      <c r="AH59" s="487">
        <v>0</v>
      </c>
      <c r="AI59" s="486">
        <v>28000000</v>
      </c>
      <c r="AJ59" s="486">
        <v>0</v>
      </c>
      <c r="AK59" s="486">
        <v>0</v>
      </c>
      <c r="AL59" s="488">
        <v>28000000</v>
      </c>
      <c r="AM59" s="489">
        <v>28000000</v>
      </c>
      <c r="AN59" s="486">
        <v>68000000</v>
      </c>
      <c r="AO59" s="486">
        <v>0</v>
      </c>
      <c r="AP59" s="486">
        <v>0</v>
      </c>
      <c r="AQ59" s="486">
        <v>0</v>
      </c>
      <c r="AR59" s="486">
        <v>0</v>
      </c>
      <c r="AS59" s="486">
        <v>0</v>
      </c>
      <c r="AT59" s="486">
        <v>0</v>
      </c>
      <c r="AU59" s="486">
        <v>0</v>
      </c>
      <c r="AV59" s="487">
        <v>68000000</v>
      </c>
      <c r="AW59" s="486">
        <v>28000000</v>
      </c>
      <c r="AX59" s="486">
        <v>0</v>
      </c>
      <c r="AY59" s="486">
        <v>0</v>
      </c>
      <c r="AZ59" s="488">
        <v>28000000</v>
      </c>
      <c r="BA59" s="490">
        <v>96000000</v>
      </c>
      <c r="BB59" s="486">
        <v>0</v>
      </c>
      <c r="BC59" s="486">
        <v>0</v>
      </c>
      <c r="BD59" s="486">
        <v>0</v>
      </c>
      <c r="BE59" s="486">
        <v>0</v>
      </c>
      <c r="BF59" s="486">
        <v>0</v>
      </c>
      <c r="BG59" s="486">
        <v>0</v>
      </c>
      <c r="BH59" s="486">
        <v>0</v>
      </c>
      <c r="BI59" s="486">
        <v>0</v>
      </c>
      <c r="BJ59" s="487">
        <v>0</v>
      </c>
      <c r="BK59" s="486">
        <v>28000000</v>
      </c>
      <c r="BL59" s="486">
        <v>0</v>
      </c>
      <c r="BM59" s="486">
        <v>0</v>
      </c>
      <c r="BN59" s="488">
        <v>28000000</v>
      </c>
      <c r="BO59" s="490">
        <v>28000000</v>
      </c>
      <c r="BP59" s="486">
        <v>0</v>
      </c>
      <c r="BQ59" s="486">
        <v>0</v>
      </c>
      <c r="BR59" s="486">
        <v>0</v>
      </c>
      <c r="BS59" s="486">
        <v>0</v>
      </c>
      <c r="BT59" s="486">
        <v>0</v>
      </c>
      <c r="BU59" s="486">
        <v>0</v>
      </c>
      <c r="BV59" s="486">
        <v>0</v>
      </c>
      <c r="BW59" s="486">
        <v>0</v>
      </c>
      <c r="BX59" s="487">
        <v>0</v>
      </c>
      <c r="BY59" s="486">
        <v>28000000</v>
      </c>
      <c r="BZ59" s="486">
        <v>0</v>
      </c>
      <c r="CA59" s="486">
        <v>0</v>
      </c>
      <c r="CB59" s="488">
        <v>28000000</v>
      </c>
      <c r="CC59" s="491">
        <v>28000000</v>
      </c>
      <c r="CD59" s="492">
        <v>180000000</v>
      </c>
      <c r="CE59" s="493">
        <f t="shared" si="4"/>
        <v>68000000</v>
      </c>
      <c r="CF59" s="493">
        <f t="shared" si="4"/>
        <v>0</v>
      </c>
      <c r="CG59" s="493">
        <f t="shared" si="4"/>
        <v>0</v>
      </c>
      <c r="CH59" s="493">
        <f t="shared" si="4"/>
        <v>0</v>
      </c>
      <c r="CI59" s="493">
        <f t="shared" si="4"/>
        <v>0</v>
      </c>
      <c r="CJ59" s="493">
        <f t="shared" si="4"/>
        <v>0</v>
      </c>
      <c r="CK59" s="493">
        <f t="shared" si="4"/>
        <v>0</v>
      </c>
      <c r="CL59" s="493">
        <f t="shared" si="4"/>
        <v>0</v>
      </c>
      <c r="CM59" s="493">
        <f t="shared" si="3"/>
        <v>112000000</v>
      </c>
      <c r="CN59" s="493">
        <f t="shared" si="3"/>
        <v>0</v>
      </c>
      <c r="CO59" s="493">
        <f t="shared" si="3"/>
        <v>0</v>
      </c>
      <c r="CP59" s="494">
        <v>16</v>
      </c>
      <c r="CQ59" s="494" t="s">
        <v>5355</v>
      </c>
    </row>
    <row r="60" spans="1:95" ht="30.45" hidden="1" customHeight="1" thickBot="1">
      <c r="A60" s="555" t="s">
        <v>4101</v>
      </c>
      <c r="B60" s="479">
        <v>58</v>
      </c>
      <c r="C60" s="480" t="s">
        <v>4004</v>
      </c>
      <c r="D60" s="480" t="s">
        <v>4096</v>
      </c>
      <c r="E60" s="480" t="str">
        <f t="shared" si="1"/>
        <v xml:space="preserve">1.4.2 </v>
      </c>
      <c r="F60" s="480" t="s">
        <v>4109</v>
      </c>
      <c r="G60" s="480" t="s">
        <v>4110</v>
      </c>
      <c r="H60" s="481">
        <v>33</v>
      </c>
      <c r="I60" s="480" t="s">
        <v>4098</v>
      </c>
      <c r="J60" s="495">
        <v>330107100</v>
      </c>
      <c r="K60" s="480" t="s">
        <v>4063</v>
      </c>
      <c r="L60" s="480" t="s">
        <v>4113</v>
      </c>
      <c r="M60" s="480" t="s">
        <v>5706</v>
      </c>
      <c r="N60" s="499">
        <v>0</v>
      </c>
      <c r="O60" s="480" t="s">
        <v>4100</v>
      </c>
      <c r="P60" s="500">
        <v>1</v>
      </c>
      <c r="Q60" s="485" t="s">
        <v>5349</v>
      </c>
      <c r="R60" s="485" t="s">
        <v>5350</v>
      </c>
      <c r="S60" s="485" t="s">
        <v>677</v>
      </c>
      <c r="T60" s="485">
        <v>1</v>
      </c>
      <c r="U60" s="485" t="s">
        <v>4100</v>
      </c>
      <c r="V60" s="485">
        <v>1</v>
      </c>
      <c r="W60" s="485" t="s">
        <v>5351</v>
      </c>
      <c r="X60" s="485">
        <v>16</v>
      </c>
      <c r="Y60" s="485" t="s">
        <v>5352</v>
      </c>
      <c r="Z60" s="486">
        <v>17000000</v>
      </c>
      <c r="AA60" s="486">
        <v>0</v>
      </c>
      <c r="AB60" s="486">
        <v>0</v>
      </c>
      <c r="AC60" s="486">
        <v>0</v>
      </c>
      <c r="AD60" s="486">
        <v>0</v>
      </c>
      <c r="AE60" s="486">
        <v>0</v>
      </c>
      <c r="AF60" s="486">
        <v>0</v>
      </c>
      <c r="AG60" s="486">
        <v>0</v>
      </c>
      <c r="AH60" s="487">
        <v>17000000</v>
      </c>
      <c r="AI60" s="486">
        <v>28000000</v>
      </c>
      <c r="AJ60" s="486">
        <v>0</v>
      </c>
      <c r="AK60" s="486">
        <v>0</v>
      </c>
      <c r="AL60" s="488">
        <v>28000000</v>
      </c>
      <c r="AM60" s="489">
        <v>45000000</v>
      </c>
      <c r="AN60" s="486">
        <v>18000000</v>
      </c>
      <c r="AO60" s="486">
        <v>0</v>
      </c>
      <c r="AP60" s="486">
        <v>0</v>
      </c>
      <c r="AQ60" s="486">
        <v>0</v>
      </c>
      <c r="AR60" s="486">
        <v>0</v>
      </c>
      <c r="AS60" s="486">
        <v>0</v>
      </c>
      <c r="AT60" s="486">
        <v>0</v>
      </c>
      <c r="AU60" s="486">
        <v>0</v>
      </c>
      <c r="AV60" s="487">
        <v>18000000</v>
      </c>
      <c r="AW60" s="486">
        <v>28000000</v>
      </c>
      <c r="AX60" s="486">
        <v>0</v>
      </c>
      <c r="AY60" s="486">
        <v>0</v>
      </c>
      <c r="AZ60" s="488">
        <v>28000000</v>
      </c>
      <c r="BA60" s="490">
        <v>46000000</v>
      </c>
      <c r="BB60" s="486">
        <v>0</v>
      </c>
      <c r="BC60" s="486">
        <v>0</v>
      </c>
      <c r="BD60" s="486">
        <v>0</v>
      </c>
      <c r="BE60" s="486">
        <v>0</v>
      </c>
      <c r="BF60" s="486">
        <v>0</v>
      </c>
      <c r="BG60" s="486">
        <v>0</v>
      </c>
      <c r="BH60" s="486">
        <v>0</v>
      </c>
      <c r="BI60" s="486">
        <v>0</v>
      </c>
      <c r="BJ60" s="487">
        <v>0</v>
      </c>
      <c r="BK60" s="486">
        <v>28000000</v>
      </c>
      <c r="BL60" s="486">
        <v>0</v>
      </c>
      <c r="BM60" s="486">
        <v>0</v>
      </c>
      <c r="BN60" s="488">
        <v>28000000</v>
      </c>
      <c r="BO60" s="490">
        <v>28000000</v>
      </c>
      <c r="BP60" s="486">
        <v>20000000</v>
      </c>
      <c r="BQ60" s="486">
        <v>0</v>
      </c>
      <c r="BR60" s="486">
        <v>0</v>
      </c>
      <c r="BS60" s="486">
        <v>0</v>
      </c>
      <c r="BT60" s="486">
        <v>0</v>
      </c>
      <c r="BU60" s="486">
        <v>0</v>
      </c>
      <c r="BV60" s="486">
        <v>0</v>
      </c>
      <c r="BW60" s="486">
        <v>0</v>
      </c>
      <c r="BX60" s="487">
        <v>20000000</v>
      </c>
      <c r="BY60" s="486">
        <v>28000000</v>
      </c>
      <c r="BZ60" s="486">
        <v>0</v>
      </c>
      <c r="CA60" s="486">
        <v>0</v>
      </c>
      <c r="CB60" s="488">
        <v>28000000</v>
      </c>
      <c r="CC60" s="491">
        <v>48000000</v>
      </c>
      <c r="CD60" s="492">
        <v>167000000</v>
      </c>
      <c r="CE60" s="493">
        <f t="shared" si="4"/>
        <v>55000000</v>
      </c>
      <c r="CF60" s="493">
        <f t="shared" si="4"/>
        <v>0</v>
      </c>
      <c r="CG60" s="493">
        <f t="shared" si="4"/>
        <v>0</v>
      </c>
      <c r="CH60" s="493">
        <f t="shared" si="4"/>
        <v>0</v>
      </c>
      <c r="CI60" s="493">
        <f t="shared" si="4"/>
        <v>0</v>
      </c>
      <c r="CJ60" s="493">
        <f t="shared" si="4"/>
        <v>0</v>
      </c>
      <c r="CK60" s="493">
        <f t="shared" si="4"/>
        <v>0</v>
      </c>
      <c r="CL60" s="493">
        <f t="shared" si="4"/>
        <v>0</v>
      </c>
      <c r="CM60" s="493">
        <f t="shared" si="3"/>
        <v>112000000</v>
      </c>
      <c r="CN60" s="493">
        <f t="shared" si="3"/>
        <v>0</v>
      </c>
      <c r="CO60" s="493">
        <f t="shared" si="3"/>
        <v>0</v>
      </c>
      <c r="CP60" s="494">
        <v>16</v>
      </c>
      <c r="CQ60" s="494" t="s">
        <v>5355</v>
      </c>
    </row>
    <row r="61" spans="1:95" ht="30.45" hidden="1" customHeight="1" thickBot="1">
      <c r="A61" s="555" t="s">
        <v>4101</v>
      </c>
      <c r="B61" s="479">
        <v>59</v>
      </c>
      <c r="C61" s="480" t="s">
        <v>4004</v>
      </c>
      <c r="D61" s="480" t="s">
        <v>4096</v>
      </c>
      <c r="E61" s="480" t="str">
        <f t="shared" si="1"/>
        <v xml:space="preserve">1.4.2 </v>
      </c>
      <c r="F61" s="480" t="s">
        <v>4109</v>
      </c>
      <c r="G61" s="480" t="s">
        <v>4110</v>
      </c>
      <c r="H61" s="481">
        <v>33</v>
      </c>
      <c r="I61" s="480" t="s">
        <v>4098</v>
      </c>
      <c r="J61" s="495">
        <v>330107400</v>
      </c>
      <c r="K61" s="480" t="s">
        <v>4114</v>
      </c>
      <c r="L61" s="480" t="s">
        <v>4115</v>
      </c>
      <c r="M61" s="480" t="s">
        <v>6451</v>
      </c>
      <c r="N61" s="484">
        <v>6</v>
      </c>
      <c r="O61" s="480" t="s">
        <v>4100</v>
      </c>
      <c r="P61" s="500">
        <v>34</v>
      </c>
      <c r="Q61" s="485" t="s">
        <v>5349</v>
      </c>
      <c r="R61" s="485" t="s">
        <v>5350</v>
      </c>
      <c r="S61" s="485" t="s">
        <v>677</v>
      </c>
      <c r="T61" s="485">
        <v>1</v>
      </c>
      <c r="U61" s="485" t="s">
        <v>4100</v>
      </c>
      <c r="V61" s="485">
        <v>1</v>
      </c>
      <c r="W61" s="485" t="s">
        <v>5351</v>
      </c>
      <c r="X61" s="485">
        <v>16</v>
      </c>
      <c r="Y61" s="485" t="s">
        <v>5352</v>
      </c>
      <c r="Z61" s="486">
        <v>119400000</v>
      </c>
      <c r="AA61" s="486">
        <v>160000000</v>
      </c>
      <c r="AB61" s="486">
        <v>0</v>
      </c>
      <c r="AC61" s="486">
        <v>0</v>
      </c>
      <c r="AD61" s="486">
        <v>0</v>
      </c>
      <c r="AE61" s="486">
        <v>0</v>
      </c>
      <c r="AF61" s="486">
        <v>0</v>
      </c>
      <c r="AG61" s="486">
        <v>0</v>
      </c>
      <c r="AH61" s="487">
        <v>279400000</v>
      </c>
      <c r="AI61" s="486">
        <v>28000000</v>
      </c>
      <c r="AJ61" s="486">
        <v>0</v>
      </c>
      <c r="AK61" s="486">
        <v>0</v>
      </c>
      <c r="AL61" s="488">
        <v>28000000</v>
      </c>
      <c r="AM61" s="489">
        <v>307400000</v>
      </c>
      <c r="AN61" s="486">
        <v>71500000</v>
      </c>
      <c r="AO61" s="486">
        <v>170000000</v>
      </c>
      <c r="AP61" s="486">
        <v>0</v>
      </c>
      <c r="AQ61" s="486">
        <v>0</v>
      </c>
      <c r="AR61" s="486">
        <v>0</v>
      </c>
      <c r="AS61" s="486">
        <v>0</v>
      </c>
      <c r="AT61" s="486">
        <v>0</v>
      </c>
      <c r="AU61" s="486">
        <v>0</v>
      </c>
      <c r="AV61" s="487">
        <v>241500000</v>
      </c>
      <c r="AW61" s="486">
        <v>28000000</v>
      </c>
      <c r="AX61" s="486">
        <v>0</v>
      </c>
      <c r="AY61" s="486">
        <v>0</v>
      </c>
      <c r="AZ61" s="488">
        <v>28000000</v>
      </c>
      <c r="BA61" s="490">
        <v>269500000</v>
      </c>
      <c r="BB61" s="486">
        <v>85000000</v>
      </c>
      <c r="BC61" s="486">
        <v>180000000</v>
      </c>
      <c r="BD61" s="486">
        <v>0</v>
      </c>
      <c r="BE61" s="486">
        <v>0</v>
      </c>
      <c r="BF61" s="486">
        <v>0</v>
      </c>
      <c r="BG61" s="486">
        <v>0</v>
      </c>
      <c r="BH61" s="486">
        <v>0</v>
      </c>
      <c r="BI61" s="486">
        <v>0</v>
      </c>
      <c r="BJ61" s="487">
        <v>265000000</v>
      </c>
      <c r="BK61" s="486">
        <v>28000000</v>
      </c>
      <c r="BL61" s="486">
        <v>0</v>
      </c>
      <c r="BM61" s="486">
        <v>0</v>
      </c>
      <c r="BN61" s="488">
        <v>28000000</v>
      </c>
      <c r="BO61" s="490">
        <v>293000000</v>
      </c>
      <c r="BP61" s="486">
        <v>115000000</v>
      </c>
      <c r="BQ61" s="486">
        <v>190000000</v>
      </c>
      <c r="BR61" s="486">
        <v>0</v>
      </c>
      <c r="BS61" s="486">
        <v>0</v>
      </c>
      <c r="BT61" s="486">
        <v>0</v>
      </c>
      <c r="BU61" s="486">
        <v>0</v>
      </c>
      <c r="BV61" s="486">
        <v>0</v>
      </c>
      <c r="BW61" s="486">
        <v>0</v>
      </c>
      <c r="BX61" s="487">
        <v>305000000</v>
      </c>
      <c r="BY61" s="486">
        <v>28000000</v>
      </c>
      <c r="BZ61" s="486">
        <v>0</v>
      </c>
      <c r="CA61" s="486">
        <v>0</v>
      </c>
      <c r="CB61" s="488">
        <v>28000000</v>
      </c>
      <c r="CC61" s="491">
        <v>333000000</v>
      </c>
      <c r="CD61" s="492">
        <v>1202900000</v>
      </c>
      <c r="CE61" s="493">
        <f t="shared" si="4"/>
        <v>390900000</v>
      </c>
      <c r="CF61" s="493">
        <f t="shared" si="4"/>
        <v>700000000</v>
      </c>
      <c r="CG61" s="493">
        <f t="shared" si="4"/>
        <v>0</v>
      </c>
      <c r="CH61" s="493">
        <f t="shared" si="4"/>
        <v>0</v>
      </c>
      <c r="CI61" s="493">
        <f t="shared" si="4"/>
        <v>0</v>
      </c>
      <c r="CJ61" s="493">
        <f t="shared" si="4"/>
        <v>0</v>
      </c>
      <c r="CK61" s="493">
        <f t="shared" si="4"/>
        <v>0</v>
      </c>
      <c r="CL61" s="493">
        <f t="shared" si="4"/>
        <v>0</v>
      </c>
      <c r="CM61" s="493">
        <f t="shared" si="3"/>
        <v>112000000</v>
      </c>
      <c r="CN61" s="493">
        <f t="shared" si="3"/>
        <v>0</v>
      </c>
      <c r="CO61" s="493">
        <f t="shared" si="3"/>
        <v>0</v>
      </c>
      <c r="CP61" s="494">
        <v>16</v>
      </c>
      <c r="CQ61" s="494" t="s">
        <v>5355</v>
      </c>
    </row>
    <row r="62" spans="1:95" ht="30.45" hidden="1" customHeight="1" thickBot="1">
      <c r="A62" s="555" t="s">
        <v>4101</v>
      </c>
      <c r="B62" s="479">
        <v>60</v>
      </c>
      <c r="C62" s="480" t="s">
        <v>4004</v>
      </c>
      <c r="D62" s="480" t="s">
        <v>4096</v>
      </c>
      <c r="E62" s="480" t="str">
        <f t="shared" si="1"/>
        <v xml:space="preserve">1.4.2 </v>
      </c>
      <c r="F62" s="480" t="s">
        <v>4109</v>
      </c>
      <c r="G62" s="480" t="s">
        <v>4110</v>
      </c>
      <c r="H62" s="481">
        <v>33</v>
      </c>
      <c r="I62" s="480" t="s">
        <v>4098</v>
      </c>
      <c r="J62" s="495">
        <v>330107401</v>
      </c>
      <c r="K62" s="480" t="s">
        <v>4114</v>
      </c>
      <c r="L62" s="480" t="s">
        <v>4116</v>
      </c>
      <c r="M62" s="480" t="s">
        <v>5707</v>
      </c>
      <c r="N62" s="484">
        <v>6</v>
      </c>
      <c r="O62" s="480" t="s">
        <v>4100</v>
      </c>
      <c r="P62" s="500">
        <v>22</v>
      </c>
      <c r="Q62" s="485" t="s">
        <v>5349</v>
      </c>
      <c r="R62" s="485" t="s">
        <v>5350</v>
      </c>
      <c r="S62" s="485" t="s">
        <v>677</v>
      </c>
      <c r="T62" s="485">
        <v>1</v>
      </c>
      <c r="U62" s="485" t="s">
        <v>4100</v>
      </c>
      <c r="V62" s="485">
        <v>1</v>
      </c>
      <c r="W62" s="485" t="s">
        <v>5351</v>
      </c>
      <c r="X62" s="485">
        <v>16</v>
      </c>
      <c r="Y62" s="485" t="s">
        <v>5352</v>
      </c>
      <c r="Z62" s="486">
        <v>17000000</v>
      </c>
      <c r="AA62" s="486">
        <v>12000000</v>
      </c>
      <c r="AB62" s="486">
        <v>0</v>
      </c>
      <c r="AC62" s="486">
        <v>0</v>
      </c>
      <c r="AD62" s="486">
        <v>0</v>
      </c>
      <c r="AE62" s="486">
        <v>0</v>
      </c>
      <c r="AF62" s="486">
        <v>0</v>
      </c>
      <c r="AG62" s="486">
        <v>0</v>
      </c>
      <c r="AH62" s="487">
        <v>29000000</v>
      </c>
      <c r="AI62" s="486">
        <v>28000000</v>
      </c>
      <c r="AJ62" s="486">
        <v>0</v>
      </c>
      <c r="AK62" s="486">
        <v>0</v>
      </c>
      <c r="AL62" s="488">
        <v>28000000</v>
      </c>
      <c r="AM62" s="489">
        <v>57000000</v>
      </c>
      <c r="AN62" s="486">
        <v>18000000</v>
      </c>
      <c r="AO62" s="486">
        <v>12000000</v>
      </c>
      <c r="AP62" s="486">
        <v>0</v>
      </c>
      <c r="AQ62" s="486">
        <v>0</v>
      </c>
      <c r="AR62" s="486">
        <v>0</v>
      </c>
      <c r="AS62" s="486">
        <v>0</v>
      </c>
      <c r="AT62" s="486">
        <v>0</v>
      </c>
      <c r="AU62" s="486">
        <v>0</v>
      </c>
      <c r="AV62" s="487">
        <v>30000000</v>
      </c>
      <c r="AW62" s="486">
        <v>28000000</v>
      </c>
      <c r="AX62" s="486">
        <v>0</v>
      </c>
      <c r="AY62" s="486">
        <v>0</v>
      </c>
      <c r="AZ62" s="488">
        <v>28000000</v>
      </c>
      <c r="BA62" s="490">
        <v>58000000</v>
      </c>
      <c r="BB62" s="486">
        <v>19000000</v>
      </c>
      <c r="BC62" s="486">
        <v>12000000</v>
      </c>
      <c r="BD62" s="486">
        <v>0</v>
      </c>
      <c r="BE62" s="486">
        <v>0</v>
      </c>
      <c r="BF62" s="486">
        <v>0</v>
      </c>
      <c r="BG62" s="486">
        <v>0</v>
      </c>
      <c r="BH62" s="486">
        <v>0</v>
      </c>
      <c r="BI62" s="486">
        <v>0</v>
      </c>
      <c r="BJ62" s="487">
        <v>31000000</v>
      </c>
      <c r="BK62" s="486">
        <v>28000000</v>
      </c>
      <c r="BL62" s="486">
        <v>0</v>
      </c>
      <c r="BM62" s="486">
        <v>0</v>
      </c>
      <c r="BN62" s="488">
        <v>28000000</v>
      </c>
      <c r="BO62" s="490">
        <v>59000000</v>
      </c>
      <c r="BP62" s="486">
        <v>20000000</v>
      </c>
      <c r="BQ62" s="486">
        <v>12000000</v>
      </c>
      <c r="BR62" s="486">
        <v>0</v>
      </c>
      <c r="BS62" s="486">
        <v>0</v>
      </c>
      <c r="BT62" s="486">
        <v>0</v>
      </c>
      <c r="BU62" s="486">
        <v>0</v>
      </c>
      <c r="BV62" s="486">
        <v>0</v>
      </c>
      <c r="BW62" s="486">
        <v>0</v>
      </c>
      <c r="BX62" s="487">
        <v>32000000</v>
      </c>
      <c r="BY62" s="486">
        <v>28000000</v>
      </c>
      <c r="BZ62" s="486">
        <v>0</v>
      </c>
      <c r="CA62" s="486">
        <v>0</v>
      </c>
      <c r="CB62" s="488">
        <v>28000000</v>
      </c>
      <c r="CC62" s="491">
        <v>60000000</v>
      </c>
      <c r="CD62" s="492">
        <v>234000000</v>
      </c>
      <c r="CE62" s="493">
        <f t="shared" si="4"/>
        <v>74000000</v>
      </c>
      <c r="CF62" s="493">
        <f t="shared" si="4"/>
        <v>48000000</v>
      </c>
      <c r="CG62" s="493">
        <f t="shared" si="4"/>
        <v>0</v>
      </c>
      <c r="CH62" s="493">
        <f t="shared" si="4"/>
        <v>0</v>
      </c>
      <c r="CI62" s="493">
        <f t="shared" si="4"/>
        <v>0</v>
      </c>
      <c r="CJ62" s="493">
        <f t="shared" si="4"/>
        <v>0</v>
      </c>
      <c r="CK62" s="493">
        <f t="shared" si="4"/>
        <v>0</v>
      </c>
      <c r="CL62" s="493">
        <f t="shared" si="4"/>
        <v>0</v>
      </c>
      <c r="CM62" s="493">
        <f t="shared" si="3"/>
        <v>112000000</v>
      </c>
      <c r="CN62" s="493">
        <f t="shared" si="3"/>
        <v>0</v>
      </c>
      <c r="CO62" s="493">
        <f t="shared" si="3"/>
        <v>0</v>
      </c>
      <c r="CP62" s="494">
        <v>16</v>
      </c>
      <c r="CQ62" s="494" t="s">
        <v>5355</v>
      </c>
    </row>
    <row r="63" spans="1:95" ht="30.45" hidden="1" customHeight="1" thickBot="1">
      <c r="A63" s="555" t="s">
        <v>4101</v>
      </c>
      <c r="B63" s="479">
        <v>61</v>
      </c>
      <c r="C63" s="480" t="s">
        <v>4004</v>
      </c>
      <c r="D63" s="480" t="s">
        <v>4096</v>
      </c>
      <c r="E63" s="480" t="str">
        <f t="shared" si="1"/>
        <v xml:space="preserve">1.4.2 </v>
      </c>
      <c r="F63" s="480" t="s">
        <v>4109</v>
      </c>
      <c r="G63" s="480" t="s">
        <v>4110</v>
      </c>
      <c r="H63" s="481">
        <v>33</v>
      </c>
      <c r="I63" s="480" t="s">
        <v>4098</v>
      </c>
      <c r="J63" s="495">
        <v>330107402</v>
      </c>
      <c r="K63" s="480" t="s">
        <v>4114</v>
      </c>
      <c r="L63" s="480" t="s">
        <v>4117</v>
      </c>
      <c r="M63" s="480" t="s">
        <v>5708</v>
      </c>
      <c r="N63" s="484">
        <v>6</v>
      </c>
      <c r="O63" s="480" t="s">
        <v>4100</v>
      </c>
      <c r="P63" s="500">
        <v>22</v>
      </c>
      <c r="Q63" s="485" t="s">
        <v>5349</v>
      </c>
      <c r="R63" s="485" t="s">
        <v>5350</v>
      </c>
      <c r="S63" s="485" t="s">
        <v>677</v>
      </c>
      <c r="T63" s="485">
        <v>1</v>
      </c>
      <c r="U63" s="485" t="s">
        <v>4100</v>
      </c>
      <c r="V63" s="485">
        <v>1</v>
      </c>
      <c r="W63" s="485" t="s">
        <v>5351</v>
      </c>
      <c r="X63" s="485">
        <v>16</v>
      </c>
      <c r="Y63" s="485" t="s">
        <v>5352</v>
      </c>
      <c r="Z63" s="486">
        <v>17000000</v>
      </c>
      <c r="AA63" s="486">
        <v>12000000</v>
      </c>
      <c r="AB63" s="486">
        <v>0</v>
      </c>
      <c r="AC63" s="486">
        <v>0</v>
      </c>
      <c r="AD63" s="486">
        <v>0</v>
      </c>
      <c r="AE63" s="486">
        <v>0</v>
      </c>
      <c r="AF63" s="486">
        <v>0</v>
      </c>
      <c r="AG63" s="486">
        <v>0</v>
      </c>
      <c r="AH63" s="487">
        <v>29000000</v>
      </c>
      <c r="AI63" s="486">
        <v>28000000</v>
      </c>
      <c r="AJ63" s="486">
        <v>0</v>
      </c>
      <c r="AK63" s="486">
        <v>0</v>
      </c>
      <c r="AL63" s="488">
        <v>28000000</v>
      </c>
      <c r="AM63" s="489">
        <v>57000000</v>
      </c>
      <c r="AN63" s="486">
        <v>18000000</v>
      </c>
      <c r="AO63" s="486">
        <v>12000000</v>
      </c>
      <c r="AP63" s="486">
        <v>0</v>
      </c>
      <c r="AQ63" s="486">
        <v>0</v>
      </c>
      <c r="AR63" s="486">
        <v>0</v>
      </c>
      <c r="AS63" s="486">
        <v>0</v>
      </c>
      <c r="AT63" s="486">
        <v>0</v>
      </c>
      <c r="AU63" s="486">
        <v>0</v>
      </c>
      <c r="AV63" s="487">
        <v>30000000</v>
      </c>
      <c r="AW63" s="486">
        <v>28000000</v>
      </c>
      <c r="AX63" s="486">
        <v>0</v>
      </c>
      <c r="AY63" s="486">
        <v>0</v>
      </c>
      <c r="AZ63" s="488">
        <v>28000000</v>
      </c>
      <c r="BA63" s="490">
        <v>58000000</v>
      </c>
      <c r="BB63" s="486">
        <v>19000000</v>
      </c>
      <c r="BC63" s="486">
        <v>12000000</v>
      </c>
      <c r="BD63" s="486">
        <v>0</v>
      </c>
      <c r="BE63" s="486">
        <v>0</v>
      </c>
      <c r="BF63" s="486">
        <v>0</v>
      </c>
      <c r="BG63" s="486">
        <v>0</v>
      </c>
      <c r="BH63" s="486">
        <v>0</v>
      </c>
      <c r="BI63" s="486">
        <v>0</v>
      </c>
      <c r="BJ63" s="487">
        <v>31000000</v>
      </c>
      <c r="BK63" s="486">
        <v>28000000</v>
      </c>
      <c r="BL63" s="486">
        <v>0</v>
      </c>
      <c r="BM63" s="486">
        <v>0</v>
      </c>
      <c r="BN63" s="488">
        <v>28000000</v>
      </c>
      <c r="BO63" s="490">
        <v>59000000</v>
      </c>
      <c r="BP63" s="486">
        <v>20000000</v>
      </c>
      <c r="BQ63" s="486">
        <v>12000000</v>
      </c>
      <c r="BR63" s="486">
        <v>0</v>
      </c>
      <c r="BS63" s="486">
        <v>0</v>
      </c>
      <c r="BT63" s="486">
        <v>0</v>
      </c>
      <c r="BU63" s="486">
        <v>0</v>
      </c>
      <c r="BV63" s="486">
        <v>0</v>
      </c>
      <c r="BW63" s="486">
        <v>0</v>
      </c>
      <c r="BX63" s="487">
        <v>32000000</v>
      </c>
      <c r="BY63" s="486">
        <v>28000000</v>
      </c>
      <c r="BZ63" s="486">
        <v>0</v>
      </c>
      <c r="CA63" s="486">
        <v>0</v>
      </c>
      <c r="CB63" s="488">
        <v>28000000</v>
      </c>
      <c r="CC63" s="491">
        <v>60000000</v>
      </c>
      <c r="CD63" s="492">
        <v>234000000</v>
      </c>
      <c r="CE63" s="493">
        <f t="shared" si="4"/>
        <v>74000000</v>
      </c>
      <c r="CF63" s="493">
        <f t="shared" si="4"/>
        <v>48000000</v>
      </c>
      <c r="CG63" s="493">
        <f t="shared" si="4"/>
        <v>0</v>
      </c>
      <c r="CH63" s="493">
        <f t="shared" si="4"/>
        <v>0</v>
      </c>
      <c r="CI63" s="493">
        <f t="shared" si="4"/>
        <v>0</v>
      </c>
      <c r="CJ63" s="493">
        <f t="shared" si="4"/>
        <v>0</v>
      </c>
      <c r="CK63" s="493">
        <f t="shared" si="4"/>
        <v>0</v>
      </c>
      <c r="CL63" s="493">
        <f t="shared" si="4"/>
        <v>0</v>
      </c>
      <c r="CM63" s="493">
        <f t="shared" si="3"/>
        <v>112000000</v>
      </c>
      <c r="CN63" s="493">
        <f t="shared" si="3"/>
        <v>0</v>
      </c>
      <c r="CO63" s="493">
        <f t="shared" si="3"/>
        <v>0</v>
      </c>
      <c r="CP63" s="494">
        <v>16</v>
      </c>
      <c r="CQ63" s="494" t="s">
        <v>5355</v>
      </c>
    </row>
    <row r="64" spans="1:95" ht="30.45" hidden="1" customHeight="1" thickBot="1">
      <c r="A64" s="555" t="s">
        <v>4101</v>
      </c>
      <c r="B64" s="479">
        <v>62</v>
      </c>
      <c r="C64" s="480" t="s">
        <v>4004</v>
      </c>
      <c r="D64" s="480" t="s">
        <v>4096</v>
      </c>
      <c r="E64" s="480" t="str">
        <f t="shared" si="1"/>
        <v xml:space="preserve">1.4.2 </v>
      </c>
      <c r="F64" s="480" t="s">
        <v>4109</v>
      </c>
      <c r="G64" s="480" t="s">
        <v>4110</v>
      </c>
      <c r="H64" s="481">
        <v>33</v>
      </c>
      <c r="I64" s="480" t="s">
        <v>4098</v>
      </c>
      <c r="J64" s="495">
        <v>330107403</v>
      </c>
      <c r="K64" s="480" t="s">
        <v>4114</v>
      </c>
      <c r="L64" s="480" t="s">
        <v>4118</v>
      </c>
      <c r="M64" s="480" t="s">
        <v>5709</v>
      </c>
      <c r="N64" s="484">
        <v>6</v>
      </c>
      <c r="O64" s="480" t="s">
        <v>4100</v>
      </c>
      <c r="P64" s="500">
        <v>14</v>
      </c>
      <c r="Q64" s="485" t="s">
        <v>5349</v>
      </c>
      <c r="R64" s="485" t="s">
        <v>5350</v>
      </c>
      <c r="S64" s="485" t="s">
        <v>677</v>
      </c>
      <c r="T64" s="485">
        <v>1</v>
      </c>
      <c r="U64" s="485" t="s">
        <v>4100</v>
      </c>
      <c r="V64" s="485">
        <v>1</v>
      </c>
      <c r="W64" s="485" t="s">
        <v>5351</v>
      </c>
      <c r="X64" s="485">
        <v>16</v>
      </c>
      <c r="Y64" s="485" t="s">
        <v>5352</v>
      </c>
      <c r="Z64" s="486">
        <v>17000000</v>
      </c>
      <c r="AA64" s="486">
        <v>6000000</v>
      </c>
      <c r="AB64" s="486">
        <v>0</v>
      </c>
      <c r="AC64" s="486">
        <v>0</v>
      </c>
      <c r="AD64" s="486">
        <v>0</v>
      </c>
      <c r="AE64" s="486">
        <v>0</v>
      </c>
      <c r="AF64" s="486">
        <v>0</v>
      </c>
      <c r="AG64" s="486">
        <v>0</v>
      </c>
      <c r="AH64" s="487">
        <v>23000000</v>
      </c>
      <c r="AI64" s="486">
        <v>28000000</v>
      </c>
      <c r="AJ64" s="486">
        <v>0</v>
      </c>
      <c r="AK64" s="486">
        <v>0</v>
      </c>
      <c r="AL64" s="488">
        <v>28000000</v>
      </c>
      <c r="AM64" s="489">
        <v>51000000</v>
      </c>
      <c r="AN64" s="486">
        <v>18000000</v>
      </c>
      <c r="AO64" s="486">
        <v>6000000</v>
      </c>
      <c r="AP64" s="486">
        <v>0</v>
      </c>
      <c r="AQ64" s="486">
        <v>0</v>
      </c>
      <c r="AR64" s="486">
        <v>0</v>
      </c>
      <c r="AS64" s="486">
        <v>0</v>
      </c>
      <c r="AT64" s="486">
        <v>0</v>
      </c>
      <c r="AU64" s="486">
        <v>0</v>
      </c>
      <c r="AV64" s="487">
        <v>24000000</v>
      </c>
      <c r="AW64" s="486">
        <v>28000000</v>
      </c>
      <c r="AX64" s="486">
        <v>0</v>
      </c>
      <c r="AY64" s="486">
        <v>0</v>
      </c>
      <c r="AZ64" s="488">
        <v>28000000</v>
      </c>
      <c r="BA64" s="490">
        <v>52000000</v>
      </c>
      <c r="BB64" s="486">
        <v>19000000</v>
      </c>
      <c r="BC64" s="486">
        <v>6000000</v>
      </c>
      <c r="BD64" s="486">
        <v>0</v>
      </c>
      <c r="BE64" s="486">
        <v>0</v>
      </c>
      <c r="BF64" s="486">
        <v>0</v>
      </c>
      <c r="BG64" s="486">
        <v>0</v>
      </c>
      <c r="BH64" s="486">
        <v>0</v>
      </c>
      <c r="BI64" s="486">
        <v>0</v>
      </c>
      <c r="BJ64" s="487">
        <v>25000000</v>
      </c>
      <c r="BK64" s="486">
        <v>28000000</v>
      </c>
      <c r="BL64" s="486">
        <v>0</v>
      </c>
      <c r="BM64" s="486">
        <v>0</v>
      </c>
      <c r="BN64" s="488">
        <v>28000000</v>
      </c>
      <c r="BO64" s="490">
        <v>53000000</v>
      </c>
      <c r="BP64" s="486">
        <v>20000000</v>
      </c>
      <c r="BQ64" s="486">
        <v>6000000</v>
      </c>
      <c r="BR64" s="486">
        <v>0</v>
      </c>
      <c r="BS64" s="486">
        <v>0</v>
      </c>
      <c r="BT64" s="486">
        <v>0</v>
      </c>
      <c r="BU64" s="486">
        <v>0</v>
      </c>
      <c r="BV64" s="486">
        <v>0</v>
      </c>
      <c r="BW64" s="486">
        <v>0</v>
      </c>
      <c r="BX64" s="487">
        <v>26000000</v>
      </c>
      <c r="BY64" s="486">
        <v>28000000</v>
      </c>
      <c r="BZ64" s="486">
        <v>0</v>
      </c>
      <c r="CA64" s="486">
        <v>0</v>
      </c>
      <c r="CB64" s="488">
        <v>28000000</v>
      </c>
      <c r="CC64" s="491">
        <v>54000000</v>
      </c>
      <c r="CD64" s="492">
        <v>210000000</v>
      </c>
      <c r="CE64" s="493">
        <f t="shared" si="4"/>
        <v>74000000</v>
      </c>
      <c r="CF64" s="493">
        <f t="shared" si="4"/>
        <v>24000000</v>
      </c>
      <c r="CG64" s="493">
        <f t="shared" si="4"/>
        <v>0</v>
      </c>
      <c r="CH64" s="493">
        <f t="shared" si="4"/>
        <v>0</v>
      </c>
      <c r="CI64" s="493">
        <f t="shared" si="4"/>
        <v>0</v>
      </c>
      <c r="CJ64" s="493">
        <f t="shared" si="4"/>
        <v>0</v>
      </c>
      <c r="CK64" s="493">
        <f t="shared" si="4"/>
        <v>0</v>
      </c>
      <c r="CL64" s="493">
        <f t="shared" si="4"/>
        <v>0</v>
      </c>
      <c r="CM64" s="493">
        <f t="shared" si="3"/>
        <v>112000000</v>
      </c>
      <c r="CN64" s="493">
        <f t="shared" si="3"/>
        <v>0</v>
      </c>
      <c r="CO64" s="493">
        <f t="shared" si="3"/>
        <v>0</v>
      </c>
      <c r="CP64" s="494">
        <v>16</v>
      </c>
      <c r="CQ64" s="494" t="s">
        <v>5355</v>
      </c>
    </row>
    <row r="65" spans="1:95" ht="30.45" hidden="1" customHeight="1" thickBot="1">
      <c r="A65" s="555" t="s">
        <v>4101</v>
      </c>
      <c r="B65" s="479">
        <v>63</v>
      </c>
      <c r="C65" s="480" t="s">
        <v>4004</v>
      </c>
      <c r="D65" s="480" t="s">
        <v>4096</v>
      </c>
      <c r="E65" s="480" t="str">
        <f t="shared" si="1"/>
        <v xml:space="preserve">1.4.2 </v>
      </c>
      <c r="F65" s="480" t="s">
        <v>4109</v>
      </c>
      <c r="G65" s="480" t="s">
        <v>4110</v>
      </c>
      <c r="H65" s="481">
        <v>33</v>
      </c>
      <c r="I65" s="480" t="s">
        <v>4098</v>
      </c>
      <c r="J65" s="495">
        <v>330107404</v>
      </c>
      <c r="K65" s="480" t="s">
        <v>4114</v>
      </c>
      <c r="L65" s="480" t="s">
        <v>4119</v>
      </c>
      <c r="M65" s="480" t="s">
        <v>5710</v>
      </c>
      <c r="N65" s="484">
        <v>6</v>
      </c>
      <c r="O65" s="480" t="s">
        <v>4100</v>
      </c>
      <c r="P65" s="500">
        <v>14</v>
      </c>
      <c r="Q65" s="485" t="s">
        <v>5349</v>
      </c>
      <c r="R65" s="485" t="s">
        <v>5350</v>
      </c>
      <c r="S65" s="485" t="s">
        <v>677</v>
      </c>
      <c r="T65" s="485">
        <v>1</v>
      </c>
      <c r="U65" s="485" t="s">
        <v>4100</v>
      </c>
      <c r="V65" s="485">
        <v>1</v>
      </c>
      <c r="W65" s="485" t="s">
        <v>5351</v>
      </c>
      <c r="X65" s="485">
        <v>16</v>
      </c>
      <c r="Y65" s="485" t="s">
        <v>5352</v>
      </c>
      <c r="Z65" s="486">
        <v>17000000</v>
      </c>
      <c r="AA65" s="486">
        <v>6000000</v>
      </c>
      <c r="AB65" s="486">
        <v>0</v>
      </c>
      <c r="AC65" s="486">
        <v>0</v>
      </c>
      <c r="AD65" s="486">
        <v>0</v>
      </c>
      <c r="AE65" s="486">
        <v>0</v>
      </c>
      <c r="AF65" s="486">
        <v>0</v>
      </c>
      <c r="AG65" s="486">
        <v>0</v>
      </c>
      <c r="AH65" s="487">
        <v>23000000</v>
      </c>
      <c r="AI65" s="486">
        <v>28000000</v>
      </c>
      <c r="AJ65" s="486">
        <v>0</v>
      </c>
      <c r="AK65" s="486">
        <v>0</v>
      </c>
      <c r="AL65" s="488">
        <v>28000000</v>
      </c>
      <c r="AM65" s="489">
        <v>51000000</v>
      </c>
      <c r="AN65" s="486">
        <v>18000000</v>
      </c>
      <c r="AO65" s="486">
        <v>6000000</v>
      </c>
      <c r="AP65" s="486">
        <v>0</v>
      </c>
      <c r="AQ65" s="486">
        <v>0</v>
      </c>
      <c r="AR65" s="486">
        <v>0</v>
      </c>
      <c r="AS65" s="486">
        <v>0</v>
      </c>
      <c r="AT65" s="486">
        <v>0</v>
      </c>
      <c r="AU65" s="486">
        <v>0</v>
      </c>
      <c r="AV65" s="487">
        <v>24000000</v>
      </c>
      <c r="AW65" s="486">
        <v>28000000</v>
      </c>
      <c r="AX65" s="486">
        <v>0</v>
      </c>
      <c r="AY65" s="486">
        <v>0</v>
      </c>
      <c r="AZ65" s="488">
        <v>28000000</v>
      </c>
      <c r="BA65" s="490">
        <v>52000000</v>
      </c>
      <c r="BB65" s="486">
        <v>19000000</v>
      </c>
      <c r="BC65" s="486">
        <v>6000000</v>
      </c>
      <c r="BD65" s="486">
        <v>0</v>
      </c>
      <c r="BE65" s="486">
        <v>0</v>
      </c>
      <c r="BF65" s="486">
        <v>0</v>
      </c>
      <c r="BG65" s="486">
        <v>0</v>
      </c>
      <c r="BH65" s="486">
        <v>0</v>
      </c>
      <c r="BI65" s="486">
        <v>0</v>
      </c>
      <c r="BJ65" s="487">
        <v>25000000</v>
      </c>
      <c r="BK65" s="486">
        <v>28000000</v>
      </c>
      <c r="BL65" s="486">
        <v>0</v>
      </c>
      <c r="BM65" s="486">
        <v>0</v>
      </c>
      <c r="BN65" s="488">
        <v>28000000</v>
      </c>
      <c r="BO65" s="490">
        <v>53000000</v>
      </c>
      <c r="BP65" s="486">
        <v>20000000</v>
      </c>
      <c r="BQ65" s="486">
        <v>6000000</v>
      </c>
      <c r="BR65" s="486">
        <v>0</v>
      </c>
      <c r="BS65" s="486">
        <v>0</v>
      </c>
      <c r="BT65" s="486">
        <v>0</v>
      </c>
      <c r="BU65" s="486">
        <v>0</v>
      </c>
      <c r="BV65" s="486">
        <v>0</v>
      </c>
      <c r="BW65" s="486">
        <v>0</v>
      </c>
      <c r="BX65" s="487">
        <v>26000000</v>
      </c>
      <c r="BY65" s="486">
        <v>28000000</v>
      </c>
      <c r="BZ65" s="486">
        <v>0</v>
      </c>
      <c r="CA65" s="486">
        <v>0</v>
      </c>
      <c r="CB65" s="488">
        <v>28000000</v>
      </c>
      <c r="CC65" s="491">
        <v>54000000</v>
      </c>
      <c r="CD65" s="492">
        <v>210000000</v>
      </c>
      <c r="CE65" s="493">
        <f t="shared" si="4"/>
        <v>74000000</v>
      </c>
      <c r="CF65" s="493">
        <f t="shared" si="4"/>
        <v>24000000</v>
      </c>
      <c r="CG65" s="493">
        <f t="shared" si="4"/>
        <v>0</v>
      </c>
      <c r="CH65" s="493">
        <f t="shared" si="4"/>
        <v>0</v>
      </c>
      <c r="CI65" s="493">
        <f t="shared" si="4"/>
        <v>0</v>
      </c>
      <c r="CJ65" s="493">
        <f t="shared" si="4"/>
        <v>0</v>
      </c>
      <c r="CK65" s="493">
        <f t="shared" si="4"/>
        <v>0</v>
      </c>
      <c r="CL65" s="493">
        <f t="shared" si="4"/>
        <v>0</v>
      </c>
      <c r="CM65" s="493">
        <f t="shared" si="3"/>
        <v>112000000</v>
      </c>
      <c r="CN65" s="493">
        <f t="shared" si="3"/>
        <v>0</v>
      </c>
      <c r="CO65" s="493">
        <f t="shared" si="3"/>
        <v>0</v>
      </c>
      <c r="CP65" s="494">
        <v>16</v>
      </c>
      <c r="CQ65" s="494" t="s">
        <v>5355</v>
      </c>
    </row>
    <row r="66" spans="1:95" ht="30.45" hidden="1" customHeight="1" thickBot="1">
      <c r="A66" s="555" t="s">
        <v>4101</v>
      </c>
      <c r="B66" s="479">
        <v>64</v>
      </c>
      <c r="C66" s="480" t="s">
        <v>4004</v>
      </c>
      <c r="D66" s="480" t="s">
        <v>4096</v>
      </c>
      <c r="E66" s="480" t="str">
        <f t="shared" si="1"/>
        <v xml:space="preserve">1.4.2 </v>
      </c>
      <c r="F66" s="480" t="s">
        <v>4109</v>
      </c>
      <c r="G66" s="480" t="s">
        <v>4110</v>
      </c>
      <c r="H66" s="481">
        <v>33</v>
      </c>
      <c r="I66" s="480" t="s">
        <v>4098</v>
      </c>
      <c r="J66" s="495">
        <v>330107405</v>
      </c>
      <c r="K66" s="480" t="s">
        <v>4114</v>
      </c>
      <c r="L66" s="480" t="s">
        <v>4120</v>
      </c>
      <c r="M66" s="480" t="s">
        <v>5711</v>
      </c>
      <c r="N66" s="484">
        <v>6</v>
      </c>
      <c r="O66" s="480" t="s">
        <v>4100</v>
      </c>
      <c r="P66" s="500">
        <v>14</v>
      </c>
      <c r="Q66" s="485" t="s">
        <v>5349</v>
      </c>
      <c r="R66" s="485" t="s">
        <v>5350</v>
      </c>
      <c r="S66" s="485" t="s">
        <v>677</v>
      </c>
      <c r="T66" s="485">
        <v>1</v>
      </c>
      <c r="U66" s="485" t="s">
        <v>4100</v>
      </c>
      <c r="V66" s="485">
        <v>1</v>
      </c>
      <c r="W66" s="485" t="s">
        <v>5351</v>
      </c>
      <c r="X66" s="485">
        <v>16</v>
      </c>
      <c r="Y66" s="485" t="s">
        <v>5352</v>
      </c>
      <c r="Z66" s="486">
        <v>17000000</v>
      </c>
      <c r="AA66" s="486">
        <v>6000000</v>
      </c>
      <c r="AB66" s="486">
        <v>0</v>
      </c>
      <c r="AC66" s="486">
        <v>0</v>
      </c>
      <c r="AD66" s="486">
        <v>0</v>
      </c>
      <c r="AE66" s="486">
        <v>0</v>
      </c>
      <c r="AF66" s="486">
        <v>0</v>
      </c>
      <c r="AG66" s="486">
        <v>0</v>
      </c>
      <c r="AH66" s="487">
        <v>23000000</v>
      </c>
      <c r="AI66" s="486">
        <v>28000000</v>
      </c>
      <c r="AJ66" s="486">
        <v>0</v>
      </c>
      <c r="AK66" s="486">
        <v>0</v>
      </c>
      <c r="AL66" s="488">
        <v>28000000</v>
      </c>
      <c r="AM66" s="489">
        <v>51000000</v>
      </c>
      <c r="AN66" s="486">
        <v>18000000</v>
      </c>
      <c r="AO66" s="486">
        <v>6000000</v>
      </c>
      <c r="AP66" s="486">
        <v>0</v>
      </c>
      <c r="AQ66" s="486">
        <v>0</v>
      </c>
      <c r="AR66" s="486">
        <v>0</v>
      </c>
      <c r="AS66" s="486">
        <v>0</v>
      </c>
      <c r="AT66" s="486">
        <v>0</v>
      </c>
      <c r="AU66" s="486">
        <v>0</v>
      </c>
      <c r="AV66" s="487">
        <v>24000000</v>
      </c>
      <c r="AW66" s="486">
        <v>28000000</v>
      </c>
      <c r="AX66" s="486">
        <v>0</v>
      </c>
      <c r="AY66" s="486">
        <v>0</v>
      </c>
      <c r="AZ66" s="488">
        <v>28000000</v>
      </c>
      <c r="BA66" s="490">
        <v>52000000</v>
      </c>
      <c r="BB66" s="486">
        <v>19000000</v>
      </c>
      <c r="BC66" s="486">
        <v>6000000</v>
      </c>
      <c r="BD66" s="486">
        <v>0</v>
      </c>
      <c r="BE66" s="486">
        <v>0</v>
      </c>
      <c r="BF66" s="486">
        <v>0</v>
      </c>
      <c r="BG66" s="486">
        <v>0</v>
      </c>
      <c r="BH66" s="486">
        <v>0</v>
      </c>
      <c r="BI66" s="486">
        <v>0</v>
      </c>
      <c r="BJ66" s="487">
        <v>25000000</v>
      </c>
      <c r="BK66" s="486">
        <v>28000000</v>
      </c>
      <c r="BL66" s="486">
        <v>0</v>
      </c>
      <c r="BM66" s="486">
        <v>0</v>
      </c>
      <c r="BN66" s="488">
        <v>28000000</v>
      </c>
      <c r="BO66" s="490">
        <v>53000000</v>
      </c>
      <c r="BP66" s="486">
        <v>20000000</v>
      </c>
      <c r="BQ66" s="486">
        <v>6000000</v>
      </c>
      <c r="BR66" s="486">
        <v>0</v>
      </c>
      <c r="BS66" s="486">
        <v>0</v>
      </c>
      <c r="BT66" s="486">
        <v>0</v>
      </c>
      <c r="BU66" s="486">
        <v>0</v>
      </c>
      <c r="BV66" s="486">
        <v>0</v>
      </c>
      <c r="BW66" s="486">
        <v>0</v>
      </c>
      <c r="BX66" s="487">
        <v>26000000</v>
      </c>
      <c r="BY66" s="486">
        <v>28000000</v>
      </c>
      <c r="BZ66" s="486">
        <v>0</v>
      </c>
      <c r="CA66" s="486">
        <v>0</v>
      </c>
      <c r="CB66" s="488">
        <v>28000000</v>
      </c>
      <c r="CC66" s="491">
        <v>54000000</v>
      </c>
      <c r="CD66" s="492">
        <v>210000000</v>
      </c>
      <c r="CE66" s="493">
        <f t="shared" si="4"/>
        <v>74000000</v>
      </c>
      <c r="CF66" s="493">
        <f t="shared" si="4"/>
        <v>24000000</v>
      </c>
      <c r="CG66" s="493">
        <f t="shared" si="4"/>
        <v>0</v>
      </c>
      <c r="CH66" s="493">
        <f t="shared" si="4"/>
        <v>0</v>
      </c>
      <c r="CI66" s="493">
        <f t="shared" si="4"/>
        <v>0</v>
      </c>
      <c r="CJ66" s="493">
        <f t="shared" si="4"/>
        <v>0</v>
      </c>
      <c r="CK66" s="493">
        <f t="shared" si="4"/>
        <v>0</v>
      </c>
      <c r="CL66" s="493">
        <f t="shared" si="4"/>
        <v>0</v>
      </c>
      <c r="CM66" s="493">
        <f t="shared" si="3"/>
        <v>112000000</v>
      </c>
      <c r="CN66" s="493">
        <f t="shared" si="3"/>
        <v>0</v>
      </c>
      <c r="CO66" s="493">
        <f t="shared" si="3"/>
        <v>0</v>
      </c>
      <c r="CP66" s="494">
        <v>16</v>
      </c>
      <c r="CQ66" s="494" t="s">
        <v>5355</v>
      </c>
    </row>
    <row r="67" spans="1:95" ht="30.45" hidden="1" customHeight="1" thickBot="1">
      <c r="A67" s="555" t="s">
        <v>4101</v>
      </c>
      <c r="B67" s="479">
        <v>65</v>
      </c>
      <c r="C67" s="480" t="s">
        <v>4004</v>
      </c>
      <c r="D67" s="480" t="s">
        <v>4096</v>
      </c>
      <c r="E67" s="480" t="str">
        <f t="shared" si="1"/>
        <v xml:space="preserve">1.4.2 </v>
      </c>
      <c r="F67" s="480" t="s">
        <v>4109</v>
      </c>
      <c r="G67" s="480" t="s">
        <v>4110</v>
      </c>
      <c r="H67" s="481">
        <v>33</v>
      </c>
      <c r="I67" s="480" t="s">
        <v>4098</v>
      </c>
      <c r="J67" s="495">
        <v>330107408</v>
      </c>
      <c r="K67" s="480" t="s">
        <v>4114</v>
      </c>
      <c r="L67" s="480" t="s">
        <v>4121</v>
      </c>
      <c r="M67" s="480" t="s">
        <v>5712</v>
      </c>
      <c r="N67" s="484">
        <v>30</v>
      </c>
      <c r="O67" s="480" t="s">
        <v>4100</v>
      </c>
      <c r="P67" s="500">
        <v>170</v>
      </c>
      <c r="Q67" s="485" t="s">
        <v>5349</v>
      </c>
      <c r="R67" s="485" t="s">
        <v>5350</v>
      </c>
      <c r="S67" s="485" t="s">
        <v>677</v>
      </c>
      <c r="T67" s="485">
        <v>1</v>
      </c>
      <c r="U67" s="485" t="s">
        <v>4100</v>
      </c>
      <c r="V67" s="485">
        <v>1</v>
      </c>
      <c r="W67" s="485" t="s">
        <v>5351</v>
      </c>
      <c r="X67" s="485">
        <v>16</v>
      </c>
      <c r="Y67" s="485" t="s">
        <v>5352</v>
      </c>
      <c r="Z67" s="486">
        <v>52000000</v>
      </c>
      <c r="AA67" s="486">
        <v>107000000</v>
      </c>
      <c r="AB67" s="486">
        <v>0</v>
      </c>
      <c r="AC67" s="486">
        <v>0</v>
      </c>
      <c r="AD67" s="486">
        <v>0</v>
      </c>
      <c r="AE67" s="486">
        <v>0</v>
      </c>
      <c r="AF67" s="486">
        <v>0</v>
      </c>
      <c r="AG67" s="486">
        <v>0</v>
      </c>
      <c r="AH67" s="487">
        <v>159000000</v>
      </c>
      <c r="AI67" s="486">
        <v>28000000</v>
      </c>
      <c r="AJ67" s="486">
        <v>0</v>
      </c>
      <c r="AK67" s="486">
        <v>0</v>
      </c>
      <c r="AL67" s="488">
        <v>28000000</v>
      </c>
      <c r="AM67" s="489">
        <v>187000000</v>
      </c>
      <c r="AN67" s="486">
        <v>58000000</v>
      </c>
      <c r="AO67" s="486">
        <v>112000000</v>
      </c>
      <c r="AP67" s="486">
        <v>0</v>
      </c>
      <c r="AQ67" s="486">
        <v>0</v>
      </c>
      <c r="AR67" s="486">
        <v>0</v>
      </c>
      <c r="AS67" s="486">
        <v>0</v>
      </c>
      <c r="AT67" s="486">
        <v>0</v>
      </c>
      <c r="AU67" s="486">
        <v>0</v>
      </c>
      <c r="AV67" s="487">
        <v>170000000</v>
      </c>
      <c r="AW67" s="486">
        <v>28000000</v>
      </c>
      <c r="AX67" s="486">
        <v>0</v>
      </c>
      <c r="AY67" s="486">
        <v>0</v>
      </c>
      <c r="AZ67" s="488">
        <v>28000000</v>
      </c>
      <c r="BA67" s="490">
        <v>198000000</v>
      </c>
      <c r="BB67" s="486">
        <v>64000000</v>
      </c>
      <c r="BC67" s="486">
        <v>117000000</v>
      </c>
      <c r="BD67" s="486">
        <v>0</v>
      </c>
      <c r="BE67" s="486">
        <v>0</v>
      </c>
      <c r="BF67" s="486">
        <v>0</v>
      </c>
      <c r="BG67" s="486">
        <v>0</v>
      </c>
      <c r="BH67" s="486">
        <v>0</v>
      </c>
      <c r="BI67" s="486">
        <v>0</v>
      </c>
      <c r="BJ67" s="487">
        <v>181000000</v>
      </c>
      <c r="BK67" s="486">
        <v>28000000</v>
      </c>
      <c r="BL67" s="486">
        <v>0</v>
      </c>
      <c r="BM67" s="486">
        <v>0</v>
      </c>
      <c r="BN67" s="488">
        <v>28000000</v>
      </c>
      <c r="BO67" s="490">
        <v>209000000</v>
      </c>
      <c r="BP67" s="486">
        <v>70000000</v>
      </c>
      <c r="BQ67" s="486">
        <v>122000000</v>
      </c>
      <c r="BR67" s="486">
        <v>0</v>
      </c>
      <c r="BS67" s="486">
        <v>0</v>
      </c>
      <c r="BT67" s="486">
        <v>0</v>
      </c>
      <c r="BU67" s="486">
        <v>0</v>
      </c>
      <c r="BV67" s="486">
        <v>0</v>
      </c>
      <c r="BW67" s="486">
        <v>0</v>
      </c>
      <c r="BX67" s="487">
        <v>192000000</v>
      </c>
      <c r="BY67" s="486">
        <v>28000000</v>
      </c>
      <c r="BZ67" s="486">
        <v>0</v>
      </c>
      <c r="CA67" s="486">
        <v>0</v>
      </c>
      <c r="CB67" s="488">
        <v>28000000</v>
      </c>
      <c r="CC67" s="491">
        <v>220000000</v>
      </c>
      <c r="CD67" s="492">
        <v>814000000</v>
      </c>
      <c r="CE67" s="493">
        <f t="shared" si="4"/>
        <v>244000000</v>
      </c>
      <c r="CF67" s="493">
        <f t="shared" si="4"/>
        <v>458000000</v>
      </c>
      <c r="CG67" s="493">
        <f t="shared" si="4"/>
        <v>0</v>
      </c>
      <c r="CH67" s="493">
        <f t="shared" si="4"/>
        <v>0</v>
      </c>
      <c r="CI67" s="493">
        <f t="shared" si="4"/>
        <v>0</v>
      </c>
      <c r="CJ67" s="493">
        <f t="shared" si="4"/>
        <v>0</v>
      </c>
      <c r="CK67" s="493">
        <f t="shared" si="4"/>
        <v>0</v>
      </c>
      <c r="CL67" s="493">
        <f t="shared" si="4"/>
        <v>0</v>
      </c>
      <c r="CM67" s="493">
        <f t="shared" si="3"/>
        <v>112000000</v>
      </c>
      <c r="CN67" s="493">
        <f t="shared" si="3"/>
        <v>0</v>
      </c>
      <c r="CO67" s="493">
        <f t="shared" si="3"/>
        <v>0</v>
      </c>
      <c r="CP67" s="494">
        <v>16</v>
      </c>
      <c r="CQ67" s="494" t="s">
        <v>5355</v>
      </c>
    </row>
    <row r="68" spans="1:95" ht="30.45" hidden="1" customHeight="1" thickBot="1">
      <c r="A68" s="555" t="s">
        <v>4101</v>
      </c>
      <c r="B68" s="479">
        <v>66</v>
      </c>
      <c r="C68" s="480" t="s">
        <v>4004</v>
      </c>
      <c r="D68" s="480" t="s">
        <v>4096</v>
      </c>
      <c r="E68" s="480" t="str">
        <f t="shared" ref="E68:E131" si="5">MID(F68,1,6)</f>
        <v xml:space="preserve">1.4.2 </v>
      </c>
      <c r="F68" s="480" t="s">
        <v>4109</v>
      </c>
      <c r="G68" s="480" t="s">
        <v>4110</v>
      </c>
      <c r="H68" s="481">
        <v>33</v>
      </c>
      <c r="I68" s="480" t="s">
        <v>4098</v>
      </c>
      <c r="J68" s="495">
        <v>330109800</v>
      </c>
      <c r="K68" s="480" t="s">
        <v>4122</v>
      </c>
      <c r="L68" s="480" t="s">
        <v>4123</v>
      </c>
      <c r="M68" s="480" t="s">
        <v>5713</v>
      </c>
      <c r="N68" s="484">
        <v>3000</v>
      </c>
      <c r="O68" s="480" t="s">
        <v>4100</v>
      </c>
      <c r="P68" s="500">
        <v>10000</v>
      </c>
      <c r="Q68" s="485" t="s">
        <v>5349</v>
      </c>
      <c r="R68" s="485" t="s">
        <v>5350</v>
      </c>
      <c r="S68" s="485" t="s">
        <v>677</v>
      </c>
      <c r="T68" s="485">
        <v>1</v>
      </c>
      <c r="U68" s="485" t="s">
        <v>4100</v>
      </c>
      <c r="V68" s="485">
        <v>1</v>
      </c>
      <c r="W68" s="485" t="s">
        <v>5351</v>
      </c>
      <c r="X68" s="485">
        <v>16</v>
      </c>
      <c r="Y68" s="485" t="s">
        <v>5352</v>
      </c>
      <c r="Z68" s="486">
        <v>17000000</v>
      </c>
      <c r="AA68" s="486">
        <v>0</v>
      </c>
      <c r="AB68" s="486">
        <v>0</v>
      </c>
      <c r="AC68" s="486">
        <v>0</v>
      </c>
      <c r="AD68" s="486">
        <v>0</v>
      </c>
      <c r="AE68" s="486">
        <v>0</v>
      </c>
      <c r="AF68" s="486">
        <v>0</v>
      </c>
      <c r="AG68" s="486">
        <v>0</v>
      </c>
      <c r="AH68" s="487">
        <v>17000000</v>
      </c>
      <c r="AI68" s="486">
        <v>28000000</v>
      </c>
      <c r="AJ68" s="486">
        <v>0</v>
      </c>
      <c r="AK68" s="486">
        <v>0</v>
      </c>
      <c r="AL68" s="488">
        <v>28000000</v>
      </c>
      <c r="AM68" s="489">
        <v>45000000</v>
      </c>
      <c r="AN68" s="486">
        <v>18000000</v>
      </c>
      <c r="AO68" s="486">
        <v>0</v>
      </c>
      <c r="AP68" s="486">
        <v>0</v>
      </c>
      <c r="AQ68" s="486">
        <v>0</v>
      </c>
      <c r="AR68" s="486">
        <v>0</v>
      </c>
      <c r="AS68" s="486">
        <v>0</v>
      </c>
      <c r="AT68" s="486">
        <v>0</v>
      </c>
      <c r="AU68" s="486">
        <v>0</v>
      </c>
      <c r="AV68" s="487">
        <v>18000000</v>
      </c>
      <c r="AW68" s="486">
        <v>28000000</v>
      </c>
      <c r="AX68" s="486">
        <v>0</v>
      </c>
      <c r="AY68" s="486">
        <v>0</v>
      </c>
      <c r="AZ68" s="488">
        <v>28000000</v>
      </c>
      <c r="BA68" s="490">
        <v>46000000</v>
      </c>
      <c r="BB68" s="486">
        <v>19000000</v>
      </c>
      <c r="BC68" s="486">
        <v>0</v>
      </c>
      <c r="BD68" s="486">
        <v>0</v>
      </c>
      <c r="BE68" s="486">
        <v>0</v>
      </c>
      <c r="BF68" s="486">
        <v>0</v>
      </c>
      <c r="BG68" s="486">
        <v>0</v>
      </c>
      <c r="BH68" s="486">
        <v>0</v>
      </c>
      <c r="BI68" s="486">
        <v>0</v>
      </c>
      <c r="BJ68" s="487">
        <v>19000000</v>
      </c>
      <c r="BK68" s="486">
        <v>28000000</v>
      </c>
      <c r="BL68" s="486">
        <v>0</v>
      </c>
      <c r="BM68" s="486">
        <v>0</v>
      </c>
      <c r="BN68" s="488">
        <v>28000000</v>
      </c>
      <c r="BO68" s="490">
        <v>47000000</v>
      </c>
      <c r="BP68" s="486">
        <v>20000000</v>
      </c>
      <c r="BQ68" s="486">
        <v>0</v>
      </c>
      <c r="BR68" s="486">
        <v>0</v>
      </c>
      <c r="BS68" s="486">
        <v>0</v>
      </c>
      <c r="BT68" s="486">
        <v>0</v>
      </c>
      <c r="BU68" s="486">
        <v>0</v>
      </c>
      <c r="BV68" s="486">
        <v>0</v>
      </c>
      <c r="BW68" s="486">
        <v>0</v>
      </c>
      <c r="BX68" s="487">
        <v>20000000</v>
      </c>
      <c r="BY68" s="486">
        <v>28000000</v>
      </c>
      <c r="BZ68" s="486">
        <v>0</v>
      </c>
      <c r="CA68" s="486">
        <v>0</v>
      </c>
      <c r="CB68" s="488">
        <v>28000000</v>
      </c>
      <c r="CC68" s="491">
        <v>48000000</v>
      </c>
      <c r="CD68" s="492">
        <v>186000000</v>
      </c>
      <c r="CE68" s="493">
        <f t="shared" si="4"/>
        <v>74000000</v>
      </c>
      <c r="CF68" s="493">
        <f t="shared" si="4"/>
        <v>0</v>
      </c>
      <c r="CG68" s="493">
        <f t="shared" si="4"/>
        <v>0</v>
      </c>
      <c r="CH68" s="493">
        <f t="shared" si="4"/>
        <v>0</v>
      </c>
      <c r="CI68" s="493">
        <f t="shared" si="4"/>
        <v>0</v>
      </c>
      <c r="CJ68" s="493">
        <f t="shared" si="4"/>
        <v>0</v>
      </c>
      <c r="CK68" s="493">
        <f t="shared" si="4"/>
        <v>0</v>
      </c>
      <c r="CL68" s="493">
        <f t="shared" si="4"/>
        <v>0</v>
      </c>
      <c r="CM68" s="493">
        <f t="shared" ref="CM68:CO131" si="6">AI68+AW68+BK68+BY68</f>
        <v>112000000</v>
      </c>
      <c r="CN68" s="493">
        <f t="shared" si="6"/>
        <v>0</v>
      </c>
      <c r="CO68" s="493">
        <f t="shared" si="6"/>
        <v>0</v>
      </c>
      <c r="CP68" s="494">
        <v>16</v>
      </c>
      <c r="CQ68" s="494" t="s">
        <v>5355</v>
      </c>
    </row>
    <row r="69" spans="1:95" ht="30.45" hidden="1" customHeight="1" thickBot="1">
      <c r="A69" s="555" t="s">
        <v>4101</v>
      </c>
      <c r="B69" s="479">
        <v>67</v>
      </c>
      <c r="C69" s="480" t="s">
        <v>4004</v>
      </c>
      <c r="D69" s="480" t="s">
        <v>4096</v>
      </c>
      <c r="E69" s="480" t="str">
        <f t="shared" si="5"/>
        <v xml:space="preserve">1.4.3 </v>
      </c>
      <c r="F69" s="480" t="s">
        <v>4124</v>
      </c>
      <c r="G69" s="480" t="s">
        <v>4125</v>
      </c>
      <c r="H69" s="481">
        <v>33</v>
      </c>
      <c r="I69" s="480" t="s">
        <v>4098</v>
      </c>
      <c r="J69" s="495">
        <v>330105300</v>
      </c>
      <c r="K69" s="480" t="s">
        <v>4126</v>
      </c>
      <c r="L69" s="480" t="s">
        <v>4127</v>
      </c>
      <c r="M69" s="480" t="s">
        <v>6452</v>
      </c>
      <c r="N69" s="484">
        <v>9</v>
      </c>
      <c r="O69" s="480" t="s">
        <v>4100</v>
      </c>
      <c r="P69" s="500">
        <v>26</v>
      </c>
      <c r="Q69" s="485" t="s">
        <v>5349</v>
      </c>
      <c r="R69" s="485" t="s">
        <v>5353</v>
      </c>
      <c r="S69" s="485" t="s">
        <v>677</v>
      </c>
      <c r="T69" s="485">
        <v>0.41</v>
      </c>
      <c r="U69" s="485" t="s">
        <v>4100</v>
      </c>
      <c r="V69" s="485">
        <v>0.8</v>
      </c>
      <c r="W69" s="485" t="s">
        <v>5354</v>
      </c>
      <c r="X69" s="485">
        <v>16</v>
      </c>
      <c r="Y69" s="485" t="s">
        <v>5355</v>
      </c>
      <c r="Z69" s="486">
        <v>1690474505</v>
      </c>
      <c r="AA69" s="486">
        <v>160000000</v>
      </c>
      <c r="AB69" s="486">
        <v>0</v>
      </c>
      <c r="AC69" s="486">
        <v>0</v>
      </c>
      <c r="AD69" s="486">
        <v>0</v>
      </c>
      <c r="AE69" s="486">
        <v>0</v>
      </c>
      <c r="AF69" s="486">
        <v>0</v>
      </c>
      <c r="AG69" s="486">
        <v>0</v>
      </c>
      <c r="AH69" s="487">
        <v>1850474505</v>
      </c>
      <c r="AI69" s="486">
        <v>6088990000</v>
      </c>
      <c r="AJ69" s="486">
        <v>0</v>
      </c>
      <c r="AK69" s="486">
        <v>0</v>
      </c>
      <c r="AL69" s="488">
        <v>6088990000</v>
      </c>
      <c r="AM69" s="489">
        <v>7939464505</v>
      </c>
      <c r="AN69" s="486">
        <v>1188777486</v>
      </c>
      <c r="AO69" s="486">
        <v>165000000</v>
      </c>
      <c r="AP69" s="486">
        <v>0</v>
      </c>
      <c r="AQ69" s="486">
        <v>0</v>
      </c>
      <c r="AR69" s="486">
        <v>0</v>
      </c>
      <c r="AS69" s="486">
        <v>0</v>
      </c>
      <c r="AT69" s="486">
        <v>0</v>
      </c>
      <c r="AU69" s="486">
        <v>0</v>
      </c>
      <c r="AV69" s="487">
        <v>1353777486</v>
      </c>
      <c r="AW69" s="486">
        <v>6331429600</v>
      </c>
      <c r="AX69" s="486">
        <v>0</v>
      </c>
      <c r="AY69" s="486">
        <v>0</v>
      </c>
      <c r="AZ69" s="488">
        <v>6331429600</v>
      </c>
      <c r="BA69" s="490">
        <v>7685207086</v>
      </c>
      <c r="BB69" s="486">
        <v>1536232585</v>
      </c>
      <c r="BC69" s="486">
        <v>170000000</v>
      </c>
      <c r="BD69" s="486">
        <v>0</v>
      </c>
      <c r="BE69" s="486">
        <v>0</v>
      </c>
      <c r="BF69" s="486">
        <v>0</v>
      </c>
      <c r="BG69" s="486">
        <v>0</v>
      </c>
      <c r="BH69" s="486">
        <v>0</v>
      </c>
      <c r="BI69" s="486">
        <v>0</v>
      </c>
      <c r="BJ69" s="487">
        <v>1706232585</v>
      </c>
      <c r="BK69" s="486">
        <v>6583566784</v>
      </c>
      <c r="BL69" s="486">
        <v>0</v>
      </c>
      <c r="BM69" s="486">
        <v>0</v>
      </c>
      <c r="BN69" s="488">
        <v>6583566784</v>
      </c>
      <c r="BO69" s="490">
        <v>8289799369</v>
      </c>
      <c r="BP69" s="486">
        <v>1595433889</v>
      </c>
      <c r="BQ69" s="486">
        <v>175000000</v>
      </c>
      <c r="BR69" s="486">
        <v>0</v>
      </c>
      <c r="BS69" s="486">
        <v>0</v>
      </c>
      <c r="BT69" s="486">
        <v>0</v>
      </c>
      <c r="BU69" s="486">
        <v>0</v>
      </c>
      <c r="BV69" s="486">
        <v>0</v>
      </c>
      <c r="BW69" s="486">
        <v>0</v>
      </c>
      <c r="BX69" s="487">
        <v>1770433889</v>
      </c>
      <c r="BY69" s="486">
        <v>6845789455</v>
      </c>
      <c r="BZ69" s="486">
        <v>0</v>
      </c>
      <c r="CA69" s="486">
        <v>0</v>
      </c>
      <c r="CB69" s="488">
        <v>6845789455</v>
      </c>
      <c r="CC69" s="491">
        <v>8616223344</v>
      </c>
      <c r="CD69" s="492">
        <v>32530694304</v>
      </c>
      <c r="CE69" s="493">
        <f t="shared" si="4"/>
        <v>6010918465</v>
      </c>
      <c r="CF69" s="493">
        <f t="shared" si="4"/>
        <v>670000000</v>
      </c>
      <c r="CG69" s="493">
        <f t="shared" si="4"/>
        <v>0</v>
      </c>
      <c r="CH69" s="493">
        <f t="shared" si="4"/>
        <v>0</v>
      </c>
      <c r="CI69" s="493">
        <f t="shared" si="4"/>
        <v>0</v>
      </c>
      <c r="CJ69" s="493">
        <f t="shared" si="4"/>
        <v>0</v>
      </c>
      <c r="CK69" s="493">
        <f t="shared" si="4"/>
        <v>0</v>
      </c>
      <c r="CL69" s="493">
        <f t="shared" si="4"/>
        <v>0</v>
      </c>
      <c r="CM69" s="493">
        <f t="shared" si="6"/>
        <v>25849775839</v>
      </c>
      <c r="CN69" s="493">
        <f t="shared" si="6"/>
        <v>0</v>
      </c>
      <c r="CO69" s="493">
        <f t="shared" si="6"/>
        <v>0</v>
      </c>
      <c r="CP69" s="494">
        <v>10</v>
      </c>
      <c r="CQ69" s="494" t="s">
        <v>862</v>
      </c>
    </row>
    <row r="70" spans="1:95" ht="30.45" hidden="1" customHeight="1" thickBot="1">
      <c r="A70" s="555" t="s">
        <v>4101</v>
      </c>
      <c r="B70" s="479">
        <v>68</v>
      </c>
      <c r="C70" s="480" t="s">
        <v>4004</v>
      </c>
      <c r="D70" s="480" t="s">
        <v>4096</v>
      </c>
      <c r="E70" s="480" t="str">
        <f t="shared" si="5"/>
        <v xml:space="preserve">1.4.3 </v>
      </c>
      <c r="F70" s="480" t="s">
        <v>4124</v>
      </c>
      <c r="G70" s="480" t="s">
        <v>4125</v>
      </c>
      <c r="H70" s="481">
        <v>33</v>
      </c>
      <c r="I70" s="480" t="s">
        <v>4098</v>
      </c>
      <c r="J70" s="495">
        <v>330105301</v>
      </c>
      <c r="K70" s="480" t="s">
        <v>4126</v>
      </c>
      <c r="L70" s="480" t="s">
        <v>4128</v>
      </c>
      <c r="M70" s="480" t="s">
        <v>5714</v>
      </c>
      <c r="N70" s="484">
        <v>100</v>
      </c>
      <c r="O70" s="480" t="s">
        <v>4100</v>
      </c>
      <c r="P70" s="500">
        <v>200</v>
      </c>
      <c r="Q70" s="485" t="s">
        <v>5349</v>
      </c>
      <c r="R70" s="485" t="s">
        <v>5353</v>
      </c>
      <c r="S70" s="485" t="s">
        <v>677</v>
      </c>
      <c r="T70" s="485">
        <v>0.41</v>
      </c>
      <c r="U70" s="485" t="s">
        <v>4100</v>
      </c>
      <c r="V70" s="485">
        <v>0.8</v>
      </c>
      <c r="W70" s="485" t="s">
        <v>5354</v>
      </c>
      <c r="X70" s="485">
        <v>16</v>
      </c>
      <c r="Y70" s="485" t="s">
        <v>5355</v>
      </c>
      <c r="Z70" s="486">
        <v>647000000</v>
      </c>
      <c r="AA70" s="486">
        <v>0</v>
      </c>
      <c r="AB70" s="486">
        <v>0</v>
      </c>
      <c r="AC70" s="486">
        <v>0</v>
      </c>
      <c r="AD70" s="486">
        <v>0</v>
      </c>
      <c r="AE70" s="486">
        <v>0</v>
      </c>
      <c r="AF70" s="486">
        <v>0</v>
      </c>
      <c r="AG70" s="486">
        <v>0</v>
      </c>
      <c r="AH70" s="487">
        <v>647000000</v>
      </c>
      <c r="AI70" s="486">
        <v>278000000</v>
      </c>
      <c r="AJ70" s="486">
        <v>0</v>
      </c>
      <c r="AK70" s="486">
        <v>0</v>
      </c>
      <c r="AL70" s="488">
        <v>278000000</v>
      </c>
      <c r="AM70" s="489">
        <v>925000000</v>
      </c>
      <c r="AN70" s="486">
        <v>675500000</v>
      </c>
      <c r="AO70" s="486">
        <v>0</v>
      </c>
      <c r="AP70" s="486">
        <v>0</v>
      </c>
      <c r="AQ70" s="486">
        <v>0</v>
      </c>
      <c r="AR70" s="486">
        <v>0</v>
      </c>
      <c r="AS70" s="486">
        <v>0</v>
      </c>
      <c r="AT70" s="486">
        <v>0</v>
      </c>
      <c r="AU70" s="486">
        <v>0</v>
      </c>
      <c r="AV70" s="487">
        <v>675500000</v>
      </c>
      <c r="AW70" s="486">
        <v>288000000</v>
      </c>
      <c r="AX70" s="486">
        <v>0</v>
      </c>
      <c r="AY70" s="486">
        <v>0</v>
      </c>
      <c r="AZ70" s="488">
        <v>288000000</v>
      </c>
      <c r="BA70" s="490">
        <v>963500000</v>
      </c>
      <c r="BB70" s="486">
        <v>709000000</v>
      </c>
      <c r="BC70" s="486">
        <v>0</v>
      </c>
      <c r="BD70" s="486">
        <v>0</v>
      </c>
      <c r="BE70" s="486">
        <v>0</v>
      </c>
      <c r="BF70" s="486">
        <v>0</v>
      </c>
      <c r="BG70" s="486">
        <v>0</v>
      </c>
      <c r="BH70" s="486">
        <v>0</v>
      </c>
      <c r="BI70" s="486">
        <v>0</v>
      </c>
      <c r="BJ70" s="487">
        <v>709000000</v>
      </c>
      <c r="BK70" s="486">
        <v>298400000</v>
      </c>
      <c r="BL70" s="486">
        <v>0</v>
      </c>
      <c r="BM70" s="486">
        <v>0</v>
      </c>
      <c r="BN70" s="488">
        <v>298400000</v>
      </c>
      <c r="BO70" s="490">
        <v>1007400000</v>
      </c>
      <c r="BP70" s="486">
        <v>750000000</v>
      </c>
      <c r="BQ70" s="486">
        <v>0</v>
      </c>
      <c r="BR70" s="486">
        <v>0</v>
      </c>
      <c r="BS70" s="486">
        <v>0</v>
      </c>
      <c r="BT70" s="486">
        <v>0</v>
      </c>
      <c r="BU70" s="486">
        <v>0</v>
      </c>
      <c r="BV70" s="486">
        <v>0</v>
      </c>
      <c r="BW70" s="486">
        <v>0</v>
      </c>
      <c r="BX70" s="487">
        <v>750000000</v>
      </c>
      <c r="BY70" s="486">
        <v>309216000</v>
      </c>
      <c r="BZ70" s="486">
        <v>0</v>
      </c>
      <c r="CA70" s="486">
        <v>0</v>
      </c>
      <c r="CB70" s="488">
        <v>309216000</v>
      </c>
      <c r="CC70" s="491">
        <v>1059216000</v>
      </c>
      <c r="CD70" s="492">
        <v>3955116000</v>
      </c>
      <c r="CE70" s="493">
        <f t="shared" si="4"/>
        <v>2781500000</v>
      </c>
      <c r="CF70" s="493">
        <f t="shared" si="4"/>
        <v>0</v>
      </c>
      <c r="CG70" s="493">
        <f t="shared" si="4"/>
        <v>0</v>
      </c>
      <c r="CH70" s="493">
        <f t="shared" si="4"/>
        <v>0</v>
      </c>
      <c r="CI70" s="493">
        <f t="shared" si="4"/>
        <v>0</v>
      </c>
      <c r="CJ70" s="493">
        <f t="shared" si="4"/>
        <v>0</v>
      </c>
      <c r="CK70" s="493">
        <f t="shared" si="4"/>
        <v>0</v>
      </c>
      <c r="CL70" s="493">
        <f t="shared" si="4"/>
        <v>0</v>
      </c>
      <c r="CM70" s="493">
        <f t="shared" si="6"/>
        <v>1173616000</v>
      </c>
      <c r="CN70" s="493">
        <f t="shared" si="6"/>
        <v>0</v>
      </c>
      <c r="CO70" s="493">
        <f t="shared" si="6"/>
        <v>0</v>
      </c>
      <c r="CP70" s="494">
        <v>10</v>
      </c>
      <c r="CQ70" s="494" t="s">
        <v>862</v>
      </c>
    </row>
    <row r="71" spans="1:95" ht="30.45" hidden="1" customHeight="1" thickBot="1">
      <c r="A71" s="555" t="s">
        <v>4101</v>
      </c>
      <c r="B71" s="479">
        <v>69</v>
      </c>
      <c r="C71" s="480" t="s">
        <v>4004</v>
      </c>
      <c r="D71" s="480" t="s">
        <v>4096</v>
      </c>
      <c r="E71" s="480" t="str">
        <f t="shared" si="5"/>
        <v xml:space="preserve">1.4.3 </v>
      </c>
      <c r="F71" s="480" t="s">
        <v>4124</v>
      </c>
      <c r="G71" s="480" t="s">
        <v>4125</v>
      </c>
      <c r="H71" s="481">
        <v>33</v>
      </c>
      <c r="I71" s="480" t="s">
        <v>4098</v>
      </c>
      <c r="J71" s="495">
        <v>330108800</v>
      </c>
      <c r="K71" s="480" t="s">
        <v>4129</v>
      </c>
      <c r="L71" s="480" t="s">
        <v>4130</v>
      </c>
      <c r="M71" s="480" t="s">
        <v>6453</v>
      </c>
      <c r="N71" s="499">
        <v>0</v>
      </c>
      <c r="O71" s="480" t="s">
        <v>4100</v>
      </c>
      <c r="P71" s="500">
        <v>2</v>
      </c>
      <c r="Q71" s="485" t="s">
        <v>5349</v>
      </c>
      <c r="R71" s="485" t="s">
        <v>5353</v>
      </c>
      <c r="S71" s="485" t="s">
        <v>677</v>
      </c>
      <c r="T71" s="485">
        <v>0.41</v>
      </c>
      <c r="U71" s="485" t="s">
        <v>4100</v>
      </c>
      <c r="V71" s="485">
        <v>0.8</v>
      </c>
      <c r="W71" s="485" t="s">
        <v>5354</v>
      </c>
      <c r="X71" s="485">
        <v>16</v>
      </c>
      <c r="Y71" s="485" t="s">
        <v>5355</v>
      </c>
      <c r="Z71" s="486">
        <v>0</v>
      </c>
      <c r="AA71" s="486">
        <v>0</v>
      </c>
      <c r="AB71" s="486">
        <v>0</v>
      </c>
      <c r="AC71" s="486">
        <v>0</v>
      </c>
      <c r="AD71" s="486">
        <v>0</v>
      </c>
      <c r="AE71" s="486">
        <v>0</v>
      </c>
      <c r="AF71" s="486">
        <v>4500000000</v>
      </c>
      <c r="AG71" s="486">
        <v>0</v>
      </c>
      <c r="AH71" s="487">
        <v>4500000000</v>
      </c>
      <c r="AI71" s="486">
        <v>28000000</v>
      </c>
      <c r="AJ71" s="486">
        <v>0</v>
      </c>
      <c r="AK71" s="486">
        <v>0</v>
      </c>
      <c r="AL71" s="488">
        <v>28000000</v>
      </c>
      <c r="AM71" s="489">
        <v>4528000000</v>
      </c>
      <c r="AN71" s="486">
        <v>0</v>
      </c>
      <c r="AO71" s="486">
        <v>0</v>
      </c>
      <c r="AP71" s="486">
        <v>0</v>
      </c>
      <c r="AQ71" s="486">
        <v>0</v>
      </c>
      <c r="AR71" s="486">
        <v>0</v>
      </c>
      <c r="AS71" s="486">
        <v>0</v>
      </c>
      <c r="AT71" s="486">
        <v>0</v>
      </c>
      <c r="AU71" s="486">
        <v>0</v>
      </c>
      <c r="AV71" s="487">
        <v>0</v>
      </c>
      <c r="AW71" s="486">
        <v>28000000</v>
      </c>
      <c r="AX71" s="486">
        <v>0</v>
      </c>
      <c r="AY71" s="486">
        <v>0</v>
      </c>
      <c r="AZ71" s="488">
        <v>28000000</v>
      </c>
      <c r="BA71" s="490">
        <v>28000000</v>
      </c>
      <c r="BB71" s="486">
        <v>69000000</v>
      </c>
      <c r="BC71" s="486">
        <v>0</v>
      </c>
      <c r="BD71" s="486">
        <v>0</v>
      </c>
      <c r="BE71" s="486">
        <v>0</v>
      </c>
      <c r="BF71" s="486">
        <v>0</v>
      </c>
      <c r="BG71" s="486">
        <v>0</v>
      </c>
      <c r="BH71" s="486">
        <v>0</v>
      </c>
      <c r="BI71" s="486">
        <v>0</v>
      </c>
      <c r="BJ71" s="487">
        <v>69000000</v>
      </c>
      <c r="BK71" s="486">
        <v>10028000000</v>
      </c>
      <c r="BL71" s="486">
        <v>0</v>
      </c>
      <c r="BM71" s="486">
        <v>0</v>
      </c>
      <c r="BN71" s="488">
        <v>10028000000</v>
      </c>
      <c r="BO71" s="490">
        <v>10097000000</v>
      </c>
      <c r="BP71" s="486">
        <v>70000000</v>
      </c>
      <c r="BQ71" s="486">
        <v>0</v>
      </c>
      <c r="BR71" s="486">
        <v>0</v>
      </c>
      <c r="BS71" s="486">
        <v>0</v>
      </c>
      <c r="BT71" s="486">
        <v>0</v>
      </c>
      <c r="BU71" s="486">
        <v>0</v>
      </c>
      <c r="BV71" s="486">
        <v>0</v>
      </c>
      <c r="BW71" s="486">
        <v>0</v>
      </c>
      <c r="BX71" s="487">
        <v>70000000</v>
      </c>
      <c r="BY71" s="486">
        <v>10028000000</v>
      </c>
      <c r="BZ71" s="486">
        <v>0</v>
      </c>
      <c r="CA71" s="486">
        <v>0</v>
      </c>
      <c r="CB71" s="488">
        <v>10028000000</v>
      </c>
      <c r="CC71" s="491">
        <v>10098000000</v>
      </c>
      <c r="CD71" s="492">
        <v>24751000000</v>
      </c>
      <c r="CE71" s="493">
        <f t="shared" si="4"/>
        <v>139000000</v>
      </c>
      <c r="CF71" s="493">
        <f t="shared" si="4"/>
        <v>0</v>
      </c>
      <c r="CG71" s="493">
        <f t="shared" si="4"/>
        <v>0</v>
      </c>
      <c r="CH71" s="493">
        <f t="shared" si="4"/>
        <v>0</v>
      </c>
      <c r="CI71" s="493">
        <f t="shared" si="4"/>
        <v>0</v>
      </c>
      <c r="CJ71" s="493">
        <f t="shared" si="4"/>
        <v>0</v>
      </c>
      <c r="CK71" s="493">
        <f t="shared" si="4"/>
        <v>4500000000</v>
      </c>
      <c r="CL71" s="493">
        <f t="shared" si="4"/>
        <v>0</v>
      </c>
      <c r="CM71" s="493">
        <f t="shared" si="6"/>
        <v>20112000000</v>
      </c>
      <c r="CN71" s="493">
        <f t="shared" si="6"/>
        <v>0</v>
      </c>
      <c r="CO71" s="493">
        <f t="shared" si="6"/>
        <v>0</v>
      </c>
      <c r="CP71" s="502" t="s">
        <v>6227</v>
      </c>
      <c r="CQ71" s="502" t="s">
        <v>6228</v>
      </c>
    </row>
    <row r="72" spans="1:95" ht="30.45" hidden="1" customHeight="1" thickBot="1">
      <c r="A72" s="555" t="s">
        <v>4101</v>
      </c>
      <c r="B72" s="479">
        <v>70</v>
      </c>
      <c r="C72" s="480" t="s">
        <v>4004</v>
      </c>
      <c r="D72" s="480" t="s">
        <v>4096</v>
      </c>
      <c r="E72" s="480" t="str">
        <f t="shared" si="5"/>
        <v xml:space="preserve">1.4.3 </v>
      </c>
      <c r="F72" s="480" t="s">
        <v>4124</v>
      </c>
      <c r="G72" s="480" t="s">
        <v>4125</v>
      </c>
      <c r="H72" s="481">
        <v>33</v>
      </c>
      <c r="I72" s="480" t="s">
        <v>4098</v>
      </c>
      <c r="J72" s="495">
        <v>330109000</v>
      </c>
      <c r="K72" s="480" t="s">
        <v>4129</v>
      </c>
      <c r="L72" s="480" t="s">
        <v>4131</v>
      </c>
      <c r="M72" s="480" t="s">
        <v>5715</v>
      </c>
      <c r="N72" s="484">
        <v>1</v>
      </c>
      <c r="O72" s="480" t="s">
        <v>4100</v>
      </c>
      <c r="P72" s="500">
        <v>2</v>
      </c>
      <c r="Q72" s="485" t="s">
        <v>5349</v>
      </c>
      <c r="R72" s="485" t="s">
        <v>5353</v>
      </c>
      <c r="S72" s="485" t="s">
        <v>677</v>
      </c>
      <c r="T72" s="485">
        <v>0.41</v>
      </c>
      <c r="U72" s="485" t="s">
        <v>4100</v>
      </c>
      <c r="V72" s="485">
        <v>0.8</v>
      </c>
      <c r="W72" s="485" t="s">
        <v>5354</v>
      </c>
      <c r="X72" s="485">
        <v>16</v>
      </c>
      <c r="Y72" s="485" t="s">
        <v>5355</v>
      </c>
      <c r="Z72" s="486">
        <v>0</v>
      </c>
      <c r="AA72" s="486">
        <v>0</v>
      </c>
      <c r="AB72" s="486">
        <v>0</v>
      </c>
      <c r="AC72" s="486">
        <v>0</v>
      </c>
      <c r="AD72" s="486">
        <v>0</v>
      </c>
      <c r="AE72" s="486">
        <v>0</v>
      </c>
      <c r="AF72" s="486">
        <v>0</v>
      </c>
      <c r="AG72" s="486">
        <v>0</v>
      </c>
      <c r="AH72" s="487">
        <v>0</v>
      </c>
      <c r="AI72" s="486">
        <v>28000000</v>
      </c>
      <c r="AJ72" s="486">
        <v>0</v>
      </c>
      <c r="AK72" s="486">
        <v>0</v>
      </c>
      <c r="AL72" s="488">
        <v>28000000</v>
      </c>
      <c r="AM72" s="489">
        <v>28000000</v>
      </c>
      <c r="AN72" s="486">
        <v>318000000</v>
      </c>
      <c r="AO72" s="486">
        <v>0</v>
      </c>
      <c r="AP72" s="486">
        <v>0</v>
      </c>
      <c r="AQ72" s="486">
        <v>0</v>
      </c>
      <c r="AR72" s="486">
        <v>0</v>
      </c>
      <c r="AS72" s="486">
        <v>0</v>
      </c>
      <c r="AT72" s="486">
        <v>0</v>
      </c>
      <c r="AU72" s="486">
        <v>0</v>
      </c>
      <c r="AV72" s="487">
        <v>318000000</v>
      </c>
      <c r="AW72" s="486">
        <v>28000000</v>
      </c>
      <c r="AX72" s="486">
        <v>0</v>
      </c>
      <c r="AY72" s="486">
        <v>0</v>
      </c>
      <c r="AZ72" s="488">
        <v>28000000</v>
      </c>
      <c r="BA72" s="490">
        <v>346000000</v>
      </c>
      <c r="BB72" s="486">
        <v>19000000</v>
      </c>
      <c r="BC72" s="486">
        <v>0</v>
      </c>
      <c r="BD72" s="486">
        <v>0</v>
      </c>
      <c r="BE72" s="486">
        <v>0</v>
      </c>
      <c r="BF72" s="486">
        <v>0</v>
      </c>
      <c r="BG72" s="486">
        <v>0</v>
      </c>
      <c r="BH72" s="486">
        <v>0</v>
      </c>
      <c r="BI72" s="486">
        <v>0</v>
      </c>
      <c r="BJ72" s="487">
        <v>19000000</v>
      </c>
      <c r="BK72" s="486">
        <v>2028000000</v>
      </c>
      <c r="BL72" s="486">
        <v>0</v>
      </c>
      <c r="BM72" s="486">
        <v>0</v>
      </c>
      <c r="BN72" s="488">
        <v>2028000000</v>
      </c>
      <c r="BO72" s="490">
        <v>2047000000</v>
      </c>
      <c r="BP72" s="486">
        <v>0</v>
      </c>
      <c r="BQ72" s="486">
        <v>0</v>
      </c>
      <c r="BR72" s="486">
        <v>0</v>
      </c>
      <c r="BS72" s="486">
        <v>0</v>
      </c>
      <c r="BT72" s="486">
        <v>0</v>
      </c>
      <c r="BU72" s="486">
        <v>0</v>
      </c>
      <c r="BV72" s="486">
        <v>0</v>
      </c>
      <c r="BW72" s="486">
        <v>0</v>
      </c>
      <c r="BX72" s="487">
        <v>0</v>
      </c>
      <c r="BY72" s="486">
        <v>28000000</v>
      </c>
      <c r="BZ72" s="486">
        <v>0</v>
      </c>
      <c r="CA72" s="486">
        <v>0</v>
      </c>
      <c r="CB72" s="488">
        <v>28000000</v>
      </c>
      <c r="CC72" s="491">
        <v>28000000</v>
      </c>
      <c r="CD72" s="492">
        <v>2449000000</v>
      </c>
      <c r="CE72" s="493">
        <f t="shared" si="4"/>
        <v>337000000</v>
      </c>
      <c r="CF72" s="493">
        <f t="shared" si="4"/>
        <v>0</v>
      </c>
      <c r="CG72" s="493">
        <f t="shared" si="4"/>
        <v>0</v>
      </c>
      <c r="CH72" s="493">
        <f t="shared" si="4"/>
        <v>0</v>
      </c>
      <c r="CI72" s="493">
        <f t="shared" si="4"/>
        <v>0</v>
      </c>
      <c r="CJ72" s="493">
        <f t="shared" si="4"/>
        <v>0</v>
      </c>
      <c r="CK72" s="493">
        <f t="shared" si="4"/>
        <v>0</v>
      </c>
      <c r="CL72" s="493">
        <f t="shared" si="4"/>
        <v>0</v>
      </c>
      <c r="CM72" s="493">
        <f t="shared" si="6"/>
        <v>2112000000</v>
      </c>
      <c r="CN72" s="493">
        <f t="shared" si="6"/>
        <v>0</v>
      </c>
      <c r="CO72" s="493">
        <f t="shared" si="6"/>
        <v>0</v>
      </c>
      <c r="CP72" s="502" t="s">
        <v>6227</v>
      </c>
      <c r="CQ72" s="502" t="s">
        <v>6228</v>
      </c>
    </row>
    <row r="73" spans="1:95" ht="30.45" hidden="1" customHeight="1" thickBot="1">
      <c r="A73" s="555" t="s">
        <v>4101</v>
      </c>
      <c r="B73" s="479">
        <v>71</v>
      </c>
      <c r="C73" s="480" t="s">
        <v>4004</v>
      </c>
      <c r="D73" s="480" t="s">
        <v>4096</v>
      </c>
      <c r="E73" s="480" t="str">
        <f t="shared" si="5"/>
        <v xml:space="preserve">1.4.3 </v>
      </c>
      <c r="F73" s="480" t="s">
        <v>4124</v>
      </c>
      <c r="G73" s="480" t="s">
        <v>4125</v>
      </c>
      <c r="H73" s="481">
        <v>33</v>
      </c>
      <c r="I73" s="480" t="s">
        <v>4132</v>
      </c>
      <c r="J73" s="495">
        <v>330109400</v>
      </c>
      <c r="K73" s="480" t="s">
        <v>4032</v>
      </c>
      <c r="L73" s="480" t="s">
        <v>4133</v>
      </c>
      <c r="M73" s="480" t="s">
        <v>5716</v>
      </c>
      <c r="N73" s="484">
        <v>6</v>
      </c>
      <c r="O73" s="480" t="s">
        <v>4100</v>
      </c>
      <c r="P73" s="500">
        <v>10</v>
      </c>
      <c r="Q73" s="485" t="s">
        <v>5349</v>
      </c>
      <c r="R73" s="485" t="s">
        <v>5353</v>
      </c>
      <c r="S73" s="485" t="s">
        <v>677</v>
      </c>
      <c r="T73" s="485">
        <v>0.41</v>
      </c>
      <c r="U73" s="485" t="s">
        <v>4100</v>
      </c>
      <c r="V73" s="485">
        <v>0.8</v>
      </c>
      <c r="W73" s="485" t="s">
        <v>5354</v>
      </c>
      <c r="X73" s="485">
        <v>16</v>
      </c>
      <c r="Y73" s="485" t="s">
        <v>5355</v>
      </c>
      <c r="Z73" s="486">
        <v>0</v>
      </c>
      <c r="AA73" s="486">
        <v>0</v>
      </c>
      <c r="AB73" s="486">
        <v>0</v>
      </c>
      <c r="AC73" s="486">
        <v>0</v>
      </c>
      <c r="AD73" s="486">
        <v>0</v>
      </c>
      <c r="AE73" s="486">
        <v>0</v>
      </c>
      <c r="AF73" s="486">
        <v>0</v>
      </c>
      <c r="AG73" s="486">
        <v>0</v>
      </c>
      <c r="AH73" s="487">
        <v>0</v>
      </c>
      <c r="AI73" s="486">
        <v>28000000</v>
      </c>
      <c r="AJ73" s="486">
        <v>0</v>
      </c>
      <c r="AK73" s="486">
        <v>0</v>
      </c>
      <c r="AL73" s="488">
        <v>28000000</v>
      </c>
      <c r="AM73" s="489">
        <v>28000000</v>
      </c>
      <c r="AN73" s="486">
        <v>68000000</v>
      </c>
      <c r="AO73" s="486">
        <v>0</v>
      </c>
      <c r="AP73" s="486">
        <v>0</v>
      </c>
      <c r="AQ73" s="486">
        <v>0</v>
      </c>
      <c r="AR73" s="486">
        <v>0</v>
      </c>
      <c r="AS73" s="486">
        <v>0</v>
      </c>
      <c r="AT73" s="486">
        <v>0</v>
      </c>
      <c r="AU73" s="486">
        <v>0</v>
      </c>
      <c r="AV73" s="487">
        <v>68000000</v>
      </c>
      <c r="AW73" s="486">
        <v>28000000</v>
      </c>
      <c r="AX73" s="486">
        <v>0</v>
      </c>
      <c r="AY73" s="486">
        <v>0</v>
      </c>
      <c r="AZ73" s="488">
        <v>28000000</v>
      </c>
      <c r="BA73" s="490">
        <v>96000000</v>
      </c>
      <c r="BB73" s="486">
        <v>69000000</v>
      </c>
      <c r="BC73" s="486">
        <v>0</v>
      </c>
      <c r="BD73" s="486">
        <v>0</v>
      </c>
      <c r="BE73" s="486">
        <v>0</v>
      </c>
      <c r="BF73" s="486">
        <v>0</v>
      </c>
      <c r="BG73" s="486">
        <v>0</v>
      </c>
      <c r="BH73" s="486">
        <v>0</v>
      </c>
      <c r="BI73" s="486">
        <v>0</v>
      </c>
      <c r="BJ73" s="487">
        <v>69000000</v>
      </c>
      <c r="BK73" s="486">
        <v>28000000</v>
      </c>
      <c r="BL73" s="486">
        <v>0</v>
      </c>
      <c r="BM73" s="486">
        <v>0</v>
      </c>
      <c r="BN73" s="488">
        <v>28000000</v>
      </c>
      <c r="BO73" s="490">
        <v>97000000</v>
      </c>
      <c r="BP73" s="486">
        <v>0</v>
      </c>
      <c r="BQ73" s="486">
        <v>0</v>
      </c>
      <c r="BR73" s="486">
        <v>0</v>
      </c>
      <c r="BS73" s="486">
        <v>0</v>
      </c>
      <c r="BT73" s="486">
        <v>0</v>
      </c>
      <c r="BU73" s="486">
        <v>0</v>
      </c>
      <c r="BV73" s="486">
        <v>0</v>
      </c>
      <c r="BW73" s="486">
        <v>0</v>
      </c>
      <c r="BX73" s="487">
        <v>0</v>
      </c>
      <c r="BY73" s="486">
        <v>28000000</v>
      </c>
      <c r="BZ73" s="486">
        <v>0</v>
      </c>
      <c r="CA73" s="486">
        <v>0</v>
      </c>
      <c r="CB73" s="488">
        <v>28000000</v>
      </c>
      <c r="CC73" s="491">
        <v>28000000</v>
      </c>
      <c r="CD73" s="492">
        <v>249000000</v>
      </c>
      <c r="CE73" s="493">
        <f t="shared" si="4"/>
        <v>137000000</v>
      </c>
      <c r="CF73" s="493">
        <f t="shared" si="4"/>
        <v>0</v>
      </c>
      <c r="CG73" s="493">
        <f t="shared" si="4"/>
        <v>0</v>
      </c>
      <c r="CH73" s="493">
        <f t="shared" si="4"/>
        <v>0</v>
      </c>
      <c r="CI73" s="493">
        <f t="shared" si="4"/>
        <v>0</v>
      </c>
      <c r="CJ73" s="493">
        <f t="shared" si="4"/>
        <v>0</v>
      </c>
      <c r="CK73" s="493">
        <f t="shared" si="4"/>
        <v>0</v>
      </c>
      <c r="CL73" s="493">
        <f t="shared" si="4"/>
        <v>0</v>
      </c>
      <c r="CM73" s="493">
        <f t="shared" si="6"/>
        <v>112000000</v>
      </c>
      <c r="CN73" s="493">
        <f t="shared" si="6"/>
        <v>0</v>
      </c>
      <c r="CO73" s="493">
        <f t="shared" si="6"/>
        <v>0</v>
      </c>
      <c r="CP73" s="494">
        <v>11</v>
      </c>
      <c r="CQ73" s="494" t="s">
        <v>5358</v>
      </c>
    </row>
    <row r="74" spans="1:95" ht="30.45" hidden="1" customHeight="1" thickBot="1">
      <c r="A74" s="555" t="s">
        <v>4101</v>
      </c>
      <c r="B74" s="479">
        <v>72</v>
      </c>
      <c r="C74" s="480" t="s">
        <v>4004</v>
      </c>
      <c r="D74" s="480" t="s">
        <v>4096</v>
      </c>
      <c r="E74" s="480" t="str">
        <f t="shared" si="5"/>
        <v xml:space="preserve">1.4.3 </v>
      </c>
      <c r="F74" s="480" t="s">
        <v>4124</v>
      </c>
      <c r="G74" s="480" t="s">
        <v>4125</v>
      </c>
      <c r="H74" s="481">
        <v>33</v>
      </c>
      <c r="I74" s="480" t="s">
        <v>4098</v>
      </c>
      <c r="J74" s="495">
        <v>330111000</v>
      </c>
      <c r="K74" s="480" t="s">
        <v>4134</v>
      </c>
      <c r="L74" s="480" t="s">
        <v>4135</v>
      </c>
      <c r="M74" s="480" t="s">
        <v>5717</v>
      </c>
      <c r="N74" s="499">
        <v>0</v>
      </c>
      <c r="O74" s="480" t="s">
        <v>4100</v>
      </c>
      <c r="P74" s="500">
        <v>1</v>
      </c>
      <c r="Q74" s="485" t="s">
        <v>5349</v>
      </c>
      <c r="R74" s="485" t="s">
        <v>5353</v>
      </c>
      <c r="S74" s="485" t="s">
        <v>677</v>
      </c>
      <c r="T74" s="485">
        <v>0.41</v>
      </c>
      <c r="U74" s="485" t="s">
        <v>4100</v>
      </c>
      <c r="V74" s="485">
        <v>0.8</v>
      </c>
      <c r="W74" s="485" t="s">
        <v>5354</v>
      </c>
      <c r="X74" s="485">
        <v>16</v>
      </c>
      <c r="Y74" s="485" t="s">
        <v>5355</v>
      </c>
      <c r="Z74" s="486">
        <v>0</v>
      </c>
      <c r="AA74" s="486">
        <v>0</v>
      </c>
      <c r="AB74" s="486">
        <v>0</v>
      </c>
      <c r="AC74" s="486">
        <v>0</v>
      </c>
      <c r="AD74" s="486">
        <v>0</v>
      </c>
      <c r="AE74" s="486">
        <v>0</v>
      </c>
      <c r="AF74" s="486">
        <v>0</v>
      </c>
      <c r="AG74" s="486">
        <v>0</v>
      </c>
      <c r="AH74" s="487">
        <v>0</v>
      </c>
      <c r="AI74" s="486">
        <v>28000000</v>
      </c>
      <c r="AJ74" s="486">
        <v>0</v>
      </c>
      <c r="AK74" s="486">
        <v>0</v>
      </c>
      <c r="AL74" s="488">
        <v>28000000</v>
      </c>
      <c r="AM74" s="489">
        <v>28000000</v>
      </c>
      <c r="AN74" s="486">
        <v>118000000</v>
      </c>
      <c r="AO74" s="486">
        <v>0</v>
      </c>
      <c r="AP74" s="486">
        <v>0</v>
      </c>
      <c r="AQ74" s="486">
        <v>0</v>
      </c>
      <c r="AR74" s="486">
        <v>0</v>
      </c>
      <c r="AS74" s="486">
        <v>0</v>
      </c>
      <c r="AT74" s="486">
        <v>0</v>
      </c>
      <c r="AU74" s="486">
        <v>0</v>
      </c>
      <c r="AV74" s="487">
        <v>118000000</v>
      </c>
      <c r="AW74" s="486">
        <v>3028000000</v>
      </c>
      <c r="AX74" s="486">
        <v>0</v>
      </c>
      <c r="AY74" s="486">
        <v>0</v>
      </c>
      <c r="AZ74" s="488">
        <v>3028000000</v>
      </c>
      <c r="BA74" s="490">
        <v>3146000000</v>
      </c>
      <c r="BB74" s="486">
        <v>19000000</v>
      </c>
      <c r="BC74" s="486">
        <v>0</v>
      </c>
      <c r="BD74" s="486">
        <v>0</v>
      </c>
      <c r="BE74" s="486">
        <v>0</v>
      </c>
      <c r="BF74" s="486">
        <v>0</v>
      </c>
      <c r="BG74" s="486">
        <v>0</v>
      </c>
      <c r="BH74" s="486">
        <v>0</v>
      </c>
      <c r="BI74" s="486">
        <v>0</v>
      </c>
      <c r="BJ74" s="487">
        <v>19000000</v>
      </c>
      <c r="BK74" s="486">
        <v>28000000</v>
      </c>
      <c r="BL74" s="486">
        <v>0</v>
      </c>
      <c r="BM74" s="486">
        <v>0</v>
      </c>
      <c r="BN74" s="488">
        <v>28000000</v>
      </c>
      <c r="BO74" s="490">
        <v>47000000</v>
      </c>
      <c r="BP74" s="486">
        <v>0</v>
      </c>
      <c r="BQ74" s="486">
        <v>0</v>
      </c>
      <c r="BR74" s="486">
        <v>0</v>
      </c>
      <c r="BS74" s="486">
        <v>0</v>
      </c>
      <c r="BT74" s="486">
        <v>0</v>
      </c>
      <c r="BU74" s="486">
        <v>0</v>
      </c>
      <c r="BV74" s="486">
        <v>0</v>
      </c>
      <c r="BW74" s="486">
        <v>0</v>
      </c>
      <c r="BX74" s="487">
        <v>0</v>
      </c>
      <c r="BY74" s="486">
        <v>28000000</v>
      </c>
      <c r="BZ74" s="486">
        <v>0</v>
      </c>
      <c r="CA74" s="486">
        <v>0</v>
      </c>
      <c r="CB74" s="488">
        <v>28000000</v>
      </c>
      <c r="CC74" s="491">
        <v>28000000</v>
      </c>
      <c r="CD74" s="492">
        <v>3249000000</v>
      </c>
      <c r="CE74" s="493">
        <f t="shared" si="4"/>
        <v>137000000</v>
      </c>
      <c r="CF74" s="493">
        <f t="shared" si="4"/>
        <v>0</v>
      </c>
      <c r="CG74" s="493">
        <f t="shared" si="4"/>
        <v>0</v>
      </c>
      <c r="CH74" s="493">
        <f t="shared" si="4"/>
        <v>0</v>
      </c>
      <c r="CI74" s="493">
        <f t="shared" si="4"/>
        <v>0</v>
      </c>
      <c r="CJ74" s="493">
        <f t="shared" si="4"/>
        <v>0</v>
      </c>
      <c r="CK74" s="493">
        <f t="shared" si="4"/>
        <v>0</v>
      </c>
      <c r="CL74" s="493">
        <f t="shared" si="4"/>
        <v>0</v>
      </c>
      <c r="CM74" s="493">
        <f t="shared" si="6"/>
        <v>3112000000</v>
      </c>
      <c r="CN74" s="493">
        <f t="shared" si="6"/>
        <v>0</v>
      </c>
      <c r="CO74" s="493">
        <f t="shared" si="6"/>
        <v>0</v>
      </c>
      <c r="CP74" s="494">
        <v>10</v>
      </c>
      <c r="CQ74" s="494" t="s">
        <v>862</v>
      </c>
    </row>
    <row r="75" spans="1:95" ht="30.45" hidden="1" customHeight="1" thickBot="1">
      <c r="A75" s="555" t="s">
        <v>4101</v>
      </c>
      <c r="B75" s="479">
        <v>73</v>
      </c>
      <c r="C75" s="480" t="s">
        <v>4004</v>
      </c>
      <c r="D75" s="480" t="s">
        <v>4096</v>
      </c>
      <c r="E75" s="480" t="str">
        <f t="shared" si="5"/>
        <v xml:space="preserve">1.4.3 </v>
      </c>
      <c r="F75" s="480" t="s">
        <v>4124</v>
      </c>
      <c r="G75" s="480" t="s">
        <v>4125</v>
      </c>
      <c r="H75" s="481">
        <v>33</v>
      </c>
      <c r="I75" s="480" t="s">
        <v>4098</v>
      </c>
      <c r="J75" s="495">
        <v>330112200</v>
      </c>
      <c r="K75" s="480" t="s">
        <v>4008</v>
      </c>
      <c r="L75" s="480" t="s">
        <v>4136</v>
      </c>
      <c r="M75" s="480" t="s">
        <v>5718</v>
      </c>
      <c r="N75" s="484">
        <v>2000</v>
      </c>
      <c r="O75" s="480" t="s">
        <v>4100</v>
      </c>
      <c r="P75" s="500">
        <v>6000</v>
      </c>
      <c r="Q75" s="485" t="s">
        <v>5349</v>
      </c>
      <c r="R75" s="485" t="s">
        <v>5353</v>
      </c>
      <c r="S75" s="485" t="s">
        <v>677</v>
      </c>
      <c r="T75" s="485">
        <v>0.41</v>
      </c>
      <c r="U75" s="485" t="s">
        <v>4100</v>
      </c>
      <c r="V75" s="485">
        <v>0.8</v>
      </c>
      <c r="W75" s="485" t="s">
        <v>5354</v>
      </c>
      <c r="X75" s="485">
        <v>16</v>
      </c>
      <c r="Y75" s="485" t="s">
        <v>5355</v>
      </c>
      <c r="Z75" s="486">
        <v>47000000</v>
      </c>
      <c r="AA75" s="486">
        <v>0</v>
      </c>
      <c r="AB75" s="486">
        <v>0</v>
      </c>
      <c r="AC75" s="486">
        <v>0</v>
      </c>
      <c r="AD75" s="486">
        <v>0</v>
      </c>
      <c r="AE75" s="486">
        <v>0</v>
      </c>
      <c r="AF75" s="486">
        <v>0</v>
      </c>
      <c r="AG75" s="486">
        <v>0</v>
      </c>
      <c r="AH75" s="487">
        <v>47000000</v>
      </c>
      <c r="AI75" s="486">
        <v>28000000</v>
      </c>
      <c r="AJ75" s="486">
        <v>0</v>
      </c>
      <c r="AK75" s="486">
        <v>0</v>
      </c>
      <c r="AL75" s="488">
        <v>28000000</v>
      </c>
      <c r="AM75" s="489">
        <v>75000000</v>
      </c>
      <c r="AN75" s="486">
        <v>48000000</v>
      </c>
      <c r="AO75" s="486">
        <v>0</v>
      </c>
      <c r="AP75" s="486">
        <v>0</v>
      </c>
      <c r="AQ75" s="486">
        <v>0</v>
      </c>
      <c r="AR75" s="486">
        <v>0</v>
      </c>
      <c r="AS75" s="486">
        <v>0</v>
      </c>
      <c r="AT75" s="486">
        <v>0</v>
      </c>
      <c r="AU75" s="486">
        <v>0</v>
      </c>
      <c r="AV75" s="487">
        <v>48000000</v>
      </c>
      <c r="AW75" s="486">
        <v>28000000</v>
      </c>
      <c r="AX75" s="486">
        <v>0</v>
      </c>
      <c r="AY75" s="486">
        <v>0</v>
      </c>
      <c r="AZ75" s="488">
        <v>28000000</v>
      </c>
      <c r="BA75" s="490">
        <v>76000000</v>
      </c>
      <c r="BB75" s="486">
        <v>49000000</v>
      </c>
      <c r="BC75" s="486">
        <v>0</v>
      </c>
      <c r="BD75" s="486">
        <v>0</v>
      </c>
      <c r="BE75" s="486">
        <v>0</v>
      </c>
      <c r="BF75" s="486">
        <v>0</v>
      </c>
      <c r="BG75" s="486">
        <v>0</v>
      </c>
      <c r="BH75" s="486">
        <v>0</v>
      </c>
      <c r="BI75" s="486">
        <v>0</v>
      </c>
      <c r="BJ75" s="487">
        <v>49000000</v>
      </c>
      <c r="BK75" s="486">
        <v>28000000</v>
      </c>
      <c r="BL75" s="486">
        <v>0</v>
      </c>
      <c r="BM75" s="486">
        <v>0</v>
      </c>
      <c r="BN75" s="488">
        <v>28000000</v>
      </c>
      <c r="BO75" s="490">
        <v>77000000</v>
      </c>
      <c r="BP75" s="486">
        <v>50000000</v>
      </c>
      <c r="BQ75" s="486">
        <v>0</v>
      </c>
      <c r="BR75" s="486">
        <v>0</v>
      </c>
      <c r="BS75" s="486">
        <v>0</v>
      </c>
      <c r="BT75" s="486">
        <v>0</v>
      </c>
      <c r="BU75" s="486">
        <v>0</v>
      </c>
      <c r="BV75" s="486">
        <v>0</v>
      </c>
      <c r="BW75" s="486">
        <v>0</v>
      </c>
      <c r="BX75" s="487">
        <v>50000000</v>
      </c>
      <c r="BY75" s="486">
        <v>28000000</v>
      </c>
      <c r="BZ75" s="486">
        <v>0</v>
      </c>
      <c r="CA75" s="486">
        <v>0</v>
      </c>
      <c r="CB75" s="488">
        <v>28000000</v>
      </c>
      <c r="CC75" s="491">
        <v>78000000</v>
      </c>
      <c r="CD75" s="492">
        <v>306000000</v>
      </c>
      <c r="CE75" s="493">
        <f t="shared" si="4"/>
        <v>194000000</v>
      </c>
      <c r="CF75" s="493">
        <f t="shared" si="4"/>
        <v>0</v>
      </c>
      <c r="CG75" s="493">
        <f t="shared" si="4"/>
        <v>0</v>
      </c>
      <c r="CH75" s="493">
        <f t="shared" si="4"/>
        <v>0</v>
      </c>
      <c r="CI75" s="493">
        <f t="shared" si="4"/>
        <v>0</v>
      </c>
      <c r="CJ75" s="493">
        <f t="shared" si="4"/>
        <v>0</v>
      </c>
      <c r="CK75" s="493">
        <f t="shared" si="4"/>
        <v>0</v>
      </c>
      <c r="CL75" s="493">
        <f t="shared" si="4"/>
        <v>0</v>
      </c>
      <c r="CM75" s="493">
        <f t="shared" si="6"/>
        <v>112000000</v>
      </c>
      <c r="CN75" s="493">
        <f t="shared" si="6"/>
        <v>0</v>
      </c>
      <c r="CO75" s="493">
        <f t="shared" si="6"/>
        <v>0</v>
      </c>
      <c r="CP75" s="494">
        <v>10</v>
      </c>
      <c r="CQ75" s="494" t="s">
        <v>862</v>
      </c>
    </row>
    <row r="76" spans="1:95" ht="30.45" hidden="1" customHeight="1" thickBot="1">
      <c r="A76" s="555" t="s">
        <v>4101</v>
      </c>
      <c r="B76" s="479">
        <v>74</v>
      </c>
      <c r="C76" s="480" t="s">
        <v>4004</v>
      </c>
      <c r="D76" s="480" t="s">
        <v>4096</v>
      </c>
      <c r="E76" s="480" t="str">
        <f t="shared" si="5"/>
        <v xml:space="preserve">1.4.3 </v>
      </c>
      <c r="F76" s="480" t="s">
        <v>4124</v>
      </c>
      <c r="G76" s="480" t="s">
        <v>4125</v>
      </c>
      <c r="H76" s="481">
        <v>33</v>
      </c>
      <c r="I76" s="480" t="s">
        <v>4098</v>
      </c>
      <c r="J76" s="495">
        <v>330112800</v>
      </c>
      <c r="K76" s="480" t="s">
        <v>4137</v>
      </c>
      <c r="L76" s="480" t="s">
        <v>4138</v>
      </c>
      <c r="M76" s="480" t="s">
        <v>5718</v>
      </c>
      <c r="N76" s="484">
        <v>210</v>
      </c>
      <c r="O76" s="480" t="s">
        <v>4100</v>
      </c>
      <c r="P76" s="500">
        <v>310</v>
      </c>
      <c r="Q76" s="485" t="s">
        <v>5349</v>
      </c>
      <c r="R76" s="485" t="s">
        <v>5353</v>
      </c>
      <c r="S76" s="485" t="s">
        <v>677</v>
      </c>
      <c r="T76" s="485">
        <v>0.41</v>
      </c>
      <c r="U76" s="485" t="s">
        <v>4100</v>
      </c>
      <c r="V76" s="485">
        <v>0.8</v>
      </c>
      <c r="W76" s="485" t="s">
        <v>5354</v>
      </c>
      <c r="X76" s="485">
        <v>16</v>
      </c>
      <c r="Y76" s="485" t="s">
        <v>5355</v>
      </c>
      <c r="Z76" s="486">
        <v>17000000</v>
      </c>
      <c r="AA76" s="486">
        <v>610000000</v>
      </c>
      <c r="AB76" s="486">
        <v>0</v>
      </c>
      <c r="AC76" s="486">
        <v>0</v>
      </c>
      <c r="AD76" s="486">
        <v>0</v>
      </c>
      <c r="AE76" s="486">
        <v>0</v>
      </c>
      <c r="AF76" s="486">
        <v>0</v>
      </c>
      <c r="AG76" s="486">
        <v>0</v>
      </c>
      <c r="AH76" s="487">
        <v>627000000</v>
      </c>
      <c r="AI76" s="486">
        <v>231300000</v>
      </c>
      <c r="AJ76" s="486">
        <v>0</v>
      </c>
      <c r="AK76" s="486">
        <v>0</v>
      </c>
      <c r="AL76" s="488">
        <v>231300000</v>
      </c>
      <c r="AM76" s="489">
        <v>858300000</v>
      </c>
      <c r="AN76" s="486">
        <v>18000000</v>
      </c>
      <c r="AO76" s="486">
        <v>634400000</v>
      </c>
      <c r="AP76" s="486">
        <v>0</v>
      </c>
      <c r="AQ76" s="486">
        <v>0</v>
      </c>
      <c r="AR76" s="486">
        <v>0</v>
      </c>
      <c r="AS76" s="486">
        <v>0</v>
      </c>
      <c r="AT76" s="486">
        <v>0</v>
      </c>
      <c r="AU76" s="486">
        <v>0</v>
      </c>
      <c r="AV76" s="487">
        <v>652400000</v>
      </c>
      <c r="AW76" s="486">
        <v>239432000</v>
      </c>
      <c r="AX76" s="486">
        <v>0</v>
      </c>
      <c r="AY76" s="486">
        <v>0</v>
      </c>
      <c r="AZ76" s="488">
        <v>239432000</v>
      </c>
      <c r="BA76" s="490">
        <v>891832000</v>
      </c>
      <c r="BB76" s="486">
        <v>19000000</v>
      </c>
      <c r="BC76" s="486">
        <v>659776000</v>
      </c>
      <c r="BD76" s="486">
        <v>0</v>
      </c>
      <c r="BE76" s="486">
        <v>0</v>
      </c>
      <c r="BF76" s="486">
        <v>0</v>
      </c>
      <c r="BG76" s="486">
        <v>0</v>
      </c>
      <c r="BH76" s="486">
        <v>0</v>
      </c>
      <c r="BI76" s="486">
        <v>0</v>
      </c>
      <c r="BJ76" s="487">
        <v>678776000</v>
      </c>
      <c r="BK76" s="486">
        <v>247889280</v>
      </c>
      <c r="BL76" s="486">
        <v>0</v>
      </c>
      <c r="BM76" s="486">
        <v>0</v>
      </c>
      <c r="BN76" s="488">
        <v>247889280</v>
      </c>
      <c r="BO76" s="490">
        <v>926665280</v>
      </c>
      <c r="BP76" s="486">
        <v>20000000</v>
      </c>
      <c r="BQ76" s="486">
        <v>686167040</v>
      </c>
      <c r="BR76" s="486">
        <v>0</v>
      </c>
      <c r="BS76" s="486">
        <v>0</v>
      </c>
      <c r="BT76" s="486">
        <v>0</v>
      </c>
      <c r="BU76" s="486">
        <v>0</v>
      </c>
      <c r="BV76" s="486">
        <v>0</v>
      </c>
      <c r="BW76" s="486">
        <v>0</v>
      </c>
      <c r="BX76" s="487">
        <v>706167040</v>
      </c>
      <c r="BY76" s="486">
        <v>256684851</v>
      </c>
      <c r="BZ76" s="486">
        <v>0</v>
      </c>
      <c r="CA76" s="486">
        <v>0</v>
      </c>
      <c r="CB76" s="488">
        <v>256684851</v>
      </c>
      <c r="CC76" s="491">
        <v>962851891</v>
      </c>
      <c r="CD76" s="492">
        <v>3639649171</v>
      </c>
      <c r="CE76" s="493">
        <f t="shared" si="4"/>
        <v>74000000</v>
      </c>
      <c r="CF76" s="493">
        <f t="shared" si="4"/>
        <v>2590343040</v>
      </c>
      <c r="CG76" s="493">
        <f t="shared" si="4"/>
        <v>0</v>
      </c>
      <c r="CH76" s="493">
        <f t="shared" si="4"/>
        <v>0</v>
      </c>
      <c r="CI76" s="493">
        <f t="shared" si="4"/>
        <v>0</v>
      </c>
      <c r="CJ76" s="493">
        <f t="shared" si="4"/>
        <v>0</v>
      </c>
      <c r="CK76" s="493">
        <f t="shared" si="4"/>
        <v>0</v>
      </c>
      <c r="CL76" s="493">
        <f t="shared" si="4"/>
        <v>0</v>
      </c>
      <c r="CM76" s="493">
        <f t="shared" si="6"/>
        <v>975306131</v>
      </c>
      <c r="CN76" s="493">
        <f t="shared" si="6"/>
        <v>0</v>
      </c>
      <c r="CO76" s="493">
        <f t="shared" si="6"/>
        <v>0</v>
      </c>
      <c r="CP76" s="494">
        <v>10</v>
      </c>
      <c r="CQ76" s="494" t="s">
        <v>862</v>
      </c>
    </row>
    <row r="77" spans="1:95" ht="30.45" hidden="1" customHeight="1" thickBot="1">
      <c r="A77" s="555" t="s">
        <v>4101</v>
      </c>
      <c r="B77" s="479">
        <v>75</v>
      </c>
      <c r="C77" s="480" t="s">
        <v>4004</v>
      </c>
      <c r="D77" s="480" t="s">
        <v>4096</v>
      </c>
      <c r="E77" s="480" t="str">
        <f t="shared" si="5"/>
        <v xml:space="preserve">1.4.3 </v>
      </c>
      <c r="F77" s="480" t="s">
        <v>4124</v>
      </c>
      <c r="G77" s="480" t="s">
        <v>4125</v>
      </c>
      <c r="H77" s="481">
        <v>33</v>
      </c>
      <c r="I77" s="480" t="s">
        <v>4098</v>
      </c>
      <c r="J77" s="495">
        <v>330109500</v>
      </c>
      <c r="K77" s="480" t="s">
        <v>4008</v>
      </c>
      <c r="L77" s="480" t="s">
        <v>4111</v>
      </c>
      <c r="M77" s="480" t="s">
        <v>5719</v>
      </c>
      <c r="N77" s="484">
        <v>123</v>
      </c>
      <c r="O77" s="480" t="s">
        <v>4100</v>
      </c>
      <c r="P77" s="500">
        <v>123</v>
      </c>
      <c r="Q77" s="485" t="s">
        <v>5349</v>
      </c>
      <c r="R77" s="485" t="s">
        <v>5353</v>
      </c>
      <c r="S77" s="485" t="s">
        <v>677</v>
      </c>
      <c r="T77" s="485">
        <v>0.41</v>
      </c>
      <c r="U77" s="485" t="s">
        <v>4100</v>
      </c>
      <c r="V77" s="485">
        <v>0.8</v>
      </c>
      <c r="W77" s="485" t="s">
        <v>5354</v>
      </c>
      <c r="X77" s="485">
        <v>16</v>
      </c>
      <c r="Y77" s="485" t="s">
        <v>5355</v>
      </c>
      <c r="Z77" s="486">
        <v>0</v>
      </c>
      <c r="AA77" s="486">
        <v>20000000</v>
      </c>
      <c r="AB77" s="486">
        <v>0</v>
      </c>
      <c r="AC77" s="486">
        <v>0</v>
      </c>
      <c r="AD77" s="486">
        <v>0</v>
      </c>
      <c r="AE77" s="486">
        <v>0</v>
      </c>
      <c r="AF77" s="486">
        <v>0</v>
      </c>
      <c r="AG77" s="486">
        <v>0</v>
      </c>
      <c r="AH77" s="487">
        <v>20000000</v>
      </c>
      <c r="AI77" s="486">
        <v>28000000</v>
      </c>
      <c r="AJ77" s="486">
        <v>0</v>
      </c>
      <c r="AK77" s="486">
        <v>0</v>
      </c>
      <c r="AL77" s="488">
        <v>28000000</v>
      </c>
      <c r="AM77" s="489">
        <v>48000000</v>
      </c>
      <c r="AN77" s="486">
        <v>18000000</v>
      </c>
      <c r="AO77" s="486">
        <v>20000000</v>
      </c>
      <c r="AP77" s="486">
        <v>0</v>
      </c>
      <c r="AQ77" s="486">
        <v>0</v>
      </c>
      <c r="AR77" s="486">
        <v>0</v>
      </c>
      <c r="AS77" s="486">
        <v>0</v>
      </c>
      <c r="AT77" s="486">
        <v>0</v>
      </c>
      <c r="AU77" s="486">
        <v>0</v>
      </c>
      <c r="AV77" s="487">
        <v>38000000</v>
      </c>
      <c r="AW77" s="486">
        <v>28000000</v>
      </c>
      <c r="AX77" s="486">
        <v>0</v>
      </c>
      <c r="AY77" s="486">
        <v>0</v>
      </c>
      <c r="AZ77" s="488">
        <v>28000000</v>
      </c>
      <c r="BA77" s="490">
        <v>66000000</v>
      </c>
      <c r="BB77" s="486">
        <v>19000000</v>
      </c>
      <c r="BC77" s="486">
        <v>20000000</v>
      </c>
      <c r="BD77" s="486">
        <v>0</v>
      </c>
      <c r="BE77" s="486">
        <v>0</v>
      </c>
      <c r="BF77" s="486">
        <v>0</v>
      </c>
      <c r="BG77" s="486">
        <v>0</v>
      </c>
      <c r="BH77" s="486">
        <v>0</v>
      </c>
      <c r="BI77" s="486">
        <v>0</v>
      </c>
      <c r="BJ77" s="487">
        <v>39000000</v>
      </c>
      <c r="BK77" s="486">
        <v>28000000</v>
      </c>
      <c r="BL77" s="486">
        <v>0</v>
      </c>
      <c r="BM77" s="486">
        <v>0</v>
      </c>
      <c r="BN77" s="488">
        <v>28000000</v>
      </c>
      <c r="BO77" s="490">
        <v>67000000</v>
      </c>
      <c r="BP77" s="486">
        <v>20000000</v>
      </c>
      <c r="BQ77" s="486">
        <v>20000000</v>
      </c>
      <c r="BR77" s="486">
        <v>0</v>
      </c>
      <c r="BS77" s="486">
        <v>0</v>
      </c>
      <c r="BT77" s="486">
        <v>0</v>
      </c>
      <c r="BU77" s="486">
        <v>0</v>
      </c>
      <c r="BV77" s="486">
        <v>0</v>
      </c>
      <c r="BW77" s="486">
        <v>0</v>
      </c>
      <c r="BX77" s="487">
        <v>40000000</v>
      </c>
      <c r="BY77" s="486">
        <v>28000000</v>
      </c>
      <c r="BZ77" s="486">
        <v>0</v>
      </c>
      <c r="CA77" s="486">
        <v>0</v>
      </c>
      <c r="CB77" s="488">
        <v>28000000</v>
      </c>
      <c r="CC77" s="491">
        <v>68000000</v>
      </c>
      <c r="CD77" s="492">
        <v>249000000</v>
      </c>
      <c r="CE77" s="493">
        <f t="shared" si="4"/>
        <v>57000000</v>
      </c>
      <c r="CF77" s="493">
        <f t="shared" si="4"/>
        <v>80000000</v>
      </c>
      <c r="CG77" s="493">
        <f t="shared" si="4"/>
        <v>0</v>
      </c>
      <c r="CH77" s="493">
        <f t="shared" si="4"/>
        <v>0</v>
      </c>
      <c r="CI77" s="493">
        <f t="shared" si="4"/>
        <v>0</v>
      </c>
      <c r="CJ77" s="493">
        <f t="shared" si="4"/>
        <v>0</v>
      </c>
      <c r="CK77" s="493">
        <f t="shared" si="4"/>
        <v>0</v>
      </c>
      <c r="CL77" s="493">
        <f t="shared" si="4"/>
        <v>0</v>
      </c>
      <c r="CM77" s="493">
        <f t="shared" si="6"/>
        <v>112000000</v>
      </c>
      <c r="CN77" s="493">
        <f t="shared" si="6"/>
        <v>0</v>
      </c>
      <c r="CO77" s="493">
        <f t="shared" si="6"/>
        <v>0</v>
      </c>
      <c r="CP77" s="494">
        <v>10</v>
      </c>
      <c r="CQ77" s="494" t="s">
        <v>862</v>
      </c>
    </row>
    <row r="78" spans="1:95" ht="30.45" hidden="1" customHeight="1" thickBot="1">
      <c r="A78" s="555" t="s">
        <v>4101</v>
      </c>
      <c r="B78" s="479">
        <v>76</v>
      </c>
      <c r="C78" s="480" t="s">
        <v>4004</v>
      </c>
      <c r="D78" s="480" t="s">
        <v>4096</v>
      </c>
      <c r="E78" s="480" t="str">
        <f t="shared" si="5"/>
        <v xml:space="preserve">1.4.3 </v>
      </c>
      <c r="F78" s="480" t="s">
        <v>4124</v>
      </c>
      <c r="G78" s="480" t="s">
        <v>4125</v>
      </c>
      <c r="H78" s="481">
        <v>33</v>
      </c>
      <c r="I78" s="480" t="s">
        <v>4098</v>
      </c>
      <c r="J78" s="495">
        <v>330112000</v>
      </c>
      <c r="K78" s="480" t="s">
        <v>4139</v>
      </c>
      <c r="L78" s="480" t="s">
        <v>4140</v>
      </c>
      <c r="M78" s="480" t="s">
        <v>5720</v>
      </c>
      <c r="N78" s="484">
        <v>4</v>
      </c>
      <c r="O78" s="480" t="s">
        <v>4100</v>
      </c>
      <c r="P78" s="500">
        <v>8</v>
      </c>
      <c r="Q78" s="485" t="s">
        <v>5349</v>
      </c>
      <c r="R78" s="485" t="s">
        <v>5353</v>
      </c>
      <c r="S78" s="485" t="s">
        <v>677</v>
      </c>
      <c r="T78" s="485">
        <v>0.41</v>
      </c>
      <c r="U78" s="485" t="s">
        <v>4100</v>
      </c>
      <c r="V78" s="485">
        <v>0.8</v>
      </c>
      <c r="W78" s="485" t="s">
        <v>5354</v>
      </c>
      <c r="X78" s="485">
        <v>16</v>
      </c>
      <c r="Y78" s="485" t="s">
        <v>5355</v>
      </c>
      <c r="Z78" s="486">
        <v>30000000</v>
      </c>
      <c r="AA78" s="486">
        <v>0</v>
      </c>
      <c r="AB78" s="486">
        <v>0</v>
      </c>
      <c r="AC78" s="486">
        <v>0</v>
      </c>
      <c r="AD78" s="486">
        <v>0</v>
      </c>
      <c r="AE78" s="486">
        <v>0</v>
      </c>
      <c r="AF78" s="486">
        <v>0</v>
      </c>
      <c r="AG78" s="486">
        <v>0</v>
      </c>
      <c r="AH78" s="487">
        <v>30000000</v>
      </c>
      <c r="AI78" s="486">
        <v>28000000</v>
      </c>
      <c r="AJ78" s="486">
        <v>0</v>
      </c>
      <c r="AK78" s="486">
        <v>0</v>
      </c>
      <c r="AL78" s="488">
        <v>28000000</v>
      </c>
      <c r="AM78" s="489">
        <v>58000000</v>
      </c>
      <c r="AN78" s="486">
        <v>48000000</v>
      </c>
      <c r="AO78" s="486">
        <v>0</v>
      </c>
      <c r="AP78" s="486">
        <v>0</v>
      </c>
      <c r="AQ78" s="486">
        <v>0</v>
      </c>
      <c r="AR78" s="486">
        <v>0</v>
      </c>
      <c r="AS78" s="486">
        <v>0</v>
      </c>
      <c r="AT78" s="486">
        <v>0</v>
      </c>
      <c r="AU78" s="486">
        <v>0</v>
      </c>
      <c r="AV78" s="487">
        <v>48000000</v>
      </c>
      <c r="AW78" s="486">
        <v>28000000</v>
      </c>
      <c r="AX78" s="486">
        <v>0</v>
      </c>
      <c r="AY78" s="486">
        <v>0</v>
      </c>
      <c r="AZ78" s="488">
        <v>28000000</v>
      </c>
      <c r="BA78" s="490">
        <v>76000000</v>
      </c>
      <c r="BB78" s="486">
        <v>49000000</v>
      </c>
      <c r="BC78" s="486">
        <v>0</v>
      </c>
      <c r="BD78" s="486">
        <v>0</v>
      </c>
      <c r="BE78" s="486">
        <v>0</v>
      </c>
      <c r="BF78" s="486">
        <v>0</v>
      </c>
      <c r="BG78" s="486">
        <v>0</v>
      </c>
      <c r="BH78" s="486">
        <v>0</v>
      </c>
      <c r="BI78" s="486">
        <v>0</v>
      </c>
      <c r="BJ78" s="487">
        <v>49000000</v>
      </c>
      <c r="BK78" s="486">
        <v>28000000</v>
      </c>
      <c r="BL78" s="486">
        <v>0</v>
      </c>
      <c r="BM78" s="486">
        <v>0</v>
      </c>
      <c r="BN78" s="488">
        <v>28000000</v>
      </c>
      <c r="BO78" s="490">
        <v>77000000</v>
      </c>
      <c r="BP78" s="486">
        <v>30000000</v>
      </c>
      <c r="BQ78" s="486">
        <v>0</v>
      </c>
      <c r="BR78" s="486">
        <v>0</v>
      </c>
      <c r="BS78" s="486">
        <v>0</v>
      </c>
      <c r="BT78" s="486">
        <v>0</v>
      </c>
      <c r="BU78" s="486">
        <v>0</v>
      </c>
      <c r="BV78" s="486">
        <v>0</v>
      </c>
      <c r="BW78" s="486">
        <v>0</v>
      </c>
      <c r="BX78" s="487">
        <v>30000000</v>
      </c>
      <c r="BY78" s="486">
        <v>28000000</v>
      </c>
      <c r="BZ78" s="486">
        <v>0</v>
      </c>
      <c r="CA78" s="486">
        <v>0</v>
      </c>
      <c r="CB78" s="488">
        <v>28000000</v>
      </c>
      <c r="CC78" s="491">
        <v>58000000</v>
      </c>
      <c r="CD78" s="492">
        <v>269000000</v>
      </c>
      <c r="CE78" s="493">
        <f t="shared" si="4"/>
        <v>157000000</v>
      </c>
      <c r="CF78" s="493">
        <f t="shared" si="4"/>
        <v>0</v>
      </c>
      <c r="CG78" s="493">
        <f t="shared" si="4"/>
        <v>0</v>
      </c>
      <c r="CH78" s="493">
        <f t="shared" si="4"/>
        <v>0</v>
      </c>
      <c r="CI78" s="493">
        <f t="shared" si="4"/>
        <v>0</v>
      </c>
      <c r="CJ78" s="493">
        <f t="shared" si="4"/>
        <v>0</v>
      </c>
      <c r="CK78" s="493">
        <f t="shared" si="4"/>
        <v>0</v>
      </c>
      <c r="CL78" s="493">
        <f t="shared" si="4"/>
        <v>0</v>
      </c>
      <c r="CM78" s="493">
        <f t="shared" si="6"/>
        <v>112000000</v>
      </c>
      <c r="CN78" s="493">
        <f t="shared" si="6"/>
        <v>0</v>
      </c>
      <c r="CO78" s="493">
        <f t="shared" si="6"/>
        <v>0</v>
      </c>
      <c r="CP78" s="494">
        <v>10</v>
      </c>
      <c r="CQ78" s="494" t="s">
        <v>862</v>
      </c>
    </row>
    <row r="79" spans="1:95" ht="30.45" hidden="1" customHeight="1" thickBot="1">
      <c r="A79" s="555" t="s">
        <v>4101</v>
      </c>
      <c r="B79" s="479">
        <v>77</v>
      </c>
      <c r="C79" s="480" t="s">
        <v>4004</v>
      </c>
      <c r="D79" s="480" t="s">
        <v>4096</v>
      </c>
      <c r="E79" s="480" t="str">
        <f t="shared" si="5"/>
        <v xml:space="preserve">1.4.4 </v>
      </c>
      <c r="F79" s="480" t="s">
        <v>4141</v>
      </c>
      <c r="G79" s="480" t="s">
        <v>4142</v>
      </c>
      <c r="H79" s="481">
        <v>33</v>
      </c>
      <c r="I79" s="480" t="s">
        <v>4132</v>
      </c>
      <c r="J79" s="495">
        <v>330200203</v>
      </c>
      <c r="K79" s="480" t="s">
        <v>4063</v>
      </c>
      <c r="L79" s="480" t="s">
        <v>4143</v>
      </c>
      <c r="M79" s="480" t="s">
        <v>5721</v>
      </c>
      <c r="N79" s="484">
        <v>3</v>
      </c>
      <c r="O79" s="480" t="s">
        <v>4100</v>
      </c>
      <c r="P79" s="500">
        <v>7</v>
      </c>
      <c r="Q79" s="485" t="s">
        <v>5349</v>
      </c>
      <c r="R79" s="485" t="s">
        <v>5356</v>
      </c>
      <c r="S79" s="485" t="s">
        <v>4959</v>
      </c>
      <c r="T79" s="485">
        <v>117</v>
      </c>
      <c r="U79" s="485" t="s">
        <v>4100</v>
      </c>
      <c r="V79" s="485">
        <v>150</v>
      </c>
      <c r="W79" s="485" t="s">
        <v>5357</v>
      </c>
      <c r="X79" s="485">
        <v>11</v>
      </c>
      <c r="Y79" s="485" t="s">
        <v>5358</v>
      </c>
      <c r="Z79" s="486">
        <v>0</v>
      </c>
      <c r="AA79" s="486">
        <v>0</v>
      </c>
      <c r="AB79" s="486">
        <v>0</v>
      </c>
      <c r="AC79" s="486">
        <v>0</v>
      </c>
      <c r="AD79" s="486">
        <v>0</v>
      </c>
      <c r="AE79" s="486">
        <v>0</v>
      </c>
      <c r="AF79" s="486">
        <v>0</v>
      </c>
      <c r="AG79" s="486">
        <v>0</v>
      </c>
      <c r="AH79" s="487">
        <v>0</v>
      </c>
      <c r="AI79" s="486">
        <v>7000000</v>
      </c>
      <c r="AJ79" s="486">
        <v>0</v>
      </c>
      <c r="AK79" s="486">
        <v>0</v>
      </c>
      <c r="AL79" s="488">
        <v>7000000</v>
      </c>
      <c r="AM79" s="489">
        <v>7000000</v>
      </c>
      <c r="AN79" s="486">
        <v>16000000</v>
      </c>
      <c r="AO79" s="486">
        <v>150000000</v>
      </c>
      <c r="AP79" s="486">
        <v>0</v>
      </c>
      <c r="AQ79" s="486">
        <v>0</v>
      </c>
      <c r="AR79" s="486">
        <v>0</v>
      </c>
      <c r="AS79" s="486">
        <v>0</v>
      </c>
      <c r="AT79" s="486">
        <v>0</v>
      </c>
      <c r="AU79" s="486">
        <v>0</v>
      </c>
      <c r="AV79" s="487">
        <v>166000000</v>
      </c>
      <c r="AW79" s="486">
        <v>7000000</v>
      </c>
      <c r="AX79" s="486">
        <v>0</v>
      </c>
      <c r="AY79" s="486">
        <v>0</v>
      </c>
      <c r="AZ79" s="488">
        <v>7000000</v>
      </c>
      <c r="BA79" s="490">
        <v>173000000</v>
      </c>
      <c r="BB79" s="486">
        <v>0</v>
      </c>
      <c r="BC79" s="486">
        <v>0</v>
      </c>
      <c r="BD79" s="486">
        <v>0</v>
      </c>
      <c r="BE79" s="486">
        <v>0</v>
      </c>
      <c r="BF79" s="486">
        <v>0</v>
      </c>
      <c r="BG79" s="486">
        <v>0</v>
      </c>
      <c r="BH79" s="486">
        <v>0</v>
      </c>
      <c r="BI79" s="486">
        <v>0</v>
      </c>
      <c r="BJ79" s="487">
        <v>0</v>
      </c>
      <c r="BK79" s="486">
        <v>7000000</v>
      </c>
      <c r="BL79" s="486">
        <v>0</v>
      </c>
      <c r="BM79" s="486">
        <v>0</v>
      </c>
      <c r="BN79" s="488">
        <v>7000000</v>
      </c>
      <c r="BO79" s="490">
        <v>7000000</v>
      </c>
      <c r="BP79" s="486">
        <v>0</v>
      </c>
      <c r="BQ79" s="486">
        <v>0</v>
      </c>
      <c r="BR79" s="486">
        <v>0</v>
      </c>
      <c r="BS79" s="486">
        <v>0</v>
      </c>
      <c r="BT79" s="486">
        <v>0</v>
      </c>
      <c r="BU79" s="486">
        <v>0</v>
      </c>
      <c r="BV79" s="486">
        <v>0</v>
      </c>
      <c r="BW79" s="486">
        <v>0</v>
      </c>
      <c r="BX79" s="487">
        <v>0</v>
      </c>
      <c r="BY79" s="486">
        <v>7000000</v>
      </c>
      <c r="BZ79" s="486">
        <v>0</v>
      </c>
      <c r="CA79" s="486">
        <v>0</v>
      </c>
      <c r="CB79" s="488">
        <v>7000000</v>
      </c>
      <c r="CC79" s="491">
        <v>7000000</v>
      </c>
      <c r="CD79" s="492">
        <v>194000000</v>
      </c>
      <c r="CE79" s="493">
        <f t="shared" si="4"/>
        <v>16000000</v>
      </c>
      <c r="CF79" s="493">
        <f t="shared" si="4"/>
        <v>150000000</v>
      </c>
      <c r="CG79" s="493">
        <f t="shared" si="4"/>
        <v>0</v>
      </c>
      <c r="CH79" s="493">
        <f t="shared" si="4"/>
        <v>0</v>
      </c>
      <c r="CI79" s="493">
        <f t="shared" si="4"/>
        <v>0</v>
      </c>
      <c r="CJ79" s="493">
        <f t="shared" si="4"/>
        <v>0</v>
      </c>
      <c r="CK79" s="493">
        <f t="shared" si="4"/>
        <v>0</v>
      </c>
      <c r="CL79" s="493">
        <f t="shared" si="4"/>
        <v>0</v>
      </c>
      <c r="CM79" s="493">
        <f t="shared" si="6"/>
        <v>28000000</v>
      </c>
      <c r="CN79" s="493">
        <f t="shared" si="6"/>
        <v>0</v>
      </c>
      <c r="CO79" s="493">
        <f t="shared" si="6"/>
        <v>0</v>
      </c>
      <c r="CP79" s="494">
        <v>11</v>
      </c>
      <c r="CQ79" s="494" t="s">
        <v>5358</v>
      </c>
    </row>
    <row r="80" spans="1:95" ht="30.45" hidden="1" customHeight="1" thickBot="1">
      <c r="A80" s="555" t="s">
        <v>4101</v>
      </c>
      <c r="B80" s="479">
        <v>78</v>
      </c>
      <c r="C80" s="480" t="s">
        <v>4004</v>
      </c>
      <c r="D80" s="480" t="s">
        <v>4096</v>
      </c>
      <c r="E80" s="480" t="str">
        <f t="shared" si="5"/>
        <v xml:space="preserve">1.4.4 </v>
      </c>
      <c r="F80" s="480" t="s">
        <v>4141</v>
      </c>
      <c r="G80" s="480" t="s">
        <v>4142</v>
      </c>
      <c r="H80" s="481">
        <v>33</v>
      </c>
      <c r="I80" s="480" t="s">
        <v>4132</v>
      </c>
      <c r="J80" s="495">
        <v>330200204</v>
      </c>
      <c r="K80" s="480" t="s">
        <v>4063</v>
      </c>
      <c r="L80" s="480" t="s">
        <v>4144</v>
      </c>
      <c r="M80" s="480" t="s">
        <v>5722</v>
      </c>
      <c r="N80" s="484">
        <v>3</v>
      </c>
      <c r="O80" s="480" t="s">
        <v>4100</v>
      </c>
      <c r="P80" s="500">
        <v>7</v>
      </c>
      <c r="Q80" s="485" t="s">
        <v>5349</v>
      </c>
      <c r="R80" s="485" t="s">
        <v>5356</v>
      </c>
      <c r="S80" s="485" t="s">
        <v>4959</v>
      </c>
      <c r="T80" s="485">
        <v>117</v>
      </c>
      <c r="U80" s="485" t="s">
        <v>4100</v>
      </c>
      <c r="V80" s="485">
        <v>150</v>
      </c>
      <c r="W80" s="485" t="s">
        <v>5357</v>
      </c>
      <c r="X80" s="485">
        <v>11</v>
      </c>
      <c r="Y80" s="485" t="s">
        <v>5358</v>
      </c>
      <c r="Z80" s="486">
        <v>15000000</v>
      </c>
      <c r="AA80" s="486">
        <v>65000000</v>
      </c>
      <c r="AB80" s="486">
        <v>0</v>
      </c>
      <c r="AC80" s="486">
        <v>0</v>
      </c>
      <c r="AD80" s="486">
        <v>0</v>
      </c>
      <c r="AE80" s="486">
        <v>0</v>
      </c>
      <c r="AF80" s="486">
        <v>0</v>
      </c>
      <c r="AG80" s="486">
        <v>0</v>
      </c>
      <c r="AH80" s="487">
        <v>80000000</v>
      </c>
      <c r="AI80" s="486">
        <v>7000000</v>
      </c>
      <c r="AJ80" s="486">
        <v>0</v>
      </c>
      <c r="AK80" s="486">
        <v>0</v>
      </c>
      <c r="AL80" s="488">
        <v>7000000</v>
      </c>
      <c r="AM80" s="489">
        <v>87000000</v>
      </c>
      <c r="AN80" s="486">
        <v>16000000</v>
      </c>
      <c r="AO80" s="486">
        <v>65000000</v>
      </c>
      <c r="AP80" s="486">
        <v>0</v>
      </c>
      <c r="AQ80" s="486">
        <v>0</v>
      </c>
      <c r="AR80" s="486">
        <v>0</v>
      </c>
      <c r="AS80" s="486">
        <v>0</v>
      </c>
      <c r="AT80" s="486">
        <v>0</v>
      </c>
      <c r="AU80" s="486">
        <v>0</v>
      </c>
      <c r="AV80" s="487">
        <v>81000000</v>
      </c>
      <c r="AW80" s="486">
        <v>7000000</v>
      </c>
      <c r="AX80" s="486">
        <v>0</v>
      </c>
      <c r="AY80" s="486">
        <v>0</v>
      </c>
      <c r="AZ80" s="488">
        <v>7000000</v>
      </c>
      <c r="BA80" s="490">
        <v>88000000</v>
      </c>
      <c r="BB80" s="486">
        <v>17000000</v>
      </c>
      <c r="BC80" s="486">
        <v>70000000</v>
      </c>
      <c r="BD80" s="486">
        <v>0</v>
      </c>
      <c r="BE80" s="486">
        <v>0</v>
      </c>
      <c r="BF80" s="486">
        <v>0</v>
      </c>
      <c r="BG80" s="486">
        <v>0</v>
      </c>
      <c r="BH80" s="486">
        <v>0</v>
      </c>
      <c r="BI80" s="486">
        <v>0</v>
      </c>
      <c r="BJ80" s="487">
        <v>87000000</v>
      </c>
      <c r="BK80" s="486">
        <v>7000000</v>
      </c>
      <c r="BL80" s="486">
        <v>0</v>
      </c>
      <c r="BM80" s="486">
        <v>0</v>
      </c>
      <c r="BN80" s="488">
        <v>7000000</v>
      </c>
      <c r="BO80" s="490">
        <v>94000000</v>
      </c>
      <c r="BP80" s="486">
        <v>18000000</v>
      </c>
      <c r="BQ80" s="486">
        <v>80000000</v>
      </c>
      <c r="BR80" s="486">
        <v>0</v>
      </c>
      <c r="BS80" s="486">
        <v>0</v>
      </c>
      <c r="BT80" s="486">
        <v>0</v>
      </c>
      <c r="BU80" s="486">
        <v>0</v>
      </c>
      <c r="BV80" s="486">
        <v>0</v>
      </c>
      <c r="BW80" s="486">
        <v>0</v>
      </c>
      <c r="BX80" s="487">
        <v>98000000</v>
      </c>
      <c r="BY80" s="486">
        <v>7000000</v>
      </c>
      <c r="BZ80" s="486">
        <v>0</v>
      </c>
      <c r="CA80" s="486">
        <v>0</v>
      </c>
      <c r="CB80" s="488">
        <v>7000000</v>
      </c>
      <c r="CC80" s="491">
        <v>105000000</v>
      </c>
      <c r="CD80" s="492">
        <v>374000000</v>
      </c>
      <c r="CE80" s="493">
        <f t="shared" si="4"/>
        <v>66000000</v>
      </c>
      <c r="CF80" s="493">
        <f t="shared" si="4"/>
        <v>280000000</v>
      </c>
      <c r="CG80" s="493">
        <f t="shared" si="4"/>
        <v>0</v>
      </c>
      <c r="CH80" s="493">
        <f t="shared" si="4"/>
        <v>0</v>
      </c>
      <c r="CI80" s="493">
        <f t="shared" si="4"/>
        <v>0</v>
      </c>
      <c r="CJ80" s="493">
        <f t="shared" si="4"/>
        <v>0</v>
      </c>
      <c r="CK80" s="493">
        <f t="shared" si="4"/>
        <v>0</v>
      </c>
      <c r="CL80" s="493">
        <f t="shared" ref="CL80:CL143" si="7">AG80+AU80+BI80+BW80</f>
        <v>0</v>
      </c>
      <c r="CM80" s="493">
        <f t="shared" si="6"/>
        <v>28000000</v>
      </c>
      <c r="CN80" s="493">
        <f t="shared" si="6"/>
        <v>0</v>
      </c>
      <c r="CO80" s="493">
        <f t="shared" si="6"/>
        <v>0</v>
      </c>
      <c r="CP80" s="494">
        <v>11</v>
      </c>
      <c r="CQ80" s="494" t="s">
        <v>5358</v>
      </c>
    </row>
    <row r="81" spans="1:95" ht="30.45" hidden="1" customHeight="1" thickBot="1">
      <c r="A81" s="555" t="s">
        <v>4101</v>
      </c>
      <c r="B81" s="479">
        <v>79</v>
      </c>
      <c r="C81" s="480" t="s">
        <v>4004</v>
      </c>
      <c r="D81" s="480" t="s">
        <v>4096</v>
      </c>
      <c r="E81" s="480" t="str">
        <f t="shared" si="5"/>
        <v xml:space="preserve">1.4.4 </v>
      </c>
      <c r="F81" s="480" t="s">
        <v>4141</v>
      </c>
      <c r="G81" s="480" t="s">
        <v>4142</v>
      </c>
      <c r="H81" s="481">
        <v>33</v>
      </c>
      <c r="I81" s="480" t="s">
        <v>4132</v>
      </c>
      <c r="J81" s="495">
        <v>330200300</v>
      </c>
      <c r="K81" s="480" t="s">
        <v>4063</v>
      </c>
      <c r="L81" s="480" t="s">
        <v>4145</v>
      </c>
      <c r="M81" s="480" t="s">
        <v>6454</v>
      </c>
      <c r="N81" s="484">
        <v>11</v>
      </c>
      <c r="O81" s="480" t="s">
        <v>4100</v>
      </c>
      <c r="P81" s="500">
        <v>19</v>
      </c>
      <c r="Q81" s="485" t="s">
        <v>5349</v>
      </c>
      <c r="R81" s="485" t="s">
        <v>5356</v>
      </c>
      <c r="S81" s="485" t="s">
        <v>4959</v>
      </c>
      <c r="T81" s="485">
        <v>117</v>
      </c>
      <c r="U81" s="485" t="s">
        <v>4100</v>
      </c>
      <c r="V81" s="485">
        <v>150</v>
      </c>
      <c r="W81" s="485" t="s">
        <v>5357</v>
      </c>
      <c r="X81" s="485">
        <v>11</v>
      </c>
      <c r="Y81" s="485" t="s">
        <v>5358</v>
      </c>
      <c r="Z81" s="486">
        <v>15000000</v>
      </c>
      <c r="AA81" s="486">
        <v>300000000</v>
      </c>
      <c r="AB81" s="486">
        <v>0</v>
      </c>
      <c r="AC81" s="486">
        <v>0</v>
      </c>
      <c r="AD81" s="486">
        <v>0</v>
      </c>
      <c r="AE81" s="486">
        <v>0</v>
      </c>
      <c r="AF81" s="486">
        <v>0</v>
      </c>
      <c r="AG81" s="486">
        <v>0</v>
      </c>
      <c r="AH81" s="487">
        <v>315000000</v>
      </c>
      <c r="AI81" s="486">
        <v>77000000</v>
      </c>
      <c r="AJ81" s="486">
        <v>0</v>
      </c>
      <c r="AK81" s="486">
        <v>0</v>
      </c>
      <c r="AL81" s="488">
        <v>77000000</v>
      </c>
      <c r="AM81" s="489">
        <v>392000000</v>
      </c>
      <c r="AN81" s="486">
        <v>16000000</v>
      </c>
      <c r="AO81" s="486">
        <v>30000000</v>
      </c>
      <c r="AP81" s="486">
        <v>0</v>
      </c>
      <c r="AQ81" s="486">
        <v>0</v>
      </c>
      <c r="AR81" s="486">
        <v>0</v>
      </c>
      <c r="AS81" s="486">
        <v>0</v>
      </c>
      <c r="AT81" s="486">
        <v>0</v>
      </c>
      <c r="AU81" s="486">
        <v>0</v>
      </c>
      <c r="AV81" s="487">
        <v>46000000</v>
      </c>
      <c r="AW81" s="486">
        <v>82000000</v>
      </c>
      <c r="AX81" s="486">
        <v>0</v>
      </c>
      <c r="AY81" s="486">
        <v>0</v>
      </c>
      <c r="AZ81" s="488">
        <v>82000000</v>
      </c>
      <c r="BA81" s="490">
        <v>128000000</v>
      </c>
      <c r="BB81" s="486">
        <v>17000000</v>
      </c>
      <c r="BC81" s="486">
        <v>40000000</v>
      </c>
      <c r="BD81" s="486">
        <v>0</v>
      </c>
      <c r="BE81" s="486">
        <v>0</v>
      </c>
      <c r="BF81" s="486">
        <v>0</v>
      </c>
      <c r="BG81" s="486">
        <v>0</v>
      </c>
      <c r="BH81" s="486">
        <v>0</v>
      </c>
      <c r="BI81" s="486">
        <v>0</v>
      </c>
      <c r="BJ81" s="487">
        <v>57000000</v>
      </c>
      <c r="BK81" s="486">
        <v>87000000</v>
      </c>
      <c r="BL81" s="486">
        <v>0</v>
      </c>
      <c r="BM81" s="486">
        <v>0</v>
      </c>
      <c r="BN81" s="488">
        <v>87000000</v>
      </c>
      <c r="BO81" s="490">
        <v>144000000</v>
      </c>
      <c r="BP81" s="486">
        <v>18000000</v>
      </c>
      <c r="BQ81" s="486">
        <v>50000000</v>
      </c>
      <c r="BR81" s="486">
        <v>0</v>
      </c>
      <c r="BS81" s="486">
        <v>0</v>
      </c>
      <c r="BT81" s="486">
        <v>0</v>
      </c>
      <c r="BU81" s="486">
        <v>0</v>
      </c>
      <c r="BV81" s="486">
        <v>0</v>
      </c>
      <c r="BW81" s="486">
        <v>0</v>
      </c>
      <c r="BX81" s="487">
        <v>68000000</v>
      </c>
      <c r="BY81" s="486">
        <v>82000000</v>
      </c>
      <c r="BZ81" s="486">
        <v>0</v>
      </c>
      <c r="CA81" s="486">
        <v>0</v>
      </c>
      <c r="CB81" s="488">
        <v>82000000</v>
      </c>
      <c r="CC81" s="491">
        <v>150000000</v>
      </c>
      <c r="CD81" s="492">
        <v>814000000</v>
      </c>
      <c r="CE81" s="493">
        <f t="shared" ref="CE81:CK117" si="8">Z81+AN81+BB81+BP81</f>
        <v>66000000</v>
      </c>
      <c r="CF81" s="493">
        <f t="shared" si="8"/>
        <v>420000000</v>
      </c>
      <c r="CG81" s="493">
        <f t="shared" si="8"/>
        <v>0</v>
      </c>
      <c r="CH81" s="493">
        <f t="shared" si="8"/>
        <v>0</v>
      </c>
      <c r="CI81" s="493">
        <f t="shared" si="8"/>
        <v>0</v>
      </c>
      <c r="CJ81" s="493">
        <f t="shared" si="8"/>
        <v>0</v>
      </c>
      <c r="CK81" s="493">
        <f t="shared" si="8"/>
        <v>0</v>
      </c>
      <c r="CL81" s="493">
        <f t="shared" si="7"/>
        <v>0</v>
      </c>
      <c r="CM81" s="493">
        <f t="shared" si="6"/>
        <v>328000000</v>
      </c>
      <c r="CN81" s="493">
        <f t="shared" si="6"/>
        <v>0</v>
      </c>
      <c r="CO81" s="493">
        <f t="shared" si="6"/>
        <v>0</v>
      </c>
      <c r="CP81" s="494">
        <v>11</v>
      </c>
      <c r="CQ81" s="494" t="s">
        <v>5358</v>
      </c>
    </row>
    <row r="82" spans="1:95" ht="30.45" hidden="1" customHeight="1" thickBot="1">
      <c r="A82" s="555" t="s">
        <v>4101</v>
      </c>
      <c r="B82" s="479">
        <v>80</v>
      </c>
      <c r="C82" s="480" t="s">
        <v>4004</v>
      </c>
      <c r="D82" s="480" t="s">
        <v>4096</v>
      </c>
      <c r="E82" s="480" t="str">
        <f t="shared" si="5"/>
        <v xml:space="preserve">1.4.4 </v>
      </c>
      <c r="F82" s="480" t="s">
        <v>4141</v>
      </c>
      <c r="G82" s="480" t="s">
        <v>4142</v>
      </c>
      <c r="H82" s="481">
        <v>33</v>
      </c>
      <c r="I82" s="480" t="s">
        <v>4132</v>
      </c>
      <c r="J82" s="495">
        <v>330200500</v>
      </c>
      <c r="K82" s="480" t="s">
        <v>4146</v>
      </c>
      <c r="L82" s="480" t="s">
        <v>4147</v>
      </c>
      <c r="M82" s="480" t="s">
        <v>5723</v>
      </c>
      <c r="N82" s="499">
        <v>0</v>
      </c>
      <c r="O82" s="480" t="s">
        <v>4148</v>
      </c>
      <c r="P82" s="500">
        <v>4</v>
      </c>
      <c r="Q82" s="485" t="s">
        <v>5349</v>
      </c>
      <c r="R82" s="485" t="s">
        <v>5356</v>
      </c>
      <c r="S82" s="485" t="s">
        <v>4959</v>
      </c>
      <c r="T82" s="485">
        <v>117</v>
      </c>
      <c r="U82" s="485" t="s">
        <v>4100</v>
      </c>
      <c r="V82" s="485">
        <v>150</v>
      </c>
      <c r="W82" s="485" t="s">
        <v>5357</v>
      </c>
      <c r="X82" s="485">
        <v>11</v>
      </c>
      <c r="Y82" s="485" t="s">
        <v>5358</v>
      </c>
      <c r="Z82" s="486">
        <v>5000000</v>
      </c>
      <c r="AA82" s="486">
        <v>0</v>
      </c>
      <c r="AB82" s="486">
        <v>0</v>
      </c>
      <c r="AC82" s="486">
        <v>0</v>
      </c>
      <c r="AD82" s="486">
        <v>0</v>
      </c>
      <c r="AE82" s="486">
        <v>0</v>
      </c>
      <c r="AF82" s="486">
        <v>0</v>
      </c>
      <c r="AG82" s="486">
        <v>0</v>
      </c>
      <c r="AH82" s="487">
        <v>5000000</v>
      </c>
      <c r="AI82" s="486">
        <v>7000000</v>
      </c>
      <c r="AJ82" s="486">
        <v>0</v>
      </c>
      <c r="AK82" s="486">
        <v>0</v>
      </c>
      <c r="AL82" s="488">
        <v>7000000</v>
      </c>
      <c r="AM82" s="489">
        <v>12000000</v>
      </c>
      <c r="AN82" s="486">
        <v>5500000</v>
      </c>
      <c r="AO82" s="486">
        <v>0</v>
      </c>
      <c r="AP82" s="486">
        <v>0</v>
      </c>
      <c r="AQ82" s="486">
        <v>0</v>
      </c>
      <c r="AR82" s="486">
        <v>0</v>
      </c>
      <c r="AS82" s="486">
        <v>0</v>
      </c>
      <c r="AT82" s="486">
        <v>0</v>
      </c>
      <c r="AU82" s="486">
        <v>0</v>
      </c>
      <c r="AV82" s="487">
        <v>5500000</v>
      </c>
      <c r="AW82" s="486">
        <v>7000000</v>
      </c>
      <c r="AX82" s="486">
        <v>0</v>
      </c>
      <c r="AY82" s="486">
        <v>0</v>
      </c>
      <c r="AZ82" s="488">
        <v>7000000</v>
      </c>
      <c r="BA82" s="490">
        <v>12500000</v>
      </c>
      <c r="BB82" s="486">
        <v>6000000</v>
      </c>
      <c r="BC82" s="486">
        <v>0</v>
      </c>
      <c r="BD82" s="486">
        <v>0</v>
      </c>
      <c r="BE82" s="486">
        <v>0</v>
      </c>
      <c r="BF82" s="486">
        <v>0</v>
      </c>
      <c r="BG82" s="486">
        <v>0</v>
      </c>
      <c r="BH82" s="486">
        <v>0</v>
      </c>
      <c r="BI82" s="486">
        <v>0</v>
      </c>
      <c r="BJ82" s="487">
        <v>6000000</v>
      </c>
      <c r="BK82" s="486">
        <v>7000000</v>
      </c>
      <c r="BL82" s="486">
        <v>0</v>
      </c>
      <c r="BM82" s="486">
        <v>0</v>
      </c>
      <c r="BN82" s="488">
        <v>7000000</v>
      </c>
      <c r="BO82" s="490">
        <v>13000000</v>
      </c>
      <c r="BP82" s="486">
        <v>6500000</v>
      </c>
      <c r="BQ82" s="486">
        <v>0</v>
      </c>
      <c r="BR82" s="486">
        <v>0</v>
      </c>
      <c r="BS82" s="486">
        <v>0</v>
      </c>
      <c r="BT82" s="486">
        <v>0</v>
      </c>
      <c r="BU82" s="486">
        <v>0</v>
      </c>
      <c r="BV82" s="486">
        <v>0</v>
      </c>
      <c r="BW82" s="486">
        <v>0</v>
      </c>
      <c r="BX82" s="487">
        <v>6500000</v>
      </c>
      <c r="BY82" s="486">
        <v>7000000</v>
      </c>
      <c r="BZ82" s="486">
        <v>0</v>
      </c>
      <c r="CA82" s="486">
        <v>0</v>
      </c>
      <c r="CB82" s="488">
        <v>7000000</v>
      </c>
      <c r="CC82" s="491">
        <v>13500000</v>
      </c>
      <c r="CD82" s="492">
        <v>51000000</v>
      </c>
      <c r="CE82" s="493">
        <f t="shared" si="8"/>
        <v>23000000</v>
      </c>
      <c r="CF82" s="493">
        <f t="shared" si="8"/>
        <v>0</v>
      </c>
      <c r="CG82" s="493">
        <f t="shared" si="8"/>
        <v>0</v>
      </c>
      <c r="CH82" s="493">
        <f t="shared" si="8"/>
        <v>0</v>
      </c>
      <c r="CI82" s="493">
        <f t="shared" si="8"/>
        <v>0</v>
      </c>
      <c r="CJ82" s="493">
        <f t="shared" si="8"/>
        <v>0</v>
      </c>
      <c r="CK82" s="493">
        <f t="shared" si="8"/>
        <v>0</v>
      </c>
      <c r="CL82" s="493">
        <f t="shared" si="7"/>
        <v>0</v>
      </c>
      <c r="CM82" s="493">
        <f t="shared" si="6"/>
        <v>28000000</v>
      </c>
      <c r="CN82" s="493">
        <f t="shared" si="6"/>
        <v>0</v>
      </c>
      <c r="CO82" s="493">
        <f t="shared" si="6"/>
        <v>0</v>
      </c>
      <c r="CP82" s="494">
        <v>11</v>
      </c>
      <c r="CQ82" s="494" t="s">
        <v>5358</v>
      </c>
    </row>
    <row r="83" spans="1:95" ht="30.45" hidden="1" customHeight="1" thickBot="1">
      <c r="A83" s="555" t="s">
        <v>4101</v>
      </c>
      <c r="B83" s="479">
        <v>81</v>
      </c>
      <c r="C83" s="480" t="s">
        <v>4004</v>
      </c>
      <c r="D83" s="480" t="s">
        <v>4096</v>
      </c>
      <c r="E83" s="480" t="str">
        <f t="shared" si="5"/>
        <v xml:space="preserve">1.4.4 </v>
      </c>
      <c r="F83" s="480" t="s">
        <v>4141</v>
      </c>
      <c r="G83" s="480" t="s">
        <v>4142</v>
      </c>
      <c r="H83" s="481">
        <v>33</v>
      </c>
      <c r="I83" s="480" t="s">
        <v>4132</v>
      </c>
      <c r="J83" s="495">
        <v>330200600</v>
      </c>
      <c r="K83" s="480" t="s">
        <v>4149</v>
      </c>
      <c r="L83" s="480" t="s">
        <v>4150</v>
      </c>
      <c r="M83" s="480" t="s">
        <v>5724</v>
      </c>
      <c r="N83" s="499">
        <v>0</v>
      </c>
      <c r="O83" s="480" t="s">
        <v>4100</v>
      </c>
      <c r="P83" s="500">
        <v>4</v>
      </c>
      <c r="Q83" s="485" t="s">
        <v>5349</v>
      </c>
      <c r="R83" s="485" t="s">
        <v>5356</v>
      </c>
      <c r="S83" s="485" t="s">
        <v>4959</v>
      </c>
      <c r="T83" s="485">
        <v>117</v>
      </c>
      <c r="U83" s="485" t="s">
        <v>4100</v>
      </c>
      <c r="V83" s="485">
        <v>150</v>
      </c>
      <c r="W83" s="485" t="s">
        <v>5357</v>
      </c>
      <c r="X83" s="485">
        <v>11</v>
      </c>
      <c r="Y83" s="485" t="s">
        <v>5358</v>
      </c>
      <c r="Z83" s="486">
        <v>145000000</v>
      </c>
      <c r="AA83" s="486">
        <v>0</v>
      </c>
      <c r="AB83" s="486">
        <v>0</v>
      </c>
      <c r="AC83" s="486">
        <v>0</v>
      </c>
      <c r="AD83" s="486">
        <v>0</v>
      </c>
      <c r="AE83" s="486">
        <v>0</v>
      </c>
      <c r="AF83" s="486">
        <v>0</v>
      </c>
      <c r="AG83" s="486">
        <v>0</v>
      </c>
      <c r="AH83" s="487">
        <v>145000000</v>
      </c>
      <c r="AI83" s="486">
        <v>7000000</v>
      </c>
      <c r="AJ83" s="486">
        <v>0</v>
      </c>
      <c r="AK83" s="486">
        <v>0</v>
      </c>
      <c r="AL83" s="488">
        <v>7000000</v>
      </c>
      <c r="AM83" s="489">
        <v>152000000</v>
      </c>
      <c r="AN83" s="486">
        <v>163000000</v>
      </c>
      <c r="AO83" s="486">
        <v>0</v>
      </c>
      <c r="AP83" s="486">
        <v>0</v>
      </c>
      <c r="AQ83" s="486">
        <v>0</v>
      </c>
      <c r="AR83" s="486">
        <v>0</v>
      </c>
      <c r="AS83" s="486">
        <v>0</v>
      </c>
      <c r="AT83" s="486">
        <v>0</v>
      </c>
      <c r="AU83" s="486">
        <v>0</v>
      </c>
      <c r="AV83" s="487">
        <v>163000000</v>
      </c>
      <c r="AW83" s="486">
        <v>7000000</v>
      </c>
      <c r="AX83" s="486">
        <v>0</v>
      </c>
      <c r="AY83" s="486">
        <v>0</v>
      </c>
      <c r="AZ83" s="488">
        <v>7000000</v>
      </c>
      <c r="BA83" s="490">
        <v>170000000</v>
      </c>
      <c r="BB83" s="486">
        <v>183000000</v>
      </c>
      <c r="BC83" s="486">
        <v>0</v>
      </c>
      <c r="BD83" s="486">
        <v>0</v>
      </c>
      <c r="BE83" s="486">
        <v>0</v>
      </c>
      <c r="BF83" s="486">
        <v>0</v>
      </c>
      <c r="BG83" s="486">
        <v>0</v>
      </c>
      <c r="BH83" s="486">
        <v>0</v>
      </c>
      <c r="BI83" s="486">
        <v>0</v>
      </c>
      <c r="BJ83" s="487">
        <v>183000000</v>
      </c>
      <c r="BK83" s="486">
        <v>7000000</v>
      </c>
      <c r="BL83" s="486">
        <v>0</v>
      </c>
      <c r="BM83" s="486">
        <v>0</v>
      </c>
      <c r="BN83" s="488">
        <v>7000000</v>
      </c>
      <c r="BO83" s="490">
        <v>190000000</v>
      </c>
      <c r="BP83" s="486">
        <v>206000000</v>
      </c>
      <c r="BQ83" s="486">
        <v>0</v>
      </c>
      <c r="BR83" s="486">
        <v>0</v>
      </c>
      <c r="BS83" s="486">
        <v>0</v>
      </c>
      <c r="BT83" s="486">
        <v>0</v>
      </c>
      <c r="BU83" s="486">
        <v>0</v>
      </c>
      <c r="BV83" s="486">
        <v>0</v>
      </c>
      <c r="BW83" s="486">
        <v>0</v>
      </c>
      <c r="BX83" s="487">
        <v>206000000</v>
      </c>
      <c r="BY83" s="486">
        <v>7000000</v>
      </c>
      <c r="BZ83" s="486">
        <v>0</v>
      </c>
      <c r="CA83" s="486">
        <v>0</v>
      </c>
      <c r="CB83" s="488">
        <v>7000000</v>
      </c>
      <c r="CC83" s="491">
        <v>213000000</v>
      </c>
      <c r="CD83" s="492">
        <v>725000000</v>
      </c>
      <c r="CE83" s="493">
        <f t="shared" si="8"/>
        <v>697000000</v>
      </c>
      <c r="CF83" s="493">
        <f t="shared" si="8"/>
        <v>0</v>
      </c>
      <c r="CG83" s="493">
        <f t="shared" si="8"/>
        <v>0</v>
      </c>
      <c r="CH83" s="493">
        <f t="shared" si="8"/>
        <v>0</v>
      </c>
      <c r="CI83" s="493">
        <f t="shared" si="8"/>
        <v>0</v>
      </c>
      <c r="CJ83" s="493">
        <f t="shared" si="8"/>
        <v>0</v>
      </c>
      <c r="CK83" s="493">
        <f t="shared" si="8"/>
        <v>0</v>
      </c>
      <c r="CL83" s="493">
        <f t="shared" si="7"/>
        <v>0</v>
      </c>
      <c r="CM83" s="493">
        <f t="shared" si="6"/>
        <v>28000000</v>
      </c>
      <c r="CN83" s="493">
        <f t="shared" si="6"/>
        <v>0</v>
      </c>
      <c r="CO83" s="493">
        <f t="shared" si="6"/>
        <v>0</v>
      </c>
      <c r="CP83" s="494">
        <v>11</v>
      </c>
      <c r="CQ83" s="494" t="s">
        <v>5358</v>
      </c>
    </row>
    <row r="84" spans="1:95" ht="30.45" hidden="1" customHeight="1" thickBot="1">
      <c r="A84" s="555" t="s">
        <v>4101</v>
      </c>
      <c r="B84" s="479">
        <v>82</v>
      </c>
      <c r="C84" s="480" t="s">
        <v>4004</v>
      </c>
      <c r="D84" s="480" t="s">
        <v>4096</v>
      </c>
      <c r="E84" s="480" t="str">
        <f t="shared" si="5"/>
        <v xml:space="preserve">1.4.4 </v>
      </c>
      <c r="F84" s="480" t="s">
        <v>4141</v>
      </c>
      <c r="G84" s="480" t="s">
        <v>4142</v>
      </c>
      <c r="H84" s="481">
        <v>33</v>
      </c>
      <c r="I84" s="480" t="s">
        <v>4132</v>
      </c>
      <c r="J84" s="495">
        <v>330201600</v>
      </c>
      <c r="K84" s="480" t="s">
        <v>4151</v>
      </c>
      <c r="L84" s="480" t="s">
        <v>4152</v>
      </c>
      <c r="M84" s="480" t="s">
        <v>5725</v>
      </c>
      <c r="N84" s="484">
        <v>4</v>
      </c>
      <c r="O84" s="480" t="s">
        <v>4100</v>
      </c>
      <c r="P84" s="500">
        <v>12</v>
      </c>
      <c r="Q84" s="485" t="s">
        <v>5349</v>
      </c>
      <c r="R84" s="485" t="s">
        <v>5356</v>
      </c>
      <c r="S84" s="485" t="s">
        <v>4959</v>
      </c>
      <c r="T84" s="485">
        <v>117</v>
      </c>
      <c r="U84" s="485" t="s">
        <v>4100</v>
      </c>
      <c r="V84" s="485">
        <v>150</v>
      </c>
      <c r="W84" s="485" t="s">
        <v>5357</v>
      </c>
      <c r="X84" s="485">
        <v>11</v>
      </c>
      <c r="Y84" s="485" t="s">
        <v>5358</v>
      </c>
      <c r="Z84" s="486">
        <v>15000000</v>
      </c>
      <c r="AA84" s="486">
        <v>5000000</v>
      </c>
      <c r="AB84" s="486">
        <v>0</v>
      </c>
      <c r="AC84" s="486">
        <v>0</v>
      </c>
      <c r="AD84" s="486">
        <v>0</v>
      </c>
      <c r="AE84" s="486">
        <v>0</v>
      </c>
      <c r="AF84" s="486">
        <v>0</v>
      </c>
      <c r="AG84" s="486">
        <v>0</v>
      </c>
      <c r="AH84" s="487">
        <v>20000000</v>
      </c>
      <c r="AI84" s="486">
        <v>7000000</v>
      </c>
      <c r="AJ84" s="486">
        <v>0</v>
      </c>
      <c r="AK84" s="486">
        <v>0</v>
      </c>
      <c r="AL84" s="488">
        <v>7000000</v>
      </c>
      <c r="AM84" s="489">
        <v>27000000</v>
      </c>
      <c r="AN84" s="486">
        <v>16000000</v>
      </c>
      <c r="AO84" s="486">
        <v>5000000</v>
      </c>
      <c r="AP84" s="486">
        <v>0</v>
      </c>
      <c r="AQ84" s="486">
        <v>0</v>
      </c>
      <c r="AR84" s="486">
        <v>0</v>
      </c>
      <c r="AS84" s="486">
        <v>0</v>
      </c>
      <c r="AT84" s="486">
        <v>0</v>
      </c>
      <c r="AU84" s="486">
        <v>0</v>
      </c>
      <c r="AV84" s="487">
        <v>21000000</v>
      </c>
      <c r="AW84" s="486">
        <v>7000000</v>
      </c>
      <c r="AX84" s="486">
        <v>0</v>
      </c>
      <c r="AY84" s="486">
        <v>0</v>
      </c>
      <c r="AZ84" s="488">
        <v>7000000</v>
      </c>
      <c r="BA84" s="490">
        <v>28000000</v>
      </c>
      <c r="BB84" s="486">
        <v>17000000</v>
      </c>
      <c r="BC84" s="486">
        <v>5000000</v>
      </c>
      <c r="BD84" s="486">
        <v>0</v>
      </c>
      <c r="BE84" s="486">
        <v>0</v>
      </c>
      <c r="BF84" s="486">
        <v>0</v>
      </c>
      <c r="BG84" s="486">
        <v>0</v>
      </c>
      <c r="BH84" s="486">
        <v>0</v>
      </c>
      <c r="BI84" s="486">
        <v>0</v>
      </c>
      <c r="BJ84" s="487">
        <v>22000000</v>
      </c>
      <c r="BK84" s="486">
        <v>7000000</v>
      </c>
      <c r="BL84" s="486">
        <v>0</v>
      </c>
      <c r="BM84" s="486">
        <v>0</v>
      </c>
      <c r="BN84" s="488">
        <v>7000000</v>
      </c>
      <c r="BO84" s="490">
        <v>29000000</v>
      </c>
      <c r="BP84" s="486">
        <v>18000000</v>
      </c>
      <c r="BQ84" s="486">
        <v>5000000</v>
      </c>
      <c r="BR84" s="486">
        <v>0</v>
      </c>
      <c r="BS84" s="486">
        <v>0</v>
      </c>
      <c r="BT84" s="486">
        <v>0</v>
      </c>
      <c r="BU84" s="486">
        <v>0</v>
      </c>
      <c r="BV84" s="486">
        <v>0</v>
      </c>
      <c r="BW84" s="486">
        <v>0</v>
      </c>
      <c r="BX84" s="487">
        <v>23000000</v>
      </c>
      <c r="BY84" s="486">
        <v>7000000</v>
      </c>
      <c r="BZ84" s="486">
        <v>0</v>
      </c>
      <c r="CA84" s="486">
        <v>0</v>
      </c>
      <c r="CB84" s="488">
        <v>7000000</v>
      </c>
      <c r="CC84" s="491">
        <v>30000000</v>
      </c>
      <c r="CD84" s="492">
        <v>114000000</v>
      </c>
      <c r="CE84" s="493">
        <f t="shared" si="8"/>
        <v>66000000</v>
      </c>
      <c r="CF84" s="493">
        <f t="shared" si="8"/>
        <v>20000000</v>
      </c>
      <c r="CG84" s="493">
        <f t="shared" si="8"/>
        <v>0</v>
      </c>
      <c r="CH84" s="493">
        <f t="shared" si="8"/>
        <v>0</v>
      </c>
      <c r="CI84" s="493">
        <f t="shared" si="8"/>
        <v>0</v>
      </c>
      <c r="CJ84" s="493">
        <f t="shared" si="8"/>
        <v>0</v>
      </c>
      <c r="CK84" s="493">
        <f t="shared" si="8"/>
        <v>0</v>
      </c>
      <c r="CL84" s="493">
        <f t="shared" si="7"/>
        <v>0</v>
      </c>
      <c r="CM84" s="493">
        <f t="shared" si="6"/>
        <v>28000000</v>
      </c>
      <c r="CN84" s="493">
        <f t="shared" si="6"/>
        <v>0</v>
      </c>
      <c r="CO84" s="493">
        <f t="shared" si="6"/>
        <v>0</v>
      </c>
      <c r="CP84" s="494">
        <v>11</v>
      </c>
      <c r="CQ84" s="494" t="s">
        <v>5358</v>
      </c>
    </row>
    <row r="85" spans="1:95" ht="30.45" hidden="1" customHeight="1" thickBot="1">
      <c r="A85" s="555" t="s">
        <v>4101</v>
      </c>
      <c r="B85" s="479">
        <v>83</v>
      </c>
      <c r="C85" s="480" t="s">
        <v>4004</v>
      </c>
      <c r="D85" s="480" t="s">
        <v>4096</v>
      </c>
      <c r="E85" s="480" t="str">
        <f t="shared" si="5"/>
        <v xml:space="preserve">1.4.4 </v>
      </c>
      <c r="F85" s="480" t="s">
        <v>4141</v>
      </c>
      <c r="G85" s="480" t="s">
        <v>4142</v>
      </c>
      <c r="H85" s="481">
        <v>33</v>
      </c>
      <c r="I85" s="480" t="s">
        <v>4132</v>
      </c>
      <c r="J85" s="495">
        <v>330201900</v>
      </c>
      <c r="K85" s="480" t="s">
        <v>4151</v>
      </c>
      <c r="L85" s="480" t="s">
        <v>4153</v>
      </c>
      <c r="M85" s="480" t="s">
        <v>5726</v>
      </c>
      <c r="N85" s="484">
        <v>4</v>
      </c>
      <c r="O85" s="480" t="s">
        <v>4100</v>
      </c>
      <c r="P85" s="500">
        <v>8</v>
      </c>
      <c r="Q85" s="485" t="s">
        <v>5349</v>
      </c>
      <c r="R85" s="485" t="s">
        <v>5356</v>
      </c>
      <c r="S85" s="485" t="s">
        <v>4959</v>
      </c>
      <c r="T85" s="485">
        <v>117</v>
      </c>
      <c r="U85" s="485" t="s">
        <v>4100</v>
      </c>
      <c r="V85" s="485">
        <v>150</v>
      </c>
      <c r="W85" s="485" t="s">
        <v>5357</v>
      </c>
      <c r="X85" s="485">
        <v>11</v>
      </c>
      <c r="Y85" s="485" t="s">
        <v>5358</v>
      </c>
      <c r="Z85" s="486">
        <v>15000000</v>
      </c>
      <c r="AA85" s="486">
        <v>5000000</v>
      </c>
      <c r="AB85" s="486">
        <v>0</v>
      </c>
      <c r="AC85" s="486">
        <v>0</v>
      </c>
      <c r="AD85" s="486">
        <v>0</v>
      </c>
      <c r="AE85" s="486">
        <v>0</v>
      </c>
      <c r="AF85" s="486">
        <v>0</v>
      </c>
      <c r="AG85" s="486">
        <v>0</v>
      </c>
      <c r="AH85" s="487">
        <v>20000000</v>
      </c>
      <c r="AI85" s="486">
        <v>7000000</v>
      </c>
      <c r="AJ85" s="486">
        <v>0</v>
      </c>
      <c r="AK85" s="486">
        <v>0</v>
      </c>
      <c r="AL85" s="488">
        <v>7000000</v>
      </c>
      <c r="AM85" s="489">
        <v>27000000</v>
      </c>
      <c r="AN85" s="486">
        <v>16000000</v>
      </c>
      <c r="AO85" s="486">
        <v>5000000</v>
      </c>
      <c r="AP85" s="486">
        <v>0</v>
      </c>
      <c r="AQ85" s="486">
        <v>0</v>
      </c>
      <c r="AR85" s="486">
        <v>0</v>
      </c>
      <c r="AS85" s="486">
        <v>0</v>
      </c>
      <c r="AT85" s="486">
        <v>0</v>
      </c>
      <c r="AU85" s="486">
        <v>0</v>
      </c>
      <c r="AV85" s="487">
        <v>21000000</v>
      </c>
      <c r="AW85" s="486">
        <v>7000000</v>
      </c>
      <c r="AX85" s="486">
        <v>0</v>
      </c>
      <c r="AY85" s="486">
        <v>0</v>
      </c>
      <c r="AZ85" s="488">
        <v>7000000</v>
      </c>
      <c r="BA85" s="490">
        <v>28000000</v>
      </c>
      <c r="BB85" s="486">
        <v>17000000</v>
      </c>
      <c r="BC85" s="486">
        <v>5000000</v>
      </c>
      <c r="BD85" s="486">
        <v>0</v>
      </c>
      <c r="BE85" s="486">
        <v>0</v>
      </c>
      <c r="BF85" s="486">
        <v>0</v>
      </c>
      <c r="BG85" s="486">
        <v>0</v>
      </c>
      <c r="BH85" s="486">
        <v>0</v>
      </c>
      <c r="BI85" s="486">
        <v>0</v>
      </c>
      <c r="BJ85" s="487">
        <v>22000000</v>
      </c>
      <c r="BK85" s="486">
        <v>7000000</v>
      </c>
      <c r="BL85" s="486">
        <v>0</v>
      </c>
      <c r="BM85" s="486">
        <v>0</v>
      </c>
      <c r="BN85" s="488">
        <v>7000000</v>
      </c>
      <c r="BO85" s="490">
        <v>29000000</v>
      </c>
      <c r="BP85" s="486">
        <v>18000000</v>
      </c>
      <c r="BQ85" s="486">
        <v>5000000</v>
      </c>
      <c r="BR85" s="486">
        <v>0</v>
      </c>
      <c r="BS85" s="486">
        <v>0</v>
      </c>
      <c r="BT85" s="486">
        <v>0</v>
      </c>
      <c r="BU85" s="486">
        <v>0</v>
      </c>
      <c r="BV85" s="486">
        <v>0</v>
      </c>
      <c r="BW85" s="486">
        <v>0</v>
      </c>
      <c r="BX85" s="487">
        <v>23000000</v>
      </c>
      <c r="BY85" s="486">
        <v>7000000</v>
      </c>
      <c r="BZ85" s="486">
        <v>0</v>
      </c>
      <c r="CA85" s="486">
        <v>0</v>
      </c>
      <c r="CB85" s="488">
        <v>7000000</v>
      </c>
      <c r="CC85" s="491">
        <v>30000000</v>
      </c>
      <c r="CD85" s="492">
        <v>114000000</v>
      </c>
      <c r="CE85" s="493">
        <f t="shared" si="8"/>
        <v>66000000</v>
      </c>
      <c r="CF85" s="493">
        <f t="shared" si="8"/>
        <v>20000000</v>
      </c>
      <c r="CG85" s="493">
        <f t="shared" si="8"/>
        <v>0</v>
      </c>
      <c r="CH85" s="493">
        <f t="shared" si="8"/>
        <v>0</v>
      </c>
      <c r="CI85" s="493">
        <f t="shared" si="8"/>
        <v>0</v>
      </c>
      <c r="CJ85" s="493">
        <f t="shared" si="8"/>
        <v>0</v>
      </c>
      <c r="CK85" s="493">
        <f t="shared" si="8"/>
        <v>0</v>
      </c>
      <c r="CL85" s="493">
        <f t="shared" si="7"/>
        <v>0</v>
      </c>
      <c r="CM85" s="493">
        <f t="shared" si="6"/>
        <v>28000000</v>
      </c>
      <c r="CN85" s="493">
        <f t="shared" si="6"/>
        <v>0</v>
      </c>
      <c r="CO85" s="493">
        <f t="shared" si="6"/>
        <v>0</v>
      </c>
      <c r="CP85" s="494">
        <v>11</v>
      </c>
      <c r="CQ85" s="494" t="s">
        <v>5358</v>
      </c>
    </row>
    <row r="86" spans="1:95" ht="30.45" hidden="1" customHeight="1" thickBot="1">
      <c r="A86" s="555" t="s">
        <v>4101</v>
      </c>
      <c r="B86" s="479">
        <v>84</v>
      </c>
      <c r="C86" s="480" t="s">
        <v>4004</v>
      </c>
      <c r="D86" s="480" t="s">
        <v>4096</v>
      </c>
      <c r="E86" s="480" t="str">
        <f t="shared" si="5"/>
        <v xml:space="preserve">1.4.4 </v>
      </c>
      <c r="F86" s="480" t="s">
        <v>4141</v>
      </c>
      <c r="G86" s="480" t="s">
        <v>4142</v>
      </c>
      <c r="H86" s="481">
        <v>33</v>
      </c>
      <c r="I86" s="480" t="s">
        <v>4132</v>
      </c>
      <c r="J86" s="495">
        <v>330202100</v>
      </c>
      <c r="K86" s="480" t="s">
        <v>4073</v>
      </c>
      <c r="L86" s="480" t="s">
        <v>4154</v>
      </c>
      <c r="M86" s="480" t="s">
        <v>5727</v>
      </c>
      <c r="N86" s="499">
        <v>0</v>
      </c>
      <c r="O86" s="480" t="s">
        <v>4100</v>
      </c>
      <c r="P86" s="500">
        <v>30</v>
      </c>
      <c r="Q86" s="485" t="s">
        <v>5349</v>
      </c>
      <c r="R86" s="485" t="s">
        <v>5356</v>
      </c>
      <c r="S86" s="485" t="s">
        <v>4959</v>
      </c>
      <c r="T86" s="485">
        <v>117</v>
      </c>
      <c r="U86" s="485" t="s">
        <v>4100</v>
      </c>
      <c r="V86" s="485">
        <v>150</v>
      </c>
      <c r="W86" s="485" t="s">
        <v>5357</v>
      </c>
      <c r="X86" s="485">
        <v>11</v>
      </c>
      <c r="Y86" s="485" t="s">
        <v>5358</v>
      </c>
      <c r="Z86" s="486">
        <v>10000000</v>
      </c>
      <c r="AA86" s="486">
        <v>45000000</v>
      </c>
      <c r="AB86" s="486">
        <v>0</v>
      </c>
      <c r="AC86" s="486">
        <v>0</v>
      </c>
      <c r="AD86" s="486">
        <v>0</v>
      </c>
      <c r="AE86" s="486">
        <v>0</v>
      </c>
      <c r="AF86" s="486">
        <v>0</v>
      </c>
      <c r="AG86" s="486">
        <v>0</v>
      </c>
      <c r="AH86" s="487">
        <v>55000000</v>
      </c>
      <c r="AI86" s="486">
        <v>7000000</v>
      </c>
      <c r="AJ86" s="486">
        <v>0</v>
      </c>
      <c r="AK86" s="486">
        <v>0</v>
      </c>
      <c r="AL86" s="488">
        <v>7000000</v>
      </c>
      <c r="AM86" s="489">
        <v>62000000</v>
      </c>
      <c r="AN86" s="486">
        <v>10500000</v>
      </c>
      <c r="AO86" s="486">
        <v>50000000</v>
      </c>
      <c r="AP86" s="486">
        <v>0</v>
      </c>
      <c r="AQ86" s="486">
        <v>0</v>
      </c>
      <c r="AR86" s="486">
        <v>0</v>
      </c>
      <c r="AS86" s="486">
        <v>0</v>
      </c>
      <c r="AT86" s="486">
        <v>0</v>
      </c>
      <c r="AU86" s="486">
        <v>0</v>
      </c>
      <c r="AV86" s="487">
        <v>60500000</v>
      </c>
      <c r="AW86" s="486">
        <v>7000000</v>
      </c>
      <c r="AX86" s="486">
        <v>0</v>
      </c>
      <c r="AY86" s="486">
        <v>0</v>
      </c>
      <c r="AZ86" s="488">
        <v>7000000</v>
      </c>
      <c r="BA86" s="490">
        <v>67500000</v>
      </c>
      <c r="BB86" s="486">
        <v>11000000</v>
      </c>
      <c r="BC86" s="486">
        <v>55000000</v>
      </c>
      <c r="BD86" s="486">
        <v>0</v>
      </c>
      <c r="BE86" s="486">
        <v>0</v>
      </c>
      <c r="BF86" s="486">
        <v>0</v>
      </c>
      <c r="BG86" s="486">
        <v>0</v>
      </c>
      <c r="BH86" s="486">
        <v>0</v>
      </c>
      <c r="BI86" s="486">
        <v>0</v>
      </c>
      <c r="BJ86" s="487">
        <v>66000000</v>
      </c>
      <c r="BK86" s="486">
        <v>7000000</v>
      </c>
      <c r="BL86" s="486">
        <v>0</v>
      </c>
      <c r="BM86" s="486">
        <v>0</v>
      </c>
      <c r="BN86" s="488">
        <v>7000000</v>
      </c>
      <c r="BO86" s="490">
        <v>73000000</v>
      </c>
      <c r="BP86" s="486">
        <v>11500000</v>
      </c>
      <c r="BQ86" s="486">
        <v>60000000</v>
      </c>
      <c r="BR86" s="486">
        <v>0</v>
      </c>
      <c r="BS86" s="486">
        <v>0</v>
      </c>
      <c r="BT86" s="486">
        <v>0</v>
      </c>
      <c r="BU86" s="486">
        <v>0</v>
      </c>
      <c r="BV86" s="486">
        <v>0</v>
      </c>
      <c r="BW86" s="486">
        <v>0</v>
      </c>
      <c r="BX86" s="487">
        <v>71500000</v>
      </c>
      <c r="BY86" s="486">
        <v>7000000</v>
      </c>
      <c r="BZ86" s="486">
        <v>0</v>
      </c>
      <c r="CA86" s="486">
        <v>0</v>
      </c>
      <c r="CB86" s="488">
        <v>7000000</v>
      </c>
      <c r="CC86" s="491">
        <v>78500000</v>
      </c>
      <c r="CD86" s="492">
        <v>281000000</v>
      </c>
      <c r="CE86" s="493">
        <f t="shared" si="8"/>
        <v>43000000</v>
      </c>
      <c r="CF86" s="493">
        <f t="shared" si="8"/>
        <v>210000000</v>
      </c>
      <c r="CG86" s="493">
        <f t="shared" si="8"/>
        <v>0</v>
      </c>
      <c r="CH86" s="493">
        <f t="shared" si="8"/>
        <v>0</v>
      </c>
      <c r="CI86" s="493">
        <f t="shared" si="8"/>
        <v>0</v>
      </c>
      <c r="CJ86" s="493">
        <f t="shared" si="8"/>
        <v>0</v>
      </c>
      <c r="CK86" s="493">
        <f t="shared" si="8"/>
        <v>0</v>
      </c>
      <c r="CL86" s="493">
        <f t="shared" si="7"/>
        <v>0</v>
      </c>
      <c r="CM86" s="493">
        <f t="shared" si="6"/>
        <v>28000000</v>
      </c>
      <c r="CN86" s="493">
        <f t="shared" si="6"/>
        <v>0</v>
      </c>
      <c r="CO86" s="493">
        <f t="shared" si="6"/>
        <v>0</v>
      </c>
      <c r="CP86" s="494">
        <v>11</v>
      </c>
      <c r="CQ86" s="494" t="s">
        <v>5358</v>
      </c>
    </row>
    <row r="87" spans="1:95" ht="30.45" hidden="1" customHeight="1" thickBot="1">
      <c r="A87" s="555" t="s">
        <v>4101</v>
      </c>
      <c r="B87" s="479">
        <v>85</v>
      </c>
      <c r="C87" s="480" t="s">
        <v>4004</v>
      </c>
      <c r="D87" s="480" t="s">
        <v>4096</v>
      </c>
      <c r="E87" s="480" t="str">
        <f t="shared" si="5"/>
        <v xml:space="preserve">1.4.4 </v>
      </c>
      <c r="F87" s="480" t="s">
        <v>4141</v>
      </c>
      <c r="G87" s="480" t="s">
        <v>4142</v>
      </c>
      <c r="H87" s="481">
        <v>33</v>
      </c>
      <c r="I87" s="480" t="s">
        <v>4132</v>
      </c>
      <c r="J87" s="495">
        <v>330203400</v>
      </c>
      <c r="K87" s="480" t="s">
        <v>4155</v>
      </c>
      <c r="L87" s="480" t="s">
        <v>4156</v>
      </c>
      <c r="M87" s="480" t="s">
        <v>5728</v>
      </c>
      <c r="N87" s="499">
        <v>0</v>
      </c>
      <c r="O87" s="480" t="s">
        <v>4100</v>
      </c>
      <c r="P87" s="500">
        <v>1</v>
      </c>
      <c r="Q87" s="485" t="s">
        <v>5349</v>
      </c>
      <c r="R87" s="485" t="s">
        <v>5356</v>
      </c>
      <c r="S87" s="485" t="s">
        <v>4959</v>
      </c>
      <c r="T87" s="485">
        <v>117</v>
      </c>
      <c r="U87" s="485" t="s">
        <v>4100</v>
      </c>
      <c r="V87" s="485">
        <v>150</v>
      </c>
      <c r="W87" s="485" t="s">
        <v>5357</v>
      </c>
      <c r="X87" s="485">
        <v>11</v>
      </c>
      <c r="Y87" s="485" t="s">
        <v>5358</v>
      </c>
      <c r="Z87" s="486">
        <v>0</v>
      </c>
      <c r="AA87" s="486">
        <v>0</v>
      </c>
      <c r="AB87" s="486">
        <v>0</v>
      </c>
      <c r="AC87" s="486">
        <v>0</v>
      </c>
      <c r="AD87" s="486">
        <v>0</v>
      </c>
      <c r="AE87" s="486">
        <v>0</v>
      </c>
      <c r="AF87" s="486">
        <v>0</v>
      </c>
      <c r="AG87" s="486">
        <v>0</v>
      </c>
      <c r="AH87" s="487">
        <v>0</v>
      </c>
      <c r="AI87" s="486">
        <v>7000000</v>
      </c>
      <c r="AJ87" s="486">
        <v>0</v>
      </c>
      <c r="AK87" s="486">
        <v>0</v>
      </c>
      <c r="AL87" s="488">
        <v>7000000</v>
      </c>
      <c r="AM87" s="489">
        <v>7000000</v>
      </c>
      <c r="AN87" s="486">
        <v>0</v>
      </c>
      <c r="AO87" s="486">
        <v>0</v>
      </c>
      <c r="AP87" s="486">
        <v>0</v>
      </c>
      <c r="AQ87" s="486">
        <v>0</v>
      </c>
      <c r="AR87" s="486">
        <v>0</v>
      </c>
      <c r="AS87" s="486">
        <v>0</v>
      </c>
      <c r="AT87" s="486">
        <v>0</v>
      </c>
      <c r="AU87" s="486">
        <v>0</v>
      </c>
      <c r="AV87" s="487">
        <v>0</v>
      </c>
      <c r="AW87" s="486">
        <v>7000000</v>
      </c>
      <c r="AX87" s="486">
        <v>0</v>
      </c>
      <c r="AY87" s="486">
        <v>0</v>
      </c>
      <c r="AZ87" s="488">
        <v>7000000</v>
      </c>
      <c r="BA87" s="490">
        <v>7000000</v>
      </c>
      <c r="BB87" s="486">
        <v>17000000</v>
      </c>
      <c r="BC87" s="486">
        <v>200000000</v>
      </c>
      <c r="BD87" s="486">
        <v>0</v>
      </c>
      <c r="BE87" s="486">
        <v>0</v>
      </c>
      <c r="BF87" s="486">
        <v>0</v>
      </c>
      <c r="BG87" s="486">
        <v>0</v>
      </c>
      <c r="BH87" s="486">
        <v>0</v>
      </c>
      <c r="BI87" s="486">
        <v>0</v>
      </c>
      <c r="BJ87" s="487">
        <v>217000000</v>
      </c>
      <c r="BK87" s="486">
        <v>7000000</v>
      </c>
      <c r="BL87" s="486">
        <v>0</v>
      </c>
      <c r="BM87" s="486">
        <v>0</v>
      </c>
      <c r="BN87" s="488">
        <v>7000000</v>
      </c>
      <c r="BO87" s="490">
        <v>224000000</v>
      </c>
      <c r="BP87" s="486">
        <v>18000000</v>
      </c>
      <c r="BQ87" s="486">
        <v>0</v>
      </c>
      <c r="BR87" s="486">
        <v>0</v>
      </c>
      <c r="BS87" s="486">
        <v>0</v>
      </c>
      <c r="BT87" s="486">
        <v>0</v>
      </c>
      <c r="BU87" s="486">
        <v>0</v>
      </c>
      <c r="BV87" s="486">
        <v>0</v>
      </c>
      <c r="BW87" s="486">
        <v>0</v>
      </c>
      <c r="BX87" s="487">
        <v>18000000</v>
      </c>
      <c r="BY87" s="486">
        <v>7000000</v>
      </c>
      <c r="BZ87" s="486">
        <v>0</v>
      </c>
      <c r="CA87" s="486">
        <v>0</v>
      </c>
      <c r="CB87" s="488">
        <v>7000000</v>
      </c>
      <c r="CC87" s="491">
        <v>25000000</v>
      </c>
      <c r="CD87" s="492">
        <v>263000000</v>
      </c>
      <c r="CE87" s="493">
        <f t="shared" si="8"/>
        <v>35000000</v>
      </c>
      <c r="CF87" s="493">
        <f t="shared" si="8"/>
        <v>200000000</v>
      </c>
      <c r="CG87" s="493">
        <f t="shared" si="8"/>
        <v>0</v>
      </c>
      <c r="CH87" s="493">
        <f t="shared" si="8"/>
        <v>0</v>
      </c>
      <c r="CI87" s="493">
        <f t="shared" si="8"/>
        <v>0</v>
      </c>
      <c r="CJ87" s="493">
        <f t="shared" si="8"/>
        <v>0</v>
      </c>
      <c r="CK87" s="493">
        <f t="shared" si="8"/>
        <v>0</v>
      </c>
      <c r="CL87" s="493">
        <f t="shared" si="7"/>
        <v>0</v>
      </c>
      <c r="CM87" s="493">
        <f t="shared" si="6"/>
        <v>28000000</v>
      </c>
      <c r="CN87" s="493">
        <f t="shared" si="6"/>
        <v>0</v>
      </c>
      <c r="CO87" s="493">
        <f t="shared" si="6"/>
        <v>0</v>
      </c>
      <c r="CP87" s="494">
        <v>11</v>
      </c>
      <c r="CQ87" s="494" t="s">
        <v>5358</v>
      </c>
    </row>
    <row r="88" spans="1:95" ht="30.45" hidden="1" customHeight="1" thickBot="1">
      <c r="A88" s="555" t="s">
        <v>4101</v>
      </c>
      <c r="B88" s="479">
        <v>86</v>
      </c>
      <c r="C88" s="480" t="s">
        <v>4004</v>
      </c>
      <c r="D88" s="480" t="s">
        <v>4096</v>
      </c>
      <c r="E88" s="480" t="str">
        <f t="shared" si="5"/>
        <v xml:space="preserve">1.4.4 </v>
      </c>
      <c r="F88" s="480" t="s">
        <v>4141</v>
      </c>
      <c r="G88" s="480" t="s">
        <v>4142</v>
      </c>
      <c r="H88" s="481">
        <v>33</v>
      </c>
      <c r="I88" s="480" t="s">
        <v>4132</v>
      </c>
      <c r="J88" s="495">
        <v>330204200</v>
      </c>
      <c r="K88" s="480" t="s">
        <v>4073</v>
      </c>
      <c r="L88" s="480" t="s">
        <v>4157</v>
      </c>
      <c r="M88" s="480" t="s">
        <v>5729</v>
      </c>
      <c r="N88" s="484">
        <v>4</v>
      </c>
      <c r="O88" s="480" t="s">
        <v>4100</v>
      </c>
      <c r="P88" s="500">
        <v>12</v>
      </c>
      <c r="Q88" s="485" t="s">
        <v>5349</v>
      </c>
      <c r="R88" s="485" t="s">
        <v>5356</v>
      </c>
      <c r="S88" s="485" t="s">
        <v>4959</v>
      </c>
      <c r="T88" s="485">
        <v>117</v>
      </c>
      <c r="U88" s="485" t="s">
        <v>4100</v>
      </c>
      <c r="V88" s="485">
        <v>150</v>
      </c>
      <c r="W88" s="485" t="s">
        <v>5357</v>
      </c>
      <c r="X88" s="485">
        <v>11</v>
      </c>
      <c r="Y88" s="485" t="s">
        <v>5358</v>
      </c>
      <c r="Z88" s="486">
        <v>15000000</v>
      </c>
      <c r="AA88" s="486">
        <v>50000000</v>
      </c>
      <c r="AB88" s="486">
        <v>0</v>
      </c>
      <c r="AC88" s="486">
        <v>0</v>
      </c>
      <c r="AD88" s="486">
        <v>0</v>
      </c>
      <c r="AE88" s="486">
        <v>0</v>
      </c>
      <c r="AF88" s="486">
        <v>0</v>
      </c>
      <c r="AG88" s="486">
        <v>0</v>
      </c>
      <c r="AH88" s="487">
        <v>65000000</v>
      </c>
      <c r="AI88" s="486">
        <v>7000000</v>
      </c>
      <c r="AJ88" s="486">
        <v>0</v>
      </c>
      <c r="AK88" s="486">
        <v>0</v>
      </c>
      <c r="AL88" s="488">
        <v>7000000</v>
      </c>
      <c r="AM88" s="489">
        <v>72000000</v>
      </c>
      <c r="AN88" s="486">
        <v>16000000</v>
      </c>
      <c r="AO88" s="486">
        <v>100000000</v>
      </c>
      <c r="AP88" s="486">
        <v>0</v>
      </c>
      <c r="AQ88" s="486">
        <v>0</v>
      </c>
      <c r="AR88" s="486">
        <v>0</v>
      </c>
      <c r="AS88" s="486">
        <v>0</v>
      </c>
      <c r="AT88" s="486">
        <v>0</v>
      </c>
      <c r="AU88" s="486">
        <v>0</v>
      </c>
      <c r="AV88" s="487">
        <v>116000000</v>
      </c>
      <c r="AW88" s="486">
        <v>7000000</v>
      </c>
      <c r="AX88" s="486">
        <v>0</v>
      </c>
      <c r="AY88" s="486">
        <v>0</v>
      </c>
      <c r="AZ88" s="488">
        <v>7000000</v>
      </c>
      <c r="BA88" s="490">
        <v>123000000</v>
      </c>
      <c r="BB88" s="486">
        <v>17000000</v>
      </c>
      <c r="BC88" s="486">
        <v>100000000</v>
      </c>
      <c r="BD88" s="486">
        <v>0</v>
      </c>
      <c r="BE88" s="486">
        <v>0</v>
      </c>
      <c r="BF88" s="486">
        <v>0</v>
      </c>
      <c r="BG88" s="486">
        <v>0</v>
      </c>
      <c r="BH88" s="486">
        <v>0</v>
      </c>
      <c r="BI88" s="486">
        <v>0</v>
      </c>
      <c r="BJ88" s="487">
        <v>117000000</v>
      </c>
      <c r="BK88" s="486">
        <v>7000000</v>
      </c>
      <c r="BL88" s="486">
        <v>0</v>
      </c>
      <c r="BM88" s="486">
        <v>0</v>
      </c>
      <c r="BN88" s="488">
        <v>7000000</v>
      </c>
      <c r="BO88" s="490">
        <v>124000000</v>
      </c>
      <c r="BP88" s="486">
        <v>18000000</v>
      </c>
      <c r="BQ88" s="486">
        <v>100000000</v>
      </c>
      <c r="BR88" s="486">
        <v>0</v>
      </c>
      <c r="BS88" s="486">
        <v>0</v>
      </c>
      <c r="BT88" s="486">
        <v>0</v>
      </c>
      <c r="BU88" s="486">
        <v>0</v>
      </c>
      <c r="BV88" s="486">
        <v>0</v>
      </c>
      <c r="BW88" s="486">
        <v>0</v>
      </c>
      <c r="BX88" s="487">
        <v>118000000</v>
      </c>
      <c r="BY88" s="486">
        <v>7000000</v>
      </c>
      <c r="BZ88" s="486">
        <v>0</v>
      </c>
      <c r="CA88" s="486">
        <v>0</v>
      </c>
      <c r="CB88" s="488">
        <v>7000000</v>
      </c>
      <c r="CC88" s="491">
        <v>125000000</v>
      </c>
      <c r="CD88" s="492">
        <v>444000000</v>
      </c>
      <c r="CE88" s="493">
        <f t="shared" si="8"/>
        <v>66000000</v>
      </c>
      <c r="CF88" s="493">
        <f t="shared" si="8"/>
        <v>350000000</v>
      </c>
      <c r="CG88" s="493">
        <f t="shared" si="8"/>
        <v>0</v>
      </c>
      <c r="CH88" s="493">
        <f t="shared" si="8"/>
        <v>0</v>
      </c>
      <c r="CI88" s="493">
        <f t="shared" si="8"/>
        <v>0</v>
      </c>
      <c r="CJ88" s="493">
        <f t="shared" si="8"/>
        <v>0</v>
      </c>
      <c r="CK88" s="493">
        <f t="shared" si="8"/>
        <v>0</v>
      </c>
      <c r="CL88" s="493">
        <f t="shared" si="7"/>
        <v>0</v>
      </c>
      <c r="CM88" s="493">
        <f t="shared" si="6"/>
        <v>28000000</v>
      </c>
      <c r="CN88" s="493">
        <f t="shared" si="6"/>
        <v>0</v>
      </c>
      <c r="CO88" s="493">
        <f t="shared" si="6"/>
        <v>0</v>
      </c>
      <c r="CP88" s="494">
        <v>11</v>
      </c>
      <c r="CQ88" s="494" t="s">
        <v>5358</v>
      </c>
    </row>
    <row r="89" spans="1:95" ht="30.45" hidden="1" customHeight="1" thickBot="1">
      <c r="A89" s="555" t="s">
        <v>4101</v>
      </c>
      <c r="B89" s="479">
        <v>87</v>
      </c>
      <c r="C89" s="480" t="s">
        <v>4004</v>
      </c>
      <c r="D89" s="480" t="s">
        <v>4096</v>
      </c>
      <c r="E89" s="480" t="str">
        <f t="shared" si="5"/>
        <v xml:space="preserve">1.4.4 </v>
      </c>
      <c r="F89" s="480" t="s">
        <v>4141</v>
      </c>
      <c r="G89" s="480" t="s">
        <v>4142</v>
      </c>
      <c r="H89" s="481">
        <v>33</v>
      </c>
      <c r="I89" s="480" t="s">
        <v>4132</v>
      </c>
      <c r="J89" s="495">
        <v>330204900</v>
      </c>
      <c r="K89" s="480" t="s">
        <v>4158</v>
      </c>
      <c r="L89" s="480" t="s">
        <v>4159</v>
      </c>
      <c r="M89" s="480" t="s">
        <v>5730</v>
      </c>
      <c r="N89" s="484">
        <v>38</v>
      </c>
      <c r="O89" s="480" t="s">
        <v>4100</v>
      </c>
      <c r="P89" s="500">
        <v>42</v>
      </c>
      <c r="Q89" s="485" t="s">
        <v>5349</v>
      </c>
      <c r="R89" s="485" t="s">
        <v>5356</v>
      </c>
      <c r="S89" s="485" t="s">
        <v>4959</v>
      </c>
      <c r="T89" s="485">
        <v>117</v>
      </c>
      <c r="U89" s="485" t="s">
        <v>4100</v>
      </c>
      <c r="V89" s="485">
        <v>150</v>
      </c>
      <c r="W89" s="485" t="s">
        <v>5357</v>
      </c>
      <c r="X89" s="485">
        <v>11</v>
      </c>
      <c r="Y89" s="485" t="s">
        <v>5358</v>
      </c>
      <c r="Z89" s="486">
        <v>45000000</v>
      </c>
      <c r="AA89" s="486">
        <v>195000000</v>
      </c>
      <c r="AB89" s="486">
        <v>0</v>
      </c>
      <c r="AC89" s="486">
        <v>0</v>
      </c>
      <c r="AD89" s="486">
        <v>0</v>
      </c>
      <c r="AE89" s="486">
        <v>0</v>
      </c>
      <c r="AF89" s="486">
        <v>0</v>
      </c>
      <c r="AG89" s="486">
        <v>0</v>
      </c>
      <c r="AH89" s="487">
        <v>240000000</v>
      </c>
      <c r="AI89" s="486">
        <v>7000000</v>
      </c>
      <c r="AJ89" s="486">
        <v>0</v>
      </c>
      <c r="AK89" s="486">
        <v>0</v>
      </c>
      <c r="AL89" s="488">
        <v>7000000</v>
      </c>
      <c r="AM89" s="489">
        <v>247000000</v>
      </c>
      <c r="AN89" s="486">
        <v>48000000</v>
      </c>
      <c r="AO89" s="486">
        <v>195000000</v>
      </c>
      <c r="AP89" s="486">
        <v>0</v>
      </c>
      <c r="AQ89" s="486">
        <v>0</v>
      </c>
      <c r="AR89" s="486">
        <v>0</v>
      </c>
      <c r="AS89" s="486">
        <v>0</v>
      </c>
      <c r="AT89" s="486">
        <v>0</v>
      </c>
      <c r="AU89" s="486">
        <v>0</v>
      </c>
      <c r="AV89" s="487">
        <v>243000000</v>
      </c>
      <c r="AW89" s="486">
        <v>7000000</v>
      </c>
      <c r="AX89" s="486">
        <v>0</v>
      </c>
      <c r="AY89" s="486">
        <v>0</v>
      </c>
      <c r="AZ89" s="488">
        <v>7000000</v>
      </c>
      <c r="BA89" s="490">
        <v>250000000</v>
      </c>
      <c r="BB89" s="486">
        <v>51000000</v>
      </c>
      <c r="BC89" s="486">
        <v>195000000</v>
      </c>
      <c r="BD89" s="486">
        <v>0</v>
      </c>
      <c r="BE89" s="486">
        <v>0</v>
      </c>
      <c r="BF89" s="486">
        <v>0</v>
      </c>
      <c r="BG89" s="486">
        <v>0</v>
      </c>
      <c r="BH89" s="486">
        <v>0</v>
      </c>
      <c r="BI89" s="486">
        <v>0</v>
      </c>
      <c r="BJ89" s="487">
        <v>246000000</v>
      </c>
      <c r="BK89" s="486">
        <v>7000000</v>
      </c>
      <c r="BL89" s="486">
        <v>0</v>
      </c>
      <c r="BM89" s="486">
        <v>0</v>
      </c>
      <c r="BN89" s="488">
        <v>7000000</v>
      </c>
      <c r="BO89" s="490">
        <v>253000000</v>
      </c>
      <c r="BP89" s="486">
        <v>54000000</v>
      </c>
      <c r="BQ89" s="486">
        <v>195000000</v>
      </c>
      <c r="BR89" s="486">
        <v>0</v>
      </c>
      <c r="BS89" s="486">
        <v>0</v>
      </c>
      <c r="BT89" s="486">
        <v>0</v>
      </c>
      <c r="BU89" s="486">
        <v>0</v>
      </c>
      <c r="BV89" s="486">
        <v>0</v>
      </c>
      <c r="BW89" s="486">
        <v>0</v>
      </c>
      <c r="BX89" s="487">
        <v>249000000</v>
      </c>
      <c r="BY89" s="486">
        <v>7000000</v>
      </c>
      <c r="BZ89" s="486">
        <v>0</v>
      </c>
      <c r="CA89" s="486">
        <v>0</v>
      </c>
      <c r="CB89" s="488">
        <v>7000000</v>
      </c>
      <c r="CC89" s="491">
        <v>256000000</v>
      </c>
      <c r="CD89" s="492">
        <v>1006000000</v>
      </c>
      <c r="CE89" s="493">
        <f t="shared" si="8"/>
        <v>198000000</v>
      </c>
      <c r="CF89" s="493">
        <f t="shared" si="8"/>
        <v>780000000</v>
      </c>
      <c r="CG89" s="493">
        <f t="shared" si="8"/>
        <v>0</v>
      </c>
      <c r="CH89" s="493">
        <f t="shared" si="8"/>
        <v>0</v>
      </c>
      <c r="CI89" s="493">
        <f t="shared" si="8"/>
        <v>0</v>
      </c>
      <c r="CJ89" s="493">
        <f t="shared" si="8"/>
        <v>0</v>
      </c>
      <c r="CK89" s="493">
        <f t="shared" si="8"/>
        <v>0</v>
      </c>
      <c r="CL89" s="493">
        <f t="shared" si="7"/>
        <v>0</v>
      </c>
      <c r="CM89" s="493">
        <f t="shared" si="6"/>
        <v>28000000</v>
      </c>
      <c r="CN89" s="493">
        <f t="shared" si="6"/>
        <v>0</v>
      </c>
      <c r="CO89" s="493">
        <f t="shared" si="6"/>
        <v>0</v>
      </c>
      <c r="CP89" s="494">
        <v>11</v>
      </c>
      <c r="CQ89" s="494" t="s">
        <v>5358</v>
      </c>
    </row>
    <row r="90" spans="1:95" ht="30.45" hidden="1" customHeight="1" thickBot="1">
      <c r="A90" s="555" t="s">
        <v>4101</v>
      </c>
      <c r="B90" s="479">
        <v>88</v>
      </c>
      <c r="C90" s="480" t="s">
        <v>4004</v>
      </c>
      <c r="D90" s="480" t="s">
        <v>4096</v>
      </c>
      <c r="E90" s="480" t="str">
        <f t="shared" si="5"/>
        <v xml:space="preserve">1.4.4 </v>
      </c>
      <c r="F90" s="480" t="s">
        <v>4141</v>
      </c>
      <c r="G90" s="480" t="s">
        <v>4142</v>
      </c>
      <c r="H90" s="481">
        <v>33</v>
      </c>
      <c r="I90" s="480" t="s">
        <v>4132</v>
      </c>
      <c r="J90" s="495">
        <v>330205300</v>
      </c>
      <c r="K90" s="480" t="s">
        <v>4155</v>
      </c>
      <c r="L90" s="480" t="s">
        <v>4160</v>
      </c>
      <c r="M90" s="480" t="s">
        <v>5731</v>
      </c>
      <c r="N90" s="484">
        <v>5</v>
      </c>
      <c r="O90" s="480" t="s">
        <v>4100</v>
      </c>
      <c r="P90" s="500">
        <v>20</v>
      </c>
      <c r="Q90" s="485" t="s">
        <v>5349</v>
      </c>
      <c r="R90" s="485" t="s">
        <v>5356</v>
      </c>
      <c r="S90" s="485" t="s">
        <v>4959</v>
      </c>
      <c r="T90" s="485">
        <v>117</v>
      </c>
      <c r="U90" s="485" t="s">
        <v>4100</v>
      </c>
      <c r="V90" s="485">
        <v>150</v>
      </c>
      <c r="W90" s="485" t="s">
        <v>5357</v>
      </c>
      <c r="X90" s="485">
        <v>11</v>
      </c>
      <c r="Y90" s="485" t="s">
        <v>5358</v>
      </c>
      <c r="Z90" s="486">
        <v>15000000</v>
      </c>
      <c r="AA90" s="486">
        <v>18000000</v>
      </c>
      <c r="AB90" s="486">
        <v>0</v>
      </c>
      <c r="AC90" s="486">
        <v>0</v>
      </c>
      <c r="AD90" s="486">
        <v>0</v>
      </c>
      <c r="AE90" s="486">
        <v>0</v>
      </c>
      <c r="AF90" s="486">
        <v>0</v>
      </c>
      <c r="AG90" s="486">
        <v>0</v>
      </c>
      <c r="AH90" s="487">
        <v>33000000</v>
      </c>
      <c r="AI90" s="486">
        <v>7000000</v>
      </c>
      <c r="AJ90" s="486">
        <v>0</v>
      </c>
      <c r="AK90" s="486">
        <v>0</v>
      </c>
      <c r="AL90" s="488">
        <v>7000000</v>
      </c>
      <c r="AM90" s="489">
        <v>40000000</v>
      </c>
      <c r="AN90" s="486">
        <v>16000000</v>
      </c>
      <c r="AO90" s="486">
        <v>20080000</v>
      </c>
      <c r="AP90" s="486">
        <v>0</v>
      </c>
      <c r="AQ90" s="486">
        <v>0</v>
      </c>
      <c r="AR90" s="486">
        <v>0</v>
      </c>
      <c r="AS90" s="486">
        <v>0</v>
      </c>
      <c r="AT90" s="486">
        <v>0</v>
      </c>
      <c r="AU90" s="486">
        <v>0</v>
      </c>
      <c r="AV90" s="487">
        <v>36080000</v>
      </c>
      <c r="AW90" s="486">
        <v>7000000</v>
      </c>
      <c r="AX90" s="486">
        <v>0</v>
      </c>
      <c r="AY90" s="486">
        <v>0</v>
      </c>
      <c r="AZ90" s="488">
        <v>7000000</v>
      </c>
      <c r="BA90" s="490">
        <v>43080000</v>
      </c>
      <c r="BB90" s="486">
        <v>17000000</v>
      </c>
      <c r="BC90" s="486">
        <v>22843200</v>
      </c>
      <c r="BD90" s="486">
        <v>0</v>
      </c>
      <c r="BE90" s="486">
        <v>0</v>
      </c>
      <c r="BF90" s="486">
        <v>0</v>
      </c>
      <c r="BG90" s="486">
        <v>0</v>
      </c>
      <c r="BH90" s="486">
        <v>0</v>
      </c>
      <c r="BI90" s="486">
        <v>0</v>
      </c>
      <c r="BJ90" s="487">
        <v>39843200</v>
      </c>
      <c r="BK90" s="486">
        <v>7000000</v>
      </c>
      <c r="BL90" s="486">
        <v>0</v>
      </c>
      <c r="BM90" s="486">
        <v>0</v>
      </c>
      <c r="BN90" s="488">
        <v>7000000</v>
      </c>
      <c r="BO90" s="490">
        <v>46843200</v>
      </c>
      <c r="BP90" s="486">
        <v>18000000</v>
      </c>
      <c r="BQ90" s="486">
        <v>26316928</v>
      </c>
      <c r="BR90" s="486">
        <v>0</v>
      </c>
      <c r="BS90" s="486">
        <v>0</v>
      </c>
      <c r="BT90" s="486">
        <v>0</v>
      </c>
      <c r="BU90" s="486">
        <v>0</v>
      </c>
      <c r="BV90" s="486">
        <v>0</v>
      </c>
      <c r="BW90" s="486">
        <v>0</v>
      </c>
      <c r="BX90" s="487">
        <v>44316928</v>
      </c>
      <c r="BY90" s="486">
        <v>7000000</v>
      </c>
      <c r="BZ90" s="486">
        <v>0</v>
      </c>
      <c r="CA90" s="486">
        <v>0</v>
      </c>
      <c r="CB90" s="488">
        <v>7000000</v>
      </c>
      <c r="CC90" s="491">
        <v>51316928</v>
      </c>
      <c r="CD90" s="492">
        <v>181240128</v>
      </c>
      <c r="CE90" s="493">
        <f t="shared" si="8"/>
        <v>66000000</v>
      </c>
      <c r="CF90" s="493">
        <f t="shared" si="8"/>
        <v>87240128</v>
      </c>
      <c r="CG90" s="493">
        <f t="shared" si="8"/>
        <v>0</v>
      </c>
      <c r="CH90" s="493">
        <f t="shared" si="8"/>
        <v>0</v>
      </c>
      <c r="CI90" s="493">
        <f t="shared" si="8"/>
        <v>0</v>
      </c>
      <c r="CJ90" s="493">
        <f t="shared" si="8"/>
        <v>0</v>
      </c>
      <c r="CK90" s="493">
        <f t="shared" si="8"/>
        <v>0</v>
      </c>
      <c r="CL90" s="493">
        <f t="shared" si="7"/>
        <v>0</v>
      </c>
      <c r="CM90" s="493">
        <f t="shared" si="6"/>
        <v>28000000</v>
      </c>
      <c r="CN90" s="493">
        <f t="shared" si="6"/>
        <v>0</v>
      </c>
      <c r="CO90" s="493">
        <f t="shared" si="6"/>
        <v>0</v>
      </c>
      <c r="CP90" s="494">
        <v>11</v>
      </c>
      <c r="CQ90" s="494" t="s">
        <v>5358</v>
      </c>
    </row>
    <row r="91" spans="1:95" ht="30.45" hidden="1" customHeight="1" thickBot="1">
      <c r="A91" s="555" t="s">
        <v>4101</v>
      </c>
      <c r="B91" s="479">
        <v>89</v>
      </c>
      <c r="C91" s="480" t="s">
        <v>4004</v>
      </c>
      <c r="D91" s="480" t="s">
        <v>4096</v>
      </c>
      <c r="E91" s="480" t="str">
        <f t="shared" si="5"/>
        <v xml:space="preserve">1.4.4 </v>
      </c>
      <c r="F91" s="480" t="s">
        <v>4141</v>
      </c>
      <c r="G91" s="480" t="s">
        <v>4142</v>
      </c>
      <c r="H91" s="481">
        <v>33</v>
      </c>
      <c r="I91" s="480" t="s">
        <v>4132</v>
      </c>
      <c r="J91" s="495">
        <v>330205400</v>
      </c>
      <c r="K91" s="480" t="s">
        <v>4073</v>
      </c>
      <c r="L91" s="480" t="s">
        <v>4161</v>
      </c>
      <c r="M91" s="480" t="s">
        <v>5732</v>
      </c>
      <c r="N91" s="484">
        <v>20</v>
      </c>
      <c r="O91" s="480" t="s">
        <v>4100</v>
      </c>
      <c r="P91" s="500">
        <v>52</v>
      </c>
      <c r="Q91" s="485" t="s">
        <v>5349</v>
      </c>
      <c r="R91" s="485" t="s">
        <v>5356</v>
      </c>
      <c r="S91" s="485" t="s">
        <v>4959</v>
      </c>
      <c r="T91" s="485">
        <v>117</v>
      </c>
      <c r="U91" s="485" t="s">
        <v>4100</v>
      </c>
      <c r="V91" s="485">
        <v>150</v>
      </c>
      <c r="W91" s="485" t="s">
        <v>5357</v>
      </c>
      <c r="X91" s="485">
        <v>11</v>
      </c>
      <c r="Y91" s="485" t="s">
        <v>5358</v>
      </c>
      <c r="Z91" s="486">
        <v>120000000</v>
      </c>
      <c r="AA91" s="486">
        <v>100000000</v>
      </c>
      <c r="AB91" s="486">
        <v>0</v>
      </c>
      <c r="AC91" s="486">
        <v>0</v>
      </c>
      <c r="AD91" s="486">
        <v>0</v>
      </c>
      <c r="AE91" s="486">
        <v>0</v>
      </c>
      <c r="AF91" s="486">
        <v>0</v>
      </c>
      <c r="AG91" s="486">
        <v>0</v>
      </c>
      <c r="AH91" s="487">
        <v>220000000</v>
      </c>
      <c r="AI91" s="486">
        <v>7000000</v>
      </c>
      <c r="AJ91" s="486">
        <v>0</v>
      </c>
      <c r="AK91" s="486">
        <v>0</v>
      </c>
      <c r="AL91" s="488">
        <v>7000000</v>
      </c>
      <c r="AM91" s="489">
        <v>227000000</v>
      </c>
      <c r="AN91" s="486">
        <v>88000000</v>
      </c>
      <c r="AO91" s="486">
        <v>100000000</v>
      </c>
      <c r="AP91" s="486">
        <v>0</v>
      </c>
      <c r="AQ91" s="486">
        <v>0</v>
      </c>
      <c r="AR91" s="486">
        <v>0</v>
      </c>
      <c r="AS91" s="486">
        <v>0</v>
      </c>
      <c r="AT91" s="486">
        <v>0</v>
      </c>
      <c r="AU91" s="486">
        <v>0</v>
      </c>
      <c r="AV91" s="487">
        <v>188000000</v>
      </c>
      <c r="AW91" s="486">
        <v>7000000</v>
      </c>
      <c r="AX91" s="486">
        <v>0</v>
      </c>
      <c r="AY91" s="486">
        <v>0</v>
      </c>
      <c r="AZ91" s="488">
        <v>7000000</v>
      </c>
      <c r="BA91" s="490">
        <v>195000000</v>
      </c>
      <c r="BB91" s="486">
        <v>92000000</v>
      </c>
      <c r="BC91" s="486">
        <v>150000000</v>
      </c>
      <c r="BD91" s="486">
        <v>0</v>
      </c>
      <c r="BE91" s="486">
        <v>0</v>
      </c>
      <c r="BF91" s="486">
        <v>0</v>
      </c>
      <c r="BG91" s="486">
        <v>0</v>
      </c>
      <c r="BH91" s="486">
        <v>0</v>
      </c>
      <c r="BI91" s="486">
        <v>0</v>
      </c>
      <c r="BJ91" s="487">
        <v>242000000</v>
      </c>
      <c r="BK91" s="486">
        <v>7000000</v>
      </c>
      <c r="BL91" s="486">
        <v>0</v>
      </c>
      <c r="BM91" s="486">
        <v>0</v>
      </c>
      <c r="BN91" s="488">
        <v>7000000</v>
      </c>
      <c r="BO91" s="490">
        <v>249000000</v>
      </c>
      <c r="BP91" s="486">
        <v>88000000</v>
      </c>
      <c r="BQ91" s="486">
        <v>170000000</v>
      </c>
      <c r="BR91" s="486">
        <v>0</v>
      </c>
      <c r="BS91" s="486">
        <v>0</v>
      </c>
      <c r="BT91" s="486">
        <v>0</v>
      </c>
      <c r="BU91" s="486">
        <v>0</v>
      </c>
      <c r="BV91" s="486">
        <v>0</v>
      </c>
      <c r="BW91" s="486">
        <v>0</v>
      </c>
      <c r="BX91" s="487">
        <v>258000000</v>
      </c>
      <c r="BY91" s="486">
        <v>7000000</v>
      </c>
      <c r="BZ91" s="486">
        <v>0</v>
      </c>
      <c r="CA91" s="486">
        <v>0</v>
      </c>
      <c r="CB91" s="488">
        <v>7000000</v>
      </c>
      <c r="CC91" s="491">
        <v>265000000</v>
      </c>
      <c r="CD91" s="492">
        <v>936000000</v>
      </c>
      <c r="CE91" s="493">
        <f t="shared" si="8"/>
        <v>388000000</v>
      </c>
      <c r="CF91" s="493">
        <f t="shared" si="8"/>
        <v>520000000</v>
      </c>
      <c r="CG91" s="493">
        <f t="shared" si="8"/>
        <v>0</v>
      </c>
      <c r="CH91" s="493">
        <f t="shared" si="8"/>
        <v>0</v>
      </c>
      <c r="CI91" s="493">
        <f t="shared" si="8"/>
        <v>0</v>
      </c>
      <c r="CJ91" s="493">
        <f t="shared" si="8"/>
        <v>0</v>
      </c>
      <c r="CK91" s="493">
        <f t="shared" si="8"/>
        <v>0</v>
      </c>
      <c r="CL91" s="493">
        <f t="shared" si="7"/>
        <v>0</v>
      </c>
      <c r="CM91" s="493">
        <f t="shared" si="6"/>
        <v>28000000</v>
      </c>
      <c r="CN91" s="493">
        <f t="shared" si="6"/>
        <v>0</v>
      </c>
      <c r="CO91" s="493">
        <f t="shared" si="6"/>
        <v>0</v>
      </c>
      <c r="CP91" s="494">
        <v>11</v>
      </c>
      <c r="CQ91" s="494" t="s">
        <v>5358</v>
      </c>
    </row>
    <row r="92" spans="1:95" ht="30.45" hidden="1" customHeight="1" thickBot="1">
      <c r="A92" s="555" t="s">
        <v>4101</v>
      </c>
      <c r="B92" s="479">
        <v>90</v>
      </c>
      <c r="C92" s="480" t="s">
        <v>4004</v>
      </c>
      <c r="D92" s="480" t="s">
        <v>4096</v>
      </c>
      <c r="E92" s="480" t="str">
        <f t="shared" si="5"/>
        <v xml:space="preserve">1.4.4 </v>
      </c>
      <c r="F92" s="480" t="s">
        <v>4141</v>
      </c>
      <c r="G92" s="480" t="s">
        <v>4142</v>
      </c>
      <c r="H92" s="481">
        <v>33</v>
      </c>
      <c r="I92" s="480" t="s">
        <v>4132</v>
      </c>
      <c r="J92" s="495">
        <v>330207000</v>
      </c>
      <c r="K92" s="480" t="s">
        <v>4162</v>
      </c>
      <c r="L92" s="480" t="s">
        <v>4163</v>
      </c>
      <c r="M92" s="480" t="s">
        <v>5733</v>
      </c>
      <c r="N92" s="484">
        <v>4</v>
      </c>
      <c r="O92" s="480" t="s">
        <v>4100</v>
      </c>
      <c r="P92" s="500">
        <v>28</v>
      </c>
      <c r="Q92" s="485" t="s">
        <v>5349</v>
      </c>
      <c r="R92" s="485" t="s">
        <v>5356</v>
      </c>
      <c r="S92" s="485" t="s">
        <v>4959</v>
      </c>
      <c r="T92" s="485">
        <v>117</v>
      </c>
      <c r="U92" s="485" t="s">
        <v>4100</v>
      </c>
      <c r="V92" s="485">
        <v>150</v>
      </c>
      <c r="W92" s="485" t="s">
        <v>5357</v>
      </c>
      <c r="X92" s="485">
        <v>11</v>
      </c>
      <c r="Y92" s="485" t="s">
        <v>5358</v>
      </c>
      <c r="Z92" s="486">
        <v>145000000</v>
      </c>
      <c r="AA92" s="486">
        <v>25000000</v>
      </c>
      <c r="AB92" s="486">
        <v>0</v>
      </c>
      <c r="AC92" s="486">
        <v>0</v>
      </c>
      <c r="AD92" s="486">
        <v>0</v>
      </c>
      <c r="AE92" s="486">
        <v>0</v>
      </c>
      <c r="AF92" s="486">
        <v>0</v>
      </c>
      <c r="AG92" s="486">
        <v>0</v>
      </c>
      <c r="AH92" s="487">
        <v>170000000</v>
      </c>
      <c r="AI92" s="486">
        <v>70000000</v>
      </c>
      <c r="AJ92" s="486">
        <v>0</v>
      </c>
      <c r="AK92" s="486">
        <v>0</v>
      </c>
      <c r="AL92" s="488">
        <v>70000000</v>
      </c>
      <c r="AM92" s="489">
        <v>240000000</v>
      </c>
      <c r="AN92" s="486">
        <v>163000000</v>
      </c>
      <c r="AO92" s="486">
        <v>30000000</v>
      </c>
      <c r="AP92" s="486">
        <v>0</v>
      </c>
      <c r="AQ92" s="486">
        <v>0</v>
      </c>
      <c r="AR92" s="486">
        <v>0</v>
      </c>
      <c r="AS92" s="486">
        <v>0</v>
      </c>
      <c r="AT92" s="486">
        <v>0</v>
      </c>
      <c r="AU92" s="486">
        <v>0</v>
      </c>
      <c r="AV92" s="487">
        <v>193000000</v>
      </c>
      <c r="AW92" s="486">
        <v>7000000</v>
      </c>
      <c r="AX92" s="486">
        <v>0</v>
      </c>
      <c r="AY92" s="486">
        <v>0</v>
      </c>
      <c r="AZ92" s="488">
        <v>7000000</v>
      </c>
      <c r="BA92" s="490">
        <v>200000000</v>
      </c>
      <c r="BB92" s="486">
        <v>183000000</v>
      </c>
      <c r="BC92" s="486">
        <v>35000000</v>
      </c>
      <c r="BD92" s="486">
        <v>0</v>
      </c>
      <c r="BE92" s="486">
        <v>0</v>
      </c>
      <c r="BF92" s="486">
        <v>0</v>
      </c>
      <c r="BG92" s="486">
        <v>0</v>
      </c>
      <c r="BH92" s="486">
        <v>0</v>
      </c>
      <c r="BI92" s="486">
        <v>0</v>
      </c>
      <c r="BJ92" s="487">
        <v>218000000</v>
      </c>
      <c r="BK92" s="486">
        <v>70000000</v>
      </c>
      <c r="BL92" s="486">
        <v>0</v>
      </c>
      <c r="BM92" s="486">
        <v>0</v>
      </c>
      <c r="BN92" s="488">
        <v>70000000</v>
      </c>
      <c r="BO92" s="490">
        <v>288000000</v>
      </c>
      <c r="BP92" s="486">
        <v>206000000</v>
      </c>
      <c r="BQ92" s="486">
        <v>40000000</v>
      </c>
      <c r="BR92" s="486">
        <v>0</v>
      </c>
      <c r="BS92" s="486">
        <v>0</v>
      </c>
      <c r="BT92" s="486">
        <v>0</v>
      </c>
      <c r="BU92" s="486">
        <v>0</v>
      </c>
      <c r="BV92" s="486">
        <v>0</v>
      </c>
      <c r="BW92" s="486">
        <v>0</v>
      </c>
      <c r="BX92" s="487">
        <v>246000000</v>
      </c>
      <c r="BY92" s="486">
        <v>7000000</v>
      </c>
      <c r="BZ92" s="486">
        <v>0</v>
      </c>
      <c r="CA92" s="486">
        <v>0</v>
      </c>
      <c r="CB92" s="488">
        <v>7000000</v>
      </c>
      <c r="CC92" s="491">
        <v>253000000</v>
      </c>
      <c r="CD92" s="492">
        <v>981000000</v>
      </c>
      <c r="CE92" s="493">
        <f t="shared" si="8"/>
        <v>697000000</v>
      </c>
      <c r="CF92" s="493">
        <f t="shared" si="8"/>
        <v>130000000</v>
      </c>
      <c r="CG92" s="493">
        <f t="shared" si="8"/>
        <v>0</v>
      </c>
      <c r="CH92" s="493">
        <f t="shared" si="8"/>
        <v>0</v>
      </c>
      <c r="CI92" s="493">
        <f t="shared" si="8"/>
        <v>0</v>
      </c>
      <c r="CJ92" s="493">
        <f t="shared" si="8"/>
        <v>0</v>
      </c>
      <c r="CK92" s="493">
        <f t="shared" si="8"/>
        <v>0</v>
      </c>
      <c r="CL92" s="493">
        <f t="shared" si="7"/>
        <v>0</v>
      </c>
      <c r="CM92" s="493">
        <f t="shared" si="6"/>
        <v>154000000</v>
      </c>
      <c r="CN92" s="493">
        <f t="shared" si="6"/>
        <v>0</v>
      </c>
      <c r="CO92" s="493">
        <f t="shared" si="6"/>
        <v>0</v>
      </c>
      <c r="CP92" s="494">
        <v>11</v>
      </c>
      <c r="CQ92" s="494" t="s">
        <v>5358</v>
      </c>
    </row>
    <row r="93" spans="1:95" ht="30.45" hidden="1" customHeight="1" thickBot="1">
      <c r="A93" s="555" t="s">
        <v>4101</v>
      </c>
      <c r="B93" s="479">
        <v>91</v>
      </c>
      <c r="C93" s="480" t="s">
        <v>4004</v>
      </c>
      <c r="D93" s="480" t="s">
        <v>4096</v>
      </c>
      <c r="E93" s="480" t="str">
        <f t="shared" si="5"/>
        <v xml:space="preserve">1.4.4 </v>
      </c>
      <c r="F93" s="480" t="s">
        <v>4141</v>
      </c>
      <c r="G93" s="480" t="s">
        <v>4142</v>
      </c>
      <c r="H93" s="481">
        <v>33</v>
      </c>
      <c r="I93" s="480" t="s">
        <v>4132</v>
      </c>
      <c r="J93" s="495">
        <v>330207300</v>
      </c>
      <c r="K93" s="480" t="s">
        <v>4164</v>
      </c>
      <c r="L93" s="480" t="s">
        <v>6455</v>
      </c>
      <c r="M93" s="480" t="s">
        <v>5734</v>
      </c>
      <c r="N93" s="484">
        <v>21</v>
      </c>
      <c r="O93" s="480" t="s">
        <v>4100</v>
      </c>
      <c r="P93" s="500">
        <v>25</v>
      </c>
      <c r="Q93" s="485" t="s">
        <v>5349</v>
      </c>
      <c r="R93" s="485" t="s">
        <v>5356</v>
      </c>
      <c r="S93" s="485" t="s">
        <v>4959</v>
      </c>
      <c r="T93" s="485">
        <v>117</v>
      </c>
      <c r="U93" s="485" t="s">
        <v>4100</v>
      </c>
      <c r="V93" s="485">
        <v>150</v>
      </c>
      <c r="W93" s="485" t="s">
        <v>5357</v>
      </c>
      <c r="X93" s="485">
        <v>11</v>
      </c>
      <c r="Y93" s="485" t="s">
        <v>5358</v>
      </c>
      <c r="Z93" s="486">
        <v>0</v>
      </c>
      <c r="AA93" s="486">
        <v>541300000</v>
      </c>
      <c r="AB93" s="486">
        <v>0</v>
      </c>
      <c r="AC93" s="486">
        <v>0</v>
      </c>
      <c r="AD93" s="486">
        <v>0</v>
      </c>
      <c r="AE93" s="486">
        <v>0</v>
      </c>
      <c r="AF93" s="486">
        <v>0</v>
      </c>
      <c r="AG93" s="486">
        <v>0</v>
      </c>
      <c r="AH93" s="487">
        <v>541300000</v>
      </c>
      <c r="AI93" s="486">
        <v>15507000000</v>
      </c>
      <c r="AJ93" s="486">
        <v>0</v>
      </c>
      <c r="AK93" s="486">
        <v>0</v>
      </c>
      <c r="AL93" s="488">
        <v>15507000000</v>
      </c>
      <c r="AM93" s="489">
        <v>16048300000</v>
      </c>
      <c r="AN93" s="486">
        <v>16000000</v>
      </c>
      <c r="AO93" s="486">
        <v>661352000</v>
      </c>
      <c r="AP93" s="486">
        <v>0</v>
      </c>
      <c r="AQ93" s="486">
        <v>0</v>
      </c>
      <c r="AR93" s="486">
        <v>0</v>
      </c>
      <c r="AS93" s="486">
        <v>0</v>
      </c>
      <c r="AT93" s="486">
        <v>0</v>
      </c>
      <c r="AU93" s="486">
        <v>0</v>
      </c>
      <c r="AV93" s="487">
        <v>677352000</v>
      </c>
      <c r="AW93" s="486">
        <v>29507000000</v>
      </c>
      <c r="AX93" s="486">
        <v>0</v>
      </c>
      <c r="AY93" s="486">
        <v>0</v>
      </c>
      <c r="AZ93" s="488">
        <v>29507000000</v>
      </c>
      <c r="BA93" s="490">
        <v>30184352000</v>
      </c>
      <c r="BB93" s="486">
        <v>17000000</v>
      </c>
      <c r="BC93" s="486">
        <v>598406080</v>
      </c>
      <c r="BD93" s="486">
        <v>0</v>
      </c>
      <c r="BE93" s="486">
        <v>0</v>
      </c>
      <c r="BF93" s="486">
        <v>0</v>
      </c>
      <c r="BG93" s="486">
        <v>0</v>
      </c>
      <c r="BH93" s="486">
        <v>0</v>
      </c>
      <c r="BI93" s="486">
        <v>0</v>
      </c>
      <c r="BJ93" s="487">
        <v>615406080</v>
      </c>
      <c r="BK93" s="486">
        <v>29507000000</v>
      </c>
      <c r="BL93" s="486">
        <v>0</v>
      </c>
      <c r="BM93" s="486">
        <v>0</v>
      </c>
      <c r="BN93" s="488">
        <v>29507000000</v>
      </c>
      <c r="BO93" s="490">
        <v>30122406080</v>
      </c>
      <c r="BP93" s="486">
        <v>18000000</v>
      </c>
      <c r="BQ93" s="486">
        <v>812542323</v>
      </c>
      <c r="BR93" s="486">
        <v>0</v>
      </c>
      <c r="BS93" s="486">
        <v>0</v>
      </c>
      <c r="BT93" s="486">
        <v>0</v>
      </c>
      <c r="BU93" s="486">
        <v>0</v>
      </c>
      <c r="BV93" s="486">
        <v>0</v>
      </c>
      <c r="BW93" s="486">
        <v>0</v>
      </c>
      <c r="BX93" s="487">
        <v>830542323</v>
      </c>
      <c r="BY93" s="486">
        <v>7000000</v>
      </c>
      <c r="BZ93" s="486">
        <v>0</v>
      </c>
      <c r="CA93" s="486">
        <v>0</v>
      </c>
      <c r="CB93" s="488">
        <v>7000000</v>
      </c>
      <c r="CC93" s="491">
        <v>837542323</v>
      </c>
      <c r="CD93" s="492">
        <v>77192600403</v>
      </c>
      <c r="CE93" s="493">
        <f t="shared" si="8"/>
        <v>51000000</v>
      </c>
      <c r="CF93" s="493">
        <f t="shared" si="8"/>
        <v>2613600403</v>
      </c>
      <c r="CG93" s="493">
        <f t="shared" si="8"/>
        <v>0</v>
      </c>
      <c r="CH93" s="493">
        <f t="shared" si="8"/>
        <v>0</v>
      </c>
      <c r="CI93" s="493">
        <f t="shared" si="8"/>
        <v>0</v>
      </c>
      <c r="CJ93" s="493">
        <f t="shared" si="8"/>
        <v>0</v>
      </c>
      <c r="CK93" s="493">
        <f t="shared" si="8"/>
        <v>0</v>
      </c>
      <c r="CL93" s="493">
        <f t="shared" si="7"/>
        <v>0</v>
      </c>
      <c r="CM93" s="493">
        <f t="shared" si="6"/>
        <v>74528000000</v>
      </c>
      <c r="CN93" s="493">
        <f t="shared" si="6"/>
        <v>0</v>
      </c>
      <c r="CO93" s="493">
        <f t="shared" si="6"/>
        <v>0</v>
      </c>
      <c r="CP93" s="494">
        <v>11</v>
      </c>
      <c r="CQ93" s="494" t="s">
        <v>5358</v>
      </c>
    </row>
    <row r="94" spans="1:95" ht="30.45" hidden="1" customHeight="1" thickBot="1">
      <c r="A94" s="555" t="s">
        <v>4170</v>
      </c>
      <c r="B94" s="479">
        <v>92</v>
      </c>
      <c r="C94" s="480" t="s">
        <v>4004</v>
      </c>
      <c r="D94" s="480" t="s">
        <v>4165</v>
      </c>
      <c r="E94" s="480" t="str">
        <f t="shared" si="5"/>
        <v xml:space="preserve">1.5.1 </v>
      </c>
      <c r="F94" s="480" t="s">
        <v>4166</v>
      </c>
      <c r="G94" s="480" t="s">
        <v>4167</v>
      </c>
      <c r="H94" s="507" t="s">
        <v>3944</v>
      </c>
      <c r="I94" s="480" t="s">
        <v>4168</v>
      </c>
      <c r="J94" s="495">
        <v>40104200</v>
      </c>
      <c r="K94" s="480" t="s">
        <v>4169</v>
      </c>
      <c r="L94" s="480" t="s">
        <v>6456</v>
      </c>
      <c r="M94" s="480" t="s">
        <v>5735</v>
      </c>
      <c r="N94" s="484">
        <v>5</v>
      </c>
      <c r="O94" s="480" t="s">
        <v>6457</v>
      </c>
      <c r="P94" s="500">
        <v>9</v>
      </c>
      <c r="Q94" s="485" t="s">
        <v>5349</v>
      </c>
      <c r="R94" s="485" t="s">
        <v>5359</v>
      </c>
      <c r="S94" s="485" t="s">
        <v>689</v>
      </c>
      <c r="T94" s="485">
        <v>36.42</v>
      </c>
      <c r="U94" s="485" t="s">
        <v>5360</v>
      </c>
      <c r="V94" s="485">
        <v>37</v>
      </c>
      <c r="W94" s="485" t="s">
        <v>5331</v>
      </c>
      <c r="X94" s="485">
        <v>17</v>
      </c>
      <c r="Y94" s="485" t="s">
        <v>5361</v>
      </c>
      <c r="Z94" s="486">
        <v>0</v>
      </c>
      <c r="AA94" s="486">
        <v>0</v>
      </c>
      <c r="AB94" s="486">
        <v>0</v>
      </c>
      <c r="AC94" s="486">
        <v>0</v>
      </c>
      <c r="AD94" s="486">
        <v>0</v>
      </c>
      <c r="AE94" s="486">
        <v>0</v>
      </c>
      <c r="AF94" s="486">
        <v>0</v>
      </c>
      <c r="AG94" s="486">
        <v>0</v>
      </c>
      <c r="AH94" s="487">
        <v>0</v>
      </c>
      <c r="AI94" s="486">
        <v>5000000</v>
      </c>
      <c r="AJ94" s="486">
        <v>0</v>
      </c>
      <c r="AK94" s="486">
        <v>0</v>
      </c>
      <c r="AL94" s="488">
        <v>5000000</v>
      </c>
      <c r="AM94" s="489">
        <v>5000000</v>
      </c>
      <c r="AN94" s="486">
        <v>0</v>
      </c>
      <c r="AO94" s="486">
        <v>0</v>
      </c>
      <c r="AP94" s="486">
        <v>0</v>
      </c>
      <c r="AQ94" s="486">
        <v>0</v>
      </c>
      <c r="AR94" s="486">
        <v>0</v>
      </c>
      <c r="AS94" s="486">
        <v>0</v>
      </c>
      <c r="AT94" s="486">
        <v>0</v>
      </c>
      <c r="AU94" s="486">
        <v>0</v>
      </c>
      <c r="AV94" s="487">
        <v>0</v>
      </c>
      <c r="AW94" s="486">
        <v>5000000</v>
      </c>
      <c r="AX94" s="486">
        <v>0</v>
      </c>
      <c r="AY94" s="486">
        <v>0</v>
      </c>
      <c r="AZ94" s="488">
        <v>5000000</v>
      </c>
      <c r="BA94" s="490">
        <v>5000000</v>
      </c>
      <c r="BB94" s="486">
        <v>0</v>
      </c>
      <c r="BC94" s="486">
        <v>0</v>
      </c>
      <c r="BD94" s="486">
        <v>0</v>
      </c>
      <c r="BE94" s="486">
        <v>0</v>
      </c>
      <c r="BF94" s="486">
        <v>0</v>
      </c>
      <c r="BG94" s="486">
        <v>0</v>
      </c>
      <c r="BH94" s="486">
        <v>0</v>
      </c>
      <c r="BI94" s="486">
        <v>0</v>
      </c>
      <c r="BJ94" s="487">
        <v>0</v>
      </c>
      <c r="BK94" s="486">
        <v>5000000</v>
      </c>
      <c r="BL94" s="486">
        <v>0</v>
      </c>
      <c r="BM94" s="486">
        <v>0</v>
      </c>
      <c r="BN94" s="488">
        <v>5000000</v>
      </c>
      <c r="BO94" s="490">
        <v>5000000</v>
      </c>
      <c r="BP94" s="486">
        <v>0</v>
      </c>
      <c r="BQ94" s="486">
        <v>0</v>
      </c>
      <c r="BR94" s="486">
        <v>0</v>
      </c>
      <c r="BS94" s="486">
        <v>0</v>
      </c>
      <c r="BT94" s="486">
        <v>0</v>
      </c>
      <c r="BU94" s="486">
        <v>0</v>
      </c>
      <c r="BV94" s="486">
        <v>0</v>
      </c>
      <c r="BW94" s="486">
        <v>0</v>
      </c>
      <c r="BX94" s="487">
        <v>0</v>
      </c>
      <c r="BY94" s="486">
        <v>5000000</v>
      </c>
      <c r="BZ94" s="486">
        <v>0</v>
      </c>
      <c r="CA94" s="486">
        <v>0</v>
      </c>
      <c r="CB94" s="488">
        <v>5000000</v>
      </c>
      <c r="CC94" s="491">
        <v>5000000</v>
      </c>
      <c r="CD94" s="492">
        <v>20000000</v>
      </c>
      <c r="CE94" s="493">
        <f t="shared" si="8"/>
        <v>0</v>
      </c>
      <c r="CF94" s="493">
        <f t="shared" si="8"/>
        <v>0</v>
      </c>
      <c r="CG94" s="493">
        <f t="shared" si="8"/>
        <v>0</v>
      </c>
      <c r="CH94" s="493">
        <f t="shared" si="8"/>
        <v>0</v>
      </c>
      <c r="CI94" s="493">
        <f t="shared" si="8"/>
        <v>0</v>
      </c>
      <c r="CJ94" s="493">
        <f t="shared" si="8"/>
        <v>0</v>
      </c>
      <c r="CK94" s="493">
        <f t="shared" si="8"/>
        <v>0</v>
      </c>
      <c r="CL94" s="493">
        <f t="shared" si="7"/>
        <v>0</v>
      </c>
      <c r="CM94" s="493">
        <f t="shared" si="6"/>
        <v>20000000</v>
      </c>
      <c r="CN94" s="493">
        <f t="shared" si="6"/>
        <v>0</v>
      </c>
      <c r="CO94" s="493">
        <f t="shared" si="6"/>
        <v>0</v>
      </c>
      <c r="CP94" s="494">
        <v>17</v>
      </c>
      <c r="CQ94" s="494" t="s">
        <v>6229</v>
      </c>
    </row>
    <row r="95" spans="1:95" ht="30.45" hidden="1" customHeight="1" thickBot="1">
      <c r="A95" s="555" t="s">
        <v>4170</v>
      </c>
      <c r="B95" s="479">
        <v>93</v>
      </c>
      <c r="C95" s="480" t="s">
        <v>4004</v>
      </c>
      <c r="D95" s="480" t="s">
        <v>4165</v>
      </c>
      <c r="E95" s="480" t="str">
        <f t="shared" si="5"/>
        <v xml:space="preserve">1.5.1 </v>
      </c>
      <c r="F95" s="480" t="s">
        <v>4166</v>
      </c>
      <c r="G95" s="480" t="s">
        <v>4167</v>
      </c>
      <c r="H95" s="481">
        <v>39</v>
      </c>
      <c r="I95" s="480" t="s">
        <v>4171</v>
      </c>
      <c r="J95" s="495">
        <v>390600500</v>
      </c>
      <c r="K95" s="480" t="s">
        <v>4172</v>
      </c>
      <c r="L95" s="480" t="s">
        <v>4173</v>
      </c>
      <c r="M95" s="480" t="s">
        <v>5736</v>
      </c>
      <c r="N95" s="484">
        <v>13</v>
      </c>
      <c r="O95" s="480" t="s">
        <v>6457</v>
      </c>
      <c r="P95" s="500">
        <v>21</v>
      </c>
      <c r="Q95" s="485" t="s">
        <v>5349</v>
      </c>
      <c r="R95" s="485" t="s">
        <v>5359</v>
      </c>
      <c r="S95" s="485" t="s">
        <v>689</v>
      </c>
      <c r="T95" s="485">
        <v>36.42</v>
      </c>
      <c r="U95" s="485" t="s">
        <v>5360</v>
      </c>
      <c r="V95" s="485">
        <v>37</v>
      </c>
      <c r="W95" s="485" t="s">
        <v>5331</v>
      </c>
      <c r="X95" s="485">
        <v>17</v>
      </c>
      <c r="Y95" s="485" t="s">
        <v>5361</v>
      </c>
      <c r="Z95" s="486">
        <v>0</v>
      </c>
      <c r="AA95" s="486">
        <v>0</v>
      </c>
      <c r="AB95" s="486">
        <v>0</v>
      </c>
      <c r="AC95" s="486">
        <v>0</v>
      </c>
      <c r="AD95" s="486">
        <v>0</v>
      </c>
      <c r="AE95" s="486">
        <v>0</v>
      </c>
      <c r="AF95" s="486">
        <v>0</v>
      </c>
      <c r="AG95" s="486">
        <v>0</v>
      </c>
      <c r="AH95" s="487">
        <v>0</v>
      </c>
      <c r="AI95" s="486">
        <v>0</v>
      </c>
      <c r="AJ95" s="486">
        <v>40000000</v>
      </c>
      <c r="AK95" s="486">
        <v>0</v>
      </c>
      <c r="AL95" s="488">
        <v>40000000</v>
      </c>
      <c r="AM95" s="489">
        <v>40000000</v>
      </c>
      <c r="AN95" s="486">
        <v>0</v>
      </c>
      <c r="AO95" s="486">
        <v>0</v>
      </c>
      <c r="AP95" s="486">
        <v>0</v>
      </c>
      <c r="AQ95" s="486">
        <v>0</v>
      </c>
      <c r="AR95" s="486">
        <v>0</v>
      </c>
      <c r="AS95" s="486">
        <v>0</v>
      </c>
      <c r="AT95" s="486">
        <v>0</v>
      </c>
      <c r="AU95" s="486">
        <v>0</v>
      </c>
      <c r="AV95" s="487">
        <v>0</v>
      </c>
      <c r="AW95" s="486">
        <v>0</v>
      </c>
      <c r="AX95" s="486">
        <v>40000000</v>
      </c>
      <c r="AY95" s="486">
        <v>0</v>
      </c>
      <c r="AZ95" s="488">
        <v>40000000</v>
      </c>
      <c r="BA95" s="490">
        <v>40000000</v>
      </c>
      <c r="BB95" s="486">
        <v>0</v>
      </c>
      <c r="BC95" s="486">
        <v>0</v>
      </c>
      <c r="BD95" s="486">
        <v>0</v>
      </c>
      <c r="BE95" s="486">
        <v>0</v>
      </c>
      <c r="BF95" s="486">
        <v>0</v>
      </c>
      <c r="BG95" s="486">
        <v>0</v>
      </c>
      <c r="BH95" s="486">
        <v>0</v>
      </c>
      <c r="BI95" s="486">
        <v>0</v>
      </c>
      <c r="BJ95" s="487">
        <v>0</v>
      </c>
      <c r="BK95" s="486">
        <v>0</v>
      </c>
      <c r="BL95" s="486">
        <v>40000000</v>
      </c>
      <c r="BM95" s="486">
        <v>0</v>
      </c>
      <c r="BN95" s="488">
        <v>40000000</v>
      </c>
      <c r="BO95" s="490">
        <v>40000000</v>
      </c>
      <c r="BP95" s="486">
        <v>0</v>
      </c>
      <c r="BQ95" s="486">
        <v>0</v>
      </c>
      <c r="BR95" s="486">
        <v>0</v>
      </c>
      <c r="BS95" s="486">
        <v>0</v>
      </c>
      <c r="BT95" s="486">
        <v>0</v>
      </c>
      <c r="BU95" s="486">
        <v>0</v>
      </c>
      <c r="BV95" s="486">
        <v>0</v>
      </c>
      <c r="BW95" s="486">
        <v>0</v>
      </c>
      <c r="BX95" s="487">
        <v>0</v>
      </c>
      <c r="BY95" s="486">
        <v>0</v>
      </c>
      <c r="BZ95" s="486">
        <v>40000000</v>
      </c>
      <c r="CA95" s="486">
        <v>0</v>
      </c>
      <c r="CB95" s="488">
        <v>40000000</v>
      </c>
      <c r="CC95" s="491">
        <v>40000000</v>
      </c>
      <c r="CD95" s="492">
        <v>160000000</v>
      </c>
      <c r="CE95" s="493">
        <f t="shared" si="8"/>
        <v>0</v>
      </c>
      <c r="CF95" s="493">
        <f t="shared" si="8"/>
        <v>0</v>
      </c>
      <c r="CG95" s="493">
        <f t="shared" si="8"/>
        <v>0</v>
      </c>
      <c r="CH95" s="493">
        <f t="shared" si="8"/>
        <v>0</v>
      </c>
      <c r="CI95" s="493">
        <f t="shared" si="8"/>
        <v>0</v>
      </c>
      <c r="CJ95" s="493">
        <f t="shared" si="8"/>
        <v>0</v>
      </c>
      <c r="CK95" s="493">
        <f t="shared" si="8"/>
        <v>0</v>
      </c>
      <c r="CL95" s="493">
        <f t="shared" si="7"/>
        <v>0</v>
      </c>
      <c r="CM95" s="493">
        <f t="shared" si="6"/>
        <v>0</v>
      </c>
      <c r="CN95" s="493">
        <f t="shared" si="6"/>
        <v>160000000</v>
      </c>
      <c r="CO95" s="493">
        <f t="shared" si="6"/>
        <v>0</v>
      </c>
      <c r="CP95" s="494">
        <v>17</v>
      </c>
      <c r="CQ95" s="494" t="s">
        <v>5361</v>
      </c>
    </row>
    <row r="96" spans="1:95" ht="30.45" hidden="1" customHeight="1" thickBot="1">
      <c r="A96" s="555" t="s">
        <v>4170</v>
      </c>
      <c r="B96" s="479">
        <v>94</v>
      </c>
      <c r="C96" s="480" t="s">
        <v>4004</v>
      </c>
      <c r="D96" s="480" t="s">
        <v>4165</v>
      </c>
      <c r="E96" s="480" t="str">
        <f t="shared" si="5"/>
        <v xml:space="preserve">1.5.1 </v>
      </c>
      <c r="F96" s="480" t="s">
        <v>4166</v>
      </c>
      <c r="G96" s="480" t="s">
        <v>4167</v>
      </c>
      <c r="H96" s="481">
        <v>39</v>
      </c>
      <c r="I96" s="480" t="s">
        <v>4174</v>
      </c>
      <c r="J96" s="495">
        <v>390500500</v>
      </c>
      <c r="K96" s="480" t="s">
        <v>4175</v>
      </c>
      <c r="L96" s="480" t="s">
        <v>4084</v>
      </c>
      <c r="M96" s="480" t="s">
        <v>6458</v>
      </c>
      <c r="N96" s="499">
        <v>0</v>
      </c>
      <c r="O96" s="480" t="s">
        <v>6457</v>
      </c>
      <c r="P96" s="500">
        <v>4</v>
      </c>
      <c r="Q96" s="485" t="s">
        <v>5349</v>
      </c>
      <c r="R96" s="485" t="s">
        <v>5359</v>
      </c>
      <c r="S96" s="485" t="s">
        <v>689</v>
      </c>
      <c r="T96" s="485">
        <v>36.42</v>
      </c>
      <c r="U96" s="485" t="s">
        <v>5360</v>
      </c>
      <c r="V96" s="485">
        <v>37</v>
      </c>
      <c r="W96" s="485" t="s">
        <v>5331</v>
      </c>
      <c r="X96" s="485">
        <v>17</v>
      </c>
      <c r="Y96" s="485" t="s">
        <v>5361</v>
      </c>
      <c r="Z96" s="486">
        <v>0</v>
      </c>
      <c r="AA96" s="486">
        <v>0</v>
      </c>
      <c r="AB96" s="486">
        <v>0</v>
      </c>
      <c r="AC96" s="486">
        <v>0</v>
      </c>
      <c r="AD96" s="486">
        <v>0</v>
      </c>
      <c r="AE96" s="486">
        <v>0</v>
      </c>
      <c r="AF96" s="486">
        <v>0</v>
      </c>
      <c r="AG96" s="486">
        <v>0</v>
      </c>
      <c r="AH96" s="487">
        <v>0</v>
      </c>
      <c r="AI96" s="486">
        <v>20000000</v>
      </c>
      <c r="AJ96" s="486">
        <v>0</v>
      </c>
      <c r="AK96" s="486">
        <v>0</v>
      </c>
      <c r="AL96" s="488">
        <v>20000000</v>
      </c>
      <c r="AM96" s="489">
        <v>20000000</v>
      </c>
      <c r="AN96" s="486">
        <v>0</v>
      </c>
      <c r="AO96" s="486">
        <v>0</v>
      </c>
      <c r="AP96" s="486">
        <v>0</v>
      </c>
      <c r="AQ96" s="486">
        <v>0</v>
      </c>
      <c r="AR96" s="486">
        <v>0</v>
      </c>
      <c r="AS96" s="486">
        <v>0</v>
      </c>
      <c r="AT96" s="486">
        <v>0</v>
      </c>
      <c r="AU96" s="486">
        <v>0</v>
      </c>
      <c r="AV96" s="487">
        <v>0</v>
      </c>
      <c r="AW96" s="486">
        <v>20000000</v>
      </c>
      <c r="AX96" s="486">
        <v>0</v>
      </c>
      <c r="AY96" s="486">
        <v>0</v>
      </c>
      <c r="AZ96" s="488">
        <v>20000000</v>
      </c>
      <c r="BA96" s="490">
        <v>20000000</v>
      </c>
      <c r="BB96" s="486">
        <v>0</v>
      </c>
      <c r="BC96" s="486">
        <v>0</v>
      </c>
      <c r="BD96" s="486">
        <v>0</v>
      </c>
      <c r="BE96" s="486">
        <v>0</v>
      </c>
      <c r="BF96" s="486">
        <v>0</v>
      </c>
      <c r="BG96" s="486">
        <v>0</v>
      </c>
      <c r="BH96" s="486">
        <v>0</v>
      </c>
      <c r="BI96" s="486">
        <v>0</v>
      </c>
      <c r="BJ96" s="487">
        <v>0</v>
      </c>
      <c r="BK96" s="486">
        <v>20000000</v>
      </c>
      <c r="BL96" s="486">
        <v>0</v>
      </c>
      <c r="BM96" s="486">
        <v>0</v>
      </c>
      <c r="BN96" s="488">
        <v>20000000</v>
      </c>
      <c r="BO96" s="490">
        <v>20000000</v>
      </c>
      <c r="BP96" s="486">
        <v>0</v>
      </c>
      <c r="BQ96" s="486">
        <v>0</v>
      </c>
      <c r="BR96" s="486">
        <v>0</v>
      </c>
      <c r="BS96" s="486">
        <v>0</v>
      </c>
      <c r="BT96" s="486">
        <v>0</v>
      </c>
      <c r="BU96" s="486">
        <v>0</v>
      </c>
      <c r="BV96" s="486">
        <v>0</v>
      </c>
      <c r="BW96" s="486">
        <v>0</v>
      </c>
      <c r="BX96" s="487">
        <v>0</v>
      </c>
      <c r="BY96" s="486">
        <v>20000000</v>
      </c>
      <c r="BZ96" s="486">
        <v>0</v>
      </c>
      <c r="CA96" s="486">
        <v>0</v>
      </c>
      <c r="CB96" s="488">
        <v>20000000</v>
      </c>
      <c r="CC96" s="491">
        <v>20000000</v>
      </c>
      <c r="CD96" s="492">
        <v>80000000</v>
      </c>
      <c r="CE96" s="493">
        <f t="shared" si="8"/>
        <v>0</v>
      </c>
      <c r="CF96" s="493">
        <f t="shared" si="8"/>
        <v>0</v>
      </c>
      <c r="CG96" s="493">
        <f t="shared" si="8"/>
        <v>0</v>
      </c>
      <c r="CH96" s="493">
        <f t="shared" si="8"/>
        <v>0</v>
      </c>
      <c r="CI96" s="493">
        <f t="shared" si="8"/>
        <v>0</v>
      </c>
      <c r="CJ96" s="493">
        <f t="shared" si="8"/>
        <v>0</v>
      </c>
      <c r="CK96" s="493">
        <f t="shared" si="8"/>
        <v>0</v>
      </c>
      <c r="CL96" s="493">
        <f t="shared" si="7"/>
        <v>0</v>
      </c>
      <c r="CM96" s="493">
        <f t="shared" si="6"/>
        <v>80000000</v>
      </c>
      <c r="CN96" s="493">
        <f t="shared" si="6"/>
        <v>0</v>
      </c>
      <c r="CO96" s="493">
        <f t="shared" si="6"/>
        <v>0</v>
      </c>
      <c r="CP96" s="494">
        <v>17</v>
      </c>
      <c r="CQ96" s="494" t="s">
        <v>5361</v>
      </c>
    </row>
    <row r="97" spans="1:95" ht="30.45" hidden="1" customHeight="1" thickBot="1">
      <c r="A97" s="555" t="s">
        <v>4170</v>
      </c>
      <c r="B97" s="479">
        <v>95</v>
      </c>
      <c r="C97" s="480" t="s">
        <v>4004</v>
      </c>
      <c r="D97" s="480" t="s">
        <v>4165</v>
      </c>
      <c r="E97" s="480" t="str">
        <f t="shared" si="5"/>
        <v xml:space="preserve">1.5.1 </v>
      </c>
      <c r="F97" s="480" t="s">
        <v>4166</v>
      </c>
      <c r="G97" s="480" t="s">
        <v>4167</v>
      </c>
      <c r="H97" s="481">
        <v>39</v>
      </c>
      <c r="I97" s="480" t="s">
        <v>4171</v>
      </c>
      <c r="J97" s="495">
        <v>390601700</v>
      </c>
      <c r="K97" s="480" t="s">
        <v>4176</v>
      </c>
      <c r="L97" s="480" t="s">
        <v>4177</v>
      </c>
      <c r="M97" s="480" t="s">
        <v>5737</v>
      </c>
      <c r="N97" s="499">
        <v>0</v>
      </c>
      <c r="O97" s="480" t="s">
        <v>6457</v>
      </c>
      <c r="P97" s="500">
        <v>23</v>
      </c>
      <c r="Q97" s="485" t="s">
        <v>5349</v>
      </c>
      <c r="R97" s="485" t="s">
        <v>5359</v>
      </c>
      <c r="S97" s="485" t="s">
        <v>689</v>
      </c>
      <c r="T97" s="485">
        <v>36.42</v>
      </c>
      <c r="U97" s="485" t="s">
        <v>5360</v>
      </c>
      <c r="V97" s="485">
        <v>37</v>
      </c>
      <c r="W97" s="485" t="s">
        <v>5331</v>
      </c>
      <c r="X97" s="485">
        <v>17</v>
      </c>
      <c r="Y97" s="485" t="s">
        <v>5361</v>
      </c>
      <c r="Z97" s="486">
        <v>0</v>
      </c>
      <c r="AA97" s="486">
        <v>0</v>
      </c>
      <c r="AB97" s="486">
        <v>0</v>
      </c>
      <c r="AC97" s="486">
        <v>0</v>
      </c>
      <c r="AD97" s="486">
        <v>0</v>
      </c>
      <c r="AE97" s="486">
        <v>0</v>
      </c>
      <c r="AF97" s="486">
        <v>100000000</v>
      </c>
      <c r="AG97" s="486">
        <v>0</v>
      </c>
      <c r="AH97" s="487">
        <v>100000000</v>
      </c>
      <c r="AI97" s="486">
        <v>0</v>
      </c>
      <c r="AJ97" s="486">
        <v>0</v>
      </c>
      <c r="AK97" s="486">
        <v>0</v>
      </c>
      <c r="AL97" s="488">
        <v>0</v>
      </c>
      <c r="AM97" s="489">
        <v>100000000</v>
      </c>
      <c r="AN97" s="486">
        <v>0</v>
      </c>
      <c r="AO97" s="486">
        <v>0</v>
      </c>
      <c r="AP97" s="486">
        <v>0</v>
      </c>
      <c r="AQ97" s="486">
        <v>0</v>
      </c>
      <c r="AR97" s="486">
        <v>0</v>
      </c>
      <c r="AS97" s="486">
        <v>0</v>
      </c>
      <c r="AT97" s="486">
        <v>0</v>
      </c>
      <c r="AU97" s="486">
        <v>0</v>
      </c>
      <c r="AV97" s="487">
        <v>0</v>
      </c>
      <c r="AW97" s="486">
        <v>0</v>
      </c>
      <c r="AX97" s="486">
        <v>0</v>
      </c>
      <c r="AY97" s="486">
        <v>0</v>
      </c>
      <c r="AZ97" s="488">
        <v>0</v>
      </c>
      <c r="BA97" s="490">
        <v>0</v>
      </c>
      <c r="BB97" s="486">
        <v>0</v>
      </c>
      <c r="BC97" s="486">
        <v>0</v>
      </c>
      <c r="BD97" s="486">
        <v>0</v>
      </c>
      <c r="BE97" s="486">
        <v>0</v>
      </c>
      <c r="BF97" s="486">
        <v>0</v>
      </c>
      <c r="BG97" s="486">
        <v>0</v>
      </c>
      <c r="BH97" s="486">
        <v>0</v>
      </c>
      <c r="BI97" s="486">
        <v>0</v>
      </c>
      <c r="BJ97" s="487">
        <v>0</v>
      </c>
      <c r="BK97" s="486">
        <v>0</v>
      </c>
      <c r="BL97" s="486">
        <v>0</v>
      </c>
      <c r="BM97" s="486">
        <v>0</v>
      </c>
      <c r="BN97" s="488">
        <v>0</v>
      </c>
      <c r="BO97" s="490">
        <v>0</v>
      </c>
      <c r="BP97" s="486">
        <v>0</v>
      </c>
      <c r="BQ97" s="486">
        <v>0</v>
      </c>
      <c r="BR97" s="486">
        <v>0</v>
      </c>
      <c r="BS97" s="486">
        <v>0</v>
      </c>
      <c r="BT97" s="486">
        <v>0</v>
      </c>
      <c r="BU97" s="486">
        <v>0</v>
      </c>
      <c r="BV97" s="486">
        <v>0</v>
      </c>
      <c r="BW97" s="486">
        <v>0</v>
      </c>
      <c r="BX97" s="487">
        <v>0</v>
      </c>
      <c r="BY97" s="486">
        <v>0</v>
      </c>
      <c r="BZ97" s="486">
        <v>0</v>
      </c>
      <c r="CA97" s="486">
        <v>0</v>
      </c>
      <c r="CB97" s="488">
        <v>0</v>
      </c>
      <c r="CC97" s="491">
        <v>0</v>
      </c>
      <c r="CD97" s="492">
        <v>100000000</v>
      </c>
      <c r="CE97" s="493">
        <f t="shared" si="8"/>
        <v>0</v>
      </c>
      <c r="CF97" s="493">
        <f t="shared" si="8"/>
        <v>0</v>
      </c>
      <c r="CG97" s="493">
        <f t="shared" si="8"/>
        <v>0</v>
      </c>
      <c r="CH97" s="493">
        <f t="shared" si="8"/>
        <v>0</v>
      </c>
      <c r="CI97" s="493">
        <f t="shared" si="8"/>
        <v>0</v>
      </c>
      <c r="CJ97" s="493">
        <f t="shared" si="8"/>
        <v>0</v>
      </c>
      <c r="CK97" s="493">
        <f t="shared" si="8"/>
        <v>100000000</v>
      </c>
      <c r="CL97" s="493">
        <f t="shared" si="7"/>
        <v>0</v>
      </c>
      <c r="CM97" s="493">
        <f t="shared" si="6"/>
        <v>0</v>
      </c>
      <c r="CN97" s="493">
        <f t="shared" si="6"/>
        <v>0</v>
      </c>
      <c r="CO97" s="493">
        <f t="shared" si="6"/>
        <v>0</v>
      </c>
      <c r="CP97" s="494">
        <v>17</v>
      </c>
      <c r="CQ97" s="494" t="s">
        <v>5361</v>
      </c>
    </row>
    <row r="98" spans="1:95" ht="30.45" hidden="1" customHeight="1" thickBot="1">
      <c r="A98" s="555" t="s">
        <v>4170</v>
      </c>
      <c r="B98" s="479">
        <v>96</v>
      </c>
      <c r="C98" s="480" t="s">
        <v>4004</v>
      </c>
      <c r="D98" s="480" t="s">
        <v>4165</v>
      </c>
      <c r="E98" s="480" t="str">
        <f t="shared" si="5"/>
        <v xml:space="preserve">1.5.1 </v>
      </c>
      <c r="F98" s="480" t="s">
        <v>4166</v>
      </c>
      <c r="G98" s="480" t="s">
        <v>4167</v>
      </c>
      <c r="H98" s="481">
        <v>39</v>
      </c>
      <c r="I98" s="480" t="s">
        <v>4171</v>
      </c>
      <c r="J98" s="495">
        <v>390601900</v>
      </c>
      <c r="K98" s="480" t="s">
        <v>4178</v>
      </c>
      <c r="L98" s="480" t="s">
        <v>4179</v>
      </c>
      <c r="M98" s="480" t="s">
        <v>6459</v>
      </c>
      <c r="N98" s="484">
        <v>5</v>
      </c>
      <c r="O98" s="480" t="s">
        <v>6457</v>
      </c>
      <c r="P98" s="500">
        <v>7</v>
      </c>
      <c r="Q98" s="485" t="s">
        <v>5349</v>
      </c>
      <c r="R98" s="485" t="s">
        <v>5359</v>
      </c>
      <c r="S98" s="485" t="s">
        <v>689</v>
      </c>
      <c r="T98" s="485">
        <v>36.42</v>
      </c>
      <c r="U98" s="485" t="s">
        <v>5360</v>
      </c>
      <c r="V98" s="485">
        <v>37</v>
      </c>
      <c r="W98" s="485" t="s">
        <v>5331</v>
      </c>
      <c r="X98" s="485">
        <v>17</v>
      </c>
      <c r="Y98" s="485" t="s">
        <v>5361</v>
      </c>
      <c r="Z98" s="486">
        <v>0</v>
      </c>
      <c r="AA98" s="486">
        <v>0</v>
      </c>
      <c r="AB98" s="486">
        <v>0</v>
      </c>
      <c r="AC98" s="486">
        <v>0</v>
      </c>
      <c r="AD98" s="486">
        <v>0</v>
      </c>
      <c r="AE98" s="486">
        <v>0</v>
      </c>
      <c r="AF98" s="486">
        <v>196417814</v>
      </c>
      <c r="AG98" s="486">
        <v>0</v>
      </c>
      <c r="AH98" s="487">
        <v>196417814</v>
      </c>
      <c r="AI98" s="486">
        <v>0</v>
      </c>
      <c r="AJ98" s="486">
        <v>0</v>
      </c>
      <c r="AK98" s="486">
        <v>0</v>
      </c>
      <c r="AL98" s="488">
        <v>0</v>
      </c>
      <c r="AM98" s="489">
        <v>196417814</v>
      </c>
      <c r="AN98" s="486">
        <v>0</v>
      </c>
      <c r="AO98" s="486">
        <v>0</v>
      </c>
      <c r="AP98" s="486">
        <v>0</v>
      </c>
      <c r="AQ98" s="486">
        <v>0</v>
      </c>
      <c r="AR98" s="486">
        <v>0</v>
      </c>
      <c r="AS98" s="486">
        <v>0</v>
      </c>
      <c r="AT98" s="486">
        <v>2094546359</v>
      </c>
      <c r="AU98" s="486">
        <v>0</v>
      </c>
      <c r="AV98" s="487">
        <v>2094546359</v>
      </c>
      <c r="AW98" s="486">
        <v>0</v>
      </c>
      <c r="AX98" s="486">
        <v>0</v>
      </c>
      <c r="AY98" s="486">
        <v>0</v>
      </c>
      <c r="AZ98" s="488">
        <v>0</v>
      </c>
      <c r="BA98" s="490">
        <v>2094546359</v>
      </c>
      <c r="BB98" s="486">
        <v>0</v>
      </c>
      <c r="BC98" s="486">
        <v>0</v>
      </c>
      <c r="BD98" s="486">
        <v>0</v>
      </c>
      <c r="BE98" s="486">
        <v>0</v>
      </c>
      <c r="BF98" s="486">
        <v>0</v>
      </c>
      <c r="BG98" s="486">
        <v>0</v>
      </c>
      <c r="BH98" s="486">
        <v>420581027</v>
      </c>
      <c r="BI98" s="486">
        <v>0</v>
      </c>
      <c r="BJ98" s="487">
        <v>420581027</v>
      </c>
      <c r="BK98" s="486">
        <v>0</v>
      </c>
      <c r="BL98" s="486">
        <v>0</v>
      </c>
      <c r="BM98" s="486">
        <v>0</v>
      </c>
      <c r="BN98" s="488">
        <v>0</v>
      </c>
      <c r="BO98" s="490">
        <v>420581027</v>
      </c>
      <c r="BP98" s="486">
        <v>0</v>
      </c>
      <c r="BQ98" s="486">
        <v>0</v>
      </c>
      <c r="BR98" s="486">
        <v>0</v>
      </c>
      <c r="BS98" s="486">
        <v>0</v>
      </c>
      <c r="BT98" s="486">
        <v>0</v>
      </c>
      <c r="BU98" s="486">
        <v>0</v>
      </c>
      <c r="BV98" s="486">
        <v>0</v>
      </c>
      <c r="BW98" s="486">
        <v>0</v>
      </c>
      <c r="BX98" s="487">
        <v>0</v>
      </c>
      <c r="BY98" s="486">
        <v>0</v>
      </c>
      <c r="BZ98" s="486">
        <v>0</v>
      </c>
      <c r="CA98" s="486">
        <v>0</v>
      </c>
      <c r="CB98" s="488">
        <v>0</v>
      </c>
      <c r="CC98" s="491">
        <v>0</v>
      </c>
      <c r="CD98" s="492">
        <v>2711545200</v>
      </c>
      <c r="CE98" s="493">
        <f t="shared" si="8"/>
        <v>0</v>
      </c>
      <c r="CF98" s="493">
        <f t="shared" si="8"/>
        <v>0</v>
      </c>
      <c r="CG98" s="493">
        <f t="shared" si="8"/>
        <v>0</v>
      </c>
      <c r="CH98" s="493">
        <f t="shared" si="8"/>
        <v>0</v>
      </c>
      <c r="CI98" s="493">
        <f t="shared" si="8"/>
        <v>0</v>
      </c>
      <c r="CJ98" s="493">
        <f t="shared" si="8"/>
        <v>0</v>
      </c>
      <c r="CK98" s="493">
        <f t="shared" si="8"/>
        <v>2711545200</v>
      </c>
      <c r="CL98" s="493">
        <f t="shared" si="7"/>
        <v>0</v>
      </c>
      <c r="CM98" s="493">
        <f t="shared" si="6"/>
        <v>0</v>
      </c>
      <c r="CN98" s="493">
        <f t="shared" si="6"/>
        <v>0</v>
      </c>
      <c r="CO98" s="493">
        <f t="shared" si="6"/>
        <v>0</v>
      </c>
      <c r="CP98" s="494">
        <v>9</v>
      </c>
      <c r="CQ98" s="494" t="s">
        <v>6230</v>
      </c>
    </row>
    <row r="99" spans="1:95" ht="30.45" hidden="1" customHeight="1" thickBot="1">
      <c r="A99" s="555" t="s">
        <v>4170</v>
      </c>
      <c r="B99" s="479">
        <v>97</v>
      </c>
      <c r="C99" s="480" t="s">
        <v>4004</v>
      </c>
      <c r="D99" s="480" t="s">
        <v>4165</v>
      </c>
      <c r="E99" s="480" t="str">
        <f t="shared" si="5"/>
        <v xml:space="preserve">1.5.1 </v>
      </c>
      <c r="F99" s="480" t="s">
        <v>4166</v>
      </c>
      <c r="G99" s="480" t="s">
        <v>4167</v>
      </c>
      <c r="H99" s="481">
        <v>45</v>
      </c>
      <c r="I99" s="480" t="s">
        <v>4180</v>
      </c>
      <c r="J99" s="495">
        <v>459902500</v>
      </c>
      <c r="K99" s="480" t="s">
        <v>4181</v>
      </c>
      <c r="L99" s="480" t="s">
        <v>4182</v>
      </c>
      <c r="M99" s="480" t="s">
        <v>5738</v>
      </c>
      <c r="N99" s="484">
        <v>1</v>
      </c>
      <c r="O99" s="480" t="s">
        <v>6457</v>
      </c>
      <c r="P99" s="500" t="s">
        <v>4183</v>
      </c>
      <c r="Q99" s="485" t="s">
        <v>5349</v>
      </c>
      <c r="R99" s="485" t="s">
        <v>5359</v>
      </c>
      <c r="S99" s="485" t="s">
        <v>689</v>
      </c>
      <c r="T99" s="485">
        <v>36.42</v>
      </c>
      <c r="U99" s="485" t="s">
        <v>5360</v>
      </c>
      <c r="V99" s="485">
        <v>37</v>
      </c>
      <c r="W99" s="485" t="s">
        <v>5331</v>
      </c>
      <c r="X99" s="485">
        <v>17</v>
      </c>
      <c r="Y99" s="485" t="s">
        <v>5361</v>
      </c>
      <c r="Z99" s="486">
        <v>200000000</v>
      </c>
      <c r="AA99" s="486">
        <v>0</v>
      </c>
      <c r="AB99" s="486">
        <v>0</v>
      </c>
      <c r="AC99" s="486">
        <v>0</v>
      </c>
      <c r="AD99" s="486">
        <v>0</v>
      </c>
      <c r="AE99" s="486">
        <v>0</v>
      </c>
      <c r="AF99" s="486">
        <v>0</v>
      </c>
      <c r="AG99" s="486">
        <v>0</v>
      </c>
      <c r="AH99" s="487">
        <v>200000000</v>
      </c>
      <c r="AI99" s="486">
        <v>0</v>
      </c>
      <c r="AJ99" s="486">
        <v>0</v>
      </c>
      <c r="AK99" s="486">
        <v>0</v>
      </c>
      <c r="AL99" s="488">
        <v>0</v>
      </c>
      <c r="AM99" s="489">
        <v>200000000</v>
      </c>
      <c r="AN99" s="486">
        <v>64058851</v>
      </c>
      <c r="AO99" s="486">
        <v>0</v>
      </c>
      <c r="AP99" s="486">
        <v>0</v>
      </c>
      <c r="AQ99" s="486">
        <v>0</v>
      </c>
      <c r="AR99" s="486">
        <v>0</v>
      </c>
      <c r="AS99" s="486">
        <v>0</v>
      </c>
      <c r="AT99" s="486">
        <v>0</v>
      </c>
      <c r="AU99" s="486">
        <v>0</v>
      </c>
      <c r="AV99" s="487">
        <v>64058851</v>
      </c>
      <c r="AW99" s="486">
        <v>0</v>
      </c>
      <c r="AX99" s="486">
        <v>0</v>
      </c>
      <c r="AY99" s="486">
        <v>30000000</v>
      </c>
      <c r="AZ99" s="488">
        <v>30000000</v>
      </c>
      <c r="BA99" s="490">
        <v>94058851</v>
      </c>
      <c r="BB99" s="486"/>
      <c r="BC99" s="486">
        <v>0</v>
      </c>
      <c r="BD99" s="486">
        <v>0</v>
      </c>
      <c r="BE99" s="486">
        <v>0</v>
      </c>
      <c r="BF99" s="486">
        <v>0</v>
      </c>
      <c r="BG99" s="486">
        <v>0</v>
      </c>
      <c r="BH99" s="486">
        <v>0</v>
      </c>
      <c r="BI99" s="486">
        <v>0</v>
      </c>
      <c r="BJ99" s="487">
        <v>0</v>
      </c>
      <c r="BK99" s="486">
        <v>110000000</v>
      </c>
      <c r="BL99" s="486">
        <v>0</v>
      </c>
      <c r="BM99" s="486">
        <v>0</v>
      </c>
      <c r="BN99" s="488">
        <v>110000000</v>
      </c>
      <c r="BO99" s="490">
        <v>110000000</v>
      </c>
      <c r="BP99" s="486"/>
      <c r="BQ99" s="486">
        <v>0</v>
      </c>
      <c r="BR99" s="486">
        <v>0</v>
      </c>
      <c r="BS99" s="486">
        <v>0</v>
      </c>
      <c r="BT99" s="486">
        <v>0</v>
      </c>
      <c r="BU99" s="486">
        <v>0</v>
      </c>
      <c r="BV99" s="486">
        <v>0</v>
      </c>
      <c r="BW99" s="486">
        <v>0</v>
      </c>
      <c r="BX99" s="487">
        <v>0</v>
      </c>
      <c r="BY99" s="486">
        <v>110000000</v>
      </c>
      <c r="BZ99" s="486">
        <v>0</v>
      </c>
      <c r="CA99" s="486">
        <v>0</v>
      </c>
      <c r="CB99" s="488">
        <v>110000000</v>
      </c>
      <c r="CC99" s="491">
        <v>110000000</v>
      </c>
      <c r="CD99" s="492">
        <v>514058851</v>
      </c>
      <c r="CE99" s="493">
        <f t="shared" si="8"/>
        <v>264058851</v>
      </c>
      <c r="CF99" s="493">
        <f t="shared" si="8"/>
        <v>0</v>
      </c>
      <c r="CG99" s="493">
        <f t="shared" si="8"/>
        <v>0</v>
      </c>
      <c r="CH99" s="493">
        <f t="shared" si="8"/>
        <v>0</v>
      </c>
      <c r="CI99" s="493">
        <f t="shared" si="8"/>
        <v>0</v>
      </c>
      <c r="CJ99" s="493">
        <f t="shared" si="8"/>
        <v>0</v>
      </c>
      <c r="CK99" s="493">
        <f t="shared" si="8"/>
        <v>0</v>
      </c>
      <c r="CL99" s="493">
        <f t="shared" si="7"/>
        <v>0</v>
      </c>
      <c r="CM99" s="493">
        <f t="shared" si="6"/>
        <v>220000000</v>
      </c>
      <c r="CN99" s="493">
        <f t="shared" si="6"/>
        <v>0</v>
      </c>
      <c r="CO99" s="493">
        <f t="shared" si="6"/>
        <v>30000000</v>
      </c>
      <c r="CP99" s="502">
        <v>17</v>
      </c>
      <c r="CQ99" s="497" t="s">
        <v>6229</v>
      </c>
    </row>
    <row r="100" spans="1:95" ht="30.45" hidden="1" customHeight="1" thickBot="1">
      <c r="A100" s="555" t="s">
        <v>4170</v>
      </c>
      <c r="B100" s="479">
        <v>98</v>
      </c>
      <c r="C100" s="480" t="s">
        <v>4004</v>
      </c>
      <c r="D100" s="480" t="s">
        <v>4165</v>
      </c>
      <c r="E100" s="480" t="str">
        <f t="shared" si="5"/>
        <v xml:space="preserve">1.5.1 </v>
      </c>
      <c r="F100" s="480" t="s">
        <v>4166</v>
      </c>
      <c r="G100" s="480" t="s">
        <v>4167</v>
      </c>
      <c r="H100" s="481">
        <v>39</v>
      </c>
      <c r="I100" s="508" t="s">
        <v>4171</v>
      </c>
      <c r="J100" s="495">
        <v>390600900</v>
      </c>
      <c r="K100" s="480" t="s">
        <v>4172</v>
      </c>
      <c r="L100" s="480" t="s">
        <v>4173</v>
      </c>
      <c r="M100" s="480" t="s">
        <v>5739</v>
      </c>
      <c r="N100" s="499">
        <v>0</v>
      </c>
      <c r="O100" s="480" t="s">
        <v>6457</v>
      </c>
      <c r="P100" s="509">
        <v>1</v>
      </c>
      <c r="Q100" s="485" t="s">
        <v>5349</v>
      </c>
      <c r="R100" s="485" t="s">
        <v>5359</v>
      </c>
      <c r="S100" s="485" t="s">
        <v>689</v>
      </c>
      <c r="T100" s="485">
        <v>36.42</v>
      </c>
      <c r="U100" s="485" t="s">
        <v>5360</v>
      </c>
      <c r="V100" s="485">
        <v>37</v>
      </c>
      <c r="W100" s="485" t="s">
        <v>5331</v>
      </c>
      <c r="X100" s="485">
        <v>17</v>
      </c>
      <c r="Y100" s="485" t="s">
        <v>5361</v>
      </c>
      <c r="Z100" s="486">
        <v>0</v>
      </c>
      <c r="AA100" s="486">
        <v>0</v>
      </c>
      <c r="AB100" s="486">
        <v>0</v>
      </c>
      <c r="AC100" s="486">
        <v>0</v>
      </c>
      <c r="AD100" s="486">
        <v>0</v>
      </c>
      <c r="AE100" s="486">
        <v>0</v>
      </c>
      <c r="AF100" s="486">
        <v>0</v>
      </c>
      <c r="AG100" s="486">
        <v>0</v>
      </c>
      <c r="AH100" s="487">
        <v>0</v>
      </c>
      <c r="AI100" s="486">
        <v>0</v>
      </c>
      <c r="AJ100" s="486">
        <v>0</v>
      </c>
      <c r="AK100" s="486">
        <v>0</v>
      </c>
      <c r="AL100" s="488">
        <v>0</v>
      </c>
      <c r="AM100" s="489">
        <v>0</v>
      </c>
      <c r="AN100" s="486">
        <v>0</v>
      </c>
      <c r="AO100" s="486">
        <v>0</v>
      </c>
      <c r="AP100" s="486">
        <v>0</v>
      </c>
      <c r="AQ100" s="486">
        <v>0</v>
      </c>
      <c r="AR100" s="486">
        <v>0</v>
      </c>
      <c r="AS100" s="486">
        <v>0</v>
      </c>
      <c r="AT100" s="486">
        <v>0</v>
      </c>
      <c r="AU100" s="486">
        <v>0</v>
      </c>
      <c r="AV100" s="487">
        <v>0</v>
      </c>
      <c r="AW100" s="486">
        <v>70000000</v>
      </c>
      <c r="AX100" s="486">
        <v>0</v>
      </c>
      <c r="AY100" s="486">
        <v>0</v>
      </c>
      <c r="AZ100" s="488">
        <v>70000000</v>
      </c>
      <c r="BA100" s="490">
        <v>70000000</v>
      </c>
      <c r="BB100" s="486">
        <v>0</v>
      </c>
      <c r="BC100" s="486">
        <v>0</v>
      </c>
      <c r="BD100" s="486">
        <v>0</v>
      </c>
      <c r="BE100" s="486">
        <v>0</v>
      </c>
      <c r="BF100" s="486">
        <v>0</v>
      </c>
      <c r="BG100" s="486">
        <v>0</v>
      </c>
      <c r="BH100" s="486">
        <v>0</v>
      </c>
      <c r="BI100" s="486">
        <v>0</v>
      </c>
      <c r="BJ100" s="487">
        <v>0</v>
      </c>
      <c r="BK100" s="486">
        <v>0</v>
      </c>
      <c r="BL100" s="486">
        <v>0</v>
      </c>
      <c r="BM100" s="486">
        <v>0</v>
      </c>
      <c r="BN100" s="488">
        <v>0</v>
      </c>
      <c r="BO100" s="490">
        <v>0</v>
      </c>
      <c r="BP100" s="486">
        <v>0</v>
      </c>
      <c r="BQ100" s="486">
        <v>0</v>
      </c>
      <c r="BR100" s="486">
        <v>0</v>
      </c>
      <c r="BS100" s="486">
        <v>0</v>
      </c>
      <c r="BT100" s="486">
        <v>0</v>
      </c>
      <c r="BU100" s="486">
        <v>0</v>
      </c>
      <c r="BV100" s="486">
        <v>0</v>
      </c>
      <c r="BW100" s="486">
        <v>0</v>
      </c>
      <c r="BX100" s="487">
        <v>0</v>
      </c>
      <c r="BY100" s="486">
        <v>0</v>
      </c>
      <c r="BZ100" s="486">
        <v>0</v>
      </c>
      <c r="CA100" s="486">
        <v>0</v>
      </c>
      <c r="CB100" s="488">
        <v>0</v>
      </c>
      <c r="CC100" s="491">
        <v>0</v>
      </c>
      <c r="CD100" s="492">
        <v>70000000</v>
      </c>
      <c r="CE100" s="493">
        <f t="shared" si="8"/>
        <v>0</v>
      </c>
      <c r="CF100" s="493">
        <f t="shared" si="8"/>
        <v>0</v>
      </c>
      <c r="CG100" s="493">
        <f t="shared" si="8"/>
        <v>0</v>
      </c>
      <c r="CH100" s="493">
        <f t="shared" si="8"/>
        <v>0</v>
      </c>
      <c r="CI100" s="493">
        <f t="shared" si="8"/>
        <v>0</v>
      </c>
      <c r="CJ100" s="493">
        <f t="shared" si="8"/>
        <v>0</v>
      </c>
      <c r="CK100" s="493">
        <f t="shared" si="8"/>
        <v>0</v>
      </c>
      <c r="CL100" s="493">
        <f t="shared" si="7"/>
        <v>0</v>
      </c>
      <c r="CM100" s="493">
        <f t="shared" si="6"/>
        <v>70000000</v>
      </c>
      <c r="CN100" s="493">
        <f t="shared" si="6"/>
        <v>0</v>
      </c>
      <c r="CO100" s="493">
        <f t="shared" si="6"/>
        <v>0</v>
      </c>
      <c r="CP100" s="494">
        <v>9</v>
      </c>
      <c r="CQ100" s="494" t="s">
        <v>6230</v>
      </c>
    </row>
    <row r="101" spans="1:95" ht="30.45" hidden="1" customHeight="1" thickBot="1">
      <c r="A101" s="555" t="s">
        <v>4170</v>
      </c>
      <c r="B101" s="479">
        <v>99</v>
      </c>
      <c r="C101" s="480" t="s">
        <v>4004</v>
      </c>
      <c r="D101" s="480" t="s">
        <v>4165</v>
      </c>
      <c r="E101" s="480" t="str">
        <f t="shared" si="5"/>
        <v xml:space="preserve">1.5.1 </v>
      </c>
      <c r="F101" s="480" t="s">
        <v>4166</v>
      </c>
      <c r="G101" s="480" t="s">
        <v>4167</v>
      </c>
      <c r="H101" s="481">
        <v>39</v>
      </c>
      <c r="I101" s="480" t="s">
        <v>4174</v>
      </c>
      <c r="J101" s="495">
        <v>390500400</v>
      </c>
      <c r="K101" s="480" t="s">
        <v>4184</v>
      </c>
      <c r="L101" s="480" t="s">
        <v>4185</v>
      </c>
      <c r="M101" s="480" t="s">
        <v>6460</v>
      </c>
      <c r="N101" s="499">
        <v>0</v>
      </c>
      <c r="O101" s="510" t="s">
        <v>6457</v>
      </c>
      <c r="P101" s="500">
        <v>3</v>
      </c>
      <c r="Q101" s="485" t="s">
        <v>5349</v>
      </c>
      <c r="R101" s="485" t="s">
        <v>5359</v>
      </c>
      <c r="S101" s="485" t="s">
        <v>689</v>
      </c>
      <c r="T101" s="485">
        <v>36.42</v>
      </c>
      <c r="U101" s="485" t="s">
        <v>5360</v>
      </c>
      <c r="V101" s="485">
        <v>37</v>
      </c>
      <c r="W101" s="485" t="s">
        <v>5331</v>
      </c>
      <c r="X101" s="485">
        <v>17</v>
      </c>
      <c r="Y101" s="485" t="s">
        <v>5361</v>
      </c>
      <c r="Z101" s="486">
        <v>0</v>
      </c>
      <c r="AA101" s="486">
        <v>0</v>
      </c>
      <c r="AB101" s="486">
        <v>0</v>
      </c>
      <c r="AC101" s="486">
        <v>0</v>
      </c>
      <c r="AD101" s="486">
        <v>0</v>
      </c>
      <c r="AE101" s="486">
        <v>0</v>
      </c>
      <c r="AF101" s="486">
        <v>0</v>
      </c>
      <c r="AG101" s="486">
        <v>0</v>
      </c>
      <c r="AH101" s="487">
        <v>0</v>
      </c>
      <c r="AI101" s="486">
        <v>0</v>
      </c>
      <c r="AJ101" s="486">
        <v>0</v>
      </c>
      <c r="AK101" s="486">
        <v>0</v>
      </c>
      <c r="AL101" s="488">
        <v>0</v>
      </c>
      <c r="AM101" s="489">
        <v>0</v>
      </c>
      <c r="AN101" s="486">
        <v>0</v>
      </c>
      <c r="AO101" s="486">
        <v>0</v>
      </c>
      <c r="AP101" s="486">
        <v>0</v>
      </c>
      <c r="AQ101" s="486">
        <v>0</v>
      </c>
      <c r="AR101" s="486">
        <v>0</v>
      </c>
      <c r="AS101" s="486">
        <v>0</v>
      </c>
      <c r="AT101" s="486">
        <v>0</v>
      </c>
      <c r="AU101" s="486">
        <v>0</v>
      </c>
      <c r="AV101" s="487">
        <v>0</v>
      </c>
      <c r="AW101" s="486">
        <v>0</v>
      </c>
      <c r="AX101" s="486">
        <v>0</v>
      </c>
      <c r="AY101" s="486">
        <v>0</v>
      </c>
      <c r="AZ101" s="488">
        <v>0</v>
      </c>
      <c r="BA101" s="490">
        <v>0</v>
      </c>
      <c r="BB101" s="486">
        <v>0</v>
      </c>
      <c r="BC101" s="486">
        <v>0</v>
      </c>
      <c r="BD101" s="486">
        <v>0</v>
      </c>
      <c r="BE101" s="486">
        <v>0</v>
      </c>
      <c r="BF101" s="486">
        <v>0</v>
      </c>
      <c r="BG101" s="486">
        <v>0</v>
      </c>
      <c r="BH101" s="486">
        <v>0</v>
      </c>
      <c r="BI101" s="486">
        <v>0</v>
      </c>
      <c r="BJ101" s="487">
        <v>0</v>
      </c>
      <c r="BK101" s="486">
        <v>10000000</v>
      </c>
      <c r="BL101" s="486">
        <v>0</v>
      </c>
      <c r="BM101" s="486">
        <v>0</v>
      </c>
      <c r="BN101" s="488">
        <v>10000000</v>
      </c>
      <c r="BO101" s="490">
        <v>10000000</v>
      </c>
      <c r="BP101" s="486">
        <v>0</v>
      </c>
      <c r="BQ101" s="486">
        <v>0</v>
      </c>
      <c r="BR101" s="486">
        <v>0</v>
      </c>
      <c r="BS101" s="486">
        <v>0</v>
      </c>
      <c r="BT101" s="486">
        <v>0</v>
      </c>
      <c r="BU101" s="486">
        <v>0</v>
      </c>
      <c r="BV101" s="486">
        <v>0</v>
      </c>
      <c r="BW101" s="486">
        <v>0</v>
      </c>
      <c r="BX101" s="487">
        <v>0</v>
      </c>
      <c r="BY101" s="486">
        <v>0</v>
      </c>
      <c r="BZ101" s="486">
        <v>0</v>
      </c>
      <c r="CA101" s="486">
        <v>0</v>
      </c>
      <c r="CB101" s="488">
        <v>0</v>
      </c>
      <c r="CC101" s="491">
        <v>0</v>
      </c>
      <c r="CD101" s="492">
        <v>10000000</v>
      </c>
      <c r="CE101" s="493">
        <f t="shared" si="8"/>
        <v>0</v>
      </c>
      <c r="CF101" s="493">
        <f t="shared" si="8"/>
        <v>0</v>
      </c>
      <c r="CG101" s="493">
        <f t="shared" si="8"/>
        <v>0</v>
      </c>
      <c r="CH101" s="493">
        <f t="shared" si="8"/>
        <v>0</v>
      </c>
      <c r="CI101" s="493">
        <f t="shared" si="8"/>
        <v>0</v>
      </c>
      <c r="CJ101" s="493">
        <f t="shared" si="8"/>
        <v>0</v>
      </c>
      <c r="CK101" s="493">
        <f t="shared" si="8"/>
        <v>0</v>
      </c>
      <c r="CL101" s="493">
        <f t="shared" si="7"/>
        <v>0</v>
      </c>
      <c r="CM101" s="493">
        <f t="shared" si="6"/>
        <v>10000000</v>
      </c>
      <c r="CN101" s="493">
        <f t="shared" si="6"/>
        <v>0</v>
      </c>
      <c r="CO101" s="493">
        <f t="shared" si="6"/>
        <v>0</v>
      </c>
      <c r="CP101" s="494">
        <v>9</v>
      </c>
      <c r="CQ101" s="502" t="s">
        <v>6230</v>
      </c>
    </row>
    <row r="102" spans="1:95" ht="30.45" hidden="1" customHeight="1" thickBot="1">
      <c r="A102" s="555" t="s">
        <v>4170</v>
      </c>
      <c r="B102" s="479">
        <v>100</v>
      </c>
      <c r="C102" s="480" t="s">
        <v>4004</v>
      </c>
      <c r="D102" s="480" t="s">
        <v>4165</v>
      </c>
      <c r="E102" s="480" t="str">
        <f t="shared" si="5"/>
        <v xml:space="preserve">1.5.1 </v>
      </c>
      <c r="F102" s="480" t="s">
        <v>4166</v>
      </c>
      <c r="G102" s="480" t="s">
        <v>4167</v>
      </c>
      <c r="H102" s="481">
        <v>39</v>
      </c>
      <c r="I102" s="480" t="s">
        <v>4171</v>
      </c>
      <c r="J102" s="495">
        <v>390601100</v>
      </c>
      <c r="K102" s="480" t="s">
        <v>4347</v>
      </c>
      <c r="L102" s="480" t="s">
        <v>4186</v>
      </c>
      <c r="M102" s="480" t="s">
        <v>5740</v>
      </c>
      <c r="N102" s="484">
        <v>1</v>
      </c>
      <c r="O102" s="480" t="s">
        <v>6457</v>
      </c>
      <c r="P102" s="500">
        <v>7</v>
      </c>
      <c r="Q102" s="485" t="s">
        <v>5349</v>
      </c>
      <c r="R102" s="485" t="s">
        <v>5359</v>
      </c>
      <c r="S102" s="485" t="s">
        <v>689</v>
      </c>
      <c r="T102" s="485">
        <v>36.42</v>
      </c>
      <c r="U102" s="485" t="s">
        <v>5360</v>
      </c>
      <c r="V102" s="485">
        <v>37</v>
      </c>
      <c r="W102" s="485" t="s">
        <v>5331</v>
      </c>
      <c r="X102" s="485">
        <v>17</v>
      </c>
      <c r="Y102" s="485" t="s">
        <v>5361</v>
      </c>
      <c r="Z102" s="486">
        <v>0</v>
      </c>
      <c r="AA102" s="486">
        <v>0</v>
      </c>
      <c r="AB102" s="486">
        <v>0</v>
      </c>
      <c r="AC102" s="486">
        <v>0</v>
      </c>
      <c r="AD102" s="486">
        <v>0</v>
      </c>
      <c r="AE102" s="486">
        <v>0</v>
      </c>
      <c r="AF102" s="486">
        <v>0</v>
      </c>
      <c r="AG102" s="486">
        <v>0</v>
      </c>
      <c r="AH102" s="487">
        <v>0</v>
      </c>
      <c r="AI102" s="486">
        <v>0</v>
      </c>
      <c r="AJ102" s="486">
        <v>0</v>
      </c>
      <c r="AK102" s="486">
        <v>0</v>
      </c>
      <c r="AL102" s="488">
        <v>0</v>
      </c>
      <c r="AM102" s="489">
        <v>0</v>
      </c>
      <c r="AN102" s="486">
        <v>0</v>
      </c>
      <c r="AO102" s="486">
        <v>0</v>
      </c>
      <c r="AP102" s="486">
        <v>0</v>
      </c>
      <c r="AQ102" s="486">
        <v>0</v>
      </c>
      <c r="AR102" s="486">
        <v>0</v>
      </c>
      <c r="AS102" s="486">
        <v>0</v>
      </c>
      <c r="AT102" s="486">
        <v>0</v>
      </c>
      <c r="AU102" s="486">
        <v>0</v>
      </c>
      <c r="AV102" s="487">
        <v>0</v>
      </c>
      <c r="AW102" s="486">
        <v>0</v>
      </c>
      <c r="AX102" s="486">
        <v>0</v>
      </c>
      <c r="AY102" s="486">
        <v>0</v>
      </c>
      <c r="AZ102" s="488">
        <v>0</v>
      </c>
      <c r="BA102" s="490">
        <v>0</v>
      </c>
      <c r="BB102" s="486">
        <v>0</v>
      </c>
      <c r="BC102" s="486">
        <v>0</v>
      </c>
      <c r="BD102" s="486">
        <v>0</v>
      </c>
      <c r="BE102" s="486">
        <v>0</v>
      </c>
      <c r="BF102" s="486">
        <v>0</v>
      </c>
      <c r="BG102" s="486">
        <v>0</v>
      </c>
      <c r="BH102" s="486">
        <v>35312638.5</v>
      </c>
      <c r="BI102" s="486">
        <v>0</v>
      </c>
      <c r="BJ102" s="487">
        <v>35312638.5</v>
      </c>
      <c r="BK102" s="486">
        <v>135000000</v>
      </c>
      <c r="BL102" s="486">
        <v>0</v>
      </c>
      <c r="BM102" s="486">
        <v>50000000</v>
      </c>
      <c r="BN102" s="488">
        <v>185000000</v>
      </c>
      <c r="BO102" s="490">
        <v>220312638.5</v>
      </c>
      <c r="BP102" s="486">
        <v>0</v>
      </c>
      <c r="BQ102" s="486">
        <v>0</v>
      </c>
      <c r="BR102" s="486">
        <v>0</v>
      </c>
      <c r="BS102" s="486">
        <v>0</v>
      </c>
      <c r="BT102" s="486">
        <v>0</v>
      </c>
      <c r="BU102" s="486">
        <v>0</v>
      </c>
      <c r="BV102" s="486">
        <v>0</v>
      </c>
      <c r="BW102" s="486">
        <v>0</v>
      </c>
      <c r="BX102" s="487">
        <v>0</v>
      </c>
      <c r="BY102" s="486">
        <v>0</v>
      </c>
      <c r="BZ102" s="486">
        <v>0</v>
      </c>
      <c r="CA102" s="486">
        <v>0</v>
      </c>
      <c r="CB102" s="488">
        <v>0</v>
      </c>
      <c r="CC102" s="491">
        <v>0</v>
      </c>
      <c r="CD102" s="492">
        <v>220312638.5</v>
      </c>
      <c r="CE102" s="493">
        <f t="shared" si="8"/>
        <v>0</v>
      </c>
      <c r="CF102" s="493">
        <f t="shared" si="8"/>
        <v>0</v>
      </c>
      <c r="CG102" s="493">
        <f t="shared" si="8"/>
        <v>0</v>
      </c>
      <c r="CH102" s="493">
        <f t="shared" si="8"/>
        <v>0</v>
      </c>
      <c r="CI102" s="493">
        <f t="shared" si="8"/>
        <v>0</v>
      </c>
      <c r="CJ102" s="493">
        <f t="shared" si="8"/>
        <v>0</v>
      </c>
      <c r="CK102" s="493">
        <f t="shared" si="8"/>
        <v>35312638.5</v>
      </c>
      <c r="CL102" s="493">
        <f t="shared" si="7"/>
        <v>0</v>
      </c>
      <c r="CM102" s="493">
        <f t="shared" si="6"/>
        <v>135000000</v>
      </c>
      <c r="CN102" s="493">
        <f t="shared" si="6"/>
        <v>0</v>
      </c>
      <c r="CO102" s="493">
        <f t="shared" si="6"/>
        <v>50000000</v>
      </c>
      <c r="CP102" s="494">
        <v>9</v>
      </c>
      <c r="CQ102" s="494" t="s">
        <v>6231</v>
      </c>
    </row>
    <row r="103" spans="1:95" ht="30.45" hidden="1" customHeight="1" thickBot="1">
      <c r="A103" s="555" t="s">
        <v>4170</v>
      </c>
      <c r="B103" s="479">
        <v>101</v>
      </c>
      <c r="C103" s="480" t="s">
        <v>4004</v>
      </c>
      <c r="D103" s="480" t="s">
        <v>4165</v>
      </c>
      <c r="E103" s="480" t="str">
        <f t="shared" si="5"/>
        <v xml:space="preserve">1.5.1 </v>
      </c>
      <c r="F103" s="480" t="s">
        <v>4166</v>
      </c>
      <c r="G103" s="480" t="s">
        <v>4167</v>
      </c>
      <c r="H103" s="481">
        <v>39</v>
      </c>
      <c r="I103" s="480" t="s">
        <v>4171</v>
      </c>
      <c r="J103" s="495">
        <v>390601100</v>
      </c>
      <c r="K103" s="480" t="s">
        <v>4347</v>
      </c>
      <c r="L103" s="480" t="s">
        <v>4186</v>
      </c>
      <c r="M103" s="480" t="s">
        <v>5741</v>
      </c>
      <c r="N103" s="499">
        <v>0</v>
      </c>
      <c r="O103" s="480" t="s">
        <v>6457</v>
      </c>
      <c r="P103" s="500">
        <v>1</v>
      </c>
      <c r="Q103" s="485" t="s">
        <v>5349</v>
      </c>
      <c r="R103" s="485" t="s">
        <v>5359</v>
      </c>
      <c r="S103" s="485" t="s">
        <v>689</v>
      </c>
      <c r="T103" s="485">
        <v>36.42</v>
      </c>
      <c r="U103" s="485" t="s">
        <v>5360</v>
      </c>
      <c r="V103" s="485">
        <v>37</v>
      </c>
      <c r="W103" s="485" t="s">
        <v>5331</v>
      </c>
      <c r="X103" s="485">
        <v>17</v>
      </c>
      <c r="Y103" s="485" t="s">
        <v>5361</v>
      </c>
      <c r="Z103" s="486">
        <v>0</v>
      </c>
      <c r="AA103" s="486">
        <v>0</v>
      </c>
      <c r="AB103" s="486">
        <v>0</v>
      </c>
      <c r="AC103" s="486">
        <v>0</v>
      </c>
      <c r="AD103" s="486">
        <v>0</v>
      </c>
      <c r="AE103" s="486">
        <v>0</v>
      </c>
      <c r="AF103" s="486">
        <v>0</v>
      </c>
      <c r="AG103" s="486">
        <v>0</v>
      </c>
      <c r="AH103" s="487">
        <v>0</v>
      </c>
      <c r="AI103" s="486">
        <v>0</v>
      </c>
      <c r="AJ103" s="486">
        <v>0</v>
      </c>
      <c r="AK103" s="486">
        <v>0</v>
      </c>
      <c r="AL103" s="488">
        <v>0</v>
      </c>
      <c r="AM103" s="489">
        <v>0</v>
      </c>
      <c r="AN103" s="486">
        <v>0</v>
      </c>
      <c r="AO103" s="486">
        <v>0</v>
      </c>
      <c r="AP103" s="486">
        <v>0</v>
      </c>
      <c r="AQ103" s="486">
        <v>0</v>
      </c>
      <c r="AR103" s="486">
        <v>0</v>
      </c>
      <c r="AS103" s="486">
        <v>0</v>
      </c>
      <c r="AT103" s="486">
        <v>0</v>
      </c>
      <c r="AU103" s="486">
        <v>0</v>
      </c>
      <c r="AV103" s="487">
        <v>0</v>
      </c>
      <c r="AW103" s="486">
        <v>0</v>
      </c>
      <c r="AX103" s="486">
        <v>0</v>
      </c>
      <c r="AY103" s="486">
        <v>0</v>
      </c>
      <c r="AZ103" s="488">
        <v>0</v>
      </c>
      <c r="BA103" s="490">
        <v>0</v>
      </c>
      <c r="BB103" s="486">
        <v>0</v>
      </c>
      <c r="BC103" s="486">
        <v>0</v>
      </c>
      <c r="BD103" s="486">
        <v>0</v>
      </c>
      <c r="BE103" s="486">
        <v>0</v>
      </c>
      <c r="BF103" s="486">
        <v>0</v>
      </c>
      <c r="BG103" s="486">
        <v>0</v>
      </c>
      <c r="BH103" s="486">
        <v>0</v>
      </c>
      <c r="BI103" s="486">
        <v>0</v>
      </c>
      <c r="BJ103" s="487">
        <v>0</v>
      </c>
      <c r="BK103" s="486">
        <v>150000000</v>
      </c>
      <c r="BL103" s="486">
        <v>0</v>
      </c>
      <c r="BM103" s="486">
        <v>0</v>
      </c>
      <c r="BN103" s="488">
        <v>150000000</v>
      </c>
      <c r="BO103" s="490">
        <v>150000000</v>
      </c>
      <c r="BP103" s="486">
        <v>0</v>
      </c>
      <c r="BQ103" s="486">
        <v>0</v>
      </c>
      <c r="BR103" s="486">
        <v>0</v>
      </c>
      <c r="BS103" s="486">
        <v>0</v>
      </c>
      <c r="BT103" s="486">
        <v>0</v>
      </c>
      <c r="BU103" s="486">
        <v>0</v>
      </c>
      <c r="BV103" s="486">
        <v>0</v>
      </c>
      <c r="BW103" s="486">
        <v>0</v>
      </c>
      <c r="BX103" s="487">
        <v>0</v>
      </c>
      <c r="BY103" s="486">
        <v>0</v>
      </c>
      <c r="BZ103" s="486">
        <v>0</v>
      </c>
      <c r="CA103" s="486">
        <v>0</v>
      </c>
      <c r="CB103" s="488">
        <v>0</v>
      </c>
      <c r="CC103" s="491">
        <v>0</v>
      </c>
      <c r="CD103" s="492">
        <v>150000000</v>
      </c>
      <c r="CE103" s="493">
        <f t="shared" si="8"/>
        <v>0</v>
      </c>
      <c r="CF103" s="493">
        <f t="shared" si="8"/>
        <v>0</v>
      </c>
      <c r="CG103" s="493">
        <f t="shared" si="8"/>
        <v>0</v>
      </c>
      <c r="CH103" s="493">
        <f t="shared" si="8"/>
        <v>0</v>
      </c>
      <c r="CI103" s="493">
        <f t="shared" si="8"/>
        <v>0</v>
      </c>
      <c r="CJ103" s="493">
        <f t="shared" si="8"/>
        <v>0</v>
      </c>
      <c r="CK103" s="493">
        <f t="shared" si="8"/>
        <v>0</v>
      </c>
      <c r="CL103" s="493">
        <f t="shared" si="7"/>
        <v>0</v>
      </c>
      <c r="CM103" s="493">
        <f t="shared" si="6"/>
        <v>150000000</v>
      </c>
      <c r="CN103" s="493">
        <f t="shared" si="6"/>
        <v>0</v>
      </c>
      <c r="CO103" s="493">
        <f t="shared" si="6"/>
        <v>0</v>
      </c>
      <c r="CP103" s="494">
        <v>9</v>
      </c>
      <c r="CQ103" s="494" t="s">
        <v>6231</v>
      </c>
    </row>
    <row r="104" spans="1:95" ht="30.45" hidden="1" customHeight="1" thickBot="1">
      <c r="A104" s="555" t="s">
        <v>4170</v>
      </c>
      <c r="B104" s="479">
        <v>102</v>
      </c>
      <c r="C104" s="480" t="s">
        <v>4004</v>
      </c>
      <c r="D104" s="480" t="s">
        <v>4165</v>
      </c>
      <c r="E104" s="480" t="str">
        <f t="shared" si="5"/>
        <v xml:space="preserve">1.5.1 </v>
      </c>
      <c r="F104" s="480" t="s">
        <v>4166</v>
      </c>
      <c r="G104" s="480" t="s">
        <v>4167</v>
      </c>
      <c r="H104" s="481">
        <v>39</v>
      </c>
      <c r="I104" s="480" t="s">
        <v>4171</v>
      </c>
      <c r="J104" s="495">
        <v>390600101</v>
      </c>
      <c r="K104" s="480" t="s">
        <v>4008</v>
      </c>
      <c r="L104" s="480" t="s">
        <v>4187</v>
      </c>
      <c r="M104" s="480" t="s">
        <v>5742</v>
      </c>
      <c r="N104" s="484">
        <v>1200</v>
      </c>
      <c r="O104" s="480" t="s">
        <v>6457</v>
      </c>
      <c r="P104" s="500">
        <v>2400</v>
      </c>
      <c r="Q104" s="485" t="s">
        <v>5349</v>
      </c>
      <c r="R104" s="485" t="s">
        <v>5359</v>
      </c>
      <c r="S104" s="485" t="s">
        <v>689</v>
      </c>
      <c r="T104" s="485">
        <v>36.42</v>
      </c>
      <c r="U104" s="485" t="s">
        <v>5360</v>
      </c>
      <c r="V104" s="485">
        <v>37</v>
      </c>
      <c r="W104" s="485" t="s">
        <v>5331</v>
      </c>
      <c r="X104" s="485">
        <v>17</v>
      </c>
      <c r="Y104" s="485" t="s">
        <v>5361</v>
      </c>
      <c r="Z104" s="486">
        <v>0</v>
      </c>
      <c r="AA104" s="486">
        <v>0</v>
      </c>
      <c r="AB104" s="486">
        <v>0</v>
      </c>
      <c r="AC104" s="486">
        <v>0</v>
      </c>
      <c r="AD104" s="486">
        <v>0</v>
      </c>
      <c r="AE104" s="486">
        <v>0</v>
      </c>
      <c r="AF104" s="486">
        <v>0</v>
      </c>
      <c r="AG104" s="486">
        <v>0</v>
      </c>
      <c r="AH104" s="487">
        <v>0</v>
      </c>
      <c r="AI104" s="486">
        <v>0</v>
      </c>
      <c r="AJ104" s="486">
        <v>0</v>
      </c>
      <c r="AK104" s="486">
        <v>0</v>
      </c>
      <c r="AL104" s="488">
        <v>0</v>
      </c>
      <c r="AM104" s="489">
        <v>0</v>
      </c>
      <c r="AN104" s="486">
        <v>0</v>
      </c>
      <c r="AO104" s="486">
        <v>0</v>
      </c>
      <c r="AP104" s="486">
        <v>0</v>
      </c>
      <c r="AQ104" s="486">
        <v>0</v>
      </c>
      <c r="AR104" s="486">
        <v>0</v>
      </c>
      <c r="AS104" s="486">
        <v>0</v>
      </c>
      <c r="AT104" s="486">
        <v>0</v>
      </c>
      <c r="AU104" s="486">
        <v>0</v>
      </c>
      <c r="AV104" s="487">
        <v>0</v>
      </c>
      <c r="AW104" s="486">
        <v>0</v>
      </c>
      <c r="AX104" s="486">
        <v>0</v>
      </c>
      <c r="AY104" s="486">
        <v>0</v>
      </c>
      <c r="AZ104" s="488">
        <v>0</v>
      </c>
      <c r="BA104" s="490">
        <v>0</v>
      </c>
      <c r="BB104" s="486">
        <v>0</v>
      </c>
      <c r="BC104" s="486">
        <v>0</v>
      </c>
      <c r="BD104" s="486">
        <v>0</v>
      </c>
      <c r="BE104" s="486">
        <v>0</v>
      </c>
      <c r="BF104" s="486">
        <v>0</v>
      </c>
      <c r="BG104" s="486">
        <v>0</v>
      </c>
      <c r="BH104" s="486">
        <v>0</v>
      </c>
      <c r="BI104" s="486">
        <v>0</v>
      </c>
      <c r="BJ104" s="487">
        <v>0</v>
      </c>
      <c r="BK104" s="486">
        <v>0</v>
      </c>
      <c r="BL104" s="486">
        <v>0</v>
      </c>
      <c r="BM104" s="486">
        <v>0</v>
      </c>
      <c r="BN104" s="488">
        <v>0</v>
      </c>
      <c r="BO104" s="490">
        <v>0</v>
      </c>
      <c r="BP104" s="486">
        <v>0</v>
      </c>
      <c r="BQ104" s="486">
        <v>0</v>
      </c>
      <c r="BR104" s="486">
        <v>0</v>
      </c>
      <c r="BS104" s="486">
        <v>0</v>
      </c>
      <c r="BT104" s="486">
        <v>0</v>
      </c>
      <c r="BU104" s="486">
        <v>0</v>
      </c>
      <c r="BV104" s="486">
        <v>0</v>
      </c>
      <c r="BW104" s="486">
        <v>0</v>
      </c>
      <c r="BX104" s="487">
        <v>0</v>
      </c>
      <c r="BY104" s="486">
        <v>800000000</v>
      </c>
      <c r="BZ104" s="486">
        <v>0</v>
      </c>
      <c r="CA104" s="486">
        <v>0</v>
      </c>
      <c r="CB104" s="488">
        <v>800000000</v>
      </c>
      <c r="CC104" s="491">
        <v>800000000</v>
      </c>
      <c r="CD104" s="492">
        <v>800000000</v>
      </c>
      <c r="CE104" s="493">
        <f t="shared" si="8"/>
        <v>0</v>
      </c>
      <c r="CF104" s="493">
        <f t="shared" si="8"/>
        <v>0</v>
      </c>
      <c r="CG104" s="493">
        <f t="shared" si="8"/>
        <v>0</v>
      </c>
      <c r="CH104" s="493">
        <f t="shared" si="8"/>
        <v>0</v>
      </c>
      <c r="CI104" s="493">
        <f t="shared" si="8"/>
        <v>0</v>
      </c>
      <c r="CJ104" s="493">
        <f t="shared" si="8"/>
        <v>0</v>
      </c>
      <c r="CK104" s="493">
        <f t="shared" si="8"/>
        <v>0</v>
      </c>
      <c r="CL104" s="493">
        <f t="shared" si="7"/>
        <v>0</v>
      </c>
      <c r="CM104" s="493">
        <f t="shared" si="6"/>
        <v>800000000</v>
      </c>
      <c r="CN104" s="493">
        <f t="shared" si="6"/>
        <v>0</v>
      </c>
      <c r="CO104" s="493">
        <f t="shared" si="6"/>
        <v>0</v>
      </c>
      <c r="CP104" s="494">
        <v>9</v>
      </c>
      <c r="CQ104" s="501" t="s">
        <v>6232</v>
      </c>
    </row>
    <row r="105" spans="1:95" ht="30.45" hidden="1" customHeight="1" thickBot="1">
      <c r="A105" s="555" t="s">
        <v>4170</v>
      </c>
      <c r="B105" s="479">
        <v>103</v>
      </c>
      <c r="C105" s="480" t="s">
        <v>4004</v>
      </c>
      <c r="D105" s="480" t="s">
        <v>4165</v>
      </c>
      <c r="E105" s="480" t="str">
        <f t="shared" si="5"/>
        <v xml:space="preserve">1.5.1 </v>
      </c>
      <c r="F105" s="480" t="s">
        <v>4166</v>
      </c>
      <c r="G105" s="480" t="s">
        <v>4167</v>
      </c>
      <c r="H105" s="481">
        <v>39</v>
      </c>
      <c r="I105" s="480" t="s">
        <v>4171</v>
      </c>
      <c r="J105" s="495">
        <v>390601701</v>
      </c>
      <c r="K105" s="480" t="s">
        <v>4176</v>
      </c>
      <c r="L105" s="480" t="s">
        <v>6461</v>
      </c>
      <c r="M105" s="480" t="s">
        <v>6462</v>
      </c>
      <c r="N105" s="499">
        <v>0</v>
      </c>
      <c r="O105" s="480" t="s">
        <v>6457</v>
      </c>
      <c r="P105" s="500">
        <v>1</v>
      </c>
      <c r="Q105" s="485" t="s">
        <v>5349</v>
      </c>
      <c r="R105" s="485" t="s">
        <v>5359</v>
      </c>
      <c r="S105" s="485" t="s">
        <v>689</v>
      </c>
      <c r="T105" s="485">
        <v>36.42</v>
      </c>
      <c r="U105" s="485" t="s">
        <v>5360</v>
      </c>
      <c r="V105" s="485">
        <v>37</v>
      </c>
      <c r="W105" s="485" t="s">
        <v>5331</v>
      </c>
      <c r="X105" s="485">
        <v>17</v>
      </c>
      <c r="Y105" s="485" t="s">
        <v>5361</v>
      </c>
      <c r="Z105" s="486">
        <v>0</v>
      </c>
      <c r="AA105" s="486">
        <v>0</v>
      </c>
      <c r="AB105" s="486">
        <v>0</v>
      </c>
      <c r="AC105" s="486">
        <v>0</v>
      </c>
      <c r="AD105" s="486">
        <v>0</v>
      </c>
      <c r="AE105" s="486">
        <v>0</v>
      </c>
      <c r="AF105" s="486">
        <v>0</v>
      </c>
      <c r="AG105" s="486">
        <v>0</v>
      </c>
      <c r="AH105" s="487">
        <v>0</v>
      </c>
      <c r="AI105" s="486"/>
      <c r="AJ105" s="486">
        <v>0</v>
      </c>
      <c r="AK105" s="486">
        <v>14000000</v>
      </c>
      <c r="AL105" s="488">
        <v>14000000</v>
      </c>
      <c r="AM105" s="489">
        <v>14000000</v>
      </c>
      <c r="AN105" s="486">
        <v>0</v>
      </c>
      <c r="AO105" s="486">
        <v>0</v>
      </c>
      <c r="AP105" s="486">
        <v>0</v>
      </c>
      <c r="AQ105" s="486">
        <v>0</v>
      </c>
      <c r="AR105" s="486">
        <v>0</v>
      </c>
      <c r="AS105" s="486">
        <v>0</v>
      </c>
      <c r="AT105" s="486">
        <v>48000000</v>
      </c>
      <c r="AU105" s="486">
        <v>0</v>
      </c>
      <c r="AV105" s="487">
        <v>48000000</v>
      </c>
      <c r="AW105" s="486">
        <v>0</v>
      </c>
      <c r="AX105" s="486">
        <v>0</v>
      </c>
      <c r="AY105" s="486">
        <v>0</v>
      </c>
      <c r="AZ105" s="488">
        <v>0</v>
      </c>
      <c r="BA105" s="490">
        <v>48000000</v>
      </c>
      <c r="BB105" s="486">
        <v>0</v>
      </c>
      <c r="BC105" s="486">
        <v>0</v>
      </c>
      <c r="BD105" s="486">
        <v>0</v>
      </c>
      <c r="BE105" s="486">
        <v>0</v>
      </c>
      <c r="BF105" s="486">
        <v>0</v>
      </c>
      <c r="BG105" s="486">
        <v>0</v>
      </c>
      <c r="BH105" s="486">
        <v>0</v>
      </c>
      <c r="BI105" s="486">
        <v>0</v>
      </c>
      <c r="BJ105" s="487">
        <v>0</v>
      </c>
      <c r="BK105" s="486">
        <v>0</v>
      </c>
      <c r="BL105" s="486">
        <v>0</v>
      </c>
      <c r="BM105" s="486">
        <v>0</v>
      </c>
      <c r="BN105" s="488">
        <v>0</v>
      </c>
      <c r="BO105" s="490">
        <v>0</v>
      </c>
      <c r="BP105" s="486">
        <v>0</v>
      </c>
      <c r="BQ105" s="486">
        <v>0</v>
      </c>
      <c r="BR105" s="486">
        <v>0</v>
      </c>
      <c r="BS105" s="486">
        <v>0</v>
      </c>
      <c r="BT105" s="486">
        <v>0</v>
      </c>
      <c r="BU105" s="486">
        <v>0</v>
      </c>
      <c r="BV105" s="486">
        <v>0</v>
      </c>
      <c r="BW105" s="486">
        <v>0</v>
      </c>
      <c r="BX105" s="487">
        <v>0</v>
      </c>
      <c r="BY105" s="486">
        <v>0</v>
      </c>
      <c r="BZ105" s="486">
        <v>0</v>
      </c>
      <c r="CA105" s="486">
        <v>0</v>
      </c>
      <c r="CB105" s="488">
        <v>0</v>
      </c>
      <c r="CC105" s="491">
        <v>0</v>
      </c>
      <c r="CD105" s="492">
        <v>62000000</v>
      </c>
      <c r="CE105" s="493">
        <f t="shared" si="8"/>
        <v>0</v>
      </c>
      <c r="CF105" s="493">
        <f t="shared" si="8"/>
        <v>0</v>
      </c>
      <c r="CG105" s="493">
        <f t="shared" si="8"/>
        <v>0</v>
      </c>
      <c r="CH105" s="493">
        <f t="shared" si="8"/>
        <v>0</v>
      </c>
      <c r="CI105" s="493">
        <f t="shared" si="8"/>
        <v>0</v>
      </c>
      <c r="CJ105" s="493">
        <f t="shared" si="8"/>
        <v>0</v>
      </c>
      <c r="CK105" s="493">
        <f t="shared" si="8"/>
        <v>48000000</v>
      </c>
      <c r="CL105" s="493">
        <f t="shared" si="7"/>
        <v>0</v>
      </c>
      <c r="CM105" s="493">
        <f t="shared" si="6"/>
        <v>0</v>
      </c>
      <c r="CN105" s="493">
        <f t="shared" si="6"/>
        <v>0</v>
      </c>
      <c r="CO105" s="493">
        <f t="shared" si="6"/>
        <v>14000000</v>
      </c>
      <c r="CP105" s="494">
        <v>9</v>
      </c>
      <c r="CQ105" s="494" t="s">
        <v>6230</v>
      </c>
    </row>
    <row r="106" spans="1:95" ht="30.45" hidden="1" customHeight="1" thickBot="1">
      <c r="A106" s="555" t="s">
        <v>4170</v>
      </c>
      <c r="B106" s="479">
        <v>104</v>
      </c>
      <c r="C106" s="480" t="s">
        <v>4004</v>
      </c>
      <c r="D106" s="480" t="s">
        <v>4165</v>
      </c>
      <c r="E106" s="480" t="str">
        <f t="shared" si="5"/>
        <v xml:space="preserve">1.5.1 </v>
      </c>
      <c r="F106" s="480" t="s">
        <v>4166</v>
      </c>
      <c r="G106" s="480" t="s">
        <v>4167</v>
      </c>
      <c r="H106" s="481">
        <v>39</v>
      </c>
      <c r="I106" s="480" t="s">
        <v>4171</v>
      </c>
      <c r="J106" s="495">
        <v>390601702</v>
      </c>
      <c r="K106" s="480" t="s">
        <v>4176</v>
      </c>
      <c r="L106" s="480" t="s">
        <v>4188</v>
      </c>
      <c r="M106" s="480" t="s">
        <v>5743</v>
      </c>
      <c r="N106" s="499">
        <v>0</v>
      </c>
      <c r="O106" s="480" t="s">
        <v>6457</v>
      </c>
      <c r="P106" s="500">
        <v>3</v>
      </c>
      <c r="Q106" s="485" t="s">
        <v>5349</v>
      </c>
      <c r="R106" s="485" t="s">
        <v>5359</v>
      </c>
      <c r="S106" s="485" t="s">
        <v>689</v>
      </c>
      <c r="T106" s="485">
        <v>36.42</v>
      </c>
      <c r="U106" s="485" t="s">
        <v>5360</v>
      </c>
      <c r="V106" s="485">
        <v>37</v>
      </c>
      <c r="W106" s="485" t="s">
        <v>5331</v>
      </c>
      <c r="X106" s="485">
        <v>17</v>
      </c>
      <c r="Y106" s="485" t="s">
        <v>5361</v>
      </c>
      <c r="Z106" s="486">
        <v>0</v>
      </c>
      <c r="AA106" s="486">
        <v>0</v>
      </c>
      <c r="AB106" s="486">
        <v>0</v>
      </c>
      <c r="AC106" s="486">
        <v>0</v>
      </c>
      <c r="AD106" s="486">
        <v>0</v>
      </c>
      <c r="AE106" s="486">
        <v>0</v>
      </c>
      <c r="AF106" s="486">
        <v>0</v>
      </c>
      <c r="AG106" s="486">
        <v>0</v>
      </c>
      <c r="AH106" s="487">
        <v>0</v>
      </c>
      <c r="AI106" s="486">
        <v>0</v>
      </c>
      <c r="AJ106" s="486">
        <v>0</v>
      </c>
      <c r="AK106" s="486">
        <v>0</v>
      </c>
      <c r="AL106" s="488">
        <v>0</v>
      </c>
      <c r="AM106" s="489">
        <v>0</v>
      </c>
      <c r="AN106" s="486">
        <v>0</v>
      </c>
      <c r="AO106" s="486">
        <v>0</v>
      </c>
      <c r="AP106" s="486">
        <v>0</v>
      </c>
      <c r="AQ106" s="486">
        <v>0</v>
      </c>
      <c r="AR106" s="486">
        <v>0</v>
      </c>
      <c r="AS106" s="486">
        <v>0</v>
      </c>
      <c r="AT106" s="486"/>
      <c r="AU106" s="486">
        <v>0</v>
      </c>
      <c r="AV106" s="487">
        <v>0</v>
      </c>
      <c r="AW106" s="486">
        <v>55497600.000000328</v>
      </c>
      <c r="AX106" s="486">
        <v>0</v>
      </c>
      <c r="AY106" s="486">
        <v>0</v>
      </c>
      <c r="AZ106" s="488">
        <v>55497600.000000328</v>
      </c>
      <c r="BA106" s="490">
        <v>55497600.000000328</v>
      </c>
      <c r="BB106" s="486">
        <v>0</v>
      </c>
      <c r="BC106" s="486">
        <v>0</v>
      </c>
      <c r="BD106" s="486">
        <v>0</v>
      </c>
      <c r="BE106" s="486">
        <v>0</v>
      </c>
      <c r="BF106" s="486">
        <v>0</v>
      </c>
      <c r="BG106" s="486">
        <v>0</v>
      </c>
      <c r="BH106" s="486">
        <v>0</v>
      </c>
      <c r="BI106" s="486">
        <v>0</v>
      </c>
      <c r="BJ106" s="487">
        <v>0</v>
      </c>
      <c r="BK106" s="486">
        <v>0</v>
      </c>
      <c r="BL106" s="486">
        <v>0</v>
      </c>
      <c r="BM106" s="486">
        <v>0</v>
      </c>
      <c r="BN106" s="488">
        <v>0</v>
      </c>
      <c r="BO106" s="490">
        <v>0</v>
      </c>
      <c r="BP106" s="486">
        <v>0</v>
      </c>
      <c r="BQ106" s="486">
        <v>0</v>
      </c>
      <c r="BR106" s="486">
        <v>0</v>
      </c>
      <c r="BS106" s="486">
        <v>0</v>
      </c>
      <c r="BT106" s="486">
        <v>0</v>
      </c>
      <c r="BU106" s="486">
        <v>0</v>
      </c>
      <c r="BV106" s="486">
        <v>0</v>
      </c>
      <c r="BW106" s="486">
        <v>0</v>
      </c>
      <c r="BX106" s="487">
        <v>0</v>
      </c>
      <c r="BY106" s="486">
        <v>0</v>
      </c>
      <c r="BZ106" s="486">
        <v>0</v>
      </c>
      <c r="CA106" s="486">
        <v>0</v>
      </c>
      <c r="CB106" s="488">
        <v>0</v>
      </c>
      <c r="CC106" s="491">
        <v>0</v>
      </c>
      <c r="CD106" s="492">
        <v>55497600.000000328</v>
      </c>
      <c r="CE106" s="493">
        <f t="shared" si="8"/>
        <v>0</v>
      </c>
      <c r="CF106" s="493">
        <f t="shared" si="8"/>
        <v>0</v>
      </c>
      <c r="CG106" s="493">
        <f t="shared" si="8"/>
        <v>0</v>
      </c>
      <c r="CH106" s="493">
        <f t="shared" si="8"/>
        <v>0</v>
      </c>
      <c r="CI106" s="493">
        <f t="shared" si="8"/>
        <v>0</v>
      </c>
      <c r="CJ106" s="493">
        <f t="shared" si="8"/>
        <v>0</v>
      </c>
      <c r="CK106" s="493">
        <f t="shared" si="8"/>
        <v>0</v>
      </c>
      <c r="CL106" s="493">
        <f t="shared" si="7"/>
        <v>0</v>
      </c>
      <c r="CM106" s="493">
        <f t="shared" si="6"/>
        <v>55497600.000000328</v>
      </c>
      <c r="CN106" s="493">
        <f t="shared" si="6"/>
        <v>0</v>
      </c>
      <c r="CO106" s="493">
        <f t="shared" si="6"/>
        <v>0</v>
      </c>
      <c r="CP106" s="494">
        <v>9</v>
      </c>
      <c r="CQ106" s="501" t="s">
        <v>6233</v>
      </c>
    </row>
    <row r="107" spans="1:95" ht="30.45" hidden="1" customHeight="1" thickBot="1">
      <c r="A107" s="555" t="s">
        <v>4191</v>
      </c>
      <c r="B107" s="479">
        <v>105</v>
      </c>
      <c r="C107" s="480" t="s">
        <v>4004</v>
      </c>
      <c r="D107" s="480" t="s">
        <v>4165</v>
      </c>
      <c r="E107" s="480" t="str">
        <f t="shared" si="5"/>
        <v xml:space="preserve">1.5.1 </v>
      </c>
      <c r="F107" s="480" t="s">
        <v>4166</v>
      </c>
      <c r="G107" s="480" t="s">
        <v>4167</v>
      </c>
      <c r="H107" s="481">
        <v>17</v>
      </c>
      <c r="I107" s="480" t="s">
        <v>4189</v>
      </c>
      <c r="J107" s="495">
        <v>170805200</v>
      </c>
      <c r="K107" s="480" t="s">
        <v>4063</v>
      </c>
      <c r="L107" s="480" t="s">
        <v>4190</v>
      </c>
      <c r="M107" s="480" t="s">
        <v>5744</v>
      </c>
      <c r="N107" s="484">
        <v>2</v>
      </c>
      <c r="O107" s="480" t="s">
        <v>6463</v>
      </c>
      <c r="P107" s="500">
        <v>3</v>
      </c>
      <c r="Q107" s="485" t="s">
        <v>5349</v>
      </c>
      <c r="R107" s="485" t="s">
        <v>5359</v>
      </c>
      <c r="S107" s="485" t="s">
        <v>689</v>
      </c>
      <c r="T107" s="485">
        <v>36.42</v>
      </c>
      <c r="U107" s="485" t="s">
        <v>5360</v>
      </c>
      <c r="V107" s="485">
        <v>37</v>
      </c>
      <c r="W107" s="485" t="s">
        <v>5331</v>
      </c>
      <c r="X107" s="485">
        <v>17</v>
      </c>
      <c r="Y107" s="485" t="s">
        <v>5361</v>
      </c>
      <c r="Z107" s="486">
        <v>45000000</v>
      </c>
      <c r="AA107" s="486">
        <v>0</v>
      </c>
      <c r="AB107" s="486">
        <v>0</v>
      </c>
      <c r="AC107" s="486">
        <v>0</v>
      </c>
      <c r="AD107" s="486">
        <v>0</v>
      </c>
      <c r="AE107" s="486">
        <v>0</v>
      </c>
      <c r="AF107" s="486">
        <v>0</v>
      </c>
      <c r="AG107" s="486">
        <v>0</v>
      </c>
      <c r="AH107" s="487">
        <v>45000000</v>
      </c>
      <c r="AI107" s="486">
        <v>0</v>
      </c>
      <c r="AJ107" s="486">
        <v>0</v>
      </c>
      <c r="AK107" s="486">
        <v>0</v>
      </c>
      <c r="AL107" s="488">
        <v>0</v>
      </c>
      <c r="AM107" s="489">
        <v>45000000</v>
      </c>
      <c r="AN107" s="486">
        <v>45000000</v>
      </c>
      <c r="AO107" s="486">
        <v>0</v>
      </c>
      <c r="AP107" s="486">
        <v>0</v>
      </c>
      <c r="AQ107" s="486">
        <v>0</v>
      </c>
      <c r="AR107" s="486">
        <v>0</v>
      </c>
      <c r="AS107" s="486">
        <v>0</v>
      </c>
      <c r="AT107" s="486">
        <v>0</v>
      </c>
      <c r="AU107" s="486">
        <v>0</v>
      </c>
      <c r="AV107" s="487">
        <v>45000000</v>
      </c>
      <c r="AW107" s="486">
        <v>0</v>
      </c>
      <c r="AX107" s="486">
        <v>0</v>
      </c>
      <c r="AY107" s="486">
        <v>0</v>
      </c>
      <c r="AZ107" s="488">
        <v>0</v>
      </c>
      <c r="BA107" s="490">
        <v>45000000</v>
      </c>
      <c r="BB107" s="486">
        <v>45000000</v>
      </c>
      <c r="BC107" s="486">
        <v>0</v>
      </c>
      <c r="BD107" s="486">
        <v>0</v>
      </c>
      <c r="BE107" s="486">
        <v>0</v>
      </c>
      <c r="BF107" s="486">
        <v>0</v>
      </c>
      <c r="BG107" s="486">
        <v>0</v>
      </c>
      <c r="BH107" s="486">
        <v>0</v>
      </c>
      <c r="BI107" s="486">
        <v>0</v>
      </c>
      <c r="BJ107" s="487">
        <v>45000000</v>
      </c>
      <c r="BK107" s="486">
        <v>0</v>
      </c>
      <c r="BL107" s="486">
        <v>0</v>
      </c>
      <c r="BM107" s="486">
        <v>0</v>
      </c>
      <c r="BN107" s="488">
        <v>0</v>
      </c>
      <c r="BO107" s="490">
        <v>45000000</v>
      </c>
      <c r="BP107" s="486">
        <v>45000000</v>
      </c>
      <c r="BQ107" s="486">
        <v>0</v>
      </c>
      <c r="BR107" s="486">
        <v>0</v>
      </c>
      <c r="BS107" s="486">
        <v>0</v>
      </c>
      <c r="BT107" s="486">
        <v>0</v>
      </c>
      <c r="BU107" s="486">
        <v>0</v>
      </c>
      <c r="BV107" s="486">
        <v>0</v>
      </c>
      <c r="BW107" s="486">
        <v>0</v>
      </c>
      <c r="BX107" s="487">
        <v>45000000</v>
      </c>
      <c r="BY107" s="486">
        <v>0</v>
      </c>
      <c r="BZ107" s="486">
        <v>0</v>
      </c>
      <c r="CA107" s="486">
        <v>0</v>
      </c>
      <c r="CB107" s="488">
        <v>0</v>
      </c>
      <c r="CC107" s="491">
        <v>45000000</v>
      </c>
      <c r="CD107" s="492">
        <v>180000000</v>
      </c>
      <c r="CE107" s="493">
        <f t="shared" si="8"/>
        <v>180000000</v>
      </c>
      <c r="CF107" s="493">
        <f t="shared" si="8"/>
        <v>0</v>
      </c>
      <c r="CG107" s="493">
        <f t="shared" si="8"/>
        <v>0</v>
      </c>
      <c r="CH107" s="493">
        <f t="shared" si="8"/>
        <v>0</v>
      </c>
      <c r="CI107" s="493">
        <f t="shared" si="8"/>
        <v>0</v>
      </c>
      <c r="CJ107" s="493">
        <f t="shared" si="8"/>
        <v>0</v>
      </c>
      <c r="CK107" s="493">
        <f t="shared" si="8"/>
        <v>0</v>
      </c>
      <c r="CL107" s="493">
        <f t="shared" si="7"/>
        <v>0</v>
      </c>
      <c r="CM107" s="493">
        <f t="shared" si="6"/>
        <v>0</v>
      </c>
      <c r="CN107" s="493">
        <f t="shared" si="6"/>
        <v>0</v>
      </c>
      <c r="CO107" s="493">
        <f t="shared" si="6"/>
        <v>0</v>
      </c>
      <c r="CP107" s="494">
        <v>2</v>
      </c>
      <c r="CQ107" s="494" t="s">
        <v>708</v>
      </c>
    </row>
    <row r="108" spans="1:95" ht="30.45" hidden="1" customHeight="1" thickBot="1">
      <c r="A108" s="555" t="s">
        <v>4191</v>
      </c>
      <c r="B108" s="479">
        <v>106</v>
      </c>
      <c r="C108" s="480" t="s">
        <v>4004</v>
      </c>
      <c r="D108" s="480" t="s">
        <v>4165</v>
      </c>
      <c r="E108" s="480" t="str">
        <f t="shared" si="5"/>
        <v xml:space="preserve">1.5.1 </v>
      </c>
      <c r="F108" s="480" t="s">
        <v>4166</v>
      </c>
      <c r="G108" s="480" t="s">
        <v>4167</v>
      </c>
      <c r="H108" s="481">
        <v>17</v>
      </c>
      <c r="I108" s="480" t="s">
        <v>4189</v>
      </c>
      <c r="J108" s="495">
        <v>170804100</v>
      </c>
      <c r="K108" s="480" t="s">
        <v>4192</v>
      </c>
      <c r="L108" s="480" t="s">
        <v>4193</v>
      </c>
      <c r="M108" s="480" t="s">
        <v>6180</v>
      </c>
      <c r="N108" s="484">
        <v>9724</v>
      </c>
      <c r="O108" s="480" t="s">
        <v>4194</v>
      </c>
      <c r="P108" s="500">
        <v>19564</v>
      </c>
      <c r="Q108" s="485" t="s">
        <v>5349</v>
      </c>
      <c r="R108" s="485" t="s">
        <v>5359</v>
      </c>
      <c r="S108" s="485" t="s">
        <v>689</v>
      </c>
      <c r="T108" s="485">
        <v>36.42</v>
      </c>
      <c r="U108" s="485" t="s">
        <v>5360</v>
      </c>
      <c r="V108" s="485">
        <v>37</v>
      </c>
      <c r="W108" s="485" t="s">
        <v>5331</v>
      </c>
      <c r="X108" s="485">
        <v>17</v>
      </c>
      <c r="Y108" s="485" t="s">
        <v>5361</v>
      </c>
      <c r="Z108" s="486">
        <v>635801012</v>
      </c>
      <c r="AA108" s="486">
        <v>0</v>
      </c>
      <c r="AB108" s="486">
        <v>0</v>
      </c>
      <c r="AC108" s="486">
        <v>0</v>
      </c>
      <c r="AD108" s="486">
        <v>0</v>
      </c>
      <c r="AE108" s="486">
        <v>0</v>
      </c>
      <c r="AF108" s="486">
        <v>0</v>
      </c>
      <c r="AG108" s="486">
        <v>0</v>
      </c>
      <c r="AH108" s="487">
        <v>635801012</v>
      </c>
      <c r="AI108" s="486">
        <v>0</v>
      </c>
      <c r="AJ108" s="486">
        <v>875000000</v>
      </c>
      <c r="AK108" s="486">
        <v>0</v>
      </c>
      <c r="AL108" s="488">
        <v>875000000</v>
      </c>
      <c r="AM108" s="489">
        <v>1510801012</v>
      </c>
      <c r="AN108" s="486">
        <v>652680716</v>
      </c>
      <c r="AO108" s="486">
        <v>0</v>
      </c>
      <c r="AP108" s="486">
        <v>0</v>
      </c>
      <c r="AQ108" s="486">
        <v>0</v>
      </c>
      <c r="AR108" s="486">
        <v>0</v>
      </c>
      <c r="AS108" s="486">
        <v>0</v>
      </c>
      <c r="AT108" s="486">
        <v>0</v>
      </c>
      <c r="AU108" s="486">
        <v>0</v>
      </c>
      <c r="AV108" s="487">
        <v>652680716</v>
      </c>
      <c r="AW108" s="486">
        <v>0</v>
      </c>
      <c r="AX108" s="486">
        <v>875000000</v>
      </c>
      <c r="AY108" s="486">
        <v>0</v>
      </c>
      <c r="AZ108" s="488">
        <v>875000000</v>
      </c>
      <c r="BA108" s="490">
        <v>1527680716</v>
      </c>
      <c r="BB108" s="486">
        <v>648711024</v>
      </c>
      <c r="BC108" s="486">
        <v>0</v>
      </c>
      <c r="BD108" s="486">
        <v>0</v>
      </c>
      <c r="BE108" s="486">
        <v>0</v>
      </c>
      <c r="BF108" s="486">
        <v>0</v>
      </c>
      <c r="BG108" s="486">
        <v>0</v>
      </c>
      <c r="BH108" s="486">
        <v>0</v>
      </c>
      <c r="BI108" s="486">
        <v>0</v>
      </c>
      <c r="BJ108" s="487">
        <v>648711024</v>
      </c>
      <c r="BK108" s="486">
        <v>0</v>
      </c>
      <c r="BL108" s="486">
        <v>875000000</v>
      </c>
      <c r="BM108" s="486">
        <v>0</v>
      </c>
      <c r="BN108" s="488">
        <v>875000000</v>
      </c>
      <c r="BO108" s="490">
        <v>1523711024</v>
      </c>
      <c r="BP108" s="486">
        <v>740662699</v>
      </c>
      <c r="BQ108" s="486">
        <v>0</v>
      </c>
      <c r="BR108" s="486">
        <v>0</v>
      </c>
      <c r="BS108" s="486">
        <v>0</v>
      </c>
      <c r="BT108" s="486">
        <v>0</v>
      </c>
      <c r="BU108" s="486">
        <v>0</v>
      </c>
      <c r="BV108" s="486">
        <v>0</v>
      </c>
      <c r="BW108" s="486">
        <v>0</v>
      </c>
      <c r="BX108" s="487">
        <v>740662699</v>
      </c>
      <c r="BY108" s="486">
        <v>0</v>
      </c>
      <c r="BZ108" s="486">
        <v>875000000</v>
      </c>
      <c r="CA108" s="486">
        <v>0</v>
      </c>
      <c r="CB108" s="488">
        <v>875000000</v>
      </c>
      <c r="CC108" s="491">
        <v>1615662699</v>
      </c>
      <c r="CD108" s="492">
        <v>6177855451</v>
      </c>
      <c r="CE108" s="493">
        <f t="shared" si="8"/>
        <v>2677855451</v>
      </c>
      <c r="CF108" s="493">
        <f t="shared" si="8"/>
        <v>0</v>
      </c>
      <c r="CG108" s="493">
        <f t="shared" si="8"/>
        <v>0</v>
      </c>
      <c r="CH108" s="493">
        <f t="shared" si="8"/>
        <v>0</v>
      </c>
      <c r="CI108" s="493">
        <f t="shared" si="8"/>
        <v>0</v>
      </c>
      <c r="CJ108" s="493">
        <f t="shared" si="8"/>
        <v>0</v>
      </c>
      <c r="CK108" s="493">
        <f t="shared" si="8"/>
        <v>0</v>
      </c>
      <c r="CL108" s="493">
        <f t="shared" si="7"/>
        <v>0</v>
      </c>
      <c r="CM108" s="493">
        <f t="shared" si="6"/>
        <v>0</v>
      </c>
      <c r="CN108" s="493">
        <f t="shared" si="6"/>
        <v>3500000000</v>
      </c>
      <c r="CO108" s="493">
        <f t="shared" si="6"/>
        <v>0</v>
      </c>
      <c r="CP108" s="494">
        <v>2</v>
      </c>
      <c r="CQ108" s="494" t="s">
        <v>708</v>
      </c>
    </row>
    <row r="109" spans="1:95" ht="30.45" hidden="1" customHeight="1" thickBot="1">
      <c r="A109" s="555" t="s">
        <v>4191</v>
      </c>
      <c r="B109" s="479">
        <v>107</v>
      </c>
      <c r="C109" s="480" t="s">
        <v>4004</v>
      </c>
      <c r="D109" s="480" t="s">
        <v>4165</v>
      </c>
      <c r="E109" s="480" t="str">
        <f t="shared" si="5"/>
        <v xml:space="preserve">1.5.1 </v>
      </c>
      <c r="F109" s="480" t="s">
        <v>4166</v>
      </c>
      <c r="G109" s="480" t="s">
        <v>4167</v>
      </c>
      <c r="H109" s="481">
        <v>17</v>
      </c>
      <c r="I109" s="480" t="s">
        <v>4189</v>
      </c>
      <c r="J109" s="495">
        <v>170805500</v>
      </c>
      <c r="K109" s="480" t="s">
        <v>4195</v>
      </c>
      <c r="L109" s="480" t="s">
        <v>4196</v>
      </c>
      <c r="M109" s="480" t="s">
        <v>6464</v>
      </c>
      <c r="N109" s="484">
        <v>2401</v>
      </c>
      <c r="O109" s="480" t="s">
        <v>6465</v>
      </c>
      <c r="P109" s="500">
        <v>3200</v>
      </c>
      <c r="Q109" s="485" t="s">
        <v>5349</v>
      </c>
      <c r="R109" s="485" t="s">
        <v>5359</v>
      </c>
      <c r="S109" s="485" t="s">
        <v>689</v>
      </c>
      <c r="T109" s="485">
        <v>36.42</v>
      </c>
      <c r="U109" s="485" t="s">
        <v>5360</v>
      </c>
      <c r="V109" s="485">
        <v>37</v>
      </c>
      <c r="W109" s="485" t="s">
        <v>5331</v>
      </c>
      <c r="X109" s="485">
        <v>17</v>
      </c>
      <c r="Y109" s="485" t="s">
        <v>5361</v>
      </c>
      <c r="Z109" s="486">
        <v>0</v>
      </c>
      <c r="AA109" s="486">
        <v>0</v>
      </c>
      <c r="AB109" s="486">
        <v>0</v>
      </c>
      <c r="AC109" s="486">
        <v>0</v>
      </c>
      <c r="AD109" s="486">
        <v>0</v>
      </c>
      <c r="AE109" s="486">
        <v>0</v>
      </c>
      <c r="AF109" s="486">
        <v>10000000000</v>
      </c>
      <c r="AG109" s="486">
        <v>0</v>
      </c>
      <c r="AH109" s="487">
        <v>10000000000</v>
      </c>
      <c r="AI109" s="486">
        <v>0</v>
      </c>
      <c r="AJ109" s="486">
        <v>0</v>
      </c>
      <c r="AK109" s="486"/>
      <c r="AL109" s="488">
        <v>0</v>
      </c>
      <c r="AM109" s="489">
        <v>10000000000</v>
      </c>
      <c r="AN109" s="486">
        <v>0</v>
      </c>
      <c r="AO109" s="486">
        <v>0</v>
      </c>
      <c r="AP109" s="486">
        <v>0</v>
      </c>
      <c r="AQ109" s="486">
        <v>0</v>
      </c>
      <c r="AR109" s="486">
        <v>0</v>
      </c>
      <c r="AS109" s="486">
        <v>0</v>
      </c>
      <c r="AT109" s="486">
        <v>30000000000</v>
      </c>
      <c r="AU109" s="486">
        <v>0</v>
      </c>
      <c r="AV109" s="487">
        <v>30000000000</v>
      </c>
      <c r="AW109" s="486">
        <v>0</v>
      </c>
      <c r="AX109" s="486">
        <v>0</v>
      </c>
      <c r="AY109" s="486"/>
      <c r="AZ109" s="488">
        <v>0</v>
      </c>
      <c r="BA109" s="490">
        <v>30000000000</v>
      </c>
      <c r="BB109" s="486">
        <v>0</v>
      </c>
      <c r="BC109" s="486">
        <v>0</v>
      </c>
      <c r="BD109" s="486">
        <v>0</v>
      </c>
      <c r="BE109" s="486">
        <v>0</v>
      </c>
      <c r="BF109" s="486">
        <v>0</v>
      </c>
      <c r="BG109" s="486">
        <v>0</v>
      </c>
      <c r="BH109" s="486">
        <v>10000000000</v>
      </c>
      <c r="BI109" s="486">
        <v>0</v>
      </c>
      <c r="BJ109" s="487">
        <v>10000000000</v>
      </c>
      <c r="BK109" s="486">
        <v>0</v>
      </c>
      <c r="BL109" s="486">
        <v>0</v>
      </c>
      <c r="BM109" s="486"/>
      <c r="BN109" s="488">
        <v>0</v>
      </c>
      <c r="BO109" s="490">
        <v>10000000000</v>
      </c>
      <c r="BP109" s="486">
        <v>0</v>
      </c>
      <c r="BQ109" s="486">
        <v>0</v>
      </c>
      <c r="BR109" s="486">
        <v>0</v>
      </c>
      <c r="BS109" s="486">
        <v>0</v>
      </c>
      <c r="BT109" s="486">
        <v>0</v>
      </c>
      <c r="BU109" s="486">
        <v>0</v>
      </c>
      <c r="BV109" s="486">
        <v>0</v>
      </c>
      <c r="BW109" s="486">
        <v>0</v>
      </c>
      <c r="BX109" s="487">
        <v>0</v>
      </c>
      <c r="BY109" s="486">
        <v>0</v>
      </c>
      <c r="BZ109" s="486">
        <v>0</v>
      </c>
      <c r="CA109" s="486"/>
      <c r="CB109" s="488">
        <v>0</v>
      </c>
      <c r="CC109" s="491">
        <v>0</v>
      </c>
      <c r="CD109" s="492">
        <v>50000000000</v>
      </c>
      <c r="CE109" s="493">
        <f t="shared" si="8"/>
        <v>0</v>
      </c>
      <c r="CF109" s="493">
        <f t="shared" si="8"/>
        <v>0</v>
      </c>
      <c r="CG109" s="493">
        <f t="shared" si="8"/>
        <v>0</v>
      </c>
      <c r="CH109" s="493">
        <f t="shared" si="8"/>
        <v>0</v>
      </c>
      <c r="CI109" s="493">
        <f t="shared" si="8"/>
        <v>0</v>
      </c>
      <c r="CJ109" s="493">
        <f t="shared" si="8"/>
        <v>0</v>
      </c>
      <c r="CK109" s="493">
        <f t="shared" si="8"/>
        <v>50000000000</v>
      </c>
      <c r="CL109" s="493">
        <f t="shared" si="7"/>
        <v>0</v>
      </c>
      <c r="CM109" s="493">
        <f t="shared" si="6"/>
        <v>0</v>
      </c>
      <c r="CN109" s="493">
        <f t="shared" si="6"/>
        <v>0</v>
      </c>
      <c r="CO109" s="493">
        <f t="shared" si="6"/>
        <v>0</v>
      </c>
      <c r="CP109" s="494">
        <v>9</v>
      </c>
      <c r="CQ109" s="494" t="s">
        <v>6234</v>
      </c>
    </row>
    <row r="110" spans="1:95" ht="30.45" hidden="1" customHeight="1" thickBot="1">
      <c r="A110" s="555" t="s">
        <v>4191</v>
      </c>
      <c r="B110" s="479">
        <v>108</v>
      </c>
      <c r="C110" s="480" t="s">
        <v>4004</v>
      </c>
      <c r="D110" s="480" t="s">
        <v>4165</v>
      </c>
      <c r="E110" s="480" t="str">
        <f t="shared" si="5"/>
        <v xml:space="preserve">1.5.1 </v>
      </c>
      <c r="F110" s="480" t="s">
        <v>4166</v>
      </c>
      <c r="G110" s="480" t="s">
        <v>4167</v>
      </c>
      <c r="H110" s="481">
        <v>17</v>
      </c>
      <c r="I110" s="480" t="s">
        <v>4189</v>
      </c>
      <c r="J110" s="495">
        <v>170805100</v>
      </c>
      <c r="K110" s="480" t="s">
        <v>4181</v>
      </c>
      <c r="L110" s="480" t="s">
        <v>4197</v>
      </c>
      <c r="M110" s="480" t="s">
        <v>5745</v>
      </c>
      <c r="N110" s="499">
        <v>0</v>
      </c>
      <c r="O110" s="480" t="s">
        <v>4198</v>
      </c>
      <c r="P110" s="500">
        <v>1</v>
      </c>
      <c r="Q110" s="485" t="s">
        <v>5349</v>
      </c>
      <c r="R110" s="485" t="s">
        <v>5359</v>
      </c>
      <c r="S110" s="485" t="s">
        <v>689</v>
      </c>
      <c r="T110" s="485">
        <v>36.42</v>
      </c>
      <c r="U110" s="485" t="s">
        <v>5360</v>
      </c>
      <c r="V110" s="485">
        <v>37</v>
      </c>
      <c r="W110" s="485" t="s">
        <v>5331</v>
      </c>
      <c r="X110" s="485">
        <v>17</v>
      </c>
      <c r="Y110" s="485" t="s">
        <v>5361</v>
      </c>
      <c r="Z110" s="486">
        <v>0</v>
      </c>
      <c r="AA110" s="486">
        <v>0</v>
      </c>
      <c r="AB110" s="486">
        <v>0</v>
      </c>
      <c r="AC110" s="486">
        <v>0</v>
      </c>
      <c r="AD110" s="486">
        <v>0</v>
      </c>
      <c r="AE110" s="486">
        <v>0</v>
      </c>
      <c r="AF110" s="486">
        <v>0</v>
      </c>
      <c r="AG110" s="486">
        <v>0</v>
      </c>
      <c r="AH110" s="487">
        <v>0</v>
      </c>
      <c r="AI110" s="486">
        <v>350000000</v>
      </c>
      <c r="AJ110" s="486">
        <v>0</v>
      </c>
      <c r="AK110" s="486">
        <v>0</v>
      </c>
      <c r="AL110" s="488">
        <v>350000000</v>
      </c>
      <c r="AM110" s="489">
        <v>350000000</v>
      </c>
      <c r="AN110" s="486">
        <v>0</v>
      </c>
      <c r="AO110" s="486">
        <v>0</v>
      </c>
      <c r="AP110" s="486">
        <v>0</v>
      </c>
      <c r="AQ110" s="486">
        <v>0</v>
      </c>
      <c r="AR110" s="486">
        <v>0</v>
      </c>
      <c r="AS110" s="486">
        <v>0</v>
      </c>
      <c r="AT110" s="486">
        <v>0</v>
      </c>
      <c r="AU110" s="486">
        <v>0</v>
      </c>
      <c r="AV110" s="487">
        <v>0</v>
      </c>
      <c r="AW110" s="486">
        <v>350000000</v>
      </c>
      <c r="AX110" s="486">
        <v>0</v>
      </c>
      <c r="AY110" s="486">
        <v>0</v>
      </c>
      <c r="AZ110" s="488">
        <v>350000000</v>
      </c>
      <c r="BA110" s="490">
        <v>350000000</v>
      </c>
      <c r="BB110" s="486">
        <v>0</v>
      </c>
      <c r="BC110" s="486">
        <v>0</v>
      </c>
      <c r="BD110" s="486">
        <v>0</v>
      </c>
      <c r="BE110" s="486">
        <v>0</v>
      </c>
      <c r="BF110" s="486">
        <v>0</v>
      </c>
      <c r="BG110" s="486">
        <v>0</v>
      </c>
      <c r="BH110" s="486">
        <v>0</v>
      </c>
      <c r="BI110" s="486">
        <v>0</v>
      </c>
      <c r="BJ110" s="487">
        <v>0</v>
      </c>
      <c r="BK110" s="486">
        <v>0</v>
      </c>
      <c r="BL110" s="486">
        <v>0</v>
      </c>
      <c r="BM110" s="486">
        <v>0</v>
      </c>
      <c r="BN110" s="488">
        <v>0</v>
      </c>
      <c r="BO110" s="490">
        <v>0</v>
      </c>
      <c r="BP110" s="486">
        <v>0</v>
      </c>
      <c r="BQ110" s="486">
        <v>0</v>
      </c>
      <c r="BR110" s="486">
        <v>0</v>
      </c>
      <c r="BS110" s="486">
        <v>0</v>
      </c>
      <c r="BT110" s="486">
        <v>0</v>
      </c>
      <c r="BU110" s="486">
        <v>0</v>
      </c>
      <c r="BV110" s="486">
        <v>0</v>
      </c>
      <c r="BW110" s="486">
        <v>0</v>
      </c>
      <c r="BX110" s="487">
        <v>0</v>
      </c>
      <c r="BY110" s="486">
        <v>0</v>
      </c>
      <c r="BZ110" s="486">
        <v>0</v>
      </c>
      <c r="CA110" s="486">
        <v>0</v>
      </c>
      <c r="CB110" s="488">
        <v>0</v>
      </c>
      <c r="CC110" s="491">
        <v>0</v>
      </c>
      <c r="CD110" s="492">
        <v>700000000</v>
      </c>
      <c r="CE110" s="493">
        <f t="shared" si="8"/>
        <v>0</v>
      </c>
      <c r="CF110" s="493">
        <f t="shared" si="8"/>
        <v>0</v>
      </c>
      <c r="CG110" s="493">
        <f t="shared" si="8"/>
        <v>0</v>
      </c>
      <c r="CH110" s="493">
        <f t="shared" si="8"/>
        <v>0</v>
      </c>
      <c r="CI110" s="493">
        <f t="shared" si="8"/>
        <v>0</v>
      </c>
      <c r="CJ110" s="493">
        <f t="shared" si="8"/>
        <v>0</v>
      </c>
      <c r="CK110" s="493">
        <f t="shared" si="8"/>
        <v>0</v>
      </c>
      <c r="CL110" s="493">
        <f t="shared" si="7"/>
        <v>0</v>
      </c>
      <c r="CM110" s="493">
        <f t="shared" si="6"/>
        <v>700000000</v>
      </c>
      <c r="CN110" s="493">
        <f t="shared" si="6"/>
        <v>0</v>
      </c>
      <c r="CO110" s="493">
        <f t="shared" si="6"/>
        <v>0</v>
      </c>
      <c r="CP110" s="494">
        <v>9</v>
      </c>
      <c r="CQ110" s="494" t="s">
        <v>6208</v>
      </c>
    </row>
    <row r="111" spans="1:95" ht="30.45" hidden="1" customHeight="1" thickBot="1">
      <c r="A111" s="555" t="s">
        <v>4203</v>
      </c>
      <c r="B111" s="479">
        <v>109</v>
      </c>
      <c r="C111" s="480" t="s">
        <v>4004</v>
      </c>
      <c r="D111" s="480" t="s">
        <v>4199</v>
      </c>
      <c r="E111" s="480" t="str">
        <f t="shared" si="5"/>
        <v xml:space="preserve">1.6.1 </v>
      </c>
      <c r="F111" s="480" t="s">
        <v>4200</v>
      </c>
      <c r="G111" s="511" t="s">
        <v>4201</v>
      </c>
      <c r="H111" s="481">
        <v>45</v>
      </c>
      <c r="I111" s="480" t="s">
        <v>4202</v>
      </c>
      <c r="J111" s="495">
        <v>450104900</v>
      </c>
      <c r="K111" s="480" t="s">
        <v>4008</v>
      </c>
      <c r="L111" s="480" t="s">
        <v>6466</v>
      </c>
      <c r="M111" s="480" t="s">
        <v>5746</v>
      </c>
      <c r="N111" s="499">
        <v>0</v>
      </c>
      <c r="O111" s="480" t="s">
        <v>6467</v>
      </c>
      <c r="P111" s="500">
        <v>200</v>
      </c>
      <c r="Q111" s="485" t="s">
        <v>5349</v>
      </c>
      <c r="R111" s="485" t="s">
        <v>5362</v>
      </c>
      <c r="S111" s="485" t="s">
        <v>5363</v>
      </c>
      <c r="T111" s="485">
        <v>0</v>
      </c>
      <c r="U111" s="485" t="s">
        <v>5364</v>
      </c>
      <c r="V111" s="485">
        <v>0.2</v>
      </c>
      <c r="W111" s="485" t="s">
        <v>5365</v>
      </c>
      <c r="X111" s="485" t="s">
        <v>5366</v>
      </c>
      <c r="Y111" s="485" t="s">
        <v>5367</v>
      </c>
      <c r="Z111" s="486">
        <v>11250000</v>
      </c>
      <c r="AA111" s="486">
        <v>0</v>
      </c>
      <c r="AB111" s="486">
        <v>0</v>
      </c>
      <c r="AC111" s="486">
        <v>0</v>
      </c>
      <c r="AD111" s="486">
        <v>0</v>
      </c>
      <c r="AE111" s="486">
        <v>0</v>
      </c>
      <c r="AF111" s="486">
        <v>0</v>
      </c>
      <c r="AG111" s="486">
        <v>0</v>
      </c>
      <c r="AH111" s="487">
        <v>11250000</v>
      </c>
      <c r="AI111" s="486">
        <v>50000000</v>
      </c>
      <c r="AJ111" s="486"/>
      <c r="AK111" s="486">
        <v>0</v>
      </c>
      <c r="AL111" s="488">
        <v>50000000</v>
      </c>
      <c r="AM111" s="489">
        <v>61250000</v>
      </c>
      <c r="AN111" s="486">
        <v>11250000</v>
      </c>
      <c r="AO111" s="486">
        <v>0</v>
      </c>
      <c r="AP111" s="486">
        <v>0</v>
      </c>
      <c r="AQ111" s="486">
        <v>0</v>
      </c>
      <c r="AR111" s="486">
        <v>0</v>
      </c>
      <c r="AS111" s="486">
        <v>0</v>
      </c>
      <c r="AT111" s="486">
        <v>0</v>
      </c>
      <c r="AU111" s="486">
        <v>0</v>
      </c>
      <c r="AV111" s="487">
        <v>11250000</v>
      </c>
      <c r="AW111" s="486">
        <v>50000000</v>
      </c>
      <c r="AX111" s="486"/>
      <c r="AY111" s="486">
        <v>0</v>
      </c>
      <c r="AZ111" s="488">
        <v>50000000</v>
      </c>
      <c r="BA111" s="490">
        <v>61250000</v>
      </c>
      <c r="BB111" s="486">
        <v>11250000</v>
      </c>
      <c r="BC111" s="486">
        <v>0</v>
      </c>
      <c r="BD111" s="486">
        <v>0</v>
      </c>
      <c r="BE111" s="486">
        <v>0</v>
      </c>
      <c r="BF111" s="486">
        <v>0</v>
      </c>
      <c r="BG111" s="486">
        <v>0</v>
      </c>
      <c r="BH111" s="486">
        <v>0</v>
      </c>
      <c r="BI111" s="486">
        <v>0</v>
      </c>
      <c r="BJ111" s="487">
        <v>11250000</v>
      </c>
      <c r="BK111" s="486">
        <v>50000000</v>
      </c>
      <c r="BL111" s="486"/>
      <c r="BM111" s="486">
        <v>0</v>
      </c>
      <c r="BN111" s="488">
        <v>50000000</v>
      </c>
      <c r="BO111" s="490">
        <v>61250000</v>
      </c>
      <c r="BP111" s="486">
        <v>11250000</v>
      </c>
      <c r="BQ111" s="486"/>
      <c r="BR111" s="486">
        <v>0</v>
      </c>
      <c r="BS111" s="486">
        <v>0</v>
      </c>
      <c r="BT111" s="486">
        <v>0</v>
      </c>
      <c r="BU111" s="486">
        <v>0</v>
      </c>
      <c r="BV111" s="486">
        <v>0</v>
      </c>
      <c r="BW111" s="486">
        <v>0</v>
      </c>
      <c r="BX111" s="487">
        <v>11250000</v>
      </c>
      <c r="BY111" s="486">
        <v>50000000</v>
      </c>
      <c r="BZ111" s="486"/>
      <c r="CA111" s="486">
        <v>0</v>
      </c>
      <c r="CB111" s="488">
        <v>50000000</v>
      </c>
      <c r="CC111" s="491">
        <v>61250000</v>
      </c>
      <c r="CD111" s="492">
        <v>245000000</v>
      </c>
      <c r="CE111" s="493">
        <f t="shared" si="8"/>
        <v>45000000</v>
      </c>
      <c r="CF111" s="493">
        <f t="shared" si="8"/>
        <v>0</v>
      </c>
      <c r="CG111" s="493">
        <f t="shared" si="8"/>
        <v>0</v>
      </c>
      <c r="CH111" s="493">
        <f t="shared" si="8"/>
        <v>0</v>
      </c>
      <c r="CI111" s="493">
        <f t="shared" si="8"/>
        <v>0</v>
      </c>
      <c r="CJ111" s="493">
        <f t="shared" si="8"/>
        <v>0</v>
      </c>
      <c r="CK111" s="493">
        <f t="shared" si="8"/>
        <v>0</v>
      </c>
      <c r="CL111" s="493">
        <f t="shared" si="7"/>
        <v>0</v>
      </c>
      <c r="CM111" s="493">
        <f t="shared" si="6"/>
        <v>200000000</v>
      </c>
      <c r="CN111" s="493">
        <f t="shared" si="6"/>
        <v>0</v>
      </c>
      <c r="CO111" s="493">
        <f t="shared" si="6"/>
        <v>0</v>
      </c>
      <c r="CP111" s="502">
        <v>8</v>
      </c>
      <c r="CQ111" s="497" t="s">
        <v>5452</v>
      </c>
    </row>
    <row r="112" spans="1:95" ht="30.45" hidden="1" customHeight="1" thickBot="1">
      <c r="A112" s="555" t="s">
        <v>4203</v>
      </c>
      <c r="B112" s="479">
        <v>110</v>
      </c>
      <c r="C112" s="480" t="s">
        <v>4004</v>
      </c>
      <c r="D112" s="480" t="s">
        <v>4199</v>
      </c>
      <c r="E112" s="480" t="str">
        <f t="shared" si="5"/>
        <v xml:space="preserve">1.6.1 </v>
      </c>
      <c r="F112" s="480" t="s">
        <v>4200</v>
      </c>
      <c r="G112" s="511" t="s">
        <v>4201</v>
      </c>
      <c r="H112" s="481">
        <v>23</v>
      </c>
      <c r="I112" s="480" t="s">
        <v>4012</v>
      </c>
      <c r="J112" s="495">
        <v>230201100</v>
      </c>
      <c r="K112" s="480" t="s">
        <v>4178</v>
      </c>
      <c r="L112" s="480" t="s">
        <v>6468</v>
      </c>
      <c r="M112" s="480" t="s">
        <v>5747</v>
      </c>
      <c r="N112" s="499">
        <v>128</v>
      </c>
      <c r="O112" s="480" t="s">
        <v>4204</v>
      </c>
      <c r="P112" s="500">
        <v>328</v>
      </c>
      <c r="Q112" s="485" t="s">
        <v>5349</v>
      </c>
      <c r="R112" s="485" t="s">
        <v>5362</v>
      </c>
      <c r="S112" s="485" t="s">
        <v>5363</v>
      </c>
      <c r="T112" s="485">
        <v>0</v>
      </c>
      <c r="U112" s="485" t="s">
        <v>5364</v>
      </c>
      <c r="V112" s="485">
        <v>0.2</v>
      </c>
      <c r="W112" s="485" t="s">
        <v>5365</v>
      </c>
      <c r="X112" s="485" t="s">
        <v>5366</v>
      </c>
      <c r="Y112" s="485" t="s">
        <v>5367</v>
      </c>
      <c r="Z112" s="486">
        <v>450000000</v>
      </c>
      <c r="AA112" s="486">
        <v>0</v>
      </c>
      <c r="AB112" s="486">
        <v>0</v>
      </c>
      <c r="AC112" s="486">
        <v>0</v>
      </c>
      <c r="AD112" s="486">
        <v>0</v>
      </c>
      <c r="AE112" s="486">
        <v>0</v>
      </c>
      <c r="AF112" s="486">
        <v>0</v>
      </c>
      <c r="AG112" s="486">
        <v>0</v>
      </c>
      <c r="AH112" s="487">
        <v>450000000</v>
      </c>
      <c r="AI112" s="486">
        <v>1040000000</v>
      </c>
      <c r="AJ112" s="486">
        <v>0</v>
      </c>
      <c r="AK112" s="486"/>
      <c r="AL112" s="488">
        <v>1040000000</v>
      </c>
      <c r="AM112" s="489">
        <v>1490000000</v>
      </c>
      <c r="AN112" s="486">
        <v>450000000</v>
      </c>
      <c r="AO112" s="486">
        <v>0</v>
      </c>
      <c r="AP112" s="486">
        <v>0</v>
      </c>
      <c r="AQ112" s="486">
        <v>0</v>
      </c>
      <c r="AR112" s="486">
        <v>0</v>
      </c>
      <c r="AS112" s="486">
        <v>0</v>
      </c>
      <c r="AT112" s="486">
        <v>0</v>
      </c>
      <c r="AU112" s="486">
        <v>0</v>
      </c>
      <c r="AV112" s="487">
        <v>450000000</v>
      </c>
      <c r="AW112" s="486">
        <v>1040000000</v>
      </c>
      <c r="AX112" s="486">
        <v>0</v>
      </c>
      <c r="AY112" s="486"/>
      <c r="AZ112" s="488">
        <v>1040000000</v>
      </c>
      <c r="BA112" s="490">
        <v>1490000000</v>
      </c>
      <c r="BB112" s="486">
        <v>450000000</v>
      </c>
      <c r="BC112" s="486">
        <v>0</v>
      </c>
      <c r="BD112" s="486">
        <v>0</v>
      </c>
      <c r="BE112" s="486">
        <v>0</v>
      </c>
      <c r="BF112" s="486">
        <v>0</v>
      </c>
      <c r="BG112" s="486">
        <v>0</v>
      </c>
      <c r="BH112" s="486">
        <v>0</v>
      </c>
      <c r="BI112" s="486">
        <v>0</v>
      </c>
      <c r="BJ112" s="487">
        <v>450000000</v>
      </c>
      <c r="BK112" s="486">
        <v>1040000000</v>
      </c>
      <c r="BL112" s="486">
        <v>0</v>
      </c>
      <c r="BM112" s="486"/>
      <c r="BN112" s="488">
        <v>1040000000</v>
      </c>
      <c r="BO112" s="490">
        <v>1490000000</v>
      </c>
      <c r="BP112" s="486">
        <v>475000000</v>
      </c>
      <c r="BQ112" s="486">
        <v>0</v>
      </c>
      <c r="BR112" s="486">
        <v>0</v>
      </c>
      <c r="BS112" s="486">
        <v>0</v>
      </c>
      <c r="BT112" s="486">
        <v>0</v>
      </c>
      <c r="BU112" s="486">
        <v>0</v>
      </c>
      <c r="BV112" s="486">
        <v>0</v>
      </c>
      <c r="BW112" s="486">
        <v>0</v>
      </c>
      <c r="BX112" s="487">
        <v>475000000</v>
      </c>
      <c r="BY112" s="486">
        <v>1040000000</v>
      </c>
      <c r="BZ112" s="486">
        <v>0</v>
      </c>
      <c r="CA112" s="486"/>
      <c r="CB112" s="488">
        <v>1040000000</v>
      </c>
      <c r="CC112" s="491">
        <v>1515000000</v>
      </c>
      <c r="CD112" s="492">
        <v>5985000000</v>
      </c>
      <c r="CE112" s="493">
        <f t="shared" si="8"/>
        <v>1825000000</v>
      </c>
      <c r="CF112" s="493">
        <f t="shared" si="8"/>
        <v>0</v>
      </c>
      <c r="CG112" s="493">
        <f t="shared" si="8"/>
        <v>0</v>
      </c>
      <c r="CH112" s="493">
        <f t="shared" si="8"/>
        <v>0</v>
      </c>
      <c r="CI112" s="493">
        <f t="shared" si="8"/>
        <v>0</v>
      </c>
      <c r="CJ112" s="493">
        <f t="shared" si="8"/>
        <v>0</v>
      </c>
      <c r="CK112" s="493">
        <f t="shared" si="8"/>
        <v>0</v>
      </c>
      <c r="CL112" s="493">
        <f t="shared" si="7"/>
        <v>0</v>
      </c>
      <c r="CM112" s="493">
        <f t="shared" si="6"/>
        <v>4160000000</v>
      </c>
      <c r="CN112" s="493">
        <f t="shared" si="6"/>
        <v>0</v>
      </c>
      <c r="CO112" s="493">
        <f t="shared" si="6"/>
        <v>0</v>
      </c>
      <c r="CP112" s="502">
        <v>8</v>
      </c>
      <c r="CQ112" s="497" t="s">
        <v>835</v>
      </c>
    </row>
    <row r="113" spans="1:95" ht="30.45" hidden="1" customHeight="1" thickBot="1">
      <c r="A113" s="555" t="s">
        <v>4170</v>
      </c>
      <c r="B113" s="479">
        <v>111</v>
      </c>
      <c r="C113" s="480" t="s">
        <v>4004</v>
      </c>
      <c r="D113" s="480" t="s">
        <v>4199</v>
      </c>
      <c r="E113" s="480" t="str">
        <f t="shared" si="5"/>
        <v xml:space="preserve">1.6.2 </v>
      </c>
      <c r="F113" s="480" t="s">
        <v>4205</v>
      </c>
      <c r="G113" s="480" t="s">
        <v>4206</v>
      </c>
      <c r="H113" s="481">
        <v>45</v>
      </c>
      <c r="I113" s="480" t="s">
        <v>4180</v>
      </c>
      <c r="J113" s="495">
        <v>459901900</v>
      </c>
      <c r="K113" s="480" t="s">
        <v>4063</v>
      </c>
      <c r="L113" s="480" t="s">
        <v>4207</v>
      </c>
      <c r="M113" s="480" t="s">
        <v>5748</v>
      </c>
      <c r="N113" s="484">
        <v>12</v>
      </c>
      <c r="O113" s="480" t="s">
        <v>4208</v>
      </c>
      <c r="P113" s="500">
        <v>15</v>
      </c>
      <c r="Q113" s="485">
        <v>220010008</v>
      </c>
      <c r="R113" s="485" t="s">
        <v>5368</v>
      </c>
      <c r="S113" s="485" t="s">
        <v>677</v>
      </c>
      <c r="T113" s="485">
        <v>75</v>
      </c>
      <c r="U113" s="485" t="s">
        <v>5369</v>
      </c>
      <c r="V113" s="485">
        <v>80</v>
      </c>
      <c r="W113" s="485" t="s">
        <v>5357</v>
      </c>
      <c r="X113" s="485">
        <v>16</v>
      </c>
      <c r="Y113" s="485" t="s">
        <v>5370</v>
      </c>
      <c r="Z113" s="486">
        <v>1698997486</v>
      </c>
      <c r="AA113" s="486">
        <v>0</v>
      </c>
      <c r="AB113" s="486">
        <v>0</v>
      </c>
      <c r="AC113" s="486">
        <v>0</v>
      </c>
      <c r="AD113" s="486">
        <v>0</v>
      </c>
      <c r="AE113" s="486">
        <v>0</v>
      </c>
      <c r="AF113" s="486">
        <v>0</v>
      </c>
      <c r="AG113" s="486">
        <v>0</v>
      </c>
      <c r="AH113" s="487">
        <v>1698997486</v>
      </c>
      <c r="AI113" s="486">
        <v>0</v>
      </c>
      <c r="AJ113" s="486">
        <v>0</v>
      </c>
      <c r="AK113" s="486">
        <v>0</v>
      </c>
      <c r="AL113" s="488">
        <v>0</v>
      </c>
      <c r="AM113" s="489">
        <v>1698997486</v>
      </c>
      <c r="AN113" s="486">
        <v>1766957385.4353528</v>
      </c>
      <c r="AO113" s="486">
        <v>0</v>
      </c>
      <c r="AP113" s="486">
        <v>0</v>
      </c>
      <c r="AQ113" s="486">
        <v>0</v>
      </c>
      <c r="AR113" s="486">
        <v>0</v>
      </c>
      <c r="AS113" s="486">
        <v>0</v>
      </c>
      <c r="AT113" s="486">
        <v>0</v>
      </c>
      <c r="AU113" s="486">
        <v>0</v>
      </c>
      <c r="AV113" s="487">
        <v>1766957385.4353528</v>
      </c>
      <c r="AW113" s="486">
        <v>0</v>
      </c>
      <c r="AX113" s="486">
        <v>0</v>
      </c>
      <c r="AY113" s="486">
        <v>0</v>
      </c>
      <c r="AZ113" s="488">
        <v>0</v>
      </c>
      <c r="BA113" s="490">
        <v>1766957385.4353528</v>
      </c>
      <c r="BB113" s="486">
        <v>1837635654.2849851</v>
      </c>
      <c r="BC113" s="486">
        <v>0</v>
      </c>
      <c r="BD113" s="486">
        <v>0</v>
      </c>
      <c r="BE113" s="486">
        <v>0</v>
      </c>
      <c r="BF113" s="486">
        <v>0</v>
      </c>
      <c r="BG113" s="486">
        <v>0</v>
      </c>
      <c r="BH113" s="486">
        <v>0</v>
      </c>
      <c r="BI113" s="486">
        <v>0</v>
      </c>
      <c r="BJ113" s="487">
        <v>1837635654.2849851</v>
      </c>
      <c r="BK113" s="486">
        <v>0</v>
      </c>
      <c r="BL113" s="486">
        <v>0</v>
      </c>
      <c r="BM113" s="486">
        <v>0</v>
      </c>
      <c r="BN113" s="488">
        <v>0</v>
      </c>
      <c r="BO113" s="490">
        <v>1837635654.2849851</v>
      </c>
      <c r="BP113" s="486">
        <v>1911141108.0558348</v>
      </c>
      <c r="BQ113" s="486">
        <v>0</v>
      </c>
      <c r="BR113" s="486">
        <v>0</v>
      </c>
      <c r="BS113" s="486">
        <v>0</v>
      </c>
      <c r="BT113" s="486">
        <v>0</v>
      </c>
      <c r="BU113" s="486">
        <v>0</v>
      </c>
      <c r="BV113" s="486">
        <v>0</v>
      </c>
      <c r="BW113" s="486">
        <v>0</v>
      </c>
      <c r="BX113" s="487">
        <v>1911141108.0558348</v>
      </c>
      <c r="BY113" s="486">
        <v>0</v>
      </c>
      <c r="BZ113" s="486">
        <v>0</v>
      </c>
      <c r="CA113" s="486">
        <v>0</v>
      </c>
      <c r="CB113" s="488">
        <v>0</v>
      </c>
      <c r="CC113" s="491">
        <v>1911141108.0558348</v>
      </c>
      <c r="CD113" s="492">
        <v>7214731633.7761726</v>
      </c>
      <c r="CE113" s="493">
        <f t="shared" si="8"/>
        <v>7214731633.7761726</v>
      </c>
      <c r="CF113" s="493">
        <f t="shared" si="8"/>
        <v>0</v>
      </c>
      <c r="CG113" s="493">
        <f t="shared" si="8"/>
        <v>0</v>
      </c>
      <c r="CH113" s="493">
        <f t="shared" si="8"/>
        <v>0</v>
      </c>
      <c r="CI113" s="493">
        <f t="shared" si="8"/>
        <v>0</v>
      </c>
      <c r="CJ113" s="493">
        <f t="shared" si="8"/>
        <v>0</v>
      </c>
      <c r="CK113" s="493">
        <f t="shared" si="8"/>
        <v>0</v>
      </c>
      <c r="CL113" s="493">
        <f t="shared" si="7"/>
        <v>0</v>
      </c>
      <c r="CM113" s="493">
        <f t="shared" si="6"/>
        <v>0</v>
      </c>
      <c r="CN113" s="493">
        <f t="shared" si="6"/>
        <v>0</v>
      </c>
      <c r="CO113" s="493">
        <f t="shared" si="6"/>
        <v>0</v>
      </c>
      <c r="CP113" s="512">
        <v>17</v>
      </c>
      <c r="CQ113" s="513" t="s">
        <v>6229</v>
      </c>
    </row>
    <row r="114" spans="1:95" ht="30.45" hidden="1" customHeight="1" thickBot="1">
      <c r="A114" s="555" t="s">
        <v>4170</v>
      </c>
      <c r="B114" s="479">
        <v>112</v>
      </c>
      <c r="C114" s="480" t="s">
        <v>4004</v>
      </c>
      <c r="D114" s="480" t="s">
        <v>4199</v>
      </c>
      <c r="E114" s="480" t="str">
        <f t="shared" si="5"/>
        <v xml:space="preserve">1.6.2 </v>
      </c>
      <c r="F114" s="480" t="s">
        <v>4205</v>
      </c>
      <c r="G114" s="480" t="s">
        <v>4206</v>
      </c>
      <c r="H114" s="481">
        <v>45</v>
      </c>
      <c r="I114" s="480" t="s">
        <v>4209</v>
      </c>
      <c r="J114" s="495">
        <v>450200100</v>
      </c>
      <c r="K114" s="480" t="s">
        <v>4210</v>
      </c>
      <c r="L114" s="480" t="s">
        <v>4211</v>
      </c>
      <c r="M114" s="480" t="s">
        <v>5749</v>
      </c>
      <c r="N114" s="484">
        <v>12</v>
      </c>
      <c r="O114" s="480" t="s">
        <v>4208</v>
      </c>
      <c r="P114" s="500">
        <v>12</v>
      </c>
      <c r="Q114" s="485">
        <v>220010008</v>
      </c>
      <c r="R114" s="485" t="s">
        <v>5368</v>
      </c>
      <c r="S114" s="485" t="s">
        <v>677</v>
      </c>
      <c r="T114" s="485">
        <v>75</v>
      </c>
      <c r="U114" s="485" t="s">
        <v>5369</v>
      </c>
      <c r="V114" s="485">
        <v>80</v>
      </c>
      <c r="W114" s="485" t="s">
        <v>5357</v>
      </c>
      <c r="X114" s="485">
        <v>16</v>
      </c>
      <c r="Y114" s="485" t="s">
        <v>5370</v>
      </c>
      <c r="Z114" s="486">
        <v>60000000</v>
      </c>
      <c r="AA114" s="486">
        <v>0</v>
      </c>
      <c r="AB114" s="486">
        <v>0</v>
      </c>
      <c r="AC114" s="486">
        <v>0</v>
      </c>
      <c r="AD114" s="486">
        <v>0</v>
      </c>
      <c r="AE114" s="486">
        <v>0</v>
      </c>
      <c r="AF114" s="486">
        <v>0</v>
      </c>
      <c r="AG114" s="486">
        <v>0</v>
      </c>
      <c r="AH114" s="487">
        <v>60000000</v>
      </c>
      <c r="AI114" s="486">
        <v>0</v>
      </c>
      <c r="AJ114" s="486">
        <v>0</v>
      </c>
      <c r="AK114" s="486">
        <v>0</v>
      </c>
      <c r="AL114" s="488">
        <v>0</v>
      </c>
      <c r="AM114" s="489">
        <v>60000000</v>
      </c>
      <c r="AN114" s="486">
        <v>25000000</v>
      </c>
      <c r="AO114" s="486">
        <v>0</v>
      </c>
      <c r="AP114" s="486">
        <v>0</v>
      </c>
      <c r="AQ114" s="486">
        <v>0</v>
      </c>
      <c r="AR114" s="486">
        <v>0</v>
      </c>
      <c r="AS114" s="486">
        <v>0</v>
      </c>
      <c r="AT114" s="486">
        <v>0</v>
      </c>
      <c r="AU114" s="486">
        <v>0</v>
      </c>
      <c r="AV114" s="487">
        <v>25000000</v>
      </c>
      <c r="AW114" s="486">
        <v>0</v>
      </c>
      <c r="AX114" s="486">
        <v>0</v>
      </c>
      <c r="AY114" s="486">
        <v>0</v>
      </c>
      <c r="AZ114" s="488">
        <v>0</v>
      </c>
      <c r="BA114" s="490">
        <v>25000000</v>
      </c>
      <c r="BB114" s="486">
        <v>25000000</v>
      </c>
      <c r="BC114" s="486">
        <v>0</v>
      </c>
      <c r="BD114" s="486">
        <v>0</v>
      </c>
      <c r="BE114" s="486">
        <v>0</v>
      </c>
      <c r="BF114" s="486">
        <v>0</v>
      </c>
      <c r="BG114" s="486">
        <v>0</v>
      </c>
      <c r="BH114" s="486">
        <v>0</v>
      </c>
      <c r="BI114" s="486">
        <v>0</v>
      </c>
      <c r="BJ114" s="487">
        <v>25000000</v>
      </c>
      <c r="BK114" s="486">
        <v>0</v>
      </c>
      <c r="BL114" s="486">
        <v>0</v>
      </c>
      <c r="BM114" s="486">
        <v>0</v>
      </c>
      <c r="BN114" s="488">
        <v>0</v>
      </c>
      <c r="BO114" s="490">
        <v>25000000</v>
      </c>
      <c r="BP114" s="486">
        <v>25000000</v>
      </c>
      <c r="BQ114" s="486">
        <v>0</v>
      </c>
      <c r="BR114" s="486">
        <v>0</v>
      </c>
      <c r="BS114" s="486">
        <v>0</v>
      </c>
      <c r="BT114" s="486">
        <v>0</v>
      </c>
      <c r="BU114" s="486">
        <v>0</v>
      </c>
      <c r="BV114" s="486">
        <v>0</v>
      </c>
      <c r="BW114" s="486">
        <v>0</v>
      </c>
      <c r="BX114" s="487">
        <v>25000000</v>
      </c>
      <c r="BY114" s="486">
        <v>0</v>
      </c>
      <c r="BZ114" s="486">
        <v>0</v>
      </c>
      <c r="CA114" s="486">
        <v>0</v>
      </c>
      <c r="CB114" s="488">
        <v>0</v>
      </c>
      <c r="CC114" s="491">
        <v>25000000</v>
      </c>
      <c r="CD114" s="492">
        <v>135000000</v>
      </c>
      <c r="CE114" s="493">
        <f t="shared" si="8"/>
        <v>135000000</v>
      </c>
      <c r="CF114" s="493">
        <f t="shared" si="8"/>
        <v>0</v>
      </c>
      <c r="CG114" s="493">
        <f t="shared" si="8"/>
        <v>0</v>
      </c>
      <c r="CH114" s="493">
        <f t="shared" si="8"/>
        <v>0</v>
      </c>
      <c r="CI114" s="493">
        <f t="shared" si="8"/>
        <v>0</v>
      </c>
      <c r="CJ114" s="493">
        <f t="shared" si="8"/>
        <v>0</v>
      </c>
      <c r="CK114" s="493">
        <f t="shared" si="8"/>
        <v>0</v>
      </c>
      <c r="CL114" s="493">
        <f t="shared" si="7"/>
        <v>0</v>
      </c>
      <c r="CM114" s="493">
        <f t="shared" si="6"/>
        <v>0</v>
      </c>
      <c r="CN114" s="493">
        <f t="shared" si="6"/>
        <v>0</v>
      </c>
      <c r="CO114" s="493">
        <f t="shared" si="6"/>
        <v>0</v>
      </c>
      <c r="CP114" s="494">
        <v>16</v>
      </c>
      <c r="CQ114" s="494" t="s">
        <v>6235</v>
      </c>
    </row>
    <row r="115" spans="1:95" ht="30.45" hidden="1" customHeight="1" thickBot="1">
      <c r="A115" s="555" t="s">
        <v>4170</v>
      </c>
      <c r="B115" s="479">
        <v>113</v>
      </c>
      <c r="C115" s="480" t="s">
        <v>4004</v>
      </c>
      <c r="D115" s="480" t="s">
        <v>4199</v>
      </c>
      <c r="E115" s="480" t="str">
        <f t="shared" si="5"/>
        <v xml:space="preserve">1.6.2 </v>
      </c>
      <c r="F115" s="480" t="s">
        <v>4205</v>
      </c>
      <c r="G115" s="480" t="s">
        <v>4206</v>
      </c>
      <c r="H115" s="481">
        <v>45</v>
      </c>
      <c r="I115" s="480" t="s">
        <v>4209</v>
      </c>
      <c r="J115" s="495">
        <v>450200110</v>
      </c>
      <c r="K115" s="480" t="s">
        <v>4210</v>
      </c>
      <c r="L115" s="480" t="s">
        <v>4212</v>
      </c>
      <c r="M115" s="480" t="s">
        <v>5750</v>
      </c>
      <c r="N115" s="484">
        <v>1</v>
      </c>
      <c r="O115" s="480" t="s">
        <v>4208</v>
      </c>
      <c r="P115" s="500">
        <v>1</v>
      </c>
      <c r="Q115" s="485">
        <v>220010008</v>
      </c>
      <c r="R115" s="485" t="s">
        <v>5368</v>
      </c>
      <c r="S115" s="485" t="s">
        <v>677</v>
      </c>
      <c r="T115" s="485">
        <v>75</v>
      </c>
      <c r="U115" s="485" t="s">
        <v>5369</v>
      </c>
      <c r="V115" s="485">
        <v>80</v>
      </c>
      <c r="W115" s="485" t="s">
        <v>5357</v>
      </c>
      <c r="X115" s="485">
        <v>16</v>
      </c>
      <c r="Y115" s="485" t="s">
        <v>5370</v>
      </c>
      <c r="Z115" s="486">
        <v>352335000</v>
      </c>
      <c r="AA115" s="486">
        <v>0</v>
      </c>
      <c r="AB115" s="486">
        <v>0</v>
      </c>
      <c r="AC115" s="486">
        <v>0</v>
      </c>
      <c r="AD115" s="486">
        <v>0</v>
      </c>
      <c r="AE115" s="486">
        <v>0</v>
      </c>
      <c r="AF115" s="486">
        <v>0</v>
      </c>
      <c r="AG115" s="486">
        <v>0</v>
      </c>
      <c r="AH115" s="487">
        <v>352335000</v>
      </c>
      <c r="AI115" s="486">
        <v>0</v>
      </c>
      <c r="AJ115" s="486">
        <v>0</v>
      </c>
      <c r="AK115" s="486">
        <v>0</v>
      </c>
      <c r="AL115" s="488">
        <v>0</v>
      </c>
      <c r="AM115" s="489">
        <v>352335000</v>
      </c>
      <c r="AN115" s="486">
        <v>262154000</v>
      </c>
      <c r="AO115" s="486">
        <v>0</v>
      </c>
      <c r="AP115" s="486">
        <v>0</v>
      </c>
      <c r="AQ115" s="486">
        <v>0</v>
      </c>
      <c r="AR115" s="486">
        <v>0</v>
      </c>
      <c r="AS115" s="486">
        <v>0</v>
      </c>
      <c r="AT115" s="486">
        <v>0</v>
      </c>
      <c r="AU115" s="486">
        <v>0</v>
      </c>
      <c r="AV115" s="487">
        <v>262154000</v>
      </c>
      <c r="AW115" s="486">
        <v>0</v>
      </c>
      <c r="AX115" s="486">
        <v>0</v>
      </c>
      <c r="AY115" s="486">
        <v>0</v>
      </c>
      <c r="AZ115" s="488">
        <v>0</v>
      </c>
      <c r="BA115" s="490">
        <v>262154000</v>
      </c>
      <c r="BB115" s="486">
        <v>278369400</v>
      </c>
      <c r="BC115" s="486">
        <v>0</v>
      </c>
      <c r="BD115" s="486">
        <v>0</v>
      </c>
      <c r="BE115" s="486">
        <v>0</v>
      </c>
      <c r="BF115" s="486">
        <v>0</v>
      </c>
      <c r="BG115" s="486">
        <v>0</v>
      </c>
      <c r="BH115" s="486">
        <v>0</v>
      </c>
      <c r="BI115" s="486">
        <v>0</v>
      </c>
      <c r="BJ115" s="487">
        <v>278369400</v>
      </c>
      <c r="BK115" s="486">
        <v>0</v>
      </c>
      <c r="BL115" s="486">
        <v>0</v>
      </c>
      <c r="BM115" s="486">
        <v>0</v>
      </c>
      <c r="BN115" s="488">
        <v>0</v>
      </c>
      <c r="BO115" s="490">
        <v>278369400</v>
      </c>
      <c r="BP115" s="486">
        <v>317206340</v>
      </c>
      <c r="BQ115" s="486">
        <v>0</v>
      </c>
      <c r="BR115" s="486">
        <v>0</v>
      </c>
      <c r="BS115" s="486">
        <v>0</v>
      </c>
      <c r="BT115" s="486">
        <v>0</v>
      </c>
      <c r="BU115" s="486">
        <v>0</v>
      </c>
      <c r="BV115" s="486">
        <v>0</v>
      </c>
      <c r="BW115" s="486">
        <v>0</v>
      </c>
      <c r="BX115" s="487">
        <v>317206340</v>
      </c>
      <c r="BY115" s="486">
        <v>0</v>
      </c>
      <c r="BZ115" s="486">
        <v>0</v>
      </c>
      <c r="CA115" s="486">
        <v>0</v>
      </c>
      <c r="CB115" s="488">
        <v>0</v>
      </c>
      <c r="CC115" s="491">
        <v>317206340</v>
      </c>
      <c r="CD115" s="492">
        <v>1210064740</v>
      </c>
      <c r="CE115" s="493">
        <f t="shared" si="8"/>
        <v>1210064740</v>
      </c>
      <c r="CF115" s="493">
        <f t="shared" si="8"/>
        <v>0</v>
      </c>
      <c r="CG115" s="493">
        <f t="shared" si="8"/>
        <v>0</v>
      </c>
      <c r="CH115" s="493">
        <f t="shared" si="8"/>
        <v>0</v>
      </c>
      <c r="CI115" s="493">
        <f t="shared" si="8"/>
        <v>0</v>
      </c>
      <c r="CJ115" s="493">
        <f t="shared" si="8"/>
        <v>0</v>
      </c>
      <c r="CK115" s="493">
        <f t="shared" si="8"/>
        <v>0</v>
      </c>
      <c r="CL115" s="493">
        <f t="shared" si="7"/>
        <v>0</v>
      </c>
      <c r="CM115" s="493">
        <f t="shared" si="6"/>
        <v>0</v>
      </c>
      <c r="CN115" s="493">
        <f t="shared" si="6"/>
        <v>0</v>
      </c>
      <c r="CO115" s="493">
        <f t="shared" si="6"/>
        <v>0</v>
      </c>
      <c r="CP115" s="494">
        <v>16</v>
      </c>
      <c r="CQ115" s="494" t="s">
        <v>6235</v>
      </c>
    </row>
    <row r="116" spans="1:95" ht="30.45" hidden="1" customHeight="1" thickBot="1">
      <c r="A116" s="555" t="s">
        <v>4170</v>
      </c>
      <c r="B116" s="479">
        <v>114</v>
      </c>
      <c r="C116" s="480" t="s">
        <v>4004</v>
      </c>
      <c r="D116" s="480" t="s">
        <v>4199</v>
      </c>
      <c r="E116" s="480" t="str">
        <f t="shared" si="5"/>
        <v xml:space="preserve">1.6.2 </v>
      </c>
      <c r="F116" s="480" t="s">
        <v>4205</v>
      </c>
      <c r="G116" s="480" t="s">
        <v>4206</v>
      </c>
      <c r="H116" s="481">
        <v>45</v>
      </c>
      <c r="I116" s="480" t="s">
        <v>4209</v>
      </c>
      <c r="J116" s="495">
        <v>450200101</v>
      </c>
      <c r="K116" s="480" t="s">
        <v>4210</v>
      </c>
      <c r="L116" s="480" t="s">
        <v>4213</v>
      </c>
      <c r="M116" s="480" t="s">
        <v>5751</v>
      </c>
      <c r="N116" s="484">
        <v>5</v>
      </c>
      <c r="O116" s="480" t="s">
        <v>4208</v>
      </c>
      <c r="P116" s="500" t="s">
        <v>4214</v>
      </c>
      <c r="Q116" s="485">
        <v>220010008</v>
      </c>
      <c r="R116" s="485" t="s">
        <v>5368</v>
      </c>
      <c r="S116" s="485" t="s">
        <v>677</v>
      </c>
      <c r="T116" s="485">
        <v>75</v>
      </c>
      <c r="U116" s="485" t="s">
        <v>5369</v>
      </c>
      <c r="V116" s="485">
        <v>80</v>
      </c>
      <c r="W116" s="485" t="s">
        <v>5357</v>
      </c>
      <c r="X116" s="485">
        <v>16</v>
      </c>
      <c r="Y116" s="485" t="s">
        <v>5370</v>
      </c>
      <c r="Z116" s="486">
        <v>166607395</v>
      </c>
      <c r="AA116" s="486">
        <v>0</v>
      </c>
      <c r="AB116" s="486">
        <v>0</v>
      </c>
      <c r="AC116" s="486">
        <v>0</v>
      </c>
      <c r="AD116" s="486">
        <v>0</v>
      </c>
      <c r="AE116" s="486">
        <v>0</v>
      </c>
      <c r="AF116" s="486">
        <v>0</v>
      </c>
      <c r="AG116" s="486">
        <v>0</v>
      </c>
      <c r="AH116" s="487">
        <v>166607395</v>
      </c>
      <c r="AI116" s="486">
        <v>0</v>
      </c>
      <c r="AJ116" s="486">
        <v>0</v>
      </c>
      <c r="AK116" s="486">
        <v>0</v>
      </c>
      <c r="AL116" s="488">
        <v>0</v>
      </c>
      <c r="AM116" s="489">
        <v>166607395</v>
      </c>
      <c r="AN116" s="486">
        <v>186600282.40000001</v>
      </c>
      <c r="AO116" s="486">
        <v>0</v>
      </c>
      <c r="AP116" s="486">
        <v>0</v>
      </c>
      <c r="AQ116" s="486">
        <v>0</v>
      </c>
      <c r="AR116" s="486">
        <v>0</v>
      </c>
      <c r="AS116" s="486">
        <v>0</v>
      </c>
      <c r="AT116" s="486">
        <v>0</v>
      </c>
      <c r="AU116" s="486">
        <v>0</v>
      </c>
      <c r="AV116" s="487">
        <v>186600282.40000001</v>
      </c>
      <c r="AW116" s="486">
        <v>0</v>
      </c>
      <c r="AX116" s="486">
        <v>0</v>
      </c>
      <c r="AY116" s="486">
        <v>0</v>
      </c>
      <c r="AZ116" s="488">
        <v>0</v>
      </c>
      <c r="BA116" s="490">
        <v>186600282.40000001</v>
      </c>
      <c r="BB116" s="486">
        <v>208992316.28799999</v>
      </c>
      <c r="BC116" s="486">
        <v>0</v>
      </c>
      <c r="BD116" s="486">
        <v>0</v>
      </c>
      <c r="BE116" s="486">
        <v>0</v>
      </c>
      <c r="BF116" s="486">
        <v>0</v>
      </c>
      <c r="BG116" s="486">
        <v>0</v>
      </c>
      <c r="BH116" s="486">
        <v>0</v>
      </c>
      <c r="BI116" s="486">
        <v>0</v>
      </c>
      <c r="BJ116" s="487">
        <v>208992316.28799999</v>
      </c>
      <c r="BK116" s="486">
        <v>0</v>
      </c>
      <c r="BL116" s="486">
        <v>0</v>
      </c>
      <c r="BM116" s="486">
        <v>0</v>
      </c>
      <c r="BN116" s="488">
        <v>0</v>
      </c>
      <c r="BO116" s="490">
        <v>208992316.28799999</v>
      </c>
      <c r="BP116" s="486">
        <v>234071394.24256</v>
      </c>
      <c r="BQ116" s="486">
        <v>0</v>
      </c>
      <c r="BR116" s="486">
        <v>0</v>
      </c>
      <c r="BS116" s="486">
        <v>0</v>
      </c>
      <c r="BT116" s="486">
        <v>0</v>
      </c>
      <c r="BU116" s="486">
        <v>0</v>
      </c>
      <c r="BV116" s="486">
        <v>0</v>
      </c>
      <c r="BW116" s="486">
        <v>0</v>
      </c>
      <c r="BX116" s="487">
        <v>234071394.24256</v>
      </c>
      <c r="BY116" s="486">
        <v>0</v>
      </c>
      <c r="BZ116" s="486">
        <v>0</v>
      </c>
      <c r="CA116" s="486">
        <v>0</v>
      </c>
      <c r="CB116" s="488">
        <v>0</v>
      </c>
      <c r="CC116" s="491">
        <v>234071394.24256</v>
      </c>
      <c r="CD116" s="492">
        <v>796271387.93055999</v>
      </c>
      <c r="CE116" s="493">
        <f t="shared" si="8"/>
        <v>796271387.93055999</v>
      </c>
      <c r="CF116" s="493">
        <f t="shared" si="8"/>
        <v>0</v>
      </c>
      <c r="CG116" s="493">
        <f t="shared" si="8"/>
        <v>0</v>
      </c>
      <c r="CH116" s="493">
        <f t="shared" si="8"/>
        <v>0</v>
      </c>
      <c r="CI116" s="493">
        <f t="shared" si="8"/>
        <v>0</v>
      </c>
      <c r="CJ116" s="493">
        <f t="shared" si="8"/>
        <v>0</v>
      </c>
      <c r="CK116" s="493">
        <f t="shared" si="8"/>
        <v>0</v>
      </c>
      <c r="CL116" s="493">
        <f t="shared" si="7"/>
        <v>0</v>
      </c>
      <c r="CM116" s="493">
        <f t="shared" si="6"/>
        <v>0</v>
      </c>
      <c r="CN116" s="493">
        <f t="shared" si="6"/>
        <v>0</v>
      </c>
      <c r="CO116" s="493">
        <f t="shared" si="6"/>
        <v>0</v>
      </c>
      <c r="CP116" s="494">
        <v>16</v>
      </c>
      <c r="CQ116" s="494" t="s">
        <v>6235</v>
      </c>
    </row>
    <row r="117" spans="1:95" ht="30.45" hidden="1" customHeight="1" thickBot="1">
      <c r="A117" s="555" t="s">
        <v>4170</v>
      </c>
      <c r="B117" s="479">
        <v>115</v>
      </c>
      <c r="C117" s="480" t="s">
        <v>4004</v>
      </c>
      <c r="D117" s="480" t="s">
        <v>4199</v>
      </c>
      <c r="E117" s="480" t="str">
        <f t="shared" si="5"/>
        <v xml:space="preserve">1.6.2 </v>
      </c>
      <c r="F117" s="480" t="s">
        <v>4205</v>
      </c>
      <c r="G117" s="480" t="s">
        <v>4206</v>
      </c>
      <c r="H117" s="481">
        <v>45</v>
      </c>
      <c r="I117" s="480" t="s">
        <v>4180</v>
      </c>
      <c r="J117" s="495">
        <v>459903100</v>
      </c>
      <c r="K117" s="480" t="s">
        <v>4215</v>
      </c>
      <c r="L117" s="480" t="s">
        <v>4216</v>
      </c>
      <c r="M117" s="480" t="s">
        <v>5752</v>
      </c>
      <c r="N117" s="484">
        <v>123</v>
      </c>
      <c r="O117" s="480" t="s">
        <v>4208</v>
      </c>
      <c r="P117" s="500">
        <v>123</v>
      </c>
      <c r="Q117" s="485">
        <v>220010008</v>
      </c>
      <c r="R117" s="485" t="s">
        <v>5368</v>
      </c>
      <c r="S117" s="485" t="s">
        <v>677</v>
      </c>
      <c r="T117" s="485">
        <v>75</v>
      </c>
      <c r="U117" s="485" t="s">
        <v>5369</v>
      </c>
      <c r="V117" s="485">
        <v>80</v>
      </c>
      <c r="W117" s="485" t="s">
        <v>5357</v>
      </c>
      <c r="X117" s="485">
        <v>16</v>
      </c>
      <c r="Y117" s="485" t="s">
        <v>5370</v>
      </c>
      <c r="Z117" s="486">
        <v>2610179794</v>
      </c>
      <c r="AA117" s="486">
        <v>0</v>
      </c>
      <c r="AB117" s="486">
        <v>0</v>
      </c>
      <c r="AC117" s="486">
        <v>0</v>
      </c>
      <c r="AD117" s="486">
        <v>0</v>
      </c>
      <c r="AE117" s="486">
        <v>0</v>
      </c>
      <c r="AF117" s="486">
        <v>0</v>
      </c>
      <c r="AG117" s="486">
        <v>0</v>
      </c>
      <c r="AH117" s="487">
        <v>2610179794</v>
      </c>
      <c r="AI117" s="486">
        <v>0</v>
      </c>
      <c r="AJ117" s="486">
        <v>0</v>
      </c>
      <c r="AK117" s="486">
        <v>0</v>
      </c>
      <c r="AL117" s="488">
        <v>0</v>
      </c>
      <c r="AM117" s="489">
        <v>2610179794</v>
      </c>
      <c r="AN117" s="486">
        <v>2715328536.4400001</v>
      </c>
      <c r="AO117" s="486">
        <v>0</v>
      </c>
      <c r="AP117" s="486">
        <v>0</v>
      </c>
      <c r="AQ117" s="486">
        <v>0</v>
      </c>
      <c r="AR117" s="486">
        <v>0</v>
      </c>
      <c r="AS117" s="486">
        <v>0</v>
      </c>
      <c r="AT117" s="486">
        <v>0</v>
      </c>
      <c r="AU117" s="486">
        <v>0</v>
      </c>
      <c r="AV117" s="487">
        <v>2715328536.4400001</v>
      </c>
      <c r="AW117" s="486">
        <v>0</v>
      </c>
      <c r="AX117" s="486">
        <v>0</v>
      </c>
      <c r="AY117" s="486">
        <v>0</v>
      </c>
      <c r="AZ117" s="488">
        <v>0</v>
      </c>
      <c r="BA117" s="490">
        <v>2715328536.4400001</v>
      </c>
      <c r="BB117" s="486">
        <v>2632099858.2975998</v>
      </c>
      <c r="BC117" s="486">
        <v>0</v>
      </c>
      <c r="BD117" s="486">
        <v>0</v>
      </c>
      <c r="BE117" s="486">
        <v>0</v>
      </c>
      <c r="BF117" s="486">
        <v>0</v>
      </c>
      <c r="BG117" s="486">
        <v>0</v>
      </c>
      <c r="BH117" s="486">
        <v>0</v>
      </c>
      <c r="BI117" s="486">
        <v>0</v>
      </c>
      <c r="BJ117" s="487">
        <v>2632099858.2975998</v>
      </c>
      <c r="BK117" s="486">
        <v>200000000</v>
      </c>
      <c r="BL117" s="486">
        <v>0</v>
      </c>
      <c r="BM117" s="486">
        <v>0</v>
      </c>
      <c r="BN117" s="488">
        <v>200000000</v>
      </c>
      <c r="BO117" s="490">
        <v>2832099858.2975998</v>
      </c>
      <c r="BP117" s="486">
        <v>3376021440.9895039</v>
      </c>
      <c r="BQ117" s="486">
        <v>0</v>
      </c>
      <c r="BR117" s="486">
        <v>0</v>
      </c>
      <c r="BS117" s="486">
        <v>0</v>
      </c>
      <c r="BT117" s="486">
        <v>0</v>
      </c>
      <c r="BU117" s="486">
        <v>0</v>
      </c>
      <c r="BV117" s="486">
        <v>0</v>
      </c>
      <c r="BW117" s="486">
        <v>0</v>
      </c>
      <c r="BX117" s="487">
        <v>3376021440.9895039</v>
      </c>
      <c r="BY117" s="486">
        <v>427032785</v>
      </c>
      <c r="BZ117" s="486">
        <v>0</v>
      </c>
      <c r="CA117" s="486">
        <v>0</v>
      </c>
      <c r="CB117" s="488">
        <v>427032785</v>
      </c>
      <c r="CC117" s="491">
        <v>3803054225.9895039</v>
      </c>
      <c r="CD117" s="492">
        <v>11960662414.727104</v>
      </c>
      <c r="CE117" s="493">
        <f t="shared" si="8"/>
        <v>11333629629.727104</v>
      </c>
      <c r="CF117" s="493">
        <f t="shared" si="8"/>
        <v>0</v>
      </c>
      <c r="CG117" s="493">
        <f t="shared" si="8"/>
        <v>0</v>
      </c>
      <c r="CH117" s="493">
        <f t="shared" ref="CH117:CL173" si="9">AC117+AQ117+BE117+BS117</f>
        <v>0</v>
      </c>
      <c r="CI117" s="493">
        <f t="shared" si="9"/>
        <v>0</v>
      </c>
      <c r="CJ117" s="493">
        <f t="shared" si="9"/>
        <v>0</v>
      </c>
      <c r="CK117" s="493">
        <f t="shared" si="9"/>
        <v>0</v>
      </c>
      <c r="CL117" s="493">
        <f t="shared" si="7"/>
        <v>0</v>
      </c>
      <c r="CM117" s="493">
        <f t="shared" si="6"/>
        <v>627032785</v>
      </c>
      <c r="CN117" s="493">
        <f t="shared" si="6"/>
        <v>0</v>
      </c>
      <c r="CO117" s="493">
        <f t="shared" si="6"/>
        <v>0</v>
      </c>
      <c r="CP117" s="502" t="s">
        <v>6236</v>
      </c>
      <c r="CQ117" s="502" t="s">
        <v>6237</v>
      </c>
    </row>
    <row r="118" spans="1:95" ht="30.45" hidden="1" customHeight="1" thickBot="1">
      <c r="A118" s="555" t="s">
        <v>4170</v>
      </c>
      <c r="B118" s="479">
        <v>116</v>
      </c>
      <c r="C118" s="480" t="s">
        <v>4004</v>
      </c>
      <c r="D118" s="480" t="s">
        <v>4199</v>
      </c>
      <c r="E118" s="480" t="str">
        <f t="shared" si="5"/>
        <v xml:space="preserve">1.6.2 </v>
      </c>
      <c r="F118" s="480" t="s">
        <v>4205</v>
      </c>
      <c r="G118" s="480" t="s">
        <v>4206</v>
      </c>
      <c r="H118" s="481">
        <v>45</v>
      </c>
      <c r="I118" s="480" t="s">
        <v>4180</v>
      </c>
      <c r="J118" s="495">
        <v>459902500</v>
      </c>
      <c r="K118" s="480" t="s">
        <v>4181</v>
      </c>
      <c r="L118" s="480" t="s">
        <v>4182</v>
      </c>
      <c r="M118" s="480" t="s">
        <v>5753</v>
      </c>
      <c r="N118" s="484">
        <v>3</v>
      </c>
      <c r="O118" s="480" t="s">
        <v>4208</v>
      </c>
      <c r="P118" s="500">
        <v>4</v>
      </c>
      <c r="Q118" s="485">
        <v>220010008</v>
      </c>
      <c r="R118" s="485" t="s">
        <v>5368</v>
      </c>
      <c r="S118" s="485" t="s">
        <v>677</v>
      </c>
      <c r="T118" s="485">
        <v>75</v>
      </c>
      <c r="U118" s="485" t="s">
        <v>5369</v>
      </c>
      <c r="V118" s="485">
        <v>80</v>
      </c>
      <c r="W118" s="485" t="s">
        <v>5357</v>
      </c>
      <c r="X118" s="485">
        <v>16</v>
      </c>
      <c r="Y118" s="485" t="s">
        <v>5370</v>
      </c>
      <c r="Z118" s="486">
        <v>930968000</v>
      </c>
      <c r="AA118" s="486">
        <v>0</v>
      </c>
      <c r="AB118" s="486">
        <v>0</v>
      </c>
      <c r="AC118" s="486">
        <v>0</v>
      </c>
      <c r="AD118" s="486">
        <v>0</v>
      </c>
      <c r="AE118" s="486">
        <v>0</v>
      </c>
      <c r="AF118" s="486">
        <v>0</v>
      </c>
      <c r="AG118" s="486">
        <v>0</v>
      </c>
      <c r="AH118" s="487">
        <v>930968000</v>
      </c>
      <c r="AI118" s="486">
        <v>0</v>
      </c>
      <c r="AJ118" s="486">
        <v>0</v>
      </c>
      <c r="AK118" s="486">
        <v>0</v>
      </c>
      <c r="AL118" s="488">
        <v>0</v>
      </c>
      <c r="AM118" s="489">
        <v>930968000</v>
      </c>
      <c r="AN118" s="486">
        <v>977516400</v>
      </c>
      <c r="AO118" s="486">
        <v>0</v>
      </c>
      <c r="AP118" s="486">
        <v>0</v>
      </c>
      <c r="AQ118" s="486">
        <v>0</v>
      </c>
      <c r="AR118" s="486">
        <v>0</v>
      </c>
      <c r="AS118" s="486">
        <v>0</v>
      </c>
      <c r="AT118" s="486">
        <v>0</v>
      </c>
      <c r="AU118" s="486">
        <v>0</v>
      </c>
      <c r="AV118" s="487">
        <v>977516400</v>
      </c>
      <c r="AW118" s="486">
        <v>0</v>
      </c>
      <c r="AX118" s="486">
        <v>0</v>
      </c>
      <c r="AY118" s="486">
        <v>0</v>
      </c>
      <c r="AZ118" s="488">
        <v>0</v>
      </c>
      <c r="BA118" s="490">
        <v>977516400</v>
      </c>
      <c r="BB118" s="486">
        <v>1026392220</v>
      </c>
      <c r="BC118" s="486">
        <v>0</v>
      </c>
      <c r="BD118" s="486">
        <v>0</v>
      </c>
      <c r="BE118" s="486">
        <v>0</v>
      </c>
      <c r="BF118" s="486">
        <v>0</v>
      </c>
      <c r="BG118" s="486">
        <v>0</v>
      </c>
      <c r="BH118" s="486">
        <v>0</v>
      </c>
      <c r="BI118" s="486">
        <v>0</v>
      </c>
      <c r="BJ118" s="487">
        <v>1026392220</v>
      </c>
      <c r="BK118" s="486">
        <v>0</v>
      </c>
      <c r="BL118" s="486">
        <v>0</v>
      </c>
      <c r="BM118" s="486">
        <v>0</v>
      </c>
      <c r="BN118" s="488">
        <v>0</v>
      </c>
      <c r="BO118" s="490">
        <v>1026392220</v>
      </c>
      <c r="BP118" s="486">
        <v>1077711831</v>
      </c>
      <c r="BQ118" s="486">
        <v>0</v>
      </c>
      <c r="BR118" s="486">
        <v>0</v>
      </c>
      <c r="BS118" s="486">
        <v>0</v>
      </c>
      <c r="BT118" s="486">
        <v>0</v>
      </c>
      <c r="BU118" s="486">
        <v>0</v>
      </c>
      <c r="BV118" s="486">
        <v>0</v>
      </c>
      <c r="BW118" s="486">
        <v>0</v>
      </c>
      <c r="BX118" s="487">
        <v>1077711831</v>
      </c>
      <c r="BY118" s="486">
        <v>0</v>
      </c>
      <c r="BZ118" s="486">
        <v>0</v>
      </c>
      <c r="CA118" s="486">
        <v>0</v>
      </c>
      <c r="CB118" s="488">
        <v>0</v>
      </c>
      <c r="CC118" s="491">
        <v>1077711831</v>
      </c>
      <c r="CD118" s="492">
        <v>4012588451</v>
      </c>
      <c r="CE118" s="493">
        <f t="shared" ref="CE118:CI181" si="10">Z118+AN118+BB118+BP118</f>
        <v>4012588451</v>
      </c>
      <c r="CF118" s="493">
        <f t="shared" si="10"/>
        <v>0</v>
      </c>
      <c r="CG118" s="493">
        <f t="shared" si="10"/>
        <v>0</v>
      </c>
      <c r="CH118" s="493">
        <f t="shared" si="9"/>
        <v>0</v>
      </c>
      <c r="CI118" s="493">
        <f t="shared" si="9"/>
        <v>0</v>
      </c>
      <c r="CJ118" s="493">
        <f t="shared" si="9"/>
        <v>0</v>
      </c>
      <c r="CK118" s="493">
        <f t="shared" si="9"/>
        <v>0</v>
      </c>
      <c r="CL118" s="493">
        <f t="shared" si="7"/>
        <v>0</v>
      </c>
      <c r="CM118" s="493">
        <f t="shared" si="6"/>
        <v>0</v>
      </c>
      <c r="CN118" s="493">
        <f t="shared" si="6"/>
        <v>0</v>
      </c>
      <c r="CO118" s="493">
        <f t="shared" si="6"/>
        <v>0</v>
      </c>
      <c r="CP118" s="494">
        <v>16</v>
      </c>
      <c r="CQ118" s="494" t="s">
        <v>5370</v>
      </c>
    </row>
    <row r="119" spans="1:95" ht="30.45" hidden="1" customHeight="1" thickBot="1">
      <c r="A119" s="555" t="s">
        <v>4170</v>
      </c>
      <c r="B119" s="479">
        <v>117</v>
      </c>
      <c r="C119" s="480" t="s">
        <v>4004</v>
      </c>
      <c r="D119" s="480" t="s">
        <v>4199</v>
      </c>
      <c r="E119" s="480" t="str">
        <f t="shared" si="5"/>
        <v xml:space="preserve">1.6.2 </v>
      </c>
      <c r="F119" s="480" t="s">
        <v>4205</v>
      </c>
      <c r="G119" s="480" t="s">
        <v>4206</v>
      </c>
      <c r="H119" s="481">
        <v>45</v>
      </c>
      <c r="I119" s="480" t="s">
        <v>4180</v>
      </c>
      <c r="J119" s="495">
        <v>459902300</v>
      </c>
      <c r="K119" s="480" t="s">
        <v>4094</v>
      </c>
      <c r="L119" s="480" t="s">
        <v>4217</v>
      </c>
      <c r="M119" s="480" t="s">
        <v>5754</v>
      </c>
      <c r="N119" s="484">
        <v>1</v>
      </c>
      <c r="O119" s="480" t="s">
        <v>4208</v>
      </c>
      <c r="P119" s="500">
        <v>1</v>
      </c>
      <c r="Q119" s="485">
        <v>220010008</v>
      </c>
      <c r="R119" s="485" t="s">
        <v>5368</v>
      </c>
      <c r="S119" s="485" t="s">
        <v>677</v>
      </c>
      <c r="T119" s="485">
        <v>75</v>
      </c>
      <c r="U119" s="485" t="s">
        <v>5369</v>
      </c>
      <c r="V119" s="485">
        <v>80</v>
      </c>
      <c r="W119" s="485" t="s">
        <v>5357</v>
      </c>
      <c r="X119" s="485">
        <v>16</v>
      </c>
      <c r="Y119" s="485" t="s">
        <v>5370</v>
      </c>
      <c r="Z119" s="486">
        <v>599787290</v>
      </c>
      <c r="AA119" s="486">
        <v>0</v>
      </c>
      <c r="AB119" s="486">
        <v>0</v>
      </c>
      <c r="AC119" s="486">
        <v>0</v>
      </c>
      <c r="AD119" s="486">
        <v>0</v>
      </c>
      <c r="AE119" s="486">
        <v>0</v>
      </c>
      <c r="AF119" s="486">
        <v>0</v>
      </c>
      <c r="AG119" s="486">
        <v>0</v>
      </c>
      <c r="AH119" s="487">
        <v>599787290</v>
      </c>
      <c r="AI119" s="486">
        <v>0</v>
      </c>
      <c r="AJ119" s="486">
        <v>0</v>
      </c>
      <c r="AK119" s="486">
        <v>0</v>
      </c>
      <c r="AL119" s="488">
        <v>0</v>
      </c>
      <c r="AM119" s="489">
        <v>599787290</v>
      </c>
      <c r="AN119" s="486">
        <v>704738000</v>
      </c>
      <c r="AO119" s="486">
        <v>0</v>
      </c>
      <c r="AP119" s="486">
        <v>0</v>
      </c>
      <c r="AQ119" s="486">
        <v>0</v>
      </c>
      <c r="AR119" s="486">
        <v>0</v>
      </c>
      <c r="AS119" s="486">
        <v>0</v>
      </c>
      <c r="AT119" s="486">
        <v>0</v>
      </c>
      <c r="AU119" s="486">
        <v>0</v>
      </c>
      <c r="AV119" s="487">
        <v>704738000</v>
      </c>
      <c r="AW119" s="486">
        <v>0</v>
      </c>
      <c r="AX119" s="486">
        <v>0</v>
      </c>
      <c r="AY119" s="486">
        <v>100000000</v>
      </c>
      <c r="AZ119" s="488">
        <v>100000000</v>
      </c>
      <c r="BA119" s="490">
        <v>804738000</v>
      </c>
      <c r="BB119" s="486">
        <v>885211800</v>
      </c>
      <c r="BC119" s="486">
        <v>0</v>
      </c>
      <c r="BD119" s="486">
        <v>0</v>
      </c>
      <c r="BE119" s="486">
        <v>0</v>
      </c>
      <c r="BF119" s="486">
        <v>0</v>
      </c>
      <c r="BG119" s="486">
        <v>0</v>
      </c>
      <c r="BH119" s="486">
        <v>0</v>
      </c>
      <c r="BI119" s="486">
        <v>0</v>
      </c>
      <c r="BJ119" s="487">
        <v>885211800</v>
      </c>
      <c r="BK119" s="486">
        <v>0</v>
      </c>
      <c r="BL119" s="486">
        <v>0</v>
      </c>
      <c r="BM119" s="486">
        <v>0</v>
      </c>
      <c r="BN119" s="488">
        <v>0</v>
      </c>
      <c r="BO119" s="490">
        <v>885211800</v>
      </c>
      <c r="BP119" s="486">
        <v>120349020</v>
      </c>
      <c r="BQ119" s="486">
        <v>0</v>
      </c>
      <c r="BR119" s="486">
        <v>0</v>
      </c>
      <c r="BS119" s="486">
        <v>0</v>
      </c>
      <c r="BT119" s="486">
        <v>0</v>
      </c>
      <c r="BU119" s="486">
        <v>0</v>
      </c>
      <c r="BV119" s="486">
        <v>0</v>
      </c>
      <c r="BW119" s="486">
        <v>0</v>
      </c>
      <c r="BX119" s="487">
        <v>120349020</v>
      </c>
      <c r="BY119" s="486">
        <v>0</v>
      </c>
      <c r="BZ119" s="486">
        <v>0</v>
      </c>
      <c r="CA119" s="486">
        <v>0</v>
      </c>
      <c r="CB119" s="488">
        <v>0</v>
      </c>
      <c r="CC119" s="491">
        <v>120349020</v>
      </c>
      <c r="CD119" s="492">
        <v>2410086110</v>
      </c>
      <c r="CE119" s="493">
        <f t="shared" si="10"/>
        <v>2310086110</v>
      </c>
      <c r="CF119" s="493">
        <f t="shared" si="10"/>
        <v>0</v>
      </c>
      <c r="CG119" s="493">
        <f t="shared" si="10"/>
        <v>0</v>
      </c>
      <c r="CH119" s="493">
        <f t="shared" si="9"/>
        <v>0</v>
      </c>
      <c r="CI119" s="493">
        <f t="shared" si="9"/>
        <v>0</v>
      </c>
      <c r="CJ119" s="493">
        <f t="shared" si="9"/>
        <v>0</v>
      </c>
      <c r="CK119" s="493">
        <f t="shared" si="9"/>
        <v>0</v>
      </c>
      <c r="CL119" s="493">
        <f t="shared" si="7"/>
        <v>0</v>
      </c>
      <c r="CM119" s="493">
        <f t="shared" si="6"/>
        <v>0</v>
      </c>
      <c r="CN119" s="493">
        <f t="shared" si="6"/>
        <v>0</v>
      </c>
      <c r="CO119" s="493">
        <f t="shared" si="6"/>
        <v>100000000</v>
      </c>
      <c r="CP119" s="494">
        <v>16</v>
      </c>
      <c r="CQ119" s="494" t="s">
        <v>5370</v>
      </c>
    </row>
    <row r="120" spans="1:95" ht="30.45" hidden="1" customHeight="1" thickBot="1">
      <c r="A120" s="555" t="s">
        <v>4170</v>
      </c>
      <c r="B120" s="479">
        <v>118</v>
      </c>
      <c r="C120" s="480" t="s">
        <v>4004</v>
      </c>
      <c r="D120" s="480" t="s">
        <v>4199</v>
      </c>
      <c r="E120" s="480" t="str">
        <f t="shared" si="5"/>
        <v xml:space="preserve">1.6.2 </v>
      </c>
      <c r="F120" s="480" t="s">
        <v>4205</v>
      </c>
      <c r="G120" s="480" t="s">
        <v>4206</v>
      </c>
      <c r="H120" s="481">
        <v>4</v>
      </c>
      <c r="I120" s="480" t="s">
        <v>4168</v>
      </c>
      <c r="J120" s="495">
        <v>40103701</v>
      </c>
      <c r="K120" s="480" t="s">
        <v>4169</v>
      </c>
      <c r="L120" s="480" t="s">
        <v>4218</v>
      </c>
      <c r="M120" s="480" t="s">
        <v>5755</v>
      </c>
      <c r="N120" s="484">
        <v>1</v>
      </c>
      <c r="O120" s="480" t="s">
        <v>4208</v>
      </c>
      <c r="P120" s="500">
        <v>2</v>
      </c>
      <c r="Q120" s="485">
        <v>220010008</v>
      </c>
      <c r="R120" s="485" t="s">
        <v>5368</v>
      </c>
      <c r="S120" s="485" t="s">
        <v>677</v>
      </c>
      <c r="T120" s="485">
        <v>75</v>
      </c>
      <c r="U120" s="485" t="s">
        <v>5369</v>
      </c>
      <c r="V120" s="485">
        <v>80</v>
      </c>
      <c r="W120" s="485" t="s">
        <v>5357</v>
      </c>
      <c r="X120" s="485">
        <v>16</v>
      </c>
      <c r="Y120" s="485" t="s">
        <v>5370</v>
      </c>
      <c r="Z120" s="486">
        <v>268936000</v>
      </c>
      <c r="AA120" s="486">
        <v>0</v>
      </c>
      <c r="AB120" s="486">
        <v>0</v>
      </c>
      <c r="AC120" s="486">
        <v>0</v>
      </c>
      <c r="AD120" s="486">
        <v>0</v>
      </c>
      <c r="AE120" s="486">
        <v>0</v>
      </c>
      <c r="AF120" s="486">
        <v>0</v>
      </c>
      <c r="AG120" s="486">
        <v>0</v>
      </c>
      <c r="AH120" s="487">
        <v>268936000</v>
      </c>
      <c r="AI120" s="486">
        <v>0</v>
      </c>
      <c r="AJ120" s="486">
        <v>0</v>
      </c>
      <c r="AK120" s="486">
        <v>0</v>
      </c>
      <c r="AL120" s="488">
        <v>0</v>
      </c>
      <c r="AM120" s="489">
        <v>268936000</v>
      </c>
      <c r="AN120" s="486">
        <v>395182200</v>
      </c>
      <c r="AO120" s="486">
        <v>0</v>
      </c>
      <c r="AP120" s="486">
        <v>0</v>
      </c>
      <c r="AQ120" s="486">
        <v>0</v>
      </c>
      <c r="AR120" s="486">
        <v>0</v>
      </c>
      <c r="AS120" s="486">
        <v>0</v>
      </c>
      <c r="AT120" s="486">
        <v>0</v>
      </c>
      <c r="AU120" s="486">
        <v>0</v>
      </c>
      <c r="AV120" s="487">
        <v>395182200</v>
      </c>
      <c r="AW120" s="486">
        <v>0</v>
      </c>
      <c r="AX120" s="486">
        <v>0</v>
      </c>
      <c r="AY120" s="486">
        <v>0</v>
      </c>
      <c r="AZ120" s="488">
        <v>0</v>
      </c>
      <c r="BA120" s="490">
        <v>395182200</v>
      </c>
      <c r="BB120" s="486">
        <v>414941310</v>
      </c>
      <c r="BC120" s="486">
        <v>0</v>
      </c>
      <c r="BD120" s="486">
        <v>0</v>
      </c>
      <c r="BE120" s="486">
        <v>0</v>
      </c>
      <c r="BF120" s="486">
        <v>0</v>
      </c>
      <c r="BG120" s="486">
        <v>0</v>
      </c>
      <c r="BH120" s="486">
        <v>0</v>
      </c>
      <c r="BI120" s="486">
        <v>0</v>
      </c>
      <c r="BJ120" s="487">
        <v>414941310</v>
      </c>
      <c r="BK120" s="486">
        <v>0</v>
      </c>
      <c r="BL120" s="486">
        <v>0</v>
      </c>
      <c r="BM120" s="486">
        <v>0</v>
      </c>
      <c r="BN120" s="488">
        <v>0</v>
      </c>
      <c r="BO120" s="490">
        <v>414941310</v>
      </c>
      <c r="BP120" s="486">
        <v>459641952</v>
      </c>
      <c r="BQ120" s="486">
        <v>0</v>
      </c>
      <c r="BR120" s="486">
        <v>0</v>
      </c>
      <c r="BS120" s="486">
        <v>0</v>
      </c>
      <c r="BT120" s="486">
        <v>0</v>
      </c>
      <c r="BU120" s="486">
        <v>0</v>
      </c>
      <c r="BV120" s="486">
        <v>0</v>
      </c>
      <c r="BW120" s="486">
        <v>0</v>
      </c>
      <c r="BX120" s="487">
        <v>459641952</v>
      </c>
      <c r="BY120" s="486">
        <v>0</v>
      </c>
      <c r="BZ120" s="486">
        <v>0</v>
      </c>
      <c r="CA120" s="486">
        <v>0</v>
      </c>
      <c r="CB120" s="488">
        <v>0</v>
      </c>
      <c r="CC120" s="491">
        <v>459641952</v>
      </c>
      <c r="CD120" s="492">
        <v>1538701462</v>
      </c>
      <c r="CE120" s="493">
        <f t="shared" si="10"/>
        <v>1538701462</v>
      </c>
      <c r="CF120" s="493">
        <f t="shared" si="10"/>
        <v>0</v>
      </c>
      <c r="CG120" s="493">
        <f t="shared" si="10"/>
        <v>0</v>
      </c>
      <c r="CH120" s="493">
        <f t="shared" si="9"/>
        <v>0</v>
      </c>
      <c r="CI120" s="493">
        <f t="shared" si="9"/>
        <v>0</v>
      </c>
      <c r="CJ120" s="493">
        <f t="shared" si="9"/>
        <v>0</v>
      </c>
      <c r="CK120" s="493">
        <f t="shared" si="9"/>
        <v>0</v>
      </c>
      <c r="CL120" s="493">
        <f t="shared" si="7"/>
        <v>0</v>
      </c>
      <c r="CM120" s="493">
        <f t="shared" si="6"/>
        <v>0</v>
      </c>
      <c r="CN120" s="493">
        <f t="shared" si="6"/>
        <v>0</v>
      </c>
      <c r="CO120" s="493">
        <f t="shared" si="6"/>
        <v>0</v>
      </c>
      <c r="CP120" s="502" t="s">
        <v>6238</v>
      </c>
      <c r="CQ120" s="502" t="s">
        <v>6239</v>
      </c>
    </row>
    <row r="121" spans="1:95" ht="30.45" hidden="1" customHeight="1" thickBot="1">
      <c r="A121" s="555" t="s">
        <v>4223</v>
      </c>
      <c r="B121" s="479">
        <v>119</v>
      </c>
      <c r="C121" s="480" t="s">
        <v>4004</v>
      </c>
      <c r="D121" s="480" t="s">
        <v>4199</v>
      </c>
      <c r="E121" s="480" t="str">
        <f t="shared" si="5"/>
        <v>1.6.3 </v>
      </c>
      <c r="F121" s="480" t="s">
        <v>4219</v>
      </c>
      <c r="G121" s="480" t="s">
        <v>4220</v>
      </c>
      <c r="H121" s="481">
        <v>45</v>
      </c>
      <c r="I121" s="480" t="s">
        <v>4209</v>
      </c>
      <c r="J121" s="495">
        <v>450200109</v>
      </c>
      <c r="K121" s="480" t="s">
        <v>4210</v>
      </c>
      <c r="L121" s="480" t="s">
        <v>4221</v>
      </c>
      <c r="M121" s="480" t="s">
        <v>5756</v>
      </c>
      <c r="N121" s="484">
        <v>93</v>
      </c>
      <c r="O121" s="480" t="s">
        <v>4222</v>
      </c>
      <c r="P121" s="500">
        <v>253</v>
      </c>
      <c r="Q121" s="485" t="s">
        <v>5349</v>
      </c>
      <c r="R121" s="485" t="s">
        <v>5371</v>
      </c>
      <c r="S121" s="485" t="s">
        <v>677</v>
      </c>
      <c r="T121" s="485">
        <v>0.38</v>
      </c>
      <c r="U121" s="485" t="s">
        <v>4222</v>
      </c>
      <c r="V121" s="485">
        <v>0.7</v>
      </c>
      <c r="W121" s="485" t="s">
        <v>5372</v>
      </c>
      <c r="X121" s="485">
        <v>16</v>
      </c>
      <c r="Y121" s="485" t="s">
        <v>5352</v>
      </c>
      <c r="Z121" s="486">
        <v>100000000</v>
      </c>
      <c r="AA121" s="486">
        <v>0</v>
      </c>
      <c r="AB121" s="486">
        <v>0</v>
      </c>
      <c r="AC121" s="486">
        <v>0</v>
      </c>
      <c r="AD121" s="486">
        <v>0</v>
      </c>
      <c r="AE121" s="486">
        <v>0</v>
      </c>
      <c r="AF121" s="486">
        <v>0</v>
      </c>
      <c r="AG121" s="486">
        <v>0</v>
      </c>
      <c r="AH121" s="487">
        <v>100000000</v>
      </c>
      <c r="AI121" s="486">
        <v>0</v>
      </c>
      <c r="AJ121" s="486"/>
      <c r="AK121" s="486">
        <v>900000000</v>
      </c>
      <c r="AL121" s="488">
        <v>900000000</v>
      </c>
      <c r="AM121" s="489">
        <v>1000000000</v>
      </c>
      <c r="AN121" s="486">
        <v>100000000</v>
      </c>
      <c r="AO121" s="486">
        <v>0</v>
      </c>
      <c r="AP121" s="486">
        <v>0</v>
      </c>
      <c r="AQ121" s="486">
        <v>0</v>
      </c>
      <c r="AR121" s="486">
        <v>0</v>
      </c>
      <c r="AS121" s="486">
        <v>0</v>
      </c>
      <c r="AT121" s="486">
        <v>0</v>
      </c>
      <c r="AU121" s="486">
        <v>0</v>
      </c>
      <c r="AV121" s="487">
        <v>100000000</v>
      </c>
      <c r="AW121" s="486">
        <v>0</v>
      </c>
      <c r="AX121" s="486">
        <v>0</v>
      </c>
      <c r="AY121" s="486">
        <v>900000000</v>
      </c>
      <c r="AZ121" s="488">
        <v>900000000</v>
      </c>
      <c r="BA121" s="490">
        <v>1000000000</v>
      </c>
      <c r="BB121" s="486">
        <v>100000000</v>
      </c>
      <c r="BC121" s="486">
        <v>0</v>
      </c>
      <c r="BD121" s="486">
        <v>0</v>
      </c>
      <c r="BE121" s="486">
        <v>0</v>
      </c>
      <c r="BF121" s="486">
        <v>0</v>
      </c>
      <c r="BG121" s="486">
        <v>0</v>
      </c>
      <c r="BH121" s="486">
        <v>0</v>
      </c>
      <c r="BI121" s="486">
        <v>0</v>
      </c>
      <c r="BJ121" s="487">
        <v>100000000</v>
      </c>
      <c r="BK121" s="486">
        <v>0</v>
      </c>
      <c r="BL121" s="486"/>
      <c r="BM121" s="486">
        <v>900000000</v>
      </c>
      <c r="BN121" s="488">
        <v>900000000</v>
      </c>
      <c r="BO121" s="490">
        <v>1000000000</v>
      </c>
      <c r="BP121" s="486">
        <v>100000000</v>
      </c>
      <c r="BQ121" s="486">
        <v>0</v>
      </c>
      <c r="BR121" s="486">
        <v>0</v>
      </c>
      <c r="BS121" s="486">
        <v>0</v>
      </c>
      <c r="BT121" s="486">
        <v>0</v>
      </c>
      <c r="BU121" s="486">
        <v>0</v>
      </c>
      <c r="BV121" s="486">
        <v>0</v>
      </c>
      <c r="BW121" s="486">
        <v>0</v>
      </c>
      <c r="BX121" s="487">
        <v>100000000</v>
      </c>
      <c r="BY121" s="486">
        <v>0</v>
      </c>
      <c r="BZ121" s="486"/>
      <c r="CA121" s="486">
        <v>900000000</v>
      </c>
      <c r="CB121" s="488">
        <v>900000000</v>
      </c>
      <c r="CC121" s="491">
        <v>1000000000</v>
      </c>
      <c r="CD121" s="492">
        <v>4000000000</v>
      </c>
      <c r="CE121" s="493">
        <f t="shared" si="10"/>
        <v>400000000</v>
      </c>
      <c r="CF121" s="493">
        <f t="shared" si="10"/>
        <v>0</v>
      </c>
      <c r="CG121" s="493">
        <f t="shared" si="10"/>
        <v>0</v>
      </c>
      <c r="CH121" s="493">
        <f t="shared" si="9"/>
        <v>0</v>
      </c>
      <c r="CI121" s="493">
        <f t="shared" si="9"/>
        <v>0</v>
      </c>
      <c r="CJ121" s="493">
        <f t="shared" si="9"/>
        <v>0</v>
      </c>
      <c r="CK121" s="493">
        <f t="shared" si="9"/>
        <v>0</v>
      </c>
      <c r="CL121" s="493">
        <f t="shared" si="7"/>
        <v>0</v>
      </c>
      <c r="CM121" s="493">
        <f t="shared" si="6"/>
        <v>0</v>
      </c>
      <c r="CN121" s="493">
        <f t="shared" si="6"/>
        <v>0</v>
      </c>
      <c r="CO121" s="493">
        <f t="shared" si="6"/>
        <v>3600000000</v>
      </c>
      <c r="CP121" s="494">
        <v>16</v>
      </c>
      <c r="CQ121" s="494" t="s">
        <v>5355</v>
      </c>
    </row>
    <row r="122" spans="1:95" ht="30.45" hidden="1" customHeight="1" thickBot="1">
      <c r="A122" s="555" t="s">
        <v>4223</v>
      </c>
      <c r="B122" s="479">
        <v>120</v>
      </c>
      <c r="C122" s="480" t="s">
        <v>4004</v>
      </c>
      <c r="D122" s="480" t="s">
        <v>4199</v>
      </c>
      <c r="E122" s="480" t="str">
        <f t="shared" si="5"/>
        <v>1.6.3 </v>
      </c>
      <c r="F122" s="480" t="s">
        <v>4219</v>
      </c>
      <c r="G122" s="480" t="s">
        <v>4220</v>
      </c>
      <c r="H122" s="481">
        <v>45</v>
      </c>
      <c r="I122" s="480" t="s">
        <v>4209</v>
      </c>
      <c r="J122" s="495">
        <v>450200100</v>
      </c>
      <c r="K122" s="480" t="s">
        <v>4210</v>
      </c>
      <c r="L122" s="480" t="s">
        <v>4211</v>
      </c>
      <c r="M122" s="480" t="s">
        <v>5757</v>
      </c>
      <c r="N122" s="484">
        <v>4</v>
      </c>
      <c r="O122" s="480" t="s">
        <v>4224</v>
      </c>
      <c r="P122" s="500">
        <v>8</v>
      </c>
      <c r="Q122" s="485" t="s">
        <v>5349</v>
      </c>
      <c r="R122" s="485" t="s">
        <v>5371</v>
      </c>
      <c r="S122" s="485" t="s">
        <v>677</v>
      </c>
      <c r="T122" s="485">
        <v>0.38</v>
      </c>
      <c r="U122" s="485" t="s">
        <v>4222</v>
      </c>
      <c r="V122" s="485">
        <v>0.7</v>
      </c>
      <c r="W122" s="485" t="s">
        <v>5372</v>
      </c>
      <c r="X122" s="485">
        <v>16</v>
      </c>
      <c r="Y122" s="485" t="s">
        <v>5352</v>
      </c>
      <c r="Z122" s="486">
        <v>100000000</v>
      </c>
      <c r="AA122" s="486">
        <v>0</v>
      </c>
      <c r="AB122" s="486">
        <v>0</v>
      </c>
      <c r="AC122" s="486">
        <v>0</v>
      </c>
      <c r="AD122" s="486">
        <v>0</v>
      </c>
      <c r="AE122" s="486">
        <v>0</v>
      </c>
      <c r="AF122" s="486">
        <v>0</v>
      </c>
      <c r="AG122" s="486">
        <v>0</v>
      </c>
      <c r="AH122" s="487">
        <v>100000000</v>
      </c>
      <c r="AI122" s="486">
        <v>0</v>
      </c>
      <c r="AJ122" s="486"/>
      <c r="AK122" s="486">
        <v>400000000</v>
      </c>
      <c r="AL122" s="488">
        <v>400000000</v>
      </c>
      <c r="AM122" s="489">
        <v>500000000</v>
      </c>
      <c r="AN122" s="486">
        <v>100000000</v>
      </c>
      <c r="AO122" s="486">
        <v>0</v>
      </c>
      <c r="AP122" s="486">
        <v>0</v>
      </c>
      <c r="AQ122" s="486">
        <v>0</v>
      </c>
      <c r="AR122" s="486">
        <v>0</v>
      </c>
      <c r="AS122" s="486">
        <v>0</v>
      </c>
      <c r="AT122" s="486">
        <v>0</v>
      </c>
      <c r="AU122" s="486">
        <v>0</v>
      </c>
      <c r="AV122" s="487">
        <v>100000000</v>
      </c>
      <c r="AW122" s="486">
        <v>0</v>
      </c>
      <c r="AX122" s="486">
        <v>0</v>
      </c>
      <c r="AY122" s="486">
        <v>400000000</v>
      </c>
      <c r="AZ122" s="488">
        <v>400000000</v>
      </c>
      <c r="BA122" s="490">
        <v>500000000</v>
      </c>
      <c r="BB122" s="486">
        <v>100000000</v>
      </c>
      <c r="BC122" s="486">
        <v>0</v>
      </c>
      <c r="BD122" s="486">
        <v>0</v>
      </c>
      <c r="BE122" s="486">
        <v>0</v>
      </c>
      <c r="BF122" s="486">
        <v>0</v>
      </c>
      <c r="BG122" s="486">
        <v>0</v>
      </c>
      <c r="BH122" s="486">
        <v>0</v>
      </c>
      <c r="BI122" s="486">
        <v>0</v>
      </c>
      <c r="BJ122" s="487">
        <v>100000000</v>
      </c>
      <c r="BK122" s="486">
        <v>0</v>
      </c>
      <c r="BL122" s="486"/>
      <c r="BM122" s="486">
        <v>400000000</v>
      </c>
      <c r="BN122" s="488">
        <v>400000000</v>
      </c>
      <c r="BO122" s="490">
        <v>500000000</v>
      </c>
      <c r="BP122" s="486">
        <v>100000000</v>
      </c>
      <c r="BQ122" s="486">
        <v>0</v>
      </c>
      <c r="BR122" s="486">
        <v>0</v>
      </c>
      <c r="BS122" s="486">
        <v>0</v>
      </c>
      <c r="BT122" s="486">
        <v>0</v>
      </c>
      <c r="BU122" s="486">
        <v>0</v>
      </c>
      <c r="BV122" s="486">
        <v>0</v>
      </c>
      <c r="BW122" s="486">
        <v>0</v>
      </c>
      <c r="BX122" s="487">
        <v>100000000</v>
      </c>
      <c r="BY122" s="486">
        <v>0</v>
      </c>
      <c r="BZ122" s="486"/>
      <c r="CA122" s="486">
        <v>400000000</v>
      </c>
      <c r="CB122" s="488">
        <v>400000000</v>
      </c>
      <c r="CC122" s="491">
        <v>500000000</v>
      </c>
      <c r="CD122" s="492">
        <v>2000000000</v>
      </c>
      <c r="CE122" s="493">
        <f t="shared" si="10"/>
        <v>400000000</v>
      </c>
      <c r="CF122" s="493">
        <f t="shared" si="10"/>
        <v>0</v>
      </c>
      <c r="CG122" s="493">
        <f t="shared" si="10"/>
        <v>0</v>
      </c>
      <c r="CH122" s="493">
        <f t="shared" si="9"/>
        <v>0</v>
      </c>
      <c r="CI122" s="493">
        <f t="shared" si="9"/>
        <v>0</v>
      </c>
      <c r="CJ122" s="493">
        <f t="shared" si="9"/>
        <v>0</v>
      </c>
      <c r="CK122" s="493">
        <f t="shared" si="9"/>
        <v>0</v>
      </c>
      <c r="CL122" s="493">
        <f t="shared" si="7"/>
        <v>0</v>
      </c>
      <c r="CM122" s="493">
        <f t="shared" si="6"/>
        <v>0</v>
      </c>
      <c r="CN122" s="493">
        <f t="shared" si="6"/>
        <v>0</v>
      </c>
      <c r="CO122" s="493">
        <f t="shared" si="6"/>
        <v>1600000000</v>
      </c>
      <c r="CP122" s="494">
        <v>16</v>
      </c>
      <c r="CQ122" s="494" t="s">
        <v>5355</v>
      </c>
    </row>
    <row r="123" spans="1:95" ht="30.45" hidden="1" customHeight="1" thickBot="1">
      <c r="A123" s="555" t="s">
        <v>4223</v>
      </c>
      <c r="B123" s="479">
        <v>121</v>
      </c>
      <c r="C123" s="480" t="s">
        <v>4004</v>
      </c>
      <c r="D123" s="480" t="s">
        <v>4199</v>
      </c>
      <c r="E123" s="480" t="str">
        <f t="shared" si="5"/>
        <v>1.6.3 </v>
      </c>
      <c r="F123" s="480" t="s">
        <v>4219</v>
      </c>
      <c r="G123" s="480" t="s">
        <v>4220</v>
      </c>
      <c r="H123" s="481">
        <v>45</v>
      </c>
      <c r="I123" s="480" t="s">
        <v>4180</v>
      </c>
      <c r="J123" s="495">
        <v>459903200</v>
      </c>
      <c r="K123" s="480" t="s">
        <v>4063</v>
      </c>
      <c r="L123" s="480" t="s">
        <v>4225</v>
      </c>
      <c r="M123" s="480" t="s">
        <v>6469</v>
      </c>
      <c r="N123" s="484">
        <v>2</v>
      </c>
      <c r="O123" s="480" t="s">
        <v>4222</v>
      </c>
      <c r="P123" s="500">
        <v>6</v>
      </c>
      <c r="Q123" s="485" t="s">
        <v>5349</v>
      </c>
      <c r="R123" s="485" t="s">
        <v>5371</v>
      </c>
      <c r="S123" s="485" t="s">
        <v>677</v>
      </c>
      <c r="T123" s="485">
        <v>0.38</v>
      </c>
      <c r="U123" s="485" t="s">
        <v>4222</v>
      </c>
      <c r="V123" s="485">
        <v>0.7</v>
      </c>
      <c r="W123" s="485" t="s">
        <v>5372</v>
      </c>
      <c r="X123" s="485">
        <v>16</v>
      </c>
      <c r="Y123" s="485" t="s">
        <v>5352</v>
      </c>
      <c r="Z123" s="486">
        <v>136008000</v>
      </c>
      <c r="AA123" s="486">
        <v>0</v>
      </c>
      <c r="AB123" s="486">
        <v>0</v>
      </c>
      <c r="AC123" s="486">
        <v>0</v>
      </c>
      <c r="AD123" s="486">
        <v>0</v>
      </c>
      <c r="AE123" s="486">
        <v>0</v>
      </c>
      <c r="AF123" s="486">
        <v>0</v>
      </c>
      <c r="AG123" s="486">
        <v>0</v>
      </c>
      <c r="AH123" s="487">
        <v>136008000</v>
      </c>
      <c r="AI123" s="486">
        <v>0</v>
      </c>
      <c r="AJ123" s="486"/>
      <c r="AK123" s="486">
        <v>0</v>
      </c>
      <c r="AL123" s="488">
        <v>0</v>
      </c>
      <c r="AM123" s="489">
        <v>136008000</v>
      </c>
      <c r="AN123" s="486">
        <v>194804000.46000001</v>
      </c>
      <c r="AO123" s="486">
        <v>0</v>
      </c>
      <c r="AP123" s="486">
        <v>0</v>
      </c>
      <c r="AQ123" s="486">
        <v>0</v>
      </c>
      <c r="AR123" s="486">
        <v>0</v>
      </c>
      <c r="AS123" s="486">
        <v>0</v>
      </c>
      <c r="AT123" s="486">
        <v>0</v>
      </c>
      <c r="AU123" s="486">
        <v>0</v>
      </c>
      <c r="AV123" s="487">
        <v>194804000.46000001</v>
      </c>
      <c r="AW123" s="486">
        <v>0</v>
      </c>
      <c r="AX123" s="486">
        <v>0</v>
      </c>
      <c r="AY123" s="486">
        <v>0</v>
      </c>
      <c r="AZ123" s="488">
        <v>0</v>
      </c>
      <c r="BA123" s="490">
        <v>194804000.46000001</v>
      </c>
      <c r="BB123" s="486">
        <v>194804000.46000001</v>
      </c>
      <c r="BC123" s="486">
        <v>0</v>
      </c>
      <c r="BD123" s="486">
        <v>0</v>
      </c>
      <c r="BE123" s="486">
        <v>0</v>
      </c>
      <c r="BF123" s="486">
        <v>0</v>
      </c>
      <c r="BG123" s="486">
        <v>0</v>
      </c>
      <c r="BH123" s="486">
        <v>0</v>
      </c>
      <c r="BI123" s="486">
        <v>0</v>
      </c>
      <c r="BJ123" s="487">
        <v>194804000.46000001</v>
      </c>
      <c r="BK123" s="486">
        <v>0</v>
      </c>
      <c r="BL123" s="486"/>
      <c r="BM123" s="486">
        <v>0</v>
      </c>
      <c r="BN123" s="488">
        <v>0</v>
      </c>
      <c r="BO123" s="490">
        <v>194804000.46000001</v>
      </c>
      <c r="BP123" s="486">
        <v>194804000.46000001</v>
      </c>
      <c r="BQ123" s="486">
        <v>0</v>
      </c>
      <c r="BR123" s="486">
        <v>0</v>
      </c>
      <c r="BS123" s="486">
        <v>0</v>
      </c>
      <c r="BT123" s="486">
        <v>0</v>
      </c>
      <c r="BU123" s="486">
        <v>0</v>
      </c>
      <c r="BV123" s="486">
        <v>0</v>
      </c>
      <c r="BW123" s="486">
        <v>0</v>
      </c>
      <c r="BX123" s="487">
        <v>194804000.46000001</v>
      </c>
      <c r="BY123" s="486">
        <v>0</v>
      </c>
      <c r="BZ123" s="486"/>
      <c r="CA123" s="486">
        <v>0</v>
      </c>
      <c r="CB123" s="488">
        <v>0</v>
      </c>
      <c r="CC123" s="491">
        <v>194804000.46000001</v>
      </c>
      <c r="CD123" s="492">
        <v>720420001.38</v>
      </c>
      <c r="CE123" s="493">
        <f t="shared" si="10"/>
        <v>720420001.38000011</v>
      </c>
      <c r="CF123" s="493">
        <f t="shared" si="10"/>
        <v>0</v>
      </c>
      <c r="CG123" s="493">
        <f t="shared" si="10"/>
        <v>0</v>
      </c>
      <c r="CH123" s="493">
        <f t="shared" si="9"/>
        <v>0</v>
      </c>
      <c r="CI123" s="493">
        <f t="shared" si="9"/>
        <v>0</v>
      </c>
      <c r="CJ123" s="493">
        <f t="shared" si="9"/>
        <v>0</v>
      </c>
      <c r="CK123" s="493">
        <f t="shared" si="9"/>
        <v>0</v>
      </c>
      <c r="CL123" s="493">
        <f t="shared" si="7"/>
        <v>0</v>
      </c>
      <c r="CM123" s="493">
        <f t="shared" si="6"/>
        <v>0</v>
      </c>
      <c r="CN123" s="493">
        <f t="shared" si="6"/>
        <v>0</v>
      </c>
      <c r="CO123" s="493">
        <f t="shared" si="6"/>
        <v>0</v>
      </c>
      <c r="CP123" s="494" t="s">
        <v>6240</v>
      </c>
      <c r="CQ123" s="494" t="s">
        <v>6241</v>
      </c>
    </row>
    <row r="124" spans="1:95" ht="30.45" hidden="1" customHeight="1" thickBot="1">
      <c r="A124" s="555" t="s">
        <v>4223</v>
      </c>
      <c r="B124" s="479">
        <v>122</v>
      </c>
      <c r="C124" s="480" t="s">
        <v>4004</v>
      </c>
      <c r="D124" s="480" t="s">
        <v>4199</v>
      </c>
      <c r="E124" s="480" t="str">
        <f t="shared" si="5"/>
        <v>1.6.3 </v>
      </c>
      <c r="F124" s="480" t="s">
        <v>4219</v>
      </c>
      <c r="G124" s="480" t="s">
        <v>4220</v>
      </c>
      <c r="H124" s="481">
        <v>45</v>
      </c>
      <c r="I124" s="480" t="s">
        <v>4180</v>
      </c>
      <c r="J124" s="495">
        <v>459903106</v>
      </c>
      <c r="K124" s="480" t="s">
        <v>4215</v>
      </c>
      <c r="L124" s="480" t="s">
        <v>4226</v>
      </c>
      <c r="M124" s="480" t="s">
        <v>6181</v>
      </c>
      <c r="N124" s="484">
        <v>1000</v>
      </c>
      <c r="O124" s="480" t="s">
        <v>4227</v>
      </c>
      <c r="P124" s="500">
        <v>3500</v>
      </c>
      <c r="Q124" s="485" t="s">
        <v>5349</v>
      </c>
      <c r="R124" s="485" t="s">
        <v>5371</v>
      </c>
      <c r="S124" s="485" t="s">
        <v>677</v>
      </c>
      <c r="T124" s="485">
        <v>0.38</v>
      </c>
      <c r="U124" s="485" t="s">
        <v>4222</v>
      </c>
      <c r="V124" s="485">
        <v>0.7</v>
      </c>
      <c r="W124" s="485" t="s">
        <v>5372</v>
      </c>
      <c r="X124" s="485">
        <v>16</v>
      </c>
      <c r="Y124" s="485" t="s">
        <v>5352</v>
      </c>
      <c r="Z124" s="486">
        <v>680040000</v>
      </c>
      <c r="AA124" s="486">
        <v>0</v>
      </c>
      <c r="AB124" s="486">
        <v>0</v>
      </c>
      <c r="AC124" s="486">
        <v>0</v>
      </c>
      <c r="AD124" s="486">
        <v>0</v>
      </c>
      <c r="AE124" s="486">
        <v>0</v>
      </c>
      <c r="AF124" s="486">
        <v>0</v>
      </c>
      <c r="AG124" s="486">
        <v>0</v>
      </c>
      <c r="AH124" s="487">
        <v>680040000</v>
      </c>
      <c r="AI124" s="486">
        <v>0</v>
      </c>
      <c r="AJ124" s="486"/>
      <c r="AK124" s="486">
        <v>0</v>
      </c>
      <c r="AL124" s="488">
        <v>0</v>
      </c>
      <c r="AM124" s="489">
        <v>680040000</v>
      </c>
      <c r="AN124" s="486">
        <v>680040000</v>
      </c>
      <c r="AO124" s="486">
        <v>0</v>
      </c>
      <c r="AP124" s="486">
        <v>0</v>
      </c>
      <c r="AQ124" s="486">
        <v>0</v>
      </c>
      <c r="AR124" s="486">
        <v>0</v>
      </c>
      <c r="AS124" s="486">
        <v>0</v>
      </c>
      <c r="AT124" s="486">
        <v>0</v>
      </c>
      <c r="AU124" s="486">
        <v>0</v>
      </c>
      <c r="AV124" s="487">
        <v>680040000</v>
      </c>
      <c r="AW124" s="486">
        <v>0</v>
      </c>
      <c r="AX124" s="486">
        <v>0</v>
      </c>
      <c r="AY124" s="486">
        <v>0</v>
      </c>
      <c r="AZ124" s="488">
        <v>0</v>
      </c>
      <c r="BA124" s="490">
        <v>680040000</v>
      </c>
      <c r="BB124" s="486">
        <v>680040000</v>
      </c>
      <c r="BC124" s="486">
        <v>0</v>
      </c>
      <c r="BD124" s="486">
        <v>0</v>
      </c>
      <c r="BE124" s="486">
        <v>0</v>
      </c>
      <c r="BF124" s="486">
        <v>0</v>
      </c>
      <c r="BG124" s="486">
        <v>0</v>
      </c>
      <c r="BH124" s="486">
        <v>0</v>
      </c>
      <c r="BI124" s="486">
        <v>0</v>
      </c>
      <c r="BJ124" s="487">
        <v>680040000</v>
      </c>
      <c r="BK124" s="486">
        <v>0</v>
      </c>
      <c r="BL124" s="486"/>
      <c r="BM124" s="486">
        <v>0</v>
      </c>
      <c r="BN124" s="488">
        <v>0</v>
      </c>
      <c r="BO124" s="490">
        <v>680040000</v>
      </c>
      <c r="BP124" s="486">
        <v>743633735.58000004</v>
      </c>
      <c r="BQ124" s="486">
        <v>0</v>
      </c>
      <c r="BR124" s="486">
        <v>0</v>
      </c>
      <c r="BS124" s="486">
        <v>0</v>
      </c>
      <c r="BT124" s="486">
        <v>0</v>
      </c>
      <c r="BU124" s="486">
        <v>0</v>
      </c>
      <c r="BV124" s="486">
        <v>0</v>
      </c>
      <c r="BW124" s="486">
        <v>0</v>
      </c>
      <c r="BX124" s="487">
        <v>743633735.58000004</v>
      </c>
      <c r="BY124" s="486">
        <v>0</v>
      </c>
      <c r="BZ124" s="486"/>
      <c r="CA124" s="486">
        <v>0</v>
      </c>
      <c r="CB124" s="488">
        <v>0</v>
      </c>
      <c r="CC124" s="491">
        <v>743633735.58000004</v>
      </c>
      <c r="CD124" s="492">
        <v>2783753735.5799999</v>
      </c>
      <c r="CE124" s="493">
        <f t="shared" si="10"/>
        <v>2783753735.5799999</v>
      </c>
      <c r="CF124" s="493">
        <f t="shared" si="10"/>
        <v>0</v>
      </c>
      <c r="CG124" s="493">
        <f t="shared" si="10"/>
        <v>0</v>
      </c>
      <c r="CH124" s="493">
        <f t="shared" si="9"/>
        <v>0</v>
      </c>
      <c r="CI124" s="493">
        <f t="shared" si="9"/>
        <v>0</v>
      </c>
      <c r="CJ124" s="493">
        <f t="shared" si="9"/>
        <v>0</v>
      </c>
      <c r="CK124" s="493">
        <f t="shared" si="9"/>
        <v>0</v>
      </c>
      <c r="CL124" s="493">
        <f t="shared" si="7"/>
        <v>0</v>
      </c>
      <c r="CM124" s="493">
        <f t="shared" si="6"/>
        <v>0</v>
      </c>
      <c r="CN124" s="493">
        <f t="shared" si="6"/>
        <v>0</v>
      </c>
      <c r="CO124" s="493">
        <f t="shared" si="6"/>
        <v>0</v>
      </c>
      <c r="CP124" s="494">
        <v>16</v>
      </c>
      <c r="CQ124" s="494" t="s">
        <v>5355</v>
      </c>
    </row>
    <row r="125" spans="1:95" ht="30.45" hidden="1" customHeight="1" thickBot="1">
      <c r="A125" s="555" t="s">
        <v>4223</v>
      </c>
      <c r="B125" s="479">
        <v>123</v>
      </c>
      <c r="C125" s="480" t="s">
        <v>4004</v>
      </c>
      <c r="D125" s="480" t="s">
        <v>4199</v>
      </c>
      <c r="E125" s="480" t="str">
        <f t="shared" si="5"/>
        <v>1.6.3 </v>
      </c>
      <c r="F125" s="480" t="s">
        <v>4219</v>
      </c>
      <c r="G125" s="480" t="s">
        <v>4220</v>
      </c>
      <c r="H125" s="481">
        <v>45</v>
      </c>
      <c r="I125" s="480" t="s">
        <v>4209</v>
      </c>
      <c r="J125" s="495">
        <v>450202207</v>
      </c>
      <c r="K125" s="480" t="s">
        <v>4228</v>
      </c>
      <c r="L125" s="480" t="s">
        <v>4229</v>
      </c>
      <c r="M125" s="480" t="s">
        <v>6182</v>
      </c>
      <c r="N125" s="484">
        <v>123</v>
      </c>
      <c r="O125" s="480" t="s">
        <v>4230</v>
      </c>
      <c r="P125" s="500">
        <v>123</v>
      </c>
      <c r="Q125" s="485" t="s">
        <v>5349</v>
      </c>
      <c r="R125" s="485" t="s">
        <v>5371</v>
      </c>
      <c r="S125" s="485" t="s">
        <v>677</v>
      </c>
      <c r="T125" s="485">
        <v>0.38</v>
      </c>
      <c r="U125" s="485" t="s">
        <v>4222</v>
      </c>
      <c r="V125" s="485">
        <v>0.7</v>
      </c>
      <c r="W125" s="485" t="s">
        <v>5372</v>
      </c>
      <c r="X125" s="485">
        <v>16</v>
      </c>
      <c r="Y125" s="485" t="s">
        <v>5352</v>
      </c>
      <c r="Z125" s="486">
        <v>181344000</v>
      </c>
      <c r="AA125" s="486">
        <v>0</v>
      </c>
      <c r="AB125" s="486">
        <v>0</v>
      </c>
      <c r="AC125" s="486">
        <v>0</v>
      </c>
      <c r="AD125" s="486">
        <v>0</v>
      </c>
      <c r="AE125" s="486">
        <v>0</v>
      </c>
      <c r="AF125" s="486">
        <v>0</v>
      </c>
      <c r="AG125" s="486">
        <v>0</v>
      </c>
      <c r="AH125" s="487">
        <v>181344000</v>
      </c>
      <c r="AI125" s="486">
        <v>0</v>
      </c>
      <c r="AJ125" s="486"/>
      <c r="AK125" s="486">
        <v>0</v>
      </c>
      <c r="AL125" s="488">
        <v>0</v>
      </c>
      <c r="AM125" s="489">
        <v>181344000</v>
      </c>
      <c r="AN125" s="486">
        <v>181344000</v>
      </c>
      <c r="AO125" s="486">
        <v>0</v>
      </c>
      <c r="AP125" s="486">
        <v>0</v>
      </c>
      <c r="AQ125" s="486">
        <v>0</v>
      </c>
      <c r="AR125" s="486">
        <v>0</v>
      </c>
      <c r="AS125" s="486">
        <v>0</v>
      </c>
      <c r="AT125" s="486">
        <v>0</v>
      </c>
      <c r="AU125" s="486">
        <v>0</v>
      </c>
      <c r="AV125" s="487">
        <v>181344000</v>
      </c>
      <c r="AW125" s="486">
        <v>0</v>
      </c>
      <c r="AX125" s="486">
        <v>0</v>
      </c>
      <c r="AY125" s="486">
        <v>0</v>
      </c>
      <c r="AZ125" s="488">
        <v>0</v>
      </c>
      <c r="BA125" s="490">
        <v>181344000</v>
      </c>
      <c r="BB125" s="486">
        <v>181344000</v>
      </c>
      <c r="BC125" s="486">
        <v>0</v>
      </c>
      <c r="BD125" s="486">
        <v>0</v>
      </c>
      <c r="BE125" s="486">
        <v>0</v>
      </c>
      <c r="BF125" s="486">
        <v>0</v>
      </c>
      <c r="BG125" s="486">
        <v>0</v>
      </c>
      <c r="BH125" s="486">
        <v>0</v>
      </c>
      <c r="BI125" s="486">
        <v>0</v>
      </c>
      <c r="BJ125" s="487">
        <v>181344000</v>
      </c>
      <c r="BK125" s="486">
        <v>0</v>
      </c>
      <c r="BL125" s="486"/>
      <c r="BM125" s="486">
        <v>0</v>
      </c>
      <c r="BN125" s="488">
        <v>0</v>
      </c>
      <c r="BO125" s="490">
        <v>181344000</v>
      </c>
      <c r="BP125" s="486">
        <v>181344000</v>
      </c>
      <c r="BQ125" s="486">
        <v>0</v>
      </c>
      <c r="BR125" s="486">
        <v>0</v>
      </c>
      <c r="BS125" s="486">
        <v>0</v>
      </c>
      <c r="BT125" s="486">
        <v>0</v>
      </c>
      <c r="BU125" s="486">
        <v>0</v>
      </c>
      <c r="BV125" s="486">
        <v>0</v>
      </c>
      <c r="BW125" s="486">
        <v>0</v>
      </c>
      <c r="BX125" s="487">
        <v>181344000</v>
      </c>
      <c r="BY125" s="486">
        <v>0</v>
      </c>
      <c r="BZ125" s="486"/>
      <c r="CA125" s="486">
        <v>0</v>
      </c>
      <c r="CB125" s="488">
        <v>0</v>
      </c>
      <c r="CC125" s="491">
        <v>181344000</v>
      </c>
      <c r="CD125" s="492">
        <v>725376000</v>
      </c>
      <c r="CE125" s="493">
        <f t="shared" si="10"/>
        <v>725376000</v>
      </c>
      <c r="CF125" s="493">
        <f t="shared" si="10"/>
        <v>0</v>
      </c>
      <c r="CG125" s="493">
        <f t="shared" si="10"/>
        <v>0</v>
      </c>
      <c r="CH125" s="493">
        <f t="shared" si="9"/>
        <v>0</v>
      </c>
      <c r="CI125" s="493">
        <f t="shared" si="9"/>
        <v>0</v>
      </c>
      <c r="CJ125" s="493">
        <f t="shared" si="9"/>
        <v>0</v>
      </c>
      <c r="CK125" s="493">
        <f t="shared" si="9"/>
        <v>0</v>
      </c>
      <c r="CL125" s="493">
        <f t="shared" si="7"/>
        <v>0</v>
      </c>
      <c r="CM125" s="493">
        <f t="shared" si="6"/>
        <v>0</v>
      </c>
      <c r="CN125" s="493">
        <f t="shared" si="6"/>
        <v>0</v>
      </c>
      <c r="CO125" s="493">
        <f t="shared" si="6"/>
        <v>0</v>
      </c>
      <c r="CP125" s="494">
        <v>16</v>
      </c>
      <c r="CQ125" s="494" t="s">
        <v>5355</v>
      </c>
    </row>
    <row r="126" spans="1:95" ht="30.45" hidden="1" customHeight="1" thickBot="1">
      <c r="A126" s="555" t="s">
        <v>4223</v>
      </c>
      <c r="B126" s="479">
        <v>124</v>
      </c>
      <c r="C126" s="480" t="s">
        <v>4004</v>
      </c>
      <c r="D126" s="480" t="s">
        <v>4199</v>
      </c>
      <c r="E126" s="480" t="str">
        <f t="shared" si="5"/>
        <v>1.6.3 </v>
      </c>
      <c r="F126" s="480" t="s">
        <v>4219</v>
      </c>
      <c r="G126" s="480" t="s">
        <v>4220</v>
      </c>
      <c r="H126" s="481">
        <v>45</v>
      </c>
      <c r="I126" s="480" t="s">
        <v>4209</v>
      </c>
      <c r="J126" s="495">
        <v>450200113</v>
      </c>
      <c r="K126" s="480" t="s">
        <v>4210</v>
      </c>
      <c r="L126" s="480" t="s">
        <v>6470</v>
      </c>
      <c r="M126" s="480" t="s">
        <v>6183</v>
      </c>
      <c r="N126" s="484">
        <v>1</v>
      </c>
      <c r="O126" s="514" t="s">
        <v>4231</v>
      </c>
      <c r="P126" s="500">
        <v>1</v>
      </c>
      <c r="Q126" s="485" t="s">
        <v>5349</v>
      </c>
      <c r="R126" s="485" t="s">
        <v>5371</v>
      </c>
      <c r="S126" s="485" t="s">
        <v>677</v>
      </c>
      <c r="T126" s="485">
        <v>0.38</v>
      </c>
      <c r="U126" s="485" t="s">
        <v>4222</v>
      </c>
      <c r="V126" s="485">
        <v>0.7</v>
      </c>
      <c r="W126" s="485" t="s">
        <v>5372</v>
      </c>
      <c r="X126" s="485">
        <v>16</v>
      </c>
      <c r="Y126" s="485" t="s">
        <v>5352</v>
      </c>
      <c r="Z126" s="486">
        <v>158832000</v>
      </c>
      <c r="AA126" s="486">
        <v>0</v>
      </c>
      <c r="AB126" s="486">
        <v>0</v>
      </c>
      <c r="AC126" s="486">
        <v>0</v>
      </c>
      <c r="AD126" s="486">
        <v>0</v>
      </c>
      <c r="AE126" s="486">
        <v>0</v>
      </c>
      <c r="AF126" s="486">
        <v>0</v>
      </c>
      <c r="AG126" s="486">
        <v>0</v>
      </c>
      <c r="AH126" s="487">
        <v>158832000</v>
      </c>
      <c r="AI126" s="486">
        <v>0</v>
      </c>
      <c r="AJ126" s="486"/>
      <c r="AK126" s="486">
        <v>300000000</v>
      </c>
      <c r="AL126" s="488">
        <v>300000000</v>
      </c>
      <c r="AM126" s="489">
        <v>458832000</v>
      </c>
      <c r="AN126" s="486">
        <v>158832000</v>
      </c>
      <c r="AO126" s="486">
        <v>0</v>
      </c>
      <c r="AP126" s="486">
        <v>0</v>
      </c>
      <c r="AQ126" s="486">
        <v>0</v>
      </c>
      <c r="AR126" s="486">
        <v>0</v>
      </c>
      <c r="AS126" s="486">
        <v>0</v>
      </c>
      <c r="AT126" s="486">
        <v>0</v>
      </c>
      <c r="AU126" s="486">
        <v>0</v>
      </c>
      <c r="AV126" s="487">
        <v>158832000</v>
      </c>
      <c r="AW126" s="486">
        <v>0</v>
      </c>
      <c r="AX126" s="486">
        <v>0</v>
      </c>
      <c r="AY126" s="486">
        <v>300000000</v>
      </c>
      <c r="AZ126" s="488">
        <v>300000000</v>
      </c>
      <c r="BA126" s="490">
        <v>458832000</v>
      </c>
      <c r="BB126" s="486">
        <v>158832000</v>
      </c>
      <c r="BC126" s="486">
        <v>0</v>
      </c>
      <c r="BD126" s="486">
        <v>0</v>
      </c>
      <c r="BE126" s="486">
        <v>0</v>
      </c>
      <c r="BF126" s="486">
        <v>0</v>
      </c>
      <c r="BG126" s="486">
        <v>0</v>
      </c>
      <c r="BH126" s="486">
        <v>0</v>
      </c>
      <c r="BI126" s="486">
        <v>0</v>
      </c>
      <c r="BJ126" s="487">
        <v>158832000</v>
      </c>
      <c r="BK126" s="486">
        <v>0</v>
      </c>
      <c r="BL126" s="486"/>
      <c r="BM126" s="486">
        <v>300000000</v>
      </c>
      <c r="BN126" s="488">
        <v>300000000</v>
      </c>
      <c r="BO126" s="490">
        <v>458832000</v>
      </c>
      <c r="BP126" s="486">
        <v>158832000</v>
      </c>
      <c r="BQ126" s="486">
        <v>0</v>
      </c>
      <c r="BR126" s="486">
        <v>0</v>
      </c>
      <c r="BS126" s="486">
        <v>0</v>
      </c>
      <c r="BT126" s="486">
        <v>0</v>
      </c>
      <c r="BU126" s="486">
        <v>0</v>
      </c>
      <c r="BV126" s="486">
        <v>0</v>
      </c>
      <c r="BW126" s="486">
        <v>0</v>
      </c>
      <c r="BX126" s="487">
        <v>158832000</v>
      </c>
      <c r="BY126" s="486">
        <v>0</v>
      </c>
      <c r="BZ126" s="486"/>
      <c r="CA126" s="486">
        <v>300000000</v>
      </c>
      <c r="CB126" s="488">
        <v>300000000</v>
      </c>
      <c r="CC126" s="491">
        <v>458832000</v>
      </c>
      <c r="CD126" s="492">
        <v>1835328000</v>
      </c>
      <c r="CE126" s="493">
        <f t="shared" si="10"/>
        <v>635328000</v>
      </c>
      <c r="CF126" s="493">
        <f t="shared" si="10"/>
        <v>0</v>
      </c>
      <c r="CG126" s="493">
        <f t="shared" si="10"/>
        <v>0</v>
      </c>
      <c r="CH126" s="493">
        <f t="shared" si="9"/>
        <v>0</v>
      </c>
      <c r="CI126" s="493">
        <f t="shared" si="9"/>
        <v>0</v>
      </c>
      <c r="CJ126" s="493">
        <f t="shared" si="9"/>
        <v>0</v>
      </c>
      <c r="CK126" s="493">
        <f t="shared" si="9"/>
        <v>0</v>
      </c>
      <c r="CL126" s="493">
        <f t="shared" si="7"/>
        <v>0</v>
      </c>
      <c r="CM126" s="493">
        <f t="shared" si="6"/>
        <v>0</v>
      </c>
      <c r="CN126" s="493">
        <f t="shared" si="6"/>
        <v>0</v>
      </c>
      <c r="CO126" s="493">
        <f t="shared" si="6"/>
        <v>1200000000</v>
      </c>
      <c r="CP126" s="502" t="s">
        <v>6242</v>
      </c>
      <c r="CQ126" s="502" t="s">
        <v>6243</v>
      </c>
    </row>
    <row r="127" spans="1:95" ht="30.45" hidden="1" customHeight="1" thickBot="1">
      <c r="A127" s="555" t="s">
        <v>4223</v>
      </c>
      <c r="B127" s="479">
        <v>125</v>
      </c>
      <c r="C127" s="480" t="s">
        <v>4004</v>
      </c>
      <c r="D127" s="480" t="s">
        <v>4199</v>
      </c>
      <c r="E127" s="480" t="str">
        <f t="shared" si="5"/>
        <v xml:space="preserve">1.6.4 </v>
      </c>
      <c r="F127" s="480" t="s">
        <v>4232</v>
      </c>
      <c r="G127" s="480" t="s">
        <v>4233</v>
      </c>
      <c r="H127" s="481">
        <v>45</v>
      </c>
      <c r="I127" s="480" t="s">
        <v>4209</v>
      </c>
      <c r="J127" s="495">
        <v>450200100</v>
      </c>
      <c r="K127" s="480" t="s">
        <v>4210</v>
      </c>
      <c r="L127" s="480" t="s">
        <v>4211</v>
      </c>
      <c r="M127" s="480" t="s">
        <v>5758</v>
      </c>
      <c r="N127" s="484">
        <v>12</v>
      </c>
      <c r="O127" s="480" t="s">
        <v>4234</v>
      </c>
      <c r="P127" s="500">
        <v>36</v>
      </c>
      <c r="Q127" s="485" t="s">
        <v>5349</v>
      </c>
      <c r="R127" s="485" t="s">
        <v>5373</v>
      </c>
      <c r="S127" s="485" t="s">
        <v>689</v>
      </c>
      <c r="T127" s="485">
        <v>98.1</v>
      </c>
      <c r="U127" s="485" t="s">
        <v>5374</v>
      </c>
      <c r="V127" s="485">
        <v>99.1</v>
      </c>
      <c r="W127" s="485" t="s">
        <v>5375</v>
      </c>
      <c r="X127" s="485">
        <v>16</v>
      </c>
      <c r="Y127" s="485" t="s">
        <v>5352</v>
      </c>
      <c r="Z127" s="486">
        <v>40919999</v>
      </c>
      <c r="AA127" s="486">
        <v>0</v>
      </c>
      <c r="AB127" s="486">
        <v>0</v>
      </c>
      <c r="AC127" s="486">
        <v>0</v>
      </c>
      <c r="AD127" s="486">
        <v>0</v>
      </c>
      <c r="AE127" s="486">
        <v>0</v>
      </c>
      <c r="AF127" s="486">
        <v>0</v>
      </c>
      <c r="AG127" s="486">
        <v>0</v>
      </c>
      <c r="AH127" s="487">
        <v>40919999</v>
      </c>
      <c r="AI127" s="486">
        <v>0</v>
      </c>
      <c r="AJ127" s="486">
        <v>0</v>
      </c>
      <c r="AK127" s="486">
        <v>0</v>
      </c>
      <c r="AL127" s="488">
        <v>0</v>
      </c>
      <c r="AM127" s="489">
        <v>40919999</v>
      </c>
      <c r="AN127" s="486">
        <v>99715998.5</v>
      </c>
      <c r="AO127" s="486">
        <v>0</v>
      </c>
      <c r="AP127" s="486">
        <v>0</v>
      </c>
      <c r="AQ127" s="486">
        <v>0</v>
      </c>
      <c r="AR127" s="486">
        <v>0</v>
      </c>
      <c r="AS127" s="486">
        <v>0</v>
      </c>
      <c r="AT127" s="486">
        <v>0</v>
      </c>
      <c r="AU127" s="486">
        <v>0</v>
      </c>
      <c r="AV127" s="487">
        <v>99715998.5</v>
      </c>
      <c r="AW127" s="486">
        <v>0</v>
      </c>
      <c r="AX127" s="486">
        <v>0</v>
      </c>
      <c r="AY127" s="486">
        <v>0</v>
      </c>
      <c r="AZ127" s="488">
        <v>0</v>
      </c>
      <c r="BA127" s="490">
        <v>99715998.5</v>
      </c>
      <c r="BB127" s="486">
        <v>99715998.5</v>
      </c>
      <c r="BC127" s="486">
        <v>0</v>
      </c>
      <c r="BD127" s="486">
        <v>0</v>
      </c>
      <c r="BE127" s="486">
        <v>0</v>
      </c>
      <c r="BF127" s="486">
        <v>0</v>
      </c>
      <c r="BG127" s="486">
        <v>0</v>
      </c>
      <c r="BH127" s="486">
        <v>0</v>
      </c>
      <c r="BI127" s="486">
        <v>0</v>
      </c>
      <c r="BJ127" s="487">
        <v>99715998.5</v>
      </c>
      <c r="BK127" s="486">
        <v>0</v>
      </c>
      <c r="BL127" s="486">
        <v>0</v>
      </c>
      <c r="BM127" s="486">
        <v>0</v>
      </c>
      <c r="BN127" s="488">
        <v>0</v>
      </c>
      <c r="BO127" s="490">
        <v>99715998.5</v>
      </c>
      <c r="BP127" s="486">
        <v>99715998.5</v>
      </c>
      <c r="BQ127" s="486">
        <v>0</v>
      </c>
      <c r="BR127" s="486">
        <v>0</v>
      </c>
      <c r="BS127" s="486">
        <v>0</v>
      </c>
      <c r="BT127" s="486">
        <v>0</v>
      </c>
      <c r="BU127" s="486">
        <v>0</v>
      </c>
      <c r="BV127" s="486">
        <v>0</v>
      </c>
      <c r="BW127" s="486">
        <v>0</v>
      </c>
      <c r="BX127" s="487">
        <v>99715998.5</v>
      </c>
      <c r="BY127" s="486">
        <v>0</v>
      </c>
      <c r="BZ127" s="486">
        <v>0</v>
      </c>
      <c r="CA127" s="486">
        <v>0</v>
      </c>
      <c r="CB127" s="488">
        <v>0</v>
      </c>
      <c r="CC127" s="491">
        <v>99715998.5</v>
      </c>
      <c r="CD127" s="492">
        <v>340067994.5</v>
      </c>
      <c r="CE127" s="493">
        <f t="shared" si="10"/>
        <v>340067994.5</v>
      </c>
      <c r="CF127" s="493">
        <f t="shared" si="10"/>
        <v>0</v>
      </c>
      <c r="CG127" s="493">
        <f t="shared" si="10"/>
        <v>0</v>
      </c>
      <c r="CH127" s="493">
        <f t="shared" si="9"/>
        <v>0</v>
      </c>
      <c r="CI127" s="493">
        <f t="shared" si="9"/>
        <v>0</v>
      </c>
      <c r="CJ127" s="493">
        <f t="shared" si="9"/>
        <v>0</v>
      </c>
      <c r="CK127" s="493">
        <f t="shared" si="9"/>
        <v>0</v>
      </c>
      <c r="CL127" s="493">
        <f t="shared" si="7"/>
        <v>0</v>
      </c>
      <c r="CM127" s="493">
        <f t="shared" si="6"/>
        <v>0</v>
      </c>
      <c r="CN127" s="493">
        <f t="shared" si="6"/>
        <v>0</v>
      </c>
      <c r="CO127" s="493">
        <f t="shared" si="6"/>
        <v>0</v>
      </c>
      <c r="CP127" s="494">
        <v>16</v>
      </c>
      <c r="CQ127" s="494" t="s">
        <v>5355</v>
      </c>
    </row>
    <row r="128" spans="1:95" ht="30.45" hidden="1" customHeight="1" thickBot="1">
      <c r="A128" s="555" t="s">
        <v>4223</v>
      </c>
      <c r="B128" s="479">
        <v>126</v>
      </c>
      <c r="C128" s="480" t="s">
        <v>4004</v>
      </c>
      <c r="D128" s="480" t="s">
        <v>4199</v>
      </c>
      <c r="E128" s="480" t="str">
        <f t="shared" si="5"/>
        <v xml:space="preserve">1.6.4 </v>
      </c>
      <c r="F128" s="480" t="s">
        <v>4232</v>
      </c>
      <c r="G128" s="480" t="s">
        <v>4233</v>
      </c>
      <c r="H128" s="481">
        <v>45</v>
      </c>
      <c r="I128" s="480" t="s">
        <v>4209</v>
      </c>
      <c r="J128" s="495">
        <v>450200110</v>
      </c>
      <c r="K128" s="480" t="s">
        <v>4210</v>
      </c>
      <c r="L128" s="480" t="s">
        <v>4212</v>
      </c>
      <c r="M128" s="480" t="s">
        <v>5759</v>
      </c>
      <c r="N128" s="484">
        <v>125</v>
      </c>
      <c r="O128" s="480" t="s">
        <v>4235</v>
      </c>
      <c r="P128" s="500">
        <v>125</v>
      </c>
      <c r="Q128" s="485" t="s">
        <v>5349</v>
      </c>
      <c r="R128" s="485" t="s">
        <v>5373</v>
      </c>
      <c r="S128" s="485" t="s">
        <v>689</v>
      </c>
      <c r="T128" s="485">
        <v>98.1</v>
      </c>
      <c r="U128" s="485" t="s">
        <v>5374</v>
      </c>
      <c r="V128" s="485">
        <v>99.1</v>
      </c>
      <c r="W128" s="485" t="s">
        <v>5375</v>
      </c>
      <c r="X128" s="485">
        <v>16</v>
      </c>
      <c r="Y128" s="485" t="s">
        <v>5352</v>
      </c>
      <c r="Z128" s="486">
        <v>45336000</v>
      </c>
      <c r="AA128" s="486">
        <v>0</v>
      </c>
      <c r="AB128" s="486">
        <v>0</v>
      </c>
      <c r="AC128" s="486">
        <v>0</v>
      </c>
      <c r="AD128" s="486">
        <v>0</v>
      </c>
      <c r="AE128" s="486">
        <v>0</v>
      </c>
      <c r="AF128" s="486">
        <v>0</v>
      </c>
      <c r="AG128" s="486">
        <v>0</v>
      </c>
      <c r="AH128" s="487">
        <v>45336000</v>
      </c>
      <c r="AI128" s="486">
        <v>0</v>
      </c>
      <c r="AJ128" s="486">
        <v>0</v>
      </c>
      <c r="AK128" s="486">
        <v>0</v>
      </c>
      <c r="AL128" s="488">
        <v>0</v>
      </c>
      <c r="AM128" s="489">
        <v>45336000</v>
      </c>
      <c r="AN128" s="486">
        <v>45336000</v>
      </c>
      <c r="AO128" s="486">
        <v>0</v>
      </c>
      <c r="AP128" s="486">
        <v>0</v>
      </c>
      <c r="AQ128" s="486">
        <v>0</v>
      </c>
      <c r="AR128" s="486">
        <v>0</v>
      </c>
      <c r="AS128" s="486">
        <v>0</v>
      </c>
      <c r="AT128" s="486">
        <v>0</v>
      </c>
      <c r="AU128" s="486">
        <v>0</v>
      </c>
      <c r="AV128" s="487">
        <v>45336000</v>
      </c>
      <c r="AW128" s="486">
        <v>0</v>
      </c>
      <c r="AX128" s="486">
        <v>0</v>
      </c>
      <c r="AY128" s="486">
        <v>0</v>
      </c>
      <c r="AZ128" s="488">
        <v>0</v>
      </c>
      <c r="BA128" s="490">
        <v>45336000</v>
      </c>
      <c r="BB128" s="486">
        <v>45336000</v>
      </c>
      <c r="BC128" s="486">
        <v>0</v>
      </c>
      <c r="BD128" s="486">
        <v>0</v>
      </c>
      <c r="BE128" s="486">
        <v>0</v>
      </c>
      <c r="BF128" s="486">
        <v>0</v>
      </c>
      <c r="BG128" s="486">
        <v>0</v>
      </c>
      <c r="BH128" s="486">
        <v>0</v>
      </c>
      <c r="BI128" s="486">
        <v>0</v>
      </c>
      <c r="BJ128" s="487">
        <v>45336000</v>
      </c>
      <c r="BK128" s="486">
        <v>0</v>
      </c>
      <c r="BL128" s="486">
        <v>0</v>
      </c>
      <c r="BM128" s="486">
        <v>0</v>
      </c>
      <c r="BN128" s="488">
        <v>0</v>
      </c>
      <c r="BO128" s="490">
        <v>45336000</v>
      </c>
      <c r="BP128" s="486">
        <v>45336000</v>
      </c>
      <c r="BQ128" s="486">
        <v>0</v>
      </c>
      <c r="BR128" s="486">
        <v>0</v>
      </c>
      <c r="BS128" s="486">
        <v>0</v>
      </c>
      <c r="BT128" s="486">
        <v>0</v>
      </c>
      <c r="BU128" s="486">
        <v>0</v>
      </c>
      <c r="BV128" s="486">
        <v>0</v>
      </c>
      <c r="BW128" s="486">
        <v>0</v>
      </c>
      <c r="BX128" s="487">
        <v>45336000</v>
      </c>
      <c r="BY128" s="486">
        <v>0</v>
      </c>
      <c r="BZ128" s="486">
        <v>0</v>
      </c>
      <c r="CA128" s="486">
        <v>0</v>
      </c>
      <c r="CB128" s="488">
        <v>0</v>
      </c>
      <c r="CC128" s="491">
        <v>45336000</v>
      </c>
      <c r="CD128" s="492">
        <v>181344000</v>
      </c>
      <c r="CE128" s="493">
        <f t="shared" si="10"/>
        <v>181344000</v>
      </c>
      <c r="CF128" s="493">
        <f t="shared" si="10"/>
        <v>0</v>
      </c>
      <c r="CG128" s="493">
        <f t="shared" si="10"/>
        <v>0</v>
      </c>
      <c r="CH128" s="493">
        <f t="shared" si="9"/>
        <v>0</v>
      </c>
      <c r="CI128" s="493">
        <f t="shared" si="9"/>
        <v>0</v>
      </c>
      <c r="CJ128" s="493">
        <f t="shared" si="9"/>
        <v>0</v>
      </c>
      <c r="CK128" s="493">
        <f t="shared" si="9"/>
        <v>0</v>
      </c>
      <c r="CL128" s="493">
        <f t="shared" si="7"/>
        <v>0</v>
      </c>
      <c r="CM128" s="493">
        <f t="shared" si="6"/>
        <v>0</v>
      </c>
      <c r="CN128" s="493">
        <f t="shared" si="6"/>
        <v>0</v>
      </c>
      <c r="CO128" s="493">
        <f t="shared" si="6"/>
        <v>0</v>
      </c>
      <c r="CP128" s="494">
        <v>16</v>
      </c>
      <c r="CQ128" s="494" t="s">
        <v>5355</v>
      </c>
    </row>
    <row r="129" spans="1:95" ht="30.45" hidden="1" customHeight="1" thickBot="1">
      <c r="A129" s="555" t="s">
        <v>4223</v>
      </c>
      <c r="B129" s="479">
        <v>127</v>
      </c>
      <c r="C129" s="480" t="s">
        <v>4004</v>
      </c>
      <c r="D129" s="480" t="s">
        <v>4199</v>
      </c>
      <c r="E129" s="480" t="str">
        <f t="shared" si="5"/>
        <v xml:space="preserve">1.6.4 </v>
      </c>
      <c r="F129" s="480" t="s">
        <v>4232</v>
      </c>
      <c r="G129" s="480" t="s">
        <v>4233</v>
      </c>
      <c r="H129" s="481">
        <v>45</v>
      </c>
      <c r="I129" s="480" t="s">
        <v>4209</v>
      </c>
      <c r="J129" s="495">
        <v>450200113</v>
      </c>
      <c r="K129" s="480" t="s">
        <v>4210</v>
      </c>
      <c r="L129" s="480" t="s">
        <v>4236</v>
      </c>
      <c r="M129" s="480" t="s">
        <v>6471</v>
      </c>
      <c r="N129" s="484">
        <v>8</v>
      </c>
      <c r="O129" s="480" t="s">
        <v>4237</v>
      </c>
      <c r="P129" s="500">
        <v>26</v>
      </c>
      <c r="Q129" s="485" t="s">
        <v>5349</v>
      </c>
      <c r="R129" s="485" t="s">
        <v>5373</v>
      </c>
      <c r="S129" s="485" t="s">
        <v>689</v>
      </c>
      <c r="T129" s="485">
        <v>98.1</v>
      </c>
      <c r="U129" s="485" t="s">
        <v>5374</v>
      </c>
      <c r="V129" s="485">
        <v>99.1</v>
      </c>
      <c r="W129" s="485" t="s">
        <v>5375</v>
      </c>
      <c r="X129" s="485">
        <v>16</v>
      </c>
      <c r="Y129" s="485" t="s">
        <v>5352</v>
      </c>
      <c r="Z129" s="486">
        <v>40000000</v>
      </c>
      <c r="AA129" s="486">
        <v>0</v>
      </c>
      <c r="AB129" s="486">
        <v>0</v>
      </c>
      <c r="AC129" s="486">
        <v>0</v>
      </c>
      <c r="AD129" s="486">
        <v>0</v>
      </c>
      <c r="AE129" s="486">
        <v>0</v>
      </c>
      <c r="AF129" s="486">
        <v>0</v>
      </c>
      <c r="AG129" s="486">
        <v>0</v>
      </c>
      <c r="AH129" s="487">
        <v>40000000</v>
      </c>
      <c r="AI129" s="486">
        <v>0</v>
      </c>
      <c r="AJ129" s="486">
        <v>0</v>
      </c>
      <c r="AK129" s="486">
        <v>0</v>
      </c>
      <c r="AL129" s="488">
        <v>0</v>
      </c>
      <c r="AM129" s="489">
        <v>40000000</v>
      </c>
      <c r="AN129" s="486">
        <v>40000000</v>
      </c>
      <c r="AO129" s="486">
        <v>0</v>
      </c>
      <c r="AP129" s="486">
        <v>0</v>
      </c>
      <c r="AQ129" s="486">
        <v>0</v>
      </c>
      <c r="AR129" s="486">
        <v>0</v>
      </c>
      <c r="AS129" s="486">
        <v>0</v>
      </c>
      <c r="AT129" s="486">
        <v>0</v>
      </c>
      <c r="AU129" s="486">
        <v>0</v>
      </c>
      <c r="AV129" s="487">
        <v>40000000</v>
      </c>
      <c r="AW129" s="486">
        <v>0</v>
      </c>
      <c r="AX129" s="486">
        <v>0</v>
      </c>
      <c r="AY129" s="486">
        <v>0</v>
      </c>
      <c r="AZ129" s="488">
        <v>0</v>
      </c>
      <c r="BA129" s="490">
        <v>40000000</v>
      </c>
      <c r="BB129" s="486">
        <v>40000000</v>
      </c>
      <c r="BC129" s="486">
        <v>0</v>
      </c>
      <c r="BD129" s="486">
        <v>0</v>
      </c>
      <c r="BE129" s="486">
        <v>0</v>
      </c>
      <c r="BF129" s="486">
        <v>0</v>
      </c>
      <c r="BG129" s="486">
        <v>0</v>
      </c>
      <c r="BH129" s="486">
        <v>0</v>
      </c>
      <c r="BI129" s="486">
        <v>0</v>
      </c>
      <c r="BJ129" s="487">
        <v>40000000</v>
      </c>
      <c r="BK129" s="486">
        <v>0</v>
      </c>
      <c r="BL129" s="486">
        <v>0</v>
      </c>
      <c r="BM129" s="486">
        <v>0</v>
      </c>
      <c r="BN129" s="488">
        <v>0</v>
      </c>
      <c r="BO129" s="490">
        <v>40000000</v>
      </c>
      <c r="BP129" s="486">
        <v>40000000</v>
      </c>
      <c r="BQ129" s="486">
        <v>0</v>
      </c>
      <c r="BR129" s="486">
        <v>0</v>
      </c>
      <c r="BS129" s="486">
        <v>0</v>
      </c>
      <c r="BT129" s="486">
        <v>0</v>
      </c>
      <c r="BU129" s="486">
        <v>0</v>
      </c>
      <c r="BV129" s="486">
        <v>0</v>
      </c>
      <c r="BW129" s="486">
        <v>0</v>
      </c>
      <c r="BX129" s="487">
        <v>40000000</v>
      </c>
      <c r="BY129" s="486">
        <v>0</v>
      </c>
      <c r="BZ129" s="486">
        <v>0</v>
      </c>
      <c r="CA129" s="486">
        <v>0</v>
      </c>
      <c r="CB129" s="488">
        <v>0</v>
      </c>
      <c r="CC129" s="491">
        <v>40000000</v>
      </c>
      <c r="CD129" s="492">
        <v>160000000</v>
      </c>
      <c r="CE129" s="493">
        <f t="shared" si="10"/>
        <v>160000000</v>
      </c>
      <c r="CF129" s="493">
        <f t="shared" si="10"/>
        <v>0</v>
      </c>
      <c r="CG129" s="493">
        <f t="shared" si="10"/>
        <v>0</v>
      </c>
      <c r="CH129" s="493">
        <f t="shared" si="9"/>
        <v>0</v>
      </c>
      <c r="CI129" s="493">
        <f t="shared" si="9"/>
        <v>0</v>
      </c>
      <c r="CJ129" s="493">
        <f t="shared" si="9"/>
        <v>0</v>
      </c>
      <c r="CK129" s="493">
        <f t="shared" si="9"/>
        <v>0</v>
      </c>
      <c r="CL129" s="493">
        <f t="shared" si="7"/>
        <v>0</v>
      </c>
      <c r="CM129" s="493">
        <f t="shared" si="6"/>
        <v>0</v>
      </c>
      <c r="CN129" s="493">
        <f t="shared" si="6"/>
        <v>0</v>
      </c>
      <c r="CO129" s="493">
        <f t="shared" si="6"/>
        <v>0</v>
      </c>
      <c r="CP129" s="494">
        <v>16</v>
      </c>
      <c r="CQ129" s="494" t="s">
        <v>5355</v>
      </c>
    </row>
    <row r="130" spans="1:95" ht="30.45" hidden="1" customHeight="1" thickBot="1">
      <c r="A130" s="555" t="s">
        <v>4223</v>
      </c>
      <c r="B130" s="479">
        <v>128</v>
      </c>
      <c r="C130" s="480" t="s">
        <v>4004</v>
      </c>
      <c r="D130" s="480" t="s">
        <v>4199</v>
      </c>
      <c r="E130" s="480" t="str">
        <f t="shared" si="5"/>
        <v xml:space="preserve">1.6.4 </v>
      </c>
      <c r="F130" s="480" t="s">
        <v>4232</v>
      </c>
      <c r="G130" s="480" t="s">
        <v>4233</v>
      </c>
      <c r="H130" s="481">
        <v>45</v>
      </c>
      <c r="I130" s="480" t="s">
        <v>4209</v>
      </c>
      <c r="J130" s="495">
        <v>450203000</v>
      </c>
      <c r="K130" s="480" t="s">
        <v>4063</v>
      </c>
      <c r="L130" s="480" t="s">
        <v>4238</v>
      </c>
      <c r="M130" s="480" t="s">
        <v>5760</v>
      </c>
      <c r="N130" s="484">
        <v>1</v>
      </c>
      <c r="O130" s="480" t="s">
        <v>4239</v>
      </c>
      <c r="P130" s="500">
        <v>3</v>
      </c>
      <c r="Q130" s="485" t="s">
        <v>5349</v>
      </c>
      <c r="R130" s="485" t="s">
        <v>5373</v>
      </c>
      <c r="S130" s="485" t="s">
        <v>689</v>
      </c>
      <c r="T130" s="485">
        <v>98.1</v>
      </c>
      <c r="U130" s="485" t="s">
        <v>5374</v>
      </c>
      <c r="V130" s="485">
        <v>99.1</v>
      </c>
      <c r="W130" s="485" t="s">
        <v>5375</v>
      </c>
      <c r="X130" s="485">
        <v>16</v>
      </c>
      <c r="Y130" s="485" t="s">
        <v>5352</v>
      </c>
      <c r="Z130" s="486">
        <v>90672000</v>
      </c>
      <c r="AA130" s="486">
        <v>0</v>
      </c>
      <c r="AB130" s="486">
        <v>0</v>
      </c>
      <c r="AC130" s="486">
        <v>0</v>
      </c>
      <c r="AD130" s="486">
        <v>0</v>
      </c>
      <c r="AE130" s="486">
        <v>0</v>
      </c>
      <c r="AF130" s="486">
        <v>0</v>
      </c>
      <c r="AG130" s="486">
        <v>0</v>
      </c>
      <c r="AH130" s="487">
        <v>90672000</v>
      </c>
      <c r="AI130" s="486">
        <v>0</v>
      </c>
      <c r="AJ130" s="486">
        <v>0</v>
      </c>
      <c r="AK130" s="486">
        <v>0</v>
      </c>
      <c r="AL130" s="488">
        <v>0</v>
      </c>
      <c r="AM130" s="489">
        <v>90672000</v>
      </c>
      <c r="AN130" s="486">
        <v>90672000</v>
      </c>
      <c r="AO130" s="486">
        <v>0</v>
      </c>
      <c r="AP130" s="486">
        <v>0</v>
      </c>
      <c r="AQ130" s="486">
        <v>0</v>
      </c>
      <c r="AR130" s="486">
        <v>0</v>
      </c>
      <c r="AS130" s="486">
        <v>0</v>
      </c>
      <c r="AT130" s="486">
        <v>0</v>
      </c>
      <c r="AU130" s="486">
        <v>0</v>
      </c>
      <c r="AV130" s="487">
        <v>90672000</v>
      </c>
      <c r="AW130" s="486">
        <v>0</v>
      </c>
      <c r="AX130" s="486">
        <v>0</v>
      </c>
      <c r="AY130" s="486">
        <v>0</v>
      </c>
      <c r="AZ130" s="488">
        <v>0</v>
      </c>
      <c r="BA130" s="490">
        <v>90672000</v>
      </c>
      <c r="BB130" s="486">
        <v>90672000</v>
      </c>
      <c r="BC130" s="486">
        <v>0</v>
      </c>
      <c r="BD130" s="486">
        <v>0</v>
      </c>
      <c r="BE130" s="486">
        <v>0</v>
      </c>
      <c r="BF130" s="486">
        <v>0</v>
      </c>
      <c r="BG130" s="486">
        <v>0</v>
      </c>
      <c r="BH130" s="486">
        <v>0</v>
      </c>
      <c r="BI130" s="486">
        <v>0</v>
      </c>
      <c r="BJ130" s="487">
        <v>90672000</v>
      </c>
      <c r="BK130" s="486">
        <v>0</v>
      </c>
      <c r="BL130" s="486">
        <v>0</v>
      </c>
      <c r="BM130" s="486">
        <v>0</v>
      </c>
      <c r="BN130" s="488">
        <v>0</v>
      </c>
      <c r="BO130" s="490">
        <v>90672000</v>
      </c>
      <c r="BP130" s="486">
        <v>90672000</v>
      </c>
      <c r="BQ130" s="486">
        <v>0</v>
      </c>
      <c r="BR130" s="486">
        <v>0</v>
      </c>
      <c r="BS130" s="486">
        <v>0</v>
      </c>
      <c r="BT130" s="486">
        <v>0</v>
      </c>
      <c r="BU130" s="486">
        <v>0</v>
      </c>
      <c r="BV130" s="486">
        <v>0</v>
      </c>
      <c r="BW130" s="486">
        <v>0</v>
      </c>
      <c r="BX130" s="487">
        <v>90672000</v>
      </c>
      <c r="BY130" s="486">
        <v>0</v>
      </c>
      <c r="BZ130" s="486">
        <v>0</v>
      </c>
      <c r="CA130" s="486">
        <v>0</v>
      </c>
      <c r="CB130" s="488">
        <v>0</v>
      </c>
      <c r="CC130" s="491">
        <v>90672000</v>
      </c>
      <c r="CD130" s="492">
        <v>362688000</v>
      </c>
      <c r="CE130" s="493">
        <f t="shared" si="10"/>
        <v>362688000</v>
      </c>
      <c r="CF130" s="493">
        <f t="shared" si="10"/>
        <v>0</v>
      </c>
      <c r="CG130" s="493">
        <f t="shared" si="10"/>
        <v>0</v>
      </c>
      <c r="CH130" s="493">
        <f t="shared" si="9"/>
        <v>0</v>
      </c>
      <c r="CI130" s="493">
        <f t="shared" si="9"/>
        <v>0</v>
      </c>
      <c r="CJ130" s="493">
        <f t="shared" si="9"/>
        <v>0</v>
      </c>
      <c r="CK130" s="493">
        <f t="shared" si="9"/>
        <v>0</v>
      </c>
      <c r="CL130" s="493">
        <f t="shared" si="7"/>
        <v>0</v>
      </c>
      <c r="CM130" s="493">
        <f t="shared" si="6"/>
        <v>0</v>
      </c>
      <c r="CN130" s="493">
        <f t="shared" si="6"/>
        <v>0</v>
      </c>
      <c r="CO130" s="493">
        <f t="shared" si="6"/>
        <v>0</v>
      </c>
      <c r="CP130" s="494">
        <v>16</v>
      </c>
      <c r="CQ130" s="494" t="s">
        <v>6244</v>
      </c>
    </row>
    <row r="131" spans="1:95" ht="30.45" hidden="1" customHeight="1" thickBot="1">
      <c r="A131" s="555" t="s">
        <v>4223</v>
      </c>
      <c r="B131" s="479">
        <v>129</v>
      </c>
      <c r="C131" s="480" t="s">
        <v>4004</v>
      </c>
      <c r="D131" s="480" t="s">
        <v>4199</v>
      </c>
      <c r="E131" s="480" t="str">
        <f t="shared" si="5"/>
        <v xml:space="preserve">1.6.4 </v>
      </c>
      <c r="F131" s="480" t="s">
        <v>4232</v>
      </c>
      <c r="G131" s="480" t="s">
        <v>4233</v>
      </c>
      <c r="H131" s="481">
        <v>45</v>
      </c>
      <c r="I131" s="480" t="s">
        <v>4209</v>
      </c>
      <c r="J131" s="495">
        <v>450203200</v>
      </c>
      <c r="K131" s="480" t="s">
        <v>4063</v>
      </c>
      <c r="L131" s="480" t="s">
        <v>4112</v>
      </c>
      <c r="M131" s="480" t="s">
        <v>5761</v>
      </c>
      <c r="N131" s="499">
        <v>0</v>
      </c>
      <c r="O131" s="480" t="s">
        <v>4240</v>
      </c>
      <c r="P131" s="500">
        <v>2</v>
      </c>
      <c r="Q131" s="485" t="s">
        <v>5349</v>
      </c>
      <c r="R131" s="485" t="s">
        <v>5373</v>
      </c>
      <c r="S131" s="485" t="s">
        <v>689</v>
      </c>
      <c r="T131" s="485">
        <v>98.1</v>
      </c>
      <c r="U131" s="485" t="s">
        <v>5374</v>
      </c>
      <c r="V131" s="485">
        <v>99.1</v>
      </c>
      <c r="W131" s="485" t="s">
        <v>5375</v>
      </c>
      <c r="X131" s="485">
        <v>16</v>
      </c>
      <c r="Y131" s="485" t="s">
        <v>5352</v>
      </c>
      <c r="Z131" s="486">
        <v>40000000</v>
      </c>
      <c r="AA131" s="486">
        <v>0</v>
      </c>
      <c r="AB131" s="486">
        <v>0</v>
      </c>
      <c r="AC131" s="486">
        <v>0</v>
      </c>
      <c r="AD131" s="486">
        <v>0</v>
      </c>
      <c r="AE131" s="486">
        <v>0</v>
      </c>
      <c r="AF131" s="486">
        <v>0</v>
      </c>
      <c r="AG131" s="486">
        <v>0</v>
      </c>
      <c r="AH131" s="487">
        <v>40000000</v>
      </c>
      <c r="AI131" s="486">
        <v>0</v>
      </c>
      <c r="AJ131" s="486">
        <v>0</v>
      </c>
      <c r="AK131" s="486">
        <v>0</v>
      </c>
      <c r="AL131" s="488">
        <v>0</v>
      </c>
      <c r="AM131" s="489">
        <v>40000000</v>
      </c>
      <c r="AN131" s="486">
        <v>40000000</v>
      </c>
      <c r="AO131" s="486">
        <v>0</v>
      </c>
      <c r="AP131" s="486">
        <v>0</v>
      </c>
      <c r="AQ131" s="486">
        <v>0</v>
      </c>
      <c r="AR131" s="486">
        <v>0</v>
      </c>
      <c r="AS131" s="486">
        <v>0</v>
      </c>
      <c r="AT131" s="486">
        <v>0</v>
      </c>
      <c r="AU131" s="486">
        <v>0</v>
      </c>
      <c r="AV131" s="487">
        <v>40000000</v>
      </c>
      <c r="AW131" s="486">
        <v>0</v>
      </c>
      <c r="AX131" s="486">
        <v>0</v>
      </c>
      <c r="AY131" s="486">
        <v>0</v>
      </c>
      <c r="AZ131" s="488">
        <v>0</v>
      </c>
      <c r="BA131" s="490">
        <v>40000000</v>
      </c>
      <c r="BB131" s="486">
        <v>40000000</v>
      </c>
      <c r="BC131" s="486">
        <v>0</v>
      </c>
      <c r="BD131" s="486">
        <v>0</v>
      </c>
      <c r="BE131" s="486">
        <v>0</v>
      </c>
      <c r="BF131" s="486">
        <v>0</v>
      </c>
      <c r="BG131" s="486">
        <v>0</v>
      </c>
      <c r="BH131" s="486">
        <v>0</v>
      </c>
      <c r="BI131" s="486">
        <v>0</v>
      </c>
      <c r="BJ131" s="487">
        <v>40000000</v>
      </c>
      <c r="BK131" s="486">
        <v>0</v>
      </c>
      <c r="BL131" s="486">
        <v>0</v>
      </c>
      <c r="BM131" s="486">
        <v>0</v>
      </c>
      <c r="BN131" s="488">
        <v>0</v>
      </c>
      <c r="BO131" s="490">
        <v>40000000</v>
      </c>
      <c r="BP131" s="486">
        <v>40000000</v>
      </c>
      <c r="BQ131" s="486">
        <v>0</v>
      </c>
      <c r="BR131" s="486">
        <v>0</v>
      </c>
      <c r="BS131" s="486">
        <v>0</v>
      </c>
      <c r="BT131" s="486">
        <v>0</v>
      </c>
      <c r="BU131" s="486">
        <v>0</v>
      </c>
      <c r="BV131" s="486">
        <v>0</v>
      </c>
      <c r="BW131" s="486">
        <v>0</v>
      </c>
      <c r="BX131" s="487">
        <v>40000000</v>
      </c>
      <c r="BY131" s="486">
        <v>0</v>
      </c>
      <c r="BZ131" s="486">
        <v>0</v>
      </c>
      <c r="CA131" s="486">
        <v>0</v>
      </c>
      <c r="CB131" s="488">
        <v>0</v>
      </c>
      <c r="CC131" s="491">
        <v>40000000</v>
      </c>
      <c r="CD131" s="492">
        <v>160000000</v>
      </c>
      <c r="CE131" s="493">
        <f t="shared" si="10"/>
        <v>160000000</v>
      </c>
      <c r="CF131" s="493">
        <f t="shared" si="10"/>
        <v>0</v>
      </c>
      <c r="CG131" s="493">
        <f t="shared" si="10"/>
        <v>0</v>
      </c>
      <c r="CH131" s="493">
        <f t="shared" si="9"/>
        <v>0</v>
      </c>
      <c r="CI131" s="493">
        <f t="shared" si="9"/>
        <v>0</v>
      </c>
      <c r="CJ131" s="493">
        <f t="shared" si="9"/>
        <v>0</v>
      </c>
      <c r="CK131" s="493">
        <f t="shared" si="9"/>
        <v>0</v>
      </c>
      <c r="CL131" s="493">
        <f t="shared" si="7"/>
        <v>0</v>
      </c>
      <c r="CM131" s="493">
        <f t="shared" si="6"/>
        <v>0</v>
      </c>
      <c r="CN131" s="493">
        <f t="shared" si="6"/>
        <v>0</v>
      </c>
      <c r="CO131" s="493">
        <f t="shared" si="6"/>
        <v>0</v>
      </c>
      <c r="CP131" s="494">
        <v>16</v>
      </c>
      <c r="CQ131" s="494" t="s">
        <v>6244</v>
      </c>
    </row>
    <row r="132" spans="1:95" ht="30.45" hidden="1" customHeight="1" thickBot="1">
      <c r="A132" s="555" t="s">
        <v>4223</v>
      </c>
      <c r="B132" s="479">
        <v>130</v>
      </c>
      <c r="C132" s="480" t="s">
        <v>4004</v>
      </c>
      <c r="D132" s="480" t="s">
        <v>4199</v>
      </c>
      <c r="E132" s="480" t="str">
        <f t="shared" ref="E132:E195" si="11">MID(F132,1,6)</f>
        <v xml:space="preserve">1.6.4 </v>
      </c>
      <c r="F132" s="480" t="s">
        <v>4232</v>
      </c>
      <c r="G132" s="480" t="s">
        <v>4233</v>
      </c>
      <c r="H132" s="481">
        <v>45</v>
      </c>
      <c r="I132" s="480" t="s">
        <v>4209</v>
      </c>
      <c r="J132" s="495">
        <v>450200109</v>
      </c>
      <c r="K132" s="480" t="s">
        <v>4210</v>
      </c>
      <c r="L132" s="480" t="s">
        <v>4221</v>
      </c>
      <c r="M132" s="480" t="s">
        <v>5762</v>
      </c>
      <c r="N132" s="484">
        <v>1</v>
      </c>
      <c r="O132" s="480" t="s">
        <v>4241</v>
      </c>
      <c r="P132" s="500">
        <v>33</v>
      </c>
      <c r="Q132" s="485" t="s">
        <v>5349</v>
      </c>
      <c r="R132" s="485" t="s">
        <v>5373</v>
      </c>
      <c r="S132" s="485" t="s">
        <v>689</v>
      </c>
      <c r="T132" s="485">
        <v>98.1</v>
      </c>
      <c r="U132" s="485" t="s">
        <v>5374</v>
      </c>
      <c r="V132" s="485">
        <v>99.1</v>
      </c>
      <c r="W132" s="485" t="s">
        <v>5375</v>
      </c>
      <c r="X132" s="485">
        <v>16</v>
      </c>
      <c r="Y132" s="485" t="s">
        <v>5352</v>
      </c>
      <c r="Z132" s="486">
        <v>83760000</v>
      </c>
      <c r="AA132" s="486">
        <v>0</v>
      </c>
      <c r="AB132" s="486">
        <v>0</v>
      </c>
      <c r="AC132" s="486">
        <v>0</v>
      </c>
      <c r="AD132" s="486">
        <v>0</v>
      </c>
      <c r="AE132" s="486">
        <v>0</v>
      </c>
      <c r="AF132" s="486">
        <v>0</v>
      </c>
      <c r="AG132" s="486">
        <v>0</v>
      </c>
      <c r="AH132" s="487">
        <v>83760000</v>
      </c>
      <c r="AI132" s="486">
        <v>0</v>
      </c>
      <c r="AJ132" s="486">
        <v>0</v>
      </c>
      <c r="AK132" s="486">
        <v>0</v>
      </c>
      <c r="AL132" s="488">
        <v>0</v>
      </c>
      <c r="AM132" s="489">
        <v>83760000</v>
      </c>
      <c r="AN132" s="486">
        <v>83760000</v>
      </c>
      <c r="AO132" s="486">
        <v>0</v>
      </c>
      <c r="AP132" s="486">
        <v>0</v>
      </c>
      <c r="AQ132" s="486">
        <v>0</v>
      </c>
      <c r="AR132" s="486">
        <v>0</v>
      </c>
      <c r="AS132" s="486">
        <v>0</v>
      </c>
      <c r="AT132" s="486">
        <v>0</v>
      </c>
      <c r="AU132" s="486">
        <v>0</v>
      </c>
      <c r="AV132" s="487">
        <v>83760000</v>
      </c>
      <c r="AW132" s="486">
        <v>0</v>
      </c>
      <c r="AX132" s="486">
        <v>0</v>
      </c>
      <c r="AY132" s="486">
        <v>0</v>
      </c>
      <c r="AZ132" s="488">
        <v>0</v>
      </c>
      <c r="BA132" s="490">
        <v>83760000</v>
      </c>
      <c r="BB132" s="486">
        <v>144907839.97999999</v>
      </c>
      <c r="BC132" s="486">
        <v>0</v>
      </c>
      <c r="BD132" s="486">
        <v>0</v>
      </c>
      <c r="BE132" s="486">
        <v>0</v>
      </c>
      <c r="BF132" s="486">
        <v>0</v>
      </c>
      <c r="BG132" s="486">
        <v>0</v>
      </c>
      <c r="BH132" s="486">
        <v>0</v>
      </c>
      <c r="BI132" s="486">
        <v>0</v>
      </c>
      <c r="BJ132" s="487">
        <v>144907839.97999999</v>
      </c>
      <c r="BK132" s="486">
        <v>0</v>
      </c>
      <c r="BL132" s="486">
        <v>0</v>
      </c>
      <c r="BM132" s="486">
        <v>0</v>
      </c>
      <c r="BN132" s="488">
        <v>0</v>
      </c>
      <c r="BO132" s="490">
        <v>144907839.97999999</v>
      </c>
      <c r="BP132" s="486">
        <v>144907839.97999999</v>
      </c>
      <c r="BQ132" s="486">
        <v>0</v>
      </c>
      <c r="BR132" s="486">
        <v>0</v>
      </c>
      <c r="BS132" s="486">
        <v>0</v>
      </c>
      <c r="BT132" s="486">
        <v>0</v>
      </c>
      <c r="BU132" s="486">
        <v>0</v>
      </c>
      <c r="BV132" s="486">
        <v>0</v>
      </c>
      <c r="BW132" s="486">
        <v>0</v>
      </c>
      <c r="BX132" s="487">
        <v>144907839.97999999</v>
      </c>
      <c r="BY132" s="486">
        <v>0</v>
      </c>
      <c r="BZ132" s="486">
        <v>0</v>
      </c>
      <c r="CA132" s="486">
        <v>0</v>
      </c>
      <c r="CB132" s="488">
        <v>0</v>
      </c>
      <c r="CC132" s="491">
        <v>144907839.97999999</v>
      </c>
      <c r="CD132" s="492">
        <v>457335679.95999998</v>
      </c>
      <c r="CE132" s="493">
        <f t="shared" si="10"/>
        <v>457335679.96000004</v>
      </c>
      <c r="CF132" s="493">
        <f t="shared" si="10"/>
        <v>0</v>
      </c>
      <c r="CG132" s="493">
        <f t="shared" si="10"/>
        <v>0</v>
      </c>
      <c r="CH132" s="493">
        <f t="shared" si="9"/>
        <v>0</v>
      </c>
      <c r="CI132" s="493">
        <f t="shared" si="9"/>
        <v>0</v>
      </c>
      <c r="CJ132" s="493">
        <f t="shared" si="9"/>
        <v>0</v>
      </c>
      <c r="CK132" s="493">
        <f t="shared" si="9"/>
        <v>0</v>
      </c>
      <c r="CL132" s="493">
        <f t="shared" si="7"/>
        <v>0</v>
      </c>
      <c r="CM132" s="493">
        <f t="shared" ref="CM132:CO195" si="12">AI132+AW132+BK132+BY132</f>
        <v>0</v>
      </c>
      <c r="CN132" s="493">
        <f t="shared" si="12"/>
        <v>0</v>
      </c>
      <c r="CO132" s="493">
        <f t="shared" si="12"/>
        <v>0</v>
      </c>
      <c r="CP132" s="494">
        <v>16</v>
      </c>
      <c r="CQ132" s="494" t="s">
        <v>6244</v>
      </c>
    </row>
    <row r="133" spans="1:95" ht="30.45" hidden="1" customHeight="1" thickBot="1">
      <c r="A133" s="555" t="s">
        <v>4223</v>
      </c>
      <c r="B133" s="479">
        <v>131</v>
      </c>
      <c r="C133" s="480" t="s">
        <v>4004</v>
      </c>
      <c r="D133" s="480" t="s">
        <v>4199</v>
      </c>
      <c r="E133" s="480" t="str">
        <f t="shared" si="11"/>
        <v xml:space="preserve">1.6.4 </v>
      </c>
      <c r="F133" s="480" t="s">
        <v>4232</v>
      </c>
      <c r="G133" s="480" t="s">
        <v>4233</v>
      </c>
      <c r="H133" s="481">
        <v>41</v>
      </c>
      <c r="I133" s="480" t="s">
        <v>4242</v>
      </c>
      <c r="J133" s="495">
        <v>410204700</v>
      </c>
      <c r="K133" s="480" t="s">
        <v>4243</v>
      </c>
      <c r="L133" s="480" t="s">
        <v>4244</v>
      </c>
      <c r="M133" s="480" t="s">
        <v>6472</v>
      </c>
      <c r="N133" s="484">
        <v>65</v>
      </c>
      <c r="O133" s="480" t="s">
        <v>4245</v>
      </c>
      <c r="P133" s="500" t="s">
        <v>4105</v>
      </c>
      <c r="Q133" s="485" t="s">
        <v>5349</v>
      </c>
      <c r="R133" s="485" t="s">
        <v>5373</v>
      </c>
      <c r="S133" s="485" t="s">
        <v>689</v>
      </c>
      <c r="T133" s="485">
        <v>98.1</v>
      </c>
      <c r="U133" s="485" t="s">
        <v>5374</v>
      </c>
      <c r="V133" s="485">
        <v>99.1</v>
      </c>
      <c r="W133" s="485" t="s">
        <v>5375</v>
      </c>
      <c r="X133" s="485">
        <v>16</v>
      </c>
      <c r="Y133" s="485" t="s">
        <v>5352</v>
      </c>
      <c r="Z133" s="486">
        <v>47640000</v>
      </c>
      <c r="AA133" s="486">
        <v>0</v>
      </c>
      <c r="AB133" s="486">
        <v>0</v>
      </c>
      <c r="AC133" s="486">
        <v>0</v>
      </c>
      <c r="AD133" s="486">
        <v>0</v>
      </c>
      <c r="AE133" s="486">
        <v>0</v>
      </c>
      <c r="AF133" s="486">
        <v>0</v>
      </c>
      <c r="AG133" s="486">
        <v>0</v>
      </c>
      <c r="AH133" s="487">
        <v>47640000</v>
      </c>
      <c r="AI133" s="486">
        <v>0</v>
      </c>
      <c r="AJ133" s="486">
        <v>0</v>
      </c>
      <c r="AK133" s="486">
        <v>0</v>
      </c>
      <c r="AL133" s="488">
        <v>0</v>
      </c>
      <c r="AM133" s="489">
        <v>47640000</v>
      </c>
      <c r="AN133" s="486">
        <v>47640000</v>
      </c>
      <c r="AO133" s="486">
        <v>0</v>
      </c>
      <c r="AP133" s="486">
        <v>0</v>
      </c>
      <c r="AQ133" s="486">
        <v>0</v>
      </c>
      <c r="AR133" s="486">
        <v>0</v>
      </c>
      <c r="AS133" s="486">
        <v>0</v>
      </c>
      <c r="AT133" s="486">
        <v>0</v>
      </c>
      <c r="AU133" s="486">
        <v>0</v>
      </c>
      <c r="AV133" s="487">
        <v>47640000</v>
      </c>
      <c r="AW133" s="486">
        <v>0</v>
      </c>
      <c r="AX133" s="486">
        <v>0</v>
      </c>
      <c r="AY133" s="486">
        <v>0</v>
      </c>
      <c r="AZ133" s="488">
        <v>0</v>
      </c>
      <c r="BA133" s="490">
        <v>47640000</v>
      </c>
      <c r="BB133" s="486">
        <v>47640000</v>
      </c>
      <c r="BC133" s="486">
        <v>0</v>
      </c>
      <c r="BD133" s="486">
        <v>0</v>
      </c>
      <c r="BE133" s="486">
        <v>0</v>
      </c>
      <c r="BF133" s="486">
        <v>0</v>
      </c>
      <c r="BG133" s="486">
        <v>0</v>
      </c>
      <c r="BH133" s="486">
        <v>0</v>
      </c>
      <c r="BI133" s="486">
        <v>0</v>
      </c>
      <c r="BJ133" s="487">
        <v>47640000</v>
      </c>
      <c r="BK133" s="486">
        <v>0</v>
      </c>
      <c r="BL133" s="486">
        <v>0</v>
      </c>
      <c r="BM133" s="486">
        <v>0</v>
      </c>
      <c r="BN133" s="488">
        <v>0</v>
      </c>
      <c r="BO133" s="490">
        <v>47640000</v>
      </c>
      <c r="BP133" s="486">
        <v>47640000</v>
      </c>
      <c r="BQ133" s="486">
        <v>0</v>
      </c>
      <c r="BR133" s="486">
        <v>0</v>
      </c>
      <c r="BS133" s="486">
        <v>0</v>
      </c>
      <c r="BT133" s="486">
        <v>0</v>
      </c>
      <c r="BU133" s="486">
        <v>0</v>
      </c>
      <c r="BV133" s="486">
        <v>0</v>
      </c>
      <c r="BW133" s="486">
        <v>0</v>
      </c>
      <c r="BX133" s="487">
        <v>47640000</v>
      </c>
      <c r="BY133" s="486">
        <v>0</v>
      </c>
      <c r="BZ133" s="486">
        <v>0</v>
      </c>
      <c r="CA133" s="486">
        <v>0</v>
      </c>
      <c r="CB133" s="488">
        <v>0</v>
      </c>
      <c r="CC133" s="491">
        <v>47640000</v>
      </c>
      <c r="CD133" s="492">
        <v>190560000</v>
      </c>
      <c r="CE133" s="493">
        <f t="shared" si="10"/>
        <v>190560000</v>
      </c>
      <c r="CF133" s="493">
        <f t="shared" si="10"/>
        <v>0</v>
      </c>
      <c r="CG133" s="493">
        <f t="shared" si="10"/>
        <v>0</v>
      </c>
      <c r="CH133" s="493">
        <f t="shared" si="9"/>
        <v>0</v>
      </c>
      <c r="CI133" s="493">
        <f t="shared" si="9"/>
        <v>0</v>
      </c>
      <c r="CJ133" s="493">
        <f t="shared" si="9"/>
        <v>0</v>
      </c>
      <c r="CK133" s="493">
        <f t="shared" si="9"/>
        <v>0</v>
      </c>
      <c r="CL133" s="493">
        <f t="shared" si="7"/>
        <v>0</v>
      </c>
      <c r="CM133" s="493">
        <f t="shared" si="12"/>
        <v>0</v>
      </c>
      <c r="CN133" s="493">
        <f t="shared" si="12"/>
        <v>0</v>
      </c>
      <c r="CO133" s="493">
        <f t="shared" si="12"/>
        <v>0</v>
      </c>
      <c r="CP133" s="494">
        <v>16</v>
      </c>
      <c r="CQ133" s="494" t="s">
        <v>5355</v>
      </c>
    </row>
    <row r="134" spans="1:95" ht="30.45" hidden="1" customHeight="1" thickBot="1">
      <c r="A134" s="555" t="s">
        <v>4223</v>
      </c>
      <c r="B134" s="479">
        <v>132</v>
      </c>
      <c r="C134" s="480" t="s">
        <v>4004</v>
      </c>
      <c r="D134" s="480" t="s">
        <v>4199</v>
      </c>
      <c r="E134" s="480" t="str">
        <f t="shared" si="11"/>
        <v xml:space="preserve">1.6.4 </v>
      </c>
      <c r="F134" s="480" t="s">
        <v>4232</v>
      </c>
      <c r="G134" s="480" t="s">
        <v>4233</v>
      </c>
      <c r="H134" s="481">
        <v>41</v>
      </c>
      <c r="I134" s="480" t="s">
        <v>4242</v>
      </c>
      <c r="J134" s="495">
        <v>410204502</v>
      </c>
      <c r="K134" s="480" t="s">
        <v>4008</v>
      </c>
      <c r="L134" s="480" t="s">
        <v>4246</v>
      </c>
      <c r="M134" s="480" t="s">
        <v>6473</v>
      </c>
      <c r="N134" s="484">
        <v>830</v>
      </c>
      <c r="O134" s="480" t="s">
        <v>4247</v>
      </c>
      <c r="P134" s="500">
        <v>3030</v>
      </c>
      <c r="Q134" s="485" t="s">
        <v>5349</v>
      </c>
      <c r="R134" s="485" t="s">
        <v>5373</v>
      </c>
      <c r="S134" s="485" t="s">
        <v>689</v>
      </c>
      <c r="T134" s="485">
        <v>98.1</v>
      </c>
      <c r="U134" s="485" t="s">
        <v>5374</v>
      </c>
      <c r="V134" s="485">
        <v>99.1</v>
      </c>
      <c r="W134" s="485" t="s">
        <v>5375</v>
      </c>
      <c r="X134" s="485">
        <v>16</v>
      </c>
      <c r="Y134" s="485" t="s">
        <v>5352</v>
      </c>
      <c r="Z134" s="486">
        <v>79344000</v>
      </c>
      <c r="AA134" s="486">
        <v>0</v>
      </c>
      <c r="AB134" s="486">
        <v>0</v>
      </c>
      <c r="AC134" s="486">
        <v>0</v>
      </c>
      <c r="AD134" s="486">
        <v>0</v>
      </c>
      <c r="AE134" s="486">
        <v>0</v>
      </c>
      <c r="AF134" s="486">
        <v>0</v>
      </c>
      <c r="AG134" s="486">
        <v>0</v>
      </c>
      <c r="AH134" s="487">
        <v>79344000</v>
      </c>
      <c r="AI134" s="486">
        <v>0</v>
      </c>
      <c r="AJ134" s="486">
        <v>0</v>
      </c>
      <c r="AK134" s="486">
        <v>0</v>
      </c>
      <c r="AL134" s="488">
        <v>0</v>
      </c>
      <c r="AM134" s="489">
        <v>79344000</v>
      </c>
      <c r="AN134" s="486">
        <v>79344000</v>
      </c>
      <c r="AO134" s="486">
        <v>0</v>
      </c>
      <c r="AP134" s="486">
        <v>0</v>
      </c>
      <c r="AQ134" s="486">
        <v>0</v>
      </c>
      <c r="AR134" s="486">
        <v>0</v>
      </c>
      <c r="AS134" s="486">
        <v>0</v>
      </c>
      <c r="AT134" s="486">
        <v>0</v>
      </c>
      <c r="AU134" s="486">
        <v>0</v>
      </c>
      <c r="AV134" s="487">
        <v>79344000</v>
      </c>
      <c r="AW134" s="486">
        <v>0</v>
      </c>
      <c r="AX134" s="486">
        <v>0</v>
      </c>
      <c r="AY134" s="486">
        <v>0</v>
      </c>
      <c r="AZ134" s="488">
        <v>0</v>
      </c>
      <c r="BA134" s="490">
        <v>79344000</v>
      </c>
      <c r="BB134" s="486">
        <v>79344000</v>
      </c>
      <c r="BC134" s="486">
        <v>0</v>
      </c>
      <c r="BD134" s="486">
        <v>0</v>
      </c>
      <c r="BE134" s="486">
        <v>0</v>
      </c>
      <c r="BF134" s="486">
        <v>0</v>
      </c>
      <c r="BG134" s="486">
        <v>0</v>
      </c>
      <c r="BH134" s="486">
        <v>0</v>
      </c>
      <c r="BI134" s="486">
        <v>0</v>
      </c>
      <c r="BJ134" s="487">
        <v>79344000</v>
      </c>
      <c r="BK134" s="486">
        <v>0</v>
      </c>
      <c r="BL134" s="486">
        <v>0</v>
      </c>
      <c r="BM134" s="486">
        <v>0</v>
      </c>
      <c r="BN134" s="488">
        <v>0</v>
      </c>
      <c r="BO134" s="490">
        <v>79344000</v>
      </c>
      <c r="BP134" s="486">
        <v>79344000</v>
      </c>
      <c r="BQ134" s="486">
        <v>0</v>
      </c>
      <c r="BR134" s="486">
        <v>0</v>
      </c>
      <c r="BS134" s="486">
        <v>0</v>
      </c>
      <c r="BT134" s="486">
        <v>0</v>
      </c>
      <c r="BU134" s="486">
        <v>0</v>
      </c>
      <c r="BV134" s="486">
        <v>0</v>
      </c>
      <c r="BW134" s="486">
        <v>0</v>
      </c>
      <c r="BX134" s="487">
        <v>79344000</v>
      </c>
      <c r="BY134" s="486">
        <v>0</v>
      </c>
      <c r="BZ134" s="486">
        <v>0</v>
      </c>
      <c r="CA134" s="486">
        <v>0</v>
      </c>
      <c r="CB134" s="488">
        <v>0</v>
      </c>
      <c r="CC134" s="491">
        <v>79344000</v>
      </c>
      <c r="CD134" s="492">
        <v>317376000</v>
      </c>
      <c r="CE134" s="493">
        <f t="shared" si="10"/>
        <v>317376000</v>
      </c>
      <c r="CF134" s="493">
        <f t="shared" si="10"/>
        <v>0</v>
      </c>
      <c r="CG134" s="493">
        <f t="shared" si="10"/>
        <v>0</v>
      </c>
      <c r="CH134" s="493">
        <f t="shared" si="9"/>
        <v>0</v>
      </c>
      <c r="CI134" s="493">
        <f t="shared" si="9"/>
        <v>0</v>
      </c>
      <c r="CJ134" s="493">
        <f t="shared" si="9"/>
        <v>0</v>
      </c>
      <c r="CK134" s="493">
        <f t="shared" si="9"/>
        <v>0</v>
      </c>
      <c r="CL134" s="493">
        <f t="shared" si="7"/>
        <v>0</v>
      </c>
      <c r="CM134" s="493">
        <f t="shared" si="12"/>
        <v>0</v>
      </c>
      <c r="CN134" s="493">
        <f t="shared" si="12"/>
        <v>0</v>
      </c>
      <c r="CO134" s="493">
        <f t="shared" si="12"/>
        <v>0</v>
      </c>
      <c r="CP134" s="494">
        <v>16</v>
      </c>
      <c r="CQ134" s="494" t="s">
        <v>5355</v>
      </c>
    </row>
    <row r="135" spans="1:95" ht="30.45" hidden="1" customHeight="1" thickBot="1">
      <c r="A135" s="555" t="s">
        <v>4254</v>
      </c>
      <c r="B135" s="479">
        <v>133</v>
      </c>
      <c r="C135" s="480" t="s">
        <v>4004</v>
      </c>
      <c r="D135" s="480" t="s">
        <v>4199</v>
      </c>
      <c r="E135" s="480" t="str">
        <f t="shared" si="11"/>
        <v xml:space="preserve">1.6.5 </v>
      </c>
      <c r="F135" s="480" t="s">
        <v>4248</v>
      </c>
      <c r="G135" s="480" t="s">
        <v>4249</v>
      </c>
      <c r="H135" s="481">
        <v>40</v>
      </c>
      <c r="I135" s="480" t="s">
        <v>4250</v>
      </c>
      <c r="J135" s="495">
        <v>400305500</v>
      </c>
      <c r="K135" s="480" t="s">
        <v>4251</v>
      </c>
      <c r="L135" s="480" t="s">
        <v>4252</v>
      </c>
      <c r="M135" s="480" t="s">
        <v>5763</v>
      </c>
      <c r="N135" s="484">
        <v>40</v>
      </c>
      <c r="O135" s="480" t="s">
        <v>4253</v>
      </c>
      <c r="P135" s="500">
        <v>60</v>
      </c>
      <c r="Q135" s="485" t="s">
        <v>5349</v>
      </c>
      <c r="R135" s="485" t="s">
        <v>5376</v>
      </c>
      <c r="S135" s="485" t="s">
        <v>683</v>
      </c>
      <c r="T135" s="485">
        <v>40</v>
      </c>
      <c r="U135" s="485" t="s">
        <v>4253</v>
      </c>
      <c r="V135" s="485">
        <v>60</v>
      </c>
      <c r="W135" s="485" t="s">
        <v>5331</v>
      </c>
      <c r="X135" s="485" t="s">
        <v>5377</v>
      </c>
      <c r="Y135" s="485" t="s">
        <v>5377</v>
      </c>
      <c r="Z135" s="486">
        <v>0</v>
      </c>
      <c r="AA135" s="486">
        <v>0</v>
      </c>
      <c r="AB135" s="486">
        <v>0</v>
      </c>
      <c r="AC135" s="486">
        <v>0</v>
      </c>
      <c r="AD135" s="486">
        <v>300000000</v>
      </c>
      <c r="AE135" s="486">
        <v>0</v>
      </c>
      <c r="AF135" s="486">
        <v>0</v>
      </c>
      <c r="AG135" s="486">
        <v>0</v>
      </c>
      <c r="AH135" s="487">
        <v>300000000</v>
      </c>
      <c r="AI135" s="486">
        <v>0</v>
      </c>
      <c r="AJ135" s="486">
        <v>0</v>
      </c>
      <c r="AK135" s="486">
        <v>0</v>
      </c>
      <c r="AL135" s="488">
        <v>0</v>
      </c>
      <c r="AM135" s="489">
        <v>300000000</v>
      </c>
      <c r="AN135" s="486">
        <v>0</v>
      </c>
      <c r="AO135" s="486">
        <v>0</v>
      </c>
      <c r="AP135" s="486">
        <v>0</v>
      </c>
      <c r="AQ135" s="486">
        <v>0</v>
      </c>
      <c r="AR135" s="486">
        <v>500000000</v>
      </c>
      <c r="AS135" s="486">
        <v>0</v>
      </c>
      <c r="AT135" s="486">
        <v>0</v>
      </c>
      <c r="AU135" s="486">
        <v>0</v>
      </c>
      <c r="AV135" s="487">
        <v>500000000</v>
      </c>
      <c r="AW135" s="486">
        <v>0</v>
      </c>
      <c r="AX135" s="486">
        <v>0</v>
      </c>
      <c r="AY135" s="486">
        <v>0</v>
      </c>
      <c r="AZ135" s="488">
        <v>0</v>
      </c>
      <c r="BA135" s="490">
        <v>500000000</v>
      </c>
      <c r="BB135" s="486">
        <v>0</v>
      </c>
      <c r="BC135" s="486">
        <v>0</v>
      </c>
      <c r="BD135" s="486">
        <v>0</v>
      </c>
      <c r="BE135" s="486">
        <v>0</v>
      </c>
      <c r="BF135" s="486">
        <v>500000000</v>
      </c>
      <c r="BG135" s="486">
        <v>0</v>
      </c>
      <c r="BH135" s="486">
        <v>0</v>
      </c>
      <c r="BI135" s="486">
        <v>0</v>
      </c>
      <c r="BJ135" s="487">
        <v>500000000</v>
      </c>
      <c r="BK135" s="486">
        <v>0</v>
      </c>
      <c r="BL135" s="486">
        <v>0</v>
      </c>
      <c r="BM135" s="486">
        <v>0</v>
      </c>
      <c r="BN135" s="488">
        <v>0</v>
      </c>
      <c r="BO135" s="490">
        <v>500000000</v>
      </c>
      <c r="BP135" s="486">
        <v>0</v>
      </c>
      <c r="BQ135" s="486">
        <v>0</v>
      </c>
      <c r="BR135" s="486">
        <v>0</v>
      </c>
      <c r="BS135" s="486">
        <v>0</v>
      </c>
      <c r="BT135" s="486">
        <v>600000000</v>
      </c>
      <c r="BU135" s="486">
        <v>0</v>
      </c>
      <c r="BV135" s="486">
        <v>0</v>
      </c>
      <c r="BW135" s="486">
        <v>0</v>
      </c>
      <c r="BX135" s="487">
        <v>600000000</v>
      </c>
      <c r="BY135" s="486">
        <v>0</v>
      </c>
      <c r="BZ135" s="486">
        <v>0</v>
      </c>
      <c r="CA135" s="486">
        <v>0</v>
      </c>
      <c r="CB135" s="488">
        <v>0</v>
      </c>
      <c r="CC135" s="491">
        <v>600000000</v>
      </c>
      <c r="CD135" s="492">
        <v>1900000000</v>
      </c>
      <c r="CE135" s="493">
        <f t="shared" si="10"/>
        <v>0</v>
      </c>
      <c r="CF135" s="493">
        <f t="shared" si="10"/>
        <v>0</v>
      </c>
      <c r="CG135" s="493">
        <f t="shared" si="10"/>
        <v>0</v>
      </c>
      <c r="CH135" s="493">
        <f t="shared" si="9"/>
        <v>0</v>
      </c>
      <c r="CI135" s="493">
        <f t="shared" si="9"/>
        <v>1900000000</v>
      </c>
      <c r="CJ135" s="493">
        <f t="shared" si="9"/>
        <v>0</v>
      </c>
      <c r="CK135" s="493">
        <f t="shared" si="9"/>
        <v>0</v>
      </c>
      <c r="CL135" s="493">
        <f t="shared" si="7"/>
        <v>0</v>
      </c>
      <c r="CM135" s="493">
        <f t="shared" si="12"/>
        <v>0</v>
      </c>
      <c r="CN135" s="493">
        <f t="shared" si="12"/>
        <v>0</v>
      </c>
      <c r="CO135" s="493">
        <f t="shared" si="12"/>
        <v>0</v>
      </c>
      <c r="CP135" s="494" t="s">
        <v>6245</v>
      </c>
      <c r="CQ135" s="494" t="s">
        <v>6246</v>
      </c>
    </row>
    <row r="136" spans="1:95" ht="30.45" hidden="1" customHeight="1" thickBot="1">
      <c r="A136" s="555" t="s">
        <v>4262</v>
      </c>
      <c r="B136" s="479">
        <v>134</v>
      </c>
      <c r="C136" s="480" t="s">
        <v>4255</v>
      </c>
      <c r="D136" s="480" t="s">
        <v>4256</v>
      </c>
      <c r="E136" s="480" t="str">
        <f t="shared" si="11"/>
        <v xml:space="preserve">2.1.1 </v>
      </c>
      <c r="F136" s="480" t="s">
        <v>4257</v>
      </c>
      <c r="G136" s="480" t="s">
        <v>4258</v>
      </c>
      <c r="H136" s="481">
        <v>21</v>
      </c>
      <c r="I136" s="480" t="s">
        <v>4259</v>
      </c>
      <c r="J136" s="495">
        <v>210400900</v>
      </c>
      <c r="K136" s="480" t="s">
        <v>4015</v>
      </c>
      <c r="L136" s="480" t="s">
        <v>4260</v>
      </c>
      <c r="M136" s="480" t="s">
        <v>5764</v>
      </c>
      <c r="N136" s="484">
        <v>16</v>
      </c>
      <c r="O136" s="480" t="s">
        <v>4261</v>
      </c>
      <c r="P136" s="500">
        <v>26</v>
      </c>
      <c r="Q136" s="485">
        <v>120200019</v>
      </c>
      <c r="R136" s="485" t="s">
        <v>5378</v>
      </c>
      <c r="S136" s="485" t="s">
        <v>677</v>
      </c>
      <c r="T136" s="485">
        <v>10.439</v>
      </c>
      <c r="U136" s="485" t="s">
        <v>5379</v>
      </c>
      <c r="V136" s="485">
        <v>10.439</v>
      </c>
      <c r="W136" s="485" t="s">
        <v>5380</v>
      </c>
      <c r="X136" s="485" t="s">
        <v>5381</v>
      </c>
      <c r="Y136" s="485" t="s">
        <v>5382</v>
      </c>
      <c r="Z136" s="486">
        <v>100000000</v>
      </c>
      <c r="AA136" s="486">
        <v>0</v>
      </c>
      <c r="AB136" s="486">
        <v>0</v>
      </c>
      <c r="AC136" s="486">
        <v>0</v>
      </c>
      <c r="AD136" s="486">
        <v>0</v>
      </c>
      <c r="AE136" s="486">
        <v>0</v>
      </c>
      <c r="AF136" s="486">
        <v>0</v>
      </c>
      <c r="AG136" s="486">
        <v>0</v>
      </c>
      <c r="AH136" s="487">
        <v>100000000</v>
      </c>
      <c r="AI136" s="486">
        <v>0</v>
      </c>
      <c r="AJ136" s="486">
        <v>0</v>
      </c>
      <c r="AK136" s="486">
        <v>0</v>
      </c>
      <c r="AL136" s="488">
        <v>0</v>
      </c>
      <c r="AM136" s="489">
        <v>100000000</v>
      </c>
      <c r="AN136" s="486">
        <v>100000000</v>
      </c>
      <c r="AO136" s="486">
        <v>0</v>
      </c>
      <c r="AP136" s="486">
        <v>0</v>
      </c>
      <c r="AQ136" s="486">
        <v>0</v>
      </c>
      <c r="AR136" s="486">
        <v>0</v>
      </c>
      <c r="AS136" s="486">
        <v>0</v>
      </c>
      <c r="AT136" s="486">
        <v>0</v>
      </c>
      <c r="AU136" s="486">
        <v>0</v>
      </c>
      <c r="AV136" s="487">
        <v>100000000</v>
      </c>
      <c r="AW136" s="486">
        <v>0</v>
      </c>
      <c r="AX136" s="486">
        <v>0</v>
      </c>
      <c r="AY136" s="486">
        <v>0</v>
      </c>
      <c r="AZ136" s="488">
        <v>0</v>
      </c>
      <c r="BA136" s="490">
        <v>100000000</v>
      </c>
      <c r="BB136" s="486">
        <v>100500000</v>
      </c>
      <c r="BC136" s="486">
        <v>0</v>
      </c>
      <c r="BD136" s="486">
        <v>0</v>
      </c>
      <c r="BE136" s="486">
        <v>0</v>
      </c>
      <c r="BF136" s="486">
        <v>0</v>
      </c>
      <c r="BG136" s="486">
        <v>0</v>
      </c>
      <c r="BH136" s="486">
        <v>0</v>
      </c>
      <c r="BI136" s="486">
        <v>0</v>
      </c>
      <c r="BJ136" s="487">
        <v>100500000</v>
      </c>
      <c r="BK136" s="486">
        <v>0</v>
      </c>
      <c r="BL136" s="486">
        <v>0</v>
      </c>
      <c r="BM136" s="486">
        <v>0</v>
      </c>
      <c r="BN136" s="488">
        <v>0</v>
      </c>
      <c r="BO136" s="490">
        <v>100500000</v>
      </c>
      <c r="BP136" s="486">
        <v>100500000</v>
      </c>
      <c r="BQ136" s="486">
        <v>0</v>
      </c>
      <c r="BR136" s="486">
        <v>0</v>
      </c>
      <c r="BS136" s="486">
        <v>0</v>
      </c>
      <c r="BT136" s="486">
        <v>0</v>
      </c>
      <c r="BU136" s="486">
        <v>0</v>
      </c>
      <c r="BV136" s="486">
        <v>0</v>
      </c>
      <c r="BW136" s="486">
        <v>0</v>
      </c>
      <c r="BX136" s="487">
        <v>100500000</v>
      </c>
      <c r="BY136" s="486">
        <v>0</v>
      </c>
      <c r="BZ136" s="486">
        <v>0</v>
      </c>
      <c r="CA136" s="486">
        <v>0</v>
      </c>
      <c r="CB136" s="488">
        <v>0</v>
      </c>
      <c r="CC136" s="491">
        <v>100500000</v>
      </c>
      <c r="CD136" s="492">
        <v>401000000</v>
      </c>
      <c r="CE136" s="493">
        <f t="shared" si="10"/>
        <v>401000000</v>
      </c>
      <c r="CF136" s="493">
        <f t="shared" si="10"/>
        <v>0</v>
      </c>
      <c r="CG136" s="493">
        <f t="shared" si="10"/>
        <v>0</v>
      </c>
      <c r="CH136" s="493">
        <f t="shared" si="9"/>
        <v>0</v>
      </c>
      <c r="CI136" s="493">
        <f t="shared" si="9"/>
        <v>0</v>
      </c>
      <c r="CJ136" s="493">
        <f t="shared" si="9"/>
        <v>0</v>
      </c>
      <c r="CK136" s="493">
        <f t="shared" si="9"/>
        <v>0</v>
      </c>
      <c r="CL136" s="493">
        <f t="shared" si="7"/>
        <v>0</v>
      </c>
      <c r="CM136" s="493">
        <f t="shared" si="12"/>
        <v>0</v>
      </c>
      <c r="CN136" s="493">
        <f t="shared" si="12"/>
        <v>0</v>
      </c>
      <c r="CO136" s="493">
        <f t="shared" si="12"/>
        <v>0</v>
      </c>
      <c r="CP136" s="494">
        <v>8</v>
      </c>
      <c r="CQ136" s="494" t="s">
        <v>841</v>
      </c>
    </row>
    <row r="137" spans="1:95" ht="30.45" hidden="1" customHeight="1" thickBot="1">
      <c r="A137" s="555" t="s">
        <v>4262</v>
      </c>
      <c r="B137" s="479">
        <v>135</v>
      </c>
      <c r="C137" s="480" t="s">
        <v>4255</v>
      </c>
      <c r="D137" s="480" t="s">
        <v>4256</v>
      </c>
      <c r="E137" s="480" t="str">
        <f t="shared" si="11"/>
        <v xml:space="preserve">2.1.1 </v>
      </c>
      <c r="F137" s="480" t="s">
        <v>4257</v>
      </c>
      <c r="G137" s="480" t="s">
        <v>4258</v>
      </c>
      <c r="H137" s="481">
        <v>21</v>
      </c>
      <c r="I137" s="480" t="s">
        <v>4263</v>
      </c>
      <c r="J137" s="495">
        <v>210601900</v>
      </c>
      <c r="K137" s="480" t="s">
        <v>4264</v>
      </c>
      <c r="L137" s="480" t="s">
        <v>4265</v>
      </c>
      <c r="M137" s="480" t="s">
        <v>5765</v>
      </c>
      <c r="N137" s="484">
        <v>1</v>
      </c>
      <c r="O137" s="480" t="s">
        <v>4261</v>
      </c>
      <c r="P137" s="500">
        <v>2</v>
      </c>
      <c r="Q137" s="485">
        <v>120200019</v>
      </c>
      <c r="R137" s="485" t="s">
        <v>5378</v>
      </c>
      <c r="S137" s="485" t="s">
        <v>677</v>
      </c>
      <c r="T137" s="485">
        <v>10.439</v>
      </c>
      <c r="U137" s="485" t="s">
        <v>5379</v>
      </c>
      <c r="V137" s="485">
        <v>10.439</v>
      </c>
      <c r="W137" s="485" t="s">
        <v>5380</v>
      </c>
      <c r="X137" s="485" t="s">
        <v>5381</v>
      </c>
      <c r="Y137" s="485" t="s">
        <v>5382</v>
      </c>
      <c r="Z137" s="486">
        <v>50000000</v>
      </c>
      <c r="AA137" s="486">
        <v>0</v>
      </c>
      <c r="AB137" s="486">
        <v>0</v>
      </c>
      <c r="AC137" s="486">
        <v>0</v>
      </c>
      <c r="AD137" s="486">
        <v>0</v>
      </c>
      <c r="AE137" s="486">
        <v>0</v>
      </c>
      <c r="AF137" s="486">
        <v>0</v>
      </c>
      <c r="AG137" s="486">
        <v>0</v>
      </c>
      <c r="AH137" s="487">
        <v>50000000</v>
      </c>
      <c r="AI137" s="486">
        <v>0</v>
      </c>
      <c r="AJ137" s="486">
        <v>0</v>
      </c>
      <c r="AK137" s="486">
        <v>0</v>
      </c>
      <c r="AL137" s="488">
        <v>0</v>
      </c>
      <c r="AM137" s="489">
        <v>50000000</v>
      </c>
      <c r="AN137" s="486">
        <v>50000000</v>
      </c>
      <c r="AO137" s="486">
        <v>0</v>
      </c>
      <c r="AP137" s="486">
        <v>0</v>
      </c>
      <c r="AQ137" s="486">
        <v>0</v>
      </c>
      <c r="AR137" s="486">
        <v>0</v>
      </c>
      <c r="AS137" s="486">
        <v>0</v>
      </c>
      <c r="AT137" s="486">
        <v>0</v>
      </c>
      <c r="AU137" s="486">
        <v>0</v>
      </c>
      <c r="AV137" s="487">
        <v>50000000</v>
      </c>
      <c r="AW137" s="486">
        <v>0</v>
      </c>
      <c r="AX137" s="486">
        <v>0</v>
      </c>
      <c r="AY137" s="486">
        <v>0</v>
      </c>
      <c r="AZ137" s="488">
        <v>0</v>
      </c>
      <c r="BA137" s="490">
        <v>50000000</v>
      </c>
      <c r="BB137" s="486">
        <v>50000000</v>
      </c>
      <c r="BC137" s="486">
        <v>0</v>
      </c>
      <c r="BD137" s="486">
        <v>0</v>
      </c>
      <c r="BE137" s="486">
        <v>0</v>
      </c>
      <c r="BF137" s="486">
        <v>0</v>
      </c>
      <c r="BG137" s="486">
        <v>0</v>
      </c>
      <c r="BH137" s="486">
        <v>0</v>
      </c>
      <c r="BI137" s="486">
        <v>0</v>
      </c>
      <c r="BJ137" s="487">
        <v>50000000</v>
      </c>
      <c r="BK137" s="486">
        <v>0</v>
      </c>
      <c r="BL137" s="486">
        <v>0</v>
      </c>
      <c r="BM137" s="486">
        <v>0</v>
      </c>
      <c r="BN137" s="488">
        <v>0</v>
      </c>
      <c r="BO137" s="490">
        <v>50000000</v>
      </c>
      <c r="BP137" s="486">
        <v>100000000</v>
      </c>
      <c r="BQ137" s="486">
        <v>0</v>
      </c>
      <c r="BR137" s="486">
        <v>0</v>
      </c>
      <c r="BS137" s="486">
        <v>0</v>
      </c>
      <c r="BT137" s="486">
        <v>0</v>
      </c>
      <c r="BU137" s="486">
        <v>0</v>
      </c>
      <c r="BV137" s="486">
        <v>0</v>
      </c>
      <c r="BW137" s="486">
        <v>0</v>
      </c>
      <c r="BX137" s="487">
        <v>100000000</v>
      </c>
      <c r="BY137" s="486">
        <v>0</v>
      </c>
      <c r="BZ137" s="486">
        <v>0</v>
      </c>
      <c r="CA137" s="486">
        <v>0</v>
      </c>
      <c r="CB137" s="488">
        <v>0</v>
      </c>
      <c r="CC137" s="491">
        <v>100000000</v>
      </c>
      <c r="CD137" s="492">
        <v>250000000</v>
      </c>
      <c r="CE137" s="493">
        <f t="shared" si="10"/>
        <v>250000000</v>
      </c>
      <c r="CF137" s="493">
        <f t="shared" si="10"/>
        <v>0</v>
      </c>
      <c r="CG137" s="493">
        <f t="shared" si="10"/>
        <v>0</v>
      </c>
      <c r="CH137" s="493">
        <f t="shared" si="9"/>
        <v>0</v>
      </c>
      <c r="CI137" s="493">
        <f t="shared" si="9"/>
        <v>0</v>
      </c>
      <c r="CJ137" s="493">
        <f t="shared" si="9"/>
        <v>0</v>
      </c>
      <c r="CK137" s="493">
        <f t="shared" si="9"/>
        <v>0</v>
      </c>
      <c r="CL137" s="493">
        <f t="shared" si="7"/>
        <v>0</v>
      </c>
      <c r="CM137" s="493">
        <f t="shared" si="12"/>
        <v>0</v>
      </c>
      <c r="CN137" s="493">
        <f t="shared" si="12"/>
        <v>0</v>
      </c>
      <c r="CO137" s="493">
        <f t="shared" si="12"/>
        <v>0</v>
      </c>
      <c r="CP137" s="502" t="s">
        <v>6247</v>
      </c>
      <c r="CQ137" s="502" t="s">
        <v>6248</v>
      </c>
    </row>
    <row r="138" spans="1:95" ht="30.45" hidden="1" customHeight="1" thickBot="1">
      <c r="A138" s="555" t="s">
        <v>4262</v>
      </c>
      <c r="B138" s="479">
        <v>136</v>
      </c>
      <c r="C138" s="480" t="s">
        <v>4255</v>
      </c>
      <c r="D138" s="480" t="s">
        <v>4256</v>
      </c>
      <c r="E138" s="480" t="str">
        <f t="shared" si="11"/>
        <v xml:space="preserve">2.1.1 </v>
      </c>
      <c r="F138" s="480" t="s">
        <v>4257</v>
      </c>
      <c r="G138" s="480" t="s">
        <v>4258</v>
      </c>
      <c r="H138" s="481">
        <v>21</v>
      </c>
      <c r="I138" s="480" t="s">
        <v>4266</v>
      </c>
      <c r="J138" s="495">
        <v>210501000</v>
      </c>
      <c r="K138" s="480" t="s">
        <v>4178</v>
      </c>
      <c r="L138" s="480" t="s">
        <v>4267</v>
      </c>
      <c r="M138" s="480" t="s">
        <v>6474</v>
      </c>
      <c r="N138" s="499" t="s">
        <v>2343</v>
      </c>
      <c r="O138" s="480" t="s">
        <v>4261</v>
      </c>
      <c r="P138" s="500">
        <v>2</v>
      </c>
      <c r="Q138" s="485">
        <v>120200019</v>
      </c>
      <c r="R138" s="485" t="s">
        <v>5378</v>
      </c>
      <c r="S138" s="485" t="s">
        <v>677</v>
      </c>
      <c r="T138" s="485">
        <v>10.439</v>
      </c>
      <c r="U138" s="485" t="s">
        <v>5379</v>
      </c>
      <c r="V138" s="485">
        <v>10.439</v>
      </c>
      <c r="W138" s="485" t="s">
        <v>5380</v>
      </c>
      <c r="X138" s="485" t="s">
        <v>5381</v>
      </c>
      <c r="Y138" s="485" t="s">
        <v>5382</v>
      </c>
      <c r="Z138" s="486">
        <v>100000000</v>
      </c>
      <c r="AA138" s="486">
        <v>0</v>
      </c>
      <c r="AB138" s="486">
        <v>0</v>
      </c>
      <c r="AC138" s="486">
        <v>0</v>
      </c>
      <c r="AD138" s="486">
        <v>0</v>
      </c>
      <c r="AE138" s="486">
        <v>0</v>
      </c>
      <c r="AF138" s="486">
        <v>0</v>
      </c>
      <c r="AG138" s="486">
        <v>0</v>
      </c>
      <c r="AH138" s="487">
        <v>100000000</v>
      </c>
      <c r="AI138" s="486">
        <v>0</v>
      </c>
      <c r="AJ138" s="486">
        <v>0</v>
      </c>
      <c r="AK138" s="486">
        <v>0</v>
      </c>
      <c r="AL138" s="488">
        <v>0</v>
      </c>
      <c r="AM138" s="489">
        <v>100000000</v>
      </c>
      <c r="AN138" s="486">
        <v>150000000</v>
      </c>
      <c r="AO138" s="486">
        <v>0</v>
      </c>
      <c r="AP138" s="486">
        <v>0</v>
      </c>
      <c r="AQ138" s="486">
        <v>0</v>
      </c>
      <c r="AR138" s="486">
        <v>0</v>
      </c>
      <c r="AS138" s="486">
        <v>0</v>
      </c>
      <c r="AT138" s="486">
        <v>0</v>
      </c>
      <c r="AU138" s="486">
        <v>0</v>
      </c>
      <c r="AV138" s="487">
        <v>150000000</v>
      </c>
      <c r="AW138" s="486">
        <v>0</v>
      </c>
      <c r="AX138" s="486">
        <v>0</v>
      </c>
      <c r="AY138" s="486">
        <v>0</v>
      </c>
      <c r="AZ138" s="488">
        <v>0</v>
      </c>
      <c r="BA138" s="490">
        <v>150000000</v>
      </c>
      <c r="BB138" s="486">
        <v>151423168</v>
      </c>
      <c r="BC138" s="486">
        <v>0</v>
      </c>
      <c r="BD138" s="486">
        <v>0</v>
      </c>
      <c r="BE138" s="486">
        <v>0</v>
      </c>
      <c r="BF138" s="486">
        <v>0</v>
      </c>
      <c r="BG138" s="486">
        <v>0</v>
      </c>
      <c r="BH138" s="486">
        <v>0</v>
      </c>
      <c r="BI138" s="486">
        <v>0</v>
      </c>
      <c r="BJ138" s="487">
        <v>151423168</v>
      </c>
      <c r="BK138" s="486">
        <v>0</v>
      </c>
      <c r="BL138" s="486">
        <v>0</v>
      </c>
      <c r="BM138" s="486">
        <v>0</v>
      </c>
      <c r="BN138" s="488">
        <v>0</v>
      </c>
      <c r="BO138" s="490">
        <v>151423168</v>
      </c>
      <c r="BP138" s="486">
        <v>151423168</v>
      </c>
      <c r="BQ138" s="486">
        <v>0</v>
      </c>
      <c r="BR138" s="486">
        <v>0</v>
      </c>
      <c r="BS138" s="486">
        <v>0</v>
      </c>
      <c r="BT138" s="486">
        <v>0</v>
      </c>
      <c r="BU138" s="486">
        <v>0</v>
      </c>
      <c r="BV138" s="486">
        <v>0</v>
      </c>
      <c r="BW138" s="486">
        <v>0</v>
      </c>
      <c r="BX138" s="487">
        <v>151423168</v>
      </c>
      <c r="BY138" s="486">
        <v>0</v>
      </c>
      <c r="BZ138" s="486">
        <v>0</v>
      </c>
      <c r="CA138" s="486">
        <v>0</v>
      </c>
      <c r="CB138" s="488">
        <v>0</v>
      </c>
      <c r="CC138" s="491">
        <v>151423168</v>
      </c>
      <c r="CD138" s="492">
        <v>552846336</v>
      </c>
      <c r="CE138" s="493">
        <f t="shared" si="10"/>
        <v>552846336</v>
      </c>
      <c r="CF138" s="493">
        <f t="shared" si="10"/>
        <v>0</v>
      </c>
      <c r="CG138" s="493">
        <f t="shared" si="10"/>
        <v>0</v>
      </c>
      <c r="CH138" s="493">
        <f t="shared" si="9"/>
        <v>0</v>
      </c>
      <c r="CI138" s="493">
        <f t="shared" si="9"/>
        <v>0</v>
      </c>
      <c r="CJ138" s="493">
        <f t="shared" si="9"/>
        <v>0</v>
      </c>
      <c r="CK138" s="493">
        <f t="shared" si="9"/>
        <v>0</v>
      </c>
      <c r="CL138" s="493">
        <f t="shared" si="7"/>
        <v>0</v>
      </c>
      <c r="CM138" s="493">
        <f t="shared" si="12"/>
        <v>0</v>
      </c>
      <c r="CN138" s="493">
        <f t="shared" si="12"/>
        <v>0</v>
      </c>
      <c r="CO138" s="493">
        <f t="shared" si="12"/>
        <v>0</v>
      </c>
      <c r="CP138" s="502" t="s">
        <v>6249</v>
      </c>
      <c r="CQ138" s="502" t="s">
        <v>6250</v>
      </c>
    </row>
    <row r="139" spans="1:95" ht="30.45" hidden="1" customHeight="1" thickBot="1">
      <c r="A139" s="555" t="s">
        <v>4262</v>
      </c>
      <c r="B139" s="479">
        <v>137</v>
      </c>
      <c r="C139" s="480" t="s">
        <v>4255</v>
      </c>
      <c r="D139" s="480" t="s">
        <v>4256</v>
      </c>
      <c r="E139" s="480" t="str">
        <f t="shared" si="11"/>
        <v xml:space="preserve">2.1.1 </v>
      </c>
      <c r="F139" s="480" t="s">
        <v>4257</v>
      </c>
      <c r="G139" s="480" t="s">
        <v>4258</v>
      </c>
      <c r="H139" s="481">
        <v>21</v>
      </c>
      <c r="I139" s="480" t="s">
        <v>4259</v>
      </c>
      <c r="J139" s="495">
        <v>210400400</v>
      </c>
      <c r="K139" s="480" t="s">
        <v>4268</v>
      </c>
      <c r="L139" s="480" t="s">
        <v>4269</v>
      </c>
      <c r="M139" s="480" t="s">
        <v>5766</v>
      </c>
      <c r="N139" s="484">
        <v>52</v>
      </c>
      <c r="O139" s="480" t="s">
        <v>4261</v>
      </c>
      <c r="P139" s="500">
        <v>350</v>
      </c>
      <c r="Q139" s="485">
        <v>120200019</v>
      </c>
      <c r="R139" s="485" t="s">
        <v>5378</v>
      </c>
      <c r="S139" s="485" t="s">
        <v>677</v>
      </c>
      <c r="T139" s="485">
        <v>10.439</v>
      </c>
      <c r="U139" s="485" t="s">
        <v>5379</v>
      </c>
      <c r="V139" s="485">
        <v>10.439</v>
      </c>
      <c r="W139" s="485" t="s">
        <v>5380</v>
      </c>
      <c r="X139" s="485" t="s">
        <v>5381</v>
      </c>
      <c r="Y139" s="485" t="s">
        <v>5382</v>
      </c>
      <c r="Z139" s="486">
        <v>252480000</v>
      </c>
      <c r="AA139" s="486">
        <v>0</v>
      </c>
      <c r="AB139" s="486">
        <v>0</v>
      </c>
      <c r="AC139" s="486">
        <v>0</v>
      </c>
      <c r="AD139" s="486">
        <v>0</v>
      </c>
      <c r="AE139" s="486">
        <v>0</v>
      </c>
      <c r="AF139" s="486">
        <v>0</v>
      </c>
      <c r="AG139" s="486">
        <v>0</v>
      </c>
      <c r="AH139" s="487">
        <v>252480000</v>
      </c>
      <c r="AI139" s="486">
        <v>0</v>
      </c>
      <c r="AJ139" s="486">
        <v>0</v>
      </c>
      <c r="AK139" s="486">
        <v>0</v>
      </c>
      <c r="AL139" s="488">
        <v>0</v>
      </c>
      <c r="AM139" s="489">
        <v>252480000</v>
      </c>
      <c r="AN139" s="486">
        <v>260579200</v>
      </c>
      <c r="AO139" s="486">
        <v>0</v>
      </c>
      <c r="AP139" s="486">
        <v>0</v>
      </c>
      <c r="AQ139" s="486">
        <v>0</v>
      </c>
      <c r="AR139" s="486">
        <v>0</v>
      </c>
      <c r="AS139" s="486">
        <v>0</v>
      </c>
      <c r="AT139" s="486">
        <v>0</v>
      </c>
      <c r="AU139" s="486">
        <v>0</v>
      </c>
      <c r="AV139" s="487">
        <v>260579200</v>
      </c>
      <c r="AW139" s="486">
        <v>0</v>
      </c>
      <c r="AX139" s="486">
        <v>0</v>
      </c>
      <c r="AY139" s="486">
        <v>0</v>
      </c>
      <c r="AZ139" s="488">
        <v>0</v>
      </c>
      <c r="BA139" s="490">
        <v>260579200</v>
      </c>
      <c r="BB139" s="486">
        <v>260579200</v>
      </c>
      <c r="BC139" s="486">
        <v>0</v>
      </c>
      <c r="BD139" s="486">
        <v>0</v>
      </c>
      <c r="BE139" s="486">
        <v>0</v>
      </c>
      <c r="BF139" s="486">
        <v>0</v>
      </c>
      <c r="BG139" s="486">
        <v>0</v>
      </c>
      <c r="BH139" s="486">
        <v>0</v>
      </c>
      <c r="BI139" s="486">
        <v>0</v>
      </c>
      <c r="BJ139" s="487">
        <v>260579200</v>
      </c>
      <c r="BK139" s="486">
        <v>0</v>
      </c>
      <c r="BL139" s="486">
        <v>0</v>
      </c>
      <c r="BM139" s="486">
        <v>0</v>
      </c>
      <c r="BN139" s="488">
        <v>0</v>
      </c>
      <c r="BO139" s="490">
        <v>260579200</v>
      </c>
      <c r="BP139" s="486">
        <v>260579200</v>
      </c>
      <c r="BQ139" s="486">
        <v>0</v>
      </c>
      <c r="BR139" s="486">
        <v>0</v>
      </c>
      <c r="BS139" s="486">
        <v>0</v>
      </c>
      <c r="BT139" s="486">
        <v>0</v>
      </c>
      <c r="BU139" s="486">
        <v>0</v>
      </c>
      <c r="BV139" s="486">
        <v>0</v>
      </c>
      <c r="BW139" s="486">
        <v>0</v>
      </c>
      <c r="BX139" s="487">
        <v>260579200</v>
      </c>
      <c r="BY139" s="486">
        <v>0</v>
      </c>
      <c r="BZ139" s="486">
        <v>0</v>
      </c>
      <c r="CA139" s="486">
        <v>0</v>
      </c>
      <c r="CB139" s="488">
        <v>0</v>
      </c>
      <c r="CC139" s="491">
        <v>260579200</v>
      </c>
      <c r="CD139" s="492">
        <v>1034217600</v>
      </c>
      <c r="CE139" s="493">
        <f t="shared" si="10"/>
        <v>1034217600</v>
      </c>
      <c r="CF139" s="493">
        <f t="shared" si="10"/>
        <v>0</v>
      </c>
      <c r="CG139" s="493">
        <f t="shared" si="10"/>
        <v>0</v>
      </c>
      <c r="CH139" s="493">
        <f t="shared" si="9"/>
        <v>0</v>
      </c>
      <c r="CI139" s="493">
        <f t="shared" si="9"/>
        <v>0</v>
      </c>
      <c r="CJ139" s="493">
        <f t="shared" si="9"/>
        <v>0</v>
      </c>
      <c r="CK139" s="493">
        <f t="shared" si="9"/>
        <v>0</v>
      </c>
      <c r="CL139" s="493">
        <f t="shared" si="7"/>
        <v>0</v>
      </c>
      <c r="CM139" s="493">
        <f t="shared" si="12"/>
        <v>0</v>
      </c>
      <c r="CN139" s="493">
        <f t="shared" si="12"/>
        <v>0</v>
      </c>
      <c r="CO139" s="493">
        <f t="shared" si="12"/>
        <v>0</v>
      </c>
      <c r="CP139" s="494">
        <v>8</v>
      </c>
      <c r="CQ139" s="502" t="s">
        <v>6251</v>
      </c>
    </row>
    <row r="140" spans="1:95" ht="30.45" hidden="1" customHeight="1" thickBot="1">
      <c r="A140" s="555" t="s">
        <v>4262</v>
      </c>
      <c r="B140" s="479">
        <v>138</v>
      </c>
      <c r="C140" s="480" t="s">
        <v>4255</v>
      </c>
      <c r="D140" s="480" t="s">
        <v>4256</v>
      </c>
      <c r="E140" s="480" t="str">
        <f t="shared" si="11"/>
        <v xml:space="preserve">2.1.1 </v>
      </c>
      <c r="F140" s="480" t="s">
        <v>4257</v>
      </c>
      <c r="G140" s="480" t="s">
        <v>4258</v>
      </c>
      <c r="H140" s="481">
        <v>21</v>
      </c>
      <c r="I140" s="480" t="s">
        <v>4259</v>
      </c>
      <c r="J140" s="495">
        <v>210402700</v>
      </c>
      <c r="K140" s="480" t="s">
        <v>4270</v>
      </c>
      <c r="L140" s="480" t="s">
        <v>4271</v>
      </c>
      <c r="M140" s="480" t="s">
        <v>5767</v>
      </c>
      <c r="N140" s="484">
        <v>5</v>
      </c>
      <c r="O140" s="480" t="s">
        <v>4261</v>
      </c>
      <c r="P140" s="500">
        <v>20</v>
      </c>
      <c r="Q140" s="485">
        <v>120200019</v>
      </c>
      <c r="R140" s="485" t="s">
        <v>5378</v>
      </c>
      <c r="S140" s="485" t="s">
        <v>677</v>
      </c>
      <c r="T140" s="485">
        <v>10.439</v>
      </c>
      <c r="U140" s="485" t="s">
        <v>5379</v>
      </c>
      <c r="V140" s="485">
        <v>10.439</v>
      </c>
      <c r="W140" s="485" t="s">
        <v>5380</v>
      </c>
      <c r="X140" s="485" t="s">
        <v>5381</v>
      </c>
      <c r="Y140" s="485" t="s">
        <v>5382</v>
      </c>
      <c r="Z140" s="486">
        <v>100000000</v>
      </c>
      <c r="AA140" s="486">
        <v>0</v>
      </c>
      <c r="AB140" s="486">
        <v>0</v>
      </c>
      <c r="AC140" s="486">
        <v>0</v>
      </c>
      <c r="AD140" s="486">
        <v>0</v>
      </c>
      <c r="AE140" s="486">
        <v>0</v>
      </c>
      <c r="AF140" s="486">
        <v>0</v>
      </c>
      <c r="AG140" s="486">
        <v>0</v>
      </c>
      <c r="AH140" s="487">
        <v>100000000</v>
      </c>
      <c r="AI140" s="486">
        <v>0</v>
      </c>
      <c r="AJ140" s="486">
        <v>0</v>
      </c>
      <c r="AK140" s="486">
        <v>0</v>
      </c>
      <c r="AL140" s="488">
        <v>0</v>
      </c>
      <c r="AM140" s="489">
        <v>100000000</v>
      </c>
      <c r="AN140" s="486">
        <v>100000000</v>
      </c>
      <c r="AO140" s="486">
        <v>0</v>
      </c>
      <c r="AP140" s="486">
        <v>0</v>
      </c>
      <c r="AQ140" s="486">
        <v>0</v>
      </c>
      <c r="AR140" s="486">
        <v>0</v>
      </c>
      <c r="AS140" s="486">
        <v>0</v>
      </c>
      <c r="AT140" s="486">
        <v>0</v>
      </c>
      <c r="AU140" s="486">
        <v>0</v>
      </c>
      <c r="AV140" s="487">
        <v>100000000</v>
      </c>
      <c r="AW140" s="486">
        <v>0</v>
      </c>
      <c r="AX140" s="486">
        <v>0</v>
      </c>
      <c r="AY140" s="486">
        <v>0</v>
      </c>
      <c r="AZ140" s="488">
        <v>0</v>
      </c>
      <c r="BA140" s="490">
        <v>100000000</v>
      </c>
      <c r="BB140" s="486">
        <v>100000000</v>
      </c>
      <c r="BC140" s="486">
        <v>0</v>
      </c>
      <c r="BD140" s="486">
        <v>0</v>
      </c>
      <c r="BE140" s="486">
        <v>0</v>
      </c>
      <c r="BF140" s="486">
        <v>0</v>
      </c>
      <c r="BG140" s="486">
        <v>0</v>
      </c>
      <c r="BH140" s="486">
        <v>0</v>
      </c>
      <c r="BI140" s="486">
        <v>0</v>
      </c>
      <c r="BJ140" s="487">
        <v>100000000</v>
      </c>
      <c r="BK140" s="486">
        <v>0</v>
      </c>
      <c r="BL140" s="486">
        <v>0</v>
      </c>
      <c r="BM140" s="486">
        <v>0</v>
      </c>
      <c r="BN140" s="488">
        <v>0</v>
      </c>
      <c r="BO140" s="490">
        <v>100000000</v>
      </c>
      <c r="BP140" s="486">
        <v>100000000</v>
      </c>
      <c r="BQ140" s="486">
        <v>0</v>
      </c>
      <c r="BR140" s="486">
        <v>0</v>
      </c>
      <c r="BS140" s="486">
        <v>0</v>
      </c>
      <c r="BT140" s="486">
        <v>0</v>
      </c>
      <c r="BU140" s="486">
        <v>0</v>
      </c>
      <c r="BV140" s="486">
        <v>0</v>
      </c>
      <c r="BW140" s="486">
        <v>0</v>
      </c>
      <c r="BX140" s="487">
        <v>100000000</v>
      </c>
      <c r="BY140" s="486">
        <v>0</v>
      </c>
      <c r="BZ140" s="486">
        <v>0</v>
      </c>
      <c r="CA140" s="486">
        <v>0</v>
      </c>
      <c r="CB140" s="488">
        <v>0</v>
      </c>
      <c r="CC140" s="491">
        <v>100000000</v>
      </c>
      <c r="CD140" s="492">
        <v>400000000</v>
      </c>
      <c r="CE140" s="493">
        <f t="shared" si="10"/>
        <v>400000000</v>
      </c>
      <c r="CF140" s="493">
        <f t="shared" si="10"/>
        <v>0</v>
      </c>
      <c r="CG140" s="493">
        <f t="shared" si="10"/>
        <v>0</v>
      </c>
      <c r="CH140" s="493">
        <f t="shared" si="9"/>
        <v>0</v>
      </c>
      <c r="CI140" s="493">
        <f t="shared" si="9"/>
        <v>0</v>
      </c>
      <c r="CJ140" s="493">
        <f t="shared" si="9"/>
        <v>0</v>
      </c>
      <c r="CK140" s="493">
        <f t="shared" si="9"/>
        <v>0</v>
      </c>
      <c r="CL140" s="493">
        <f t="shared" si="7"/>
        <v>0</v>
      </c>
      <c r="CM140" s="493">
        <f t="shared" si="12"/>
        <v>0</v>
      </c>
      <c r="CN140" s="493">
        <f t="shared" si="12"/>
        <v>0</v>
      </c>
      <c r="CO140" s="493">
        <f t="shared" si="12"/>
        <v>0</v>
      </c>
      <c r="CP140" s="502" t="s">
        <v>6252</v>
      </c>
      <c r="CQ140" s="502" t="s">
        <v>6253</v>
      </c>
    </row>
    <row r="141" spans="1:95" ht="30.45" hidden="1" customHeight="1" thickBot="1">
      <c r="A141" s="555" t="s">
        <v>4262</v>
      </c>
      <c r="B141" s="479">
        <v>139</v>
      </c>
      <c r="C141" s="480" t="s">
        <v>4255</v>
      </c>
      <c r="D141" s="480" t="s">
        <v>4256</v>
      </c>
      <c r="E141" s="480" t="str">
        <f t="shared" si="11"/>
        <v xml:space="preserve">2.1.1 </v>
      </c>
      <c r="F141" s="480" t="s">
        <v>4257</v>
      </c>
      <c r="G141" s="480" t="s">
        <v>4258</v>
      </c>
      <c r="H141" s="481">
        <v>21</v>
      </c>
      <c r="I141" s="480" t="s">
        <v>4259</v>
      </c>
      <c r="J141" s="495">
        <v>210402200</v>
      </c>
      <c r="K141" s="480" t="s">
        <v>4008</v>
      </c>
      <c r="L141" s="480" t="s">
        <v>4272</v>
      </c>
      <c r="M141" s="480" t="s">
        <v>5768</v>
      </c>
      <c r="N141" s="499">
        <v>0</v>
      </c>
      <c r="O141" s="480" t="s">
        <v>4261</v>
      </c>
      <c r="P141" s="500">
        <v>10</v>
      </c>
      <c r="Q141" s="485">
        <v>120200019</v>
      </c>
      <c r="R141" s="485" t="s">
        <v>5378</v>
      </c>
      <c r="S141" s="485" t="s">
        <v>677</v>
      </c>
      <c r="T141" s="485">
        <v>10.439</v>
      </c>
      <c r="U141" s="485" t="s">
        <v>5379</v>
      </c>
      <c r="V141" s="485">
        <v>10.439</v>
      </c>
      <c r="W141" s="485" t="s">
        <v>5380</v>
      </c>
      <c r="X141" s="485" t="s">
        <v>5381</v>
      </c>
      <c r="Y141" s="485" t="s">
        <v>5382</v>
      </c>
      <c r="Z141" s="486">
        <v>100000000</v>
      </c>
      <c r="AA141" s="486">
        <v>0</v>
      </c>
      <c r="AB141" s="486">
        <v>0</v>
      </c>
      <c r="AC141" s="486">
        <v>0</v>
      </c>
      <c r="AD141" s="486">
        <v>0</v>
      </c>
      <c r="AE141" s="486">
        <v>0</v>
      </c>
      <c r="AF141" s="486">
        <v>0</v>
      </c>
      <c r="AG141" s="486">
        <v>0</v>
      </c>
      <c r="AH141" s="487">
        <v>100000000</v>
      </c>
      <c r="AI141" s="486">
        <v>0</v>
      </c>
      <c r="AJ141" s="486">
        <v>0</v>
      </c>
      <c r="AK141" s="486">
        <v>0</v>
      </c>
      <c r="AL141" s="488">
        <v>0</v>
      </c>
      <c r="AM141" s="489">
        <v>100000000</v>
      </c>
      <c r="AN141" s="486">
        <v>100000000</v>
      </c>
      <c r="AO141" s="486">
        <v>0</v>
      </c>
      <c r="AP141" s="486">
        <v>0</v>
      </c>
      <c r="AQ141" s="486">
        <v>0</v>
      </c>
      <c r="AR141" s="486">
        <v>0</v>
      </c>
      <c r="AS141" s="486">
        <v>0</v>
      </c>
      <c r="AT141" s="486">
        <v>0</v>
      </c>
      <c r="AU141" s="486">
        <v>0</v>
      </c>
      <c r="AV141" s="487">
        <v>100000000</v>
      </c>
      <c r="AW141" s="486">
        <v>0</v>
      </c>
      <c r="AX141" s="486">
        <v>0</v>
      </c>
      <c r="AY141" s="486">
        <v>0</v>
      </c>
      <c r="AZ141" s="488">
        <v>0</v>
      </c>
      <c r="BA141" s="490">
        <v>100000000</v>
      </c>
      <c r="BB141" s="486">
        <v>104000000</v>
      </c>
      <c r="BC141" s="486">
        <v>0</v>
      </c>
      <c r="BD141" s="486">
        <v>0</v>
      </c>
      <c r="BE141" s="486">
        <v>0</v>
      </c>
      <c r="BF141" s="486">
        <v>0</v>
      </c>
      <c r="BG141" s="486">
        <v>0</v>
      </c>
      <c r="BH141" s="486">
        <v>0</v>
      </c>
      <c r="BI141" s="486">
        <v>0</v>
      </c>
      <c r="BJ141" s="487">
        <v>104000000</v>
      </c>
      <c r="BK141" s="486">
        <v>0</v>
      </c>
      <c r="BL141" s="486">
        <v>0</v>
      </c>
      <c r="BM141" s="486">
        <v>0</v>
      </c>
      <c r="BN141" s="488">
        <v>0</v>
      </c>
      <c r="BO141" s="490">
        <v>104000000</v>
      </c>
      <c r="BP141" s="486">
        <v>104000000</v>
      </c>
      <c r="BQ141" s="486">
        <v>0</v>
      </c>
      <c r="BR141" s="486">
        <v>0</v>
      </c>
      <c r="BS141" s="486">
        <v>0</v>
      </c>
      <c r="BT141" s="486">
        <v>0</v>
      </c>
      <c r="BU141" s="486">
        <v>0</v>
      </c>
      <c r="BV141" s="486">
        <v>0</v>
      </c>
      <c r="BW141" s="486">
        <v>0</v>
      </c>
      <c r="BX141" s="487">
        <v>104000000</v>
      </c>
      <c r="BY141" s="486">
        <v>0</v>
      </c>
      <c r="BZ141" s="486">
        <v>0</v>
      </c>
      <c r="CA141" s="486">
        <v>0</v>
      </c>
      <c r="CB141" s="488">
        <v>0</v>
      </c>
      <c r="CC141" s="491">
        <v>104000000</v>
      </c>
      <c r="CD141" s="492">
        <v>408000000</v>
      </c>
      <c r="CE141" s="493">
        <f t="shared" si="10"/>
        <v>408000000</v>
      </c>
      <c r="CF141" s="493">
        <f t="shared" si="10"/>
        <v>0</v>
      </c>
      <c r="CG141" s="493">
        <f t="shared" si="10"/>
        <v>0</v>
      </c>
      <c r="CH141" s="493">
        <f t="shared" si="9"/>
        <v>0</v>
      </c>
      <c r="CI141" s="493">
        <f t="shared" si="9"/>
        <v>0</v>
      </c>
      <c r="CJ141" s="493">
        <f t="shared" si="9"/>
        <v>0</v>
      </c>
      <c r="CK141" s="493">
        <f t="shared" si="9"/>
        <v>0</v>
      </c>
      <c r="CL141" s="493">
        <f t="shared" si="7"/>
        <v>0</v>
      </c>
      <c r="CM141" s="493">
        <f t="shared" si="12"/>
        <v>0</v>
      </c>
      <c r="CN141" s="493">
        <f t="shared" si="12"/>
        <v>0</v>
      </c>
      <c r="CO141" s="493">
        <f t="shared" si="12"/>
        <v>0</v>
      </c>
      <c r="CP141" s="502" t="s">
        <v>6254</v>
      </c>
      <c r="CQ141" s="502" t="s">
        <v>6255</v>
      </c>
    </row>
    <row r="142" spans="1:95" ht="30.45" hidden="1" customHeight="1" thickBot="1">
      <c r="A142" s="555" t="s">
        <v>4262</v>
      </c>
      <c r="B142" s="479">
        <v>140</v>
      </c>
      <c r="C142" s="480" t="s">
        <v>4255</v>
      </c>
      <c r="D142" s="480" t="s">
        <v>4256</v>
      </c>
      <c r="E142" s="480" t="str">
        <f t="shared" si="11"/>
        <v xml:space="preserve">2.1.1 </v>
      </c>
      <c r="F142" s="480" t="s">
        <v>4257</v>
      </c>
      <c r="G142" s="480" t="s">
        <v>4258</v>
      </c>
      <c r="H142" s="481">
        <v>21</v>
      </c>
      <c r="I142" s="480" t="s">
        <v>4263</v>
      </c>
      <c r="J142" s="495">
        <v>210600300</v>
      </c>
      <c r="K142" s="480" t="s">
        <v>4063</v>
      </c>
      <c r="L142" s="480" t="s">
        <v>4207</v>
      </c>
      <c r="M142" s="480" t="s">
        <v>5769</v>
      </c>
      <c r="N142" s="499">
        <v>0</v>
      </c>
      <c r="O142" s="480" t="s">
        <v>4261</v>
      </c>
      <c r="P142" s="500">
        <v>1</v>
      </c>
      <c r="Q142" s="485">
        <v>120200019</v>
      </c>
      <c r="R142" s="485" t="s">
        <v>5378</v>
      </c>
      <c r="S142" s="485" t="s">
        <v>677</v>
      </c>
      <c r="T142" s="485">
        <v>10.439</v>
      </c>
      <c r="U142" s="485" t="s">
        <v>5379</v>
      </c>
      <c r="V142" s="485">
        <v>10.439</v>
      </c>
      <c r="W142" s="485" t="s">
        <v>5380</v>
      </c>
      <c r="X142" s="485" t="s">
        <v>5381</v>
      </c>
      <c r="Y142" s="485" t="s">
        <v>5382</v>
      </c>
      <c r="Z142" s="486">
        <v>50000000</v>
      </c>
      <c r="AA142" s="486">
        <v>0</v>
      </c>
      <c r="AB142" s="486">
        <v>0</v>
      </c>
      <c r="AC142" s="486">
        <v>0</v>
      </c>
      <c r="AD142" s="486">
        <v>0</v>
      </c>
      <c r="AE142" s="486">
        <v>0</v>
      </c>
      <c r="AF142" s="486">
        <v>0</v>
      </c>
      <c r="AG142" s="486">
        <v>0</v>
      </c>
      <c r="AH142" s="487">
        <v>50000000</v>
      </c>
      <c r="AI142" s="486">
        <v>0</v>
      </c>
      <c r="AJ142" s="486">
        <v>0</v>
      </c>
      <c r="AK142" s="486">
        <v>0</v>
      </c>
      <c r="AL142" s="488">
        <v>0</v>
      </c>
      <c r="AM142" s="489">
        <v>50000000</v>
      </c>
      <c r="AN142" s="486">
        <v>50000000</v>
      </c>
      <c r="AO142" s="486">
        <v>0</v>
      </c>
      <c r="AP142" s="486">
        <v>0</v>
      </c>
      <c r="AQ142" s="486">
        <v>0</v>
      </c>
      <c r="AR142" s="486">
        <v>0</v>
      </c>
      <c r="AS142" s="486">
        <v>0</v>
      </c>
      <c r="AT142" s="486">
        <v>0</v>
      </c>
      <c r="AU142" s="486">
        <v>0</v>
      </c>
      <c r="AV142" s="487">
        <v>50000000</v>
      </c>
      <c r="AW142" s="486">
        <v>0</v>
      </c>
      <c r="AX142" s="486">
        <v>0</v>
      </c>
      <c r="AY142" s="486">
        <v>0</v>
      </c>
      <c r="AZ142" s="488">
        <v>0</v>
      </c>
      <c r="BA142" s="490">
        <v>50000000</v>
      </c>
      <c r="BB142" s="486">
        <v>50000000</v>
      </c>
      <c r="BC142" s="486">
        <v>0</v>
      </c>
      <c r="BD142" s="486">
        <v>0</v>
      </c>
      <c r="BE142" s="486">
        <v>0</v>
      </c>
      <c r="BF142" s="486">
        <v>0</v>
      </c>
      <c r="BG142" s="486">
        <v>0</v>
      </c>
      <c r="BH142" s="486">
        <v>0</v>
      </c>
      <c r="BI142" s="486">
        <v>0</v>
      </c>
      <c r="BJ142" s="487">
        <v>50000000</v>
      </c>
      <c r="BK142" s="486">
        <v>0</v>
      </c>
      <c r="BL142" s="486">
        <v>0</v>
      </c>
      <c r="BM142" s="486">
        <v>0</v>
      </c>
      <c r="BN142" s="488">
        <v>0</v>
      </c>
      <c r="BO142" s="490">
        <v>50000000</v>
      </c>
      <c r="BP142" s="486">
        <v>50000000</v>
      </c>
      <c r="BQ142" s="486">
        <v>0</v>
      </c>
      <c r="BR142" s="486">
        <v>0</v>
      </c>
      <c r="BS142" s="486">
        <v>0</v>
      </c>
      <c r="BT142" s="486">
        <v>0</v>
      </c>
      <c r="BU142" s="486">
        <v>0</v>
      </c>
      <c r="BV142" s="486">
        <v>0</v>
      </c>
      <c r="BW142" s="486">
        <v>0</v>
      </c>
      <c r="BX142" s="487">
        <v>50000000</v>
      </c>
      <c r="BY142" s="486">
        <v>0</v>
      </c>
      <c r="BZ142" s="486">
        <v>0</v>
      </c>
      <c r="CA142" s="486">
        <v>0</v>
      </c>
      <c r="CB142" s="488">
        <v>0</v>
      </c>
      <c r="CC142" s="491">
        <v>50000000</v>
      </c>
      <c r="CD142" s="492">
        <v>200000000</v>
      </c>
      <c r="CE142" s="493">
        <f t="shared" si="10"/>
        <v>200000000</v>
      </c>
      <c r="CF142" s="493">
        <f t="shared" si="10"/>
        <v>0</v>
      </c>
      <c r="CG142" s="493">
        <f t="shared" si="10"/>
        <v>0</v>
      </c>
      <c r="CH142" s="493">
        <f t="shared" si="9"/>
        <v>0</v>
      </c>
      <c r="CI142" s="493">
        <f t="shared" si="9"/>
        <v>0</v>
      </c>
      <c r="CJ142" s="493">
        <f t="shared" si="9"/>
        <v>0</v>
      </c>
      <c r="CK142" s="493">
        <f t="shared" si="9"/>
        <v>0</v>
      </c>
      <c r="CL142" s="493">
        <f t="shared" si="7"/>
        <v>0</v>
      </c>
      <c r="CM142" s="493">
        <f t="shared" si="12"/>
        <v>0</v>
      </c>
      <c r="CN142" s="493">
        <f t="shared" si="12"/>
        <v>0</v>
      </c>
      <c r="CO142" s="493">
        <f t="shared" si="12"/>
        <v>0</v>
      </c>
      <c r="CP142" s="494" t="s">
        <v>6256</v>
      </c>
      <c r="CQ142" s="494" t="s">
        <v>6257</v>
      </c>
    </row>
    <row r="143" spans="1:95" ht="30.45" hidden="1" customHeight="1" thickBot="1">
      <c r="A143" s="555" t="s">
        <v>4262</v>
      </c>
      <c r="B143" s="479">
        <v>141</v>
      </c>
      <c r="C143" s="480" t="s">
        <v>4255</v>
      </c>
      <c r="D143" s="480" t="s">
        <v>4256</v>
      </c>
      <c r="E143" s="480" t="str">
        <f t="shared" si="11"/>
        <v xml:space="preserve">2.1.1 </v>
      </c>
      <c r="F143" s="480" t="s">
        <v>4257</v>
      </c>
      <c r="G143" s="480" t="s">
        <v>4258</v>
      </c>
      <c r="H143" s="481">
        <v>21</v>
      </c>
      <c r="I143" s="480" t="s">
        <v>4259</v>
      </c>
      <c r="J143" s="495">
        <v>210401000</v>
      </c>
      <c r="K143" s="480" t="s">
        <v>4008</v>
      </c>
      <c r="L143" s="480" t="s">
        <v>4273</v>
      </c>
      <c r="M143" s="480" t="s">
        <v>5770</v>
      </c>
      <c r="N143" s="484">
        <v>700</v>
      </c>
      <c r="O143" s="480" t="s">
        <v>4261</v>
      </c>
      <c r="P143" s="500">
        <v>1500</v>
      </c>
      <c r="Q143" s="485">
        <v>120200019</v>
      </c>
      <c r="R143" s="485" t="s">
        <v>5378</v>
      </c>
      <c r="S143" s="485" t="s">
        <v>677</v>
      </c>
      <c r="T143" s="485">
        <v>10.439</v>
      </c>
      <c r="U143" s="485" t="s">
        <v>5379</v>
      </c>
      <c r="V143" s="485">
        <v>10.439</v>
      </c>
      <c r="W143" s="485" t="s">
        <v>5380</v>
      </c>
      <c r="X143" s="485" t="s">
        <v>5381</v>
      </c>
      <c r="Y143" s="485" t="s">
        <v>5382</v>
      </c>
      <c r="Z143" s="486">
        <v>100000000</v>
      </c>
      <c r="AA143" s="486">
        <v>0</v>
      </c>
      <c r="AB143" s="486">
        <v>0</v>
      </c>
      <c r="AC143" s="486">
        <v>0</v>
      </c>
      <c r="AD143" s="486">
        <v>0</v>
      </c>
      <c r="AE143" s="486">
        <v>0</v>
      </c>
      <c r="AF143" s="486">
        <v>0</v>
      </c>
      <c r="AG143" s="486">
        <v>0</v>
      </c>
      <c r="AH143" s="487">
        <v>100000000</v>
      </c>
      <c r="AI143" s="486">
        <v>0</v>
      </c>
      <c r="AJ143" s="486">
        <v>0</v>
      </c>
      <c r="AK143" s="486">
        <v>0</v>
      </c>
      <c r="AL143" s="488">
        <v>0</v>
      </c>
      <c r="AM143" s="489">
        <v>100000000</v>
      </c>
      <c r="AN143" s="486">
        <v>100000000</v>
      </c>
      <c r="AO143" s="486">
        <v>0</v>
      </c>
      <c r="AP143" s="486">
        <v>0</v>
      </c>
      <c r="AQ143" s="486">
        <v>0</v>
      </c>
      <c r="AR143" s="486">
        <v>0</v>
      </c>
      <c r="AS143" s="486">
        <v>0</v>
      </c>
      <c r="AT143" s="486">
        <v>0</v>
      </c>
      <c r="AU143" s="486">
        <v>0</v>
      </c>
      <c r="AV143" s="487">
        <v>100000000</v>
      </c>
      <c r="AW143" s="486">
        <v>0</v>
      </c>
      <c r="AX143" s="486">
        <v>0</v>
      </c>
      <c r="AY143" s="486">
        <v>0</v>
      </c>
      <c r="AZ143" s="488">
        <v>0</v>
      </c>
      <c r="BA143" s="490">
        <v>100000000</v>
      </c>
      <c r="BB143" s="486">
        <v>100000000</v>
      </c>
      <c r="BC143" s="486">
        <v>0</v>
      </c>
      <c r="BD143" s="486">
        <v>0</v>
      </c>
      <c r="BE143" s="486">
        <v>0</v>
      </c>
      <c r="BF143" s="486">
        <v>0</v>
      </c>
      <c r="BG143" s="486">
        <v>0</v>
      </c>
      <c r="BH143" s="486">
        <v>0</v>
      </c>
      <c r="BI143" s="486">
        <v>0</v>
      </c>
      <c r="BJ143" s="487">
        <v>100000000</v>
      </c>
      <c r="BK143" s="486">
        <v>0</v>
      </c>
      <c r="BL143" s="486">
        <v>0</v>
      </c>
      <c r="BM143" s="486">
        <v>0</v>
      </c>
      <c r="BN143" s="488">
        <v>0</v>
      </c>
      <c r="BO143" s="490">
        <v>100000000</v>
      </c>
      <c r="BP143" s="486">
        <v>100000000</v>
      </c>
      <c r="BQ143" s="486">
        <v>0</v>
      </c>
      <c r="BR143" s="486">
        <v>0</v>
      </c>
      <c r="BS143" s="486">
        <v>0</v>
      </c>
      <c r="BT143" s="486">
        <v>0</v>
      </c>
      <c r="BU143" s="486">
        <v>0</v>
      </c>
      <c r="BV143" s="486">
        <v>0</v>
      </c>
      <c r="BW143" s="486">
        <v>0</v>
      </c>
      <c r="BX143" s="487">
        <v>100000000</v>
      </c>
      <c r="BY143" s="486">
        <v>0</v>
      </c>
      <c r="BZ143" s="486">
        <v>0</v>
      </c>
      <c r="CA143" s="486">
        <v>0</v>
      </c>
      <c r="CB143" s="488">
        <v>0</v>
      </c>
      <c r="CC143" s="491">
        <v>100000000</v>
      </c>
      <c r="CD143" s="492">
        <v>400000000</v>
      </c>
      <c r="CE143" s="493">
        <f t="shared" si="10"/>
        <v>400000000</v>
      </c>
      <c r="CF143" s="493">
        <f t="shared" si="10"/>
        <v>0</v>
      </c>
      <c r="CG143" s="493">
        <f t="shared" si="10"/>
        <v>0</v>
      </c>
      <c r="CH143" s="493">
        <f t="shared" si="9"/>
        <v>0</v>
      </c>
      <c r="CI143" s="493">
        <f t="shared" si="9"/>
        <v>0</v>
      </c>
      <c r="CJ143" s="493">
        <f t="shared" si="9"/>
        <v>0</v>
      </c>
      <c r="CK143" s="493">
        <f t="shared" si="9"/>
        <v>0</v>
      </c>
      <c r="CL143" s="493">
        <f t="shared" si="7"/>
        <v>0</v>
      </c>
      <c r="CM143" s="493">
        <f t="shared" si="12"/>
        <v>0</v>
      </c>
      <c r="CN143" s="493">
        <f t="shared" si="12"/>
        <v>0</v>
      </c>
      <c r="CO143" s="493">
        <f t="shared" si="12"/>
        <v>0</v>
      </c>
      <c r="CP143" s="494">
        <v>8</v>
      </c>
      <c r="CQ143" s="494" t="s">
        <v>6258</v>
      </c>
    </row>
    <row r="144" spans="1:95" ht="30.45" hidden="1" customHeight="1" thickBot="1">
      <c r="A144" s="555" t="s">
        <v>4262</v>
      </c>
      <c r="B144" s="479">
        <v>142</v>
      </c>
      <c r="C144" s="480" t="s">
        <v>4255</v>
      </c>
      <c r="D144" s="480" t="s">
        <v>4256</v>
      </c>
      <c r="E144" s="480" t="str">
        <f t="shared" si="11"/>
        <v xml:space="preserve">2.1.1 </v>
      </c>
      <c r="F144" s="480" t="s">
        <v>4257</v>
      </c>
      <c r="G144" s="480" t="s">
        <v>4258</v>
      </c>
      <c r="H144" s="481">
        <v>21</v>
      </c>
      <c r="I144" s="480" t="s">
        <v>4259</v>
      </c>
      <c r="J144" s="495">
        <v>210401001</v>
      </c>
      <c r="K144" s="480" t="s">
        <v>4008</v>
      </c>
      <c r="L144" s="480" t="s">
        <v>4274</v>
      </c>
      <c r="M144" s="480" t="s">
        <v>5771</v>
      </c>
      <c r="N144" s="484">
        <v>1500</v>
      </c>
      <c r="O144" s="480" t="s">
        <v>4261</v>
      </c>
      <c r="P144" s="500">
        <v>2300</v>
      </c>
      <c r="Q144" s="485">
        <v>120200019</v>
      </c>
      <c r="R144" s="485" t="s">
        <v>5378</v>
      </c>
      <c r="S144" s="485" t="s">
        <v>677</v>
      </c>
      <c r="T144" s="485">
        <v>10.439</v>
      </c>
      <c r="U144" s="485" t="s">
        <v>5379</v>
      </c>
      <c r="V144" s="485">
        <v>10.439</v>
      </c>
      <c r="W144" s="485" t="s">
        <v>5380</v>
      </c>
      <c r="X144" s="485" t="s">
        <v>5381</v>
      </c>
      <c r="Y144" s="485" t="s">
        <v>5382</v>
      </c>
      <c r="Z144" s="486">
        <v>100000000</v>
      </c>
      <c r="AA144" s="486">
        <v>0</v>
      </c>
      <c r="AB144" s="486">
        <v>0</v>
      </c>
      <c r="AC144" s="486">
        <v>0</v>
      </c>
      <c r="AD144" s="486">
        <v>0</v>
      </c>
      <c r="AE144" s="486">
        <v>0</v>
      </c>
      <c r="AF144" s="486">
        <v>0</v>
      </c>
      <c r="AG144" s="486">
        <v>0</v>
      </c>
      <c r="AH144" s="487">
        <v>100000000</v>
      </c>
      <c r="AI144" s="486">
        <v>0</v>
      </c>
      <c r="AJ144" s="486">
        <v>0</v>
      </c>
      <c r="AK144" s="486">
        <v>0</v>
      </c>
      <c r="AL144" s="488">
        <v>0</v>
      </c>
      <c r="AM144" s="489">
        <v>100000000</v>
      </c>
      <c r="AN144" s="486">
        <v>100000000</v>
      </c>
      <c r="AO144" s="486">
        <v>0</v>
      </c>
      <c r="AP144" s="486">
        <v>0</v>
      </c>
      <c r="AQ144" s="486">
        <v>0</v>
      </c>
      <c r="AR144" s="486">
        <v>0</v>
      </c>
      <c r="AS144" s="486">
        <v>0</v>
      </c>
      <c r="AT144" s="486">
        <v>0</v>
      </c>
      <c r="AU144" s="486">
        <v>0</v>
      </c>
      <c r="AV144" s="487">
        <v>100000000</v>
      </c>
      <c r="AW144" s="486">
        <v>0</v>
      </c>
      <c r="AX144" s="486">
        <v>0</v>
      </c>
      <c r="AY144" s="486">
        <v>0</v>
      </c>
      <c r="AZ144" s="488">
        <v>0</v>
      </c>
      <c r="BA144" s="490">
        <v>100000000</v>
      </c>
      <c r="BB144" s="486">
        <v>104500000</v>
      </c>
      <c r="BC144" s="486">
        <v>0</v>
      </c>
      <c r="BD144" s="486">
        <v>0</v>
      </c>
      <c r="BE144" s="486">
        <v>0</v>
      </c>
      <c r="BF144" s="486">
        <v>0</v>
      </c>
      <c r="BG144" s="486">
        <v>0</v>
      </c>
      <c r="BH144" s="486">
        <v>0</v>
      </c>
      <c r="BI144" s="486">
        <v>0</v>
      </c>
      <c r="BJ144" s="487">
        <v>104500000</v>
      </c>
      <c r="BK144" s="486">
        <v>0</v>
      </c>
      <c r="BL144" s="486">
        <v>0</v>
      </c>
      <c r="BM144" s="486">
        <v>0</v>
      </c>
      <c r="BN144" s="488">
        <v>0</v>
      </c>
      <c r="BO144" s="490">
        <v>104500000</v>
      </c>
      <c r="BP144" s="486">
        <v>104500000</v>
      </c>
      <c r="BQ144" s="486">
        <v>0</v>
      </c>
      <c r="BR144" s="486">
        <v>0</v>
      </c>
      <c r="BS144" s="486">
        <v>0</v>
      </c>
      <c r="BT144" s="486">
        <v>0</v>
      </c>
      <c r="BU144" s="486">
        <v>0</v>
      </c>
      <c r="BV144" s="486">
        <v>0</v>
      </c>
      <c r="BW144" s="486">
        <v>0</v>
      </c>
      <c r="BX144" s="487">
        <v>104500000</v>
      </c>
      <c r="BY144" s="486">
        <v>0</v>
      </c>
      <c r="BZ144" s="486">
        <v>0</v>
      </c>
      <c r="CA144" s="486">
        <v>0</v>
      </c>
      <c r="CB144" s="488">
        <v>0</v>
      </c>
      <c r="CC144" s="491">
        <v>104500000</v>
      </c>
      <c r="CD144" s="492">
        <v>409000000</v>
      </c>
      <c r="CE144" s="493">
        <f t="shared" si="10"/>
        <v>409000000</v>
      </c>
      <c r="CF144" s="493">
        <f t="shared" si="10"/>
        <v>0</v>
      </c>
      <c r="CG144" s="493">
        <f t="shared" si="10"/>
        <v>0</v>
      </c>
      <c r="CH144" s="493">
        <f t="shared" si="9"/>
        <v>0</v>
      </c>
      <c r="CI144" s="493">
        <f t="shared" si="9"/>
        <v>0</v>
      </c>
      <c r="CJ144" s="493">
        <f t="shared" si="9"/>
        <v>0</v>
      </c>
      <c r="CK144" s="493">
        <f t="shared" si="9"/>
        <v>0</v>
      </c>
      <c r="CL144" s="493">
        <f t="shared" si="9"/>
        <v>0</v>
      </c>
      <c r="CM144" s="493">
        <f t="shared" si="12"/>
        <v>0</v>
      </c>
      <c r="CN144" s="493">
        <f t="shared" si="12"/>
        <v>0</v>
      </c>
      <c r="CO144" s="493">
        <f t="shared" si="12"/>
        <v>0</v>
      </c>
      <c r="CP144" s="494">
        <v>8</v>
      </c>
      <c r="CQ144" s="494" t="s">
        <v>6258</v>
      </c>
    </row>
    <row r="145" spans="1:95" ht="30.45" hidden="1" customHeight="1" thickBot="1">
      <c r="A145" s="555" t="s">
        <v>4281</v>
      </c>
      <c r="B145" s="479">
        <v>143</v>
      </c>
      <c r="C145" s="480" t="s">
        <v>4255</v>
      </c>
      <c r="D145" s="480" t="s">
        <v>4256</v>
      </c>
      <c r="E145" s="480" t="str">
        <f t="shared" si="11"/>
        <v xml:space="preserve">2.1.2 </v>
      </c>
      <c r="F145" s="480" t="s">
        <v>4275</v>
      </c>
      <c r="G145" s="480" t="s">
        <v>4276</v>
      </c>
      <c r="H145" s="481">
        <v>35</v>
      </c>
      <c r="I145" s="480" t="s">
        <v>4277</v>
      </c>
      <c r="J145" s="495">
        <v>350200900</v>
      </c>
      <c r="K145" s="480" t="s">
        <v>4278</v>
      </c>
      <c r="L145" s="480" t="s">
        <v>6475</v>
      </c>
      <c r="M145" s="480" t="s">
        <v>6476</v>
      </c>
      <c r="N145" s="484" t="s">
        <v>6477</v>
      </c>
      <c r="O145" s="480" t="s">
        <v>4279</v>
      </c>
      <c r="P145" s="500" t="s">
        <v>4280</v>
      </c>
      <c r="Q145" s="485">
        <v>120200020</v>
      </c>
      <c r="R145" s="485" t="s">
        <v>5383</v>
      </c>
      <c r="S145" s="485" t="s">
        <v>677</v>
      </c>
      <c r="T145" s="485">
        <v>11.249000000000001</v>
      </c>
      <c r="U145" s="485" t="s">
        <v>5379</v>
      </c>
      <c r="V145" s="485">
        <v>11.249000000000001</v>
      </c>
      <c r="W145" s="485" t="s">
        <v>5384</v>
      </c>
      <c r="X145" s="485" t="s">
        <v>5385</v>
      </c>
      <c r="Y145" s="485" t="s">
        <v>5386</v>
      </c>
      <c r="Z145" s="486">
        <v>400975000</v>
      </c>
      <c r="AA145" s="486">
        <v>0</v>
      </c>
      <c r="AB145" s="486">
        <v>0</v>
      </c>
      <c r="AC145" s="486">
        <v>0</v>
      </c>
      <c r="AD145" s="486">
        <v>0</v>
      </c>
      <c r="AE145" s="486">
        <v>0</v>
      </c>
      <c r="AF145" s="486">
        <v>0</v>
      </c>
      <c r="AG145" s="486">
        <v>0</v>
      </c>
      <c r="AH145" s="487">
        <v>400975000</v>
      </c>
      <c r="AI145" s="486">
        <v>200975000</v>
      </c>
      <c r="AJ145" s="486">
        <v>0</v>
      </c>
      <c r="AK145" s="486">
        <v>0</v>
      </c>
      <c r="AL145" s="488">
        <v>200975000</v>
      </c>
      <c r="AM145" s="489">
        <v>601950000</v>
      </c>
      <c r="AN145" s="486">
        <v>357975000</v>
      </c>
      <c r="AO145" s="486">
        <v>0</v>
      </c>
      <c r="AP145" s="486">
        <v>0</v>
      </c>
      <c r="AQ145" s="486">
        <v>0</v>
      </c>
      <c r="AR145" s="486">
        <v>0</v>
      </c>
      <c r="AS145" s="486">
        <v>0</v>
      </c>
      <c r="AT145" s="486">
        <v>0</v>
      </c>
      <c r="AU145" s="486">
        <v>0</v>
      </c>
      <c r="AV145" s="487">
        <v>357975000</v>
      </c>
      <c r="AW145" s="486">
        <v>157975000</v>
      </c>
      <c r="AX145" s="486">
        <v>0</v>
      </c>
      <c r="AY145" s="486">
        <v>0</v>
      </c>
      <c r="AZ145" s="488">
        <v>157975000</v>
      </c>
      <c r="BA145" s="490">
        <v>515950000</v>
      </c>
      <c r="BB145" s="486">
        <v>357975000</v>
      </c>
      <c r="BC145" s="486">
        <v>0</v>
      </c>
      <c r="BD145" s="486">
        <v>0</v>
      </c>
      <c r="BE145" s="486">
        <v>0</v>
      </c>
      <c r="BF145" s="486">
        <v>0</v>
      </c>
      <c r="BG145" s="486">
        <v>0</v>
      </c>
      <c r="BH145" s="486">
        <v>0</v>
      </c>
      <c r="BI145" s="486">
        <v>0</v>
      </c>
      <c r="BJ145" s="487">
        <v>357975000</v>
      </c>
      <c r="BK145" s="486">
        <v>157975000</v>
      </c>
      <c r="BL145" s="486">
        <v>0</v>
      </c>
      <c r="BM145" s="486">
        <v>0</v>
      </c>
      <c r="BN145" s="488">
        <v>157975000</v>
      </c>
      <c r="BO145" s="490">
        <v>515950000</v>
      </c>
      <c r="BP145" s="486">
        <v>367975000</v>
      </c>
      <c r="BQ145" s="486">
        <v>0</v>
      </c>
      <c r="BR145" s="486">
        <v>0</v>
      </c>
      <c r="BS145" s="486">
        <v>0</v>
      </c>
      <c r="BT145" s="486">
        <v>0</v>
      </c>
      <c r="BU145" s="486">
        <v>0</v>
      </c>
      <c r="BV145" s="486">
        <v>0</v>
      </c>
      <c r="BW145" s="486">
        <v>0</v>
      </c>
      <c r="BX145" s="487">
        <v>367975000</v>
      </c>
      <c r="BY145" s="486">
        <v>167975000</v>
      </c>
      <c r="BZ145" s="486">
        <v>0</v>
      </c>
      <c r="CA145" s="486">
        <v>0</v>
      </c>
      <c r="CB145" s="488">
        <v>167975000</v>
      </c>
      <c r="CC145" s="491">
        <v>535950000</v>
      </c>
      <c r="CD145" s="492">
        <v>2169800000</v>
      </c>
      <c r="CE145" s="493">
        <f t="shared" si="10"/>
        <v>1484900000</v>
      </c>
      <c r="CF145" s="493">
        <f t="shared" si="10"/>
        <v>0</v>
      </c>
      <c r="CG145" s="493">
        <f t="shared" si="10"/>
        <v>0</v>
      </c>
      <c r="CH145" s="493">
        <f t="shared" si="9"/>
        <v>0</v>
      </c>
      <c r="CI145" s="493">
        <f t="shared" si="9"/>
        <v>0</v>
      </c>
      <c r="CJ145" s="493">
        <f t="shared" si="9"/>
        <v>0</v>
      </c>
      <c r="CK145" s="493">
        <f t="shared" si="9"/>
        <v>0</v>
      </c>
      <c r="CL145" s="493">
        <f t="shared" si="9"/>
        <v>0</v>
      </c>
      <c r="CM145" s="493">
        <f t="shared" si="12"/>
        <v>684900000</v>
      </c>
      <c r="CN145" s="493">
        <f t="shared" si="12"/>
        <v>0</v>
      </c>
      <c r="CO145" s="493">
        <f t="shared" si="12"/>
        <v>0</v>
      </c>
      <c r="CP145" s="494" t="s">
        <v>6259</v>
      </c>
      <c r="CQ145" s="494" t="s">
        <v>6260</v>
      </c>
    </row>
    <row r="146" spans="1:95" ht="30.45" hidden="1" customHeight="1" thickBot="1">
      <c r="A146" s="555" t="s">
        <v>4281</v>
      </c>
      <c r="B146" s="479">
        <v>144</v>
      </c>
      <c r="C146" s="480" t="s">
        <v>4255</v>
      </c>
      <c r="D146" s="480" t="s">
        <v>4256</v>
      </c>
      <c r="E146" s="480" t="str">
        <f t="shared" si="11"/>
        <v xml:space="preserve">2.1.2 </v>
      </c>
      <c r="F146" s="480" t="s">
        <v>4275</v>
      </c>
      <c r="G146" s="480" t="s">
        <v>4276</v>
      </c>
      <c r="H146" s="481">
        <v>35</v>
      </c>
      <c r="I146" s="480" t="s">
        <v>4277</v>
      </c>
      <c r="J146" s="495">
        <v>350200400</v>
      </c>
      <c r="K146" s="480" t="s">
        <v>4178</v>
      </c>
      <c r="L146" s="480" t="s">
        <v>5772</v>
      </c>
      <c r="M146" s="480" t="s">
        <v>5773</v>
      </c>
      <c r="N146" s="499">
        <v>0</v>
      </c>
      <c r="O146" s="480" t="s">
        <v>4279</v>
      </c>
      <c r="P146" s="515">
        <v>800</v>
      </c>
      <c r="Q146" s="485">
        <v>120200020</v>
      </c>
      <c r="R146" s="485" t="s">
        <v>5383</v>
      </c>
      <c r="S146" s="485" t="s">
        <v>677</v>
      </c>
      <c r="T146" s="485">
        <v>11.249000000000001</v>
      </c>
      <c r="U146" s="485" t="s">
        <v>5379</v>
      </c>
      <c r="V146" s="485">
        <v>11.249000000000001</v>
      </c>
      <c r="W146" s="485" t="s">
        <v>5384</v>
      </c>
      <c r="X146" s="485" t="s">
        <v>5385</v>
      </c>
      <c r="Y146" s="485" t="s">
        <v>5386</v>
      </c>
      <c r="Z146" s="486">
        <v>0</v>
      </c>
      <c r="AA146" s="486">
        <v>0</v>
      </c>
      <c r="AB146" s="486">
        <v>0</v>
      </c>
      <c r="AC146" s="486">
        <v>0</v>
      </c>
      <c r="AD146" s="486">
        <v>0</v>
      </c>
      <c r="AE146" s="486">
        <v>0</v>
      </c>
      <c r="AF146" s="486">
        <v>0</v>
      </c>
      <c r="AG146" s="486">
        <v>0</v>
      </c>
      <c r="AH146" s="487">
        <v>0</v>
      </c>
      <c r="AI146" s="486">
        <v>0</v>
      </c>
      <c r="AJ146" s="486">
        <v>0</v>
      </c>
      <c r="AK146" s="486">
        <v>1000000000</v>
      </c>
      <c r="AL146" s="488">
        <v>1000000000</v>
      </c>
      <c r="AM146" s="489">
        <v>1000000000</v>
      </c>
      <c r="AN146" s="486">
        <v>0</v>
      </c>
      <c r="AO146" s="486">
        <v>0</v>
      </c>
      <c r="AP146" s="486">
        <v>0</v>
      </c>
      <c r="AQ146" s="486">
        <v>0</v>
      </c>
      <c r="AR146" s="486">
        <v>0</v>
      </c>
      <c r="AS146" s="486">
        <v>0</v>
      </c>
      <c r="AT146" s="486">
        <v>0</v>
      </c>
      <c r="AU146" s="486">
        <v>0</v>
      </c>
      <c r="AV146" s="487">
        <v>0</v>
      </c>
      <c r="AW146" s="486">
        <v>0</v>
      </c>
      <c r="AX146" s="486">
        <v>0</v>
      </c>
      <c r="AY146" s="486">
        <v>1000000000</v>
      </c>
      <c r="AZ146" s="488">
        <v>1000000000</v>
      </c>
      <c r="BA146" s="490">
        <v>1000000000</v>
      </c>
      <c r="BB146" s="486">
        <v>0</v>
      </c>
      <c r="BC146" s="486">
        <v>0</v>
      </c>
      <c r="BD146" s="486">
        <v>0</v>
      </c>
      <c r="BE146" s="486">
        <v>0</v>
      </c>
      <c r="BF146" s="486">
        <v>0</v>
      </c>
      <c r="BG146" s="486">
        <v>0</v>
      </c>
      <c r="BH146" s="486">
        <v>0</v>
      </c>
      <c r="BI146" s="486">
        <v>0</v>
      </c>
      <c r="BJ146" s="487">
        <v>0</v>
      </c>
      <c r="BK146" s="486">
        <v>0</v>
      </c>
      <c r="BL146" s="486">
        <v>0</v>
      </c>
      <c r="BM146" s="486">
        <v>1000000000</v>
      </c>
      <c r="BN146" s="488">
        <v>1000000000</v>
      </c>
      <c r="BO146" s="490">
        <v>1000000000</v>
      </c>
      <c r="BP146" s="486">
        <v>0</v>
      </c>
      <c r="BQ146" s="486">
        <v>0</v>
      </c>
      <c r="BR146" s="486">
        <v>0</v>
      </c>
      <c r="BS146" s="486">
        <v>0</v>
      </c>
      <c r="BT146" s="486">
        <v>0</v>
      </c>
      <c r="BU146" s="486">
        <v>0</v>
      </c>
      <c r="BV146" s="486">
        <v>0</v>
      </c>
      <c r="BW146" s="486">
        <v>0</v>
      </c>
      <c r="BX146" s="487">
        <v>0</v>
      </c>
      <c r="BY146" s="486">
        <v>0</v>
      </c>
      <c r="BZ146" s="486">
        <v>0</v>
      </c>
      <c r="CA146" s="486">
        <v>1000000000</v>
      </c>
      <c r="CB146" s="488">
        <v>1000000000</v>
      </c>
      <c r="CC146" s="491">
        <v>1000000000</v>
      </c>
      <c r="CD146" s="492">
        <v>4000000000</v>
      </c>
      <c r="CE146" s="493">
        <f t="shared" si="10"/>
        <v>0</v>
      </c>
      <c r="CF146" s="493">
        <f t="shared" si="10"/>
        <v>0</v>
      </c>
      <c r="CG146" s="493">
        <f t="shared" si="10"/>
        <v>0</v>
      </c>
      <c r="CH146" s="493">
        <f t="shared" si="9"/>
        <v>0</v>
      </c>
      <c r="CI146" s="493">
        <f t="shared" si="9"/>
        <v>0</v>
      </c>
      <c r="CJ146" s="493">
        <f t="shared" si="9"/>
        <v>0</v>
      </c>
      <c r="CK146" s="493">
        <f t="shared" si="9"/>
        <v>0</v>
      </c>
      <c r="CL146" s="493">
        <f t="shared" si="9"/>
        <v>0</v>
      </c>
      <c r="CM146" s="493">
        <f t="shared" si="12"/>
        <v>0</v>
      </c>
      <c r="CN146" s="493">
        <f t="shared" si="12"/>
        <v>0</v>
      </c>
      <c r="CO146" s="493">
        <f t="shared" si="12"/>
        <v>4000000000</v>
      </c>
      <c r="CP146" s="494" t="s">
        <v>6259</v>
      </c>
      <c r="CQ146" s="494" t="s">
        <v>6261</v>
      </c>
    </row>
    <row r="147" spans="1:95" ht="30.45" hidden="1" customHeight="1" thickBot="1">
      <c r="A147" s="555" t="s">
        <v>4281</v>
      </c>
      <c r="B147" s="479">
        <v>145</v>
      </c>
      <c r="C147" s="480" t="s">
        <v>4255</v>
      </c>
      <c r="D147" s="480" t="s">
        <v>4256</v>
      </c>
      <c r="E147" s="480" t="str">
        <f t="shared" si="11"/>
        <v xml:space="preserve">2.1.2 </v>
      </c>
      <c r="F147" s="480" t="s">
        <v>4275</v>
      </c>
      <c r="G147" s="480" t="s">
        <v>4276</v>
      </c>
      <c r="H147" s="481">
        <v>35</v>
      </c>
      <c r="I147" s="480" t="s">
        <v>4277</v>
      </c>
      <c r="J147" s="495">
        <v>350200300</v>
      </c>
      <c r="K147" s="480" t="s">
        <v>4282</v>
      </c>
      <c r="L147" s="480" t="s">
        <v>4283</v>
      </c>
      <c r="M147" s="480" t="s">
        <v>5774</v>
      </c>
      <c r="N147" s="499">
        <v>3</v>
      </c>
      <c r="O147" s="480" t="s">
        <v>4279</v>
      </c>
      <c r="P147" s="515">
        <v>7</v>
      </c>
      <c r="Q147" s="485">
        <v>120200020</v>
      </c>
      <c r="R147" s="485" t="s">
        <v>5383</v>
      </c>
      <c r="S147" s="485" t="s">
        <v>677</v>
      </c>
      <c r="T147" s="485">
        <v>11.249000000000001</v>
      </c>
      <c r="U147" s="485" t="s">
        <v>5379</v>
      </c>
      <c r="V147" s="485">
        <v>11.249000000000001</v>
      </c>
      <c r="W147" s="485" t="s">
        <v>5384</v>
      </c>
      <c r="X147" s="485" t="s">
        <v>5385</v>
      </c>
      <c r="Y147" s="485" t="s">
        <v>5386</v>
      </c>
      <c r="Z147" s="486">
        <v>105730000</v>
      </c>
      <c r="AA147" s="486">
        <v>0</v>
      </c>
      <c r="AB147" s="486">
        <v>0</v>
      </c>
      <c r="AC147" s="486">
        <v>0</v>
      </c>
      <c r="AD147" s="486">
        <v>0</v>
      </c>
      <c r="AE147" s="486">
        <v>0</v>
      </c>
      <c r="AF147" s="486">
        <v>0</v>
      </c>
      <c r="AG147" s="486">
        <v>0</v>
      </c>
      <c r="AH147" s="487">
        <v>105730000</v>
      </c>
      <c r="AI147" s="486">
        <v>105730000</v>
      </c>
      <c r="AJ147" s="486">
        <v>0</v>
      </c>
      <c r="AK147" s="486">
        <v>0</v>
      </c>
      <c r="AL147" s="488">
        <v>105730000</v>
      </c>
      <c r="AM147" s="489">
        <v>211460000</v>
      </c>
      <c r="AN147" s="486">
        <v>125730000</v>
      </c>
      <c r="AO147" s="486">
        <v>0</v>
      </c>
      <c r="AP147" s="486">
        <v>0</v>
      </c>
      <c r="AQ147" s="486">
        <v>0</v>
      </c>
      <c r="AR147" s="486">
        <v>0</v>
      </c>
      <c r="AS147" s="486">
        <v>0</v>
      </c>
      <c r="AT147" s="486">
        <v>0</v>
      </c>
      <c r="AU147" s="486">
        <v>0</v>
      </c>
      <c r="AV147" s="487">
        <v>125730000</v>
      </c>
      <c r="AW147" s="486">
        <v>105730000</v>
      </c>
      <c r="AX147" s="486">
        <v>0</v>
      </c>
      <c r="AY147" s="486">
        <v>0</v>
      </c>
      <c r="AZ147" s="488">
        <v>105730000</v>
      </c>
      <c r="BA147" s="490">
        <v>231460000</v>
      </c>
      <c r="BB147" s="486">
        <v>125730000</v>
      </c>
      <c r="BC147" s="486">
        <v>0</v>
      </c>
      <c r="BD147" s="486">
        <v>0</v>
      </c>
      <c r="BE147" s="486">
        <v>0</v>
      </c>
      <c r="BF147" s="486">
        <v>0</v>
      </c>
      <c r="BG147" s="486">
        <v>0</v>
      </c>
      <c r="BH147" s="486">
        <v>0</v>
      </c>
      <c r="BI147" s="486">
        <v>0</v>
      </c>
      <c r="BJ147" s="487">
        <v>125730000</v>
      </c>
      <c r="BK147" s="486">
        <v>105730000</v>
      </c>
      <c r="BL147" s="486">
        <v>0</v>
      </c>
      <c r="BM147" s="486">
        <v>0</v>
      </c>
      <c r="BN147" s="488">
        <v>105730000</v>
      </c>
      <c r="BO147" s="490">
        <v>231460000</v>
      </c>
      <c r="BP147" s="486">
        <v>132195472</v>
      </c>
      <c r="BQ147" s="486">
        <v>0</v>
      </c>
      <c r="BR147" s="486">
        <v>0</v>
      </c>
      <c r="BS147" s="486">
        <v>0</v>
      </c>
      <c r="BT147" s="486">
        <v>0</v>
      </c>
      <c r="BU147" s="486">
        <v>0</v>
      </c>
      <c r="BV147" s="486">
        <v>0</v>
      </c>
      <c r="BW147" s="486">
        <v>0</v>
      </c>
      <c r="BX147" s="487">
        <v>132195472</v>
      </c>
      <c r="BY147" s="486">
        <v>105730000</v>
      </c>
      <c r="BZ147" s="486">
        <v>0</v>
      </c>
      <c r="CA147" s="486">
        <v>0</v>
      </c>
      <c r="CB147" s="488">
        <v>105730000</v>
      </c>
      <c r="CC147" s="491">
        <v>237925472</v>
      </c>
      <c r="CD147" s="492">
        <v>912305472</v>
      </c>
      <c r="CE147" s="493">
        <f t="shared" si="10"/>
        <v>489385472</v>
      </c>
      <c r="CF147" s="493">
        <f t="shared" si="10"/>
        <v>0</v>
      </c>
      <c r="CG147" s="493">
        <f t="shared" si="10"/>
        <v>0</v>
      </c>
      <c r="CH147" s="493">
        <f t="shared" si="9"/>
        <v>0</v>
      </c>
      <c r="CI147" s="493">
        <f t="shared" si="9"/>
        <v>0</v>
      </c>
      <c r="CJ147" s="493">
        <f t="shared" si="9"/>
        <v>0</v>
      </c>
      <c r="CK147" s="493">
        <f t="shared" si="9"/>
        <v>0</v>
      </c>
      <c r="CL147" s="493">
        <f t="shared" si="9"/>
        <v>0</v>
      </c>
      <c r="CM147" s="493">
        <f t="shared" si="12"/>
        <v>422920000</v>
      </c>
      <c r="CN147" s="493">
        <f t="shared" si="12"/>
        <v>0</v>
      </c>
      <c r="CO147" s="493">
        <f t="shared" si="12"/>
        <v>0</v>
      </c>
      <c r="CP147" s="494" t="s">
        <v>6259</v>
      </c>
      <c r="CQ147" s="494" t="s">
        <v>6262</v>
      </c>
    </row>
    <row r="148" spans="1:95" ht="30.45" hidden="1" customHeight="1" thickBot="1">
      <c r="A148" s="555" t="s">
        <v>4289</v>
      </c>
      <c r="B148" s="479">
        <v>146</v>
      </c>
      <c r="C148" s="480" t="s">
        <v>4255</v>
      </c>
      <c r="D148" s="480" t="s">
        <v>4256</v>
      </c>
      <c r="E148" s="480" t="str">
        <f t="shared" si="11"/>
        <v>2.1.3 </v>
      </c>
      <c r="F148" s="480" t="s">
        <v>4284</v>
      </c>
      <c r="G148" s="480" t="s">
        <v>4285</v>
      </c>
      <c r="H148" s="481">
        <v>35</v>
      </c>
      <c r="I148" s="480" t="s">
        <v>4277</v>
      </c>
      <c r="J148" s="495">
        <v>350204600</v>
      </c>
      <c r="K148" s="480" t="s">
        <v>4286</v>
      </c>
      <c r="L148" s="480" t="s">
        <v>4287</v>
      </c>
      <c r="M148" s="480" t="s">
        <v>5775</v>
      </c>
      <c r="N148" s="499">
        <v>28</v>
      </c>
      <c r="O148" s="480" t="s">
        <v>4288</v>
      </c>
      <c r="P148" s="515">
        <v>32</v>
      </c>
      <c r="Q148" s="485" t="s">
        <v>5349</v>
      </c>
      <c r="R148" s="485" t="s">
        <v>5387</v>
      </c>
      <c r="S148" s="485" t="s">
        <v>689</v>
      </c>
      <c r="T148" s="485" t="s">
        <v>5388</v>
      </c>
      <c r="U148" s="485" t="s">
        <v>5389</v>
      </c>
      <c r="V148" s="485" t="s">
        <v>5390</v>
      </c>
      <c r="W148" s="485" t="s">
        <v>5331</v>
      </c>
      <c r="X148" s="485">
        <v>17</v>
      </c>
      <c r="Y148" s="485" t="s">
        <v>5391</v>
      </c>
      <c r="Z148" s="486">
        <v>505514500</v>
      </c>
      <c r="AA148" s="486">
        <v>0</v>
      </c>
      <c r="AB148" s="486">
        <v>0</v>
      </c>
      <c r="AC148" s="486">
        <v>0</v>
      </c>
      <c r="AD148" s="486">
        <v>0</v>
      </c>
      <c r="AE148" s="486">
        <v>0</v>
      </c>
      <c r="AF148" s="486">
        <v>0</v>
      </c>
      <c r="AG148" s="486">
        <v>0</v>
      </c>
      <c r="AH148" s="487">
        <v>505514500</v>
      </c>
      <c r="AI148" s="486">
        <v>1300000000</v>
      </c>
      <c r="AJ148" s="486">
        <v>600000000</v>
      </c>
      <c r="AK148" s="486">
        <v>0</v>
      </c>
      <c r="AL148" s="488">
        <v>1900000000</v>
      </c>
      <c r="AM148" s="489">
        <v>2405514500</v>
      </c>
      <c r="AN148" s="486">
        <v>524065840</v>
      </c>
      <c r="AO148" s="486">
        <v>0</v>
      </c>
      <c r="AP148" s="486">
        <v>0</v>
      </c>
      <c r="AQ148" s="486">
        <v>0</v>
      </c>
      <c r="AR148" s="486">
        <v>0</v>
      </c>
      <c r="AS148" s="486">
        <v>0</v>
      </c>
      <c r="AT148" s="486">
        <v>0</v>
      </c>
      <c r="AU148" s="486">
        <v>0</v>
      </c>
      <c r="AV148" s="487">
        <v>524065840</v>
      </c>
      <c r="AW148" s="486">
        <v>300000000</v>
      </c>
      <c r="AX148" s="486">
        <v>300000000</v>
      </c>
      <c r="AY148" s="486">
        <v>0</v>
      </c>
      <c r="AZ148" s="488">
        <v>600000000</v>
      </c>
      <c r="BA148" s="490">
        <v>1124065840</v>
      </c>
      <c r="BB148" s="486">
        <v>544472424</v>
      </c>
      <c r="BC148" s="486">
        <v>0</v>
      </c>
      <c r="BD148" s="486">
        <v>0</v>
      </c>
      <c r="BE148" s="486">
        <v>0</v>
      </c>
      <c r="BF148" s="486">
        <v>0</v>
      </c>
      <c r="BG148" s="486">
        <v>0</v>
      </c>
      <c r="BH148" s="486">
        <v>0</v>
      </c>
      <c r="BI148" s="486">
        <v>0</v>
      </c>
      <c r="BJ148" s="487">
        <v>544472424</v>
      </c>
      <c r="BK148" s="486">
        <v>310000000</v>
      </c>
      <c r="BL148" s="486">
        <v>0</v>
      </c>
      <c r="BM148" s="486">
        <v>0</v>
      </c>
      <c r="BN148" s="488">
        <v>310000000</v>
      </c>
      <c r="BO148" s="490">
        <v>854472424</v>
      </c>
      <c r="BP148" s="486">
        <v>566919667</v>
      </c>
      <c r="BQ148" s="486">
        <v>0</v>
      </c>
      <c r="BR148" s="486">
        <v>0</v>
      </c>
      <c r="BS148" s="486">
        <v>0</v>
      </c>
      <c r="BT148" s="486">
        <v>0</v>
      </c>
      <c r="BU148" s="486">
        <v>0</v>
      </c>
      <c r="BV148" s="486">
        <v>0</v>
      </c>
      <c r="BW148" s="486">
        <v>0</v>
      </c>
      <c r="BX148" s="487">
        <v>566919667</v>
      </c>
      <c r="BY148" s="486">
        <v>330000000</v>
      </c>
      <c r="BZ148" s="486">
        <v>0</v>
      </c>
      <c r="CA148" s="486">
        <v>0</v>
      </c>
      <c r="CB148" s="488">
        <v>330000000</v>
      </c>
      <c r="CC148" s="491">
        <v>896919667</v>
      </c>
      <c r="CD148" s="492">
        <v>5280972431</v>
      </c>
      <c r="CE148" s="493">
        <f t="shared" si="10"/>
        <v>2140972431</v>
      </c>
      <c r="CF148" s="493">
        <f t="shared" si="10"/>
        <v>0</v>
      </c>
      <c r="CG148" s="493">
        <f t="shared" si="10"/>
        <v>0</v>
      </c>
      <c r="CH148" s="493">
        <f t="shared" si="9"/>
        <v>0</v>
      </c>
      <c r="CI148" s="493">
        <f t="shared" si="9"/>
        <v>0</v>
      </c>
      <c r="CJ148" s="493">
        <f t="shared" si="9"/>
        <v>0</v>
      </c>
      <c r="CK148" s="493">
        <f t="shared" si="9"/>
        <v>0</v>
      </c>
      <c r="CL148" s="493">
        <f t="shared" si="9"/>
        <v>0</v>
      </c>
      <c r="CM148" s="493">
        <f t="shared" si="12"/>
        <v>2240000000</v>
      </c>
      <c r="CN148" s="493">
        <f t="shared" si="12"/>
        <v>900000000</v>
      </c>
      <c r="CO148" s="493">
        <f t="shared" si="12"/>
        <v>0</v>
      </c>
      <c r="CP148" s="502" t="s">
        <v>6263</v>
      </c>
      <c r="CQ148" s="502" t="s">
        <v>6264</v>
      </c>
    </row>
    <row r="149" spans="1:95" ht="30.45" hidden="1" customHeight="1" thickBot="1">
      <c r="A149" s="555" t="s">
        <v>4289</v>
      </c>
      <c r="B149" s="479">
        <v>147</v>
      </c>
      <c r="C149" s="480" t="s">
        <v>4255</v>
      </c>
      <c r="D149" s="480" t="s">
        <v>4256</v>
      </c>
      <c r="E149" s="480" t="str">
        <f t="shared" si="11"/>
        <v>2.1.3 </v>
      </c>
      <c r="F149" s="480" t="s">
        <v>4284</v>
      </c>
      <c r="G149" s="480" t="s">
        <v>4285</v>
      </c>
      <c r="H149" s="481">
        <v>35</v>
      </c>
      <c r="I149" s="480" t="s">
        <v>4277</v>
      </c>
      <c r="J149" s="495">
        <v>350204602</v>
      </c>
      <c r="K149" s="480" t="s">
        <v>4286</v>
      </c>
      <c r="L149" s="480" t="s">
        <v>4290</v>
      </c>
      <c r="M149" s="480" t="s">
        <v>5776</v>
      </c>
      <c r="N149" s="499">
        <v>40</v>
      </c>
      <c r="O149" s="480" t="s">
        <v>4288</v>
      </c>
      <c r="P149" s="515">
        <v>60</v>
      </c>
      <c r="Q149" s="485" t="s">
        <v>5349</v>
      </c>
      <c r="R149" s="485" t="s">
        <v>5387</v>
      </c>
      <c r="S149" s="485" t="s">
        <v>689</v>
      </c>
      <c r="T149" s="485" t="s">
        <v>5388</v>
      </c>
      <c r="U149" s="485" t="s">
        <v>5389</v>
      </c>
      <c r="V149" s="485" t="s">
        <v>5390</v>
      </c>
      <c r="W149" s="485" t="s">
        <v>5331</v>
      </c>
      <c r="X149" s="485">
        <v>17</v>
      </c>
      <c r="Y149" s="485" t="s">
        <v>5391</v>
      </c>
      <c r="Z149" s="486">
        <v>373245400</v>
      </c>
      <c r="AA149" s="486">
        <v>0</v>
      </c>
      <c r="AB149" s="486">
        <v>0</v>
      </c>
      <c r="AC149" s="486">
        <v>0</v>
      </c>
      <c r="AD149" s="486">
        <v>0</v>
      </c>
      <c r="AE149" s="486">
        <v>0</v>
      </c>
      <c r="AF149" s="486">
        <v>0</v>
      </c>
      <c r="AG149" s="486">
        <v>0</v>
      </c>
      <c r="AH149" s="487">
        <v>373245400</v>
      </c>
      <c r="AI149" s="486">
        <v>100000000</v>
      </c>
      <c r="AJ149" s="486">
        <v>0</v>
      </c>
      <c r="AK149" s="486">
        <v>0</v>
      </c>
      <c r="AL149" s="488">
        <v>100000000</v>
      </c>
      <c r="AM149" s="489">
        <v>473245400</v>
      </c>
      <c r="AN149" s="486">
        <v>376571040</v>
      </c>
      <c r="AO149" s="486">
        <v>0</v>
      </c>
      <c r="AP149" s="486">
        <v>0</v>
      </c>
      <c r="AQ149" s="486">
        <v>0</v>
      </c>
      <c r="AR149" s="486">
        <v>0</v>
      </c>
      <c r="AS149" s="486">
        <v>0</v>
      </c>
      <c r="AT149" s="486">
        <v>0</v>
      </c>
      <c r="AU149" s="486">
        <v>0</v>
      </c>
      <c r="AV149" s="487">
        <v>376571040</v>
      </c>
      <c r="AW149" s="486">
        <v>210000000</v>
      </c>
      <c r="AX149" s="486">
        <v>0</v>
      </c>
      <c r="AY149" s="486">
        <v>0</v>
      </c>
      <c r="AZ149" s="488">
        <v>210000000</v>
      </c>
      <c r="BA149" s="490">
        <v>586571040</v>
      </c>
      <c r="BB149" s="486">
        <v>380228144</v>
      </c>
      <c r="BC149" s="486">
        <v>0</v>
      </c>
      <c r="BD149" s="486">
        <v>0</v>
      </c>
      <c r="BE149" s="486">
        <v>0</v>
      </c>
      <c r="BF149" s="486">
        <v>0</v>
      </c>
      <c r="BG149" s="486">
        <v>0</v>
      </c>
      <c r="BH149" s="486">
        <v>0</v>
      </c>
      <c r="BI149" s="486">
        <v>0</v>
      </c>
      <c r="BJ149" s="487">
        <v>380228144</v>
      </c>
      <c r="BK149" s="486">
        <v>220000000</v>
      </c>
      <c r="BL149" s="486">
        <v>0</v>
      </c>
      <c r="BM149" s="486">
        <v>0</v>
      </c>
      <c r="BN149" s="488">
        <v>220000000</v>
      </c>
      <c r="BO149" s="490">
        <v>600228144</v>
      </c>
      <c r="BP149" s="486">
        <v>384250959</v>
      </c>
      <c r="BQ149" s="486">
        <v>0</v>
      </c>
      <c r="BR149" s="486">
        <v>0</v>
      </c>
      <c r="BS149" s="486">
        <v>0</v>
      </c>
      <c r="BT149" s="486">
        <v>0</v>
      </c>
      <c r="BU149" s="486">
        <v>0</v>
      </c>
      <c r="BV149" s="486">
        <v>0</v>
      </c>
      <c r="BW149" s="486">
        <v>0</v>
      </c>
      <c r="BX149" s="487">
        <v>384250959</v>
      </c>
      <c r="BY149" s="486">
        <v>230000000</v>
      </c>
      <c r="BZ149" s="486">
        <v>0</v>
      </c>
      <c r="CA149" s="486">
        <v>0</v>
      </c>
      <c r="CB149" s="488">
        <v>230000000</v>
      </c>
      <c r="CC149" s="491">
        <v>614250959</v>
      </c>
      <c r="CD149" s="492">
        <v>2274295543</v>
      </c>
      <c r="CE149" s="493">
        <f t="shared" si="10"/>
        <v>1514295543</v>
      </c>
      <c r="CF149" s="493">
        <f t="shared" si="10"/>
        <v>0</v>
      </c>
      <c r="CG149" s="493">
        <f t="shared" si="10"/>
        <v>0</v>
      </c>
      <c r="CH149" s="493">
        <f t="shared" si="9"/>
        <v>0</v>
      </c>
      <c r="CI149" s="493">
        <f t="shared" si="9"/>
        <v>0</v>
      </c>
      <c r="CJ149" s="493">
        <f t="shared" si="9"/>
        <v>0</v>
      </c>
      <c r="CK149" s="493">
        <f t="shared" si="9"/>
        <v>0</v>
      </c>
      <c r="CL149" s="493">
        <f t="shared" si="9"/>
        <v>0</v>
      </c>
      <c r="CM149" s="493">
        <f t="shared" si="12"/>
        <v>760000000</v>
      </c>
      <c r="CN149" s="493">
        <f t="shared" si="12"/>
        <v>0</v>
      </c>
      <c r="CO149" s="493">
        <f t="shared" si="12"/>
        <v>0</v>
      </c>
      <c r="CP149" s="502" t="s">
        <v>6263</v>
      </c>
      <c r="CQ149" s="502" t="s">
        <v>6264</v>
      </c>
    </row>
    <row r="150" spans="1:95" ht="30.45" hidden="1" customHeight="1" thickBot="1">
      <c r="A150" s="555" t="s">
        <v>4281</v>
      </c>
      <c r="B150" s="479">
        <v>148</v>
      </c>
      <c r="C150" s="480" t="s">
        <v>4255</v>
      </c>
      <c r="D150" s="480" t="s">
        <v>4256</v>
      </c>
      <c r="E150" s="480" t="str">
        <f t="shared" si="11"/>
        <v>2.1.4 </v>
      </c>
      <c r="F150" s="480" t="s">
        <v>4291</v>
      </c>
      <c r="G150" s="480" t="s">
        <v>4292</v>
      </c>
      <c r="H150" s="481">
        <v>35</v>
      </c>
      <c r="I150" s="480" t="s">
        <v>4277</v>
      </c>
      <c r="J150" s="495">
        <v>350202200</v>
      </c>
      <c r="K150" s="480" t="s">
        <v>4178</v>
      </c>
      <c r="L150" s="480" t="s">
        <v>4293</v>
      </c>
      <c r="M150" s="480" t="s">
        <v>6478</v>
      </c>
      <c r="N150" s="499">
        <v>20</v>
      </c>
      <c r="O150" s="480" t="s">
        <v>4279</v>
      </c>
      <c r="P150" s="515">
        <v>120</v>
      </c>
      <c r="Q150" s="485" t="s">
        <v>5349</v>
      </c>
      <c r="R150" s="485" t="s">
        <v>5392</v>
      </c>
      <c r="S150" s="485" t="s">
        <v>689</v>
      </c>
      <c r="T150" s="485">
        <v>1.37</v>
      </c>
      <c r="U150" s="485" t="s">
        <v>5393</v>
      </c>
      <c r="V150" s="485">
        <v>1.38</v>
      </c>
      <c r="W150" s="485" t="s">
        <v>5384</v>
      </c>
      <c r="X150" s="485" t="s">
        <v>5394</v>
      </c>
      <c r="Y150" s="485" t="s">
        <v>5395</v>
      </c>
      <c r="Z150" s="486">
        <v>87730000</v>
      </c>
      <c r="AA150" s="486">
        <v>0</v>
      </c>
      <c r="AB150" s="486">
        <v>0</v>
      </c>
      <c r="AC150" s="486">
        <v>0</v>
      </c>
      <c r="AD150" s="486">
        <v>0</v>
      </c>
      <c r="AE150" s="486">
        <v>0</v>
      </c>
      <c r="AF150" s="486">
        <v>0</v>
      </c>
      <c r="AG150" s="486">
        <v>0</v>
      </c>
      <c r="AH150" s="487">
        <v>87730000</v>
      </c>
      <c r="AI150" s="486">
        <v>87730000</v>
      </c>
      <c r="AJ150" s="486">
        <v>0</v>
      </c>
      <c r="AK150" s="486">
        <v>480000000</v>
      </c>
      <c r="AL150" s="488">
        <v>567730000</v>
      </c>
      <c r="AM150" s="489">
        <v>655460000</v>
      </c>
      <c r="AN150" s="486">
        <v>75730000</v>
      </c>
      <c r="AO150" s="486">
        <v>0</v>
      </c>
      <c r="AP150" s="486">
        <v>0</v>
      </c>
      <c r="AQ150" s="486">
        <v>0</v>
      </c>
      <c r="AR150" s="486">
        <v>0</v>
      </c>
      <c r="AS150" s="486">
        <v>0</v>
      </c>
      <c r="AT150" s="486">
        <v>0</v>
      </c>
      <c r="AU150" s="486">
        <v>0</v>
      </c>
      <c r="AV150" s="487">
        <v>75730000</v>
      </c>
      <c r="AW150" s="486">
        <v>75730000</v>
      </c>
      <c r="AX150" s="486">
        <v>0</v>
      </c>
      <c r="AY150" s="486">
        <v>480000000</v>
      </c>
      <c r="AZ150" s="488">
        <v>555730000</v>
      </c>
      <c r="BA150" s="490">
        <v>631460000</v>
      </c>
      <c r="BB150" s="486">
        <v>75730000</v>
      </c>
      <c r="BC150" s="486">
        <v>0</v>
      </c>
      <c r="BD150" s="486">
        <v>0</v>
      </c>
      <c r="BE150" s="486">
        <v>0</v>
      </c>
      <c r="BF150" s="486">
        <v>0</v>
      </c>
      <c r="BG150" s="486">
        <v>0</v>
      </c>
      <c r="BH150" s="486">
        <v>0</v>
      </c>
      <c r="BI150" s="486">
        <v>0</v>
      </c>
      <c r="BJ150" s="487">
        <v>75730000</v>
      </c>
      <c r="BK150" s="486">
        <v>75730000</v>
      </c>
      <c r="BL150" s="486">
        <v>0</v>
      </c>
      <c r="BM150" s="486">
        <v>480000000</v>
      </c>
      <c r="BN150" s="488">
        <v>555730000</v>
      </c>
      <c r="BO150" s="490">
        <v>631460000</v>
      </c>
      <c r="BP150" s="486">
        <v>89730000</v>
      </c>
      <c r="BQ150" s="486">
        <v>0</v>
      </c>
      <c r="BR150" s="486">
        <v>0</v>
      </c>
      <c r="BS150" s="486">
        <v>0</v>
      </c>
      <c r="BT150" s="486">
        <v>0</v>
      </c>
      <c r="BU150" s="486">
        <v>0</v>
      </c>
      <c r="BV150" s="486">
        <v>0</v>
      </c>
      <c r="BW150" s="486">
        <v>0</v>
      </c>
      <c r="BX150" s="487">
        <v>89730000</v>
      </c>
      <c r="BY150" s="486">
        <v>75730000</v>
      </c>
      <c r="BZ150" s="486">
        <v>0</v>
      </c>
      <c r="CA150" s="486">
        <v>480000000</v>
      </c>
      <c r="CB150" s="488">
        <v>555730000</v>
      </c>
      <c r="CC150" s="491">
        <v>645460000</v>
      </c>
      <c r="CD150" s="492">
        <v>2563840000</v>
      </c>
      <c r="CE150" s="493">
        <f t="shared" si="10"/>
        <v>328920000</v>
      </c>
      <c r="CF150" s="493">
        <f t="shared" si="10"/>
        <v>0</v>
      </c>
      <c r="CG150" s="493">
        <f t="shared" si="10"/>
        <v>0</v>
      </c>
      <c r="CH150" s="493">
        <f t="shared" si="9"/>
        <v>0</v>
      </c>
      <c r="CI150" s="493">
        <f t="shared" si="9"/>
        <v>0</v>
      </c>
      <c r="CJ150" s="493">
        <f t="shared" si="9"/>
        <v>0</v>
      </c>
      <c r="CK150" s="493">
        <f t="shared" si="9"/>
        <v>0</v>
      </c>
      <c r="CL150" s="493">
        <f t="shared" si="9"/>
        <v>0</v>
      </c>
      <c r="CM150" s="493">
        <f t="shared" si="12"/>
        <v>314920000</v>
      </c>
      <c r="CN150" s="493">
        <f t="shared" si="12"/>
        <v>0</v>
      </c>
      <c r="CO150" s="493">
        <f t="shared" si="12"/>
        <v>1920000000</v>
      </c>
      <c r="CP150" s="494" t="s">
        <v>6265</v>
      </c>
      <c r="CQ150" s="516" t="s">
        <v>6266</v>
      </c>
    </row>
    <row r="151" spans="1:95" ht="30.45" hidden="1" customHeight="1" thickBot="1">
      <c r="A151" s="555" t="s">
        <v>4281</v>
      </c>
      <c r="B151" s="479">
        <v>149</v>
      </c>
      <c r="C151" s="480" t="s">
        <v>4255</v>
      </c>
      <c r="D151" s="480" t="s">
        <v>4256</v>
      </c>
      <c r="E151" s="480" t="str">
        <f t="shared" si="11"/>
        <v>2.1.4 </v>
      </c>
      <c r="F151" s="480" t="s">
        <v>4291</v>
      </c>
      <c r="G151" s="480" t="s">
        <v>4292</v>
      </c>
      <c r="H151" s="481">
        <v>35</v>
      </c>
      <c r="I151" s="480" t="s">
        <v>4277</v>
      </c>
      <c r="J151" s="495">
        <v>350204700</v>
      </c>
      <c r="K151" s="480" t="s">
        <v>4063</v>
      </c>
      <c r="L151" s="480" t="s">
        <v>4294</v>
      </c>
      <c r="M151" s="480" t="s">
        <v>5777</v>
      </c>
      <c r="N151" s="499">
        <v>4</v>
      </c>
      <c r="O151" s="480" t="s">
        <v>4279</v>
      </c>
      <c r="P151" s="515">
        <v>9</v>
      </c>
      <c r="Q151" s="485" t="s">
        <v>5349</v>
      </c>
      <c r="R151" s="485" t="s">
        <v>5392</v>
      </c>
      <c r="S151" s="485" t="s">
        <v>689</v>
      </c>
      <c r="T151" s="485">
        <v>1.37</v>
      </c>
      <c r="U151" s="485" t="s">
        <v>5393</v>
      </c>
      <c r="V151" s="485">
        <v>1.38</v>
      </c>
      <c r="W151" s="485" t="s">
        <v>5384</v>
      </c>
      <c r="X151" s="485" t="s">
        <v>5394</v>
      </c>
      <c r="Y151" s="485" t="s">
        <v>5395</v>
      </c>
      <c r="Z151" s="486">
        <v>71460000</v>
      </c>
      <c r="AA151" s="486">
        <v>0</v>
      </c>
      <c r="AB151" s="486">
        <v>0</v>
      </c>
      <c r="AC151" s="486">
        <v>0</v>
      </c>
      <c r="AD151" s="486">
        <v>0</v>
      </c>
      <c r="AE151" s="486">
        <v>0</v>
      </c>
      <c r="AF151" s="486">
        <v>0</v>
      </c>
      <c r="AG151" s="486">
        <v>0</v>
      </c>
      <c r="AH151" s="487">
        <v>71460000</v>
      </c>
      <c r="AI151" s="486">
        <v>71460000</v>
      </c>
      <c r="AJ151" s="486">
        <v>0</v>
      </c>
      <c r="AK151" s="486">
        <v>0</v>
      </c>
      <c r="AL151" s="488">
        <v>71460000</v>
      </c>
      <c r="AM151" s="489">
        <v>142920000</v>
      </c>
      <c r="AN151" s="486">
        <v>71460000</v>
      </c>
      <c r="AO151" s="486">
        <v>0</v>
      </c>
      <c r="AP151" s="486">
        <v>0</v>
      </c>
      <c r="AQ151" s="486">
        <v>0</v>
      </c>
      <c r="AR151" s="486">
        <v>0</v>
      </c>
      <c r="AS151" s="486">
        <v>0</v>
      </c>
      <c r="AT151" s="486">
        <v>0</v>
      </c>
      <c r="AU151" s="486">
        <v>0</v>
      </c>
      <c r="AV151" s="487">
        <v>71460000</v>
      </c>
      <c r="AW151" s="486">
        <v>71460000</v>
      </c>
      <c r="AX151" s="486">
        <v>0</v>
      </c>
      <c r="AY151" s="486">
        <v>0</v>
      </c>
      <c r="AZ151" s="488">
        <v>71460000</v>
      </c>
      <c r="BA151" s="490">
        <v>142920000</v>
      </c>
      <c r="BB151" s="486">
        <v>71460000</v>
      </c>
      <c r="BC151" s="486">
        <v>0</v>
      </c>
      <c r="BD151" s="486">
        <v>0</v>
      </c>
      <c r="BE151" s="486">
        <v>0</v>
      </c>
      <c r="BF151" s="486">
        <v>0</v>
      </c>
      <c r="BG151" s="486">
        <v>0</v>
      </c>
      <c r="BH151" s="486">
        <v>0</v>
      </c>
      <c r="BI151" s="486">
        <v>0</v>
      </c>
      <c r="BJ151" s="487">
        <v>71460000</v>
      </c>
      <c r="BK151" s="486">
        <v>71460000</v>
      </c>
      <c r="BL151" s="486">
        <v>0</v>
      </c>
      <c r="BM151" s="486">
        <v>0</v>
      </c>
      <c r="BN151" s="488">
        <v>71460000</v>
      </c>
      <c r="BO151" s="490">
        <v>142920000</v>
      </c>
      <c r="BP151" s="486">
        <v>71460000</v>
      </c>
      <c r="BQ151" s="486">
        <v>0</v>
      </c>
      <c r="BR151" s="486">
        <v>0</v>
      </c>
      <c r="BS151" s="486">
        <v>0</v>
      </c>
      <c r="BT151" s="486">
        <v>0</v>
      </c>
      <c r="BU151" s="486">
        <v>0</v>
      </c>
      <c r="BV151" s="486">
        <v>0</v>
      </c>
      <c r="BW151" s="486">
        <v>0</v>
      </c>
      <c r="BX151" s="487">
        <v>71460000</v>
      </c>
      <c r="BY151" s="486">
        <v>71460000</v>
      </c>
      <c r="BZ151" s="486">
        <v>0</v>
      </c>
      <c r="CA151" s="486">
        <v>0</v>
      </c>
      <c r="CB151" s="488">
        <v>71460000</v>
      </c>
      <c r="CC151" s="491">
        <v>142920000</v>
      </c>
      <c r="CD151" s="492">
        <v>571680000</v>
      </c>
      <c r="CE151" s="493">
        <f t="shared" si="10"/>
        <v>285840000</v>
      </c>
      <c r="CF151" s="493">
        <f t="shared" si="10"/>
        <v>0</v>
      </c>
      <c r="CG151" s="493">
        <f t="shared" si="10"/>
        <v>0</v>
      </c>
      <c r="CH151" s="493">
        <f t="shared" si="9"/>
        <v>0</v>
      </c>
      <c r="CI151" s="493">
        <f t="shared" si="9"/>
        <v>0</v>
      </c>
      <c r="CJ151" s="493">
        <f t="shared" si="9"/>
        <v>0</v>
      </c>
      <c r="CK151" s="493">
        <f t="shared" si="9"/>
        <v>0</v>
      </c>
      <c r="CL151" s="493">
        <f t="shared" si="9"/>
        <v>0</v>
      </c>
      <c r="CM151" s="493">
        <f t="shared" si="12"/>
        <v>285840000</v>
      </c>
      <c r="CN151" s="493">
        <f t="shared" si="12"/>
        <v>0</v>
      </c>
      <c r="CO151" s="493">
        <f t="shared" si="12"/>
        <v>0</v>
      </c>
      <c r="CP151" s="494" t="s">
        <v>6265</v>
      </c>
      <c r="CQ151" s="516" t="s">
        <v>6266</v>
      </c>
    </row>
    <row r="152" spans="1:95" ht="30.45" hidden="1" customHeight="1" thickBot="1">
      <c r="A152" s="555" t="s">
        <v>4281</v>
      </c>
      <c r="B152" s="479">
        <v>150</v>
      </c>
      <c r="C152" s="480" t="s">
        <v>4255</v>
      </c>
      <c r="D152" s="480" t="s">
        <v>4256</v>
      </c>
      <c r="E152" s="480" t="str">
        <f t="shared" si="11"/>
        <v xml:space="preserve">2.1.5 </v>
      </c>
      <c r="F152" s="480" t="s">
        <v>4295</v>
      </c>
      <c r="G152" s="480" t="s">
        <v>4296</v>
      </c>
      <c r="H152" s="481">
        <v>36</v>
      </c>
      <c r="I152" s="480" t="s">
        <v>4297</v>
      </c>
      <c r="J152" s="495">
        <v>360500100</v>
      </c>
      <c r="K152" s="480" t="s">
        <v>4063</v>
      </c>
      <c r="L152" s="480" t="s">
        <v>4298</v>
      </c>
      <c r="M152" s="480" t="s">
        <v>5778</v>
      </c>
      <c r="N152" s="499">
        <v>19</v>
      </c>
      <c r="O152" s="480" t="s">
        <v>4279</v>
      </c>
      <c r="P152" s="515">
        <v>25</v>
      </c>
      <c r="Q152" s="485" t="s">
        <v>5349</v>
      </c>
      <c r="R152" s="485" t="s">
        <v>5396</v>
      </c>
      <c r="S152" s="485" t="s">
        <v>5320</v>
      </c>
      <c r="T152" s="485">
        <v>10</v>
      </c>
      <c r="U152" s="485" t="s">
        <v>5393</v>
      </c>
      <c r="V152" s="485">
        <v>10</v>
      </c>
      <c r="W152" s="485" t="s">
        <v>5384</v>
      </c>
      <c r="X152" s="485" t="s">
        <v>5394</v>
      </c>
      <c r="Y152" s="485" t="s">
        <v>5395</v>
      </c>
      <c r="Z152" s="486">
        <v>35730000</v>
      </c>
      <c r="AA152" s="486">
        <v>0</v>
      </c>
      <c r="AB152" s="486">
        <v>0</v>
      </c>
      <c r="AC152" s="486">
        <v>0</v>
      </c>
      <c r="AD152" s="486">
        <v>0</v>
      </c>
      <c r="AE152" s="486">
        <v>0</v>
      </c>
      <c r="AF152" s="486">
        <v>0</v>
      </c>
      <c r="AG152" s="486">
        <v>0</v>
      </c>
      <c r="AH152" s="487">
        <v>35730000</v>
      </c>
      <c r="AI152" s="486">
        <v>35730000</v>
      </c>
      <c r="AJ152" s="486">
        <v>0</v>
      </c>
      <c r="AK152" s="486">
        <v>0</v>
      </c>
      <c r="AL152" s="488">
        <v>35730000</v>
      </c>
      <c r="AM152" s="489">
        <v>71460000</v>
      </c>
      <c r="AN152" s="486">
        <v>35730000</v>
      </c>
      <c r="AO152" s="486">
        <v>0</v>
      </c>
      <c r="AP152" s="486">
        <v>0</v>
      </c>
      <c r="AQ152" s="486">
        <v>0</v>
      </c>
      <c r="AR152" s="486">
        <v>0</v>
      </c>
      <c r="AS152" s="486">
        <v>0</v>
      </c>
      <c r="AT152" s="486">
        <v>0</v>
      </c>
      <c r="AU152" s="486">
        <v>0</v>
      </c>
      <c r="AV152" s="487">
        <v>35730000</v>
      </c>
      <c r="AW152" s="486">
        <v>55730000</v>
      </c>
      <c r="AX152" s="486">
        <v>0</v>
      </c>
      <c r="AY152" s="486">
        <v>0</v>
      </c>
      <c r="AZ152" s="488">
        <v>55730000</v>
      </c>
      <c r="BA152" s="490">
        <v>91460000</v>
      </c>
      <c r="BB152" s="486">
        <v>35730000</v>
      </c>
      <c r="BC152" s="486">
        <v>0</v>
      </c>
      <c r="BD152" s="486">
        <v>0</v>
      </c>
      <c r="BE152" s="486">
        <v>0</v>
      </c>
      <c r="BF152" s="486">
        <v>0</v>
      </c>
      <c r="BG152" s="486">
        <v>0</v>
      </c>
      <c r="BH152" s="486">
        <v>0</v>
      </c>
      <c r="BI152" s="486">
        <v>0</v>
      </c>
      <c r="BJ152" s="487">
        <v>35730000</v>
      </c>
      <c r="BK152" s="486">
        <v>55730000</v>
      </c>
      <c r="BL152" s="486">
        <v>0</v>
      </c>
      <c r="BM152" s="486">
        <v>0</v>
      </c>
      <c r="BN152" s="488">
        <v>55730000</v>
      </c>
      <c r="BO152" s="490">
        <v>91460000</v>
      </c>
      <c r="BP152" s="486">
        <v>35730000</v>
      </c>
      <c r="BQ152" s="486">
        <v>0</v>
      </c>
      <c r="BR152" s="486">
        <v>0</v>
      </c>
      <c r="BS152" s="486">
        <v>0</v>
      </c>
      <c r="BT152" s="486">
        <v>0</v>
      </c>
      <c r="BU152" s="486">
        <v>0</v>
      </c>
      <c r="BV152" s="486">
        <v>0</v>
      </c>
      <c r="BW152" s="486">
        <v>0</v>
      </c>
      <c r="BX152" s="487">
        <v>35730000</v>
      </c>
      <c r="BY152" s="486">
        <v>55730000</v>
      </c>
      <c r="BZ152" s="486">
        <v>0</v>
      </c>
      <c r="CA152" s="486">
        <v>0</v>
      </c>
      <c r="CB152" s="488">
        <v>55730000</v>
      </c>
      <c r="CC152" s="491">
        <v>91460000</v>
      </c>
      <c r="CD152" s="492">
        <v>345840000</v>
      </c>
      <c r="CE152" s="493">
        <f t="shared" si="10"/>
        <v>142920000</v>
      </c>
      <c r="CF152" s="493">
        <f t="shared" si="10"/>
        <v>0</v>
      </c>
      <c r="CG152" s="493">
        <f t="shared" si="10"/>
        <v>0</v>
      </c>
      <c r="CH152" s="493">
        <f t="shared" si="9"/>
        <v>0</v>
      </c>
      <c r="CI152" s="493">
        <f t="shared" si="9"/>
        <v>0</v>
      </c>
      <c r="CJ152" s="493">
        <f t="shared" si="9"/>
        <v>0</v>
      </c>
      <c r="CK152" s="493">
        <f t="shared" si="9"/>
        <v>0</v>
      </c>
      <c r="CL152" s="493">
        <f t="shared" si="9"/>
        <v>0</v>
      </c>
      <c r="CM152" s="493">
        <f t="shared" si="12"/>
        <v>202920000</v>
      </c>
      <c r="CN152" s="493">
        <f t="shared" si="12"/>
        <v>0</v>
      </c>
      <c r="CO152" s="493">
        <f t="shared" si="12"/>
        <v>0</v>
      </c>
      <c r="CP152" s="494" t="s">
        <v>6267</v>
      </c>
      <c r="CQ152" s="494" t="s">
        <v>6268</v>
      </c>
    </row>
    <row r="153" spans="1:95" ht="30.45" hidden="1" customHeight="1" thickBot="1">
      <c r="A153" s="555" t="s">
        <v>4281</v>
      </c>
      <c r="B153" s="479">
        <v>151</v>
      </c>
      <c r="C153" s="480" t="s">
        <v>4255</v>
      </c>
      <c r="D153" s="480" t="s">
        <v>4256</v>
      </c>
      <c r="E153" s="480" t="str">
        <f t="shared" si="11"/>
        <v xml:space="preserve">2.1.5 </v>
      </c>
      <c r="F153" s="480" t="s">
        <v>4295</v>
      </c>
      <c r="G153" s="480" t="s">
        <v>4296</v>
      </c>
      <c r="H153" s="481">
        <v>35</v>
      </c>
      <c r="I153" s="480" t="s">
        <v>4277</v>
      </c>
      <c r="J153" s="495">
        <v>350204800</v>
      </c>
      <c r="K153" s="480" t="s">
        <v>4063</v>
      </c>
      <c r="L153" s="480" t="s">
        <v>4299</v>
      </c>
      <c r="M153" s="480" t="s">
        <v>5779</v>
      </c>
      <c r="N153" s="499">
        <v>0</v>
      </c>
      <c r="O153" s="480" t="s">
        <v>4279</v>
      </c>
      <c r="P153" s="515">
        <v>3</v>
      </c>
      <c r="Q153" s="485" t="s">
        <v>5349</v>
      </c>
      <c r="R153" s="485" t="s">
        <v>5396</v>
      </c>
      <c r="S153" s="485" t="s">
        <v>5320</v>
      </c>
      <c r="T153" s="485">
        <v>10</v>
      </c>
      <c r="U153" s="485" t="s">
        <v>5393</v>
      </c>
      <c r="V153" s="485">
        <v>10</v>
      </c>
      <c r="W153" s="485" t="s">
        <v>5384</v>
      </c>
      <c r="X153" s="485" t="s">
        <v>5394</v>
      </c>
      <c r="Y153" s="485" t="s">
        <v>5395</v>
      </c>
      <c r="Z153" s="486">
        <v>35730000</v>
      </c>
      <c r="AA153" s="486">
        <v>0</v>
      </c>
      <c r="AB153" s="486">
        <v>0</v>
      </c>
      <c r="AC153" s="486">
        <v>0</v>
      </c>
      <c r="AD153" s="486">
        <v>0</v>
      </c>
      <c r="AE153" s="486">
        <v>0</v>
      </c>
      <c r="AF153" s="486">
        <v>0</v>
      </c>
      <c r="AG153" s="486">
        <v>0</v>
      </c>
      <c r="AH153" s="487">
        <v>35730000</v>
      </c>
      <c r="AI153" s="486">
        <v>35730000</v>
      </c>
      <c r="AJ153" s="486">
        <v>0</v>
      </c>
      <c r="AK153" s="486">
        <v>480000000</v>
      </c>
      <c r="AL153" s="488">
        <v>515730000</v>
      </c>
      <c r="AM153" s="489">
        <v>551460000</v>
      </c>
      <c r="AN153" s="486">
        <v>35730000</v>
      </c>
      <c r="AO153" s="486">
        <v>0</v>
      </c>
      <c r="AP153" s="486">
        <v>0</v>
      </c>
      <c r="AQ153" s="486">
        <v>0</v>
      </c>
      <c r="AR153" s="486">
        <v>0</v>
      </c>
      <c r="AS153" s="486">
        <v>0</v>
      </c>
      <c r="AT153" s="486">
        <v>0</v>
      </c>
      <c r="AU153" s="486">
        <v>0</v>
      </c>
      <c r="AV153" s="487">
        <v>35730000</v>
      </c>
      <c r="AW153" s="486">
        <v>35730000</v>
      </c>
      <c r="AX153" s="486">
        <v>0</v>
      </c>
      <c r="AY153" s="486">
        <v>480000000</v>
      </c>
      <c r="AZ153" s="488">
        <v>515730000</v>
      </c>
      <c r="BA153" s="490">
        <v>551460000</v>
      </c>
      <c r="BB153" s="486">
        <v>35730000</v>
      </c>
      <c r="BC153" s="486">
        <v>0</v>
      </c>
      <c r="BD153" s="486">
        <v>0</v>
      </c>
      <c r="BE153" s="486">
        <v>0</v>
      </c>
      <c r="BF153" s="486">
        <v>0</v>
      </c>
      <c r="BG153" s="486">
        <v>0</v>
      </c>
      <c r="BH153" s="486">
        <v>0</v>
      </c>
      <c r="BI153" s="486">
        <v>0</v>
      </c>
      <c r="BJ153" s="487">
        <v>35730000</v>
      </c>
      <c r="BK153" s="486">
        <v>35730000</v>
      </c>
      <c r="BL153" s="486">
        <v>0</v>
      </c>
      <c r="BM153" s="486">
        <v>480000000</v>
      </c>
      <c r="BN153" s="488">
        <v>515730000</v>
      </c>
      <c r="BO153" s="490">
        <v>551460000</v>
      </c>
      <c r="BP153" s="486">
        <v>35730000</v>
      </c>
      <c r="BQ153" s="486">
        <v>0</v>
      </c>
      <c r="BR153" s="486">
        <v>0</v>
      </c>
      <c r="BS153" s="486">
        <v>0</v>
      </c>
      <c r="BT153" s="486">
        <v>0</v>
      </c>
      <c r="BU153" s="486">
        <v>0</v>
      </c>
      <c r="BV153" s="486">
        <v>0</v>
      </c>
      <c r="BW153" s="486">
        <v>0</v>
      </c>
      <c r="BX153" s="487">
        <v>35730000</v>
      </c>
      <c r="BY153" s="486">
        <v>35730000</v>
      </c>
      <c r="BZ153" s="486">
        <v>0</v>
      </c>
      <c r="CA153" s="486">
        <v>480000000</v>
      </c>
      <c r="CB153" s="488">
        <v>515730000</v>
      </c>
      <c r="CC153" s="491">
        <v>551460000</v>
      </c>
      <c r="CD153" s="492">
        <v>2205840000</v>
      </c>
      <c r="CE153" s="493">
        <f t="shared" si="10"/>
        <v>142920000</v>
      </c>
      <c r="CF153" s="493">
        <f t="shared" si="10"/>
        <v>0</v>
      </c>
      <c r="CG153" s="493">
        <f t="shared" si="10"/>
        <v>0</v>
      </c>
      <c r="CH153" s="493">
        <f t="shared" si="9"/>
        <v>0</v>
      </c>
      <c r="CI153" s="493">
        <f t="shared" si="9"/>
        <v>0</v>
      </c>
      <c r="CJ153" s="493">
        <f t="shared" si="9"/>
        <v>0</v>
      </c>
      <c r="CK153" s="493">
        <f t="shared" si="9"/>
        <v>0</v>
      </c>
      <c r="CL153" s="493">
        <f t="shared" si="9"/>
        <v>0</v>
      </c>
      <c r="CM153" s="493">
        <f t="shared" si="12"/>
        <v>142920000</v>
      </c>
      <c r="CN153" s="493">
        <f t="shared" si="12"/>
        <v>0</v>
      </c>
      <c r="CO153" s="493">
        <f t="shared" si="12"/>
        <v>1920000000</v>
      </c>
      <c r="CP153" s="494" t="s">
        <v>6267</v>
      </c>
      <c r="CQ153" s="494" t="s">
        <v>6269</v>
      </c>
    </row>
    <row r="154" spans="1:95" ht="30.45" hidden="1" customHeight="1" thickBot="1">
      <c r="A154" s="555" t="s">
        <v>4281</v>
      </c>
      <c r="B154" s="479">
        <v>152</v>
      </c>
      <c r="C154" s="480" t="s">
        <v>4255</v>
      </c>
      <c r="D154" s="480" t="s">
        <v>4256</v>
      </c>
      <c r="E154" s="480" t="str">
        <f t="shared" si="11"/>
        <v xml:space="preserve">2.1.5 </v>
      </c>
      <c r="F154" s="480" t="s">
        <v>4295</v>
      </c>
      <c r="G154" s="480" t="s">
        <v>4296</v>
      </c>
      <c r="H154" s="481">
        <v>35</v>
      </c>
      <c r="I154" s="480" t="s">
        <v>4277</v>
      </c>
      <c r="J154" s="495">
        <v>350200700</v>
      </c>
      <c r="K154" s="480" t="s">
        <v>4300</v>
      </c>
      <c r="L154" s="480" t="s">
        <v>4301</v>
      </c>
      <c r="M154" s="480" t="s">
        <v>5780</v>
      </c>
      <c r="N154" s="499">
        <v>7</v>
      </c>
      <c r="O154" s="480" t="s">
        <v>4302</v>
      </c>
      <c r="P154" s="515">
        <v>12</v>
      </c>
      <c r="Q154" s="485" t="s">
        <v>5349</v>
      </c>
      <c r="R154" s="485" t="s">
        <v>5396</v>
      </c>
      <c r="S154" s="485" t="s">
        <v>5320</v>
      </c>
      <c r="T154" s="485">
        <v>10</v>
      </c>
      <c r="U154" s="485" t="s">
        <v>5393</v>
      </c>
      <c r="V154" s="485">
        <v>10</v>
      </c>
      <c r="W154" s="485" t="s">
        <v>5384</v>
      </c>
      <c r="X154" s="485" t="s">
        <v>5394</v>
      </c>
      <c r="Y154" s="485" t="s">
        <v>5395</v>
      </c>
      <c r="Z154" s="486">
        <v>35730000</v>
      </c>
      <c r="AA154" s="486">
        <v>0</v>
      </c>
      <c r="AB154" s="486">
        <v>0</v>
      </c>
      <c r="AC154" s="486">
        <v>0</v>
      </c>
      <c r="AD154" s="486">
        <v>0</v>
      </c>
      <c r="AE154" s="486">
        <v>0</v>
      </c>
      <c r="AF154" s="486">
        <v>0</v>
      </c>
      <c r="AG154" s="486">
        <v>0</v>
      </c>
      <c r="AH154" s="487">
        <v>35730000</v>
      </c>
      <c r="AI154" s="486">
        <v>50730000</v>
      </c>
      <c r="AJ154" s="486">
        <v>0</v>
      </c>
      <c r="AK154" s="486">
        <v>0</v>
      </c>
      <c r="AL154" s="488">
        <v>50730000</v>
      </c>
      <c r="AM154" s="489">
        <v>86460000</v>
      </c>
      <c r="AN154" s="486">
        <v>72650000</v>
      </c>
      <c r="AO154" s="486">
        <v>0</v>
      </c>
      <c r="AP154" s="486">
        <v>0</v>
      </c>
      <c r="AQ154" s="486">
        <v>0</v>
      </c>
      <c r="AR154" s="486">
        <v>0</v>
      </c>
      <c r="AS154" s="486">
        <v>0</v>
      </c>
      <c r="AT154" s="486">
        <v>0</v>
      </c>
      <c r="AU154" s="486">
        <v>0</v>
      </c>
      <c r="AV154" s="487">
        <v>72650000</v>
      </c>
      <c r="AW154" s="486">
        <v>85730000</v>
      </c>
      <c r="AX154" s="486">
        <v>0</v>
      </c>
      <c r="AY154" s="486">
        <v>0</v>
      </c>
      <c r="AZ154" s="488">
        <v>85730000</v>
      </c>
      <c r="BA154" s="490">
        <v>158380000</v>
      </c>
      <c r="BB154" s="486">
        <v>57730000</v>
      </c>
      <c r="BC154" s="486">
        <v>0</v>
      </c>
      <c r="BD154" s="486">
        <v>0</v>
      </c>
      <c r="BE154" s="486">
        <v>0</v>
      </c>
      <c r="BF154" s="486">
        <v>0</v>
      </c>
      <c r="BG154" s="486">
        <v>0</v>
      </c>
      <c r="BH154" s="486">
        <v>0</v>
      </c>
      <c r="BI154" s="486">
        <v>0</v>
      </c>
      <c r="BJ154" s="487">
        <v>57730000</v>
      </c>
      <c r="BK154" s="486">
        <v>85730000</v>
      </c>
      <c r="BL154" s="486">
        <v>0</v>
      </c>
      <c r="BM154" s="486">
        <v>0</v>
      </c>
      <c r="BN154" s="488">
        <v>85730000</v>
      </c>
      <c r="BO154" s="490">
        <v>143460000</v>
      </c>
      <c r="BP154" s="486">
        <v>80730000</v>
      </c>
      <c r="BQ154" s="486">
        <v>0</v>
      </c>
      <c r="BR154" s="486">
        <v>0</v>
      </c>
      <c r="BS154" s="486">
        <v>0</v>
      </c>
      <c r="BT154" s="486">
        <v>0</v>
      </c>
      <c r="BU154" s="486">
        <v>0</v>
      </c>
      <c r="BV154" s="486">
        <v>0</v>
      </c>
      <c r="BW154" s="486">
        <v>0</v>
      </c>
      <c r="BX154" s="487">
        <v>80730000</v>
      </c>
      <c r="BY154" s="486">
        <v>75000000</v>
      </c>
      <c r="BZ154" s="486">
        <v>0</v>
      </c>
      <c r="CA154" s="486">
        <v>0</v>
      </c>
      <c r="CB154" s="488">
        <v>75000000</v>
      </c>
      <c r="CC154" s="491">
        <v>155730000</v>
      </c>
      <c r="CD154" s="492">
        <v>544030000</v>
      </c>
      <c r="CE154" s="493">
        <f t="shared" si="10"/>
        <v>246840000</v>
      </c>
      <c r="CF154" s="493">
        <f t="shared" si="10"/>
        <v>0</v>
      </c>
      <c r="CG154" s="493">
        <f t="shared" si="10"/>
        <v>0</v>
      </c>
      <c r="CH154" s="493">
        <f t="shared" si="9"/>
        <v>0</v>
      </c>
      <c r="CI154" s="493">
        <f t="shared" si="9"/>
        <v>0</v>
      </c>
      <c r="CJ154" s="493">
        <f t="shared" si="9"/>
        <v>0</v>
      </c>
      <c r="CK154" s="493">
        <f t="shared" si="9"/>
        <v>0</v>
      </c>
      <c r="CL154" s="493">
        <f t="shared" si="9"/>
        <v>0</v>
      </c>
      <c r="CM154" s="493">
        <f t="shared" si="12"/>
        <v>297190000</v>
      </c>
      <c r="CN154" s="493">
        <f t="shared" si="12"/>
        <v>0</v>
      </c>
      <c r="CO154" s="493">
        <f t="shared" si="12"/>
        <v>0</v>
      </c>
      <c r="CP154" s="494" t="s">
        <v>6259</v>
      </c>
      <c r="CQ154" s="494" t="s">
        <v>6270</v>
      </c>
    </row>
    <row r="155" spans="1:95" ht="30.45" hidden="1" customHeight="1" thickBot="1">
      <c r="A155" s="555" t="s">
        <v>4281</v>
      </c>
      <c r="B155" s="479">
        <v>153</v>
      </c>
      <c r="C155" s="480" t="s">
        <v>4255</v>
      </c>
      <c r="D155" s="480" t="s">
        <v>4256</v>
      </c>
      <c r="E155" s="480" t="str">
        <f t="shared" si="11"/>
        <v xml:space="preserve">2.1.5 </v>
      </c>
      <c r="F155" s="480" t="s">
        <v>4295</v>
      </c>
      <c r="G155" s="480" t="s">
        <v>4296</v>
      </c>
      <c r="H155" s="481">
        <v>35</v>
      </c>
      <c r="I155" s="480" t="s">
        <v>4277</v>
      </c>
      <c r="J155" s="495">
        <v>350200800</v>
      </c>
      <c r="K155" s="480" t="s">
        <v>4303</v>
      </c>
      <c r="L155" s="480" t="s">
        <v>4304</v>
      </c>
      <c r="M155" s="480" t="s">
        <v>6479</v>
      </c>
      <c r="N155" s="499">
        <v>7</v>
      </c>
      <c r="O155" s="480" t="s">
        <v>4279</v>
      </c>
      <c r="P155" s="515">
        <v>13</v>
      </c>
      <c r="Q155" s="485" t="s">
        <v>5349</v>
      </c>
      <c r="R155" s="485" t="s">
        <v>5396</v>
      </c>
      <c r="S155" s="485" t="s">
        <v>5320</v>
      </c>
      <c r="T155" s="485">
        <v>10</v>
      </c>
      <c r="U155" s="485" t="s">
        <v>5393</v>
      </c>
      <c r="V155" s="485">
        <v>10</v>
      </c>
      <c r="W155" s="485" t="s">
        <v>5384</v>
      </c>
      <c r="X155" s="485" t="s">
        <v>5394</v>
      </c>
      <c r="Y155" s="485" t="s">
        <v>5395</v>
      </c>
      <c r="Z155" s="486">
        <v>35730000</v>
      </c>
      <c r="AA155" s="486">
        <v>0</v>
      </c>
      <c r="AB155" s="486">
        <v>0</v>
      </c>
      <c r="AC155" s="486">
        <v>0</v>
      </c>
      <c r="AD155" s="486">
        <v>0</v>
      </c>
      <c r="AE155" s="486">
        <v>0</v>
      </c>
      <c r="AF155" s="486">
        <v>0</v>
      </c>
      <c r="AG155" s="486">
        <v>0</v>
      </c>
      <c r="AH155" s="487">
        <v>35730000</v>
      </c>
      <c r="AI155" s="486">
        <v>50730000</v>
      </c>
      <c r="AJ155" s="486">
        <v>0</v>
      </c>
      <c r="AK155" s="486">
        <v>0</v>
      </c>
      <c r="AL155" s="488">
        <v>50730000</v>
      </c>
      <c r="AM155" s="489">
        <v>86460000</v>
      </c>
      <c r="AN155" s="486">
        <v>71940000</v>
      </c>
      <c r="AO155" s="486">
        <v>0</v>
      </c>
      <c r="AP155" s="486">
        <v>0</v>
      </c>
      <c r="AQ155" s="486">
        <v>0</v>
      </c>
      <c r="AR155" s="486">
        <v>0</v>
      </c>
      <c r="AS155" s="486">
        <v>0</v>
      </c>
      <c r="AT155" s="486">
        <v>0</v>
      </c>
      <c r="AU155" s="486">
        <v>0</v>
      </c>
      <c r="AV155" s="487">
        <v>71940000</v>
      </c>
      <c r="AW155" s="486">
        <v>86940000</v>
      </c>
      <c r="AX155" s="486">
        <v>0</v>
      </c>
      <c r="AY155" s="486">
        <v>0</v>
      </c>
      <c r="AZ155" s="488">
        <v>86940000</v>
      </c>
      <c r="BA155" s="490">
        <v>158880000</v>
      </c>
      <c r="BB155" s="486">
        <v>57446800</v>
      </c>
      <c r="BC155" s="486">
        <v>0</v>
      </c>
      <c r="BD155" s="486">
        <v>0</v>
      </c>
      <c r="BE155" s="486">
        <v>0</v>
      </c>
      <c r="BF155" s="486">
        <v>0</v>
      </c>
      <c r="BG155" s="486">
        <v>0</v>
      </c>
      <c r="BH155" s="486">
        <v>0</v>
      </c>
      <c r="BI155" s="486">
        <v>0</v>
      </c>
      <c r="BJ155" s="487">
        <v>57446800</v>
      </c>
      <c r="BK155" s="486">
        <v>86940000</v>
      </c>
      <c r="BL155" s="486">
        <v>0</v>
      </c>
      <c r="BM155" s="486">
        <v>0</v>
      </c>
      <c r="BN155" s="488">
        <v>86940000</v>
      </c>
      <c r="BO155" s="490">
        <v>144386800</v>
      </c>
      <c r="BP155" s="486">
        <v>81940000</v>
      </c>
      <c r="BQ155" s="486">
        <v>0</v>
      </c>
      <c r="BR155" s="486">
        <v>0</v>
      </c>
      <c r="BS155" s="486">
        <v>0</v>
      </c>
      <c r="BT155" s="486">
        <v>0</v>
      </c>
      <c r="BU155" s="486">
        <v>0</v>
      </c>
      <c r="BV155" s="486">
        <v>0</v>
      </c>
      <c r="BW155" s="486">
        <v>0</v>
      </c>
      <c r="BX155" s="487">
        <v>81940000</v>
      </c>
      <c r="BY155" s="486">
        <v>86940000</v>
      </c>
      <c r="BZ155" s="486">
        <v>0</v>
      </c>
      <c r="CA155" s="486">
        <v>0</v>
      </c>
      <c r="CB155" s="488">
        <v>86940000</v>
      </c>
      <c r="CC155" s="491">
        <v>168880000</v>
      </c>
      <c r="CD155" s="492">
        <v>558606800</v>
      </c>
      <c r="CE155" s="493">
        <f t="shared" si="10"/>
        <v>247056800</v>
      </c>
      <c r="CF155" s="493">
        <f t="shared" si="10"/>
        <v>0</v>
      </c>
      <c r="CG155" s="493">
        <f t="shared" si="10"/>
        <v>0</v>
      </c>
      <c r="CH155" s="493">
        <f t="shared" si="9"/>
        <v>0</v>
      </c>
      <c r="CI155" s="493">
        <f t="shared" si="9"/>
        <v>0</v>
      </c>
      <c r="CJ155" s="493">
        <f t="shared" si="9"/>
        <v>0</v>
      </c>
      <c r="CK155" s="493">
        <f t="shared" si="9"/>
        <v>0</v>
      </c>
      <c r="CL155" s="493">
        <f t="shared" si="9"/>
        <v>0</v>
      </c>
      <c r="CM155" s="493">
        <f t="shared" si="12"/>
        <v>311550000</v>
      </c>
      <c r="CN155" s="493">
        <f t="shared" si="12"/>
        <v>0</v>
      </c>
      <c r="CO155" s="493">
        <f t="shared" si="12"/>
        <v>0</v>
      </c>
      <c r="CP155" s="494" t="s">
        <v>6271</v>
      </c>
      <c r="CQ155" s="494" t="s">
        <v>6272</v>
      </c>
    </row>
    <row r="156" spans="1:95" ht="30.45" hidden="1" customHeight="1" thickBot="1">
      <c r="A156" s="555" t="s">
        <v>4281</v>
      </c>
      <c r="B156" s="479">
        <v>154</v>
      </c>
      <c r="C156" s="480" t="s">
        <v>4255</v>
      </c>
      <c r="D156" s="480" t="s">
        <v>4256</v>
      </c>
      <c r="E156" s="480" t="str">
        <f t="shared" si="11"/>
        <v xml:space="preserve">2.1.5 </v>
      </c>
      <c r="F156" s="480" t="s">
        <v>4295</v>
      </c>
      <c r="G156" s="480" t="s">
        <v>4296</v>
      </c>
      <c r="H156" s="481">
        <v>35</v>
      </c>
      <c r="I156" s="480" t="s">
        <v>4277</v>
      </c>
      <c r="J156" s="495">
        <v>350200600</v>
      </c>
      <c r="K156" s="480" t="s">
        <v>4305</v>
      </c>
      <c r="L156" s="480" t="s">
        <v>4306</v>
      </c>
      <c r="M156" s="480" t="s">
        <v>5781</v>
      </c>
      <c r="N156" s="499">
        <v>6</v>
      </c>
      <c r="O156" s="480" t="s">
        <v>4279</v>
      </c>
      <c r="P156" s="515">
        <v>10</v>
      </c>
      <c r="Q156" s="485" t="s">
        <v>5349</v>
      </c>
      <c r="R156" s="485" t="s">
        <v>5396</v>
      </c>
      <c r="S156" s="485" t="s">
        <v>5320</v>
      </c>
      <c r="T156" s="485">
        <v>10</v>
      </c>
      <c r="U156" s="485" t="s">
        <v>5393</v>
      </c>
      <c r="V156" s="485">
        <v>10</v>
      </c>
      <c r="W156" s="485" t="s">
        <v>5384</v>
      </c>
      <c r="X156" s="485" t="s">
        <v>5394</v>
      </c>
      <c r="Y156" s="485" t="s">
        <v>5395</v>
      </c>
      <c r="Z156" s="486">
        <v>17865000</v>
      </c>
      <c r="AA156" s="486">
        <v>0</v>
      </c>
      <c r="AB156" s="486">
        <v>0</v>
      </c>
      <c r="AC156" s="486">
        <v>0</v>
      </c>
      <c r="AD156" s="486">
        <v>0</v>
      </c>
      <c r="AE156" s="486">
        <v>0</v>
      </c>
      <c r="AF156" s="486">
        <v>0</v>
      </c>
      <c r="AG156" s="486">
        <v>0</v>
      </c>
      <c r="AH156" s="487">
        <v>17865000</v>
      </c>
      <c r="AI156" s="486">
        <v>37865000</v>
      </c>
      <c r="AJ156" s="486">
        <v>0</v>
      </c>
      <c r="AK156" s="486">
        <v>0</v>
      </c>
      <c r="AL156" s="488">
        <v>37865000</v>
      </c>
      <c r="AM156" s="489">
        <v>55730000</v>
      </c>
      <c r="AN156" s="486">
        <v>17865000</v>
      </c>
      <c r="AO156" s="486">
        <v>0</v>
      </c>
      <c r="AP156" s="486">
        <v>0</v>
      </c>
      <c r="AQ156" s="486">
        <v>0</v>
      </c>
      <c r="AR156" s="486">
        <v>0</v>
      </c>
      <c r="AS156" s="486">
        <v>0</v>
      </c>
      <c r="AT156" s="486">
        <v>0</v>
      </c>
      <c r="AU156" s="486">
        <v>0</v>
      </c>
      <c r="AV156" s="487">
        <v>17865000</v>
      </c>
      <c r="AW156" s="486">
        <v>17865000</v>
      </c>
      <c r="AX156" s="486">
        <v>0</v>
      </c>
      <c r="AY156" s="486">
        <v>0</v>
      </c>
      <c r="AZ156" s="488">
        <v>17865000</v>
      </c>
      <c r="BA156" s="490">
        <v>35730000</v>
      </c>
      <c r="BB156" s="486">
        <v>17865000</v>
      </c>
      <c r="BC156" s="486">
        <v>0</v>
      </c>
      <c r="BD156" s="486">
        <v>0</v>
      </c>
      <c r="BE156" s="486">
        <v>0</v>
      </c>
      <c r="BF156" s="486">
        <v>0</v>
      </c>
      <c r="BG156" s="486">
        <v>0</v>
      </c>
      <c r="BH156" s="486">
        <v>0</v>
      </c>
      <c r="BI156" s="486">
        <v>0</v>
      </c>
      <c r="BJ156" s="487">
        <v>17865000</v>
      </c>
      <c r="BK156" s="486">
        <v>17865000</v>
      </c>
      <c r="BL156" s="486">
        <v>0</v>
      </c>
      <c r="BM156" s="486">
        <v>0</v>
      </c>
      <c r="BN156" s="488">
        <v>17865000</v>
      </c>
      <c r="BO156" s="490">
        <v>35730000</v>
      </c>
      <c r="BP156" s="486">
        <v>17865000</v>
      </c>
      <c r="BQ156" s="486">
        <v>0</v>
      </c>
      <c r="BR156" s="486">
        <v>0</v>
      </c>
      <c r="BS156" s="486">
        <v>0</v>
      </c>
      <c r="BT156" s="486">
        <v>0</v>
      </c>
      <c r="BU156" s="486">
        <v>0</v>
      </c>
      <c r="BV156" s="486">
        <v>0</v>
      </c>
      <c r="BW156" s="486">
        <v>0</v>
      </c>
      <c r="BX156" s="487">
        <v>17865000</v>
      </c>
      <c r="BY156" s="486">
        <v>17865000</v>
      </c>
      <c r="BZ156" s="486">
        <v>0</v>
      </c>
      <c r="CA156" s="486">
        <v>0</v>
      </c>
      <c r="CB156" s="488">
        <v>17865000</v>
      </c>
      <c r="CC156" s="491">
        <v>35730000</v>
      </c>
      <c r="CD156" s="492">
        <v>162920000</v>
      </c>
      <c r="CE156" s="493">
        <f t="shared" si="10"/>
        <v>71460000</v>
      </c>
      <c r="CF156" s="493">
        <f t="shared" si="10"/>
        <v>0</v>
      </c>
      <c r="CG156" s="493">
        <f t="shared" si="10"/>
        <v>0</v>
      </c>
      <c r="CH156" s="493">
        <f t="shared" si="9"/>
        <v>0</v>
      </c>
      <c r="CI156" s="493">
        <f t="shared" si="9"/>
        <v>0</v>
      </c>
      <c r="CJ156" s="493">
        <f t="shared" si="9"/>
        <v>0</v>
      </c>
      <c r="CK156" s="493">
        <f t="shared" si="9"/>
        <v>0</v>
      </c>
      <c r="CL156" s="493">
        <f t="shared" si="9"/>
        <v>0</v>
      </c>
      <c r="CM156" s="493">
        <f t="shared" si="12"/>
        <v>91460000</v>
      </c>
      <c r="CN156" s="493">
        <f t="shared" si="12"/>
        <v>0</v>
      </c>
      <c r="CO156" s="493">
        <f t="shared" si="12"/>
        <v>0</v>
      </c>
      <c r="CP156" s="494" t="s">
        <v>6267</v>
      </c>
      <c r="CQ156" s="494" t="s">
        <v>6273</v>
      </c>
    </row>
    <row r="157" spans="1:95" ht="30.45" hidden="1" customHeight="1" thickBot="1">
      <c r="A157" s="555" t="s">
        <v>4223</v>
      </c>
      <c r="B157" s="479">
        <v>155</v>
      </c>
      <c r="C157" s="480" t="s">
        <v>4255</v>
      </c>
      <c r="D157" s="480" t="s">
        <v>4256</v>
      </c>
      <c r="E157" s="480" t="str">
        <f t="shared" si="11"/>
        <v>2.1.6 </v>
      </c>
      <c r="F157" s="480" t="s">
        <v>4307</v>
      </c>
      <c r="G157" s="480" t="s">
        <v>4308</v>
      </c>
      <c r="H157" s="481" t="s">
        <v>6480</v>
      </c>
      <c r="I157" s="480" t="s">
        <v>4309</v>
      </c>
      <c r="J157" s="495">
        <v>360203600</v>
      </c>
      <c r="K157" s="480" t="s">
        <v>4008</v>
      </c>
      <c r="L157" s="480" t="s">
        <v>4310</v>
      </c>
      <c r="M157" s="480" t="s">
        <v>5782</v>
      </c>
      <c r="N157" s="499">
        <v>240</v>
      </c>
      <c r="O157" s="480" t="s">
        <v>4311</v>
      </c>
      <c r="P157" s="515">
        <v>840</v>
      </c>
      <c r="Q157" s="485">
        <v>160020004</v>
      </c>
      <c r="R157" s="485" t="s">
        <v>5397</v>
      </c>
      <c r="S157" s="485" t="s">
        <v>677</v>
      </c>
      <c r="T157" s="485">
        <v>24</v>
      </c>
      <c r="U157" s="485" t="s">
        <v>5398</v>
      </c>
      <c r="V157" s="485">
        <v>22</v>
      </c>
      <c r="W157" s="485" t="s">
        <v>5399</v>
      </c>
      <c r="X157" s="485">
        <v>8</v>
      </c>
      <c r="Y157" s="485" t="s">
        <v>5400</v>
      </c>
      <c r="Z157" s="486">
        <v>90672000</v>
      </c>
      <c r="AA157" s="486">
        <v>0</v>
      </c>
      <c r="AB157" s="486">
        <v>0</v>
      </c>
      <c r="AC157" s="486">
        <v>0</v>
      </c>
      <c r="AD157" s="486">
        <v>0</v>
      </c>
      <c r="AE157" s="486">
        <v>0</v>
      </c>
      <c r="AF157" s="486">
        <v>0</v>
      </c>
      <c r="AG157" s="486">
        <v>0</v>
      </c>
      <c r="AH157" s="487">
        <v>90672000</v>
      </c>
      <c r="AI157" s="486">
        <v>0</v>
      </c>
      <c r="AJ157" s="486">
        <v>0</v>
      </c>
      <c r="AK157" s="486">
        <v>0</v>
      </c>
      <c r="AL157" s="488">
        <v>0</v>
      </c>
      <c r="AM157" s="489">
        <v>90672000</v>
      </c>
      <c r="AN157" s="486">
        <v>90672000</v>
      </c>
      <c r="AO157" s="486">
        <v>0</v>
      </c>
      <c r="AP157" s="486">
        <v>0</v>
      </c>
      <c r="AQ157" s="486">
        <v>0</v>
      </c>
      <c r="AR157" s="486">
        <v>0</v>
      </c>
      <c r="AS157" s="486">
        <v>0</v>
      </c>
      <c r="AT157" s="486">
        <v>0</v>
      </c>
      <c r="AU157" s="486">
        <v>0</v>
      </c>
      <c r="AV157" s="487">
        <v>90672000</v>
      </c>
      <c r="AW157" s="486">
        <v>0</v>
      </c>
      <c r="AX157" s="486">
        <v>0</v>
      </c>
      <c r="AY157" s="486">
        <v>0</v>
      </c>
      <c r="AZ157" s="488">
        <v>0</v>
      </c>
      <c r="BA157" s="490">
        <v>90672000</v>
      </c>
      <c r="BB157" s="486">
        <v>90672000</v>
      </c>
      <c r="BC157" s="486">
        <v>0</v>
      </c>
      <c r="BD157" s="486">
        <v>0</v>
      </c>
      <c r="BE157" s="486">
        <v>0</v>
      </c>
      <c r="BF157" s="486">
        <v>0</v>
      </c>
      <c r="BG157" s="486">
        <v>0</v>
      </c>
      <c r="BH157" s="486">
        <v>0</v>
      </c>
      <c r="BI157" s="486">
        <v>0</v>
      </c>
      <c r="BJ157" s="487">
        <v>90672000</v>
      </c>
      <c r="BK157" s="486">
        <v>0</v>
      </c>
      <c r="BL157" s="486">
        <v>0</v>
      </c>
      <c r="BM157" s="486">
        <v>0</v>
      </c>
      <c r="BN157" s="488">
        <v>0</v>
      </c>
      <c r="BO157" s="490">
        <v>90672000</v>
      </c>
      <c r="BP157" s="486">
        <v>154265771.57999998</v>
      </c>
      <c r="BQ157" s="486">
        <v>0</v>
      </c>
      <c r="BR157" s="486">
        <v>0</v>
      </c>
      <c r="BS157" s="486">
        <v>0</v>
      </c>
      <c r="BT157" s="486">
        <v>0</v>
      </c>
      <c r="BU157" s="486">
        <v>0</v>
      </c>
      <c r="BV157" s="486">
        <v>0</v>
      </c>
      <c r="BW157" s="486">
        <v>0</v>
      </c>
      <c r="BX157" s="487">
        <v>154265771.57999998</v>
      </c>
      <c r="BY157" s="486">
        <v>0</v>
      </c>
      <c r="BZ157" s="486">
        <v>0</v>
      </c>
      <c r="CA157" s="486">
        <v>0</v>
      </c>
      <c r="CB157" s="488">
        <v>0</v>
      </c>
      <c r="CC157" s="491">
        <v>154265771.57999998</v>
      </c>
      <c r="CD157" s="492">
        <v>426281771.57999998</v>
      </c>
      <c r="CE157" s="493">
        <f t="shared" si="10"/>
        <v>426281771.57999998</v>
      </c>
      <c r="CF157" s="493">
        <f t="shared" si="10"/>
        <v>0</v>
      </c>
      <c r="CG157" s="493">
        <f t="shared" si="10"/>
        <v>0</v>
      </c>
      <c r="CH157" s="493">
        <f t="shared" si="9"/>
        <v>0</v>
      </c>
      <c r="CI157" s="493">
        <f t="shared" si="9"/>
        <v>0</v>
      </c>
      <c r="CJ157" s="493">
        <f t="shared" si="9"/>
        <v>0</v>
      </c>
      <c r="CK157" s="493">
        <f t="shared" si="9"/>
        <v>0</v>
      </c>
      <c r="CL157" s="493">
        <f t="shared" si="9"/>
        <v>0</v>
      </c>
      <c r="CM157" s="493">
        <f t="shared" si="12"/>
        <v>0</v>
      </c>
      <c r="CN157" s="493">
        <f t="shared" si="12"/>
        <v>0</v>
      </c>
      <c r="CO157" s="493">
        <f t="shared" si="12"/>
        <v>0</v>
      </c>
      <c r="CP157" s="494">
        <v>8</v>
      </c>
      <c r="CQ157" s="502" t="s">
        <v>6274</v>
      </c>
    </row>
    <row r="158" spans="1:95" ht="30.45" hidden="1" customHeight="1" thickBot="1">
      <c r="A158" s="555" t="s">
        <v>4223</v>
      </c>
      <c r="B158" s="479">
        <v>156</v>
      </c>
      <c r="C158" s="480" t="s">
        <v>4255</v>
      </c>
      <c r="D158" s="480" t="s">
        <v>4256</v>
      </c>
      <c r="E158" s="480" t="str">
        <f t="shared" si="11"/>
        <v>2.1.6 </v>
      </c>
      <c r="F158" s="480" t="s">
        <v>4307</v>
      </c>
      <c r="G158" s="480" t="s">
        <v>4308</v>
      </c>
      <c r="H158" s="481" t="s">
        <v>6481</v>
      </c>
      <c r="I158" s="480" t="s">
        <v>4312</v>
      </c>
      <c r="J158" s="495">
        <v>410300501</v>
      </c>
      <c r="K158" s="480" t="s">
        <v>4303</v>
      </c>
      <c r="L158" s="480" t="s">
        <v>4313</v>
      </c>
      <c r="M158" s="480" t="s">
        <v>5783</v>
      </c>
      <c r="N158" s="499">
        <v>400</v>
      </c>
      <c r="O158" s="480" t="s">
        <v>4311</v>
      </c>
      <c r="P158" s="515">
        <v>1320</v>
      </c>
      <c r="Q158" s="485">
        <v>160020004</v>
      </c>
      <c r="R158" s="485" t="s">
        <v>5397</v>
      </c>
      <c r="S158" s="485" t="s">
        <v>677</v>
      </c>
      <c r="T158" s="485">
        <v>24</v>
      </c>
      <c r="U158" s="485" t="s">
        <v>5398</v>
      </c>
      <c r="V158" s="485">
        <v>22</v>
      </c>
      <c r="W158" s="485" t="s">
        <v>5399</v>
      </c>
      <c r="X158" s="485">
        <v>8</v>
      </c>
      <c r="Y158" s="485" t="s">
        <v>5400</v>
      </c>
      <c r="Z158" s="486">
        <v>136008000</v>
      </c>
      <c r="AA158" s="486">
        <v>0</v>
      </c>
      <c r="AB158" s="486">
        <v>0</v>
      </c>
      <c r="AC158" s="486">
        <v>0</v>
      </c>
      <c r="AD158" s="486">
        <v>0</v>
      </c>
      <c r="AE158" s="486">
        <v>0</v>
      </c>
      <c r="AF158" s="486">
        <v>0</v>
      </c>
      <c r="AG158" s="486">
        <v>0</v>
      </c>
      <c r="AH158" s="487">
        <v>136008000</v>
      </c>
      <c r="AI158" s="486">
        <v>0</v>
      </c>
      <c r="AJ158" s="486">
        <v>0</v>
      </c>
      <c r="AK158" s="486">
        <v>0</v>
      </c>
      <c r="AL158" s="488">
        <v>0</v>
      </c>
      <c r="AM158" s="489">
        <v>136008000</v>
      </c>
      <c r="AN158" s="486">
        <v>136008000</v>
      </c>
      <c r="AO158" s="486">
        <v>0</v>
      </c>
      <c r="AP158" s="486">
        <v>0</v>
      </c>
      <c r="AQ158" s="486">
        <v>0</v>
      </c>
      <c r="AR158" s="486">
        <v>0</v>
      </c>
      <c r="AS158" s="486">
        <v>0</v>
      </c>
      <c r="AT158" s="486">
        <v>0</v>
      </c>
      <c r="AU158" s="486">
        <v>0</v>
      </c>
      <c r="AV158" s="487">
        <v>136008000</v>
      </c>
      <c r="AW158" s="486">
        <v>0</v>
      </c>
      <c r="AX158" s="486">
        <v>0</v>
      </c>
      <c r="AY158" s="486">
        <v>0</v>
      </c>
      <c r="AZ158" s="488">
        <v>0</v>
      </c>
      <c r="BA158" s="490">
        <v>136008000</v>
      </c>
      <c r="BB158" s="486">
        <v>136008000</v>
      </c>
      <c r="BC158" s="486">
        <v>0</v>
      </c>
      <c r="BD158" s="486">
        <v>0</v>
      </c>
      <c r="BE158" s="486">
        <v>0</v>
      </c>
      <c r="BF158" s="486">
        <v>0</v>
      </c>
      <c r="BG158" s="486">
        <v>0</v>
      </c>
      <c r="BH158" s="486">
        <v>0</v>
      </c>
      <c r="BI158" s="486">
        <v>0</v>
      </c>
      <c r="BJ158" s="487">
        <v>136008000</v>
      </c>
      <c r="BK158" s="486">
        <v>0</v>
      </c>
      <c r="BL158" s="486">
        <v>0</v>
      </c>
      <c r="BM158" s="486">
        <v>0</v>
      </c>
      <c r="BN158" s="488">
        <v>0</v>
      </c>
      <c r="BO158" s="490">
        <v>136008000</v>
      </c>
      <c r="BP158" s="486">
        <v>136008000</v>
      </c>
      <c r="BQ158" s="486">
        <v>0</v>
      </c>
      <c r="BR158" s="486">
        <v>0</v>
      </c>
      <c r="BS158" s="486">
        <v>0</v>
      </c>
      <c r="BT158" s="486">
        <v>0</v>
      </c>
      <c r="BU158" s="486">
        <v>0</v>
      </c>
      <c r="BV158" s="486">
        <v>0</v>
      </c>
      <c r="BW158" s="486">
        <v>0</v>
      </c>
      <c r="BX158" s="487">
        <v>136008000</v>
      </c>
      <c r="BY158" s="486">
        <v>0</v>
      </c>
      <c r="BZ158" s="486">
        <v>0</v>
      </c>
      <c r="CA158" s="486">
        <v>0</v>
      </c>
      <c r="CB158" s="488">
        <v>0</v>
      </c>
      <c r="CC158" s="491">
        <v>136008000</v>
      </c>
      <c r="CD158" s="492">
        <v>544032000</v>
      </c>
      <c r="CE158" s="493">
        <f t="shared" si="10"/>
        <v>544032000</v>
      </c>
      <c r="CF158" s="493">
        <f t="shared" si="10"/>
        <v>0</v>
      </c>
      <c r="CG158" s="493">
        <f t="shared" si="10"/>
        <v>0</v>
      </c>
      <c r="CH158" s="493">
        <f t="shared" si="9"/>
        <v>0</v>
      </c>
      <c r="CI158" s="493">
        <f t="shared" si="9"/>
        <v>0</v>
      </c>
      <c r="CJ158" s="493">
        <f t="shared" si="9"/>
        <v>0</v>
      </c>
      <c r="CK158" s="493">
        <f t="shared" si="9"/>
        <v>0</v>
      </c>
      <c r="CL158" s="493">
        <f t="shared" si="9"/>
        <v>0</v>
      </c>
      <c r="CM158" s="493">
        <f t="shared" si="12"/>
        <v>0</v>
      </c>
      <c r="CN158" s="493">
        <f t="shared" si="12"/>
        <v>0</v>
      </c>
      <c r="CO158" s="493">
        <f t="shared" si="12"/>
        <v>0</v>
      </c>
      <c r="CP158" s="494">
        <v>8</v>
      </c>
      <c r="CQ158" s="502" t="s">
        <v>6274</v>
      </c>
    </row>
    <row r="159" spans="1:95" ht="30.45" hidden="1" customHeight="1" thickBot="1">
      <c r="A159" s="555" t="s">
        <v>4223</v>
      </c>
      <c r="B159" s="479">
        <v>157</v>
      </c>
      <c r="C159" s="480" t="s">
        <v>4255</v>
      </c>
      <c r="D159" s="480" t="s">
        <v>4256</v>
      </c>
      <c r="E159" s="480" t="str">
        <f t="shared" si="11"/>
        <v>2.1.6 </v>
      </c>
      <c r="F159" s="480" t="s">
        <v>4307</v>
      </c>
      <c r="G159" s="480" t="s">
        <v>4308</v>
      </c>
      <c r="H159" s="481" t="s">
        <v>4314</v>
      </c>
      <c r="I159" s="480" t="s">
        <v>4312</v>
      </c>
      <c r="J159" s="495">
        <v>410305700</v>
      </c>
      <c r="K159" s="480" t="s">
        <v>4315</v>
      </c>
      <c r="L159" s="480" t="s">
        <v>4316</v>
      </c>
      <c r="M159" s="480" t="s">
        <v>5784</v>
      </c>
      <c r="N159" s="499">
        <v>179</v>
      </c>
      <c r="O159" s="480" t="s">
        <v>4311</v>
      </c>
      <c r="P159" s="515">
        <v>379</v>
      </c>
      <c r="Q159" s="485">
        <v>160020004</v>
      </c>
      <c r="R159" s="485" t="s">
        <v>5397</v>
      </c>
      <c r="S159" s="485" t="s">
        <v>677</v>
      </c>
      <c r="T159" s="485">
        <v>24</v>
      </c>
      <c r="U159" s="485" t="s">
        <v>5398</v>
      </c>
      <c r="V159" s="485">
        <v>22</v>
      </c>
      <c r="W159" s="485" t="s">
        <v>5399</v>
      </c>
      <c r="X159" s="485">
        <v>8</v>
      </c>
      <c r="Y159" s="485" t="s">
        <v>5400</v>
      </c>
      <c r="Z159" s="486">
        <v>100000000</v>
      </c>
      <c r="AA159" s="486">
        <v>0</v>
      </c>
      <c r="AB159" s="486">
        <v>0</v>
      </c>
      <c r="AC159" s="486">
        <v>0</v>
      </c>
      <c r="AD159" s="486">
        <v>0</v>
      </c>
      <c r="AE159" s="486">
        <v>0</v>
      </c>
      <c r="AF159" s="486">
        <v>0</v>
      </c>
      <c r="AG159" s="486">
        <v>0</v>
      </c>
      <c r="AH159" s="487">
        <v>100000000</v>
      </c>
      <c r="AI159" s="486">
        <v>0</v>
      </c>
      <c r="AJ159" s="486">
        <v>0</v>
      </c>
      <c r="AK159" s="486">
        <v>0</v>
      </c>
      <c r="AL159" s="488">
        <v>0</v>
      </c>
      <c r="AM159" s="489">
        <v>100000000</v>
      </c>
      <c r="AN159" s="486">
        <v>100000000</v>
      </c>
      <c r="AO159" s="486">
        <v>0</v>
      </c>
      <c r="AP159" s="486">
        <v>0</v>
      </c>
      <c r="AQ159" s="486">
        <v>0</v>
      </c>
      <c r="AR159" s="486">
        <v>0</v>
      </c>
      <c r="AS159" s="486">
        <v>0</v>
      </c>
      <c r="AT159" s="486">
        <v>0</v>
      </c>
      <c r="AU159" s="486">
        <v>0</v>
      </c>
      <c r="AV159" s="487">
        <v>100000000</v>
      </c>
      <c r="AW159" s="486">
        <v>0</v>
      </c>
      <c r="AX159" s="486">
        <v>0</v>
      </c>
      <c r="AY159" s="486">
        <v>0</v>
      </c>
      <c r="AZ159" s="488">
        <v>0</v>
      </c>
      <c r="BA159" s="490">
        <v>100000000</v>
      </c>
      <c r="BB159" s="486">
        <v>100000000</v>
      </c>
      <c r="BC159" s="486">
        <v>0</v>
      </c>
      <c r="BD159" s="486">
        <v>0</v>
      </c>
      <c r="BE159" s="486">
        <v>0</v>
      </c>
      <c r="BF159" s="486">
        <v>0</v>
      </c>
      <c r="BG159" s="486">
        <v>0</v>
      </c>
      <c r="BH159" s="486">
        <v>0</v>
      </c>
      <c r="BI159" s="486">
        <v>0</v>
      </c>
      <c r="BJ159" s="487">
        <v>100000000</v>
      </c>
      <c r="BK159" s="486">
        <v>0</v>
      </c>
      <c r="BL159" s="486">
        <v>0</v>
      </c>
      <c r="BM159" s="486">
        <v>0</v>
      </c>
      <c r="BN159" s="488">
        <v>0</v>
      </c>
      <c r="BO159" s="490">
        <v>100000000</v>
      </c>
      <c r="BP159" s="486">
        <v>100000000</v>
      </c>
      <c r="BQ159" s="486">
        <v>0</v>
      </c>
      <c r="BR159" s="486">
        <v>0</v>
      </c>
      <c r="BS159" s="486">
        <v>0</v>
      </c>
      <c r="BT159" s="486">
        <v>0</v>
      </c>
      <c r="BU159" s="486">
        <v>0</v>
      </c>
      <c r="BV159" s="486">
        <v>0</v>
      </c>
      <c r="BW159" s="486">
        <v>0</v>
      </c>
      <c r="BX159" s="487">
        <v>100000000</v>
      </c>
      <c r="BY159" s="486">
        <v>0</v>
      </c>
      <c r="BZ159" s="486">
        <v>0</v>
      </c>
      <c r="CA159" s="486">
        <v>0</v>
      </c>
      <c r="CB159" s="488">
        <v>0</v>
      </c>
      <c r="CC159" s="491">
        <v>100000000</v>
      </c>
      <c r="CD159" s="492">
        <v>400000000</v>
      </c>
      <c r="CE159" s="493">
        <f t="shared" si="10"/>
        <v>400000000</v>
      </c>
      <c r="CF159" s="493">
        <f t="shared" si="10"/>
        <v>0</v>
      </c>
      <c r="CG159" s="493">
        <f t="shared" si="10"/>
        <v>0</v>
      </c>
      <c r="CH159" s="493">
        <f t="shared" si="9"/>
        <v>0</v>
      </c>
      <c r="CI159" s="493">
        <f t="shared" si="9"/>
        <v>0</v>
      </c>
      <c r="CJ159" s="493">
        <f t="shared" si="9"/>
        <v>0</v>
      </c>
      <c r="CK159" s="493">
        <f t="shared" si="9"/>
        <v>0</v>
      </c>
      <c r="CL159" s="493">
        <f t="shared" si="9"/>
        <v>0</v>
      </c>
      <c r="CM159" s="493">
        <f t="shared" si="12"/>
        <v>0</v>
      </c>
      <c r="CN159" s="493">
        <f t="shared" si="12"/>
        <v>0</v>
      </c>
      <c r="CO159" s="493">
        <f t="shared" si="12"/>
        <v>0</v>
      </c>
      <c r="CP159" s="494">
        <v>8</v>
      </c>
      <c r="CQ159" s="502" t="s">
        <v>6275</v>
      </c>
    </row>
    <row r="160" spans="1:95" ht="30.45" hidden="1" customHeight="1" thickBot="1">
      <c r="A160" s="555" t="s">
        <v>4191</v>
      </c>
      <c r="B160" s="479">
        <v>158</v>
      </c>
      <c r="C160" s="480" t="s">
        <v>4255</v>
      </c>
      <c r="D160" s="480" t="s">
        <v>4256</v>
      </c>
      <c r="E160" s="480" t="str">
        <f t="shared" si="11"/>
        <v xml:space="preserve">2.1.7 </v>
      </c>
      <c r="F160" s="480" t="s">
        <v>4317</v>
      </c>
      <c r="G160" s="480" t="s">
        <v>4318</v>
      </c>
      <c r="H160" s="481">
        <v>17</v>
      </c>
      <c r="I160" s="480" t="s">
        <v>4319</v>
      </c>
      <c r="J160" s="495">
        <v>170906500</v>
      </c>
      <c r="K160" s="480" t="s">
        <v>4320</v>
      </c>
      <c r="L160" s="480" t="s">
        <v>4321</v>
      </c>
      <c r="M160" s="480" t="s">
        <v>5785</v>
      </c>
      <c r="N160" s="499">
        <v>6</v>
      </c>
      <c r="O160" s="480" t="s">
        <v>6482</v>
      </c>
      <c r="P160" s="515">
        <v>10</v>
      </c>
      <c r="Q160" s="485" t="s">
        <v>5349</v>
      </c>
      <c r="R160" s="485" t="s">
        <v>5401</v>
      </c>
      <c r="S160" s="485" t="s">
        <v>5402</v>
      </c>
      <c r="T160" s="485" t="s">
        <v>5403</v>
      </c>
      <c r="U160" s="485" t="s">
        <v>5404</v>
      </c>
      <c r="V160" s="485" t="s">
        <v>5405</v>
      </c>
      <c r="W160" s="485" t="s">
        <v>5351</v>
      </c>
      <c r="X160" s="485">
        <v>9</v>
      </c>
      <c r="Y160" s="485" t="s">
        <v>5406</v>
      </c>
      <c r="Z160" s="486">
        <v>50000000</v>
      </c>
      <c r="AA160" s="486">
        <v>0</v>
      </c>
      <c r="AB160" s="486">
        <v>0</v>
      </c>
      <c r="AC160" s="486">
        <v>0</v>
      </c>
      <c r="AD160" s="486">
        <v>0</v>
      </c>
      <c r="AE160" s="486">
        <v>0</v>
      </c>
      <c r="AF160" s="486">
        <v>0</v>
      </c>
      <c r="AG160" s="486">
        <v>0</v>
      </c>
      <c r="AH160" s="487">
        <v>50000000</v>
      </c>
      <c r="AI160" s="486">
        <v>0</v>
      </c>
      <c r="AJ160" s="486">
        <v>0</v>
      </c>
      <c r="AK160" s="486">
        <v>0</v>
      </c>
      <c r="AL160" s="488">
        <v>0</v>
      </c>
      <c r="AM160" s="489">
        <v>50000000</v>
      </c>
      <c r="AN160" s="486">
        <v>50000000</v>
      </c>
      <c r="AO160" s="486">
        <v>0</v>
      </c>
      <c r="AP160" s="486">
        <v>0</v>
      </c>
      <c r="AQ160" s="486">
        <v>0</v>
      </c>
      <c r="AR160" s="486">
        <v>0</v>
      </c>
      <c r="AS160" s="486">
        <v>0</v>
      </c>
      <c r="AT160" s="486">
        <v>0</v>
      </c>
      <c r="AU160" s="486">
        <v>0</v>
      </c>
      <c r="AV160" s="487">
        <v>50000000</v>
      </c>
      <c r="AW160" s="486">
        <v>0</v>
      </c>
      <c r="AX160" s="486">
        <v>0</v>
      </c>
      <c r="AY160" s="486">
        <v>0</v>
      </c>
      <c r="AZ160" s="488">
        <v>0</v>
      </c>
      <c r="BA160" s="490">
        <v>50000000</v>
      </c>
      <c r="BB160" s="486">
        <v>50000000</v>
      </c>
      <c r="BC160" s="486">
        <v>0</v>
      </c>
      <c r="BD160" s="486">
        <v>0</v>
      </c>
      <c r="BE160" s="486">
        <v>0</v>
      </c>
      <c r="BF160" s="486">
        <v>0</v>
      </c>
      <c r="BG160" s="486">
        <v>0</v>
      </c>
      <c r="BH160" s="486">
        <v>0</v>
      </c>
      <c r="BI160" s="486">
        <v>0</v>
      </c>
      <c r="BJ160" s="487">
        <v>50000000</v>
      </c>
      <c r="BK160" s="486">
        <v>0</v>
      </c>
      <c r="BL160" s="486">
        <v>0</v>
      </c>
      <c r="BM160" s="486">
        <v>0</v>
      </c>
      <c r="BN160" s="488">
        <v>0</v>
      </c>
      <c r="BO160" s="490">
        <v>50000000</v>
      </c>
      <c r="BP160" s="486">
        <v>50000000</v>
      </c>
      <c r="BQ160" s="486">
        <v>0</v>
      </c>
      <c r="BR160" s="486">
        <v>0</v>
      </c>
      <c r="BS160" s="486">
        <v>0</v>
      </c>
      <c r="BT160" s="486">
        <v>0</v>
      </c>
      <c r="BU160" s="486">
        <v>0</v>
      </c>
      <c r="BV160" s="486">
        <v>0</v>
      </c>
      <c r="BW160" s="486">
        <v>0</v>
      </c>
      <c r="BX160" s="487">
        <v>50000000</v>
      </c>
      <c r="BY160" s="486">
        <v>0</v>
      </c>
      <c r="BZ160" s="486">
        <v>0</v>
      </c>
      <c r="CA160" s="486">
        <v>0</v>
      </c>
      <c r="CB160" s="488">
        <v>0</v>
      </c>
      <c r="CC160" s="491">
        <v>50000000</v>
      </c>
      <c r="CD160" s="492">
        <v>200000000</v>
      </c>
      <c r="CE160" s="493">
        <f t="shared" si="10"/>
        <v>200000000</v>
      </c>
      <c r="CF160" s="493">
        <f t="shared" si="10"/>
        <v>0</v>
      </c>
      <c r="CG160" s="493">
        <f t="shared" si="10"/>
        <v>0</v>
      </c>
      <c r="CH160" s="493">
        <f t="shared" si="9"/>
        <v>0</v>
      </c>
      <c r="CI160" s="493">
        <f t="shared" si="9"/>
        <v>0</v>
      </c>
      <c r="CJ160" s="493">
        <f t="shared" si="9"/>
        <v>0</v>
      </c>
      <c r="CK160" s="493">
        <f t="shared" si="9"/>
        <v>0</v>
      </c>
      <c r="CL160" s="493">
        <f t="shared" si="9"/>
        <v>0</v>
      </c>
      <c r="CM160" s="493">
        <f t="shared" si="12"/>
        <v>0</v>
      </c>
      <c r="CN160" s="493">
        <f t="shared" si="12"/>
        <v>0</v>
      </c>
      <c r="CO160" s="493">
        <f t="shared" si="12"/>
        <v>0</v>
      </c>
      <c r="CP160" s="502" t="s">
        <v>6276</v>
      </c>
      <c r="CQ160" s="502" t="s">
        <v>6277</v>
      </c>
    </row>
    <row r="161" spans="1:95" ht="30.45" hidden="1" customHeight="1" thickBot="1">
      <c r="A161" s="555" t="s">
        <v>4191</v>
      </c>
      <c r="B161" s="479">
        <v>159</v>
      </c>
      <c r="C161" s="480" t="s">
        <v>4255</v>
      </c>
      <c r="D161" s="480" t="s">
        <v>4256</v>
      </c>
      <c r="E161" s="480" t="str">
        <f t="shared" si="11"/>
        <v xml:space="preserve">2.1.7 </v>
      </c>
      <c r="F161" s="480" t="s">
        <v>4317</v>
      </c>
      <c r="G161" s="480" t="s">
        <v>4318</v>
      </c>
      <c r="H161" s="481">
        <v>17</v>
      </c>
      <c r="I161" s="480" t="s">
        <v>4319</v>
      </c>
      <c r="J161" s="495">
        <v>170905900</v>
      </c>
      <c r="K161" s="480" t="s">
        <v>4322</v>
      </c>
      <c r="L161" s="480" t="s">
        <v>4323</v>
      </c>
      <c r="M161" s="480" t="s">
        <v>5786</v>
      </c>
      <c r="N161" s="499">
        <v>14</v>
      </c>
      <c r="O161" s="480" t="s">
        <v>6483</v>
      </c>
      <c r="P161" s="515">
        <v>16</v>
      </c>
      <c r="Q161" s="485" t="s">
        <v>5349</v>
      </c>
      <c r="R161" s="485" t="s">
        <v>5401</v>
      </c>
      <c r="S161" s="485" t="s">
        <v>5402</v>
      </c>
      <c r="T161" s="485" t="s">
        <v>5403</v>
      </c>
      <c r="U161" s="485" t="s">
        <v>5404</v>
      </c>
      <c r="V161" s="485" t="s">
        <v>5405</v>
      </c>
      <c r="W161" s="485" t="s">
        <v>5351</v>
      </c>
      <c r="X161" s="485">
        <v>9</v>
      </c>
      <c r="Y161" s="485" t="s">
        <v>5406</v>
      </c>
      <c r="Z161" s="486">
        <v>0</v>
      </c>
      <c r="AA161" s="486">
        <v>0</v>
      </c>
      <c r="AB161" s="486">
        <v>0</v>
      </c>
      <c r="AC161" s="486">
        <v>0</v>
      </c>
      <c r="AD161" s="486">
        <v>0</v>
      </c>
      <c r="AE161" s="486">
        <v>0</v>
      </c>
      <c r="AF161" s="486">
        <v>0</v>
      </c>
      <c r="AG161" s="486">
        <v>0</v>
      </c>
      <c r="AH161" s="487">
        <v>0</v>
      </c>
      <c r="AI161" s="486">
        <v>0</v>
      </c>
      <c r="AJ161" s="486">
        <v>0</v>
      </c>
      <c r="AK161" s="486">
        <v>0</v>
      </c>
      <c r="AL161" s="488">
        <v>0</v>
      </c>
      <c r="AM161" s="489">
        <v>0</v>
      </c>
      <c r="AN161" s="486">
        <v>120000000</v>
      </c>
      <c r="AO161" s="486">
        <v>0</v>
      </c>
      <c r="AP161" s="486">
        <v>0</v>
      </c>
      <c r="AQ161" s="486">
        <v>0</v>
      </c>
      <c r="AR161" s="486">
        <v>0</v>
      </c>
      <c r="AS161" s="486">
        <v>0</v>
      </c>
      <c r="AT161" s="486">
        <v>20000000000</v>
      </c>
      <c r="AU161" s="486">
        <v>0</v>
      </c>
      <c r="AV161" s="487">
        <v>20120000000</v>
      </c>
      <c r="AW161" s="486">
        <v>0</v>
      </c>
      <c r="AX161" s="486">
        <v>450000000</v>
      </c>
      <c r="AY161" s="486">
        <v>0</v>
      </c>
      <c r="AZ161" s="488">
        <v>450000000</v>
      </c>
      <c r="BA161" s="490">
        <v>20570000000</v>
      </c>
      <c r="BB161" s="486">
        <v>135000000</v>
      </c>
      <c r="BC161" s="486">
        <v>0</v>
      </c>
      <c r="BD161" s="486">
        <v>0</v>
      </c>
      <c r="BE161" s="486">
        <v>0</v>
      </c>
      <c r="BF161" s="486">
        <v>0</v>
      </c>
      <c r="BG161" s="486">
        <v>0</v>
      </c>
      <c r="BH161" s="486">
        <v>20000000000</v>
      </c>
      <c r="BI161" s="486">
        <v>0</v>
      </c>
      <c r="BJ161" s="487">
        <v>20135000000</v>
      </c>
      <c r="BK161" s="486">
        <v>0</v>
      </c>
      <c r="BL161" s="486">
        <v>550000000</v>
      </c>
      <c r="BM161" s="486">
        <v>0</v>
      </c>
      <c r="BN161" s="488">
        <v>550000000</v>
      </c>
      <c r="BO161" s="490">
        <v>20685000000</v>
      </c>
      <c r="BP161" s="486">
        <v>0</v>
      </c>
      <c r="BQ161" s="486">
        <v>0</v>
      </c>
      <c r="BR161" s="486">
        <v>0</v>
      </c>
      <c r="BS161" s="486">
        <v>0</v>
      </c>
      <c r="BT161" s="486">
        <v>0</v>
      </c>
      <c r="BU161" s="486">
        <v>0</v>
      </c>
      <c r="BV161" s="486">
        <v>0</v>
      </c>
      <c r="BW161" s="486">
        <v>0</v>
      </c>
      <c r="BX161" s="487">
        <v>0</v>
      </c>
      <c r="BY161" s="486">
        <v>0</v>
      </c>
      <c r="BZ161" s="486">
        <v>0</v>
      </c>
      <c r="CA161" s="486">
        <v>0</v>
      </c>
      <c r="CB161" s="488">
        <v>0</v>
      </c>
      <c r="CC161" s="491">
        <v>0</v>
      </c>
      <c r="CD161" s="492">
        <v>41255000000</v>
      </c>
      <c r="CE161" s="493">
        <f t="shared" si="10"/>
        <v>255000000</v>
      </c>
      <c r="CF161" s="493">
        <f t="shared" si="10"/>
        <v>0</v>
      </c>
      <c r="CG161" s="493">
        <f t="shared" si="10"/>
        <v>0</v>
      </c>
      <c r="CH161" s="493">
        <f t="shared" si="9"/>
        <v>0</v>
      </c>
      <c r="CI161" s="493">
        <f t="shared" si="9"/>
        <v>0</v>
      </c>
      <c r="CJ161" s="493">
        <f t="shared" si="9"/>
        <v>0</v>
      </c>
      <c r="CK161" s="493">
        <f t="shared" si="9"/>
        <v>40000000000</v>
      </c>
      <c r="CL161" s="493">
        <f t="shared" si="9"/>
        <v>0</v>
      </c>
      <c r="CM161" s="493">
        <f t="shared" si="12"/>
        <v>0</v>
      </c>
      <c r="CN161" s="493">
        <f t="shared" si="12"/>
        <v>1000000000</v>
      </c>
      <c r="CO161" s="493">
        <f t="shared" si="12"/>
        <v>0</v>
      </c>
      <c r="CP161" s="494">
        <v>9</v>
      </c>
      <c r="CQ161" s="494" t="s">
        <v>5406</v>
      </c>
    </row>
    <row r="162" spans="1:95" ht="30.45" hidden="1" customHeight="1" thickBot="1">
      <c r="A162" s="555" t="s">
        <v>4191</v>
      </c>
      <c r="B162" s="479">
        <v>160</v>
      </c>
      <c r="C162" s="480" t="s">
        <v>4255</v>
      </c>
      <c r="D162" s="480" t="s">
        <v>4256</v>
      </c>
      <c r="E162" s="480" t="str">
        <f t="shared" si="11"/>
        <v xml:space="preserve">2.1.7 </v>
      </c>
      <c r="F162" s="480" t="s">
        <v>4317</v>
      </c>
      <c r="G162" s="480" t="s">
        <v>4318</v>
      </c>
      <c r="H162" s="481">
        <v>17</v>
      </c>
      <c r="I162" s="480" t="s">
        <v>4319</v>
      </c>
      <c r="J162" s="495">
        <v>170907800</v>
      </c>
      <c r="K162" s="480" t="s">
        <v>4324</v>
      </c>
      <c r="L162" s="480" t="s">
        <v>4325</v>
      </c>
      <c r="M162" s="480" t="s">
        <v>5787</v>
      </c>
      <c r="N162" s="499">
        <v>0</v>
      </c>
      <c r="O162" s="480" t="s">
        <v>4326</v>
      </c>
      <c r="P162" s="515">
        <v>2</v>
      </c>
      <c r="Q162" s="485" t="s">
        <v>5349</v>
      </c>
      <c r="R162" s="485" t="s">
        <v>5401</v>
      </c>
      <c r="S162" s="485" t="s">
        <v>5402</v>
      </c>
      <c r="T162" s="485" t="s">
        <v>5403</v>
      </c>
      <c r="U162" s="485" t="s">
        <v>5404</v>
      </c>
      <c r="V162" s="485" t="s">
        <v>5405</v>
      </c>
      <c r="W162" s="485" t="s">
        <v>5351</v>
      </c>
      <c r="X162" s="485">
        <v>9</v>
      </c>
      <c r="Y162" s="485" t="s">
        <v>5406</v>
      </c>
      <c r="Z162" s="486">
        <v>0</v>
      </c>
      <c r="AA162" s="486">
        <v>0</v>
      </c>
      <c r="AB162" s="486">
        <v>0</v>
      </c>
      <c r="AC162" s="486">
        <v>0</v>
      </c>
      <c r="AD162" s="486">
        <v>0</v>
      </c>
      <c r="AE162" s="486">
        <v>0</v>
      </c>
      <c r="AF162" s="486">
        <v>7910000000</v>
      </c>
      <c r="AG162" s="486">
        <v>0</v>
      </c>
      <c r="AH162" s="487">
        <v>7910000000</v>
      </c>
      <c r="AI162" s="486">
        <v>250000000</v>
      </c>
      <c r="AJ162" s="486">
        <v>0</v>
      </c>
      <c r="AK162" s="486">
        <v>0</v>
      </c>
      <c r="AL162" s="488">
        <v>250000000</v>
      </c>
      <c r="AM162" s="489">
        <v>8160000000</v>
      </c>
      <c r="AN162" s="486">
        <v>120000000</v>
      </c>
      <c r="AO162" s="486">
        <v>0</v>
      </c>
      <c r="AP162" s="486">
        <v>0</v>
      </c>
      <c r="AQ162" s="486">
        <v>0</v>
      </c>
      <c r="AR162" s="486">
        <v>0</v>
      </c>
      <c r="AS162" s="486">
        <v>0</v>
      </c>
      <c r="AT162" s="486">
        <v>0</v>
      </c>
      <c r="AU162" s="486">
        <v>0</v>
      </c>
      <c r="AV162" s="487">
        <v>120000000</v>
      </c>
      <c r="AW162" s="486">
        <v>450000000</v>
      </c>
      <c r="AX162" s="486">
        <v>0</v>
      </c>
      <c r="AY162" s="486">
        <v>0</v>
      </c>
      <c r="AZ162" s="488">
        <v>450000000</v>
      </c>
      <c r="BA162" s="490">
        <v>570000000</v>
      </c>
      <c r="BB162" s="486">
        <v>0</v>
      </c>
      <c r="BC162" s="486">
        <v>0</v>
      </c>
      <c r="BD162" s="486">
        <v>0</v>
      </c>
      <c r="BE162" s="486">
        <v>0</v>
      </c>
      <c r="BF162" s="486">
        <v>0</v>
      </c>
      <c r="BG162" s="486">
        <v>0</v>
      </c>
      <c r="BH162" s="486">
        <v>0</v>
      </c>
      <c r="BI162" s="486">
        <v>0</v>
      </c>
      <c r="BJ162" s="487">
        <v>0</v>
      </c>
      <c r="BK162" s="486">
        <v>0</v>
      </c>
      <c r="BL162" s="486">
        <v>0</v>
      </c>
      <c r="BM162" s="486">
        <v>0</v>
      </c>
      <c r="BN162" s="488">
        <v>0</v>
      </c>
      <c r="BO162" s="490">
        <v>0</v>
      </c>
      <c r="BP162" s="486">
        <v>0</v>
      </c>
      <c r="BQ162" s="486">
        <v>0</v>
      </c>
      <c r="BR162" s="486">
        <v>0</v>
      </c>
      <c r="BS162" s="486">
        <v>0</v>
      </c>
      <c r="BT162" s="486">
        <v>0</v>
      </c>
      <c r="BU162" s="486">
        <v>0</v>
      </c>
      <c r="BV162" s="486">
        <v>0</v>
      </c>
      <c r="BW162" s="486">
        <v>0</v>
      </c>
      <c r="BX162" s="487">
        <v>0</v>
      </c>
      <c r="BY162" s="486">
        <v>0</v>
      </c>
      <c r="BZ162" s="486">
        <v>0</v>
      </c>
      <c r="CA162" s="486">
        <v>0</v>
      </c>
      <c r="CB162" s="488">
        <v>0</v>
      </c>
      <c r="CC162" s="491">
        <v>0</v>
      </c>
      <c r="CD162" s="492">
        <v>8730000000</v>
      </c>
      <c r="CE162" s="493">
        <f t="shared" si="10"/>
        <v>120000000</v>
      </c>
      <c r="CF162" s="493">
        <f t="shared" si="10"/>
        <v>0</v>
      </c>
      <c r="CG162" s="493">
        <f t="shared" si="10"/>
        <v>0</v>
      </c>
      <c r="CH162" s="493">
        <f t="shared" si="9"/>
        <v>0</v>
      </c>
      <c r="CI162" s="493">
        <f t="shared" si="9"/>
        <v>0</v>
      </c>
      <c r="CJ162" s="493">
        <f t="shared" si="9"/>
        <v>0</v>
      </c>
      <c r="CK162" s="493">
        <f t="shared" si="9"/>
        <v>7910000000</v>
      </c>
      <c r="CL162" s="493">
        <f t="shared" si="9"/>
        <v>0</v>
      </c>
      <c r="CM162" s="493">
        <f t="shared" si="12"/>
        <v>700000000</v>
      </c>
      <c r="CN162" s="493">
        <f t="shared" si="12"/>
        <v>0</v>
      </c>
      <c r="CO162" s="493">
        <f t="shared" si="12"/>
        <v>0</v>
      </c>
      <c r="CP162" s="494">
        <v>9</v>
      </c>
      <c r="CQ162" s="494" t="s">
        <v>5406</v>
      </c>
    </row>
    <row r="163" spans="1:95" ht="30.45" hidden="1" customHeight="1" thickBot="1">
      <c r="A163" s="555" t="s">
        <v>4191</v>
      </c>
      <c r="B163" s="479">
        <v>161</v>
      </c>
      <c r="C163" s="480" t="s">
        <v>4255</v>
      </c>
      <c r="D163" s="480" t="s">
        <v>4256</v>
      </c>
      <c r="E163" s="480" t="str">
        <f t="shared" si="11"/>
        <v xml:space="preserve">2.1.7 </v>
      </c>
      <c r="F163" s="480" t="s">
        <v>4317</v>
      </c>
      <c r="G163" s="480" t="s">
        <v>4318</v>
      </c>
      <c r="H163" s="481">
        <v>17</v>
      </c>
      <c r="I163" s="480" t="s">
        <v>4319</v>
      </c>
      <c r="J163" s="495">
        <v>170911300</v>
      </c>
      <c r="K163" s="480" t="s">
        <v>4324</v>
      </c>
      <c r="L163" s="480" t="s">
        <v>4327</v>
      </c>
      <c r="M163" s="480" t="s">
        <v>5788</v>
      </c>
      <c r="N163" s="499">
        <v>1</v>
      </c>
      <c r="O163" s="480" t="s">
        <v>4328</v>
      </c>
      <c r="P163" s="515">
        <v>10</v>
      </c>
      <c r="Q163" s="485" t="s">
        <v>5349</v>
      </c>
      <c r="R163" s="485" t="s">
        <v>5401</v>
      </c>
      <c r="S163" s="485" t="s">
        <v>5402</v>
      </c>
      <c r="T163" s="485" t="s">
        <v>5403</v>
      </c>
      <c r="U163" s="485" t="s">
        <v>5404</v>
      </c>
      <c r="V163" s="485" t="s">
        <v>5405</v>
      </c>
      <c r="W163" s="485" t="s">
        <v>5351</v>
      </c>
      <c r="X163" s="485">
        <v>9</v>
      </c>
      <c r="Y163" s="485" t="s">
        <v>5406</v>
      </c>
      <c r="Z163" s="486">
        <v>0</v>
      </c>
      <c r="AA163" s="486">
        <v>0</v>
      </c>
      <c r="AB163" s="486">
        <v>0</v>
      </c>
      <c r="AC163" s="486">
        <v>0</v>
      </c>
      <c r="AD163" s="486">
        <v>0</v>
      </c>
      <c r="AE163" s="486">
        <v>0</v>
      </c>
      <c r="AF163" s="486">
        <v>0</v>
      </c>
      <c r="AG163" s="486">
        <v>0</v>
      </c>
      <c r="AH163" s="487">
        <v>0</v>
      </c>
      <c r="AI163" s="486">
        <v>0</v>
      </c>
      <c r="AJ163" s="486">
        <v>0</v>
      </c>
      <c r="AK163" s="486">
        <v>0</v>
      </c>
      <c r="AL163" s="488">
        <v>0</v>
      </c>
      <c r="AM163" s="489">
        <v>0</v>
      </c>
      <c r="AN163" s="486"/>
      <c r="AO163" s="486">
        <v>0</v>
      </c>
      <c r="AP163" s="486">
        <v>0</v>
      </c>
      <c r="AQ163" s="486">
        <v>0</v>
      </c>
      <c r="AR163" s="486">
        <v>0</v>
      </c>
      <c r="AS163" s="486">
        <v>0</v>
      </c>
      <c r="AT163" s="486">
        <v>0</v>
      </c>
      <c r="AU163" s="486">
        <v>0</v>
      </c>
      <c r="AV163" s="487">
        <v>0</v>
      </c>
      <c r="AW163" s="486"/>
      <c r="AX163" s="486">
        <v>0</v>
      </c>
      <c r="AY163" s="486">
        <v>0</v>
      </c>
      <c r="AZ163" s="488">
        <v>0</v>
      </c>
      <c r="BA163" s="490">
        <v>0</v>
      </c>
      <c r="BB163" s="486">
        <v>225000000</v>
      </c>
      <c r="BC163" s="486">
        <v>0</v>
      </c>
      <c r="BD163" s="486">
        <v>0</v>
      </c>
      <c r="BE163" s="486">
        <v>0</v>
      </c>
      <c r="BF163" s="486">
        <v>0</v>
      </c>
      <c r="BG163" s="486">
        <v>0</v>
      </c>
      <c r="BH163" s="486">
        <v>0</v>
      </c>
      <c r="BI163" s="486">
        <v>0</v>
      </c>
      <c r="BJ163" s="487">
        <v>225000000</v>
      </c>
      <c r="BK163" s="486">
        <v>0</v>
      </c>
      <c r="BL163" s="486">
        <v>0</v>
      </c>
      <c r="BM163" s="486">
        <v>0</v>
      </c>
      <c r="BN163" s="488">
        <v>0</v>
      </c>
      <c r="BO163" s="490">
        <v>225000000</v>
      </c>
      <c r="BP163" s="486">
        <v>0</v>
      </c>
      <c r="BQ163" s="486">
        <v>0</v>
      </c>
      <c r="BR163" s="486">
        <v>0</v>
      </c>
      <c r="BS163" s="486">
        <v>0</v>
      </c>
      <c r="BT163" s="486">
        <v>0</v>
      </c>
      <c r="BU163" s="486">
        <v>0</v>
      </c>
      <c r="BV163" s="486">
        <v>0</v>
      </c>
      <c r="BW163" s="486">
        <v>0</v>
      </c>
      <c r="BX163" s="487">
        <v>0</v>
      </c>
      <c r="BY163" s="486">
        <v>0</v>
      </c>
      <c r="BZ163" s="486">
        <v>0</v>
      </c>
      <c r="CA163" s="486">
        <v>0</v>
      </c>
      <c r="CB163" s="488">
        <v>0</v>
      </c>
      <c r="CC163" s="491">
        <v>0</v>
      </c>
      <c r="CD163" s="492">
        <v>225000000</v>
      </c>
      <c r="CE163" s="493">
        <f t="shared" si="10"/>
        <v>225000000</v>
      </c>
      <c r="CF163" s="493">
        <f t="shared" si="10"/>
        <v>0</v>
      </c>
      <c r="CG163" s="493">
        <f t="shared" si="10"/>
        <v>0</v>
      </c>
      <c r="CH163" s="493">
        <f t="shared" si="9"/>
        <v>0</v>
      </c>
      <c r="CI163" s="493">
        <f t="shared" si="9"/>
        <v>0</v>
      </c>
      <c r="CJ163" s="493">
        <f t="shared" si="9"/>
        <v>0</v>
      </c>
      <c r="CK163" s="493">
        <f t="shared" si="9"/>
        <v>0</v>
      </c>
      <c r="CL163" s="493">
        <f t="shared" si="9"/>
        <v>0</v>
      </c>
      <c r="CM163" s="493">
        <f t="shared" si="12"/>
        <v>0</v>
      </c>
      <c r="CN163" s="493">
        <f t="shared" si="12"/>
        <v>0</v>
      </c>
      <c r="CO163" s="493">
        <f t="shared" si="12"/>
        <v>0</v>
      </c>
      <c r="CP163" s="502" t="s">
        <v>6254</v>
      </c>
      <c r="CQ163" s="502" t="s">
        <v>6278</v>
      </c>
    </row>
    <row r="164" spans="1:95" ht="30.45" hidden="1" customHeight="1" thickBot="1">
      <c r="A164" s="555" t="s">
        <v>4191</v>
      </c>
      <c r="B164" s="479">
        <v>162</v>
      </c>
      <c r="C164" s="480" t="s">
        <v>4255</v>
      </c>
      <c r="D164" s="480" t="s">
        <v>4256</v>
      </c>
      <c r="E164" s="480" t="str">
        <f t="shared" si="11"/>
        <v xml:space="preserve">2.1.7 </v>
      </c>
      <c r="F164" s="480" t="s">
        <v>4317</v>
      </c>
      <c r="G164" s="480" t="s">
        <v>4318</v>
      </c>
      <c r="H164" s="481">
        <v>17</v>
      </c>
      <c r="I164" s="480" t="s">
        <v>4319</v>
      </c>
      <c r="J164" s="495">
        <v>170911400</v>
      </c>
      <c r="K164" s="480" t="s">
        <v>4329</v>
      </c>
      <c r="L164" s="480" t="s">
        <v>4330</v>
      </c>
      <c r="M164" s="480" t="s">
        <v>5789</v>
      </c>
      <c r="N164" s="499">
        <v>2457</v>
      </c>
      <c r="O164" s="480" t="s">
        <v>4331</v>
      </c>
      <c r="P164" s="515">
        <v>5937</v>
      </c>
      <c r="Q164" s="485" t="s">
        <v>5349</v>
      </c>
      <c r="R164" s="485" t="s">
        <v>5401</v>
      </c>
      <c r="S164" s="485" t="s">
        <v>5402</v>
      </c>
      <c r="T164" s="485" t="s">
        <v>5403</v>
      </c>
      <c r="U164" s="485" t="s">
        <v>5404</v>
      </c>
      <c r="V164" s="485" t="s">
        <v>5405</v>
      </c>
      <c r="W164" s="485" t="s">
        <v>5351</v>
      </c>
      <c r="X164" s="485">
        <v>9</v>
      </c>
      <c r="Y164" s="485" t="s">
        <v>5406</v>
      </c>
      <c r="Z164" s="486">
        <v>0</v>
      </c>
      <c r="AA164" s="486">
        <v>0</v>
      </c>
      <c r="AB164" s="486">
        <v>0</v>
      </c>
      <c r="AC164" s="486">
        <v>0</v>
      </c>
      <c r="AD164" s="486">
        <v>0</v>
      </c>
      <c r="AE164" s="486">
        <v>0</v>
      </c>
      <c r="AF164" s="486">
        <v>0</v>
      </c>
      <c r="AG164" s="486">
        <v>0</v>
      </c>
      <c r="AH164" s="487">
        <v>0</v>
      </c>
      <c r="AI164" s="486">
        <v>750000000</v>
      </c>
      <c r="AJ164" s="486">
        <v>0</v>
      </c>
      <c r="AK164" s="486"/>
      <c r="AL164" s="488">
        <v>750000000</v>
      </c>
      <c r="AM164" s="489">
        <v>750000000</v>
      </c>
      <c r="AN164" s="486">
        <v>0</v>
      </c>
      <c r="AO164" s="486">
        <v>0</v>
      </c>
      <c r="AP164" s="486">
        <v>0</v>
      </c>
      <c r="AQ164" s="486">
        <v>0</v>
      </c>
      <c r="AR164" s="486">
        <v>0</v>
      </c>
      <c r="AS164" s="486">
        <v>0</v>
      </c>
      <c r="AT164" s="486">
        <v>0</v>
      </c>
      <c r="AU164" s="486">
        <v>0</v>
      </c>
      <c r="AV164" s="487">
        <v>0</v>
      </c>
      <c r="AW164" s="486">
        <v>0</v>
      </c>
      <c r="AX164" s="486">
        <v>0</v>
      </c>
      <c r="AY164" s="486">
        <v>0</v>
      </c>
      <c r="AZ164" s="488">
        <v>0</v>
      </c>
      <c r="BA164" s="490">
        <v>0</v>
      </c>
      <c r="BB164" s="486">
        <v>0</v>
      </c>
      <c r="BC164" s="486">
        <v>0</v>
      </c>
      <c r="BD164" s="486">
        <v>0</v>
      </c>
      <c r="BE164" s="486">
        <v>0</v>
      </c>
      <c r="BF164" s="486">
        <v>0</v>
      </c>
      <c r="BG164" s="486">
        <v>0</v>
      </c>
      <c r="BH164" s="486">
        <v>0</v>
      </c>
      <c r="BI164" s="486">
        <v>0</v>
      </c>
      <c r="BJ164" s="487">
        <v>0</v>
      </c>
      <c r="BK164" s="486">
        <v>0</v>
      </c>
      <c r="BL164" s="486">
        <v>0</v>
      </c>
      <c r="BM164" s="486">
        <v>0</v>
      </c>
      <c r="BN164" s="488">
        <v>0</v>
      </c>
      <c r="BO164" s="490">
        <v>0</v>
      </c>
      <c r="BP164" s="486">
        <v>0</v>
      </c>
      <c r="BQ164" s="486">
        <v>0</v>
      </c>
      <c r="BR164" s="486">
        <v>0</v>
      </c>
      <c r="BS164" s="486">
        <v>0</v>
      </c>
      <c r="BT164" s="486">
        <v>0</v>
      </c>
      <c r="BU164" s="486">
        <v>0</v>
      </c>
      <c r="BV164" s="486">
        <v>0</v>
      </c>
      <c r="BW164" s="486">
        <v>0</v>
      </c>
      <c r="BX164" s="487">
        <v>0</v>
      </c>
      <c r="BY164" s="486">
        <v>0</v>
      </c>
      <c r="BZ164" s="486">
        <v>0</v>
      </c>
      <c r="CA164" s="486">
        <v>0</v>
      </c>
      <c r="CB164" s="488">
        <v>0</v>
      </c>
      <c r="CC164" s="491">
        <v>0</v>
      </c>
      <c r="CD164" s="492">
        <v>750000000</v>
      </c>
      <c r="CE164" s="493">
        <f t="shared" si="10"/>
        <v>0</v>
      </c>
      <c r="CF164" s="493">
        <f t="shared" si="10"/>
        <v>0</v>
      </c>
      <c r="CG164" s="493">
        <f t="shared" si="10"/>
        <v>0</v>
      </c>
      <c r="CH164" s="493">
        <f t="shared" si="9"/>
        <v>0</v>
      </c>
      <c r="CI164" s="493">
        <f t="shared" si="9"/>
        <v>0</v>
      </c>
      <c r="CJ164" s="493">
        <f t="shared" si="9"/>
        <v>0</v>
      </c>
      <c r="CK164" s="493">
        <f t="shared" si="9"/>
        <v>0</v>
      </c>
      <c r="CL164" s="493">
        <f t="shared" si="9"/>
        <v>0</v>
      </c>
      <c r="CM164" s="493">
        <f t="shared" si="12"/>
        <v>750000000</v>
      </c>
      <c r="CN164" s="493">
        <f t="shared" si="12"/>
        <v>0</v>
      </c>
      <c r="CO164" s="493">
        <f t="shared" si="12"/>
        <v>0</v>
      </c>
      <c r="CP164" s="502" t="s">
        <v>6279</v>
      </c>
      <c r="CQ164" s="502" t="s">
        <v>6280</v>
      </c>
    </row>
    <row r="165" spans="1:95" ht="30.45" hidden="1" customHeight="1" thickBot="1">
      <c r="A165" s="555" t="s">
        <v>4191</v>
      </c>
      <c r="B165" s="479">
        <v>163</v>
      </c>
      <c r="C165" s="480" t="s">
        <v>4255</v>
      </c>
      <c r="D165" s="480" t="s">
        <v>4256</v>
      </c>
      <c r="E165" s="480" t="str">
        <f t="shared" si="11"/>
        <v xml:space="preserve">2.1.7 </v>
      </c>
      <c r="F165" s="480" t="s">
        <v>4317</v>
      </c>
      <c r="G165" s="480" t="s">
        <v>4318</v>
      </c>
      <c r="H165" s="481">
        <v>17</v>
      </c>
      <c r="I165" s="480" t="s">
        <v>4319</v>
      </c>
      <c r="J165" s="495">
        <v>170901900</v>
      </c>
      <c r="K165" s="480" t="s">
        <v>4332</v>
      </c>
      <c r="L165" s="480" t="s">
        <v>4333</v>
      </c>
      <c r="M165" s="480" t="s">
        <v>5790</v>
      </c>
      <c r="N165" s="499">
        <v>0</v>
      </c>
      <c r="O165" s="480" t="s">
        <v>4334</v>
      </c>
      <c r="P165" s="515">
        <v>1</v>
      </c>
      <c r="Q165" s="485" t="s">
        <v>5349</v>
      </c>
      <c r="R165" s="485" t="s">
        <v>5401</v>
      </c>
      <c r="S165" s="485" t="s">
        <v>5402</v>
      </c>
      <c r="T165" s="485" t="s">
        <v>5403</v>
      </c>
      <c r="U165" s="485" t="s">
        <v>5404</v>
      </c>
      <c r="V165" s="485" t="s">
        <v>5405</v>
      </c>
      <c r="W165" s="485" t="s">
        <v>5351</v>
      </c>
      <c r="X165" s="485">
        <v>9</v>
      </c>
      <c r="Y165" s="485" t="s">
        <v>5406</v>
      </c>
      <c r="Z165" s="486">
        <v>0</v>
      </c>
      <c r="AA165" s="486">
        <v>0</v>
      </c>
      <c r="AB165" s="486">
        <v>0</v>
      </c>
      <c r="AC165" s="486">
        <v>0</v>
      </c>
      <c r="AD165" s="486">
        <v>0</v>
      </c>
      <c r="AE165" s="486">
        <v>0</v>
      </c>
      <c r="AF165" s="486">
        <v>0</v>
      </c>
      <c r="AG165" s="486">
        <v>0</v>
      </c>
      <c r="AH165" s="487">
        <v>0</v>
      </c>
      <c r="AI165" s="486">
        <v>0</v>
      </c>
      <c r="AJ165" s="486">
        <v>0</v>
      </c>
      <c r="AK165" s="486">
        <v>0</v>
      </c>
      <c r="AL165" s="488">
        <v>0</v>
      </c>
      <c r="AM165" s="489">
        <v>0</v>
      </c>
      <c r="AN165" s="486">
        <v>0</v>
      </c>
      <c r="AO165" s="486">
        <v>0</v>
      </c>
      <c r="AP165" s="486">
        <v>0</v>
      </c>
      <c r="AQ165" s="486">
        <v>0</v>
      </c>
      <c r="AR165" s="486">
        <v>0</v>
      </c>
      <c r="AS165" s="486">
        <v>0</v>
      </c>
      <c r="AT165" s="486">
        <v>0</v>
      </c>
      <c r="AU165" s="486">
        <v>0</v>
      </c>
      <c r="AV165" s="487">
        <v>0</v>
      </c>
      <c r="AW165" s="486">
        <v>1200000000</v>
      </c>
      <c r="AX165" s="486">
        <v>0</v>
      </c>
      <c r="AY165" s="486">
        <v>0</v>
      </c>
      <c r="AZ165" s="488">
        <v>1200000000</v>
      </c>
      <c r="BA165" s="490">
        <v>1200000000</v>
      </c>
      <c r="BB165" s="486">
        <v>0</v>
      </c>
      <c r="BC165" s="486">
        <v>0</v>
      </c>
      <c r="BD165" s="486">
        <v>0</v>
      </c>
      <c r="BE165" s="486">
        <v>0</v>
      </c>
      <c r="BF165" s="486">
        <v>0</v>
      </c>
      <c r="BG165" s="486">
        <v>0</v>
      </c>
      <c r="BH165" s="486">
        <v>0</v>
      </c>
      <c r="BI165" s="486">
        <v>0</v>
      </c>
      <c r="BJ165" s="487">
        <v>0</v>
      </c>
      <c r="BK165" s="486">
        <v>0</v>
      </c>
      <c r="BL165" s="486">
        <v>0</v>
      </c>
      <c r="BM165" s="486">
        <v>0</v>
      </c>
      <c r="BN165" s="488">
        <v>0</v>
      </c>
      <c r="BO165" s="490">
        <v>0</v>
      </c>
      <c r="BP165" s="486">
        <v>0</v>
      </c>
      <c r="BQ165" s="486">
        <v>0</v>
      </c>
      <c r="BR165" s="486">
        <v>0</v>
      </c>
      <c r="BS165" s="486">
        <v>0</v>
      </c>
      <c r="BT165" s="486">
        <v>0</v>
      </c>
      <c r="BU165" s="486">
        <v>0</v>
      </c>
      <c r="BV165" s="486">
        <v>0</v>
      </c>
      <c r="BW165" s="486">
        <v>0</v>
      </c>
      <c r="BX165" s="487">
        <v>0</v>
      </c>
      <c r="BY165" s="486">
        <v>0</v>
      </c>
      <c r="BZ165" s="486">
        <v>0</v>
      </c>
      <c r="CA165" s="486">
        <v>0</v>
      </c>
      <c r="CB165" s="488">
        <v>0</v>
      </c>
      <c r="CC165" s="491">
        <v>0</v>
      </c>
      <c r="CD165" s="492">
        <v>1200000000</v>
      </c>
      <c r="CE165" s="493">
        <f t="shared" si="10"/>
        <v>0</v>
      </c>
      <c r="CF165" s="493">
        <f t="shared" si="10"/>
        <v>0</v>
      </c>
      <c r="CG165" s="493">
        <f t="shared" si="10"/>
        <v>0</v>
      </c>
      <c r="CH165" s="493">
        <f t="shared" si="9"/>
        <v>0</v>
      </c>
      <c r="CI165" s="493">
        <f t="shared" si="9"/>
        <v>0</v>
      </c>
      <c r="CJ165" s="493">
        <f t="shared" si="9"/>
        <v>0</v>
      </c>
      <c r="CK165" s="493">
        <f t="shared" si="9"/>
        <v>0</v>
      </c>
      <c r="CL165" s="493">
        <f t="shared" si="9"/>
        <v>0</v>
      </c>
      <c r="CM165" s="493">
        <f t="shared" si="12"/>
        <v>1200000000</v>
      </c>
      <c r="CN165" s="493">
        <f t="shared" si="12"/>
        <v>0</v>
      </c>
      <c r="CO165" s="493">
        <f t="shared" si="12"/>
        <v>0</v>
      </c>
      <c r="CP165" s="502" t="s">
        <v>6281</v>
      </c>
      <c r="CQ165" s="502" t="s">
        <v>6282</v>
      </c>
    </row>
    <row r="166" spans="1:95" ht="30.45" hidden="1" customHeight="1" thickBot="1">
      <c r="A166" s="555" t="s">
        <v>4281</v>
      </c>
      <c r="B166" s="479">
        <v>164</v>
      </c>
      <c r="C166" s="480" t="s">
        <v>4255</v>
      </c>
      <c r="D166" s="480" t="s">
        <v>4256</v>
      </c>
      <c r="E166" s="480" t="str">
        <f t="shared" si="11"/>
        <v xml:space="preserve">2.1.8 </v>
      </c>
      <c r="F166" s="480" t="s">
        <v>4335</v>
      </c>
      <c r="G166" s="480" t="s">
        <v>4336</v>
      </c>
      <c r="H166" s="481">
        <v>35</v>
      </c>
      <c r="I166" s="480" t="s">
        <v>4277</v>
      </c>
      <c r="J166" s="495">
        <v>350209500</v>
      </c>
      <c r="K166" s="480" t="s">
        <v>4178</v>
      </c>
      <c r="L166" s="480" t="s">
        <v>4337</v>
      </c>
      <c r="M166" s="480" t="s">
        <v>6484</v>
      </c>
      <c r="N166" s="499">
        <v>10</v>
      </c>
      <c r="O166" s="480" t="s">
        <v>4279</v>
      </c>
      <c r="P166" s="515">
        <v>60</v>
      </c>
      <c r="Q166" s="485" t="s">
        <v>5349</v>
      </c>
      <c r="R166" s="485" t="s">
        <v>5407</v>
      </c>
      <c r="S166" s="485" t="s">
        <v>689</v>
      </c>
      <c r="T166" s="485">
        <v>0.38</v>
      </c>
      <c r="U166" s="485" t="s">
        <v>5393</v>
      </c>
      <c r="V166" s="485">
        <v>0.39</v>
      </c>
      <c r="W166" s="485" t="s">
        <v>5384</v>
      </c>
      <c r="X166" s="485" t="s">
        <v>5394</v>
      </c>
      <c r="Y166" s="485" t="s">
        <v>5386</v>
      </c>
      <c r="Z166" s="486">
        <v>35730000</v>
      </c>
      <c r="AA166" s="486">
        <v>0</v>
      </c>
      <c r="AB166" s="486">
        <v>0</v>
      </c>
      <c r="AC166" s="486">
        <v>0</v>
      </c>
      <c r="AD166" s="486">
        <v>0</v>
      </c>
      <c r="AE166" s="486">
        <v>0</v>
      </c>
      <c r="AF166" s="486">
        <v>0</v>
      </c>
      <c r="AG166" s="486">
        <v>0</v>
      </c>
      <c r="AH166" s="487">
        <v>35730000</v>
      </c>
      <c r="AI166" s="486">
        <v>85730000</v>
      </c>
      <c r="AJ166" s="486">
        <v>0</v>
      </c>
      <c r="AK166" s="486">
        <v>480000000</v>
      </c>
      <c r="AL166" s="488">
        <v>565730000</v>
      </c>
      <c r="AM166" s="489">
        <v>601460000</v>
      </c>
      <c r="AN166" s="486">
        <v>35730000</v>
      </c>
      <c r="AO166" s="486">
        <v>0</v>
      </c>
      <c r="AP166" s="486">
        <v>0</v>
      </c>
      <c r="AQ166" s="486">
        <v>0</v>
      </c>
      <c r="AR166" s="486">
        <v>0</v>
      </c>
      <c r="AS166" s="486">
        <v>0</v>
      </c>
      <c r="AT166" s="486">
        <v>0</v>
      </c>
      <c r="AU166" s="486">
        <v>0</v>
      </c>
      <c r="AV166" s="487">
        <v>35730000</v>
      </c>
      <c r="AW166" s="486">
        <v>75730000</v>
      </c>
      <c r="AX166" s="486">
        <v>0</v>
      </c>
      <c r="AY166" s="486">
        <v>480000000</v>
      </c>
      <c r="AZ166" s="488">
        <v>555730000</v>
      </c>
      <c r="BA166" s="490">
        <v>591460000</v>
      </c>
      <c r="BB166" s="486">
        <v>35730000</v>
      </c>
      <c r="BC166" s="486">
        <v>0</v>
      </c>
      <c r="BD166" s="486">
        <v>0</v>
      </c>
      <c r="BE166" s="486">
        <v>0</v>
      </c>
      <c r="BF166" s="486">
        <v>0</v>
      </c>
      <c r="BG166" s="486">
        <v>0</v>
      </c>
      <c r="BH166" s="486">
        <v>0</v>
      </c>
      <c r="BI166" s="486">
        <v>0</v>
      </c>
      <c r="BJ166" s="487">
        <v>35730000</v>
      </c>
      <c r="BK166" s="486">
        <v>75730000</v>
      </c>
      <c r="BL166" s="486">
        <v>0</v>
      </c>
      <c r="BM166" s="486">
        <v>480000000</v>
      </c>
      <c r="BN166" s="488">
        <v>555730000</v>
      </c>
      <c r="BO166" s="490">
        <v>591460000</v>
      </c>
      <c r="BP166" s="486">
        <v>35730000</v>
      </c>
      <c r="BQ166" s="486">
        <v>0</v>
      </c>
      <c r="BR166" s="486">
        <v>0</v>
      </c>
      <c r="BS166" s="486">
        <v>0</v>
      </c>
      <c r="BT166" s="486">
        <v>0</v>
      </c>
      <c r="BU166" s="486">
        <v>0</v>
      </c>
      <c r="BV166" s="486">
        <v>0</v>
      </c>
      <c r="BW166" s="486">
        <v>0</v>
      </c>
      <c r="BX166" s="487">
        <v>35730000</v>
      </c>
      <c r="BY166" s="486">
        <v>35730000</v>
      </c>
      <c r="BZ166" s="486">
        <v>0</v>
      </c>
      <c r="CA166" s="486">
        <v>480000000</v>
      </c>
      <c r="CB166" s="488">
        <v>515730000</v>
      </c>
      <c r="CC166" s="491">
        <v>551460000</v>
      </c>
      <c r="CD166" s="492">
        <v>2335840000</v>
      </c>
      <c r="CE166" s="493">
        <f t="shared" si="10"/>
        <v>142920000</v>
      </c>
      <c r="CF166" s="493">
        <f t="shared" si="10"/>
        <v>0</v>
      </c>
      <c r="CG166" s="493">
        <f t="shared" si="10"/>
        <v>0</v>
      </c>
      <c r="CH166" s="493">
        <f t="shared" si="9"/>
        <v>0</v>
      </c>
      <c r="CI166" s="493">
        <f t="shared" si="9"/>
        <v>0</v>
      </c>
      <c r="CJ166" s="493">
        <f t="shared" si="9"/>
        <v>0</v>
      </c>
      <c r="CK166" s="493">
        <f t="shared" si="9"/>
        <v>0</v>
      </c>
      <c r="CL166" s="493">
        <f t="shared" si="9"/>
        <v>0</v>
      </c>
      <c r="CM166" s="493">
        <f t="shared" si="12"/>
        <v>272920000</v>
      </c>
      <c r="CN166" s="493">
        <f t="shared" si="12"/>
        <v>0</v>
      </c>
      <c r="CO166" s="493">
        <f t="shared" si="12"/>
        <v>1920000000</v>
      </c>
      <c r="CP166" s="502" t="s">
        <v>6283</v>
      </c>
      <c r="CQ166" s="502" t="s">
        <v>6284</v>
      </c>
    </row>
    <row r="167" spans="1:95" ht="30.45" hidden="1" customHeight="1" thickBot="1">
      <c r="A167" s="555" t="s">
        <v>4281</v>
      </c>
      <c r="B167" s="479">
        <v>165</v>
      </c>
      <c r="C167" s="480" t="s">
        <v>4255</v>
      </c>
      <c r="D167" s="480" t="s">
        <v>4256</v>
      </c>
      <c r="E167" s="480" t="str">
        <f t="shared" si="11"/>
        <v xml:space="preserve">2.1.8 </v>
      </c>
      <c r="F167" s="480" t="s">
        <v>4335</v>
      </c>
      <c r="G167" s="480" t="s">
        <v>4336</v>
      </c>
      <c r="H167" s="481">
        <v>35</v>
      </c>
      <c r="I167" s="480" t="s">
        <v>4277</v>
      </c>
      <c r="J167" s="495">
        <v>350209501</v>
      </c>
      <c r="K167" s="480" t="s">
        <v>6485</v>
      </c>
      <c r="L167" s="480" t="s">
        <v>6486</v>
      </c>
      <c r="M167" s="480" t="s">
        <v>6487</v>
      </c>
      <c r="N167" s="499">
        <v>0</v>
      </c>
      <c r="O167" s="480" t="s">
        <v>4279</v>
      </c>
      <c r="P167" s="515">
        <v>100</v>
      </c>
      <c r="Q167" s="485" t="s">
        <v>5349</v>
      </c>
      <c r="R167" s="485" t="s">
        <v>5407</v>
      </c>
      <c r="S167" s="485" t="s">
        <v>689</v>
      </c>
      <c r="T167" s="485">
        <v>0.38</v>
      </c>
      <c r="U167" s="485" t="s">
        <v>5393</v>
      </c>
      <c r="V167" s="485">
        <v>0.39</v>
      </c>
      <c r="W167" s="485" t="s">
        <v>5384</v>
      </c>
      <c r="X167" s="485" t="s">
        <v>5394</v>
      </c>
      <c r="Y167" s="485" t="s">
        <v>5386</v>
      </c>
      <c r="Z167" s="486">
        <v>30000000</v>
      </c>
      <c r="AA167" s="486">
        <v>0</v>
      </c>
      <c r="AB167" s="486">
        <v>0</v>
      </c>
      <c r="AC167" s="486">
        <v>0</v>
      </c>
      <c r="AD167" s="486">
        <v>0</v>
      </c>
      <c r="AE167" s="486">
        <v>0</v>
      </c>
      <c r="AF167" s="486">
        <v>0</v>
      </c>
      <c r="AG167" s="486">
        <v>0</v>
      </c>
      <c r="AH167" s="487">
        <v>30000000</v>
      </c>
      <c r="AI167" s="486">
        <v>30000000</v>
      </c>
      <c r="AJ167" s="486">
        <v>0</v>
      </c>
      <c r="AK167" s="486">
        <v>0</v>
      </c>
      <c r="AL167" s="488">
        <v>30000000</v>
      </c>
      <c r="AM167" s="489">
        <v>60000000</v>
      </c>
      <c r="AN167" s="486">
        <v>30000000</v>
      </c>
      <c r="AO167" s="486">
        <v>0</v>
      </c>
      <c r="AP167" s="486">
        <v>0</v>
      </c>
      <c r="AQ167" s="486">
        <v>0</v>
      </c>
      <c r="AR167" s="486">
        <v>0</v>
      </c>
      <c r="AS167" s="486">
        <v>0</v>
      </c>
      <c r="AT167" s="486">
        <v>0</v>
      </c>
      <c r="AU167" s="486">
        <v>0</v>
      </c>
      <c r="AV167" s="487">
        <v>30000000</v>
      </c>
      <c r="AW167" s="486">
        <v>30000000</v>
      </c>
      <c r="AX167" s="486">
        <v>0</v>
      </c>
      <c r="AY167" s="486">
        <v>0</v>
      </c>
      <c r="AZ167" s="488">
        <v>30000000</v>
      </c>
      <c r="BA167" s="490">
        <v>60000000</v>
      </c>
      <c r="BB167" s="486">
        <v>46000000</v>
      </c>
      <c r="BC167" s="486">
        <v>0</v>
      </c>
      <c r="BD167" s="486">
        <v>0</v>
      </c>
      <c r="BE167" s="486">
        <v>0</v>
      </c>
      <c r="BF167" s="486">
        <v>0</v>
      </c>
      <c r="BG167" s="486">
        <v>0</v>
      </c>
      <c r="BH167" s="486">
        <v>0</v>
      </c>
      <c r="BI167" s="486">
        <v>0</v>
      </c>
      <c r="BJ167" s="487">
        <v>46000000</v>
      </c>
      <c r="BK167" s="486">
        <v>30000000</v>
      </c>
      <c r="BL167" s="486">
        <v>0</v>
      </c>
      <c r="BM167" s="486">
        <v>0</v>
      </c>
      <c r="BN167" s="488">
        <v>30000000</v>
      </c>
      <c r="BO167" s="490">
        <v>76000000</v>
      </c>
      <c r="BP167" s="486">
        <v>54000000</v>
      </c>
      <c r="BQ167" s="486">
        <v>0</v>
      </c>
      <c r="BR167" s="486">
        <v>0</v>
      </c>
      <c r="BS167" s="486">
        <v>0</v>
      </c>
      <c r="BT167" s="486">
        <v>0</v>
      </c>
      <c r="BU167" s="486">
        <v>0</v>
      </c>
      <c r="BV167" s="486">
        <v>0</v>
      </c>
      <c r="BW167" s="486">
        <v>0</v>
      </c>
      <c r="BX167" s="487">
        <v>54000000</v>
      </c>
      <c r="BY167" s="486">
        <v>70730000</v>
      </c>
      <c r="BZ167" s="486">
        <v>0</v>
      </c>
      <c r="CA167" s="486">
        <v>0</v>
      </c>
      <c r="CB167" s="488">
        <v>70730000</v>
      </c>
      <c r="CC167" s="491">
        <v>124730000</v>
      </c>
      <c r="CD167" s="492">
        <v>320730000</v>
      </c>
      <c r="CE167" s="493">
        <f t="shared" si="10"/>
        <v>160000000</v>
      </c>
      <c r="CF167" s="493">
        <f t="shared" si="10"/>
        <v>0</v>
      </c>
      <c r="CG167" s="493">
        <f t="shared" si="10"/>
        <v>0</v>
      </c>
      <c r="CH167" s="493">
        <f t="shared" si="9"/>
        <v>0</v>
      </c>
      <c r="CI167" s="493">
        <f t="shared" si="9"/>
        <v>0</v>
      </c>
      <c r="CJ167" s="493">
        <f t="shared" si="9"/>
        <v>0</v>
      </c>
      <c r="CK167" s="493">
        <f t="shared" si="9"/>
        <v>0</v>
      </c>
      <c r="CL167" s="493">
        <f t="shared" si="9"/>
        <v>0</v>
      </c>
      <c r="CM167" s="493">
        <f t="shared" si="12"/>
        <v>160730000</v>
      </c>
      <c r="CN167" s="493">
        <f t="shared" si="12"/>
        <v>0</v>
      </c>
      <c r="CO167" s="493">
        <f t="shared" si="12"/>
        <v>0</v>
      </c>
      <c r="CP167" s="502" t="s">
        <v>6283</v>
      </c>
      <c r="CQ167" s="502" t="s">
        <v>6285</v>
      </c>
    </row>
    <row r="168" spans="1:95" ht="30.45" hidden="1" customHeight="1" thickBot="1">
      <c r="A168" s="555" t="s">
        <v>4281</v>
      </c>
      <c r="B168" s="479">
        <v>166</v>
      </c>
      <c r="C168" s="480" t="s">
        <v>4255</v>
      </c>
      <c r="D168" s="480" t="s">
        <v>4256</v>
      </c>
      <c r="E168" s="480" t="str">
        <f t="shared" si="11"/>
        <v xml:space="preserve">2.1.9 </v>
      </c>
      <c r="F168" s="480" t="s">
        <v>4338</v>
      </c>
      <c r="G168" s="480" t="s">
        <v>4339</v>
      </c>
      <c r="H168" s="481">
        <v>35</v>
      </c>
      <c r="I168" s="480" t="s">
        <v>4277</v>
      </c>
      <c r="J168" s="495">
        <v>350201500</v>
      </c>
      <c r="K168" s="480" t="s">
        <v>4178</v>
      </c>
      <c r="L168" s="480" t="s">
        <v>4340</v>
      </c>
      <c r="M168" s="480" t="s">
        <v>5791</v>
      </c>
      <c r="N168" s="499">
        <v>370</v>
      </c>
      <c r="O168" s="480" t="s">
        <v>4279</v>
      </c>
      <c r="P168" s="515">
        <v>510</v>
      </c>
      <c r="Q168" s="485" t="s">
        <v>5349</v>
      </c>
      <c r="R168" s="485" t="s">
        <v>5408</v>
      </c>
      <c r="S168" s="485" t="s">
        <v>689</v>
      </c>
      <c r="T168" s="485">
        <v>6.31</v>
      </c>
      <c r="U168" s="485" t="s">
        <v>5393</v>
      </c>
      <c r="V168" s="485">
        <v>6.32</v>
      </c>
      <c r="W168" s="485" t="s">
        <v>5384</v>
      </c>
      <c r="X168" s="485" t="s">
        <v>5394</v>
      </c>
      <c r="Y168" s="485" t="s">
        <v>5386</v>
      </c>
      <c r="Z168" s="486">
        <v>101460000</v>
      </c>
      <c r="AA168" s="486">
        <v>0</v>
      </c>
      <c r="AB168" s="486">
        <v>0</v>
      </c>
      <c r="AC168" s="486">
        <v>0</v>
      </c>
      <c r="AD168" s="486">
        <v>0</v>
      </c>
      <c r="AE168" s="486">
        <v>0</v>
      </c>
      <c r="AF168" s="486">
        <v>0</v>
      </c>
      <c r="AG168" s="486">
        <v>0</v>
      </c>
      <c r="AH168" s="487">
        <v>101460000</v>
      </c>
      <c r="AI168" s="486">
        <v>156460000</v>
      </c>
      <c r="AJ168" s="486">
        <v>0</v>
      </c>
      <c r="AK168" s="486">
        <v>0</v>
      </c>
      <c r="AL168" s="488">
        <v>156460000</v>
      </c>
      <c r="AM168" s="489">
        <v>257920000</v>
      </c>
      <c r="AN168" s="486">
        <v>116460000</v>
      </c>
      <c r="AO168" s="486">
        <v>0</v>
      </c>
      <c r="AP168" s="486">
        <v>0</v>
      </c>
      <c r="AQ168" s="486">
        <v>0</v>
      </c>
      <c r="AR168" s="486">
        <v>0</v>
      </c>
      <c r="AS168" s="486">
        <v>0</v>
      </c>
      <c r="AT168" s="486">
        <v>0</v>
      </c>
      <c r="AU168" s="486">
        <v>0</v>
      </c>
      <c r="AV168" s="487">
        <v>116460000</v>
      </c>
      <c r="AW168" s="486">
        <v>101460000</v>
      </c>
      <c r="AX168" s="486">
        <v>0</v>
      </c>
      <c r="AY168" s="486">
        <v>0</v>
      </c>
      <c r="AZ168" s="488">
        <v>101460000</v>
      </c>
      <c r="BA168" s="490">
        <v>217920000</v>
      </c>
      <c r="BB168" s="486">
        <v>147460000</v>
      </c>
      <c r="BC168" s="486">
        <v>0</v>
      </c>
      <c r="BD168" s="486">
        <v>0</v>
      </c>
      <c r="BE168" s="486">
        <v>0</v>
      </c>
      <c r="BF168" s="486">
        <v>0</v>
      </c>
      <c r="BG168" s="486">
        <v>0</v>
      </c>
      <c r="BH168" s="486">
        <v>0</v>
      </c>
      <c r="BI168" s="486">
        <v>0</v>
      </c>
      <c r="BJ168" s="487">
        <v>147460000</v>
      </c>
      <c r="BK168" s="486">
        <v>101460000</v>
      </c>
      <c r="BL168" s="486">
        <v>0</v>
      </c>
      <c r="BM168" s="486">
        <v>0</v>
      </c>
      <c r="BN168" s="488">
        <v>101460000</v>
      </c>
      <c r="BO168" s="490">
        <v>248920000</v>
      </c>
      <c r="BP168" s="486">
        <v>99460000</v>
      </c>
      <c r="BQ168" s="486">
        <v>0</v>
      </c>
      <c r="BR168" s="486">
        <v>0</v>
      </c>
      <c r="BS168" s="486">
        <v>0</v>
      </c>
      <c r="BT168" s="486">
        <v>0</v>
      </c>
      <c r="BU168" s="486">
        <v>0</v>
      </c>
      <c r="BV168" s="486">
        <v>0</v>
      </c>
      <c r="BW168" s="486">
        <v>0</v>
      </c>
      <c r="BX168" s="487">
        <v>99460000</v>
      </c>
      <c r="BY168" s="486">
        <v>101460000</v>
      </c>
      <c r="BZ168" s="486">
        <v>0</v>
      </c>
      <c r="CA168" s="486">
        <v>0</v>
      </c>
      <c r="CB168" s="488">
        <v>101460000</v>
      </c>
      <c r="CC168" s="491">
        <v>200920000</v>
      </c>
      <c r="CD168" s="492">
        <v>925680000</v>
      </c>
      <c r="CE168" s="493">
        <f t="shared" si="10"/>
        <v>464840000</v>
      </c>
      <c r="CF168" s="493">
        <f t="shared" si="10"/>
        <v>0</v>
      </c>
      <c r="CG168" s="493">
        <f t="shared" si="10"/>
        <v>0</v>
      </c>
      <c r="CH168" s="493">
        <f t="shared" si="9"/>
        <v>0</v>
      </c>
      <c r="CI168" s="493">
        <f t="shared" si="9"/>
        <v>0</v>
      </c>
      <c r="CJ168" s="493">
        <f t="shared" si="9"/>
        <v>0</v>
      </c>
      <c r="CK168" s="493">
        <f t="shared" si="9"/>
        <v>0</v>
      </c>
      <c r="CL168" s="493">
        <f t="shared" si="9"/>
        <v>0</v>
      </c>
      <c r="CM168" s="493">
        <f t="shared" si="12"/>
        <v>460840000</v>
      </c>
      <c r="CN168" s="493">
        <f t="shared" si="12"/>
        <v>0</v>
      </c>
      <c r="CO168" s="493">
        <f t="shared" si="12"/>
        <v>0</v>
      </c>
      <c r="CP168" s="494" t="s">
        <v>6271</v>
      </c>
      <c r="CQ168" s="502" t="s">
        <v>6286</v>
      </c>
    </row>
    <row r="169" spans="1:95" ht="30.45" hidden="1" customHeight="1" thickBot="1">
      <c r="A169" s="555" t="s">
        <v>4281</v>
      </c>
      <c r="B169" s="479">
        <v>167</v>
      </c>
      <c r="C169" s="480" t="s">
        <v>4255</v>
      </c>
      <c r="D169" s="480" t="s">
        <v>4256</v>
      </c>
      <c r="E169" s="480" t="str">
        <f t="shared" si="11"/>
        <v xml:space="preserve">2.1.9 </v>
      </c>
      <c r="F169" s="480" t="s">
        <v>4338</v>
      </c>
      <c r="G169" s="480" t="s">
        <v>4339</v>
      </c>
      <c r="H169" s="481">
        <v>35</v>
      </c>
      <c r="I169" s="480" t="s">
        <v>4277</v>
      </c>
      <c r="J169" s="495">
        <v>350202100</v>
      </c>
      <c r="K169" s="480" t="s">
        <v>4278</v>
      </c>
      <c r="L169" s="480" t="s">
        <v>4341</v>
      </c>
      <c r="M169" s="480" t="s">
        <v>5792</v>
      </c>
      <c r="N169" s="499">
        <v>0</v>
      </c>
      <c r="O169" s="480" t="s">
        <v>4279</v>
      </c>
      <c r="P169" s="515">
        <v>50</v>
      </c>
      <c r="Q169" s="485" t="s">
        <v>5349</v>
      </c>
      <c r="R169" s="485" t="s">
        <v>5408</v>
      </c>
      <c r="S169" s="485" t="s">
        <v>689</v>
      </c>
      <c r="T169" s="485">
        <v>6.31</v>
      </c>
      <c r="U169" s="485" t="s">
        <v>5393</v>
      </c>
      <c r="V169" s="485">
        <v>6.32</v>
      </c>
      <c r="W169" s="485" t="s">
        <v>5384</v>
      </c>
      <c r="X169" s="485" t="s">
        <v>5394</v>
      </c>
      <c r="Y169" s="485" t="s">
        <v>5386</v>
      </c>
      <c r="Z169" s="486">
        <v>41940000</v>
      </c>
      <c r="AA169" s="486">
        <v>0</v>
      </c>
      <c r="AB169" s="486">
        <v>0</v>
      </c>
      <c r="AC169" s="486">
        <v>0</v>
      </c>
      <c r="AD169" s="486">
        <v>0</v>
      </c>
      <c r="AE169" s="486">
        <v>0</v>
      </c>
      <c r="AF169" s="486">
        <v>0</v>
      </c>
      <c r="AG169" s="486">
        <v>0</v>
      </c>
      <c r="AH169" s="487">
        <v>41940000</v>
      </c>
      <c r="AI169" s="486">
        <v>41940000</v>
      </c>
      <c r="AJ169" s="486">
        <v>0</v>
      </c>
      <c r="AK169" s="486">
        <v>490000000</v>
      </c>
      <c r="AL169" s="488">
        <v>531940000</v>
      </c>
      <c r="AM169" s="489">
        <v>573880000</v>
      </c>
      <c r="AN169" s="486">
        <v>35730000</v>
      </c>
      <c r="AO169" s="486">
        <v>0</v>
      </c>
      <c r="AP169" s="486">
        <v>0</v>
      </c>
      <c r="AQ169" s="486">
        <v>0</v>
      </c>
      <c r="AR169" s="486">
        <v>0</v>
      </c>
      <c r="AS169" s="486">
        <v>0</v>
      </c>
      <c r="AT169" s="486">
        <v>0</v>
      </c>
      <c r="AU169" s="486">
        <v>0</v>
      </c>
      <c r="AV169" s="487">
        <v>35730000</v>
      </c>
      <c r="AW169" s="486">
        <v>35730000</v>
      </c>
      <c r="AX169" s="486">
        <v>0</v>
      </c>
      <c r="AY169" s="486">
        <v>0</v>
      </c>
      <c r="AZ169" s="488">
        <v>35730000</v>
      </c>
      <c r="BA169" s="490">
        <v>71460000</v>
      </c>
      <c r="BB169" s="486">
        <v>65730000</v>
      </c>
      <c r="BC169" s="486">
        <v>0</v>
      </c>
      <c r="BD169" s="486">
        <v>0</v>
      </c>
      <c r="BE169" s="486">
        <v>0</v>
      </c>
      <c r="BF169" s="486">
        <v>0</v>
      </c>
      <c r="BG169" s="486">
        <v>0</v>
      </c>
      <c r="BH169" s="486">
        <v>0</v>
      </c>
      <c r="BI169" s="486">
        <v>0</v>
      </c>
      <c r="BJ169" s="487">
        <v>65730000</v>
      </c>
      <c r="BK169" s="486">
        <v>35730000</v>
      </c>
      <c r="BL169" s="486">
        <v>0</v>
      </c>
      <c r="BM169" s="486">
        <v>0</v>
      </c>
      <c r="BN169" s="488">
        <v>35730000</v>
      </c>
      <c r="BO169" s="490">
        <v>101460000</v>
      </c>
      <c r="BP169" s="486">
        <v>35730000</v>
      </c>
      <c r="BQ169" s="486">
        <v>0</v>
      </c>
      <c r="BR169" s="486">
        <v>0</v>
      </c>
      <c r="BS169" s="486">
        <v>0</v>
      </c>
      <c r="BT169" s="486">
        <v>0</v>
      </c>
      <c r="BU169" s="486">
        <v>0</v>
      </c>
      <c r="BV169" s="486">
        <v>0</v>
      </c>
      <c r="BW169" s="486">
        <v>0</v>
      </c>
      <c r="BX169" s="487">
        <v>35730000</v>
      </c>
      <c r="BY169" s="486">
        <v>35730000</v>
      </c>
      <c r="BZ169" s="486">
        <v>0</v>
      </c>
      <c r="CA169" s="486">
        <v>0</v>
      </c>
      <c r="CB169" s="488">
        <v>35730000</v>
      </c>
      <c r="CC169" s="491">
        <v>71460000</v>
      </c>
      <c r="CD169" s="492">
        <v>818260000</v>
      </c>
      <c r="CE169" s="493">
        <f t="shared" si="10"/>
        <v>179130000</v>
      </c>
      <c r="CF169" s="493">
        <f t="shared" si="10"/>
        <v>0</v>
      </c>
      <c r="CG169" s="493">
        <f t="shared" si="10"/>
        <v>0</v>
      </c>
      <c r="CH169" s="493">
        <f t="shared" si="9"/>
        <v>0</v>
      </c>
      <c r="CI169" s="493">
        <f t="shared" si="9"/>
        <v>0</v>
      </c>
      <c r="CJ169" s="493">
        <f t="shared" si="9"/>
        <v>0</v>
      </c>
      <c r="CK169" s="493">
        <f t="shared" si="9"/>
        <v>0</v>
      </c>
      <c r="CL169" s="493">
        <f t="shared" si="9"/>
        <v>0</v>
      </c>
      <c r="CM169" s="493">
        <f t="shared" si="12"/>
        <v>149130000</v>
      </c>
      <c r="CN169" s="493">
        <f t="shared" si="12"/>
        <v>0</v>
      </c>
      <c r="CO169" s="493">
        <f t="shared" si="12"/>
        <v>490000000</v>
      </c>
      <c r="CP169" s="494" t="s">
        <v>6271</v>
      </c>
      <c r="CQ169" s="494" t="s">
        <v>6287</v>
      </c>
    </row>
    <row r="170" spans="1:95" ht="30.45" hidden="1" customHeight="1" thickBot="1">
      <c r="A170" s="555" t="s">
        <v>4281</v>
      </c>
      <c r="B170" s="479">
        <v>168</v>
      </c>
      <c r="C170" s="480" t="s">
        <v>4255</v>
      </c>
      <c r="D170" s="480" t="s">
        <v>4256</v>
      </c>
      <c r="E170" s="480" t="str">
        <f t="shared" si="11"/>
        <v xml:space="preserve">2.1.9 </v>
      </c>
      <c r="F170" s="480" t="s">
        <v>4338</v>
      </c>
      <c r="G170" s="480" t="s">
        <v>4339</v>
      </c>
      <c r="H170" s="481">
        <v>17</v>
      </c>
      <c r="I170" s="480" t="s">
        <v>4342</v>
      </c>
      <c r="J170" s="495">
        <v>170203800</v>
      </c>
      <c r="K170" s="480" t="s">
        <v>4343</v>
      </c>
      <c r="L170" s="480" t="s">
        <v>4344</v>
      </c>
      <c r="M170" s="480" t="s">
        <v>5793</v>
      </c>
      <c r="N170" s="499">
        <v>5</v>
      </c>
      <c r="O170" s="480" t="s">
        <v>4279</v>
      </c>
      <c r="P170" s="515">
        <v>45</v>
      </c>
      <c r="Q170" s="485" t="s">
        <v>5349</v>
      </c>
      <c r="R170" s="485" t="s">
        <v>5408</v>
      </c>
      <c r="S170" s="485" t="s">
        <v>689</v>
      </c>
      <c r="T170" s="485">
        <v>6.31</v>
      </c>
      <c r="U170" s="485" t="s">
        <v>5393</v>
      </c>
      <c r="V170" s="485">
        <v>6.32</v>
      </c>
      <c r="W170" s="485" t="s">
        <v>5384</v>
      </c>
      <c r="X170" s="485" t="s">
        <v>5394</v>
      </c>
      <c r="Y170" s="485" t="s">
        <v>5386</v>
      </c>
      <c r="Z170" s="486">
        <v>35730000</v>
      </c>
      <c r="AA170" s="486">
        <v>0</v>
      </c>
      <c r="AB170" s="486">
        <v>0</v>
      </c>
      <c r="AC170" s="486">
        <v>0</v>
      </c>
      <c r="AD170" s="486">
        <v>0</v>
      </c>
      <c r="AE170" s="486">
        <v>0</v>
      </c>
      <c r="AF170" s="486">
        <v>0</v>
      </c>
      <c r="AG170" s="486">
        <v>0</v>
      </c>
      <c r="AH170" s="487">
        <v>35730000</v>
      </c>
      <c r="AI170" s="486">
        <v>30730000</v>
      </c>
      <c r="AJ170" s="486">
        <v>0</v>
      </c>
      <c r="AK170" s="486">
        <v>480000000</v>
      </c>
      <c r="AL170" s="488">
        <v>510730000</v>
      </c>
      <c r="AM170" s="489">
        <v>546460000</v>
      </c>
      <c r="AN170" s="486">
        <v>35730000</v>
      </c>
      <c r="AO170" s="486">
        <v>0</v>
      </c>
      <c r="AP170" s="486">
        <v>0</v>
      </c>
      <c r="AQ170" s="486">
        <v>0</v>
      </c>
      <c r="AR170" s="486">
        <v>0</v>
      </c>
      <c r="AS170" s="486">
        <v>0</v>
      </c>
      <c r="AT170" s="486">
        <v>0</v>
      </c>
      <c r="AU170" s="486">
        <v>0</v>
      </c>
      <c r="AV170" s="487">
        <v>35730000</v>
      </c>
      <c r="AW170" s="486">
        <v>65730000</v>
      </c>
      <c r="AX170" s="486">
        <v>0</v>
      </c>
      <c r="AY170" s="486">
        <v>480000000</v>
      </c>
      <c r="AZ170" s="488">
        <v>545730000</v>
      </c>
      <c r="BA170" s="490">
        <v>581460000</v>
      </c>
      <c r="BB170" s="486">
        <v>36940000</v>
      </c>
      <c r="BC170" s="486">
        <v>0</v>
      </c>
      <c r="BD170" s="486">
        <v>0</v>
      </c>
      <c r="BE170" s="486">
        <v>0</v>
      </c>
      <c r="BF170" s="486">
        <v>0</v>
      </c>
      <c r="BG170" s="486">
        <v>0</v>
      </c>
      <c r="BH170" s="486">
        <v>0</v>
      </c>
      <c r="BI170" s="486">
        <v>0</v>
      </c>
      <c r="BJ170" s="487">
        <v>36940000</v>
      </c>
      <c r="BK170" s="486">
        <v>65730000</v>
      </c>
      <c r="BL170" s="486">
        <v>0</v>
      </c>
      <c r="BM170" s="486">
        <v>480000000</v>
      </c>
      <c r="BN170" s="488">
        <v>545730000</v>
      </c>
      <c r="BO170" s="490">
        <v>582670000</v>
      </c>
      <c r="BP170" s="486">
        <v>55730000</v>
      </c>
      <c r="BQ170" s="486">
        <v>0</v>
      </c>
      <c r="BR170" s="486">
        <v>0</v>
      </c>
      <c r="BS170" s="486">
        <v>0</v>
      </c>
      <c r="BT170" s="486">
        <v>0</v>
      </c>
      <c r="BU170" s="486">
        <v>0</v>
      </c>
      <c r="BV170" s="486">
        <v>0</v>
      </c>
      <c r="BW170" s="486">
        <v>0</v>
      </c>
      <c r="BX170" s="487">
        <v>55730000</v>
      </c>
      <c r="BY170" s="486">
        <v>65730000</v>
      </c>
      <c r="BZ170" s="486">
        <v>0</v>
      </c>
      <c r="CA170" s="486">
        <v>480000000</v>
      </c>
      <c r="CB170" s="488">
        <v>545730000</v>
      </c>
      <c r="CC170" s="491">
        <v>601460000</v>
      </c>
      <c r="CD170" s="492">
        <v>2312050000</v>
      </c>
      <c r="CE170" s="493">
        <f t="shared" si="10"/>
        <v>164130000</v>
      </c>
      <c r="CF170" s="493">
        <f t="shared" si="10"/>
        <v>0</v>
      </c>
      <c r="CG170" s="493">
        <f t="shared" si="10"/>
        <v>0</v>
      </c>
      <c r="CH170" s="493">
        <f t="shared" si="9"/>
        <v>0</v>
      </c>
      <c r="CI170" s="493">
        <f t="shared" si="9"/>
        <v>0</v>
      </c>
      <c r="CJ170" s="493">
        <f t="shared" si="9"/>
        <v>0</v>
      </c>
      <c r="CK170" s="493">
        <f t="shared" si="9"/>
        <v>0</v>
      </c>
      <c r="CL170" s="493">
        <f t="shared" si="9"/>
        <v>0</v>
      </c>
      <c r="CM170" s="493">
        <f t="shared" si="12"/>
        <v>227920000</v>
      </c>
      <c r="CN170" s="493">
        <f t="shared" si="12"/>
        <v>0</v>
      </c>
      <c r="CO170" s="493">
        <f t="shared" si="12"/>
        <v>1920000000</v>
      </c>
      <c r="CP170" s="502" t="s">
        <v>6288</v>
      </c>
      <c r="CQ170" s="502" t="s">
        <v>6289</v>
      </c>
    </row>
    <row r="171" spans="1:95" ht="30.45" hidden="1" customHeight="1" thickBot="1">
      <c r="A171" s="555" t="s">
        <v>4281</v>
      </c>
      <c r="B171" s="479">
        <v>169</v>
      </c>
      <c r="C171" s="480" t="s">
        <v>4255</v>
      </c>
      <c r="D171" s="480" t="s">
        <v>4256</v>
      </c>
      <c r="E171" s="480" t="str">
        <f t="shared" si="11"/>
        <v>2.1.10</v>
      </c>
      <c r="F171" s="480" t="s">
        <v>4345</v>
      </c>
      <c r="G171" s="480" t="s">
        <v>4346</v>
      </c>
      <c r="H171" s="481">
        <v>39</v>
      </c>
      <c r="I171" s="480" t="s">
        <v>4171</v>
      </c>
      <c r="J171" s="495">
        <v>390601100</v>
      </c>
      <c r="K171" s="480" t="s">
        <v>4347</v>
      </c>
      <c r="L171" s="480" t="s">
        <v>4186</v>
      </c>
      <c r="M171" s="480" t="s">
        <v>5794</v>
      </c>
      <c r="N171" s="499">
        <v>4</v>
      </c>
      <c r="O171" s="480" t="s">
        <v>4348</v>
      </c>
      <c r="P171" s="515">
        <v>8</v>
      </c>
      <c r="Q171" s="485" t="s">
        <v>5409</v>
      </c>
      <c r="R171" s="485" t="s">
        <v>5410</v>
      </c>
      <c r="S171" s="485" t="s">
        <v>689</v>
      </c>
      <c r="T171" s="485" t="s">
        <v>5411</v>
      </c>
      <c r="U171" s="485" t="s">
        <v>5360</v>
      </c>
      <c r="V171" s="485">
        <v>7</v>
      </c>
      <c r="W171" s="485" t="s">
        <v>5384</v>
      </c>
      <c r="X171" s="485" t="s">
        <v>5394</v>
      </c>
      <c r="Y171" s="485" t="s">
        <v>5386</v>
      </c>
      <c r="Z171" s="486">
        <v>35730000</v>
      </c>
      <c r="AA171" s="486">
        <v>0</v>
      </c>
      <c r="AB171" s="486">
        <v>0</v>
      </c>
      <c r="AC171" s="486">
        <v>0</v>
      </c>
      <c r="AD171" s="486">
        <v>0</v>
      </c>
      <c r="AE171" s="486">
        <v>0</v>
      </c>
      <c r="AF171" s="486">
        <v>0</v>
      </c>
      <c r="AG171" s="486">
        <v>0</v>
      </c>
      <c r="AH171" s="487">
        <v>35730000</v>
      </c>
      <c r="AI171" s="486">
        <v>35730000</v>
      </c>
      <c r="AJ171" s="486">
        <v>0</v>
      </c>
      <c r="AK171" s="486">
        <v>0</v>
      </c>
      <c r="AL171" s="488">
        <v>35730000</v>
      </c>
      <c r="AM171" s="489">
        <v>71460000</v>
      </c>
      <c r="AN171" s="486">
        <v>35730000</v>
      </c>
      <c r="AO171" s="486">
        <v>0</v>
      </c>
      <c r="AP171" s="486">
        <v>0</v>
      </c>
      <c r="AQ171" s="486">
        <v>0</v>
      </c>
      <c r="AR171" s="486">
        <v>0</v>
      </c>
      <c r="AS171" s="486">
        <v>0</v>
      </c>
      <c r="AT171" s="486">
        <v>0</v>
      </c>
      <c r="AU171" s="486">
        <v>0</v>
      </c>
      <c r="AV171" s="487">
        <v>35730000</v>
      </c>
      <c r="AW171" s="486">
        <v>65730000</v>
      </c>
      <c r="AX171" s="486">
        <v>0</v>
      </c>
      <c r="AY171" s="486">
        <v>0</v>
      </c>
      <c r="AZ171" s="488">
        <v>65730000</v>
      </c>
      <c r="BA171" s="490">
        <v>101460000</v>
      </c>
      <c r="BB171" s="486">
        <v>35730000</v>
      </c>
      <c r="BC171" s="486">
        <v>0</v>
      </c>
      <c r="BD171" s="486">
        <v>0</v>
      </c>
      <c r="BE171" s="486">
        <v>0</v>
      </c>
      <c r="BF171" s="486">
        <v>0</v>
      </c>
      <c r="BG171" s="486">
        <v>0</v>
      </c>
      <c r="BH171" s="486">
        <v>0</v>
      </c>
      <c r="BI171" s="486">
        <v>0</v>
      </c>
      <c r="BJ171" s="487">
        <v>35730000</v>
      </c>
      <c r="BK171" s="486">
        <v>65730000</v>
      </c>
      <c r="BL171" s="486">
        <v>0</v>
      </c>
      <c r="BM171" s="486">
        <v>0</v>
      </c>
      <c r="BN171" s="488">
        <v>65730000</v>
      </c>
      <c r="BO171" s="490">
        <v>101460000</v>
      </c>
      <c r="BP171" s="486">
        <v>35730000</v>
      </c>
      <c r="BQ171" s="486">
        <v>0</v>
      </c>
      <c r="BR171" s="486">
        <v>0</v>
      </c>
      <c r="BS171" s="486">
        <v>0</v>
      </c>
      <c r="BT171" s="486">
        <v>0</v>
      </c>
      <c r="BU171" s="486">
        <v>0</v>
      </c>
      <c r="BV171" s="486">
        <v>0</v>
      </c>
      <c r="BW171" s="486">
        <v>0</v>
      </c>
      <c r="BX171" s="487">
        <v>35730000</v>
      </c>
      <c r="BY171" s="486">
        <v>65730000</v>
      </c>
      <c r="BZ171" s="486">
        <v>0</v>
      </c>
      <c r="CA171" s="486">
        <v>0</v>
      </c>
      <c r="CB171" s="488">
        <v>65730000</v>
      </c>
      <c r="CC171" s="491">
        <v>101460000</v>
      </c>
      <c r="CD171" s="492">
        <v>375840000</v>
      </c>
      <c r="CE171" s="493">
        <f t="shared" si="10"/>
        <v>142920000</v>
      </c>
      <c r="CF171" s="493">
        <f t="shared" si="10"/>
        <v>0</v>
      </c>
      <c r="CG171" s="493">
        <f t="shared" si="10"/>
        <v>0</v>
      </c>
      <c r="CH171" s="493">
        <f t="shared" si="9"/>
        <v>0</v>
      </c>
      <c r="CI171" s="493">
        <f t="shared" si="9"/>
        <v>0</v>
      </c>
      <c r="CJ171" s="493">
        <f t="shared" si="9"/>
        <v>0</v>
      </c>
      <c r="CK171" s="493">
        <f t="shared" si="9"/>
        <v>0</v>
      </c>
      <c r="CL171" s="493">
        <f t="shared" si="9"/>
        <v>0</v>
      </c>
      <c r="CM171" s="493">
        <f t="shared" si="12"/>
        <v>232920000</v>
      </c>
      <c r="CN171" s="493">
        <f t="shared" si="12"/>
        <v>0</v>
      </c>
      <c r="CO171" s="493">
        <f t="shared" si="12"/>
        <v>0</v>
      </c>
      <c r="CP171" s="494" t="s">
        <v>6271</v>
      </c>
      <c r="CQ171" s="494" t="s">
        <v>6290</v>
      </c>
    </row>
    <row r="172" spans="1:95" ht="30.45" hidden="1" customHeight="1" thickBot="1">
      <c r="A172" s="555" t="s">
        <v>4281</v>
      </c>
      <c r="B172" s="479">
        <v>170</v>
      </c>
      <c r="C172" s="480" t="s">
        <v>4255</v>
      </c>
      <c r="D172" s="480" t="s">
        <v>4256</v>
      </c>
      <c r="E172" s="480" t="str">
        <f t="shared" si="11"/>
        <v>2.1.10</v>
      </c>
      <c r="F172" s="480" t="s">
        <v>4345</v>
      </c>
      <c r="G172" s="480" t="s">
        <v>4346</v>
      </c>
      <c r="H172" s="481">
        <v>39</v>
      </c>
      <c r="I172" s="480" t="s">
        <v>4171</v>
      </c>
      <c r="J172" s="495">
        <v>390601300</v>
      </c>
      <c r="K172" s="480" t="s">
        <v>4349</v>
      </c>
      <c r="L172" s="480" t="s">
        <v>4350</v>
      </c>
      <c r="M172" s="480" t="s">
        <v>5795</v>
      </c>
      <c r="N172" s="499">
        <v>61</v>
      </c>
      <c r="O172" s="480" t="s">
        <v>4348</v>
      </c>
      <c r="P172" s="515">
        <v>70</v>
      </c>
      <c r="Q172" s="485" t="s">
        <v>5409</v>
      </c>
      <c r="R172" s="485" t="s">
        <v>5410</v>
      </c>
      <c r="S172" s="485" t="s">
        <v>689</v>
      </c>
      <c r="T172" s="485" t="s">
        <v>5411</v>
      </c>
      <c r="U172" s="485" t="s">
        <v>5360</v>
      </c>
      <c r="V172" s="485">
        <v>7</v>
      </c>
      <c r="W172" s="485" t="s">
        <v>5384</v>
      </c>
      <c r="X172" s="485" t="s">
        <v>5394</v>
      </c>
      <c r="Y172" s="485" t="s">
        <v>5386</v>
      </c>
      <c r="Z172" s="486">
        <v>65730000</v>
      </c>
      <c r="AA172" s="486">
        <v>0</v>
      </c>
      <c r="AB172" s="486">
        <v>0</v>
      </c>
      <c r="AC172" s="486">
        <v>0</v>
      </c>
      <c r="AD172" s="486">
        <v>0</v>
      </c>
      <c r="AE172" s="486">
        <v>0</v>
      </c>
      <c r="AF172" s="486">
        <v>0</v>
      </c>
      <c r="AG172" s="486">
        <v>0</v>
      </c>
      <c r="AH172" s="487">
        <v>65730000</v>
      </c>
      <c r="AI172" s="486">
        <v>115730000</v>
      </c>
      <c r="AJ172" s="486">
        <v>0</v>
      </c>
      <c r="AK172" s="486">
        <v>480000000</v>
      </c>
      <c r="AL172" s="488">
        <v>595730000</v>
      </c>
      <c r="AM172" s="489">
        <v>661460000</v>
      </c>
      <c r="AN172" s="486">
        <v>65730000</v>
      </c>
      <c r="AO172" s="486">
        <v>0</v>
      </c>
      <c r="AP172" s="486">
        <v>0</v>
      </c>
      <c r="AQ172" s="486">
        <v>0</v>
      </c>
      <c r="AR172" s="486">
        <v>0</v>
      </c>
      <c r="AS172" s="486">
        <v>0</v>
      </c>
      <c r="AT172" s="486">
        <v>0</v>
      </c>
      <c r="AU172" s="486">
        <v>0</v>
      </c>
      <c r="AV172" s="487">
        <v>65730000</v>
      </c>
      <c r="AW172" s="486">
        <v>105730000</v>
      </c>
      <c r="AX172" s="486">
        <v>0</v>
      </c>
      <c r="AY172" s="486">
        <v>480000000</v>
      </c>
      <c r="AZ172" s="488">
        <v>585730000</v>
      </c>
      <c r="BA172" s="490">
        <v>651460000</v>
      </c>
      <c r="BB172" s="486">
        <v>65730000</v>
      </c>
      <c r="BC172" s="486">
        <v>0</v>
      </c>
      <c r="BD172" s="486">
        <v>0</v>
      </c>
      <c r="BE172" s="486">
        <v>0</v>
      </c>
      <c r="BF172" s="486">
        <v>0</v>
      </c>
      <c r="BG172" s="486">
        <v>0</v>
      </c>
      <c r="BH172" s="486">
        <v>0</v>
      </c>
      <c r="BI172" s="486">
        <v>0</v>
      </c>
      <c r="BJ172" s="487">
        <v>65730000</v>
      </c>
      <c r="BK172" s="486">
        <v>105730000</v>
      </c>
      <c r="BL172" s="486">
        <v>0</v>
      </c>
      <c r="BM172" s="486">
        <v>480000000</v>
      </c>
      <c r="BN172" s="488">
        <v>585730000</v>
      </c>
      <c r="BO172" s="490">
        <v>651460000</v>
      </c>
      <c r="BP172" s="486">
        <v>89730000</v>
      </c>
      <c r="BQ172" s="486">
        <v>0</v>
      </c>
      <c r="BR172" s="486">
        <v>0</v>
      </c>
      <c r="BS172" s="486">
        <v>0</v>
      </c>
      <c r="BT172" s="486">
        <v>0</v>
      </c>
      <c r="BU172" s="486">
        <v>0</v>
      </c>
      <c r="BV172" s="486">
        <v>0</v>
      </c>
      <c r="BW172" s="486">
        <v>0</v>
      </c>
      <c r="BX172" s="487">
        <v>89730000</v>
      </c>
      <c r="BY172" s="486">
        <v>105730000</v>
      </c>
      <c r="BZ172" s="486">
        <v>0</v>
      </c>
      <c r="CA172" s="486">
        <v>480000000</v>
      </c>
      <c r="CB172" s="488">
        <v>585730000</v>
      </c>
      <c r="CC172" s="491">
        <v>675460000</v>
      </c>
      <c r="CD172" s="492">
        <v>2639840000</v>
      </c>
      <c r="CE172" s="493">
        <f t="shared" si="10"/>
        <v>286920000</v>
      </c>
      <c r="CF172" s="493">
        <f t="shared" si="10"/>
        <v>0</v>
      </c>
      <c r="CG172" s="493">
        <f t="shared" si="10"/>
        <v>0</v>
      </c>
      <c r="CH172" s="493">
        <f t="shared" si="9"/>
        <v>0</v>
      </c>
      <c r="CI172" s="493">
        <f t="shared" si="9"/>
        <v>0</v>
      </c>
      <c r="CJ172" s="493">
        <f t="shared" si="9"/>
        <v>0</v>
      </c>
      <c r="CK172" s="493">
        <f t="shared" si="9"/>
        <v>0</v>
      </c>
      <c r="CL172" s="493">
        <f t="shared" si="9"/>
        <v>0</v>
      </c>
      <c r="CM172" s="493">
        <f t="shared" si="12"/>
        <v>432920000</v>
      </c>
      <c r="CN172" s="493">
        <f t="shared" si="12"/>
        <v>0</v>
      </c>
      <c r="CO172" s="493">
        <f t="shared" si="12"/>
        <v>1920000000</v>
      </c>
      <c r="CP172" s="494" t="s">
        <v>6271</v>
      </c>
      <c r="CQ172" s="494" t="s">
        <v>6290</v>
      </c>
    </row>
    <row r="173" spans="1:95" ht="30.45" hidden="1" customHeight="1" thickBot="1">
      <c r="A173" s="555" t="s">
        <v>4191</v>
      </c>
      <c r="B173" s="479">
        <v>171</v>
      </c>
      <c r="C173" s="480" t="s">
        <v>4255</v>
      </c>
      <c r="D173" s="480" t="s">
        <v>4351</v>
      </c>
      <c r="E173" s="480" t="str">
        <f t="shared" si="11"/>
        <v xml:space="preserve">2.2.1 </v>
      </c>
      <c r="F173" s="480" t="s">
        <v>4352</v>
      </c>
      <c r="G173" s="480" t="s">
        <v>4353</v>
      </c>
      <c r="H173" s="481">
        <v>17</v>
      </c>
      <c r="I173" s="480" t="s">
        <v>4342</v>
      </c>
      <c r="J173" s="495">
        <v>170203700</v>
      </c>
      <c r="K173" s="480" t="s">
        <v>4354</v>
      </c>
      <c r="L173" s="480" t="s">
        <v>5796</v>
      </c>
      <c r="M173" s="480" t="s">
        <v>6488</v>
      </c>
      <c r="N173" s="499">
        <v>1200</v>
      </c>
      <c r="O173" s="480" t="s">
        <v>4355</v>
      </c>
      <c r="P173" s="515">
        <v>4000</v>
      </c>
      <c r="Q173" s="485" t="s">
        <v>5349</v>
      </c>
      <c r="R173" s="485" t="s">
        <v>5412</v>
      </c>
      <c r="S173" s="485" t="s">
        <v>677</v>
      </c>
      <c r="T173" s="485" t="s">
        <v>5413</v>
      </c>
      <c r="U173" s="485" t="s">
        <v>5414</v>
      </c>
      <c r="V173" s="485" t="s">
        <v>5415</v>
      </c>
      <c r="W173" s="485" t="s">
        <v>5416</v>
      </c>
      <c r="X173" s="485">
        <v>2</v>
      </c>
      <c r="Y173" s="485" t="s">
        <v>708</v>
      </c>
      <c r="Z173" s="486">
        <v>0</v>
      </c>
      <c r="AA173" s="486">
        <v>0</v>
      </c>
      <c r="AB173" s="486">
        <v>0</v>
      </c>
      <c r="AC173" s="486">
        <v>0</v>
      </c>
      <c r="AD173" s="486">
        <v>0</v>
      </c>
      <c r="AE173" s="486">
        <v>0</v>
      </c>
      <c r="AF173" s="486">
        <v>0</v>
      </c>
      <c r="AG173" s="486">
        <v>0</v>
      </c>
      <c r="AH173" s="487">
        <v>0</v>
      </c>
      <c r="AI173" s="486">
        <v>0</v>
      </c>
      <c r="AJ173" s="486">
        <v>0</v>
      </c>
      <c r="AK173" s="486">
        <v>0</v>
      </c>
      <c r="AL173" s="488">
        <v>0</v>
      </c>
      <c r="AM173" s="489">
        <v>0</v>
      </c>
      <c r="AN173" s="486">
        <v>28000000</v>
      </c>
      <c r="AO173" s="486">
        <v>0</v>
      </c>
      <c r="AP173" s="486">
        <v>0</v>
      </c>
      <c r="AQ173" s="486">
        <v>0</v>
      </c>
      <c r="AR173" s="486">
        <v>0</v>
      </c>
      <c r="AS173" s="486">
        <v>0</v>
      </c>
      <c r="AT173" s="486">
        <v>0</v>
      </c>
      <c r="AU173" s="486">
        <v>0</v>
      </c>
      <c r="AV173" s="487">
        <v>28000000</v>
      </c>
      <c r="AW173" s="486">
        <v>0</v>
      </c>
      <c r="AX173" s="486">
        <v>0</v>
      </c>
      <c r="AY173" s="486">
        <v>0</v>
      </c>
      <c r="AZ173" s="488">
        <v>0</v>
      </c>
      <c r="BA173" s="490">
        <v>28000000</v>
      </c>
      <c r="BB173" s="486">
        <v>28000000</v>
      </c>
      <c r="BC173" s="486">
        <v>0</v>
      </c>
      <c r="BD173" s="486">
        <v>0</v>
      </c>
      <c r="BE173" s="486">
        <v>0</v>
      </c>
      <c r="BF173" s="486">
        <v>0</v>
      </c>
      <c r="BG173" s="486">
        <v>0</v>
      </c>
      <c r="BH173" s="486">
        <v>0</v>
      </c>
      <c r="BI173" s="486">
        <v>0</v>
      </c>
      <c r="BJ173" s="487">
        <v>28000000</v>
      </c>
      <c r="BK173" s="486">
        <v>0</v>
      </c>
      <c r="BL173" s="486">
        <v>0</v>
      </c>
      <c r="BM173" s="486">
        <v>0</v>
      </c>
      <c r="BN173" s="488">
        <v>0</v>
      </c>
      <c r="BO173" s="490">
        <v>28000000</v>
      </c>
      <c r="BP173" s="486">
        <v>28000000</v>
      </c>
      <c r="BQ173" s="486">
        <v>0</v>
      </c>
      <c r="BR173" s="486">
        <v>0</v>
      </c>
      <c r="BS173" s="486">
        <v>0</v>
      </c>
      <c r="BT173" s="486">
        <v>0</v>
      </c>
      <c r="BU173" s="486">
        <v>0</v>
      </c>
      <c r="BV173" s="486">
        <v>0</v>
      </c>
      <c r="BW173" s="486">
        <v>0</v>
      </c>
      <c r="BX173" s="487">
        <v>28000000</v>
      </c>
      <c r="BY173" s="486">
        <v>0</v>
      </c>
      <c r="BZ173" s="486">
        <v>0</v>
      </c>
      <c r="CA173" s="486">
        <v>0</v>
      </c>
      <c r="CB173" s="488">
        <v>0</v>
      </c>
      <c r="CC173" s="491">
        <v>28000000</v>
      </c>
      <c r="CD173" s="492">
        <v>84000000</v>
      </c>
      <c r="CE173" s="493">
        <f t="shared" si="10"/>
        <v>84000000</v>
      </c>
      <c r="CF173" s="493">
        <f t="shared" si="10"/>
        <v>0</v>
      </c>
      <c r="CG173" s="493">
        <f t="shared" si="10"/>
        <v>0</v>
      </c>
      <c r="CH173" s="493">
        <f t="shared" si="9"/>
        <v>0</v>
      </c>
      <c r="CI173" s="493">
        <f t="shared" si="9"/>
        <v>0</v>
      </c>
      <c r="CJ173" s="493">
        <f t="shared" ref="CJ173:CL236" si="13">AE173+AS173+BG173+BU173</f>
        <v>0</v>
      </c>
      <c r="CK173" s="493">
        <f t="shared" si="13"/>
        <v>0</v>
      </c>
      <c r="CL173" s="493">
        <f t="shared" si="13"/>
        <v>0</v>
      </c>
      <c r="CM173" s="493">
        <f t="shared" si="12"/>
        <v>0</v>
      </c>
      <c r="CN173" s="493">
        <f t="shared" si="12"/>
        <v>0</v>
      </c>
      <c r="CO173" s="493">
        <f t="shared" si="12"/>
        <v>0</v>
      </c>
      <c r="CP173" s="494" t="s">
        <v>6291</v>
      </c>
      <c r="CQ173" s="494" t="s">
        <v>6292</v>
      </c>
    </row>
    <row r="174" spans="1:95" ht="30.45" hidden="1" customHeight="1" thickBot="1">
      <c r="A174" s="555" t="s">
        <v>4191</v>
      </c>
      <c r="B174" s="479">
        <v>172</v>
      </c>
      <c r="C174" s="480" t="s">
        <v>4255</v>
      </c>
      <c r="D174" s="480" t="s">
        <v>4351</v>
      </c>
      <c r="E174" s="480" t="str">
        <f t="shared" si="11"/>
        <v xml:space="preserve">2.2.1 </v>
      </c>
      <c r="F174" s="480" t="s">
        <v>4352</v>
      </c>
      <c r="G174" s="480" t="s">
        <v>4353</v>
      </c>
      <c r="H174" s="481">
        <v>17</v>
      </c>
      <c r="I174" s="480" t="s">
        <v>4356</v>
      </c>
      <c r="J174" s="495">
        <v>170201700</v>
      </c>
      <c r="K174" s="480" t="s">
        <v>4357</v>
      </c>
      <c r="L174" s="480" t="s">
        <v>4358</v>
      </c>
      <c r="M174" s="480" t="s">
        <v>5797</v>
      </c>
      <c r="N174" s="499">
        <v>4000</v>
      </c>
      <c r="O174" s="480" t="s">
        <v>4359</v>
      </c>
      <c r="P174" s="515">
        <v>8320</v>
      </c>
      <c r="Q174" s="485" t="s">
        <v>5349</v>
      </c>
      <c r="R174" s="485" t="s">
        <v>5412</v>
      </c>
      <c r="S174" s="485" t="s">
        <v>677</v>
      </c>
      <c r="T174" s="485" t="s">
        <v>5413</v>
      </c>
      <c r="U174" s="485" t="s">
        <v>5414</v>
      </c>
      <c r="V174" s="485" t="s">
        <v>5415</v>
      </c>
      <c r="W174" s="485" t="s">
        <v>5416</v>
      </c>
      <c r="X174" s="485">
        <v>2</v>
      </c>
      <c r="Y174" s="485" t="s">
        <v>708</v>
      </c>
      <c r="Z174" s="486">
        <v>153000000</v>
      </c>
      <c r="AA174" s="486">
        <v>0</v>
      </c>
      <c r="AB174" s="486">
        <v>0</v>
      </c>
      <c r="AC174" s="486">
        <v>0</v>
      </c>
      <c r="AD174" s="486">
        <v>0</v>
      </c>
      <c r="AE174" s="486">
        <v>0</v>
      </c>
      <c r="AF174" s="486">
        <v>0</v>
      </c>
      <c r="AG174" s="486">
        <v>0</v>
      </c>
      <c r="AH174" s="487">
        <v>153000000</v>
      </c>
      <c r="AI174" s="486">
        <v>0</v>
      </c>
      <c r="AJ174" s="486">
        <v>0</v>
      </c>
      <c r="AK174" s="486">
        <v>0</v>
      </c>
      <c r="AL174" s="488">
        <v>0</v>
      </c>
      <c r="AM174" s="489">
        <v>153000000</v>
      </c>
      <c r="AN174" s="486">
        <v>156000000</v>
      </c>
      <c r="AO174" s="486">
        <v>0</v>
      </c>
      <c r="AP174" s="486">
        <v>0</v>
      </c>
      <c r="AQ174" s="486">
        <v>0</v>
      </c>
      <c r="AR174" s="486">
        <v>0</v>
      </c>
      <c r="AS174" s="486">
        <v>0</v>
      </c>
      <c r="AT174" s="486">
        <v>0</v>
      </c>
      <c r="AU174" s="486">
        <v>0</v>
      </c>
      <c r="AV174" s="487">
        <v>156000000</v>
      </c>
      <c r="AW174" s="486">
        <v>0</v>
      </c>
      <c r="AX174" s="486">
        <v>0</v>
      </c>
      <c r="AY174" s="486">
        <v>0</v>
      </c>
      <c r="AZ174" s="488">
        <v>0</v>
      </c>
      <c r="BA174" s="490">
        <v>156000000</v>
      </c>
      <c r="BB174" s="486">
        <v>105000000</v>
      </c>
      <c r="BC174" s="486">
        <v>0</v>
      </c>
      <c r="BD174" s="486">
        <v>0</v>
      </c>
      <c r="BE174" s="486">
        <v>0</v>
      </c>
      <c r="BF174" s="486">
        <v>0</v>
      </c>
      <c r="BG174" s="486">
        <v>0</v>
      </c>
      <c r="BH174" s="486">
        <v>0</v>
      </c>
      <c r="BI174" s="486">
        <v>0</v>
      </c>
      <c r="BJ174" s="487">
        <v>105000000</v>
      </c>
      <c r="BK174" s="486">
        <v>0</v>
      </c>
      <c r="BL174" s="486">
        <v>0</v>
      </c>
      <c r="BM174" s="486">
        <v>0</v>
      </c>
      <c r="BN174" s="488">
        <v>0</v>
      </c>
      <c r="BO174" s="490">
        <v>105000000</v>
      </c>
      <c r="BP174" s="486">
        <v>170000000</v>
      </c>
      <c r="BQ174" s="486">
        <v>0</v>
      </c>
      <c r="BR174" s="486">
        <v>0</v>
      </c>
      <c r="BS174" s="486">
        <v>0</v>
      </c>
      <c r="BT174" s="486">
        <v>0</v>
      </c>
      <c r="BU174" s="486">
        <v>0</v>
      </c>
      <c r="BV174" s="486">
        <v>0</v>
      </c>
      <c r="BW174" s="486">
        <v>0</v>
      </c>
      <c r="BX174" s="487">
        <v>170000000</v>
      </c>
      <c r="BY174" s="486">
        <v>0</v>
      </c>
      <c r="BZ174" s="486">
        <v>0</v>
      </c>
      <c r="CA174" s="486">
        <v>0</v>
      </c>
      <c r="CB174" s="488">
        <v>0</v>
      </c>
      <c r="CC174" s="491">
        <v>170000000</v>
      </c>
      <c r="CD174" s="492">
        <v>584000000</v>
      </c>
      <c r="CE174" s="493">
        <f t="shared" si="10"/>
        <v>584000000</v>
      </c>
      <c r="CF174" s="493">
        <f t="shared" si="10"/>
        <v>0</v>
      </c>
      <c r="CG174" s="493">
        <f t="shared" si="10"/>
        <v>0</v>
      </c>
      <c r="CH174" s="493">
        <f t="shared" si="10"/>
        <v>0</v>
      </c>
      <c r="CI174" s="493">
        <f t="shared" si="10"/>
        <v>0</v>
      </c>
      <c r="CJ174" s="493">
        <f t="shared" si="13"/>
        <v>0</v>
      </c>
      <c r="CK174" s="493">
        <f t="shared" si="13"/>
        <v>0</v>
      </c>
      <c r="CL174" s="493">
        <f t="shared" si="13"/>
        <v>0</v>
      </c>
      <c r="CM174" s="493">
        <f t="shared" si="12"/>
        <v>0</v>
      </c>
      <c r="CN174" s="493">
        <f t="shared" si="12"/>
        <v>0</v>
      </c>
      <c r="CO174" s="493">
        <f t="shared" si="12"/>
        <v>0</v>
      </c>
      <c r="CP174" s="494" t="s">
        <v>6293</v>
      </c>
      <c r="CQ174" s="494" t="s">
        <v>6294</v>
      </c>
    </row>
    <row r="175" spans="1:95" ht="30.45" hidden="1" customHeight="1" thickBot="1">
      <c r="A175" s="555" t="s">
        <v>4191</v>
      </c>
      <c r="B175" s="479">
        <v>173</v>
      </c>
      <c r="C175" s="480" t="s">
        <v>4255</v>
      </c>
      <c r="D175" s="480" t="s">
        <v>4351</v>
      </c>
      <c r="E175" s="480" t="str">
        <f t="shared" si="11"/>
        <v xml:space="preserve">2.2.1 </v>
      </c>
      <c r="F175" s="480" t="s">
        <v>4352</v>
      </c>
      <c r="G175" s="480" t="s">
        <v>4353</v>
      </c>
      <c r="H175" s="481">
        <v>17</v>
      </c>
      <c r="I175" s="480" t="s">
        <v>4342</v>
      </c>
      <c r="J175" s="495">
        <v>170200700</v>
      </c>
      <c r="K175" s="480" t="s">
        <v>4303</v>
      </c>
      <c r="L175" s="480" t="s">
        <v>5798</v>
      </c>
      <c r="M175" s="480" t="s">
        <v>5799</v>
      </c>
      <c r="N175" s="499">
        <v>4</v>
      </c>
      <c r="O175" s="480" t="s">
        <v>4360</v>
      </c>
      <c r="P175" s="515">
        <v>12</v>
      </c>
      <c r="Q175" s="485" t="s">
        <v>5349</v>
      </c>
      <c r="R175" s="485" t="s">
        <v>5412</v>
      </c>
      <c r="S175" s="485" t="s">
        <v>677</v>
      </c>
      <c r="T175" s="485" t="s">
        <v>5413</v>
      </c>
      <c r="U175" s="485" t="s">
        <v>5414</v>
      </c>
      <c r="V175" s="485" t="s">
        <v>5415</v>
      </c>
      <c r="W175" s="485" t="s">
        <v>5416</v>
      </c>
      <c r="X175" s="485">
        <v>2</v>
      </c>
      <c r="Y175" s="485" t="s">
        <v>708</v>
      </c>
      <c r="Z175" s="486">
        <v>0</v>
      </c>
      <c r="AA175" s="486">
        <v>0</v>
      </c>
      <c r="AB175" s="486">
        <v>0</v>
      </c>
      <c r="AC175" s="486">
        <v>0</v>
      </c>
      <c r="AD175" s="486">
        <v>0</v>
      </c>
      <c r="AE175" s="486">
        <v>0</v>
      </c>
      <c r="AF175" s="486">
        <v>0</v>
      </c>
      <c r="AG175" s="486">
        <v>0</v>
      </c>
      <c r="AH175" s="487">
        <v>0</v>
      </c>
      <c r="AI175" s="486">
        <v>57000000</v>
      </c>
      <c r="AJ175" s="486">
        <v>0</v>
      </c>
      <c r="AK175" s="486">
        <v>0</v>
      </c>
      <c r="AL175" s="488">
        <v>57000000</v>
      </c>
      <c r="AM175" s="489">
        <v>57000000</v>
      </c>
      <c r="AN175" s="486">
        <v>55000000</v>
      </c>
      <c r="AO175" s="486">
        <v>0</v>
      </c>
      <c r="AP175" s="486">
        <v>0</v>
      </c>
      <c r="AQ175" s="486">
        <v>0</v>
      </c>
      <c r="AR175" s="486">
        <v>0</v>
      </c>
      <c r="AS175" s="486">
        <v>0</v>
      </c>
      <c r="AT175" s="486">
        <v>0</v>
      </c>
      <c r="AU175" s="486">
        <v>0</v>
      </c>
      <c r="AV175" s="487">
        <v>55000000</v>
      </c>
      <c r="AW175" s="486">
        <v>120000000</v>
      </c>
      <c r="AX175" s="486">
        <v>0</v>
      </c>
      <c r="AY175" s="486">
        <v>0</v>
      </c>
      <c r="AZ175" s="488">
        <v>120000000</v>
      </c>
      <c r="BA175" s="490">
        <v>175000000</v>
      </c>
      <c r="BB175" s="486">
        <v>75000000</v>
      </c>
      <c r="BC175" s="486">
        <v>0</v>
      </c>
      <c r="BD175" s="486">
        <v>0</v>
      </c>
      <c r="BE175" s="486">
        <v>0</v>
      </c>
      <c r="BF175" s="486">
        <v>0</v>
      </c>
      <c r="BG175" s="486">
        <v>0</v>
      </c>
      <c r="BH175" s="486">
        <v>0</v>
      </c>
      <c r="BI175" s="486">
        <v>0</v>
      </c>
      <c r="BJ175" s="487">
        <v>75000000</v>
      </c>
      <c r="BK175" s="486">
        <v>120000000</v>
      </c>
      <c r="BL175" s="486">
        <v>0</v>
      </c>
      <c r="BM175" s="486">
        <v>0</v>
      </c>
      <c r="BN175" s="488">
        <v>120000000</v>
      </c>
      <c r="BO175" s="490">
        <v>195000000</v>
      </c>
      <c r="BP175" s="486">
        <v>78000000</v>
      </c>
      <c r="BQ175" s="486">
        <v>0</v>
      </c>
      <c r="BR175" s="486">
        <v>0</v>
      </c>
      <c r="BS175" s="486">
        <v>0</v>
      </c>
      <c r="BT175" s="486">
        <v>0</v>
      </c>
      <c r="BU175" s="486">
        <v>0</v>
      </c>
      <c r="BV175" s="486">
        <v>0</v>
      </c>
      <c r="BW175" s="486">
        <v>0</v>
      </c>
      <c r="BX175" s="487">
        <v>78000000</v>
      </c>
      <c r="BY175" s="486">
        <v>120000000</v>
      </c>
      <c r="BZ175" s="486">
        <v>0</v>
      </c>
      <c r="CA175" s="486">
        <v>0</v>
      </c>
      <c r="CB175" s="488">
        <v>120000000</v>
      </c>
      <c r="CC175" s="491">
        <v>198000000</v>
      </c>
      <c r="CD175" s="492">
        <v>625000000</v>
      </c>
      <c r="CE175" s="493">
        <f t="shared" si="10"/>
        <v>208000000</v>
      </c>
      <c r="CF175" s="493">
        <f t="shared" si="10"/>
        <v>0</v>
      </c>
      <c r="CG175" s="493">
        <f t="shared" si="10"/>
        <v>0</v>
      </c>
      <c r="CH175" s="493">
        <f t="shared" si="10"/>
        <v>0</v>
      </c>
      <c r="CI175" s="493">
        <f t="shared" si="10"/>
        <v>0</v>
      </c>
      <c r="CJ175" s="493">
        <f t="shared" si="13"/>
        <v>0</v>
      </c>
      <c r="CK175" s="493">
        <f t="shared" si="13"/>
        <v>0</v>
      </c>
      <c r="CL175" s="493">
        <f t="shared" si="13"/>
        <v>0</v>
      </c>
      <c r="CM175" s="493">
        <f t="shared" si="12"/>
        <v>417000000</v>
      </c>
      <c r="CN175" s="493">
        <f t="shared" si="12"/>
        <v>0</v>
      </c>
      <c r="CO175" s="493">
        <f t="shared" si="12"/>
        <v>0</v>
      </c>
      <c r="CP175" s="494" t="s">
        <v>6295</v>
      </c>
      <c r="CQ175" s="494" t="s">
        <v>6296</v>
      </c>
    </row>
    <row r="176" spans="1:95" ht="30.45" hidden="1" customHeight="1" thickBot="1">
      <c r="A176" s="555" t="s">
        <v>4191</v>
      </c>
      <c r="B176" s="479">
        <v>174</v>
      </c>
      <c r="C176" s="480" t="s">
        <v>4255</v>
      </c>
      <c r="D176" s="480" t="s">
        <v>4351</v>
      </c>
      <c r="E176" s="480" t="str">
        <f t="shared" si="11"/>
        <v xml:space="preserve">2.2.1 </v>
      </c>
      <c r="F176" s="480" t="s">
        <v>4352</v>
      </c>
      <c r="G176" s="480" t="s">
        <v>4353</v>
      </c>
      <c r="H176" s="481">
        <v>17</v>
      </c>
      <c r="I176" s="480" t="s">
        <v>4342</v>
      </c>
      <c r="J176" s="495">
        <v>170203600</v>
      </c>
      <c r="K176" s="480" t="s">
        <v>4361</v>
      </c>
      <c r="L176" s="480" t="s">
        <v>4362</v>
      </c>
      <c r="M176" s="480" t="s">
        <v>5800</v>
      </c>
      <c r="N176" s="499">
        <v>0</v>
      </c>
      <c r="O176" s="480" t="s">
        <v>4326</v>
      </c>
      <c r="P176" s="515">
        <v>50</v>
      </c>
      <c r="Q176" s="485" t="s">
        <v>5349</v>
      </c>
      <c r="R176" s="485" t="s">
        <v>5412</v>
      </c>
      <c r="S176" s="485" t="s">
        <v>677</v>
      </c>
      <c r="T176" s="485" t="s">
        <v>5413</v>
      </c>
      <c r="U176" s="485" t="s">
        <v>5414</v>
      </c>
      <c r="V176" s="485" t="s">
        <v>5415</v>
      </c>
      <c r="W176" s="485" t="s">
        <v>5416</v>
      </c>
      <c r="X176" s="485">
        <v>2</v>
      </c>
      <c r="Y176" s="485" t="s">
        <v>708</v>
      </c>
      <c r="Z176" s="486">
        <v>23000000</v>
      </c>
      <c r="AA176" s="486">
        <v>0</v>
      </c>
      <c r="AB176" s="486">
        <v>0</v>
      </c>
      <c r="AC176" s="486">
        <v>0</v>
      </c>
      <c r="AD176" s="486">
        <v>0</v>
      </c>
      <c r="AE176" s="486">
        <v>0</v>
      </c>
      <c r="AF176" s="486">
        <v>0</v>
      </c>
      <c r="AG176" s="486">
        <v>0</v>
      </c>
      <c r="AH176" s="487">
        <v>23000000</v>
      </c>
      <c r="AI176" s="486">
        <v>0</v>
      </c>
      <c r="AJ176" s="486">
        <v>0</v>
      </c>
      <c r="AK176" s="486">
        <v>0</v>
      </c>
      <c r="AL176" s="488">
        <v>0</v>
      </c>
      <c r="AM176" s="489">
        <v>23000000</v>
      </c>
      <c r="AN176" s="486">
        <v>23000000</v>
      </c>
      <c r="AO176" s="486">
        <v>0</v>
      </c>
      <c r="AP176" s="486">
        <v>0</v>
      </c>
      <c r="AQ176" s="486">
        <v>0</v>
      </c>
      <c r="AR176" s="486">
        <v>0</v>
      </c>
      <c r="AS176" s="486">
        <v>0</v>
      </c>
      <c r="AT176" s="486">
        <v>0</v>
      </c>
      <c r="AU176" s="486">
        <v>0</v>
      </c>
      <c r="AV176" s="487">
        <v>23000000</v>
      </c>
      <c r="AW176" s="486">
        <v>0</v>
      </c>
      <c r="AX176" s="486">
        <v>0</v>
      </c>
      <c r="AY176" s="486">
        <v>0</v>
      </c>
      <c r="AZ176" s="488">
        <v>0</v>
      </c>
      <c r="BA176" s="490">
        <v>23000000</v>
      </c>
      <c r="BB176" s="486">
        <v>23000000</v>
      </c>
      <c r="BC176" s="486">
        <v>0</v>
      </c>
      <c r="BD176" s="486">
        <v>0</v>
      </c>
      <c r="BE176" s="486">
        <v>0</v>
      </c>
      <c r="BF176" s="486">
        <v>0</v>
      </c>
      <c r="BG176" s="486">
        <v>0</v>
      </c>
      <c r="BH176" s="486">
        <v>0</v>
      </c>
      <c r="BI176" s="486">
        <v>0</v>
      </c>
      <c r="BJ176" s="487">
        <v>23000000</v>
      </c>
      <c r="BK176" s="486">
        <v>0</v>
      </c>
      <c r="BL176" s="486">
        <v>0</v>
      </c>
      <c r="BM176" s="486">
        <v>0</v>
      </c>
      <c r="BN176" s="488">
        <v>0</v>
      </c>
      <c r="BO176" s="490">
        <v>23000000</v>
      </c>
      <c r="BP176" s="486">
        <v>23000000</v>
      </c>
      <c r="BQ176" s="486">
        <v>0</v>
      </c>
      <c r="BR176" s="486">
        <v>0</v>
      </c>
      <c r="BS176" s="486">
        <v>0</v>
      </c>
      <c r="BT176" s="486">
        <v>0</v>
      </c>
      <c r="BU176" s="486">
        <v>0</v>
      </c>
      <c r="BV176" s="486">
        <v>0</v>
      </c>
      <c r="BW176" s="486">
        <v>0</v>
      </c>
      <c r="BX176" s="487">
        <v>23000000</v>
      </c>
      <c r="BY176" s="486">
        <v>0</v>
      </c>
      <c r="BZ176" s="486">
        <v>0</v>
      </c>
      <c r="CA176" s="486">
        <v>0</v>
      </c>
      <c r="CB176" s="488">
        <v>0</v>
      </c>
      <c r="CC176" s="491">
        <v>23000000</v>
      </c>
      <c r="CD176" s="492">
        <v>92000000</v>
      </c>
      <c r="CE176" s="493">
        <f t="shared" si="10"/>
        <v>92000000</v>
      </c>
      <c r="CF176" s="493">
        <f t="shared" si="10"/>
        <v>0</v>
      </c>
      <c r="CG176" s="493">
        <f t="shared" si="10"/>
        <v>0</v>
      </c>
      <c r="CH176" s="493">
        <f t="shared" si="10"/>
        <v>0</v>
      </c>
      <c r="CI176" s="493">
        <f t="shared" si="10"/>
        <v>0</v>
      </c>
      <c r="CJ176" s="493">
        <f t="shared" si="13"/>
        <v>0</v>
      </c>
      <c r="CK176" s="493">
        <f t="shared" si="13"/>
        <v>0</v>
      </c>
      <c r="CL176" s="493">
        <f t="shared" si="13"/>
        <v>0</v>
      </c>
      <c r="CM176" s="493">
        <f t="shared" si="12"/>
        <v>0</v>
      </c>
      <c r="CN176" s="493">
        <f t="shared" si="12"/>
        <v>0</v>
      </c>
      <c r="CO176" s="493">
        <f t="shared" si="12"/>
        <v>0</v>
      </c>
      <c r="CP176" s="494" t="s">
        <v>6295</v>
      </c>
      <c r="CQ176" s="494" t="s">
        <v>6296</v>
      </c>
    </row>
    <row r="177" spans="1:95" ht="30.45" hidden="1" customHeight="1" thickBot="1">
      <c r="A177" s="555" t="s">
        <v>4191</v>
      </c>
      <c r="B177" s="479">
        <v>175</v>
      </c>
      <c r="C177" s="480" t="s">
        <v>4255</v>
      </c>
      <c r="D177" s="480" t="s">
        <v>4351</v>
      </c>
      <c r="E177" s="480" t="str">
        <f t="shared" si="11"/>
        <v xml:space="preserve">2.2.1 </v>
      </c>
      <c r="F177" s="480" t="s">
        <v>4352</v>
      </c>
      <c r="G177" s="480" t="s">
        <v>4353</v>
      </c>
      <c r="H177" s="481">
        <v>17</v>
      </c>
      <c r="I177" s="480" t="s">
        <v>4189</v>
      </c>
      <c r="J177" s="495">
        <v>170805600</v>
      </c>
      <c r="K177" s="480" t="s">
        <v>4363</v>
      </c>
      <c r="L177" s="480" t="s">
        <v>4364</v>
      </c>
      <c r="M177" s="480" t="s">
        <v>5801</v>
      </c>
      <c r="N177" s="499">
        <v>4</v>
      </c>
      <c r="O177" s="480" t="s">
        <v>4365</v>
      </c>
      <c r="P177" s="515">
        <v>12</v>
      </c>
      <c r="Q177" s="485" t="s">
        <v>5349</v>
      </c>
      <c r="R177" s="485" t="s">
        <v>5412</v>
      </c>
      <c r="S177" s="485" t="s">
        <v>677</v>
      </c>
      <c r="T177" s="485" t="s">
        <v>5413</v>
      </c>
      <c r="U177" s="485" t="s">
        <v>5414</v>
      </c>
      <c r="V177" s="485" t="s">
        <v>5415</v>
      </c>
      <c r="W177" s="485" t="s">
        <v>5416</v>
      </c>
      <c r="X177" s="485">
        <v>2</v>
      </c>
      <c r="Y177" s="485" t="s">
        <v>708</v>
      </c>
      <c r="Z177" s="486">
        <v>0</v>
      </c>
      <c r="AA177" s="486">
        <v>0</v>
      </c>
      <c r="AB177" s="486">
        <v>0</v>
      </c>
      <c r="AC177" s="486">
        <v>0</v>
      </c>
      <c r="AD177" s="486">
        <v>0</v>
      </c>
      <c r="AE177" s="486">
        <v>0</v>
      </c>
      <c r="AF177" s="486">
        <v>0</v>
      </c>
      <c r="AG177" s="486">
        <v>0</v>
      </c>
      <c r="AH177" s="487">
        <v>0</v>
      </c>
      <c r="AI177" s="486">
        <v>70000000</v>
      </c>
      <c r="AJ177" s="486">
        <v>0</v>
      </c>
      <c r="AK177" s="486">
        <v>0</v>
      </c>
      <c r="AL177" s="488">
        <v>70000000</v>
      </c>
      <c r="AM177" s="489">
        <v>70000000</v>
      </c>
      <c r="AN177" s="486">
        <v>30000000</v>
      </c>
      <c r="AO177" s="486">
        <v>0</v>
      </c>
      <c r="AP177" s="486">
        <v>0</v>
      </c>
      <c r="AQ177" s="486">
        <v>0</v>
      </c>
      <c r="AR177" s="486">
        <v>0</v>
      </c>
      <c r="AS177" s="486">
        <v>0</v>
      </c>
      <c r="AT177" s="486">
        <v>0</v>
      </c>
      <c r="AU177" s="486">
        <v>0</v>
      </c>
      <c r="AV177" s="487">
        <v>30000000</v>
      </c>
      <c r="AW177" s="486">
        <v>70000000</v>
      </c>
      <c r="AX177" s="486">
        <v>0</v>
      </c>
      <c r="AY177" s="486">
        <v>0</v>
      </c>
      <c r="AZ177" s="488">
        <v>70000000</v>
      </c>
      <c r="BA177" s="490">
        <v>100000000</v>
      </c>
      <c r="BB177" s="486">
        <v>30000000</v>
      </c>
      <c r="BC177" s="486">
        <v>0</v>
      </c>
      <c r="BD177" s="486">
        <v>0</v>
      </c>
      <c r="BE177" s="486">
        <v>0</v>
      </c>
      <c r="BF177" s="486">
        <v>0</v>
      </c>
      <c r="BG177" s="486">
        <v>0</v>
      </c>
      <c r="BH177" s="486">
        <v>0</v>
      </c>
      <c r="BI177" s="486">
        <v>0</v>
      </c>
      <c r="BJ177" s="487">
        <v>30000000</v>
      </c>
      <c r="BK177" s="486">
        <v>70000000</v>
      </c>
      <c r="BL177" s="486">
        <v>0</v>
      </c>
      <c r="BM177" s="486">
        <v>0</v>
      </c>
      <c r="BN177" s="488">
        <v>70000000</v>
      </c>
      <c r="BO177" s="490">
        <v>100000000</v>
      </c>
      <c r="BP177" s="486">
        <v>45000000</v>
      </c>
      <c r="BQ177" s="486">
        <v>0</v>
      </c>
      <c r="BR177" s="486">
        <v>0</v>
      </c>
      <c r="BS177" s="486">
        <v>0</v>
      </c>
      <c r="BT177" s="486">
        <v>0</v>
      </c>
      <c r="BU177" s="486">
        <v>0</v>
      </c>
      <c r="BV177" s="486">
        <v>0</v>
      </c>
      <c r="BW177" s="486">
        <v>0</v>
      </c>
      <c r="BX177" s="487">
        <v>45000000</v>
      </c>
      <c r="BY177" s="486">
        <v>70000000</v>
      </c>
      <c r="BZ177" s="486">
        <v>0</v>
      </c>
      <c r="CA177" s="486">
        <v>0</v>
      </c>
      <c r="CB177" s="488">
        <v>70000000</v>
      </c>
      <c r="CC177" s="491">
        <v>115000000</v>
      </c>
      <c r="CD177" s="492">
        <v>385000000</v>
      </c>
      <c r="CE177" s="493">
        <f t="shared" si="10"/>
        <v>105000000</v>
      </c>
      <c r="CF177" s="493">
        <f t="shared" si="10"/>
        <v>0</v>
      </c>
      <c r="CG177" s="493">
        <f t="shared" si="10"/>
        <v>0</v>
      </c>
      <c r="CH177" s="493">
        <f t="shared" si="10"/>
        <v>0</v>
      </c>
      <c r="CI177" s="493">
        <f t="shared" si="10"/>
        <v>0</v>
      </c>
      <c r="CJ177" s="493">
        <f t="shared" si="13"/>
        <v>0</v>
      </c>
      <c r="CK177" s="493">
        <f t="shared" si="13"/>
        <v>0</v>
      </c>
      <c r="CL177" s="493">
        <f t="shared" si="13"/>
        <v>0</v>
      </c>
      <c r="CM177" s="493">
        <f t="shared" si="12"/>
        <v>280000000</v>
      </c>
      <c r="CN177" s="493">
        <f t="shared" si="12"/>
        <v>0</v>
      </c>
      <c r="CO177" s="493">
        <f t="shared" si="12"/>
        <v>0</v>
      </c>
      <c r="CP177" s="502" t="s">
        <v>6297</v>
      </c>
      <c r="CQ177" s="502" t="s">
        <v>6298</v>
      </c>
    </row>
    <row r="178" spans="1:95" ht="30.45" hidden="1" customHeight="1" thickBot="1">
      <c r="A178" s="555" t="s">
        <v>4191</v>
      </c>
      <c r="B178" s="479">
        <v>176</v>
      </c>
      <c r="C178" s="480" t="s">
        <v>4255</v>
      </c>
      <c r="D178" s="480" t="s">
        <v>4351</v>
      </c>
      <c r="E178" s="480" t="str">
        <f t="shared" si="11"/>
        <v xml:space="preserve">2.2.1 </v>
      </c>
      <c r="F178" s="480" t="s">
        <v>4352</v>
      </c>
      <c r="G178" s="480" t="s">
        <v>4353</v>
      </c>
      <c r="H178" s="481">
        <v>17</v>
      </c>
      <c r="I178" s="480" t="s">
        <v>4342</v>
      </c>
      <c r="J178" s="495">
        <v>170203000</v>
      </c>
      <c r="K178" s="480" t="s">
        <v>4366</v>
      </c>
      <c r="L178" s="480" t="s">
        <v>5802</v>
      </c>
      <c r="M178" s="480" t="s">
        <v>5803</v>
      </c>
      <c r="N178" s="499">
        <v>0</v>
      </c>
      <c r="O178" s="480" t="s">
        <v>4367</v>
      </c>
      <c r="P178" s="515">
        <v>5</v>
      </c>
      <c r="Q178" s="485" t="s">
        <v>5349</v>
      </c>
      <c r="R178" s="485" t="s">
        <v>5412</v>
      </c>
      <c r="S178" s="485" t="s">
        <v>677</v>
      </c>
      <c r="T178" s="485" t="s">
        <v>5413</v>
      </c>
      <c r="U178" s="485" t="s">
        <v>5414</v>
      </c>
      <c r="V178" s="485" t="s">
        <v>5415</v>
      </c>
      <c r="W178" s="485" t="s">
        <v>5416</v>
      </c>
      <c r="X178" s="485">
        <v>2</v>
      </c>
      <c r="Y178" s="485" t="s">
        <v>708</v>
      </c>
      <c r="Z178" s="486">
        <v>0</v>
      </c>
      <c r="AA178" s="486">
        <v>0</v>
      </c>
      <c r="AB178" s="486">
        <v>0</v>
      </c>
      <c r="AC178" s="486">
        <v>0</v>
      </c>
      <c r="AD178" s="486">
        <v>0</v>
      </c>
      <c r="AE178" s="486">
        <v>0</v>
      </c>
      <c r="AF178" s="486">
        <v>0</v>
      </c>
      <c r="AG178" s="486">
        <v>0</v>
      </c>
      <c r="AH178" s="487">
        <v>0</v>
      </c>
      <c r="AI178" s="486">
        <v>200000000</v>
      </c>
      <c r="AJ178" s="486">
        <v>0</v>
      </c>
      <c r="AK178" s="486">
        <v>0</v>
      </c>
      <c r="AL178" s="488">
        <v>200000000</v>
      </c>
      <c r="AM178" s="489">
        <v>200000000</v>
      </c>
      <c r="AN178" s="486">
        <v>0</v>
      </c>
      <c r="AO178" s="486">
        <v>0</v>
      </c>
      <c r="AP178" s="486">
        <v>0</v>
      </c>
      <c r="AQ178" s="486">
        <v>0</v>
      </c>
      <c r="AR178" s="486">
        <v>0</v>
      </c>
      <c r="AS178" s="486">
        <v>0</v>
      </c>
      <c r="AT178" s="486">
        <v>0</v>
      </c>
      <c r="AU178" s="486">
        <v>0</v>
      </c>
      <c r="AV178" s="487">
        <v>0</v>
      </c>
      <c r="AW178" s="486">
        <v>200000000</v>
      </c>
      <c r="AX178" s="486">
        <v>0</v>
      </c>
      <c r="AY178" s="486">
        <v>0</v>
      </c>
      <c r="AZ178" s="488">
        <v>200000000</v>
      </c>
      <c r="BA178" s="490">
        <v>200000000</v>
      </c>
      <c r="BB178" s="486">
        <v>0</v>
      </c>
      <c r="BC178" s="486">
        <v>0</v>
      </c>
      <c r="BD178" s="486">
        <v>0</v>
      </c>
      <c r="BE178" s="486">
        <v>0</v>
      </c>
      <c r="BF178" s="486">
        <v>0</v>
      </c>
      <c r="BG178" s="486">
        <v>0</v>
      </c>
      <c r="BH178" s="486">
        <v>0</v>
      </c>
      <c r="BI178" s="486">
        <v>0</v>
      </c>
      <c r="BJ178" s="487">
        <v>0</v>
      </c>
      <c r="BK178" s="486">
        <v>200000000</v>
      </c>
      <c r="BL178" s="486">
        <v>0</v>
      </c>
      <c r="BM178" s="486">
        <v>0</v>
      </c>
      <c r="BN178" s="488">
        <v>200000000</v>
      </c>
      <c r="BO178" s="490">
        <v>200000000</v>
      </c>
      <c r="BP178" s="486">
        <v>0</v>
      </c>
      <c r="BQ178" s="486">
        <v>0</v>
      </c>
      <c r="BR178" s="486">
        <v>0</v>
      </c>
      <c r="BS178" s="486">
        <v>0</v>
      </c>
      <c r="BT178" s="486">
        <v>0</v>
      </c>
      <c r="BU178" s="486">
        <v>0</v>
      </c>
      <c r="BV178" s="486">
        <v>0</v>
      </c>
      <c r="BW178" s="486">
        <v>0</v>
      </c>
      <c r="BX178" s="487">
        <v>0</v>
      </c>
      <c r="BY178" s="486">
        <v>200000000</v>
      </c>
      <c r="BZ178" s="486">
        <v>0</v>
      </c>
      <c r="CA178" s="486">
        <v>0</v>
      </c>
      <c r="CB178" s="488">
        <v>200000000</v>
      </c>
      <c r="CC178" s="491">
        <v>200000000</v>
      </c>
      <c r="CD178" s="492">
        <v>800000000</v>
      </c>
      <c r="CE178" s="493">
        <f t="shared" si="10"/>
        <v>0</v>
      </c>
      <c r="CF178" s="493">
        <f t="shared" si="10"/>
        <v>0</v>
      </c>
      <c r="CG178" s="493">
        <f t="shared" si="10"/>
        <v>0</v>
      </c>
      <c r="CH178" s="493">
        <f t="shared" si="10"/>
        <v>0</v>
      </c>
      <c r="CI178" s="493">
        <f t="shared" si="10"/>
        <v>0</v>
      </c>
      <c r="CJ178" s="493">
        <f t="shared" si="13"/>
        <v>0</v>
      </c>
      <c r="CK178" s="493">
        <f t="shared" si="13"/>
        <v>0</v>
      </c>
      <c r="CL178" s="493">
        <f t="shared" si="13"/>
        <v>0</v>
      </c>
      <c r="CM178" s="493">
        <f t="shared" si="12"/>
        <v>800000000</v>
      </c>
      <c r="CN178" s="493">
        <f t="shared" si="12"/>
        <v>0</v>
      </c>
      <c r="CO178" s="493">
        <f t="shared" si="12"/>
        <v>0</v>
      </c>
      <c r="CP178" s="502" t="s">
        <v>6281</v>
      </c>
      <c r="CQ178" s="502" t="s">
        <v>6299</v>
      </c>
    </row>
    <row r="179" spans="1:95" ht="30.45" hidden="1" customHeight="1" thickBot="1">
      <c r="A179" s="555" t="s">
        <v>4191</v>
      </c>
      <c r="B179" s="479">
        <v>177</v>
      </c>
      <c r="C179" s="480" t="s">
        <v>4255</v>
      </c>
      <c r="D179" s="480" t="s">
        <v>4351</v>
      </c>
      <c r="E179" s="480" t="str">
        <f t="shared" si="11"/>
        <v xml:space="preserve">2.2.1 </v>
      </c>
      <c r="F179" s="480" t="s">
        <v>4352</v>
      </c>
      <c r="G179" s="480" t="s">
        <v>4353</v>
      </c>
      <c r="H179" s="481">
        <v>45</v>
      </c>
      <c r="I179" s="480" t="s">
        <v>4180</v>
      </c>
      <c r="J179" s="495">
        <v>459903200</v>
      </c>
      <c r="K179" s="480" t="s">
        <v>4063</v>
      </c>
      <c r="L179" s="480" t="s">
        <v>4368</v>
      </c>
      <c r="M179" s="480" t="s">
        <v>5804</v>
      </c>
      <c r="N179" s="499">
        <v>0</v>
      </c>
      <c r="O179" s="480" t="s">
        <v>4369</v>
      </c>
      <c r="P179" s="515">
        <v>1</v>
      </c>
      <c r="Q179" s="485" t="s">
        <v>5349</v>
      </c>
      <c r="R179" s="485" t="s">
        <v>5412</v>
      </c>
      <c r="S179" s="485" t="s">
        <v>677</v>
      </c>
      <c r="T179" s="485" t="s">
        <v>5413</v>
      </c>
      <c r="U179" s="485" t="s">
        <v>5414</v>
      </c>
      <c r="V179" s="485" t="s">
        <v>5415</v>
      </c>
      <c r="W179" s="485" t="s">
        <v>5416</v>
      </c>
      <c r="X179" s="485">
        <v>2</v>
      </c>
      <c r="Y179" s="485" t="s">
        <v>708</v>
      </c>
      <c r="Z179" s="486">
        <v>35000000</v>
      </c>
      <c r="AA179" s="486">
        <v>0</v>
      </c>
      <c r="AB179" s="486">
        <v>0</v>
      </c>
      <c r="AC179" s="486">
        <v>0</v>
      </c>
      <c r="AD179" s="486">
        <v>0</v>
      </c>
      <c r="AE179" s="486">
        <v>0</v>
      </c>
      <c r="AF179" s="486">
        <v>0</v>
      </c>
      <c r="AG179" s="486">
        <v>0</v>
      </c>
      <c r="AH179" s="487">
        <v>35000000</v>
      </c>
      <c r="AI179" s="486">
        <v>0</v>
      </c>
      <c r="AJ179" s="486">
        <v>0</v>
      </c>
      <c r="AK179" s="486">
        <v>0</v>
      </c>
      <c r="AL179" s="488">
        <v>0</v>
      </c>
      <c r="AM179" s="489">
        <v>35000000</v>
      </c>
      <c r="AN179" s="486">
        <v>56000000</v>
      </c>
      <c r="AO179" s="486">
        <v>0</v>
      </c>
      <c r="AP179" s="486">
        <v>0</v>
      </c>
      <c r="AQ179" s="486">
        <v>0</v>
      </c>
      <c r="AR179" s="486">
        <v>0</v>
      </c>
      <c r="AS179" s="486">
        <v>0</v>
      </c>
      <c r="AT179" s="486">
        <v>0</v>
      </c>
      <c r="AU179" s="486">
        <v>0</v>
      </c>
      <c r="AV179" s="487">
        <v>56000000</v>
      </c>
      <c r="AW179" s="486">
        <v>0</v>
      </c>
      <c r="AX179" s="486">
        <v>0</v>
      </c>
      <c r="AY179" s="486">
        <v>0</v>
      </c>
      <c r="AZ179" s="488">
        <v>0</v>
      </c>
      <c r="BA179" s="490">
        <v>56000000</v>
      </c>
      <c r="BB179" s="486">
        <v>58000000</v>
      </c>
      <c r="BC179" s="486">
        <v>0</v>
      </c>
      <c r="BD179" s="486">
        <v>0</v>
      </c>
      <c r="BE179" s="486">
        <v>0</v>
      </c>
      <c r="BF179" s="486">
        <v>0</v>
      </c>
      <c r="BG179" s="486">
        <v>0</v>
      </c>
      <c r="BH179" s="486">
        <v>0</v>
      </c>
      <c r="BI179" s="486">
        <v>0</v>
      </c>
      <c r="BJ179" s="487">
        <v>58000000</v>
      </c>
      <c r="BK179" s="486">
        <v>0</v>
      </c>
      <c r="BL179" s="486">
        <v>0</v>
      </c>
      <c r="BM179" s="486">
        <v>0</v>
      </c>
      <c r="BN179" s="488">
        <v>0</v>
      </c>
      <c r="BO179" s="490">
        <v>58000000</v>
      </c>
      <c r="BP179" s="486">
        <v>62000000</v>
      </c>
      <c r="BQ179" s="486">
        <v>0</v>
      </c>
      <c r="BR179" s="486">
        <v>0</v>
      </c>
      <c r="BS179" s="486">
        <v>0</v>
      </c>
      <c r="BT179" s="486">
        <v>0</v>
      </c>
      <c r="BU179" s="486">
        <v>0</v>
      </c>
      <c r="BV179" s="486">
        <v>0</v>
      </c>
      <c r="BW179" s="486">
        <v>0</v>
      </c>
      <c r="BX179" s="487">
        <v>62000000</v>
      </c>
      <c r="BY179" s="486">
        <v>0</v>
      </c>
      <c r="BZ179" s="486">
        <v>0</v>
      </c>
      <c r="CA179" s="486">
        <v>0</v>
      </c>
      <c r="CB179" s="488">
        <v>0</v>
      </c>
      <c r="CC179" s="491">
        <v>62000000</v>
      </c>
      <c r="CD179" s="492">
        <v>211000000</v>
      </c>
      <c r="CE179" s="493">
        <f t="shared" si="10"/>
        <v>211000000</v>
      </c>
      <c r="CF179" s="493">
        <f t="shared" si="10"/>
        <v>0</v>
      </c>
      <c r="CG179" s="493">
        <f t="shared" si="10"/>
        <v>0</v>
      </c>
      <c r="CH179" s="493">
        <f t="shared" si="10"/>
        <v>0</v>
      </c>
      <c r="CI179" s="493">
        <f t="shared" si="10"/>
        <v>0</v>
      </c>
      <c r="CJ179" s="493">
        <f t="shared" si="13"/>
        <v>0</v>
      </c>
      <c r="CK179" s="493">
        <f t="shared" si="13"/>
        <v>0</v>
      </c>
      <c r="CL179" s="493">
        <f t="shared" si="13"/>
        <v>0</v>
      </c>
      <c r="CM179" s="493">
        <f t="shared" si="12"/>
        <v>0</v>
      </c>
      <c r="CN179" s="493">
        <f t="shared" si="12"/>
        <v>0</v>
      </c>
      <c r="CO179" s="493">
        <f t="shared" si="12"/>
        <v>0</v>
      </c>
      <c r="CP179" s="494" t="s">
        <v>6300</v>
      </c>
      <c r="CQ179" s="494" t="s">
        <v>6301</v>
      </c>
    </row>
    <row r="180" spans="1:95" ht="30.45" hidden="1" customHeight="1" thickBot="1">
      <c r="A180" s="555" t="s">
        <v>4191</v>
      </c>
      <c r="B180" s="479">
        <v>178</v>
      </c>
      <c r="C180" s="480" t="s">
        <v>4255</v>
      </c>
      <c r="D180" s="480" t="s">
        <v>4351</v>
      </c>
      <c r="E180" s="480" t="str">
        <f t="shared" si="11"/>
        <v xml:space="preserve">2.2.1 </v>
      </c>
      <c r="F180" s="480" t="s">
        <v>4352</v>
      </c>
      <c r="G180" s="480" t="s">
        <v>4353</v>
      </c>
      <c r="H180" s="481">
        <v>45</v>
      </c>
      <c r="I180" s="480" t="s">
        <v>4180</v>
      </c>
      <c r="J180" s="495">
        <v>450200109</v>
      </c>
      <c r="K180" s="480" t="s">
        <v>4210</v>
      </c>
      <c r="L180" s="480" t="s">
        <v>4370</v>
      </c>
      <c r="M180" s="480" t="s">
        <v>6184</v>
      </c>
      <c r="N180" s="499">
        <v>600</v>
      </c>
      <c r="O180" s="480" t="s">
        <v>4369</v>
      </c>
      <c r="P180" s="515">
        <v>1200</v>
      </c>
      <c r="Q180" s="485" t="s">
        <v>5349</v>
      </c>
      <c r="R180" s="485" t="s">
        <v>5412</v>
      </c>
      <c r="S180" s="485" t="s">
        <v>677</v>
      </c>
      <c r="T180" s="485" t="s">
        <v>5413</v>
      </c>
      <c r="U180" s="485" t="s">
        <v>5414</v>
      </c>
      <c r="V180" s="485" t="s">
        <v>5415</v>
      </c>
      <c r="W180" s="485" t="s">
        <v>5416</v>
      </c>
      <c r="X180" s="485">
        <v>2</v>
      </c>
      <c r="Y180" s="485" t="s">
        <v>708</v>
      </c>
      <c r="Z180" s="486">
        <v>50000000</v>
      </c>
      <c r="AA180" s="486">
        <v>0</v>
      </c>
      <c r="AB180" s="486">
        <v>0</v>
      </c>
      <c r="AC180" s="486">
        <v>0</v>
      </c>
      <c r="AD180" s="486">
        <v>0</v>
      </c>
      <c r="AE180" s="486">
        <v>0</v>
      </c>
      <c r="AF180" s="486">
        <v>0</v>
      </c>
      <c r="AG180" s="486">
        <v>0</v>
      </c>
      <c r="AH180" s="487">
        <v>50000000</v>
      </c>
      <c r="AI180" s="486">
        <v>0</v>
      </c>
      <c r="AJ180" s="486">
        <v>0</v>
      </c>
      <c r="AK180" s="486">
        <v>0</v>
      </c>
      <c r="AL180" s="488">
        <v>0</v>
      </c>
      <c r="AM180" s="489">
        <v>50000000</v>
      </c>
      <c r="AN180" s="486">
        <v>50000000</v>
      </c>
      <c r="AO180" s="486">
        <v>0</v>
      </c>
      <c r="AP180" s="486">
        <v>0</v>
      </c>
      <c r="AQ180" s="486">
        <v>0</v>
      </c>
      <c r="AR180" s="486">
        <v>0</v>
      </c>
      <c r="AS180" s="486">
        <v>0</v>
      </c>
      <c r="AT180" s="486">
        <v>0</v>
      </c>
      <c r="AU180" s="486">
        <v>0</v>
      </c>
      <c r="AV180" s="487">
        <v>50000000</v>
      </c>
      <c r="AW180" s="486">
        <v>0</v>
      </c>
      <c r="AX180" s="486">
        <v>0</v>
      </c>
      <c r="AY180" s="486">
        <v>0</v>
      </c>
      <c r="AZ180" s="488">
        <v>0</v>
      </c>
      <c r="BA180" s="490">
        <v>50000000</v>
      </c>
      <c r="BB180" s="486">
        <v>50000000</v>
      </c>
      <c r="BC180" s="486">
        <v>0</v>
      </c>
      <c r="BD180" s="486">
        <v>0</v>
      </c>
      <c r="BE180" s="486">
        <v>0</v>
      </c>
      <c r="BF180" s="486">
        <v>0</v>
      </c>
      <c r="BG180" s="486">
        <v>0</v>
      </c>
      <c r="BH180" s="486">
        <v>0</v>
      </c>
      <c r="BI180" s="486">
        <v>0</v>
      </c>
      <c r="BJ180" s="487">
        <v>50000000</v>
      </c>
      <c r="BK180" s="486">
        <v>0</v>
      </c>
      <c r="BL180" s="486">
        <v>0</v>
      </c>
      <c r="BM180" s="486">
        <v>0</v>
      </c>
      <c r="BN180" s="488">
        <v>0</v>
      </c>
      <c r="BO180" s="490">
        <v>50000000</v>
      </c>
      <c r="BP180" s="486">
        <v>50000000</v>
      </c>
      <c r="BQ180" s="486">
        <v>0</v>
      </c>
      <c r="BR180" s="486">
        <v>0</v>
      </c>
      <c r="BS180" s="486">
        <v>0</v>
      </c>
      <c r="BT180" s="486">
        <v>0</v>
      </c>
      <c r="BU180" s="486">
        <v>0</v>
      </c>
      <c r="BV180" s="486">
        <v>0</v>
      </c>
      <c r="BW180" s="486">
        <v>0</v>
      </c>
      <c r="BX180" s="487">
        <v>50000000</v>
      </c>
      <c r="BY180" s="486">
        <v>0</v>
      </c>
      <c r="BZ180" s="486">
        <v>0</v>
      </c>
      <c r="CA180" s="486">
        <v>0</v>
      </c>
      <c r="CB180" s="488">
        <v>0</v>
      </c>
      <c r="CC180" s="491">
        <v>50000000</v>
      </c>
      <c r="CD180" s="492">
        <v>200000000</v>
      </c>
      <c r="CE180" s="493">
        <f t="shared" si="10"/>
        <v>200000000</v>
      </c>
      <c r="CF180" s="493">
        <f t="shared" si="10"/>
        <v>0</v>
      </c>
      <c r="CG180" s="493">
        <f t="shared" si="10"/>
        <v>0</v>
      </c>
      <c r="CH180" s="493">
        <f t="shared" si="10"/>
        <v>0</v>
      </c>
      <c r="CI180" s="493">
        <f t="shared" si="10"/>
        <v>0</v>
      </c>
      <c r="CJ180" s="493">
        <f t="shared" si="13"/>
        <v>0</v>
      </c>
      <c r="CK180" s="493">
        <f t="shared" si="13"/>
        <v>0</v>
      </c>
      <c r="CL180" s="493">
        <f t="shared" si="13"/>
        <v>0</v>
      </c>
      <c r="CM180" s="493">
        <f t="shared" si="12"/>
        <v>0</v>
      </c>
      <c r="CN180" s="493">
        <f t="shared" si="12"/>
        <v>0</v>
      </c>
      <c r="CO180" s="493">
        <f t="shared" si="12"/>
        <v>0</v>
      </c>
      <c r="CP180" s="494">
        <v>16</v>
      </c>
      <c r="CQ180" s="502" t="s">
        <v>6302</v>
      </c>
    </row>
    <row r="181" spans="1:95" ht="30.45" hidden="1" customHeight="1" thickBot="1">
      <c r="A181" s="555" t="s">
        <v>4191</v>
      </c>
      <c r="B181" s="479">
        <v>179</v>
      </c>
      <c r="C181" s="480" t="s">
        <v>4255</v>
      </c>
      <c r="D181" s="480" t="s">
        <v>4351</v>
      </c>
      <c r="E181" s="480" t="str">
        <f t="shared" si="11"/>
        <v xml:space="preserve">2.2.2 </v>
      </c>
      <c r="F181" s="480" t="s">
        <v>4371</v>
      </c>
      <c r="G181" s="480" t="s">
        <v>4372</v>
      </c>
      <c r="H181" s="481">
        <v>17</v>
      </c>
      <c r="I181" s="480" t="s">
        <v>4319</v>
      </c>
      <c r="J181" s="495">
        <v>170910600</v>
      </c>
      <c r="K181" s="480" t="s">
        <v>4373</v>
      </c>
      <c r="L181" s="480" t="s">
        <v>4374</v>
      </c>
      <c r="M181" s="480" t="s">
        <v>5805</v>
      </c>
      <c r="N181" s="499">
        <v>15</v>
      </c>
      <c r="O181" s="480" t="s">
        <v>6482</v>
      </c>
      <c r="P181" s="515">
        <v>15</v>
      </c>
      <c r="Q181" s="485" t="s">
        <v>5349</v>
      </c>
      <c r="R181" s="485" t="s">
        <v>5417</v>
      </c>
      <c r="S181" s="485" t="s">
        <v>677</v>
      </c>
      <c r="T181" s="485" t="s">
        <v>5418</v>
      </c>
      <c r="U181" s="485" t="s">
        <v>5419</v>
      </c>
      <c r="V181" s="485" t="s">
        <v>5420</v>
      </c>
      <c r="W181" s="485" t="s">
        <v>5416</v>
      </c>
      <c r="X181" s="485">
        <v>2</v>
      </c>
      <c r="Y181" s="485" t="s">
        <v>708</v>
      </c>
      <c r="Z181" s="486">
        <v>0</v>
      </c>
      <c r="AA181" s="486">
        <v>0</v>
      </c>
      <c r="AB181" s="486">
        <v>0</v>
      </c>
      <c r="AC181" s="486">
        <v>0</v>
      </c>
      <c r="AD181" s="486">
        <v>0</v>
      </c>
      <c r="AE181" s="486">
        <v>0</v>
      </c>
      <c r="AF181" s="486">
        <v>0</v>
      </c>
      <c r="AG181" s="486">
        <v>0</v>
      </c>
      <c r="AH181" s="487">
        <v>0</v>
      </c>
      <c r="AI181" s="486">
        <v>0</v>
      </c>
      <c r="AJ181" s="486">
        <v>60000000</v>
      </c>
      <c r="AK181" s="486">
        <v>0</v>
      </c>
      <c r="AL181" s="488">
        <v>60000000</v>
      </c>
      <c r="AM181" s="489">
        <v>60000000</v>
      </c>
      <c r="AN181" s="486">
        <v>0</v>
      </c>
      <c r="AO181" s="486">
        <v>0</v>
      </c>
      <c r="AP181" s="486">
        <v>0</v>
      </c>
      <c r="AQ181" s="486">
        <v>0</v>
      </c>
      <c r="AR181" s="486">
        <v>0</v>
      </c>
      <c r="AS181" s="486">
        <v>0</v>
      </c>
      <c r="AT181" s="486">
        <v>0</v>
      </c>
      <c r="AU181" s="486">
        <v>0</v>
      </c>
      <c r="AV181" s="487">
        <v>0</v>
      </c>
      <c r="AW181" s="486">
        <v>0</v>
      </c>
      <c r="AX181" s="486">
        <v>70000000</v>
      </c>
      <c r="AY181" s="486">
        <v>0</v>
      </c>
      <c r="AZ181" s="488">
        <v>70000000</v>
      </c>
      <c r="BA181" s="490">
        <v>70000000</v>
      </c>
      <c r="BB181" s="486">
        <v>0</v>
      </c>
      <c r="BC181" s="486">
        <v>0</v>
      </c>
      <c r="BD181" s="486">
        <v>0</v>
      </c>
      <c r="BE181" s="486">
        <v>0</v>
      </c>
      <c r="BF181" s="486">
        <v>0</v>
      </c>
      <c r="BG181" s="486">
        <v>0</v>
      </c>
      <c r="BH181" s="486">
        <v>0</v>
      </c>
      <c r="BI181" s="486">
        <v>0</v>
      </c>
      <c r="BJ181" s="487">
        <v>0</v>
      </c>
      <c r="BK181" s="486">
        <v>0</v>
      </c>
      <c r="BL181" s="486">
        <v>70000000</v>
      </c>
      <c r="BM181" s="486">
        <v>0</v>
      </c>
      <c r="BN181" s="488">
        <v>70000000</v>
      </c>
      <c r="BO181" s="490">
        <v>70000000</v>
      </c>
      <c r="BP181" s="486">
        <v>0</v>
      </c>
      <c r="BQ181" s="486">
        <v>0</v>
      </c>
      <c r="BR181" s="486">
        <v>0</v>
      </c>
      <c r="BS181" s="486">
        <v>0</v>
      </c>
      <c r="BT181" s="486">
        <v>0</v>
      </c>
      <c r="BU181" s="486">
        <v>0</v>
      </c>
      <c r="BV181" s="486">
        <v>0</v>
      </c>
      <c r="BW181" s="486">
        <v>0</v>
      </c>
      <c r="BX181" s="487">
        <v>0</v>
      </c>
      <c r="BY181" s="486">
        <v>0</v>
      </c>
      <c r="BZ181" s="486">
        <v>70000000</v>
      </c>
      <c r="CA181" s="486">
        <v>0</v>
      </c>
      <c r="CB181" s="488">
        <v>70000000</v>
      </c>
      <c r="CC181" s="491">
        <v>70000000</v>
      </c>
      <c r="CD181" s="492">
        <v>270000000</v>
      </c>
      <c r="CE181" s="493">
        <f t="shared" si="10"/>
        <v>0</v>
      </c>
      <c r="CF181" s="493">
        <f t="shared" si="10"/>
        <v>0</v>
      </c>
      <c r="CG181" s="493">
        <f t="shared" si="10"/>
        <v>0</v>
      </c>
      <c r="CH181" s="493">
        <f t="shared" si="10"/>
        <v>0</v>
      </c>
      <c r="CI181" s="493">
        <f t="shared" si="10"/>
        <v>0</v>
      </c>
      <c r="CJ181" s="493">
        <f t="shared" si="13"/>
        <v>0</v>
      </c>
      <c r="CK181" s="493">
        <f t="shared" si="13"/>
        <v>0</v>
      </c>
      <c r="CL181" s="493">
        <f t="shared" si="13"/>
        <v>0</v>
      </c>
      <c r="CM181" s="493">
        <f t="shared" si="12"/>
        <v>0</v>
      </c>
      <c r="CN181" s="493">
        <f t="shared" si="12"/>
        <v>270000000</v>
      </c>
      <c r="CO181" s="493">
        <f t="shared" si="12"/>
        <v>0</v>
      </c>
      <c r="CP181" s="494" t="s">
        <v>6303</v>
      </c>
      <c r="CQ181" s="494" t="s">
        <v>6304</v>
      </c>
    </row>
    <row r="182" spans="1:95" ht="30.45" hidden="1" customHeight="1" thickBot="1">
      <c r="A182" s="555" t="s">
        <v>4191</v>
      </c>
      <c r="B182" s="479">
        <v>180</v>
      </c>
      <c r="C182" s="480" t="s">
        <v>4255</v>
      </c>
      <c r="D182" s="480" t="s">
        <v>4351</v>
      </c>
      <c r="E182" s="480" t="str">
        <f t="shared" si="11"/>
        <v xml:space="preserve">2.2.2 </v>
      </c>
      <c r="F182" s="480" t="s">
        <v>4371</v>
      </c>
      <c r="G182" s="480" t="s">
        <v>4372</v>
      </c>
      <c r="H182" s="481">
        <v>17</v>
      </c>
      <c r="I182" s="480" t="s">
        <v>4356</v>
      </c>
      <c r="J182" s="495">
        <v>170200700</v>
      </c>
      <c r="K182" s="480" t="s">
        <v>4303</v>
      </c>
      <c r="L182" s="480" t="s">
        <v>4375</v>
      </c>
      <c r="M182" s="480" t="s">
        <v>5806</v>
      </c>
      <c r="N182" s="499">
        <v>5</v>
      </c>
      <c r="O182" s="480" t="s">
        <v>6482</v>
      </c>
      <c r="P182" s="515">
        <v>11</v>
      </c>
      <c r="Q182" s="485" t="s">
        <v>5349</v>
      </c>
      <c r="R182" s="485" t="s">
        <v>5417</v>
      </c>
      <c r="S182" s="485" t="s">
        <v>677</v>
      </c>
      <c r="T182" s="485" t="s">
        <v>5418</v>
      </c>
      <c r="U182" s="485" t="s">
        <v>5419</v>
      </c>
      <c r="V182" s="485" t="s">
        <v>5420</v>
      </c>
      <c r="W182" s="485" t="s">
        <v>5416</v>
      </c>
      <c r="X182" s="485">
        <v>2</v>
      </c>
      <c r="Y182" s="485" t="s">
        <v>708</v>
      </c>
      <c r="Z182" s="486">
        <v>0</v>
      </c>
      <c r="AA182" s="486">
        <v>0</v>
      </c>
      <c r="AB182" s="486">
        <v>0</v>
      </c>
      <c r="AC182" s="486">
        <v>0</v>
      </c>
      <c r="AD182" s="486">
        <v>0</v>
      </c>
      <c r="AE182" s="486">
        <v>0</v>
      </c>
      <c r="AF182" s="486">
        <v>0</v>
      </c>
      <c r="AG182" s="486">
        <v>0</v>
      </c>
      <c r="AH182" s="487">
        <v>0</v>
      </c>
      <c r="AI182" s="486">
        <v>0</v>
      </c>
      <c r="AJ182" s="486">
        <v>350000000</v>
      </c>
      <c r="AK182" s="486">
        <v>0</v>
      </c>
      <c r="AL182" s="488">
        <v>350000000</v>
      </c>
      <c r="AM182" s="489">
        <v>350000000</v>
      </c>
      <c r="AN182" s="486">
        <v>0</v>
      </c>
      <c r="AO182" s="486">
        <v>0</v>
      </c>
      <c r="AP182" s="486">
        <v>0</v>
      </c>
      <c r="AQ182" s="486">
        <v>0</v>
      </c>
      <c r="AR182" s="486">
        <v>0</v>
      </c>
      <c r="AS182" s="486">
        <v>0</v>
      </c>
      <c r="AT182" s="486">
        <v>0</v>
      </c>
      <c r="AU182" s="486">
        <v>0</v>
      </c>
      <c r="AV182" s="487">
        <v>0</v>
      </c>
      <c r="AW182" s="486">
        <v>0</v>
      </c>
      <c r="AX182" s="486">
        <v>250000000</v>
      </c>
      <c r="AY182" s="486">
        <v>0</v>
      </c>
      <c r="AZ182" s="488">
        <v>250000000</v>
      </c>
      <c r="BA182" s="490">
        <v>250000000</v>
      </c>
      <c r="BB182" s="486">
        <v>0</v>
      </c>
      <c r="BC182" s="486">
        <v>0</v>
      </c>
      <c r="BD182" s="486">
        <v>0</v>
      </c>
      <c r="BE182" s="486">
        <v>0</v>
      </c>
      <c r="BF182" s="486">
        <v>0</v>
      </c>
      <c r="BG182" s="486">
        <v>0</v>
      </c>
      <c r="BH182" s="486">
        <v>0</v>
      </c>
      <c r="BI182" s="486">
        <v>0</v>
      </c>
      <c r="BJ182" s="487">
        <v>0</v>
      </c>
      <c r="BK182" s="486">
        <v>0</v>
      </c>
      <c r="BL182" s="486">
        <v>250000000</v>
      </c>
      <c r="BM182" s="486">
        <v>0</v>
      </c>
      <c r="BN182" s="488">
        <v>250000000</v>
      </c>
      <c r="BO182" s="490">
        <v>250000000</v>
      </c>
      <c r="BP182" s="486">
        <v>0</v>
      </c>
      <c r="BQ182" s="486">
        <v>0</v>
      </c>
      <c r="BR182" s="486">
        <v>0</v>
      </c>
      <c r="BS182" s="486">
        <v>0</v>
      </c>
      <c r="BT182" s="486">
        <v>0</v>
      </c>
      <c r="BU182" s="486">
        <v>0</v>
      </c>
      <c r="BV182" s="486">
        <v>0</v>
      </c>
      <c r="BW182" s="486">
        <v>0</v>
      </c>
      <c r="BX182" s="487">
        <v>0</v>
      </c>
      <c r="BY182" s="486">
        <v>0</v>
      </c>
      <c r="BZ182" s="486">
        <v>250000000</v>
      </c>
      <c r="CA182" s="486">
        <v>0</v>
      </c>
      <c r="CB182" s="488">
        <v>250000000</v>
      </c>
      <c r="CC182" s="491">
        <v>250000000</v>
      </c>
      <c r="CD182" s="492">
        <v>1100000000</v>
      </c>
      <c r="CE182" s="493">
        <f t="shared" ref="CE182:CI232" si="14">Z182+AN182+BB182+BP182</f>
        <v>0</v>
      </c>
      <c r="CF182" s="493">
        <f t="shared" si="14"/>
        <v>0</v>
      </c>
      <c r="CG182" s="493">
        <f t="shared" si="14"/>
        <v>0</v>
      </c>
      <c r="CH182" s="493">
        <f t="shared" si="14"/>
        <v>0</v>
      </c>
      <c r="CI182" s="493">
        <f t="shared" si="14"/>
        <v>0</v>
      </c>
      <c r="CJ182" s="493">
        <f t="shared" si="13"/>
        <v>0</v>
      </c>
      <c r="CK182" s="493">
        <f t="shared" si="13"/>
        <v>0</v>
      </c>
      <c r="CL182" s="493">
        <f t="shared" si="13"/>
        <v>0</v>
      </c>
      <c r="CM182" s="493">
        <f t="shared" si="12"/>
        <v>0</v>
      </c>
      <c r="CN182" s="493">
        <f t="shared" si="12"/>
        <v>1100000000</v>
      </c>
      <c r="CO182" s="493">
        <f t="shared" si="12"/>
        <v>0</v>
      </c>
      <c r="CP182" s="494" t="s">
        <v>6295</v>
      </c>
      <c r="CQ182" s="494" t="s">
        <v>6296</v>
      </c>
    </row>
    <row r="183" spans="1:95" ht="30.45" hidden="1" customHeight="1" thickBot="1">
      <c r="A183" s="555" t="s">
        <v>4191</v>
      </c>
      <c r="B183" s="479">
        <v>181</v>
      </c>
      <c r="C183" s="480" t="s">
        <v>4255</v>
      </c>
      <c r="D183" s="480" t="s">
        <v>4351</v>
      </c>
      <c r="E183" s="480" t="str">
        <f t="shared" si="11"/>
        <v xml:space="preserve">2.2.2 </v>
      </c>
      <c r="F183" s="480" t="s">
        <v>4371</v>
      </c>
      <c r="G183" s="480" t="s">
        <v>4372</v>
      </c>
      <c r="H183" s="481">
        <v>17</v>
      </c>
      <c r="I183" s="480" t="s">
        <v>4356</v>
      </c>
      <c r="J183" s="495">
        <v>170200900</v>
      </c>
      <c r="K183" s="480" t="s">
        <v>4192</v>
      </c>
      <c r="L183" s="480" t="s">
        <v>4376</v>
      </c>
      <c r="M183" s="480" t="s">
        <v>6489</v>
      </c>
      <c r="N183" s="517">
        <v>24334</v>
      </c>
      <c r="O183" s="480" t="s">
        <v>6490</v>
      </c>
      <c r="P183" s="518">
        <v>41334</v>
      </c>
      <c r="Q183" s="485" t="s">
        <v>5349</v>
      </c>
      <c r="R183" s="485" t="s">
        <v>5417</v>
      </c>
      <c r="S183" s="485" t="s">
        <v>677</v>
      </c>
      <c r="T183" s="485" t="s">
        <v>5418</v>
      </c>
      <c r="U183" s="485" t="s">
        <v>5419</v>
      </c>
      <c r="V183" s="485" t="s">
        <v>5420</v>
      </c>
      <c r="W183" s="485" t="s">
        <v>5416</v>
      </c>
      <c r="X183" s="485">
        <v>2</v>
      </c>
      <c r="Y183" s="485" t="s">
        <v>708</v>
      </c>
      <c r="Z183" s="486">
        <v>3229703004</v>
      </c>
      <c r="AA183" s="486">
        <v>0</v>
      </c>
      <c r="AB183" s="486">
        <v>0</v>
      </c>
      <c r="AC183" s="486">
        <v>0</v>
      </c>
      <c r="AD183" s="486">
        <v>0</v>
      </c>
      <c r="AE183" s="486">
        <v>0</v>
      </c>
      <c r="AF183" s="486">
        <v>0</v>
      </c>
      <c r="AG183" s="486">
        <v>0</v>
      </c>
      <c r="AH183" s="487">
        <v>3229703004</v>
      </c>
      <c r="AI183" s="486">
        <v>0</v>
      </c>
      <c r="AJ183" s="486">
        <v>0</v>
      </c>
      <c r="AK183" s="486">
        <v>0</v>
      </c>
      <c r="AL183" s="488">
        <v>0</v>
      </c>
      <c r="AM183" s="489">
        <v>3229703004</v>
      </c>
      <c r="AN183" s="486">
        <v>3119692060</v>
      </c>
      <c r="AO183" s="486">
        <v>0</v>
      </c>
      <c r="AP183" s="486">
        <v>0</v>
      </c>
      <c r="AQ183" s="486">
        <v>0</v>
      </c>
      <c r="AR183" s="486">
        <v>0</v>
      </c>
      <c r="AS183" s="486">
        <v>0</v>
      </c>
      <c r="AT183" s="486">
        <v>0</v>
      </c>
      <c r="AU183" s="486">
        <v>0</v>
      </c>
      <c r="AV183" s="487">
        <v>3119692060</v>
      </c>
      <c r="AW183" s="486">
        <v>0</v>
      </c>
      <c r="AX183" s="486">
        <v>0</v>
      </c>
      <c r="AY183" s="486">
        <v>0</v>
      </c>
      <c r="AZ183" s="488">
        <v>0</v>
      </c>
      <c r="BA183" s="490">
        <v>3119692060</v>
      </c>
      <c r="BB183" s="486">
        <v>3275676663</v>
      </c>
      <c r="BC183" s="486">
        <v>0</v>
      </c>
      <c r="BD183" s="486">
        <v>0</v>
      </c>
      <c r="BE183" s="486">
        <v>0</v>
      </c>
      <c r="BF183" s="486">
        <v>0</v>
      </c>
      <c r="BG183" s="486">
        <v>0</v>
      </c>
      <c r="BH183" s="486">
        <v>0</v>
      </c>
      <c r="BI183" s="486">
        <v>0</v>
      </c>
      <c r="BJ183" s="487">
        <v>3275676663</v>
      </c>
      <c r="BK183" s="486">
        <v>0</v>
      </c>
      <c r="BL183" s="486">
        <v>0</v>
      </c>
      <c r="BM183" s="486">
        <v>0</v>
      </c>
      <c r="BN183" s="488">
        <v>0</v>
      </c>
      <c r="BO183" s="490">
        <v>3275676663</v>
      </c>
      <c r="BP183" s="486">
        <v>3677460496</v>
      </c>
      <c r="BQ183" s="486">
        <v>0</v>
      </c>
      <c r="BR183" s="486">
        <v>0</v>
      </c>
      <c r="BS183" s="486">
        <v>0</v>
      </c>
      <c r="BT183" s="486">
        <v>0</v>
      </c>
      <c r="BU183" s="486">
        <v>0</v>
      </c>
      <c r="BV183" s="486">
        <v>0</v>
      </c>
      <c r="BW183" s="486">
        <v>0</v>
      </c>
      <c r="BX183" s="487">
        <v>3677460496</v>
      </c>
      <c r="BY183" s="486">
        <v>0</v>
      </c>
      <c r="BZ183" s="486">
        <v>0</v>
      </c>
      <c r="CA183" s="486">
        <v>0</v>
      </c>
      <c r="CB183" s="488">
        <v>0</v>
      </c>
      <c r="CC183" s="491">
        <v>3677460496</v>
      </c>
      <c r="CD183" s="492">
        <v>13302532223</v>
      </c>
      <c r="CE183" s="493">
        <f t="shared" si="14"/>
        <v>13302532223</v>
      </c>
      <c r="CF183" s="493">
        <f t="shared" si="14"/>
        <v>0</v>
      </c>
      <c r="CG183" s="493">
        <f t="shared" si="14"/>
        <v>0</v>
      </c>
      <c r="CH183" s="493">
        <f t="shared" si="14"/>
        <v>0</v>
      </c>
      <c r="CI183" s="493">
        <f t="shared" si="14"/>
        <v>0</v>
      </c>
      <c r="CJ183" s="493">
        <f t="shared" si="13"/>
        <v>0</v>
      </c>
      <c r="CK183" s="493">
        <f t="shared" si="13"/>
        <v>0</v>
      </c>
      <c r="CL183" s="493">
        <f t="shared" si="13"/>
        <v>0</v>
      </c>
      <c r="CM183" s="493">
        <f t="shared" si="12"/>
        <v>0</v>
      </c>
      <c r="CN183" s="493">
        <f t="shared" si="12"/>
        <v>0</v>
      </c>
      <c r="CO183" s="493">
        <f t="shared" si="12"/>
        <v>0</v>
      </c>
      <c r="CP183" s="494" t="s">
        <v>6295</v>
      </c>
      <c r="CQ183" s="494" t="s">
        <v>6296</v>
      </c>
    </row>
    <row r="184" spans="1:95" ht="30.45" hidden="1" customHeight="1" thickBot="1">
      <c r="A184" s="555" t="s">
        <v>4191</v>
      </c>
      <c r="B184" s="479">
        <v>182</v>
      </c>
      <c r="C184" s="480" t="s">
        <v>4255</v>
      </c>
      <c r="D184" s="480" t="s">
        <v>4351</v>
      </c>
      <c r="E184" s="480" t="str">
        <f t="shared" si="11"/>
        <v xml:space="preserve">2.2.2 </v>
      </c>
      <c r="F184" s="480" t="s">
        <v>4371</v>
      </c>
      <c r="G184" s="480" t="s">
        <v>4372</v>
      </c>
      <c r="H184" s="481">
        <v>17</v>
      </c>
      <c r="I184" s="480" t="s">
        <v>4356</v>
      </c>
      <c r="J184" s="495">
        <v>170201600</v>
      </c>
      <c r="K184" s="480" t="s">
        <v>4270</v>
      </c>
      <c r="L184" s="480" t="s">
        <v>4271</v>
      </c>
      <c r="M184" s="480" t="s">
        <v>5807</v>
      </c>
      <c r="N184" s="499">
        <v>200</v>
      </c>
      <c r="O184" s="480" t="s">
        <v>6491</v>
      </c>
      <c r="P184" s="515" t="s">
        <v>4377</v>
      </c>
      <c r="Q184" s="485" t="s">
        <v>5349</v>
      </c>
      <c r="R184" s="485" t="s">
        <v>5417</v>
      </c>
      <c r="S184" s="485" t="s">
        <v>677</v>
      </c>
      <c r="T184" s="485" t="s">
        <v>5418</v>
      </c>
      <c r="U184" s="485" t="s">
        <v>5419</v>
      </c>
      <c r="V184" s="485" t="s">
        <v>5420</v>
      </c>
      <c r="W184" s="485" t="s">
        <v>5416</v>
      </c>
      <c r="X184" s="485">
        <v>2</v>
      </c>
      <c r="Y184" s="485" t="s">
        <v>708</v>
      </c>
      <c r="Z184" s="486">
        <v>0</v>
      </c>
      <c r="AA184" s="486">
        <v>0</v>
      </c>
      <c r="AB184" s="486">
        <v>0</v>
      </c>
      <c r="AC184" s="486">
        <v>0</v>
      </c>
      <c r="AD184" s="486">
        <v>0</v>
      </c>
      <c r="AE184" s="486">
        <v>0</v>
      </c>
      <c r="AF184" s="486">
        <v>0</v>
      </c>
      <c r="AG184" s="486">
        <v>0</v>
      </c>
      <c r="AH184" s="487">
        <v>0</v>
      </c>
      <c r="AI184" s="486">
        <v>0</v>
      </c>
      <c r="AJ184" s="486">
        <v>75000000</v>
      </c>
      <c r="AK184" s="486">
        <v>0</v>
      </c>
      <c r="AL184" s="488">
        <v>75000000</v>
      </c>
      <c r="AM184" s="489">
        <v>75000000</v>
      </c>
      <c r="AN184" s="486">
        <v>25000000</v>
      </c>
      <c r="AO184" s="486">
        <v>0</v>
      </c>
      <c r="AP184" s="486">
        <v>0</v>
      </c>
      <c r="AQ184" s="486">
        <v>0</v>
      </c>
      <c r="AR184" s="486">
        <v>0</v>
      </c>
      <c r="AS184" s="486">
        <v>0</v>
      </c>
      <c r="AT184" s="486">
        <v>0</v>
      </c>
      <c r="AU184" s="486">
        <v>0</v>
      </c>
      <c r="AV184" s="487">
        <v>25000000</v>
      </c>
      <c r="AW184" s="486"/>
      <c r="AX184" s="486">
        <v>75000000</v>
      </c>
      <c r="AY184" s="486">
        <v>0</v>
      </c>
      <c r="AZ184" s="488">
        <v>75000000</v>
      </c>
      <c r="BA184" s="490">
        <v>100000000</v>
      </c>
      <c r="BB184" s="486">
        <v>25000000</v>
      </c>
      <c r="BC184" s="486">
        <v>0</v>
      </c>
      <c r="BD184" s="486">
        <v>0</v>
      </c>
      <c r="BE184" s="486">
        <v>0</v>
      </c>
      <c r="BF184" s="486">
        <v>0</v>
      </c>
      <c r="BG184" s="486">
        <v>0</v>
      </c>
      <c r="BH184" s="486">
        <v>0</v>
      </c>
      <c r="BI184" s="486">
        <v>0</v>
      </c>
      <c r="BJ184" s="487">
        <v>25000000</v>
      </c>
      <c r="BK184" s="486"/>
      <c r="BL184" s="486">
        <v>75000000</v>
      </c>
      <c r="BM184" s="486">
        <v>0</v>
      </c>
      <c r="BN184" s="488">
        <v>75000000</v>
      </c>
      <c r="BO184" s="490">
        <v>100000000</v>
      </c>
      <c r="BP184" s="486">
        <v>25000000</v>
      </c>
      <c r="BQ184" s="486">
        <v>0</v>
      </c>
      <c r="BR184" s="486">
        <v>0</v>
      </c>
      <c r="BS184" s="486">
        <v>0</v>
      </c>
      <c r="BT184" s="486">
        <v>0</v>
      </c>
      <c r="BU184" s="486">
        <v>0</v>
      </c>
      <c r="BV184" s="486">
        <v>0</v>
      </c>
      <c r="BW184" s="486">
        <v>0</v>
      </c>
      <c r="BX184" s="487">
        <v>25000000</v>
      </c>
      <c r="BY184" s="486"/>
      <c r="BZ184" s="486">
        <v>75000000</v>
      </c>
      <c r="CA184" s="486">
        <v>0</v>
      </c>
      <c r="CB184" s="488">
        <v>75000000</v>
      </c>
      <c r="CC184" s="491">
        <v>100000000</v>
      </c>
      <c r="CD184" s="492">
        <v>375000000</v>
      </c>
      <c r="CE184" s="493">
        <f t="shared" si="14"/>
        <v>75000000</v>
      </c>
      <c r="CF184" s="493">
        <f t="shared" si="14"/>
        <v>0</v>
      </c>
      <c r="CG184" s="493">
        <f t="shared" si="14"/>
        <v>0</v>
      </c>
      <c r="CH184" s="493">
        <f t="shared" si="14"/>
        <v>0</v>
      </c>
      <c r="CI184" s="493">
        <f t="shared" si="14"/>
        <v>0</v>
      </c>
      <c r="CJ184" s="493">
        <f t="shared" si="13"/>
        <v>0</v>
      </c>
      <c r="CK184" s="493">
        <f t="shared" si="13"/>
        <v>0</v>
      </c>
      <c r="CL184" s="493">
        <f t="shared" si="13"/>
        <v>0</v>
      </c>
      <c r="CM184" s="493">
        <f t="shared" si="12"/>
        <v>0</v>
      </c>
      <c r="CN184" s="493">
        <f t="shared" si="12"/>
        <v>300000000</v>
      </c>
      <c r="CO184" s="493">
        <f t="shared" si="12"/>
        <v>0</v>
      </c>
      <c r="CP184" s="494" t="s">
        <v>6295</v>
      </c>
      <c r="CQ184" s="494" t="s">
        <v>6305</v>
      </c>
    </row>
    <row r="185" spans="1:95" ht="30.45" hidden="1" customHeight="1" thickBot="1">
      <c r="A185" s="555" t="s">
        <v>4191</v>
      </c>
      <c r="B185" s="479">
        <v>183</v>
      </c>
      <c r="C185" s="480" t="s">
        <v>4255</v>
      </c>
      <c r="D185" s="480" t="s">
        <v>4351</v>
      </c>
      <c r="E185" s="480" t="str">
        <f t="shared" si="11"/>
        <v xml:space="preserve">2.2.2 </v>
      </c>
      <c r="F185" s="480" t="s">
        <v>4371</v>
      </c>
      <c r="G185" s="480" t="s">
        <v>4372</v>
      </c>
      <c r="H185" s="481">
        <v>17</v>
      </c>
      <c r="I185" s="480" t="s">
        <v>4356</v>
      </c>
      <c r="J185" s="495">
        <v>170201100</v>
      </c>
      <c r="K185" s="480" t="s">
        <v>4270</v>
      </c>
      <c r="L185" s="480" t="s">
        <v>5808</v>
      </c>
      <c r="M185" s="480" t="s">
        <v>5809</v>
      </c>
      <c r="N185" s="499">
        <v>857</v>
      </c>
      <c r="O185" s="480" t="s">
        <v>6491</v>
      </c>
      <c r="P185" s="519" t="s">
        <v>4378</v>
      </c>
      <c r="Q185" s="485" t="s">
        <v>5349</v>
      </c>
      <c r="R185" s="485" t="s">
        <v>5417</v>
      </c>
      <c r="S185" s="485" t="s">
        <v>677</v>
      </c>
      <c r="T185" s="485" t="s">
        <v>5418</v>
      </c>
      <c r="U185" s="485" t="s">
        <v>5419</v>
      </c>
      <c r="V185" s="485" t="s">
        <v>5420</v>
      </c>
      <c r="W185" s="485" t="s">
        <v>5416</v>
      </c>
      <c r="X185" s="485">
        <v>2</v>
      </c>
      <c r="Y185" s="485" t="s">
        <v>708</v>
      </c>
      <c r="Z185" s="486">
        <v>0</v>
      </c>
      <c r="AA185" s="486">
        <v>0</v>
      </c>
      <c r="AB185" s="486">
        <v>0</v>
      </c>
      <c r="AC185" s="486">
        <v>0</v>
      </c>
      <c r="AD185" s="486">
        <v>0</v>
      </c>
      <c r="AE185" s="486">
        <v>0</v>
      </c>
      <c r="AF185" s="486">
        <v>0</v>
      </c>
      <c r="AG185" s="486">
        <v>0</v>
      </c>
      <c r="AH185" s="487">
        <v>0</v>
      </c>
      <c r="AI185" s="486">
        <v>0</v>
      </c>
      <c r="AJ185" s="486">
        <v>25000000</v>
      </c>
      <c r="AK185" s="486">
        <v>0</v>
      </c>
      <c r="AL185" s="488">
        <v>25000000</v>
      </c>
      <c r="AM185" s="489">
        <v>25000000</v>
      </c>
      <c r="AN185" s="486">
        <v>0</v>
      </c>
      <c r="AO185" s="486">
        <v>0</v>
      </c>
      <c r="AP185" s="486">
        <v>0</v>
      </c>
      <c r="AQ185" s="486">
        <v>0</v>
      </c>
      <c r="AR185" s="486">
        <v>0</v>
      </c>
      <c r="AS185" s="486">
        <v>0</v>
      </c>
      <c r="AT185" s="486">
        <v>0</v>
      </c>
      <c r="AU185" s="486">
        <v>0</v>
      </c>
      <c r="AV185" s="487">
        <v>0</v>
      </c>
      <c r="AW185" s="486">
        <v>0</v>
      </c>
      <c r="AX185" s="486">
        <v>30000000</v>
      </c>
      <c r="AY185" s="486">
        <v>0</v>
      </c>
      <c r="AZ185" s="488">
        <v>30000000</v>
      </c>
      <c r="BA185" s="490">
        <v>30000000</v>
      </c>
      <c r="BB185" s="486">
        <v>0</v>
      </c>
      <c r="BC185" s="486">
        <v>0</v>
      </c>
      <c r="BD185" s="486">
        <v>0</v>
      </c>
      <c r="BE185" s="486">
        <v>0</v>
      </c>
      <c r="BF185" s="486">
        <v>0</v>
      </c>
      <c r="BG185" s="486">
        <v>0</v>
      </c>
      <c r="BH185" s="486">
        <v>0</v>
      </c>
      <c r="BI185" s="486">
        <v>0</v>
      </c>
      <c r="BJ185" s="487">
        <v>0</v>
      </c>
      <c r="BK185" s="486">
        <v>0</v>
      </c>
      <c r="BL185" s="486">
        <v>35000000</v>
      </c>
      <c r="BM185" s="486">
        <v>0</v>
      </c>
      <c r="BN185" s="488">
        <v>35000000</v>
      </c>
      <c r="BO185" s="490">
        <v>35000000</v>
      </c>
      <c r="BP185" s="486">
        <v>0</v>
      </c>
      <c r="BQ185" s="486">
        <v>0</v>
      </c>
      <c r="BR185" s="486">
        <v>0</v>
      </c>
      <c r="BS185" s="486">
        <v>0</v>
      </c>
      <c r="BT185" s="486">
        <v>0</v>
      </c>
      <c r="BU185" s="486">
        <v>0</v>
      </c>
      <c r="BV185" s="486">
        <v>0</v>
      </c>
      <c r="BW185" s="486">
        <v>0</v>
      </c>
      <c r="BX185" s="487">
        <v>0</v>
      </c>
      <c r="BY185" s="486">
        <v>0</v>
      </c>
      <c r="BZ185" s="486">
        <v>35000000</v>
      </c>
      <c r="CA185" s="486">
        <v>0</v>
      </c>
      <c r="CB185" s="488">
        <v>35000000</v>
      </c>
      <c r="CC185" s="491">
        <v>35000000</v>
      </c>
      <c r="CD185" s="492">
        <v>125000000</v>
      </c>
      <c r="CE185" s="493">
        <f t="shared" si="14"/>
        <v>0</v>
      </c>
      <c r="CF185" s="493">
        <f t="shared" si="14"/>
        <v>0</v>
      </c>
      <c r="CG185" s="493">
        <f t="shared" si="14"/>
        <v>0</v>
      </c>
      <c r="CH185" s="493">
        <f t="shared" si="14"/>
        <v>0</v>
      </c>
      <c r="CI185" s="493">
        <f t="shared" si="14"/>
        <v>0</v>
      </c>
      <c r="CJ185" s="493">
        <f t="shared" si="13"/>
        <v>0</v>
      </c>
      <c r="CK185" s="493">
        <f t="shared" si="13"/>
        <v>0</v>
      </c>
      <c r="CL185" s="493">
        <f t="shared" si="13"/>
        <v>0</v>
      </c>
      <c r="CM185" s="493">
        <f t="shared" si="12"/>
        <v>0</v>
      </c>
      <c r="CN185" s="493">
        <f t="shared" si="12"/>
        <v>125000000</v>
      </c>
      <c r="CO185" s="493">
        <f t="shared" si="12"/>
        <v>0</v>
      </c>
      <c r="CP185" s="494" t="s">
        <v>6306</v>
      </c>
      <c r="CQ185" s="494" t="s">
        <v>6307</v>
      </c>
    </row>
    <row r="186" spans="1:95" ht="30.45" hidden="1" customHeight="1" thickBot="1">
      <c r="A186" s="555" t="s">
        <v>4191</v>
      </c>
      <c r="B186" s="479">
        <v>184</v>
      </c>
      <c r="C186" s="480" t="s">
        <v>4255</v>
      </c>
      <c r="D186" s="480" t="s">
        <v>4351</v>
      </c>
      <c r="E186" s="480" t="str">
        <f t="shared" si="11"/>
        <v xml:space="preserve">2.2.2 </v>
      </c>
      <c r="F186" s="480" t="s">
        <v>4371</v>
      </c>
      <c r="G186" s="480" t="s">
        <v>4372</v>
      </c>
      <c r="H186" s="481">
        <v>17</v>
      </c>
      <c r="I186" s="480" t="s">
        <v>4356</v>
      </c>
      <c r="J186" s="495">
        <v>170203800</v>
      </c>
      <c r="K186" s="480" t="s">
        <v>4343</v>
      </c>
      <c r="L186" s="480" t="s">
        <v>4379</v>
      </c>
      <c r="M186" s="480" t="s">
        <v>5810</v>
      </c>
      <c r="N186" s="499">
        <v>143</v>
      </c>
      <c r="O186" s="480" t="s">
        <v>6492</v>
      </c>
      <c r="P186" s="515">
        <v>286</v>
      </c>
      <c r="Q186" s="485" t="s">
        <v>5349</v>
      </c>
      <c r="R186" s="485" t="s">
        <v>5417</v>
      </c>
      <c r="S186" s="485" t="s">
        <v>677</v>
      </c>
      <c r="T186" s="485" t="s">
        <v>5418</v>
      </c>
      <c r="U186" s="485" t="s">
        <v>5419</v>
      </c>
      <c r="V186" s="485" t="s">
        <v>5420</v>
      </c>
      <c r="W186" s="485" t="s">
        <v>5416</v>
      </c>
      <c r="X186" s="485">
        <v>2</v>
      </c>
      <c r="Y186" s="485" t="s">
        <v>708</v>
      </c>
      <c r="Z186" s="486">
        <v>56000000</v>
      </c>
      <c r="AA186" s="486">
        <v>0</v>
      </c>
      <c r="AB186" s="486">
        <v>0</v>
      </c>
      <c r="AC186" s="486">
        <v>0</v>
      </c>
      <c r="AD186" s="486">
        <v>0</v>
      </c>
      <c r="AE186" s="486">
        <v>0</v>
      </c>
      <c r="AF186" s="486">
        <v>0</v>
      </c>
      <c r="AG186" s="486">
        <v>0</v>
      </c>
      <c r="AH186" s="487">
        <v>56000000</v>
      </c>
      <c r="AI186" s="486">
        <v>0</v>
      </c>
      <c r="AJ186" s="486">
        <v>0</v>
      </c>
      <c r="AK186" s="486">
        <v>0</v>
      </c>
      <c r="AL186" s="488">
        <v>0</v>
      </c>
      <c r="AM186" s="489">
        <v>56000000</v>
      </c>
      <c r="AN186" s="486">
        <v>45000000</v>
      </c>
      <c r="AO186" s="486">
        <v>0</v>
      </c>
      <c r="AP186" s="486">
        <v>0</v>
      </c>
      <c r="AQ186" s="486">
        <v>0</v>
      </c>
      <c r="AR186" s="486">
        <v>0</v>
      </c>
      <c r="AS186" s="486">
        <v>0</v>
      </c>
      <c r="AT186" s="486">
        <v>0</v>
      </c>
      <c r="AU186" s="486">
        <v>0</v>
      </c>
      <c r="AV186" s="487">
        <v>45000000</v>
      </c>
      <c r="AW186" s="486">
        <v>55000000</v>
      </c>
      <c r="AX186" s="486">
        <v>0</v>
      </c>
      <c r="AY186" s="486">
        <v>0</v>
      </c>
      <c r="AZ186" s="488">
        <v>55000000</v>
      </c>
      <c r="BA186" s="490">
        <v>100000000</v>
      </c>
      <c r="BB186" s="486">
        <v>45000000</v>
      </c>
      <c r="BC186" s="486">
        <v>0</v>
      </c>
      <c r="BD186" s="486">
        <v>0</v>
      </c>
      <c r="BE186" s="486">
        <v>0</v>
      </c>
      <c r="BF186" s="486">
        <v>0</v>
      </c>
      <c r="BG186" s="486">
        <v>0</v>
      </c>
      <c r="BH186" s="486">
        <v>0</v>
      </c>
      <c r="BI186" s="486">
        <v>0</v>
      </c>
      <c r="BJ186" s="487">
        <v>45000000</v>
      </c>
      <c r="BK186" s="486">
        <v>55000000</v>
      </c>
      <c r="BL186" s="486">
        <v>0</v>
      </c>
      <c r="BM186" s="486">
        <v>0</v>
      </c>
      <c r="BN186" s="488">
        <v>55000000</v>
      </c>
      <c r="BO186" s="490">
        <v>100000000</v>
      </c>
      <c r="BP186" s="486">
        <v>45000000</v>
      </c>
      <c r="BQ186" s="486">
        <v>0</v>
      </c>
      <c r="BR186" s="486">
        <v>0</v>
      </c>
      <c r="BS186" s="486">
        <v>0</v>
      </c>
      <c r="BT186" s="486">
        <v>0</v>
      </c>
      <c r="BU186" s="486">
        <v>0</v>
      </c>
      <c r="BV186" s="486">
        <v>0</v>
      </c>
      <c r="BW186" s="486">
        <v>0</v>
      </c>
      <c r="BX186" s="487">
        <v>45000000</v>
      </c>
      <c r="BY186" s="486">
        <v>75000000</v>
      </c>
      <c r="BZ186" s="486">
        <v>0</v>
      </c>
      <c r="CA186" s="486">
        <v>0</v>
      </c>
      <c r="CB186" s="488">
        <v>75000000</v>
      </c>
      <c r="CC186" s="491">
        <v>120000000</v>
      </c>
      <c r="CD186" s="492">
        <v>376000000</v>
      </c>
      <c r="CE186" s="493">
        <f t="shared" si="14"/>
        <v>191000000</v>
      </c>
      <c r="CF186" s="493">
        <f t="shared" si="14"/>
        <v>0</v>
      </c>
      <c r="CG186" s="493">
        <f t="shared" si="14"/>
        <v>0</v>
      </c>
      <c r="CH186" s="493">
        <f t="shared" si="14"/>
        <v>0</v>
      </c>
      <c r="CI186" s="493">
        <f t="shared" si="14"/>
        <v>0</v>
      </c>
      <c r="CJ186" s="493">
        <f t="shared" si="13"/>
        <v>0</v>
      </c>
      <c r="CK186" s="493">
        <f t="shared" si="13"/>
        <v>0</v>
      </c>
      <c r="CL186" s="493">
        <f t="shared" si="13"/>
        <v>0</v>
      </c>
      <c r="CM186" s="493">
        <f t="shared" si="12"/>
        <v>185000000</v>
      </c>
      <c r="CN186" s="493">
        <f t="shared" si="12"/>
        <v>0</v>
      </c>
      <c r="CO186" s="493">
        <f t="shared" si="12"/>
        <v>0</v>
      </c>
      <c r="CP186" s="494" t="s">
        <v>6308</v>
      </c>
      <c r="CQ186" s="494" t="s">
        <v>6309</v>
      </c>
    </row>
    <row r="187" spans="1:95" ht="30.45" hidden="1" customHeight="1" thickBot="1">
      <c r="A187" s="555" t="s">
        <v>4191</v>
      </c>
      <c r="B187" s="479">
        <v>185</v>
      </c>
      <c r="C187" s="480" t="s">
        <v>4255</v>
      </c>
      <c r="D187" s="480" t="s">
        <v>4351</v>
      </c>
      <c r="E187" s="480" t="str">
        <f t="shared" si="11"/>
        <v xml:space="preserve">2.2.2 </v>
      </c>
      <c r="F187" s="480" t="s">
        <v>4371</v>
      </c>
      <c r="G187" s="480" t="s">
        <v>4372</v>
      </c>
      <c r="H187" s="481">
        <v>17</v>
      </c>
      <c r="I187" s="480" t="s">
        <v>4380</v>
      </c>
      <c r="J187" s="495">
        <v>170600400</v>
      </c>
      <c r="K187" s="480" t="s">
        <v>4381</v>
      </c>
      <c r="L187" s="480" t="s">
        <v>4382</v>
      </c>
      <c r="M187" s="480" t="s">
        <v>5810</v>
      </c>
      <c r="N187" s="499">
        <v>8</v>
      </c>
      <c r="O187" s="480" t="s">
        <v>6493</v>
      </c>
      <c r="P187" s="515">
        <v>12</v>
      </c>
      <c r="Q187" s="485" t="s">
        <v>5349</v>
      </c>
      <c r="R187" s="485" t="s">
        <v>5417</v>
      </c>
      <c r="S187" s="485" t="s">
        <v>677</v>
      </c>
      <c r="T187" s="485" t="s">
        <v>5418</v>
      </c>
      <c r="U187" s="485" t="s">
        <v>5419</v>
      </c>
      <c r="V187" s="485" t="s">
        <v>5420</v>
      </c>
      <c r="W187" s="485" t="s">
        <v>5416</v>
      </c>
      <c r="X187" s="485">
        <v>2</v>
      </c>
      <c r="Y187" s="485" t="s">
        <v>708</v>
      </c>
      <c r="Z187" s="486">
        <v>0</v>
      </c>
      <c r="AA187" s="486">
        <v>0</v>
      </c>
      <c r="AB187" s="486">
        <v>0</v>
      </c>
      <c r="AC187" s="486">
        <v>0</v>
      </c>
      <c r="AD187" s="486">
        <v>0</v>
      </c>
      <c r="AE187" s="486">
        <v>0</v>
      </c>
      <c r="AF187" s="486">
        <v>0</v>
      </c>
      <c r="AG187" s="486">
        <v>0</v>
      </c>
      <c r="AH187" s="487">
        <v>0</v>
      </c>
      <c r="AI187" s="486">
        <v>15000000</v>
      </c>
      <c r="AJ187" s="486">
        <v>0</v>
      </c>
      <c r="AK187" s="486">
        <v>0</v>
      </c>
      <c r="AL187" s="488">
        <v>15000000</v>
      </c>
      <c r="AM187" s="489">
        <v>15000000</v>
      </c>
      <c r="AN187" s="486">
        <v>0</v>
      </c>
      <c r="AO187" s="486">
        <v>0</v>
      </c>
      <c r="AP187" s="486">
        <v>0</v>
      </c>
      <c r="AQ187" s="486">
        <v>0</v>
      </c>
      <c r="AR187" s="486">
        <v>0</v>
      </c>
      <c r="AS187" s="486">
        <v>0</v>
      </c>
      <c r="AT187" s="486">
        <v>0</v>
      </c>
      <c r="AU187" s="486">
        <v>0</v>
      </c>
      <c r="AV187" s="487">
        <v>0</v>
      </c>
      <c r="AW187" s="486">
        <v>0</v>
      </c>
      <c r="AX187" s="486">
        <v>25000000</v>
      </c>
      <c r="AY187" s="486">
        <v>0</v>
      </c>
      <c r="AZ187" s="488">
        <v>25000000</v>
      </c>
      <c r="BA187" s="490">
        <v>25000000</v>
      </c>
      <c r="BB187" s="486">
        <v>0</v>
      </c>
      <c r="BC187" s="486">
        <v>0</v>
      </c>
      <c r="BD187" s="486">
        <v>0</v>
      </c>
      <c r="BE187" s="486">
        <v>0</v>
      </c>
      <c r="BF187" s="486">
        <v>0</v>
      </c>
      <c r="BG187" s="486">
        <v>0</v>
      </c>
      <c r="BH187" s="486">
        <v>0</v>
      </c>
      <c r="BI187" s="486">
        <v>0</v>
      </c>
      <c r="BJ187" s="487">
        <v>0</v>
      </c>
      <c r="BK187" s="486">
        <v>0</v>
      </c>
      <c r="BL187" s="486">
        <v>35000000</v>
      </c>
      <c r="BM187" s="486">
        <v>0</v>
      </c>
      <c r="BN187" s="488">
        <v>35000000</v>
      </c>
      <c r="BO187" s="490">
        <v>35000000</v>
      </c>
      <c r="BP187" s="486">
        <v>0</v>
      </c>
      <c r="BQ187" s="486">
        <v>0</v>
      </c>
      <c r="BR187" s="486">
        <v>0</v>
      </c>
      <c r="BS187" s="486">
        <v>0</v>
      </c>
      <c r="BT187" s="486">
        <v>0</v>
      </c>
      <c r="BU187" s="486">
        <v>0</v>
      </c>
      <c r="BV187" s="486">
        <v>0</v>
      </c>
      <c r="BW187" s="486">
        <v>0</v>
      </c>
      <c r="BX187" s="487">
        <v>0</v>
      </c>
      <c r="BY187" s="486">
        <v>0</v>
      </c>
      <c r="BZ187" s="486">
        <v>40000000</v>
      </c>
      <c r="CA187" s="486">
        <v>0</v>
      </c>
      <c r="CB187" s="488">
        <v>40000000</v>
      </c>
      <c r="CC187" s="491">
        <v>40000000</v>
      </c>
      <c r="CD187" s="492">
        <v>115000000</v>
      </c>
      <c r="CE187" s="493">
        <f t="shared" si="14"/>
        <v>0</v>
      </c>
      <c r="CF187" s="493">
        <f t="shared" si="14"/>
        <v>0</v>
      </c>
      <c r="CG187" s="493">
        <f t="shared" si="14"/>
        <v>0</v>
      </c>
      <c r="CH187" s="493">
        <f t="shared" si="14"/>
        <v>0</v>
      </c>
      <c r="CI187" s="493">
        <f t="shared" si="14"/>
        <v>0</v>
      </c>
      <c r="CJ187" s="493">
        <f t="shared" si="13"/>
        <v>0</v>
      </c>
      <c r="CK187" s="493">
        <f t="shared" si="13"/>
        <v>0</v>
      </c>
      <c r="CL187" s="493">
        <f t="shared" si="13"/>
        <v>0</v>
      </c>
      <c r="CM187" s="493">
        <f t="shared" si="12"/>
        <v>15000000</v>
      </c>
      <c r="CN187" s="493">
        <f t="shared" si="12"/>
        <v>100000000</v>
      </c>
      <c r="CO187" s="493">
        <f t="shared" si="12"/>
        <v>0</v>
      </c>
      <c r="CP187" s="494" t="s">
        <v>6308</v>
      </c>
      <c r="CQ187" s="494" t="s">
        <v>6309</v>
      </c>
    </row>
    <row r="188" spans="1:95" ht="30.45" hidden="1" customHeight="1" thickBot="1">
      <c r="A188" s="555" t="s">
        <v>4191</v>
      </c>
      <c r="B188" s="479">
        <v>186</v>
      </c>
      <c r="C188" s="480" t="s">
        <v>4255</v>
      </c>
      <c r="D188" s="480" t="s">
        <v>4351</v>
      </c>
      <c r="E188" s="480" t="str">
        <f t="shared" si="11"/>
        <v xml:space="preserve">2.2.2 </v>
      </c>
      <c r="F188" s="480" t="s">
        <v>4371</v>
      </c>
      <c r="G188" s="480" t="s">
        <v>4372</v>
      </c>
      <c r="H188" s="481">
        <v>17</v>
      </c>
      <c r="I188" s="480" t="s">
        <v>4383</v>
      </c>
      <c r="J188" s="495">
        <v>170701800</v>
      </c>
      <c r="K188" s="480" t="s">
        <v>4384</v>
      </c>
      <c r="L188" s="480" t="s">
        <v>4385</v>
      </c>
      <c r="M188" s="480" t="s">
        <v>5811</v>
      </c>
      <c r="N188" s="499">
        <v>0</v>
      </c>
      <c r="O188" s="480" t="s">
        <v>4386</v>
      </c>
      <c r="P188" s="519">
        <v>1257</v>
      </c>
      <c r="Q188" s="485" t="s">
        <v>5349</v>
      </c>
      <c r="R188" s="485" t="s">
        <v>5417</v>
      </c>
      <c r="S188" s="485" t="s">
        <v>677</v>
      </c>
      <c r="T188" s="485" t="s">
        <v>5418</v>
      </c>
      <c r="U188" s="485" t="s">
        <v>5419</v>
      </c>
      <c r="V188" s="485" t="s">
        <v>5420</v>
      </c>
      <c r="W188" s="485" t="s">
        <v>5416</v>
      </c>
      <c r="X188" s="485">
        <v>2</v>
      </c>
      <c r="Y188" s="485" t="s">
        <v>708</v>
      </c>
      <c r="Z188" s="486">
        <v>78000000</v>
      </c>
      <c r="AA188" s="486">
        <v>0</v>
      </c>
      <c r="AB188" s="486">
        <v>0</v>
      </c>
      <c r="AC188" s="486">
        <v>0</v>
      </c>
      <c r="AD188" s="486">
        <v>0</v>
      </c>
      <c r="AE188" s="486">
        <v>0</v>
      </c>
      <c r="AF188" s="486">
        <v>0</v>
      </c>
      <c r="AG188" s="486">
        <v>0</v>
      </c>
      <c r="AH188" s="487">
        <v>78000000</v>
      </c>
      <c r="AI188" s="486">
        <v>0</v>
      </c>
      <c r="AJ188" s="486">
        <v>100000000</v>
      </c>
      <c r="AK188" s="486">
        <v>0</v>
      </c>
      <c r="AL188" s="488">
        <v>100000000</v>
      </c>
      <c r="AM188" s="489">
        <v>178000000</v>
      </c>
      <c r="AN188" s="486">
        <v>80000000</v>
      </c>
      <c r="AO188" s="486">
        <v>0</v>
      </c>
      <c r="AP188" s="486">
        <v>0</v>
      </c>
      <c r="AQ188" s="486">
        <v>0</v>
      </c>
      <c r="AR188" s="486">
        <v>0</v>
      </c>
      <c r="AS188" s="486">
        <v>0</v>
      </c>
      <c r="AT188" s="486">
        <v>0</v>
      </c>
      <c r="AU188" s="486">
        <v>0</v>
      </c>
      <c r="AV188" s="487">
        <v>80000000</v>
      </c>
      <c r="AW188" s="486">
        <v>0</v>
      </c>
      <c r="AX188" s="486">
        <v>120000000</v>
      </c>
      <c r="AY188" s="486">
        <v>0</v>
      </c>
      <c r="AZ188" s="488">
        <v>120000000</v>
      </c>
      <c r="BA188" s="490">
        <v>200000000</v>
      </c>
      <c r="BB188" s="486">
        <v>85000000</v>
      </c>
      <c r="BC188" s="486">
        <v>0</v>
      </c>
      <c r="BD188" s="486">
        <v>0</v>
      </c>
      <c r="BE188" s="486">
        <v>0</v>
      </c>
      <c r="BF188" s="486">
        <v>0</v>
      </c>
      <c r="BG188" s="486">
        <v>0</v>
      </c>
      <c r="BH188" s="486">
        <v>0</v>
      </c>
      <c r="BI188" s="486">
        <v>0</v>
      </c>
      <c r="BJ188" s="487">
        <v>85000000</v>
      </c>
      <c r="BK188" s="486">
        <v>0</v>
      </c>
      <c r="BL188" s="486">
        <v>140000000</v>
      </c>
      <c r="BM188" s="486">
        <v>0</v>
      </c>
      <c r="BN188" s="488">
        <v>140000000</v>
      </c>
      <c r="BO188" s="490">
        <v>225000000</v>
      </c>
      <c r="BP188" s="486">
        <v>0</v>
      </c>
      <c r="BQ188" s="486">
        <v>0</v>
      </c>
      <c r="BR188" s="486">
        <v>0</v>
      </c>
      <c r="BS188" s="486">
        <v>0</v>
      </c>
      <c r="BT188" s="486">
        <v>0</v>
      </c>
      <c r="BU188" s="486">
        <v>0</v>
      </c>
      <c r="BV188" s="486">
        <v>0</v>
      </c>
      <c r="BW188" s="486">
        <v>0</v>
      </c>
      <c r="BX188" s="487">
        <v>0</v>
      </c>
      <c r="BY188" s="486">
        <v>0</v>
      </c>
      <c r="BZ188" s="486">
        <v>0</v>
      </c>
      <c r="CA188" s="486">
        <v>0</v>
      </c>
      <c r="CB188" s="488">
        <v>0</v>
      </c>
      <c r="CC188" s="491">
        <v>0</v>
      </c>
      <c r="CD188" s="492">
        <v>603000000</v>
      </c>
      <c r="CE188" s="493">
        <f t="shared" si="14"/>
        <v>243000000</v>
      </c>
      <c r="CF188" s="493">
        <f t="shared" si="14"/>
        <v>0</v>
      </c>
      <c r="CG188" s="493">
        <f t="shared" si="14"/>
        <v>0</v>
      </c>
      <c r="CH188" s="493">
        <f t="shared" si="14"/>
        <v>0</v>
      </c>
      <c r="CI188" s="493">
        <f t="shared" si="14"/>
        <v>0</v>
      </c>
      <c r="CJ188" s="493">
        <f t="shared" si="13"/>
        <v>0</v>
      </c>
      <c r="CK188" s="493">
        <f t="shared" si="13"/>
        <v>0</v>
      </c>
      <c r="CL188" s="493">
        <f t="shared" si="13"/>
        <v>0</v>
      </c>
      <c r="CM188" s="493">
        <f t="shared" si="12"/>
        <v>0</v>
      </c>
      <c r="CN188" s="493">
        <f t="shared" si="12"/>
        <v>360000000</v>
      </c>
      <c r="CO188" s="493">
        <f t="shared" si="12"/>
        <v>0</v>
      </c>
      <c r="CP188" s="502" t="s">
        <v>6247</v>
      </c>
      <c r="CQ188" s="502" t="s">
        <v>6248</v>
      </c>
    </row>
    <row r="189" spans="1:95" ht="30.45" hidden="1" customHeight="1" thickBot="1">
      <c r="A189" s="555" t="s">
        <v>4191</v>
      </c>
      <c r="B189" s="479">
        <v>187</v>
      </c>
      <c r="C189" s="480" t="s">
        <v>4255</v>
      </c>
      <c r="D189" s="480" t="s">
        <v>4351</v>
      </c>
      <c r="E189" s="480" t="str">
        <f t="shared" si="11"/>
        <v xml:space="preserve">2.2.3 </v>
      </c>
      <c r="F189" s="480" t="s">
        <v>4387</v>
      </c>
      <c r="G189" s="480" t="s">
        <v>4388</v>
      </c>
      <c r="H189" s="481">
        <v>17</v>
      </c>
      <c r="I189" s="480" t="s">
        <v>4319</v>
      </c>
      <c r="J189" s="495">
        <v>170909700</v>
      </c>
      <c r="K189" s="480" t="s">
        <v>4389</v>
      </c>
      <c r="L189" s="480" t="s">
        <v>4390</v>
      </c>
      <c r="M189" s="480" t="s">
        <v>5812</v>
      </c>
      <c r="N189" s="499">
        <v>250</v>
      </c>
      <c r="O189" s="480" t="s">
        <v>6494</v>
      </c>
      <c r="P189" s="515">
        <v>550</v>
      </c>
      <c r="Q189" s="485" t="s">
        <v>5349</v>
      </c>
      <c r="R189" s="485" t="s">
        <v>5421</v>
      </c>
      <c r="S189" s="485" t="s">
        <v>677</v>
      </c>
      <c r="T189" s="485">
        <v>0.11</v>
      </c>
      <c r="U189" s="485" t="s">
        <v>4393</v>
      </c>
      <c r="V189" s="485">
        <v>0.12</v>
      </c>
      <c r="W189" s="485" t="s">
        <v>5416</v>
      </c>
      <c r="X189" s="485" t="s">
        <v>5422</v>
      </c>
      <c r="Y189" s="485" t="s">
        <v>5423</v>
      </c>
      <c r="Z189" s="486">
        <v>139277500</v>
      </c>
      <c r="AA189" s="486">
        <v>0</v>
      </c>
      <c r="AB189" s="486">
        <v>0</v>
      </c>
      <c r="AC189" s="486">
        <v>0</v>
      </c>
      <c r="AD189" s="486">
        <v>0</v>
      </c>
      <c r="AE189" s="486">
        <v>0</v>
      </c>
      <c r="AF189" s="486">
        <v>0</v>
      </c>
      <c r="AG189" s="486">
        <v>0</v>
      </c>
      <c r="AH189" s="487">
        <v>139277500</v>
      </c>
      <c r="AI189" s="486">
        <v>0</v>
      </c>
      <c r="AJ189" s="486">
        <v>0</v>
      </c>
      <c r="AK189" s="486">
        <v>156000000</v>
      </c>
      <c r="AL189" s="488">
        <v>156000000</v>
      </c>
      <c r="AM189" s="489">
        <v>295277500</v>
      </c>
      <c r="AN189" s="486">
        <v>0</v>
      </c>
      <c r="AO189" s="486">
        <v>0</v>
      </c>
      <c r="AP189" s="486">
        <v>0</v>
      </c>
      <c r="AQ189" s="486">
        <v>0</v>
      </c>
      <c r="AR189" s="486">
        <v>0</v>
      </c>
      <c r="AS189" s="486">
        <v>0</v>
      </c>
      <c r="AT189" s="486">
        <v>0</v>
      </c>
      <c r="AU189" s="486">
        <v>0</v>
      </c>
      <c r="AV189" s="487">
        <v>0</v>
      </c>
      <c r="AW189" s="486">
        <v>0</v>
      </c>
      <c r="AX189" s="486">
        <v>0</v>
      </c>
      <c r="AY189" s="486">
        <v>0</v>
      </c>
      <c r="AZ189" s="488">
        <v>0</v>
      </c>
      <c r="BA189" s="490">
        <v>0</v>
      </c>
      <c r="BB189" s="486">
        <v>0</v>
      </c>
      <c r="BC189" s="486">
        <v>0</v>
      </c>
      <c r="BD189" s="486">
        <v>0</v>
      </c>
      <c r="BE189" s="486">
        <v>0</v>
      </c>
      <c r="BF189" s="486">
        <v>0</v>
      </c>
      <c r="BG189" s="486">
        <v>0</v>
      </c>
      <c r="BH189" s="486">
        <v>0</v>
      </c>
      <c r="BI189" s="486">
        <v>0</v>
      </c>
      <c r="BJ189" s="487">
        <v>0</v>
      </c>
      <c r="BK189" s="486">
        <v>0</v>
      </c>
      <c r="BL189" s="486">
        <v>0</v>
      </c>
      <c r="BM189" s="486">
        <v>0</v>
      </c>
      <c r="BN189" s="488">
        <v>0</v>
      </c>
      <c r="BO189" s="490">
        <v>0</v>
      </c>
      <c r="BP189" s="486">
        <v>0</v>
      </c>
      <c r="BQ189" s="486">
        <v>0</v>
      </c>
      <c r="BR189" s="486">
        <v>0</v>
      </c>
      <c r="BS189" s="486">
        <v>0</v>
      </c>
      <c r="BT189" s="486">
        <v>0</v>
      </c>
      <c r="BU189" s="486">
        <v>0</v>
      </c>
      <c r="BV189" s="486">
        <v>0</v>
      </c>
      <c r="BW189" s="486">
        <v>0</v>
      </c>
      <c r="BX189" s="487">
        <v>0</v>
      </c>
      <c r="BY189" s="486">
        <v>0</v>
      </c>
      <c r="BZ189" s="486">
        <v>0</v>
      </c>
      <c r="CA189" s="486">
        <v>0</v>
      </c>
      <c r="CB189" s="488">
        <v>0</v>
      </c>
      <c r="CC189" s="491">
        <v>0</v>
      </c>
      <c r="CD189" s="492">
        <v>295277500</v>
      </c>
      <c r="CE189" s="493">
        <f t="shared" si="14"/>
        <v>139277500</v>
      </c>
      <c r="CF189" s="493">
        <f t="shared" si="14"/>
        <v>0</v>
      </c>
      <c r="CG189" s="493">
        <f t="shared" si="14"/>
        <v>0</v>
      </c>
      <c r="CH189" s="493">
        <f t="shared" si="14"/>
        <v>0</v>
      </c>
      <c r="CI189" s="493">
        <f t="shared" si="14"/>
        <v>0</v>
      </c>
      <c r="CJ189" s="493">
        <f t="shared" si="13"/>
        <v>0</v>
      </c>
      <c r="CK189" s="493">
        <f t="shared" si="13"/>
        <v>0</v>
      </c>
      <c r="CL189" s="493">
        <f t="shared" si="13"/>
        <v>0</v>
      </c>
      <c r="CM189" s="493">
        <f t="shared" si="12"/>
        <v>0</v>
      </c>
      <c r="CN189" s="493">
        <f t="shared" si="12"/>
        <v>0</v>
      </c>
      <c r="CO189" s="493">
        <f t="shared" si="12"/>
        <v>156000000</v>
      </c>
      <c r="CP189" s="494" t="s">
        <v>6310</v>
      </c>
      <c r="CQ189" s="494" t="s">
        <v>6311</v>
      </c>
    </row>
    <row r="190" spans="1:95" ht="30.45" hidden="1" customHeight="1" thickBot="1">
      <c r="A190" s="555" t="s">
        <v>4191</v>
      </c>
      <c r="B190" s="479">
        <v>188</v>
      </c>
      <c r="C190" s="480" t="s">
        <v>4255</v>
      </c>
      <c r="D190" s="480" t="s">
        <v>4351</v>
      </c>
      <c r="E190" s="480" t="str">
        <f t="shared" si="11"/>
        <v xml:space="preserve">2.2.3 </v>
      </c>
      <c r="F190" s="480" t="s">
        <v>4387</v>
      </c>
      <c r="G190" s="480" t="s">
        <v>4388</v>
      </c>
      <c r="H190" s="481">
        <v>17</v>
      </c>
      <c r="I190" s="480" t="s">
        <v>4319</v>
      </c>
      <c r="J190" s="495">
        <v>170909900</v>
      </c>
      <c r="K190" s="480" t="s">
        <v>4391</v>
      </c>
      <c r="L190" s="480" t="s">
        <v>4392</v>
      </c>
      <c r="M190" s="480" t="s">
        <v>5813</v>
      </c>
      <c r="N190" s="520">
        <v>29097.52</v>
      </c>
      <c r="O190" s="480" t="s">
        <v>4393</v>
      </c>
      <c r="P190" s="521">
        <v>29352.52</v>
      </c>
      <c r="Q190" s="485" t="s">
        <v>5349</v>
      </c>
      <c r="R190" s="485" t="s">
        <v>5421</v>
      </c>
      <c r="S190" s="485" t="s">
        <v>677</v>
      </c>
      <c r="T190" s="485">
        <v>0.11</v>
      </c>
      <c r="U190" s="485" t="s">
        <v>4393</v>
      </c>
      <c r="V190" s="485">
        <v>0.12</v>
      </c>
      <c r="W190" s="485" t="s">
        <v>5416</v>
      </c>
      <c r="X190" s="485" t="s">
        <v>5422</v>
      </c>
      <c r="Y190" s="485" t="s">
        <v>5423</v>
      </c>
      <c r="Z190" s="486">
        <v>0</v>
      </c>
      <c r="AA190" s="486">
        <v>0</v>
      </c>
      <c r="AB190" s="486">
        <v>0</v>
      </c>
      <c r="AC190" s="486">
        <v>0</v>
      </c>
      <c r="AD190" s="486">
        <v>0</v>
      </c>
      <c r="AE190" s="486">
        <v>0</v>
      </c>
      <c r="AF190" s="486">
        <v>0</v>
      </c>
      <c r="AG190" s="486">
        <v>0</v>
      </c>
      <c r="AH190" s="487">
        <v>0</v>
      </c>
      <c r="AI190" s="486">
        <v>0</v>
      </c>
      <c r="AJ190" s="486">
        <v>7500000000</v>
      </c>
      <c r="AK190" s="486">
        <v>0</v>
      </c>
      <c r="AL190" s="488">
        <v>7500000000</v>
      </c>
      <c r="AM190" s="489">
        <v>7500000000</v>
      </c>
      <c r="AN190" s="486">
        <v>0</v>
      </c>
      <c r="AO190" s="486">
        <v>0</v>
      </c>
      <c r="AP190" s="486">
        <v>0</v>
      </c>
      <c r="AQ190" s="486">
        <v>0</v>
      </c>
      <c r="AR190" s="486">
        <v>0</v>
      </c>
      <c r="AS190" s="486">
        <v>0</v>
      </c>
      <c r="AT190" s="486">
        <v>0</v>
      </c>
      <c r="AU190" s="486">
        <v>0</v>
      </c>
      <c r="AV190" s="487">
        <v>0</v>
      </c>
      <c r="AW190" s="486">
        <v>0</v>
      </c>
      <c r="AX190" s="486">
        <v>0</v>
      </c>
      <c r="AY190" s="486">
        <v>0</v>
      </c>
      <c r="AZ190" s="488">
        <v>0</v>
      </c>
      <c r="BA190" s="490">
        <v>0</v>
      </c>
      <c r="BB190" s="486">
        <v>0</v>
      </c>
      <c r="BC190" s="486">
        <v>0</v>
      </c>
      <c r="BD190" s="486">
        <v>0</v>
      </c>
      <c r="BE190" s="486">
        <v>0</v>
      </c>
      <c r="BF190" s="486">
        <v>0</v>
      </c>
      <c r="BG190" s="486">
        <v>0</v>
      </c>
      <c r="BH190" s="486">
        <v>0</v>
      </c>
      <c r="BI190" s="486">
        <v>0</v>
      </c>
      <c r="BJ190" s="487">
        <v>0</v>
      </c>
      <c r="BK190" s="486">
        <v>0</v>
      </c>
      <c r="BL190" s="486">
        <v>0</v>
      </c>
      <c r="BM190" s="486">
        <v>0</v>
      </c>
      <c r="BN190" s="488">
        <v>0</v>
      </c>
      <c r="BO190" s="490">
        <v>0</v>
      </c>
      <c r="BP190" s="486">
        <v>0</v>
      </c>
      <c r="BQ190" s="486">
        <v>0</v>
      </c>
      <c r="BR190" s="486">
        <v>0</v>
      </c>
      <c r="BS190" s="486">
        <v>0</v>
      </c>
      <c r="BT190" s="486">
        <v>0</v>
      </c>
      <c r="BU190" s="486">
        <v>0</v>
      </c>
      <c r="BV190" s="486">
        <v>0</v>
      </c>
      <c r="BW190" s="486">
        <v>0</v>
      </c>
      <c r="BX190" s="487">
        <v>0</v>
      </c>
      <c r="BY190" s="486">
        <v>0</v>
      </c>
      <c r="BZ190" s="486">
        <v>0</v>
      </c>
      <c r="CA190" s="486">
        <v>0</v>
      </c>
      <c r="CB190" s="488">
        <v>0</v>
      </c>
      <c r="CC190" s="491">
        <v>0</v>
      </c>
      <c r="CD190" s="492">
        <v>7500000000</v>
      </c>
      <c r="CE190" s="493">
        <f t="shared" si="14"/>
        <v>0</v>
      </c>
      <c r="CF190" s="493">
        <f t="shared" si="14"/>
        <v>0</v>
      </c>
      <c r="CG190" s="493">
        <f t="shared" si="14"/>
        <v>0</v>
      </c>
      <c r="CH190" s="493">
        <f t="shared" si="14"/>
        <v>0</v>
      </c>
      <c r="CI190" s="493">
        <f t="shared" si="14"/>
        <v>0</v>
      </c>
      <c r="CJ190" s="493">
        <f t="shared" si="13"/>
        <v>0</v>
      </c>
      <c r="CK190" s="493">
        <f t="shared" si="13"/>
        <v>0</v>
      </c>
      <c r="CL190" s="493">
        <f t="shared" si="13"/>
        <v>0</v>
      </c>
      <c r="CM190" s="493">
        <f t="shared" si="12"/>
        <v>0</v>
      </c>
      <c r="CN190" s="493">
        <f t="shared" si="12"/>
        <v>7500000000</v>
      </c>
      <c r="CO190" s="493">
        <f t="shared" si="12"/>
        <v>0</v>
      </c>
      <c r="CP190" s="494" t="s">
        <v>6312</v>
      </c>
      <c r="CQ190" s="494" t="s">
        <v>6313</v>
      </c>
    </row>
    <row r="191" spans="1:95" ht="30.45" hidden="1" customHeight="1" thickBot="1">
      <c r="A191" s="555" t="s">
        <v>4191</v>
      </c>
      <c r="B191" s="479">
        <v>189</v>
      </c>
      <c r="C191" s="480" t="s">
        <v>4255</v>
      </c>
      <c r="D191" s="480" t="s">
        <v>4351</v>
      </c>
      <c r="E191" s="480" t="str">
        <f t="shared" si="11"/>
        <v xml:space="preserve">2.2.3 </v>
      </c>
      <c r="F191" s="480" t="s">
        <v>4387</v>
      </c>
      <c r="G191" s="480" t="s">
        <v>4388</v>
      </c>
      <c r="H191" s="481">
        <v>17</v>
      </c>
      <c r="I191" s="480" t="s">
        <v>4319</v>
      </c>
      <c r="J191" s="495">
        <v>170910000</v>
      </c>
      <c r="K191" s="480" t="s">
        <v>4391</v>
      </c>
      <c r="L191" s="480" t="s">
        <v>4394</v>
      </c>
      <c r="M191" s="480" t="s">
        <v>5814</v>
      </c>
      <c r="N191" s="520">
        <v>12475.58</v>
      </c>
      <c r="O191" s="480" t="s">
        <v>6494</v>
      </c>
      <c r="P191" s="521">
        <v>13275.58</v>
      </c>
      <c r="Q191" s="485" t="s">
        <v>5349</v>
      </c>
      <c r="R191" s="485" t="s">
        <v>5421</v>
      </c>
      <c r="S191" s="485" t="s">
        <v>677</v>
      </c>
      <c r="T191" s="485">
        <v>0.11</v>
      </c>
      <c r="U191" s="485" t="s">
        <v>4393</v>
      </c>
      <c r="V191" s="485">
        <v>0.12</v>
      </c>
      <c r="W191" s="485" t="s">
        <v>5416</v>
      </c>
      <c r="X191" s="485" t="s">
        <v>5422</v>
      </c>
      <c r="Y191" s="485" t="s">
        <v>5423</v>
      </c>
      <c r="Z191" s="486">
        <v>0</v>
      </c>
      <c r="AA191" s="486">
        <v>0</v>
      </c>
      <c r="AB191" s="486">
        <v>0</v>
      </c>
      <c r="AC191" s="486">
        <v>0</v>
      </c>
      <c r="AD191" s="486">
        <v>0</v>
      </c>
      <c r="AE191" s="486">
        <v>0</v>
      </c>
      <c r="AF191" s="486">
        <v>0</v>
      </c>
      <c r="AG191" s="486">
        <v>0</v>
      </c>
      <c r="AH191" s="487">
        <v>0</v>
      </c>
      <c r="AI191" s="486">
        <v>0</v>
      </c>
      <c r="AJ191" s="486">
        <v>0</v>
      </c>
      <c r="AK191" s="486">
        <v>0</v>
      </c>
      <c r="AL191" s="488">
        <v>0</v>
      </c>
      <c r="AM191" s="489">
        <v>0</v>
      </c>
      <c r="AN191" s="486">
        <v>0</v>
      </c>
      <c r="AO191" s="486">
        <v>0</v>
      </c>
      <c r="AP191" s="486">
        <v>0</v>
      </c>
      <c r="AQ191" s="486">
        <v>0</v>
      </c>
      <c r="AR191" s="486">
        <v>0</v>
      </c>
      <c r="AS191" s="486">
        <v>0</v>
      </c>
      <c r="AT191" s="486">
        <v>0</v>
      </c>
      <c r="AU191" s="486">
        <v>0</v>
      </c>
      <c r="AV191" s="487">
        <v>0</v>
      </c>
      <c r="AW191" s="486">
        <v>0</v>
      </c>
      <c r="AX191" s="486">
        <v>6500000000</v>
      </c>
      <c r="AY191" s="486">
        <v>0</v>
      </c>
      <c r="AZ191" s="488">
        <v>6500000000</v>
      </c>
      <c r="BA191" s="490">
        <v>6500000000</v>
      </c>
      <c r="BB191" s="486">
        <v>0</v>
      </c>
      <c r="BC191" s="486">
        <v>0</v>
      </c>
      <c r="BD191" s="486">
        <v>0</v>
      </c>
      <c r="BE191" s="486">
        <v>0</v>
      </c>
      <c r="BF191" s="486">
        <v>0</v>
      </c>
      <c r="BG191" s="486">
        <v>0</v>
      </c>
      <c r="BH191" s="486">
        <v>0</v>
      </c>
      <c r="BI191" s="486">
        <v>0</v>
      </c>
      <c r="BJ191" s="487">
        <v>0</v>
      </c>
      <c r="BK191" s="486">
        <v>0</v>
      </c>
      <c r="BL191" s="486">
        <v>0</v>
      </c>
      <c r="BM191" s="486">
        <v>0</v>
      </c>
      <c r="BN191" s="488">
        <v>0</v>
      </c>
      <c r="BO191" s="490">
        <v>0</v>
      </c>
      <c r="BP191" s="486">
        <v>0</v>
      </c>
      <c r="BQ191" s="486">
        <v>0</v>
      </c>
      <c r="BR191" s="486">
        <v>0</v>
      </c>
      <c r="BS191" s="486">
        <v>0</v>
      </c>
      <c r="BT191" s="486">
        <v>0</v>
      </c>
      <c r="BU191" s="486">
        <v>0</v>
      </c>
      <c r="BV191" s="486">
        <v>0</v>
      </c>
      <c r="BW191" s="486">
        <v>0</v>
      </c>
      <c r="BX191" s="487">
        <v>0</v>
      </c>
      <c r="BY191" s="486">
        <v>0</v>
      </c>
      <c r="BZ191" s="486">
        <v>0</v>
      </c>
      <c r="CA191" s="486">
        <v>0</v>
      </c>
      <c r="CB191" s="488">
        <v>0</v>
      </c>
      <c r="CC191" s="491">
        <v>0</v>
      </c>
      <c r="CD191" s="492">
        <v>6500000000</v>
      </c>
      <c r="CE191" s="493">
        <f t="shared" si="14"/>
        <v>0</v>
      </c>
      <c r="CF191" s="493">
        <f t="shared" si="14"/>
        <v>0</v>
      </c>
      <c r="CG191" s="493">
        <f t="shared" si="14"/>
        <v>0</v>
      </c>
      <c r="CH191" s="493">
        <f t="shared" si="14"/>
        <v>0</v>
      </c>
      <c r="CI191" s="493">
        <f t="shared" si="14"/>
        <v>0</v>
      </c>
      <c r="CJ191" s="493">
        <f t="shared" si="13"/>
        <v>0</v>
      </c>
      <c r="CK191" s="493">
        <f t="shared" si="13"/>
        <v>0</v>
      </c>
      <c r="CL191" s="493">
        <f t="shared" si="13"/>
        <v>0</v>
      </c>
      <c r="CM191" s="493">
        <f t="shared" si="12"/>
        <v>0</v>
      </c>
      <c r="CN191" s="493">
        <f t="shared" si="12"/>
        <v>6500000000</v>
      </c>
      <c r="CO191" s="493">
        <f t="shared" si="12"/>
        <v>0</v>
      </c>
      <c r="CP191" s="494" t="s">
        <v>6312</v>
      </c>
      <c r="CQ191" s="494" t="s">
        <v>6314</v>
      </c>
    </row>
    <row r="192" spans="1:95" ht="30.45" hidden="1" customHeight="1" thickBot="1">
      <c r="A192" s="555" t="s">
        <v>4191</v>
      </c>
      <c r="B192" s="479">
        <v>190</v>
      </c>
      <c r="C192" s="480" t="s">
        <v>4255</v>
      </c>
      <c r="D192" s="480" t="s">
        <v>4351</v>
      </c>
      <c r="E192" s="480" t="str">
        <f t="shared" si="11"/>
        <v xml:space="preserve">2.2.3 </v>
      </c>
      <c r="F192" s="480" t="s">
        <v>4387</v>
      </c>
      <c r="G192" s="480" t="s">
        <v>4388</v>
      </c>
      <c r="H192" s="481">
        <v>17</v>
      </c>
      <c r="I192" s="480" t="s">
        <v>4395</v>
      </c>
      <c r="J192" s="495">
        <v>170400100</v>
      </c>
      <c r="K192" s="480" t="s">
        <v>4396</v>
      </c>
      <c r="L192" s="480" t="s">
        <v>4397</v>
      </c>
      <c r="M192" s="480" t="s">
        <v>5815</v>
      </c>
      <c r="N192" s="499">
        <v>1</v>
      </c>
      <c r="O192" s="480" t="s">
        <v>6495</v>
      </c>
      <c r="P192" s="515">
        <v>3</v>
      </c>
      <c r="Q192" s="485" t="s">
        <v>5349</v>
      </c>
      <c r="R192" s="485" t="s">
        <v>5421</v>
      </c>
      <c r="S192" s="485" t="s">
        <v>677</v>
      </c>
      <c r="T192" s="485">
        <v>0.11</v>
      </c>
      <c r="U192" s="485" t="s">
        <v>4393</v>
      </c>
      <c r="V192" s="485">
        <v>0.12</v>
      </c>
      <c r="W192" s="485" t="s">
        <v>5416</v>
      </c>
      <c r="X192" s="485" t="s">
        <v>5422</v>
      </c>
      <c r="Y192" s="485" t="s">
        <v>5423</v>
      </c>
      <c r="Z192" s="486">
        <v>25000000</v>
      </c>
      <c r="AA192" s="486">
        <v>0</v>
      </c>
      <c r="AB192" s="486">
        <v>0</v>
      </c>
      <c r="AC192" s="486">
        <v>0</v>
      </c>
      <c r="AD192" s="486">
        <v>0</v>
      </c>
      <c r="AE192" s="486">
        <v>0</v>
      </c>
      <c r="AF192" s="486">
        <v>0</v>
      </c>
      <c r="AG192" s="486">
        <v>0</v>
      </c>
      <c r="AH192" s="487">
        <v>25000000</v>
      </c>
      <c r="AI192" s="486">
        <v>0</v>
      </c>
      <c r="AJ192" s="486">
        <v>0</v>
      </c>
      <c r="AK192" s="486">
        <v>0</v>
      </c>
      <c r="AL192" s="488">
        <v>0</v>
      </c>
      <c r="AM192" s="489">
        <v>25000000</v>
      </c>
      <c r="AN192" s="486">
        <v>25000000</v>
      </c>
      <c r="AO192" s="486">
        <v>0</v>
      </c>
      <c r="AP192" s="486">
        <v>0</v>
      </c>
      <c r="AQ192" s="486">
        <v>0</v>
      </c>
      <c r="AR192" s="486">
        <v>0</v>
      </c>
      <c r="AS192" s="486">
        <v>0</v>
      </c>
      <c r="AT192" s="486">
        <v>0</v>
      </c>
      <c r="AU192" s="486">
        <v>0</v>
      </c>
      <c r="AV192" s="487">
        <v>25000000</v>
      </c>
      <c r="AW192" s="486">
        <v>0</v>
      </c>
      <c r="AX192" s="486">
        <v>0</v>
      </c>
      <c r="AY192" s="486">
        <v>0</v>
      </c>
      <c r="AZ192" s="488">
        <v>0</v>
      </c>
      <c r="BA192" s="490">
        <v>25000000</v>
      </c>
      <c r="BB192" s="486">
        <v>30000000</v>
      </c>
      <c r="BC192" s="486">
        <v>0</v>
      </c>
      <c r="BD192" s="486">
        <v>0</v>
      </c>
      <c r="BE192" s="486">
        <v>0</v>
      </c>
      <c r="BF192" s="486">
        <v>0</v>
      </c>
      <c r="BG192" s="486">
        <v>0</v>
      </c>
      <c r="BH192" s="486">
        <v>0</v>
      </c>
      <c r="BI192" s="486">
        <v>0</v>
      </c>
      <c r="BJ192" s="487">
        <v>30000000</v>
      </c>
      <c r="BK192" s="486">
        <v>0</v>
      </c>
      <c r="BL192" s="486">
        <v>0</v>
      </c>
      <c r="BM192" s="486">
        <v>0</v>
      </c>
      <c r="BN192" s="488">
        <v>0</v>
      </c>
      <c r="BO192" s="490">
        <v>30000000</v>
      </c>
      <c r="BP192" s="486">
        <v>25000000</v>
      </c>
      <c r="BQ192" s="486">
        <v>0</v>
      </c>
      <c r="BR192" s="486">
        <v>0</v>
      </c>
      <c r="BS192" s="486">
        <v>0</v>
      </c>
      <c r="BT192" s="486">
        <v>0</v>
      </c>
      <c r="BU192" s="486">
        <v>0</v>
      </c>
      <c r="BV192" s="486">
        <v>0</v>
      </c>
      <c r="BW192" s="486">
        <v>0</v>
      </c>
      <c r="BX192" s="487">
        <v>25000000</v>
      </c>
      <c r="BY192" s="486">
        <v>0</v>
      </c>
      <c r="BZ192" s="486">
        <v>0</v>
      </c>
      <c r="CA192" s="486">
        <v>0</v>
      </c>
      <c r="CB192" s="488">
        <v>0</v>
      </c>
      <c r="CC192" s="491">
        <v>25000000</v>
      </c>
      <c r="CD192" s="492">
        <v>105000000</v>
      </c>
      <c r="CE192" s="493">
        <f t="shared" si="14"/>
        <v>105000000</v>
      </c>
      <c r="CF192" s="493">
        <f t="shared" si="14"/>
        <v>0</v>
      </c>
      <c r="CG192" s="493">
        <f t="shared" si="14"/>
        <v>0</v>
      </c>
      <c r="CH192" s="493">
        <f t="shared" si="14"/>
        <v>0</v>
      </c>
      <c r="CI192" s="493">
        <f t="shared" si="14"/>
        <v>0</v>
      </c>
      <c r="CJ192" s="493">
        <f t="shared" si="13"/>
        <v>0</v>
      </c>
      <c r="CK192" s="493">
        <f t="shared" si="13"/>
        <v>0</v>
      </c>
      <c r="CL192" s="493">
        <f t="shared" si="13"/>
        <v>0</v>
      </c>
      <c r="CM192" s="493">
        <f t="shared" si="12"/>
        <v>0</v>
      </c>
      <c r="CN192" s="493">
        <f t="shared" si="12"/>
        <v>0</v>
      </c>
      <c r="CO192" s="493">
        <f t="shared" si="12"/>
        <v>0</v>
      </c>
      <c r="CP192" s="494" t="s">
        <v>6315</v>
      </c>
      <c r="CQ192" s="494" t="s">
        <v>6316</v>
      </c>
    </row>
    <row r="193" spans="1:95" ht="30.45" hidden="1" customHeight="1" thickBot="1">
      <c r="A193" s="555" t="s">
        <v>4191</v>
      </c>
      <c r="B193" s="479">
        <v>191</v>
      </c>
      <c r="C193" s="480" t="s">
        <v>4255</v>
      </c>
      <c r="D193" s="480" t="s">
        <v>4351</v>
      </c>
      <c r="E193" s="480" t="str">
        <f t="shared" si="11"/>
        <v xml:space="preserve">2.2.3 </v>
      </c>
      <c r="F193" s="480" t="s">
        <v>4387</v>
      </c>
      <c r="G193" s="480" t="s">
        <v>4388</v>
      </c>
      <c r="H193" s="481">
        <v>17</v>
      </c>
      <c r="I193" s="480" t="s">
        <v>4395</v>
      </c>
      <c r="J193" s="495">
        <v>170400300</v>
      </c>
      <c r="K193" s="480" t="s">
        <v>4063</v>
      </c>
      <c r="L193" s="480" t="s">
        <v>4190</v>
      </c>
      <c r="M193" s="480" t="s">
        <v>5815</v>
      </c>
      <c r="N193" s="499">
        <v>1</v>
      </c>
      <c r="O193" s="480" t="s">
        <v>6495</v>
      </c>
      <c r="P193" s="515">
        <v>2</v>
      </c>
      <c r="Q193" s="485" t="s">
        <v>5349</v>
      </c>
      <c r="R193" s="485" t="s">
        <v>5421</v>
      </c>
      <c r="S193" s="485" t="s">
        <v>677</v>
      </c>
      <c r="T193" s="485">
        <v>0.11</v>
      </c>
      <c r="U193" s="485" t="s">
        <v>4393</v>
      </c>
      <c r="V193" s="485">
        <v>0.12</v>
      </c>
      <c r="W193" s="485" t="s">
        <v>5416</v>
      </c>
      <c r="X193" s="485" t="s">
        <v>5422</v>
      </c>
      <c r="Y193" s="485" t="s">
        <v>5423</v>
      </c>
      <c r="Z193" s="486">
        <v>25000000</v>
      </c>
      <c r="AA193" s="486">
        <v>0</v>
      </c>
      <c r="AB193" s="486">
        <v>0</v>
      </c>
      <c r="AC193" s="486">
        <v>0</v>
      </c>
      <c r="AD193" s="486">
        <v>0</v>
      </c>
      <c r="AE193" s="486">
        <v>0</v>
      </c>
      <c r="AF193" s="486">
        <v>0</v>
      </c>
      <c r="AG193" s="486">
        <v>0</v>
      </c>
      <c r="AH193" s="487">
        <v>25000000</v>
      </c>
      <c r="AI193" s="486">
        <v>0</v>
      </c>
      <c r="AJ193" s="486">
        <v>0</v>
      </c>
      <c r="AK193" s="486">
        <v>0</v>
      </c>
      <c r="AL193" s="488">
        <v>0</v>
      </c>
      <c r="AM193" s="489">
        <v>25000000</v>
      </c>
      <c r="AN193" s="486">
        <v>25000000</v>
      </c>
      <c r="AO193" s="486">
        <v>0</v>
      </c>
      <c r="AP193" s="486">
        <v>0</v>
      </c>
      <c r="AQ193" s="486">
        <v>0</v>
      </c>
      <c r="AR193" s="486">
        <v>0</v>
      </c>
      <c r="AS193" s="486">
        <v>0</v>
      </c>
      <c r="AT193" s="486">
        <v>0</v>
      </c>
      <c r="AU193" s="486">
        <v>0</v>
      </c>
      <c r="AV193" s="487">
        <v>25000000</v>
      </c>
      <c r="AW193" s="486">
        <v>0</v>
      </c>
      <c r="AX193" s="486">
        <v>0</v>
      </c>
      <c r="AY193" s="486">
        <v>0</v>
      </c>
      <c r="AZ193" s="488">
        <v>0</v>
      </c>
      <c r="BA193" s="490">
        <v>25000000</v>
      </c>
      <c r="BB193" s="486">
        <v>30000000</v>
      </c>
      <c r="BC193" s="486">
        <v>0</v>
      </c>
      <c r="BD193" s="486">
        <v>0</v>
      </c>
      <c r="BE193" s="486">
        <v>0</v>
      </c>
      <c r="BF193" s="486">
        <v>0</v>
      </c>
      <c r="BG193" s="486">
        <v>0</v>
      </c>
      <c r="BH193" s="486">
        <v>0</v>
      </c>
      <c r="BI193" s="486">
        <v>0</v>
      </c>
      <c r="BJ193" s="487">
        <v>30000000</v>
      </c>
      <c r="BK193" s="486">
        <v>0</v>
      </c>
      <c r="BL193" s="486">
        <v>0</v>
      </c>
      <c r="BM193" s="486">
        <v>0</v>
      </c>
      <c r="BN193" s="488">
        <v>0</v>
      </c>
      <c r="BO193" s="490">
        <v>30000000</v>
      </c>
      <c r="BP193" s="486">
        <v>25000000</v>
      </c>
      <c r="BQ193" s="486">
        <v>0</v>
      </c>
      <c r="BR193" s="486">
        <v>0</v>
      </c>
      <c r="BS193" s="486">
        <v>0</v>
      </c>
      <c r="BT193" s="486">
        <v>0</v>
      </c>
      <c r="BU193" s="486">
        <v>0</v>
      </c>
      <c r="BV193" s="486">
        <v>0</v>
      </c>
      <c r="BW193" s="486">
        <v>0</v>
      </c>
      <c r="BX193" s="487">
        <v>25000000</v>
      </c>
      <c r="BY193" s="486">
        <v>0</v>
      </c>
      <c r="BZ193" s="486">
        <v>0</v>
      </c>
      <c r="CA193" s="486">
        <v>0</v>
      </c>
      <c r="CB193" s="488">
        <v>0</v>
      </c>
      <c r="CC193" s="491">
        <v>25000000</v>
      </c>
      <c r="CD193" s="492">
        <v>105000000</v>
      </c>
      <c r="CE193" s="493">
        <f t="shared" si="14"/>
        <v>105000000</v>
      </c>
      <c r="CF193" s="493">
        <f t="shared" si="14"/>
        <v>0</v>
      </c>
      <c r="CG193" s="493">
        <f t="shared" si="14"/>
        <v>0</v>
      </c>
      <c r="CH193" s="493">
        <f t="shared" si="14"/>
        <v>0</v>
      </c>
      <c r="CI193" s="493">
        <f t="shared" si="14"/>
        <v>0</v>
      </c>
      <c r="CJ193" s="493">
        <f t="shared" si="13"/>
        <v>0</v>
      </c>
      <c r="CK193" s="493">
        <f t="shared" si="13"/>
        <v>0</v>
      </c>
      <c r="CL193" s="493">
        <f t="shared" si="13"/>
        <v>0</v>
      </c>
      <c r="CM193" s="493">
        <f t="shared" si="12"/>
        <v>0</v>
      </c>
      <c r="CN193" s="493">
        <f t="shared" si="12"/>
        <v>0</v>
      </c>
      <c r="CO193" s="493">
        <f t="shared" si="12"/>
        <v>0</v>
      </c>
      <c r="CP193" s="494" t="s">
        <v>6315</v>
      </c>
      <c r="CQ193" s="494" t="s">
        <v>6316</v>
      </c>
    </row>
    <row r="194" spans="1:95" ht="30.45" hidden="1" customHeight="1" thickBot="1">
      <c r="A194" s="555" t="s">
        <v>4191</v>
      </c>
      <c r="B194" s="479">
        <v>192</v>
      </c>
      <c r="C194" s="480" t="s">
        <v>4255</v>
      </c>
      <c r="D194" s="480" t="s">
        <v>4351</v>
      </c>
      <c r="E194" s="480" t="str">
        <f t="shared" si="11"/>
        <v xml:space="preserve">2.2.3 </v>
      </c>
      <c r="F194" s="480" t="s">
        <v>4387</v>
      </c>
      <c r="G194" s="480" t="s">
        <v>4388</v>
      </c>
      <c r="H194" s="481">
        <v>32</v>
      </c>
      <c r="I194" s="480" t="s">
        <v>4398</v>
      </c>
      <c r="J194" s="495">
        <v>320304800</v>
      </c>
      <c r="K194" s="480" t="s">
        <v>4399</v>
      </c>
      <c r="L194" s="480" t="s">
        <v>6496</v>
      </c>
      <c r="M194" s="480" t="s">
        <v>5816</v>
      </c>
      <c r="N194" s="517">
        <v>199200</v>
      </c>
      <c r="O194" s="480" t="s">
        <v>6495</v>
      </c>
      <c r="P194" s="518">
        <v>259200</v>
      </c>
      <c r="Q194" s="485" t="s">
        <v>5349</v>
      </c>
      <c r="R194" s="485" t="s">
        <v>5421</v>
      </c>
      <c r="S194" s="485" t="s">
        <v>677</v>
      </c>
      <c r="T194" s="485">
        <v>0.11</v>
      </c>
      <c r="U194" s="485" t="s">
        <v>4393</v>
      </c>
      <c r="V194" s="485">
        <v>0.12</v>
      </c>
      <c r="W194" s="485" t="s">
        <v>5416</v>
      </c>
      <c r="X194" s="485" t="s">
        <v>5422</v>
      </c>
      <c r="Y194" s="485" t="s">
        <v>5423</v>
      </c>
      <c r="Z194" s="486">
        <v>50000000</v>
      </c>
      <c r="AA194" s="486">
        <v>0</v>
      </c>
      <c r="AB194" s="486">
        <v>0</v>
      </c>
      <c r="AC194" s="486">
        <v>0</v>
      </c>
      <c r="AD194" s="486">
        <v>0</v>
      </c>
      <c r="AE194" s="486">
        <v>0</v>
      </c>
      <c r="AF194" s="486">
        <v>0</v>
      </c>
      <c r="AG194" s="486">
        <v>0</v>
      </c>
      <c r="AH194" s="487">
        <v>50000000</v>
      </c>
      <c r="AI194" s="486">
        <v>0</v>
      </c>
      <c r="AJ194" s="486">
        <v>750000000</v>
      </c>
      <c r="AK194" s="486">
        <v>0</v>
      </c>
      <c r="AL194" s="488">
        <v>750000000</v>
      </c>
      <c r="AM194" s="489">
        <v>800000000</v>
      </c>
      <c r="AN194" s="486">
        <v>70000000</v>
      </c>
      <c r="AO194" s="486">
        <v>0</v>
      </c>
      <c r="AP194" s="486">
        <v>0</v>
      </c>
      <c r="AQ194" s="486">
        <v>0</v>
      </c>
      <c r="AR194" s="486">
        <v>0</v>
      </c>
      <c r="AS194" s="486">
        <v>0</v>
      </c>
      <c r="AT194" s="486">
        <v>0</v>
      </c>
      <c r="AU194" s="486">
        <v>0</v>
      </c>
      <c r="AV194" s="487">
        <v>70000000</v>
      </c>
      <c r="AW194" s="486">
        <v>0</v>
      </c>
      <c r="AX194" s="486">
        <v>0</v>
      </c>
      <c r="AY194" s="486">
        <v>0</v>
      </c>
      <c r="AZ194" s="488">
        <v>0</v>
      </c>
      <c r="BA194" s="490">
        <v>70000000</v>
      </c>
      <c r="BB194" s="486">
        <v>0</v>
      </c>
      <c r="BC194" s="486">
        <v>0</v>
      </c>
      <c r="BD194" s="486">
        <v>0</v>
      </c>
      <c r="BE194" s="486">
        <v>0</v>
      </c>
      <c r="BF194" s="486">
        <v>0</v>
      </c>
      <c r="BG194" s="486">
        <v>0</v>
      </c>
      <c r="BH194" s="486">
        <v>0</v>
      </c>
      <c r="BI194" s="486">
        <v>0</v>
      </c>
      <c r="BJ194" s="487">
        <v>0</v>
      </c>
      <c r="BK194" s="486">
        <v>0</v>
      </c>
      <c r="BL194" s="486">
        <v>0</v>
      </c>
      <c r="BM194" s="486">
        <v>0</v>
      </c>
      <c r="BN194" s="488">
        <v>0</v>
      </c>
      <c r="BO194" s="490">
        <v>0</v>
      </c>
      <c r="BP194" s="486">
        <v>70000000</v>
      </c>
      <c r="BQ194" s="486">
        <v>0</v>
      </c>
      <c r="BR194" s="486">
        <v>0</v>
      </c>
      <c r="BS194" s="486">
        <v>0</v>
      </c>
      <c r="BT194" s="486">
        <v>0</v>
      </c>
      <c r="BU194" s="486">
        <v>0</v>
      </c>
      <c r="BV194" s="486">
        <v>0</v>
      </c>
      <c r="BW194" s="486">
        <v>0</v>
      </c>
      <c r="BX194" s="487">
        <v>70000000</v>
      </c>
      <c r="BY194" s="486">
        <v>0</v>
      </c>
      <c r="BZ194" s="486">
        <v>0</v>
      </c>
      <c r="CA194" s="486">
        <v>0</v>
      </c>
      <c r="CB194" s="488">
        <v>0</v>
      </c>
      <c r="CC194" s="491">
        <v>70000000</v>
      </c>
      <c r="CD194" s="492">
        <v>940000000</v>
      </c>
      <c r="CE194" s="493">
        <f t="shared" si="14"/>
        <v>190000000</v>
      </c>
      <c r="CF194" s="493">
        <f t="shared" si="14"/>
        <v>0</v>
      </c>
      <c r="CG194" s="493">
        <f t="shared" si="14"/>
        <v>0</v>
      </c>
      <c r="CH194" s="493">
        <f t="shared" si="14"/>
        <v>0</v>
      </c>
      <c r="CI194" s="493">
        <f t="shared" si="14"/>
        <v>0</v>
      </c>
      <c r="CJ194" s="493">
        <f t="shared" si="13"/>
        <v>0</v>
      </c>
      <c r="CK194" s="493">
        <f t="shared" si="13"/>
        <v>0</v>
      </c>
      <c r="CL194" s="493">
        <f t="shared" si="13"/>
        <v>0</v>
      </c>
      <c r="CM194" s="493">
        <f t="shared" si="12"/>
        <v>0</v>
      </c>
      <c r="CN194" s="493">
        <f t="shared" si="12"/>
        <v>750000000</v>
      </c>
      <c r="CO194" s="493">
        <f t="shared" si="12"/>
        <v>0</v>
      </c>
      <c r="CP194" s="494" t="s">
        <v>6312</v>
      </c>
      <c r="CQ194" s="494" t="s">
        <v>6313</v>
      </c>
    </row>
    <row r="195" spans="1:95" ht="30.45" hidden="1" customHeight="1" thickBot="1">
      <c r="A195" s="555" t="s">
        <v>4191</v>
      </c>
      <c r="B195" s="479">
        <v>193</v>
      </c>
      <c r="C195" s="480" t="s">
        <v>4255</v>
      </c>
      <c r="D195" s="480" t="s">
        <v>4351</v>
      </c>
      <c r="E195" s="480" t="str">
        <f t="shared" si="11"/>
        <v xml:space="preserve">2.2.3 </v>
      </c>
      <c r="F195" s="480" t="s">
        <v>4387</v>
      </c>
      <c r="G195" s="480" t="s">
        <v>4388</v>
      </c>
      <c r="H195" s="481">
        <v>32</v>
      </c>
      <c r="I195" s="480" t="s">
        <v>4398</v>
      </c>
      <c r="J195" s="495">
        <v>320303300</v>
      </c>
      <c r="K195" s="480" t="s">
        <v>4303</v>
      </c>
      <c r="L195" s="480" t="s">
        <v>6497</v>
      </c>
      <c r="M195" s="480" t="s">
        <v>5817</v>
      </c>
      <c r="N195" s="499">
        <v>0</v>
      </c>
      <c r="O195" s="480" t="s">
        <v>6495</v>
      </c>
      <c r="P195" s="515">
        <v>3</v>
      </c>
      <c r="Q195" s="485" t="s">
        <v>5349</v>
      </c>
      <c r="R195" s="485" t="s">
        <v>5421</v>
      </c>
      <c r="S195" s="485" t="s">
        <v>677</v>
      </c>
      <c r="T195" s="485">
        <v>0.11</v>
      </c>
      <c r="U195" s="485" t="s">
        <v>4393</v>
      </c>
      <c r="V195" s="485">
        <v>0.12</v>
      </c>
      <c r="W195" s="485" t="s">
        <v>5416</v>
      </c>
      <c r="X195" s="485" t="s">
        <v>5422</v>
      </c>
      <c r="Y195" s="485" t="s">
        <v>5423</v>
      </c>
      <c r="Z195" s="486">
        <v>45000000</v>
      </c>
      <c r="AA195" s="486">
        <v>0</v>
      </c>
      <c r="AB195" s="486">
        <v>0</v>
      </c>
      <c r="AC195" s="486">
        <v>0</v>
      </c>
      <c r="AD195" s="486">
        <v>0</v>
      </c>
      <c r="AE195" s="486">
        <v>0</v>
      </c>
      <c r="AF195" s="486">
        <v>0</v>
      </c>
      <c r="AG195" s="486">
        <v>0</v>
      </c>
      <c r="AH195" s="487">
        <v>45000000</v>
      </c>
      <c r="AI195" s="486">
        <v>0</v>
      </c>
      <c r="AJ195" s="486">
        <v>750000000</v>
      </c>
      <c r="AK195" s="486">
        <v>0</v>
      </c>
      <c r="AL195" s="488">
        <v>750000000</v>
      </c>
      <c r="AM195" s="489">
        <v>795000000</v>
      </c>
      <c r="AN195" s="486">
        <v>50000000</v>
      </c>
      <c r="AO195" s="486">
        <v>0</v>
      </c>
      <c r="AP195" s="486">
        <v>0</v>
      </c>
      <c r="AQ195" s="486">
        <v>0</v>
      </c>
      <c r="AR195" s="486">
        <v>0</v>
      </c>
      <c r="AS195" s="486">
        <v>0</v>
      </c>
      <c r="AT195" s="486">
        <v>0</v>
      </c>
      <c r="AU195" s="486">
        <v>0</v>
      </c>
      <c r="AV195" s="487">
        <v>50000000</v>
      </c>
      <c r="AW195" s="486">
        <v>0</v>
      </c>
      <c r="AX195" s="486">
        <v>0</v>
      </c>
      <c r="AY195" s="486">
        <v>0</v>
      </c>
      <c r="AZ195" s="488">
        <v>0</v>
      </c>
      <c r="BA195" s="490">
        <v>50000000</v>
      </c>
      <c r="BB195" s="486">
        <v>55000000</v>
      </c>
      <c r="BC195" s="486">
        <v>0</v>
      </c>
      <c r="BD195" s="486">
        <v>0</v>
      </c>
      <c r="BE195" s="486">
        <v>0</v>
      </c>
      <c r="BF195" s="486">
        <v>0</v>
      </c>
      <c r="BG195" s="486">
        <v>0</v>
      </c>
      <c r="BH195" s="486">
        <v>0</v>
      </c>
      <c r="BI195" s="486">
        <v>0</v>
      </c>
      <c r="BJ195" s="487">
        <v>55000000</v>
      </c>
      <c r="BK195" s="486">
        <v>0</v>
      </c>
      <c r="BL195" s="486">
        <v>0</v>
      </c>
      <c r="BM195" s="486">
        <v>0</v>
      </c>
      <c r="BN195" s="488">
        <v>0</v>
      </c>
      <c r="BO195" s="490">
        <v>55000000</v>
      </c>
      <c r="BP195" s="486">
        <v>60000000</v>
      </c>
      <c r="BQ195" s="486">
        <v>0</v>
      </c>
      <c r="BR195" s="486">
        <v>0</v>
      </c>
      <c r="BS195" s="486">
        <v>0</v>
      </c>
      <c r="BT195" s="486">
        <v>0</v>
      </c>
      <c r="BU195" s="486">
        <v>0</v>
      </c>
      <c r="BV195" s="486">
        <v>0</v>
      </c>
      <c r="BW195" s="486">
        <v>0</v>
      </c>
      <c r="BX195" s="487">
        <v>60000000</v>
      </c>
      <c r="BY195" s="486">
        <v>0</v>
      </c>
      <c r="BZ195" s="486">
        <v>0</v>
      </c>
      <c r="CA195" s="486">
        <v>0</v>
      </c>
      <c r="CB195" s="488">
        <v>0</v>
      </c>
      <c r="CC195" s="491">
        <v>60000000</v>
      </c>
      <c r="CD195" s="492">
        <v>960000000</v>
      </c>
      <c r="CE195" s="493">
        <f t="shared" si="14"/>
        <v>210000000</v>
      </c>
      <c r="CF195" s="493">
        <f t="shared" si="14"/>
        <v>0</v>
      </c>
      <c r="CG195" s="493">
        <f t="shared" si="14"/>
        <v>0</v>
      </c>
      <c r="CH195" s="493">
        <f t="shared" si="14"/>
        <v>0</v>
      </c>
      <c r="CI195" s="493">
        <f t="shared" si="14"/>
        <v>0</v>
      </c>
      <c r="CJ195" s="493">
        <f t="shared" si="13"/>
        <v>0</v>
      </c>
      <c r="CK195" s="493">
        <f t="shared" si="13"/>
        <v>0</v>
      </c>
      <c r="CL195" s="493">
        <f t="shared" si="13"/>
        <v>0</v>
      </c>
      <c r="CM195" s="493">
        <f t="shared" si="12"/>
        <v>0</v>
      </c>
      <c r="CN195" s="493">
        <f t="shared" si="12"/>
        <v>750000000</v>
      </c>
      <c r="CO195" s="493">
        <f t="shared" si="12"/>
        <v>0</v>
      </c>
      <c r="CP195" s="494" t="s">
        <v>6312</v>
      </c>
      <c r="CQ195" s="494" t="s">
        <v>6313</v>
      </c>
    </row>
    <row r="196" spans="1:95" ht="30.45" hidden="1" customHeight="1" thickBot="1">
      <c r="A196" s="555" t="s">
        <v>4289</v>
      </c>
      <c r="B196" s="479">
        <v>194</v>
      </c>
      <c r="C196" s="480" t="s">
        <v>4255</v>
      </c>
      <c r="D196" s="480" t="s">
        <v>4400</v>
      </c>
      <c r="E196" s="480" t="str">
        <f t="shared" ref="E196:E259" si="15">MID(F196,1,6)</f>
        <v>2.3.1 </v>
      </c>
      <c r="F196" s="480" t="s">
        <v>4401</v>
      </c>
      <c r="G196" s="480" t="s">
        <v>4402</v>
      </c>
      <c r="H196" s="481">
        <v>35</v>
      </c>
      <c r="I196" s="480" t="s">
        <v>4277</v>
      </c>
      <c r="J196" s="495">
        <v>350209300</v>
      </c>
      <c r="K196" s="480" t="s">
        <v>4403</v>
      </c>
      <c r="L196" s="480" t="s">
        <v>4404</v>
      </c>
      <c r="M196" s="480" t="s">
        <v>5818</v>
      </c>
      <c r="N196" s="499">
        <v>1</v>
      </c>
      <c r="O196" s="480" t="s">
        <v>4288</v>
      </c>
      <c r="P196" s="515">
        <v>1</v>
      </c>
      <c r="Q196" s="485" t="s">
        <v>5349</v>
      </c>
      <c r="R196" s="485" t="s">
        <v>5424</v>
      </c>
      <c r="S196" s="485" t="s">
        <v>689</v>
      </c>
      <c r="T196" s="485" t="s">
        <v>5425</v>
      </c>
      <c r="U196" s="485" t="s">
        <v>5426</v>
      </c>
      <c r="V196" s="485" t="s">
        <v>747</v>
      </c>
      <c r="W196" s="485" t="s">
        <v>5331</v>
      </c>
      <c r="X196" s="485">
        <v>8</v>
      </c>
      <c r="Y196" s="485" t="s">
        <v>5427</v>
      </c>
      <c r="Z196" s="486">
        <v>196452800</v>
      </c>
      <c r="AA196" s="486">
        <v>0</v>
      </c>
      <c r="AB196" s="486">
        <v>0</v>
      </c>
      <c r="AC196" s="486">
        <v>0</v>
      </c>
      <c r="AD196" s="486">
        <v>0</v>
      </c>
      <c r="AE196" s="486">
        <v>0</v>
      </c>
      <c r="AF196" s="486">
        <v>0</v>
      </c>
      <c r="AG196" s="486">
        <v>0</v>
      </c>
      <c r="AH196" s="487">
        <v>196452800</v>
      </c>
      <c r="AI196" s="486">
        <v>380000000</v>
      </c>
      <c r="AJ196" s="486">
        <v>380000000</v>
      </c>
      <c r="AK196" s="486">
        <v>0</v>
      </c>
      <c r="AL196" s="488">
        <v>760000000</v>
      </c>
      <c r="AM196" s="489">
        <v>956452800</v>
      </c>
      <c r="AN196" s="486">
        <v>213098080</v>
      </c>
      <c r="AO196" s="486">
        <v>0</v>
      </c>
      <c r="AP196" s="486">
        <v>0</v>
      </c>
      <c r="AQ196" s="486">
        <v>0</v>
      </c>
      <c r="AR196" s="486">
        <v>0</v>
      </c>
      <c r="AS196" s="486">
        <v>0</v>
      </c>
      <c r="AT196" s="486">
        <v>0</v>
      </c>
      <c r="AU196" s="486">
        <v>0</v>
      </c>
      <c r="AV196" s="487">
        <v>213098080</v>
      </c>
      <c r="AW196" s="486">
        <v>500000000</v>
      </c>
      <c r="AX196" s="486">
        <v>0</v>
      </c>
      <c r="AY196" s="486">
        <v>0</v>
      </c>
      <c r="AZ196" s="488">
        <v>500000000</v>
      </c>
      <c r="BA196" s="490">
        <v>713098080</v>
      </c>
      <c r="BB196" s="486">
        <v>221407888</v>
      </c>
      <c r="BC196" s="486">
        <v>0</v>
      </c>
      <c r="BD196" s="486">
        <v>0</v>
      </c>
      <c r="BE196" s="486">
        <v>0</v>
      </c>
      <c r="BF196" s="486">
        <v>0</v>
      </c>
      <c r="BG196" s="486">
        <v>0</v>
      </c>
      <c r="BH196" s="486">
        <v>0</v>
      </c>
      <c r="BI196" s="486">
        <v>0</v>
      </c>
      <c r="BJ196" s="487">
        <v>221407888</v>
      </c>
      <c r="BK196" s="486">
        <v>515000000</v>
      </c>
      <c r="BL196" s="486">
        <v>0</v>
      </c>
      <c r="BM196" s="486">
        <v>0</v>
      </c>
      <c r="BN196" s="488">
        <v>515000000</v>
      </c>
      <c r="BO196" s="490">
        <v>736407888</v>
      </c>
      <c r="BP196" s="486">
        <v>251548677</v>
      </c>
      <c r="BQ196" s="486">
        <v>0</v>
      </c>
      <c r="BR196" s="486">
        <v>0</v>
      </c>
      <c r="BS196" s="486">
        <v>0</v>
      </c>
      <c r="BT196" s="486">
        <v>0</v>
      </c>
      <c r="BU196" s="486">
        <v>0</v>
      </c>
      <c r="BV196" s="486">
        <v>0</v>
      </c>
      <c r="BW196" s="486">
        <v>0</v>
      </c>
      <c r="BX196" s="487">
        <v>251548677</v>
      </c>
      <c r="BY196" s="486">
        <v>510000000</v>
      </c>
      <c r="BZ196" s="486">
        <v>0</v>
      </c>
      <c r="CA196" s="486">
        <v>0</v>
      </c>
      <c r="CB196" s="488">
        <v>510000000</v>
      </c>
      <c r="CC196" s="491">
        <v>761548677</v>
      </c>
      <c r="CD196" s="492">
        <v>3167507445</v>
      </c>
      <c r="CE196" s="493">
        <f t="shared" si="14"/>
        <v>882507445</v>
      </c>
      <c r="CF196" s="493">
        <f t="shared" si="14"/>
        <v>0</v>
      </c>
      <c r="CG196" s="493">
        <f t="shared" si="14"/>
        <v>0</v>
      </c>
      <c r="CH196" s="493">
        <f t="shared" si="14"/>
        <v>0</v>
      </c>
      <c r="CI196" s="493">
        <f t="shared" si="14"/>
        <v>0</v>
      </c>
      <c r="CJ196" s="493">
        <f t="shared" si="13"/>
        <v>0</v>
      </c>
      <c r="CK196" s="493">
        <f t="shared" si="13"/>
        <v>0</v>
      </c>
      <c r="CL196" s="493">
        <f t="shared" si="13"/>
        <v>0</v>
      </c>
      <c r="CM196" s="493">
        <f t="shared" ref="CM196:CO259" si="16">AI196+AW196+BK196+BY196</f>
        <v>1905000000</v>
      </c>
      <c r="CN196" s="493">
        <f t="shared" si="16"/>
        <v>380000000</v>
      </c>
      <c r="CO196" s="493">
        <f t="shared" si="16"/>
        <v>0</v>
      </c>
      <c r="CP196" s="494" t="s">
        <v>6317</v>
      </c>
      <c r="CQ196" s="494" t="s">
        <v>6318</v>
      </c>
    </row>
    <row r="197" spans="1:95" ht="30.45" hidden="1" customHeight="1" thickBot="1">
      <c r="A197" s="555" t="s">
        <v>4289</v>
      </c>
      <c r="B197" s="479">
        <v>195</v>
      </c>
      <c r="C197" s="480" t="s">
        <v>4255</v>
      </c>
      <c r="D197" s="480" t="s">
        <v>4400</v>
      </c>
      <c r="E197" s="480" t="str">
        <f t="shared" si="15"/>
        <v>2.3.1 </v>
      </c>
      <c r="F197" s="480" t="s">
        <v>4401</v>
      </c>
      <c r="G197" s="480" t="s">
        <v>4402</v>
      </c>
      <c r="H197" s="481">
        <v>35</v>
      </c>
      <c r="I197" s="480" t="s">
        <v>4277</v>
      </c>
      <c r="J197" s="495">
        <v>350209300</v>
      </c>
      <c r="K197" s="480" t="s">
        <v>4403</v>
      </c>
      <c r="L197" s="480" t="s">
        <v>4405</v>
      </c>
      <c r="M197" s="480" t="s">
        <v>5819</v>
      </c>
      <c r="N197" s="499">
        <v>0</v>
      </c>
      <c r="O197" s="480" t="s">
        <v>4288</v>
      </c>
      <c r="P197" s="515">
        <v>1</v>
      </c>
      <c r="Q197" s="485" t="s">
        <v>5349</v>
      </c>
      <c r="R197" s="485" t="s">
        <v>5424</v>
      </c>
      <c r="S197" s="485" t="s">
        <v>689</v>
      </c>
      <c r="T197" s="485" t="s">
        <v>5425</v>
      </c>
      <c r="U197" s="485" t="s">
        <v>5426</v>
      </c>
      <c r="V197" s="485" t="s">
        <v>747</v>
      </c>
      <c r="W197" s="485" t="s">
        <v>5331</v>
      </c>
      <c r="X197" s="485">
        <v>8</v>
      </c>
      <c r="Y197" s="485" t="s">
        <v>5427</v>
      </c>
      <c r="Z197" s="486">
        <v>80000900</v>
      </c>
      <c r="AA197" s="486">
        <v>0</v>
      </c>
      <c r="AB197" s="486">
        <v>0</v>
      </c>
      <c r="AC197" s="486">
        <v>0</v>
      </c>
      <c r="AD197" s="486">
        <v>0</v>
      </c>
      <c r="AE197" s="486">
        <v>0</v>
      </c>
      <c r="AF197" s="486">
        <v>0</v>
      </c>
      <c r="AG197" s="486">
        <v>0</v>
      </c>
      <c r="AH197" s="487">
        <v>80000900</v>
      </c>
      <c r="AI197" s="486">
        <v>0</v>
      </c>
      <c r="AJ197" s="486">
        <v>0</v>
      </c>
      <c r="AK197" s="486">
        <v>0</v>
      </c>
      <c r="AL197" s="488">
        <v>0</v>
      </c>
      <c r="AM197" s="489">
        <v>80000900</v>
      </c>
      <c r="AN197" s="486">
        <v>40000000</v>
      </c>
      <c r="AO197" s="486">
        <v>0</v>
      </c>
      <c r="AP197" s="486">
        <v>0</v>
      </c>
      <c r="AQ197" s="486">
        <v>0</v>
      </c>
      <c r="AR197" s="486">
        <v>0</v>
      </c>
      <c r="AS197" s="486">
        <v>0</v>
      </c>
      <c r="AT197" s="486">
        <v>0</v>
      </c>
      <c r="AU197" s="486">
        <v>0</v>
      </c>
      <c r="AV197" s="487">
        <v>40000000</v>
      </c>
      <c r="AW197" s="486">
        <v>0</v>
      </c>
      <c r="AX197" s="486">
        <v>0</v>
      </c>
      <c r="AY197" s="486">
        <v>0</v>
      </c>
      <c r="AZ197" s="488">
        <v>0</v>
      </c>
      <c r="BA197" s="490">
        <v>40000000</v>
      </c>
      <c r="BB197" s="486">
        <v>40000000</v>
      </c>
      <c r="BC197" s="486">
        <v>0</v>
      </c>
      <c r="BD197" s="486">
        <v>0</v>
      </c>
      <c r="BE197" s="486">
        <v>0</v>
      </c>
      <c r="BF197" s="486">
        <v>0</v>
      </c>
      <c r="BG197" s="486">
        <v>0</v>
      </c>
      <c r="BH197" s="486">
        <v>0</v>
      </c>
      <c r="BI197" s="486">
        <v>0</v>
      </c>
      <c r="BJ197" s="487">
        <v>40000000</v>
      </c>
      <c r="BK197" s="486">
        <v>0</v>
      </c>
      <c r="BL197" s="486">
        <v>0</v>
      </c>
      <c r="BM197" s="486">
        <v>0</v>
      </c>
      <c r="BN197" s="488">
        <v>0</v>
      </c>
      <c r="BO197" s="490">
        <v>40000000</v>
      </c>
      <c r="BP197" s="486">
        <v>40000000</v>
      </c>
      <c r="BQ197" s="486">
        <v>0</v>
      </c>
      <c r="BR197" s="486">
        <v>0</v>
      </c>
      <c r="BS197" s="486">
        <v>0</v>
      </c>
      <c r="BT197" s="486">
        <v>0</v>
      </c>
      <c r="BU197" s="486">
        <v>0</v>
      </c>
      <c r="BV197" s="486">
        <v>0</v>
      </c>
      <c r="BW197" s="486">
        <v>0</v>
      </c>
      <c r="BX197" s="487">
        <v>40000000</v>
      </c>
      <c r="BY197" s="486">
        <v>40000000</v>
      </c>
      <c r="BZ197" s="486">
        <v>0</v>
      </c>
      <c r="CA197" s="486">
        <v>0</v>
      </c>
      <c r="CB197" s="488">
        <v>40000000</v>
      </c>
      <c r="CC197" s="491">
        <v>80000000</v>
      </c>
      <c r="CD197" s="492">
        <v>240000900</v>
      </c>
      <c r="CE197" s="493">
        <f t="shared" si="14"/>
        <v>200000900</v>
      </c>
      <c r="CF197" s="493">
        <f t="shared" si="14"/>
        <v>0</v>
      </c>
      <c r="CG197" s="493">
        <f t="shared" si="14"/>
        <v>0</v>
      </c>
      <c r="CH197" s="493">
        <f t="shared" si="14"/>
        <v>0</v>
      </c>
      <c r="CI197" s="493">
        <f t="shared" si="14"/>
        <v>0</v>
      </c>
      <c r="CJ197" s="493">
        <f t="shared" si="13"/>
        <v>0</v>
      </c>
      <c r="CK197" s="493">
        <f t="shared" si="13"/>
        <v>0</v>
      </c>
      <c r="CL197" s="493">
        <f t="shared" si="13"/>
        <v>0</v>
      </c>
      <c r="CM197" s="493">
        <f t="shared" si="16"/>
        <v>40000000</v>
      </c>
      <c r="CN197" s="493">
        <f t="shared" si="16"/>
        <v>0</v>
      </c>
      <c r="CO197" s="493">
        <f t="shared" si="16"/>
        <v>0</v>
      </c>
      <c r="CP197" s="494" t="s">
        <v>6317</v>
      </c>
      <c r="CQ197" s="494" t="s">
        <v>6318</v>
      </c>
    </row>
    <row r="198" spans="1:95" ht="30.45" hidden="1" customHeight="1" thickBot="1">
      <c r="A198" s="555" t="s">
        <v>4289</v>
      </c>
      <c r="B198" s="479">
        <v>196</v>
      </c>
      <c r="C198" s="480" t="s">
        <v>4255</v>
      </c>
      <c r="D198" s="480" t="s">
        <v>4400</v>
      </c>
      <c r="E198" s="480" t="str">
        <f t="shared" si="15"/>
        <v>2.3.1 </v>
      </c>
      <c r="F198" s="480" t="s">
        <v>4401</v>
      </c>
      <c r="G198" s="480" t="s">
        <v>4402</v>
      </c>
      <c r="H198" s="481">
        <v>35</v>
      </c>
      <c r="I198" s="480" t="s">
        <v>4277</v>
      </c>
      <c r="J198" s="495">
        <v>350200200</v>
      </c>
      <c r="K198" s="480" t="s">
        <v>4063</v>
      </c>
      <c r="L198" s="480" t="s">
        <v>4406</v>
      </c>
      <c r="M198" s="480" t="s">
        <v>5820</v>
      </c>
      <c r="N198" s="499">
        <v>0</v>
      </c>
      <c r="O198" s="480" t="s">
        <v>4407</v>
      </c>
      <c r="P198" s="515">
        <v>10</v>
      </c>
      <c r="Q198" s="485" t="s">
        <v>5349</v>
      </c>
      <c r="R198" s="485" t="s">
        <v>5424</v>
      </c>
      <c r="S198" s="485" t="s">
        <v>689</v>
      </c>
      <c r="T198" s="485" t="s">
        <v>5425</v>
      </c>
      <c r="U198" s="485" t="s">
        <v>5426</v>
      </c>
      <c r="V198" s="485" t="s">
        <v>747</v>
      </c>
      <c r="W198" s="485" t="s">
        <v>5331</v>
      </c>
      <c r="X198" s="485">
        <v>8</v>
      </c>
      <c r="Y198" s="485" t="s">
        <v>5427</v>
      </c>
      <c r="Z198" s="486">
        <v>66492800</v>
      </c>
      <c r="AA198" s="486">
        <v>0</v>
      </c>
      <c r="AB198" s="486">
        <v>0</v>
      </c>
      <c r="AC198" s="486">
        <v>0</v>
      </c>
      <c r="AD198" s="486">
        <v>0</v>
      </c>
      <c r="AE198" s="486">
        <v>0</v>
      </c>
      <c r="AF198" s="486">
        <v>0</v>
      </c>
      <c r="AG198" s="486">
        <v>0</v>
      </c>
      <c r="AH198" s="487">
        <v>66492800</v>
      </c>
      <c r="AI198" s="486">
        <v>0</v>
      </c>
      <c r="AJ198" s="486">
        <v>0</v>
      </c>
      <c r="AK198" s="486">
        <v>0</v>
      </c>
      <c r="AL198" s="488">
        <v>0</v>
      </c>
      <c r="AM198" s="489">
        <v>66492800</v>
      </c>
      <c r="AN198" s="486">
        <v>73092000</v>
      </c>
      <c r="AO198" s="486">
        <v>0</v>
      </c>
      <c r="AP198" s="486">
        <v>0</v>
      </c>
      <c r="AQ198" s="486">
        <v>0</v>
      </c>
      <c r="AR198" s="486">
        <v>0</v>
      </c>
      <c r="AS198" s="486">
        <v>0</v>
      </c>
      <c r="AT198" s="486">
        <v>0</v>
      </c>
      <c r="AU198" s="486">
        <v>0</v>
      </c>
      <c r="AV198" s="487">
        <v>73092000</v>
      </c>
      <c r="AW198" s="486">
        <v>90000000</v>
      </c>
      <c r="AX198" s="486">
        <v>0</v>
      </c>
      <c r="AY198" s="486">
        <v>0</v>
      </c>
      <c r="AZ198" s="488">
        <v>90000000</v>
      </c>
      <c r="BA198" s="490">
        <v>163092000</v>
      </c>
      <c r="BB198" s="486">
        <v>80456288</v>
      </c>
      <c r="BC198" s="486">
        <v>0</v>
      </c>
      <c r="BD198" s="486">
        <v>0</v>
      </c>
      <c r="BE198" s="486">
        <v>0</v>
      </c>
      <c r="BF198" s="486">
        <v>0</v>
      </c>
      <c r="BG198" s="486">
        <v>0</v>
      </c>
      <c r="BH198" s="486">
        <v>0</v>
      </c>
      <c r="BI198" s="486">
        <v>0</v>
      </c>
      <c r="BJ198" s="487">
        <v>80456288</v>
      </c>
      <c r="BK198" s="486">
        <v>130000000</v>
      </c>
      <c r="BL198" s="486">
        <v>0</v>
      </c>
      <c r="BM198" s="486">
        <v>0</v>
      </c>
      <c r="BN198" s="488">
        <v>130000000</v>
      </c>
      <c r="BO198" s="490">
        <v>210456288</v>
      </c>
      <c r="BP198" s="486">
        <v>88501917</v>
      </c>
      <c r="BQ198" s="486">
        <v>0</v>
      </c>
      <c r="BR198" s="486">
        <v>0</v>
      </c>
      <c r="BS198" s="486">
        <v>0</v>
      </c>
      <c r="BT198" s="486">
        <v>0</v>
      </c>
      <c r="BU198" s="486">
        <v>0</v>
      </c>
      <c r="BV198" s="486">
        <v>0</v>
      </c>
      <c r="BW198" s="486">
        <v>0</v>
      </c>
      <c r="BX198" s="487">
        <v>88501917</v>
      </c>
      <c r="BY198" s="486">
        <v>90000000</v>
      </c>
      <c r="BZ198" s="486">
        <v>0</v>
      </c>
      <c r="CA198" s="486">
        <v>0</v>
      </c>
      <c r="CB198" s="488">
        <v>90000000</v>
      </c>
      <c r="CC198" s="491">
        <v>178501917</v>
      </c>
      <c r="CD198" s="492">
        <v>618543005</v>
      </c>
      <c r="CE198" s="493">
        <f t="shared" si="14"/>
        <v>308543005</v>
      </c>
      <c r="CF198" s="493">
        <f t="shared" si="14"/>
        <v>0</v>
      </c>
      <c r="CG198" s="493">
        <f t="shared" si="14"/>
        <v>0</v>
      </c>
      <c r="CH198" s="493">
        <f t="shared" si="14"/>
        <v>0</v>
      </c>
      <c r="CI198" s="493">
        <f t="shared" si="14"/>
        <v>0</v>
      </c>
      <c r="CJ198" s="493">
        <f t="shared" si="13"/>
        <v>0</v>
      </c>
      <c r="CK198" s="493">
        <f t="shared" si="13"/>
        <v>0</v>
      </c>
      <c r="CL198" s="493">
        <f t="shared" si="13"/>
        <v>0</v>
      </c>
      <c r="CM198" s="493">
        <f t="shared" si="16"/>
        <v>310000000</v>
      </c>
      <c r="CN198" s="493">
        <f t="shared" si="16"/>
        <v>0</v>
      </c>
      <c r="CO198" s="493">
        <f t="shared" si="16"/>
        <v>0</v>
      </c>
      <c r="CP198" s="522" t="s">
        <v>6319</v>
      </c>
      <c r="CQ198" s="502" t="s">
        <v>6320</v>
      </c>
    </row>
    <row r="199" spans="1:95" ht="30.45" hidden="1" customHeight="1" thickBot="1">
      <c r="A199" s="555" t="s">
        <v>4289</v>
      </c>
      <c r="B199" s="479">
        <v>197</v>
      </c>
      <c r="C199" s="480" t="s">
        <v>4255</v>
      </c>
      <c r="D199" s="480" t="s">
        <v>4400</v>
      </c>
      <c r="E199" s="480" t="str">
        <f t="shared" si="15"/>
        <v>2.3.1 </v>
      </c>
      <c r="F199" s="480" t="s">
        <v>4401</v>
      </c>
      <c r="G199" s="480" t="s">
        <v>4402</v>
      </c>
      <c r="H199" s="481">
        <v>35</v>
      </c>
      <c r="I199" s="480" t="s">
        <v>4277</v>
      </c>
      <c r="J199" s="495">
        <v>350203900</v>
      </c>
      <c r="K199" s="480" t="s">
        <v>4251</v>
      </c>
      <c r="L199" s="480" t="s">
        <v>4408</v>
      </c>
      <c r="M199" s="480" t="s">
        <v>5821</v>
      </c>
      <c r="N199" s="499">
        <v>1</v>
      </c>
      <c r="O199" s="480" t="s">
        <v>4288</v>
      </c>
      <c r="P199" s="515">
        <v>5</v>
      </c>
      <c r="Q199" s="485" t="s">
        <v>5349</v>
      </c>
      <c r="R199" s="485" t="s">
        <v>5424</v>
      </c>
      <c r="S199" s="485" t="s">
        <v>689</v>
      </c>
      <c r="T199" s="485" t="s">
        <v>5425</v>
      </c>
      <c r="U199" s="485" t="s">
        <v>5426</v>
      </c>
      <c r="V199" s="485" t="s">
        <v>747</v>
      </c>
      <c r="W199" s="485" t="s">
        <v>5331</v>
      </c>
      <c r="X199" s="485">
        <v>8</v>
      </c>
      <c r="Y199" s="485" t="s">
        <v>5427</v>
      </c>
      <c r="Z199" s="486">
        <v>66000000</v>
      </c>
      <c r="AA199" s="486">
        <v>0</v>
      </c>
      <c r="AB199" s="486">
        <v>0</v>
      </c>
      <c r="AC199" s="486">
        <v>0</v>
      </c>
      <c r="AD199" s="486">
        <v>0</v>
      </c>
      <c r="AE199" s="486">
        <v>0</v>
      </c>
      <c r="AF199" s="486">
        <v>0</v>
      </c>
      <c r="AG199" s="486">
        <v>0</v>
      </c>
      <c r="AH199" s="487">
        <v>66000000</v>
      </c>
      <c r="AI199" s="486"/>
      <c r="AJ199" s="486"/>
      <c r="AK199" s="486">
        <v>0</v>
      </c>
      <c r="AL199" s="488">
        <v>0</v>
      </c>
      <c r="AM199" s="489">
        <v>66000000</v>
      </c>
      <c r="AN199" s="486">
        <v>66000000</v>
      </c>
      <c r="AO199" s="486">
        <v>0</v>
      </c>
      <c r="AP199" s="486">
        <v>0</v>
      </c>
      <c r="AQ199" s="486">
        <v>0</v>
      </c>
      <c r="AR199" s="486">
        <v>0</v>
      </c>
      <c r="AS199" s="486">
        <v>0</v>
      </c>
      <c r="AT199" s="486">
        <v>0</v>
      </c>
      <c r="AU199" s="486">
        <v>0</v>
      </c>
      <c r="AV199" s="487">
        <v>66000000</v>
      </c>
      <c r="AW199" s="486">
        <v>304000000</v>
      </c>
      <c r="AX199" s="486">
        <v>304000000</v>
      </c>
      <c r="AY199" s="486">
        <v>0</v>
      </c>
      <c r="AZ199" s="488">
        <v>608000000</v>
      </c>
      <c r="BA199" s="490">
        <v>674000000</v>
      </c>
      <c r="BB199" s="486">
        <v>68000000</v>
      </c>
      <c r="BC199" s="486">
        <v>0</v>
      </c>
      <c r="BD199" s="486">
        <v>0</v>
      </c>
      <c r="BE199" s="486">
        <v>0</v>
      </c>
      <c r="BF199" s="486">
        <v>0</v>
      </c>
      <c r="BG199" s="486">
        <v>0</v>
      </c>
      <c r="BH199" s="486">
        <v>0</v>
      </c>
      <c r="BI199" s="486">
        <v>0</v>
      </c>
      <c r="BJ199" s="487">
        <v>68000000</v>
      </c>
      <c r="BK199" s="486">
        <v>12000000</v>
      </c>
      <c r="BL199" s="486">
        <v>0</v>
      </c>
      <c r="BM199" s="486">
        <v>0</v>
      </c>
      <c r="BN199" s="488">
        <v>12000000</v>
      </c>
      <c r="BO199" s="490">
        <v>80000000</v>
      </c>
      <c r="BP199" s="486">
        <v>70000000</v>
      </c>
      <c r="BQ199" s="486">
        <v>0</v>
      </c>
      <c r="BR199" s="486">
        <v>0</v>
      </c>
      <c r="BS199" s="486">
        <v>0</v>
      </c>
      <c r="BT199" s="486">
        <v>0</v>
      </c>
      <c r="BU199" s="486">
        <v>0</v>
      </c>
      <c r="BV199" s="486">
        <v>0</v>
      </c>
      <c r="BW199" s="486">
        <v>0</v>
      </c>
      <c r="BX199" s="487">
        <v>70000000</v>
      </c>
      <c r="BY199" s="486">
        <v>20000000</v>
      </c>
      <c r="BZ199" s="486">
        <v>0</v>
      </c>
      <c r="CA199" s="486">
        <v>0</v>
      </c>
      <c r="CB199" s="488">
        <v>20000000</v>
      </c>
      <c r="CC199" s="491">
        <v>90000000</v>
      </c>
      <c r="CD199" s="492">
        <v>910000000</v>
      </c>
      <c r="CE199" s="493">
        <f t="shared" si="14"/>
        <v>270000000</v>
      </c>
      <c r="CF199" s="493">
        <f t="shared" si="14"/>
        <v>0</v>
      </c>
      <c r="CG199" s="493">
        <f t="shared" si="14"/>
        <v>0</v>
      </c>
      <c r="CH199" s="493">
        <f t="shared" si="14"/>
        <v>0</v>
      </c>
      <c r="CI199" s="493">
        <f t="shared" si="14"/>
        <v>0</v>
      </c>
      <c r="CJ199" s="493">
        <f t="shared" si="13"/>
        <v>0</v>
      </c>
      <c r="CK199" s="493">
        <f t="shared" si="13"/>
        <v>0</v>
      </c>
      <c r="CL199" s="493">
        <f t="shared" si="13"/>
        <v>0</v>
      </c>
      <c r="CM199" s="493">
        <f t="shared" si="16"/>
        <v>336000000</v>
      </c>
      <c r="CN199" s="493">
        <f t="shared" si="16"/>
        <v>304000000</v>
      </c>
      <c r="CO199" s="493">
        <f t="shared" si="16"/>
        <v>0</v>
      </c>
      <c r="CP199" s="522" t="s">
        <v>6254</v>
      </c>
      <c r="CQ199" s="502" t="s">
        <v>6321</v>
      </c>
    </row>
    <row r="200" spans="1:95" ht="30.45" hidden="1" customHeight="1" thickBot="1">
      <c r="A200" s="555" t="s">
        <v>4289</v>
      </c>
      <c r="B200" s="479">
        <v>198</v>
      </c>
      <c r="C200" s="480" t="s">
        <v>4255</v>
      </c>
      <c r="D200" s="480" t="s">
        <v>4400</v>
      </c>
      <c r="E200" s="480" t="str">
        <f t="shared" si="15"/>
        <v xml:space="preserve">2.3.2 </v>
      </c>
      <c r="F200" s="480" t="s">
        <v>4409</v>
      </c>
      <c r="G200" s="480" t="s">
        <v>4410</v>
      </c>
      <c r="H200" s="481">
        <v>35</v>
      </c>
      <c r="I200" s="480" t="s">
        <v>4277</v>
      </c>
      <c r="J200" s="495">
        <v>350204800</v>
      </c>
      <c r="K200" s="480" t="s">
        <v>4063</v>
      </c>
      <c r="L200" s="480" t="s">
        <v>5822</v>
      </c>
      <c r="M200" s="480" t="s">
        <v>5823</v>
      </c>
      <c r="N200" s="499">
        <v>1</v>
      </c>
      <c r="O200" s="480" t="s">
        <v>4288</v>
      </c>
      <c r="P200" s="515">
        <v>1</v>
      </c>
      <c r="Q200" s="485" t="s">
        <v>5349</v>
      </c>
      <c r="R200" s="485" t="s">
        <v>5428</v>
      </c>
      <c r="S200" s="485" t="s">
        <v>677</v>
      </c>
      <c r="T200" s="485">
        <v>0</v>
      </c>
      <c r="U200" s="485" t="s">
        <v>5429</v>
      </c>
      <c r="V200" s="485">
        <v>0.2</v>
      </c>
      <c r="W200" s="485" t="s">
        <v>5331</v>
      </c>
      <c r="X200" s="485">
        <v>8</v>
      </c>
      <c r="Y200" s="485" t="s">
        <v>835</v>
      </c>
      <c r="Z200" s="486">
        <v>20000000</v>
      </c>
      <c r="AA200" s="486">
        <v>0</v>
      </c>
      <c r="AB200" s="486">
        <v>0</v>
      </c>
      <c r="AC200" s="486">
        <v>0</v>
      </c>
      <c r="AD200" s="486">
        <v>0</v>
      </c>
      <c r="AE200" s="486">
        <v>0</v>
      </c>
      <c r="AF200" s="486">
        <v>0</v>
      </c>
      <c r="AG200" s="486">
        <v>0</v>
      </c>
      <c r="AH200" s="487">
        <v>20000000</v>
      </c>
      <c r="AI200" s="486">
        <v>0</v>
      </c>
      <c r="AJ200" s="486">
        <v>0</v>
      </c>
      <c r="AK200" s="486">
        <v>0</v>
      </c>
      <c r="AL200" s="488">
        <v>0</v>
      </c>
      <c r="AM200" s="489">
        <v>20000000</v>
      </c>
      <c r="AN200" s="486">
        <v>20000000</v>
      </c>
      <c r="AO200" s="486">
        <v>0</v>
      </c>
      <c r="AP200" s="486">
        <v>0</v>
      </c>
      <c r="AQ200" s="486">
        <v>0</v>
      </c>
      <c r="AR200" s="486">
        <v>0</v>
      </c>
      <c r="AS200" s="486">
        <v>0</v>
      </c>
      <c r="AT200" s="486">
        <v>0</v>
      </c>
      <c r="AU200" s="486">
        <v>0</v>
      </c>
      <c r="AV200" s="487">
        <v>20000000</v>
      </c>
      <c r="AW200" s="486">
        <v>130000000</v>
      </c>
      <c r="AX200" s="486">
        <v>0</v>
      </c>
      <c r="AY200" s="486">
        <v>0</v>
      </c>
      <c r="AZ200" s="488">
        <v>130000000</v>
      </c>
      <c r="BA200" s="490">
        <v>150000000</v>
      </c>
      <c r="BB200" s="486">
        <v>35000000</v>
      </c>
      <c r="BC200" s="486">
        <v>0</v>
      </c>
      <c r="BD200" s="486">
        <v>0</v>
      </c>
      <c r="BE200" s="486">
        <v>0</v>
      </c>
      <c r="BF200" s="486">
        <v>0</v>
      </c>
      <c r="BG200" s="486">
        <v>0</v>
      </c>
      <c r="BH200" s="486">
        <v>0</v>
      </c>
      <c r="BI200" s="486">
        <v>0</v>
      </c>
      <c r="BJ200" s="487">
        <v>35000000</v>
      </c>
      <c r="BK200" s="486">
        <v>130000000</v>
      </c>
      <c r="BL200" s="486">
        <v>0</v>
      </c>
      <c r="BM200" s="486">
        <v>0</v>
      </c>
      <c r="BN200" s="488">
        <v>130000000</v>
      </c>
      <c r="BO200" s="490">
        <v>165000000</v>
      </c>
      <c r="BP200" s="486">
        <v>20000000</v>
      </c>
      <c r="BQ200" s="486">
        <v>0</v>
      </c>
      <c r="BR200" s="486">
        <v>0</v>
      </c>
      <c r="BS200" s="486">
        <v>0</v>
      </c>
      <c r="BT200" s="486">
        <v>0</v>
      </c>
      <c r="BU200" s="486">
        <v>0</v>
      </c>
      <c r="BV200" s="486">
        <v>0</v>
      </c>
      <c r="BW200" s="486">
        <v>0</v>
      </c>
      <c r="BX200" s="487">
        <v>20000000</v>
      </c>
      <c r="BY200" s="486">
        <v>169000000</v>
      </c>
      <c r="BZ200" s="486">
        <v>0</v>
      </c>
      <c r="CA200" s="486">
        <v>0</v>
      </c>
      <c r="CB200" s="488">
        <v>169000000</v>
      </c>
      <c r="CC200" s="491">
        <v>189000000</v>
      </c>
      <c r="CD200" s="492">
        <v>524000000</v>
      </c>
      <c r="CE200" s="493">
        <f t="shared" si="14"/>
        <v>95000000</v>
      </c>
      <c r="CF200" s="493">
        <f t="shared" si="14"/>
        <v>0</v>
      </c>
      <c r="CG200" s="493">
        <f t="shared" si="14"/>
        <v>0</v>
      </c>
      <c r="CH200" s="493">
        <f t="shared" si="14"/>
        <v>0</v>
      </c>
      <c r="CI200" s="493">
        <f t="shared" si="14"/>
        <v>0</v>
      </c>
      <c r="CJ200" s="493">
        <f t="shared" si="13"/>
        <v>0</v>
      </c>
      <c r="CK200" s="493">
        <f t="shared" si="13"/>
        <v>0</v>
      </c>
      <c r="CL200" s="493">
        <f t="shared" si="13"/>
        <v>0</v>
      </c>
      <c r="CM200" s="493">
        <f t="shared" si="16"/>
        <v>429000000</v>
      </c>
      <c r="CN200" s="493">
        <f t="shared" si="16"/>
        <v>0</v>
      </c>
      <c r="CO200" s="493">
        <f t="shared" si="16"/>
        <v>0</v>
      </c>
      <c r="CP200" s="494" t="s">
        <v>6322</v>
      </c>
      <c r="CQ200" s="494" t="s">
        <v>6323</v>
      </c>
    </row>
    <row r="201" spans="1:95" ht="30.45" hidden="1" customHeight="1" thickBot="1">
      <c r="A201" s="555" t="s">
        <v>4289</v>
      </c>
      <c r="B201" s="479">
        <v>199</v>
      </c>
      <c r="C201" s="480" t="s">
        <v>4255</v>
      </c>
      <c r="D201" s="480" t="s">
        <v>4400</v>
      </c>
      <c r="E201" s="480" t="str">
        <f t="shared" si="15"/>
        <v xml:space="preserve">2.3.2 </v>
      </c>
      <c r="F201" s="480" t="s">
        <v>4409</v>
      </c>
      <c r="G201" s="480" t="s">
        <v>4410</v>
      </c>
      <c r="H201" s="481">
        <v>35</v>
      </c>
      <c r="I201" s="480" t="s">
        <v>4277</v>
      </c>
      <c r="J201" s="495">
        <v>350204700</v>
      </c>
      <c r="K201" s="480" t="s">
        <v>4063</v>
      </c>
      <c r="L201" s="480" t="s">
        <v>4411</v>
      </c>
      <c r="M201" s="480" t="s">
        <v>5824</v>
      </c>
      <c r="N201" s="499">
        <v>1</v>
      </c>
      <c r="O201" s="480" t="s">
        <v>4288</v>
      </c>
      <c r="P201" s="515">
        <v>4</v>
      </c>
      <c r="Q201" s="485" t="s">
        <v>5349</v>
      </c>
      <c r="R201" s="485" t="s">
        <v>5428</v>
      </c>
      <c r="S201" s="485" t="s">
        <v>677</v>
      </c>
      <c r="T201" s="485">
        <v>0</v>
      </c>
      <c r="U201" s="485" t="s">
        <v>5429</v>
      </c>
      <c r="V201" s="485">
        <v>0.2</v>
      </c>
      <c r="W201" s="485" t="s">
        <v>5331</v>
      </c>
      <c r="X201" s="485">
        <v>8</v>
      </c>
      <c r="Y201" s="485" t="s">
        <v>835</v>
      </c>
      <c r="Z201" s="486">
        <v>187484000</v>
      </c>
      <c r="AA201" s="486">
        <v>0</v>
      </c>
      <c r="AB201" s="486">
        <v>0</v>
      </c>
      <c r="AC201" s="486">
        <v>0</v>
      </c>
      <c r="AD201" s="486">
        <v>0</v>
      </c>
      <c r="AE201" s="486">
        <v>0</v>
      </c>
      <c r="AF201" s="486">
        <v>0</v>
      </c>
      <c r="AG201" s="486">
        <v>0</v>
      </c>
      <c r="AH201" s="487">
        <v>187484000</v>
      </c>
      <c r="AI201" s="486">
        <v>350000000</v>
      </c>
      <c r="AJ201" s="486">
        <v>0</v>
      </c>
      <c r="AK201" s="486">
        <v>0</v>
      </c>
      <c r="AL201" s="488">
        <v>350000000</v>
      </c>
      <c r="AM201" s="489">
        <v>537484000</v>
      </c>
      <c r="AN201" s="486">
        <v>246643480</v>
      </c>
      <c r="AO201" s="486">
        <v>0</v>
      </c>
      <c r="AP201" s="486">
        <v>0</v>
      </c>
      <c r="AQ201" s="486">
        <v>0</v>
      </c>
      <c r="AR201" s="486">
        <v>0</v>
      </c>
      <c r="AS201" s="486">
        <v>0</v>
      </c>
      <c r="AT201" s="486">
        <v>0</v>
      </c>
      <c r="AU201" s="486">
        <v>0</v>
      </c>
      <c r="AV201" s="487">
        <v>246643480</v>
      </c>
      <c r="AW201" s="486">
        <v>1103386680</v>
      </c>
      <c r="AX201" s="486">
        <v>0</v>
      </c>
      <c r="AY201" s="486">
        <v>0</v>
      </c>
      <c r="AZ201" s="488">
        <v>1103386680</v>
      </c>
      <c r="BA201" s="490">
        <v>1350030160</v>
      </c>
      <c r="BB201" s="486">
        <v>251808536</v>
      </c>
      <c r="BC201" s="486">
        <v>0</v>
      </c>
      <c r="BD201" s="486">
        <v>0</v>
      </c>
      <c r="BE201" s="486">
        <v>0</v>
      </c>
      <c r="BF201" s="486">
        <v>0</v>
      </c>
      <c r="BG201" s="486">
        <v>0</v>
      </c>
      <c r="BH201" s="486">
        <v>0</v>
      </c>
      <c r="BI201" s="486">
        <v>0</v>
      </c>
      <c r="BJ201" s="487">
        <v>251808536</v>
      </c>
      <c r="BK201" s="486">
        <v>1134611336</v>
      </c>
      <c r="BL201" s="486">
        <v>0</v>
      </c>
      <c r="BM201" s="486">
        <v>0</v>
      </c>
      <c r="BN201" s="488">
        <v>1134611336</v>
      </c>
      <c r="BO201" s="490">
        <v>1386419872</v>
      </c>
      <c r="BP201" s="486">
        <v>317118389</v>
      </c>
      <c r="BQ201" s="486">
        <v>0</v>
      </c>
      <c r="BR201" s="486">
        <v>0</v>
      </c>
      <c r="BS201" s="486">
        <v>0</v>
      </c>
      <c r="BT201" s="486">
        <v>0</v>
      </c>
      <c r="BU201" s="486">
        <v>0</v>
      </c>
      <c r="BV201" s="486">
        <v>0</v>
      </c>
      <c r="BW201" s="486">
        <v>0</v>
      </c>
      <c r="BX201" s="487">
        <v>317118389</v>
      </c>
      <c r="BY201" s="486">
        <v>750000000</v>
      </c>
      <c r="BZ201" s="486">
        <v>0</v>
      </c>
      <c r="CA201" s="486">
        <v>0</v>
      </c>
      <c r="CB201" s="488">
        <v>750000000</v>
      </c>
      <c r="CC201" s="491">
        <v>1067118389</v>
      </c>
      <c r="CD201" s="492">
        <v>4341052421</v>
      </c>
      <c r="CE201" s="493">
        <f t="shared" si="14"/>
        <v>1003054405</v>
      </c>
      <c r="CF201" s="493">
        <f t="shared" si="14"/>
        <v>0</v>
      </c>
      <c r="CG201" s="493">
        <f t="shared" si="14"/>
        <v>0</v>
      </c>
      <c r="CH201" s="493">
        <f t="shared" si="14"/>
        <v>0</v>
      </c>
      <c r="CI201" s="493">
        <f t="shared" si="14"/>
        <v>0</v>
      </c>
      <c r="CJ201" s="493">
        <f t="shared" si="13"/>
        <v>0</v>
      </c>
      <c r="CK201" s="493">
        <f t="shared" si="13"/>
        <v>0</v>
      </c>
      <c r="CL201" s="493">
        <f t="shared" si="13"/>
        <v>0</v>
      </c>
      <c r="CM201" s="493">
        <f t="shared" si="16"/>
        <v>3337998016</v>
      </c>
      <c r="CN201" s="493">
        <f t="shared" si="16"/>
        <v>0</v>
      </c>
      <c r="CO201" s="493">
        <f t="shared" si="16"/>
        <v>0</v>
      </c>
      <c r="CP201" s="494" t="s">
        <v>6317</v>
      </c>
      <c r="CQ201" s="502" t="s">
        <v>6324</v>
      </c>
    </row>
    <row r="202" spans="1:95" ht="30.45" hidden="1" customHeight="1" thickBot="1">
      <c r="A202" s="555" t="s">
        <v>4289</v>
      </c>
      <c r="B202" s="479">
        <v>200</v>
      </c>
      <c r="C202" s="480" t="s">
        <v>4255</v>
      </c>
      <c r="D202" s="480" t="s">
        <v>4400</v>
      </c>
      <c r="E202" s="480" t="str">
        <f t="shared" si="15"/>
        <v xml:space="preserve">2.3.3 </v>
      </c>
      <c r="F202" s="480" t="s">
        <v>4412</v>
      </c>
      <c r="G202" s="480" t="s">
        <v>4413</v>
      </c>
      <c r="H202" s="481">
        <v>35</v>
      </c>
      <c r="I202" s="480" t="s">
        <v>4277</v>
      </c>
      <c r="J202" s="495">
        <v>350201100</v>
      </c>
      <c r="K202" s="480" t="s">
        <v>4008</v>
      </c>
      <c r="L202" s="480" t="s">
        <v>4414</v>
      </c>
      <c r="M202" s="480" t="s">
        <v>5825</v>
      </c>
      <c r="N202" s="499">
        <v>2386</v>
      </c>
      <c r="O202" s="480" t="s">
        <v>4288</v>
      </c>
      <c r="P202" s="515">
        <v>4500</v>
      </c>
      <c r="Q202" s="485" t="s">
        <v>5349</v>
      </c>
      <c r="R202" s="485" t="s">
        <v>5430</v>
      </c>
      <c r="S202" s="485" t="s">
        <v>677</v>
      </c>
      <c r="T202" s="485" t="s">
        <v>5431</v>
      </c>
      <c r="U202" s="485" t="s">
        <v>5432</v>
      </c>
      <c r="V202" s="485">
        <v>0.88</v>
      </c>
      <c r="W202" s="485" t="s">
        <v>5331</v>
      </c>
      <c r="X202" s="485">
        <v>4</v>
      </c>
      <c r="Y202" s="485" t="s">
        <v>5433</v>
      </c>
      <c r="Z202" s="486">
        <v>46578400</v>
      </c>
      <c r="AA202" s="486">
        <v>0</v>
      </c>
      <c r="AB202" s="486">
        <v>0</v>
      </c>
      <c r="AC202" s="486">
        <v>0</v>
      </c>
      <c r="AD202" s="486">
        <v>0</v>
      </c>
      <c r="AE202" s="486">
        <v>0</v>
      </c>
      <c r="AF202" s="486">
        <v>0</v>
      </c>
      <c r="AG202" s="486">
        <v>0</v>
      </c>
      <c r="AH202" s="487">
        <v>46578400</v>
      </c>
      <c r="AI202" s="486">
        <v>200000000</v>
      </c>
      <c r="AJ202" s="486">
        <v>0</v>
      </c>
      <c r="AK202" s="486">
        <v>0</v>
      </c>
      <c r="AL202" s="488">
        <v>200000000</v>
      </c>
      <c r="AM202" s="489">
        <v>246578400</v>
      </c>
      <c r="AN202" s="486">
        <v>51849120</v>
      </c>
      <c r="AO202" s="486">
        <v>0</v>
      </c>
      <c r="AP202" s="486">
        <v>0</v>
      </c>
      <c r="AQ202" s="486">
        <v>0</v>
      </c>
      <c r="AR202" s="486">
        <v>0</v>
      </c>
      <c r="AS202" s="486">
        <v>0</v>
      </c>
      <c r="AT202" s="486">
        <v>0</v>
      </c>
      <c r="AU202" s="486">
        <v>0</v>
      </c>
      <c r="AV202" s="487">
        <v>51849120</v>
      </c>
      <c r="AW202" s="486">
        <v>306079200</v>
      </c>
      <c r="AX202" s="486">
        <v>0</v>
      </c>
      <c r="AY202" s="486">
        <v>0</v>
      </c>
      <c r="AZ202" s="488">
        <v>306079200</v>
      </c>
      <c r="BA202" s="490">
        <v>357928320</v>
      </c>
      <c r="BB202" s="486">
        <v>49424568</v>
      </c>
      <c r="BC202" s="486">
        <v>0</v>
      </c>
      <c r="BD202" s="486">
        <v>0</v>
      </c>
      <c r="BE202" s="486">
        <v>0</v>
      </c>
      <c r="BF202" s="486">
        <v>0</v>
      </c>
      <c r="BG202" s="486">
        <v>0</v>
      </c>
      <c r="BH202" s="486">
        <v>0</v>
      </c>
      <c r="BI202" s="486">
        <v>0</v>
      </c>
      <c r="BJ202" s="487">
        <v>49424568</v>
      </c>
      <c r="BK202" s="486">
        <v>309988664</v>
      </c>
      <c r="BL202" s="486">
        <v>0</v>
      </c>
      <c r="BM202" s="486">
        <v>0</v>
      </c>
      <c r="BN202" s="488">
        <v>309988664</v>
      </c>
      <c r="BO202" s="490">
        <v>359413232</v>
      </c>
      <c r="BP202" s="486">
        <v>28388973</v>
      </c>
      <c r="BQ202" s="486">
        <v>0</v>
      </c>
      <c r="BR202" s="486">
        <v>0</v>
      </c>
      <c r="BS202" s="486">
        <v>0</v>
      </c>
      <c r="BT202" s="486">
        <v>0</v>
      </c>
      <c r="BU202" s="486">
        <v>0</v>
      </c>
      <c r="BV202" s="486">
        <v>0</v>
      </c>
      <c r="BW202" s="486">
        <v>0</v>
      </c>
      <c r="BX202" s="487">
        <v>28388973</v>
      </c>
      <c r="BY202" s="486">
        <v>316053696</v>
      </c>
      <c r="BZ202" s="486">
        <v>0</v>
      </c>
      <c r="CA202" s="486">
        <v>0</v>
      </c>
      <c r="CB202" s="488">
        <v>316053696</v>
      </c>
      <c r="CC202" s="491">
        <v>344442669</v>
      </c>
      <c r="CD202" s="492">
        <v>1308362621</v>
      </c>
      <c r="CE202" s="493">
        <f t="shared" si="14"/>
        <v>176241061</v>
      </c>
      <c r="CF202" s="493">
        <f t="shared" si="14"/>
        <v>0</v>
      </c>
      <c r="CG202" s="493">
        <f t="shared" si="14"/>
        <v>0</v>
      </c>
      <c r="CH202" s="493">
        <f t="shared" si="14"/>
        <v>0</v>
      </c>
      <c r="CI202" s="493">
        <f t="shared" si="14"/>
        <v>0</v>
      </c>
      <c r="CJ202" s="493">
        <f t="shared" si="13"/>
        <v>0</v>
      </c>
      <c r="CK202" s="493">
        <f t="shared" si="13"/>
        <v>0</v>
      </c>
      <c r="CL202" s="493">
        <f t="shared" si="13"/>
        <v>0</v>
      </c>
      <c r="CM202" s="493">
        <f t="shared" si="16"/>
        <v>1132121560</v>
      </c>
      <c r="CN202" s="493">
        <f t="shared" si="16"/>
        <v>0</v>
      </c>
      <c r="CO202" s="493">
        <f t="shared" si="16"/>
        <v>0</v>
      </c>
      <c r="CP202" s="502">
        <v>4</v>
      </c>
      <c r="CQ202" s="502" t="s">
        <v>5433</v>
      </c>
    </row>
    <row r="203" spans="1:95" ht="30.45" hidden="1" customHeight="1" thickBot="1">
      <c r="A203" s="555" t="s">
        <v>4289</v>
      </c>
      <c r="B203" s="479">
        <v>201</v>
      </c>
      <c r="C203" s="480" t="s">
        <v>4255</v>
      </c>
      <c r="D203" s="480" t="s">
        <v>4400</v>
      </c>
      <c r="E203" s="480" t="str">
        <f t="shared" si="15"/>
        <v xml:space="preserve">2.3.3 </v>
      </c>
      <c r="F203" s="480" t="s">
        <v>4412</v>
      </c>
      <c r="G203" s="480" t="s">
        <v>4413</v>
      </c>
      <c r="H203" s="481">
        <v>35</v>
      </c>
      <c r="I203" s="480" t="s">
        <v>4277</v>
      </c>
      <c r="J203" s="495">
        <v>350209400</v>
      </c>
      <c r="K203" s="480" t="s">
        <v>4063</v>
      </c>
      <c r="L203" s="480" t="s">
        <v>4415</v>
      </c>
      <c r="M203" s="480" t="s">
        <v>5826</v>
      </c>
      <c r="N203" s="499">
        <v>1</v>
      </c>
      <c r="O203" s="480" t="s">
        <v>4288</v>
      </c>
      <c r="P203" s="515">
        <v>2</v>
      </c>
      <c r="Q203" s="485" t="s">
        <v>5349</v>
      </c>
      <c r="R203" s="485" t="s">
        <v>5430</v>
      </c>
      <c r="S203" s="485" t="s">
        <v>677</v>
      </c>
      <c r="T203" s="485" t="s">
        <v>5431</v>
      </c>
      <c r="U203" s="485" t="s">
        <v>5432</v>
      </c>
      <c r="V203" s="485">
        <v>0.88</v>
      </c>
      <c r="W203" s="485" t="s">
        <v>5331</v>
      </c>
      <c r="X203" s="485">
        <v>4</v>
      </c>
      <c r="Y203" s="485" t="s">
        <v>5433</v>
      </c>
      <c r="Z203" s="486">
        <v>40000000</v>
      </c>
      <c r="AA203" s="486">
        <v>0</v>
      </c>
      <c r="AB203" s="486">
        <v>0</v>
      </c>
      <c r="AC203" s="486">
        <v>0</v>
      </c>
      <c r="AD203" s="486">
        <v>0</v>
      </c>
      <c r="AE203" s="486">
        <v>0</v>
      </c>
      <c r="AF203" s="486">
        <v>0</v>
      </c>
      <c r="AG203" s="486">
        <v>0</v>
      </c>
      <c r="AH203" s="487">
        <v>40000000</v>
      </c>
      <c r="AI203" s="486">
        <v>40000000</v>
      </c>
      <c r="AJ203" s="486">
        <v>0</v>
      </c>
      <c r="AK203" s="486">
        <v>0</v>
      </c>
      <c r="AL203" s="488">
        <v>40000000</v>
      </c>
      <c r="AM203" s="489">
        <v>80000000</v>
      </c>
      <c r="AN203" s="486">
        <v>0</v>
      </c>
      <c r="AO203" s="486">
        <v>0</v>
      </c>
      <c r="AP203" s="486">
        <v>0</v>
      </c>
      <c r="AQ203" s="486">
        <v>0</v>
      </c>
      <c r="AR203" s="486">
        <v>0</v>
      </c>
      <c r="AS203" s="486">
        <v>0</v>
      </c>
      <c r="AT203" s="486">
        <v>0</v>
      </c>
      <c r="AU203" s="486">
        <v>0</v>
      </c>
      <c r="AV203" s="487">
        <v>0</v>
      </c>
      <c r="AW203" s="486">
        <v>0</v>
      </c>
      <c r="AX203" s="486">
        <v>0</v>
      </c>
      <c r="AY203" s="486">
        <v>0</v>
      </c>
      <c r="AZ203" s="488">
        <v>0</v>
      </c>
      <c r="BA203" s="490">
        <v>0</v>
      </c>
      <c r="BB203" s="486">
        <v>0</v>
      </c>
      <c r="BC203" s="486">
        <v>0</v>
      </c>
      <c r="BD203" s="486">
        <v>0</v>
      </c>
      <c r="BE203" s="486">
        <v>0</v>
      </c>
      <c r="BF203" s="486">
        <v>0</v>
      </c>
      <c r="BG203" s="486">
        <v>0</v>
      </c>
      <c r="BH203" s="486">
        <v>0</v>
      </c>
      <c r="BI203" s="486">
        <v>0</v>
      </c>
      <c r="BJ203" s="487">
        <v>0</v>
      </c>
      <c r="BK203" s="486">
        <v>0</v>
      </c>
      <c r="BL203" s="486">
        <v>0</v>
      </c>
      <c r="BM203" s="486">
        <v>0</v>
      </c>
      <c r="BN203" s="488">
        <v>0</v>
      </c>
      <c r="BO203" s="490">
        <v>0</v>
      </c>
      <c r="BP203" s="486">
        <v>0</v>
      </c>
      <c r="BQ203" s="486">
        <v>0</v>
      </c>
      <c r="BR203" s="486">
        <v>0</v>
      </c>
      <c r="BS203" s="486">
        <v>0</v>
      </c>
      <c r="BT203" s="486">
        <v>0</v>
      </c>
      <c r="BU203" s="486">
        <v>0</v>
      </c>
      <c r="BV203" s="486">
        <v>0</v>
      </c>
      <c r="BW203" s="486">
        <v>0</v>
      </c>
      <c r="BX203" s="487">
        <v>0</v>
      </c>
      <c r="BY203" s="486">
        <v>0</v>
      </c>
      <c r="BZ203" s="486">
        <v>0</v>
      </c>
      <c r="CA203" s="486">
        <v>0</v>
      </c>
      <c r="CB203" s="488">
        <v>0</v>
      </c>
      <c r="CC203" s="491">
        <v>0</v>
      </c>
      <c r="CD203" s="492">
        <v>80000000</v>
      </c>
      <c r="CE203" s="493">
        <f t="shared" si="14"/>
        <v>40000000</v>
      </c>
      <c r="CF203" s="493">
        <f t="shared" si="14"/>
        <v>0</v>
      </c>
      <c r="CG203" s="493">
        <f t="shared" si="14"/>
        <v>0</v>
      </c>
      <c r="CH203" s="493">
        <f t="shared" si="14"/>
        <v>0</v>
      </c>
      <c r="CI203" s="493">
        <f t="shared" si="14"/>
        <v>0</v>
      </c>
      <c r="CJ203" s="493">
        <f t="shared" si="13"/>
        <v>0</v>
      </c>
      <c r="CK203" s="493">
        <f t="shared" si="13"/>
        <v>0</v>
      </c>
      <c r="CL203" s="493">
        <f t="shared" si="13"/>
        <v>0</v>
      </c>
      <c r="CM203" s="493">
        <f t="shared" si="16"/>
        <v>40000000</v>
      </c>
      <c r="CN203" s="493">
        <f t="shared" si="16"/>
        <v>0</v>
      </c>
      <c r="CO203" s="493">
        <f t="shared" si="16"/>
        <v>0</v>
      </c>
      <c r="CP203" s="502">
        <v>17</v>
      </c>
      <c r="CQ203" s="502" t="s">
        <v>6229</v>
      </c>
    </row>
    <row r="204" spans="1:95" ht="30.45" hidden="1" customHeight="1" thickBot="1">
      <c r="A204" s="555" t="s">
        <v>4289</v>
      </c>
      <c r="B204" s="479">
        <v>202</v>
      </c>
      <c r="C204" s="480" t="s">
        <v>4255</v>
      </c>
      <c r="D204" s="480" t="s">
        <v>4400</v>
      </c>
      <c r="E204" s="480" t="str">
        <f t="shared" si="15"/>
        <v xml:space="preserve">2.3.3 </v>
      </c>
      <c r="F204" s="480" t="s">
        <v>4412</v>
      </c>
      <c r="G204" s="480" t="s">
        <v>4413</v>
      </c>
      <c r="H204" s="481">
        <v>35</v>
      </c>
      <c r="I204" s="480" t="s">
        <v>4277</v>
      </c>
      <c r="J204" s="495">
        <v>350209000</v>
      </c>
      <c r="K204" s="480" t="s">
        <v>4176</v>
      </c>
      <c r="L204" s="480" t="s">
        <v>5827</v>
      </c>
      <c r="M204" s="480" t="s">
        <v>5828</v>
      </c>
      <c r="N204" s="499">
        <v>0</v>
      </c>
      <c r="O204" s="523" t="s">
        <v>4407</v>
      </c>
      <c r="P204" s="515">
        <v>4</v>
      </c>
      <c r="Q204" s="485" t="s">
        <v>5349</v>
      </c>
      <c r="R204" s="485" t="s">
        <v>5430</v>
      </c>
      <c r="S204" s="485" t="s">
        <v>677</v>
      </c>
      <c r="T204" s="485" t="s">
        <v>5431</v>
      </c>
      <c r="U204" s="485" t="s">
        <v>5432</v>
      </c>
      <c r="V204" s="485">
        <v>0.88</v>
      </c>
      <c r="W204" s="485" t="s">
        <v>5331</v>
      </c>
      <c r="X204" s="485">
        <v>4</v>
      </c>
      <c r="Y204" s="485" t="s">
        <v>5433</v>
      </c>
      <c r="Z204" s="486">
        <v>13499200</v>
      </c>
      <c r="AA204" s="486">
        <v>0</v>
      </c>
      <c r="AB204" s="486">
        <v>0</v>
      </c>
      <c r="AC204" s="486">
        <v>0</v>
      </c>
      <c r="AD204" s="486">
        <v>0</v>
      </c>
      <c r="AE204" s="486">
        <v>0</v>
      </c>
      <c r="AF204" s="486">
        <v>0</v>
      </c>
      <c r="AG204" s="486">
        <v>0</v>
      </c>
      <c r="AH204" s="487">
        <v>13499200</v>
      </c>
      <c r="AI204" s="486">
        <v>50000000</v>
      </c>
      <c r="AJ204" s="486">
        <v>0</v>
      </c>
      <c r="AK204" s="486">
        <v>0</v>
      </c>
      <c r="AL204" s="488">
        <v>50000000</v>
      </c>
      <c r="AM204" s="489">
        <v>63499200</v>
      </c>
      <c r="AN204" s="486">
        <v>39401500</v>
      </c>
      <c r="AO204" s="486">
        <v>0</v>
      </c>
      <c r="AP204" s="486">
        <v>0</v>
      </c>
      <c r="AQ204" s="486">
        <v>0</v>
      </c>
      <c r="AR204" s="486">
        <v>0</v>
      </c>
      <c r="AS204" s="486">
        <v>0</v>
      </c>
      <c r="AT204" s="486">
        <v>0</v>
      </c>
      <c r="AU204" s="486">
        <v>0</v>
      </c>
      <c r="AV204" s="487">
        <v>39401500</v>
      </c>
      <c r="AW204" s="486">
        <v>50000000</v>
      </c>
      <c r="AX204" s="486">
        <v>0</v>
      </c>
      <c r="AY204" s="486">
        <v>0</v>
      </c>
      <c r="AZ204" s="488">
        <v>50000000</v>
      </c>
      <c r="BA204" s="490">
        <v>89401500</v>
      </c>
      <c r="BB204" s="486">
        <v>36334032</v>
      </c>
      <c r="BC204" s="486">
        <v>0</v>
      </c>
      <c r="BD204" s="486">
        <v>0</v>
      </c>
      <c r="BE204" s="486">
        <v>0</v>
      </c>
      <c r="BF204" s="486">
        <v>0</v>
      </c>
      <c r="BG204" s="486">
        <v>0</v>
      </c>
      <c r="BH204" s="486">
        <v>0</v>
      </c>
      <c r="BI204" s="486">
        <v>0</v>
      </c>
      <c r="BJ204" s="487">
        <v>36334032</v>
      </c>
      <c r="BK204" s="486">
        <v>50000000</v>
      </c>
      <c r="BL204" s="486">
        <v>0</v>
      </c>
      <c r="BM204" s="486">
        <v>0</v>
      </c>
      <c r="BN204" s="488">
        <v>50000000</v>
      </c>
      <c r="BO204" s="490">
        <v>86334032</v>
      </c>
      <c r="BP204" s="486">
        <v>37967435</v>
      </c>
      <c r="BQ204" s="486">
        <v>0</v>
      </c>
      <c r="BR204" s="486">
        <v>0</v>
      </c>
      <c r="BS204" s="486">
        <v>0</v>
      </c>
      <c r="BT204" s="486">
        <v>0</v>
      </c>
      <c r="BU204" s="486">
        <v>0</v>
      </c>
      <c r="BV204" s="486">
        <v>0</v>
      </c>
      <c r="BW204" s="486">
        <v>0</v>
      </c>
      <c r="BX204" s="487">
        <v>37967435</v>
      </c>
      <c r="BY204" s="486">
        <v>0</v>
      </c>
      <c r="BZ204" s="486">
        <v>0</v>
      </c>
      <c r="CA204" s="486">
        <v>0</v>
      </c>
      <c r="CB204" s="488">
        <v>0</v>
      </c>
      <c r="CC204" s="491">
        <v>37967435</v>
      </c>
      <c r="CD204" s="492">
        <v>277202167</v>
      </c>
      <c r="CE204" s="493">
        <f t="shared" si="14"/>
        <v>127202167</v>
      </c>
      <c r="CF204" s="493">
        <f t="shared" si="14"/>
        <v>0</v>
      </c>
      <c r="CG204" s="493">
        <f t="shared" si="14"/>
        <v>0</v>
      </c>
      <c r="CH204" s="493">
        <f t="shared" si="14"/>
        <v>0</v>
      </c>
      <c r="CI204" s="493">
        <f t="shared" si="14"/>
        <v>0</v>
      </c>
      <c r="CJ204" s="493">
        <f t="shared" si="13"/>
        <v>0</v>
      </c>
      <c r="CK204" s="493">
        <f t="shared" si="13"/>
        <v>0</v>
      </c>
      <c r="CL204" s="493">
        <f t="shared" si="13"/>
        <v>0</v>
      </c>
      <c r="CM204" s="493">
        <f t="shared" si="16"/>
        <v>150000000</v>
      </c>
      <c r="CN204" s="493">
        <f t="shared" si="16"/>
        <v>0</v>
      </c>
      <c r="CO204" s="493">
        <f t="shared" si="16"/>
        <v>0</v>
      </c>
      <c r="CP204" s="502" t="s">
        <v>6325</v>
      </c>
      <c r="CQ204" s="502" t="s">
        <v>6326</v>
      </c>
    </row>
    <row r="205" spans="1:95" ht="30.45" hidden="1" customHeight="1" thickBot="1">
      <c r="A205" s="555" t="s">
        <v>4289</v>
      </c>
      <c r="B205" s="479">
        <v>203</v>
      </c>
      <c r="C205" s="480" t="s">
        <v>4255</v>
      </c>
      <c r="D205" s="480" t="s">
        <v>4400</v>
      </c>
      <c r="E205" s="480" t="str">
        <f t="shared" si="15"/>
        <v xml:space="preserve">2.3.3 </v>
      </c>
      <c r="F205" s="480" t="s">
        <v>4412</v>
      </c>
      <c r="G205" s="480" t="s">
        <v>4413</v>
      </c>
      <c r="H205" s="481">
        <v>35</v>
      </c>
      <c r="I205" s="480" t="s">
        <v>4277</v>
      </c>
      <c r="J205" s="495">
        <v>350200900</v>
      </c>
      <c r="K205" s="480" t="s">
        <v>4278</v>
      </c>
      <c r="L205" s="480" t="s">
        <v>6498</v>
      </c>
      <c r="M205" s="480" t="s">
        <v>5829</v>
      </c>
      <c r="N205" s="499">
        <v>0</v>
      </c>
      <c r="O205" s="480" t="s">
        <v>4416</v>
      </c>
      <c r="P205" s="515">
        <v>12</v>
      </c>
      <c r="Q205" s="485" t="s">
        <v>5349</v>
      </c>
      <c r="R205" s="485" t="s">
        <v>5430</v>
      </c>
      <c r="S205" s="485" t="s">
        <v>677</v>
      </c>
      <c r="T205" s="485" t="s">
        <v>5431</v>
      </c>
      <c r="U205" s="485" t="s">
        <v>5432</v>
      </c>
      <c r="V205" s="485">
        <v>0.88</v>
      </c>
      <c r="W205" s="485" t="s">
        <v>5331</v>
      </c>
      <c r="X205" s="485">
        <v>4</v>
      </c>
      <c r="Y205" s="485" t="s">
        <v>5433</v>
      </c>
      <c r="Z205" s="486">
        <v>93246400</v>
      </c>
      <c r="AA205" s="486">
        <v>0</v>
      </c>
      <c r="AB205" s="486">
        <v>0</v>
      </c>
      <c r="AC205" s="486">
        <v>0</v>
      </c>
      <c r="AD205" s="486">
        <v>0</v>
      </c>
      <c r="AE205" s="486">
        <v>0</v>
      </c>
      <c r="AF205" s="486">
        <v>0</v>
      </c>
      <c r="AG205" s="486">
        <v>0</v>
      </c>
      <c r="AH205" s="487">
        <v>93246400</v>
      </c>
      <c r="AI205" s="486">
        <v>25000000</v>
      </c>
      <c r="AJ205" s="486">
        <v>0</v>
      </c>
      <c r="AK205" s="486">
        <v>0</v>
      </c>
      <c r="AL205" s="488">
        <v>25000000</v>
      </c>
      <c r="AM205" s="489">
        <v>118246400</v>
      </c>
      <c r="AN205" s="486">
        <v>96571040</v>
      </c>
      <c r="AO205" s="486">
        <v>0</v>
      </c>
      <c r="AP205" s="486">
        <v>0</v>
      </c>
      <c r="AQ205" s="486">
        <v>0</v>
      </c>
      <c r="AR205" s="486">
        <v>0</v>
      </c>
      <c r="AS205" s="486">
        <v>0</v>
      </c>
      <c r="AT205" s="486">
        <v>0</v>
      </c>
      <c r="AU205" s="486">
        <v>0</v>
      </c>
      <c r="AV205" s="487">
        <v>96571040</v>
      </c>
      <c r="AW205" s="486">
        <v>35000000</v>
      </c>
      <c r="AX205" s="486">
        <v>0</v>
      </c>
      <c r="AY205" s="486">
        <v>0</v>
      </c>
      <c r="AZ205" s="488">
        <v>35000000</v>
      </c>
      <c r="BA205" s="490">
        <v>131571040</v>
      </c>
      <c r="BB205" s="486">
        <v>100228144</v>
      </c>
      <c r="BC205" s="486">
        <v>0</v>
      </c>
      <c r="BD205" s="486">
        <v>0</v>
      </c>
      <c r="BE205" s="486">
        <v>0</v>
      </c>
      <c r="BF205" s="486">
        <v>0</v>
      </c>
      <c r="BG205" s="486">
        <v>0</v>
      </c>
      <c r="BH205" s="486">
        <v>0</v>
      </c>
      <c r="BI205" s="486">
        <v>0</v>
      </c>
      <c r="BJ205" s="487">
        <v>100228144</v>
      </c>
      <c r="BK205" s="486">
        <v>35000000</v>
      </c>
      <c r="BL205" s="486">
        <v>0</v>
      </c>
      <c r="BM205" s="486">
        <v>0</v>
      </c>
      <c r="BN205" s="488">
        <v>35000000</v>
      </c>
      <c r="BO205" s="490">
        <v>135228144</v>
      </c>
      <c r="BP205" s="486">
        <v>64250959</v>
      </c>
      <c r="BQ205" s="486">
        <v>0</v>
      </c>
      <c r="BR205" s="486">
        <v>0</v>
      </c>
      <c r="BS205" s="486">
        <v>0</v>
      </c>
      <c r="BT205" s="486">
        <v>0</v>
      </c>
      <c r="BU205" s="486">
        <v>0</v>
      </c>
      <c r="BV205" s="486">
        <v>0</v>
      </c>
      <c r="BW205" s="486">
        <v>0</v>
      </c>
      <c r="BX205" s="487">
        <v>64250959</v>
      </c>
      <c r="BY205" s="486">
        <v>25000000</v>
      </c>
      <c r="BZ205" s="486">
        <v>0</v>
      </c>
      <c r="CA205" s="486">
        <v>0</v>
      </c>
      <c r="CB205" s="488">
        <v>25000000</v>
      </c>
      <c r="CC205" s="491">
        <v>89250959</v>
      </c>
      <c r="CD205" s="492">
        <v>474296543</v>
      </c>
      <c r="CE205" s="493">
        <f t="shared" si="14"/>
        <v>354296543</v>
      </c>
      <c r="CF205" s="493">
        <f t="shared" si="14"/>
        <v>0</v>
      </c>
      <c r="CG205" s="493">
        <f t="shared" si="14"/>
        <v>0</v>
      </c>
      <c r="CH205" s="493">
        <f t="shared" si="14"/>
        <v>0</v>
      </c>
      <c r="CI205" s="493">
        <f t="shared" si="14"/>
        <v>0</v>
      </c>
      <c r="CJ205" s="493">
        <f t="shared" si="13"/>
        <v>0</v>
      </c>
      <c r="CK205" s="493">
        <f t="shared" si="13"/>
        <v>0</v>
      </c>
      <c r="CL205" s="493">
        <f t="shared" si="13"/>
        <v>0</v>
      </c>
      <c r="CM205" s="493">
        <f t="shared" si="16"/>
        <v>120000000</v>
      </c>
      <c r="CN205" s="493">
        <f t="shared" si="16"/>
        <v>0</v>
      </c>
      <c r="CO205" s="493">
        <f t="shared" si="16"/>
        <v>0</v>
      </c>
      <c r="CP205" s="502" t="s">
        <v>6325</v>
      </c>
      <c r="CQ205" s="502" t="s">
        <v>6326</v>
      </c>
    </row>
    <row r="206" spans="1:95" ht="30.45" hidden="1" customHeight="1" thickBot="1">
      <c r="A206" s="555" t="s">
        <v>4289</v>
      </c>
      <c r="B206" s="479">
        <v>204</v>
      </c>
      <c r="C206" s="480" t="s">
        <v>4255</v>
      </c>
      <c r="D206" s="480" t="s">
        <v>4400</v>
      </c>
      <c r="E206" s="480" t="str">
        <f t="shared" si="15"/>
        <v xml:space="preserve">2.3.3 </v>
      </c>
      <c r="F206" s="480" t="s">
        <v>4412</v>
      </c>
      <c r="G206" s="480" t="s">
        <v>4413</v>
      </c>
      <c r="H206" s="481">
        <v>35</v>
      </c>
      <c r="I206" s="480" t="s">
        <v>4277</v>
      </c>
      <c r="J206" s="495">
        <v>350209800</v>
      </c>
      <c r="K206" s="480" t="s">
        <v>4417</v>
      </c>
      <c r="L206" s="480" t="s">
        <v>4418</v>
      </c>
      <c r="M206" s="480" t="s">
        <v>5830</v>
      </c>
      <c r="N206" s="499">
        <v>1</v>
      </c>
      <c r="O206" s="480" t="s">
        <v>4288</v>
      </c>
      <c r="P206" s="515">
        <v>5</v>
      </c>
      <c r="Q206" s="485" t="s">
        <v>5349</v>
      </c>
      <c r="R206" s="485" t="s">
        <v>5430</v>
      </c>
      <c r="S206" s="485" t="s">
        <v>677</v>
      </c>
      <c r="T206" s="485" t="s">
        <v>5431</v>
      </c>
      <c r="U206" s="485" t="s">
        <v>5432</v>
      </c>
      <c r="V206" s="485">
        <v>0.88</v>
      </c>
      <c r="W206" s="485" t="s">
        <v>5331</v>
      </c>
      <c r="X206" s="485">
        <v>4</v>
      </c>
      <c r="Y206" s="485" t="s">
        <v>5433</v>
      </c>
      <c r="Z206" s="486">
        <v>16623200</v>
      </c>
      <c r="AA206" s="486">
        <v>0</v>
      </c>
      <c r="AB206" s="486">
        <v>0</v>
      </c>
      <c r="AC206" s="486">
        <v>0</v>
      </c>
      <c r="AD206" s="486">
        <v>0</v>
      </c>
      <c r="AE206" s="486">
        <v>0</v>
      </c>
      <c r="AF206" s="486">
        <v>0</v>
      </c>
      <c r="AG206" s="486">
        <v>0</v>
      </c>
      <c r="AH206" s="487">
        <v>16623200</v>
      </c>
      <c r="AI206" s="486">
        <v>35000000</v>
      </c>
      <c r="AJ206" s="486">
        <v>0</v>
      </c>
      <c r="AK206" s="486">
        <v>0</v>
      </c>
      <c r="AL206" s="488">
        <v>35000000</v>
      </c>
      <c r="AM206" s="489">
        <v>51623200</v>
      </c>
      <c r="AN206" s="486">
        <v>18285500</v>
      </c>
      <c r="AO206" s="486">
        <v>0</v>
      </c>
      <c r="AP206" s="486">
        <v>0</v>
      </c>
      <c r="AQ206" s="486">
        <v>0</v>
      </c>
      <c r="AR206" s="486">
        <v>0</v>
      </c>
      <c r="AS206" s="486">
        <v>0</v>
      </c>
      <c r="AT206" s="486">
        <v>0</v>
      </c>
      <c r="AU206" s="486">
        <v>0</v>
      </c>
      <c r="AV206" s="487">
        <v>18285500</v>
      </c>
      <c r="AW206" s="486">
        <v>35000000</v>
      </c>
      <c r="AX206" s="486">
        <v>0</v>
      </c>
      <c r="AY206" s="486">
        <v>0</v>
      </c>
      <c r="AZ206" s="488">
        <v>35000000</v>
      </c>
      <c r="BA206" s="490">
        <v>53285500</v>
      </c>
      <c r="BB206" s="486">
        <v>20114072</v>
      </c>
      <c r="BC206" s="486">
        <v>0</v>
      </c>
      <c r="BD206" s="486">
        <v>0</v>
      </c>
      <c r="BE206" s="486">
        <v>0</v>
      </c>
      <c r="BF206" s="486">
        <v>0</v>
      </c>
      <c r="BG206" s="486">
        <v>0</v>
      </c>
      <c r="BH206" s="486">
        <v>0</v>
      </c>
      <c r="BI206" s="486">
        <v>0</v>
      </c>
      <c r="BJ206" s="487">
        <v>20114072</v>
      </c>
      <c r="BK206" s="486">
        <v>35000000</v>
      </c>
      <c r="BL206" s="486">
        <v>0</v>
      </c>
      <c r="BM206" s="486">
        <v>0</v>
      </c>
      <c r="BN206" s="488">
        <v>35000000</v>
      </c>
      <c r="BO206" s="490">
        <v>55114072</v>
      </c>
      <c r="BP206" s="486">
        <v>22125474</v>
      </c>
      <c r="BQ206" s="486">
        <v>0</v>
      </c>
      <c r="BR206" s="486">
        <v>0</v>
      </c>
      <c r="BS206" s="486">
        <v>0</v>
      </c>
      <c r="BT206" s="486">
        <v>0</v>
      </c>
      <c r="BU206" s="486">
        <v>0</v>
      </c>
      <c r="BV206" s="486">
        <v>0</v>
      </c>
      <c r="BW206" s="486">
        <v>0</v>
      </c>
      <c r="BX206" s="487">
        <v>22125474</v>
      </c>
      <c r="BY206" s="486">
        <v>35000000</v>
      </c>
      <c r="BZ206" s="486">
        <v>0</v>
      </c>
      <c r="CA206" s="486">
        <v>0</v>
      </c>
      <c r="CB206" s="488">
        <v>35000000</v>
      </c>
      <c r="CC206" s="491">
        <v>57125474</v>
      </c>
      <c r="CD206" s="492">
        <v>217148246</v>
      </c>
      <c r="CE206" s="493">
        <f t="shared" si="14"/>
        <v>77148246</v>
      </c>
      <c r="CF206" s="493">
        <f t="shared" si="14"/>
        <v>0</v>
      </c>
      <c r="CG206" s="493">
        <f t="shared" si="14"/>
        <v>0</v>
      </c>
      <c r="CH206" s="493">
        <f t="shared" si="14"/>
        <v>0</v>
      </c>
      <c r="CI206" s="493">
        <f t="shared" si="14"/>
        <v>0</v>
      </c>
      <c r="CJ206" s="493">
        <f t="shared" si="13"/>
        <v>0</v>
      </c>
      <c r="CK206" s="493">
        <f t="shared" si="13"/>
        <v>0</v>
      </c>
      <c r="CL206" s="493">
        <f t="shared" si="13"/>
        <v>0</v>
      </c>
      <c r="CM206" s="493">
        <f t="shared" si="16"/>
        <v>140000000</v>
      </c>
      <c r="CN206" s="493">
        <f t="shared" si="16"/>
        <v>0</v>
      </c>
      <c r="CO206" s="493">
        <f t="shared" si="16"/>
        <v>0</v>
      </c>
      <c r="CP206" s="494" t="s">
        <v>6327</v>
      </c>
      <c r="CQ206" s="494" t="s">
        <v>6328</v>
      </c>
    </row>
    <row r="207" spans="1:95" ht="30.45" hidden="1" customHeight="1" thickBot="1">
      <c r="A207" s="555" t="s">
        <v>4289</v>
      </c>
      <c r="B207" s="479">
        <v>205</v>
      </c>
      <c r="C207" s="480" t="s">
        <v>4255</v>
      </c>
      <c r="D207" s="480" t="s">
        <v>4400</v>
      </c>
      <c r="E207" s="480" t="str">
        <f t="shared" si="15"/>
        <v xml:space="preserve">2.3.4 </v>
      </c>
      <c r="F207" s="480" t="s">
        <v>4419</v>
      </c>
      <c r="G207" s="480" t="s">
        <v>4420</v>
      </c>
      <c r="H207" s="481">
        <v>35</v>
      </c>
      <c r="I207" s="480" t="s">
        <v>4277</v>
      </c>
      <c r="J207" s="495">
        <v>350204700</v>
      </c>
      <c r="K207" s="480" t="s">
        <v>4063</v>
      </c>
      <c r="L207" s="480" t="s">
        <v>4421</v>
      </c>
      <c r="M207" s="480" t="s">
        <v>6499</v>
      </c>
      <c r="N207" s="499">
        <v>0</v>
      </c>
      <c r="O207" s="480" t="s">
        <v>4288</v>
      </c>
      <c r="P207" s="515">
        <v>4</v>
      </c>
      <c r="Q207" s="485" t="s">
        <v>5349</v>
      </c>
      <c r="R207" s="485" t="s">
        <v>5434</v>
      </c>
      <c r="S207" s="485" t="s">
        <v>677</v>
      </c>
      <c r="T207" s="485">
        <v>0.16259999999999999</v>
      </c>
      <c r="U207" s="485" t="s">
        <v>4288</v>
      </c>
      <c r="V207" s="485">
        <v>0.2276</v>
      </c>
      <c r="W207" s="485" t="s">
        <v>5331</v>
      </c>
      <c r="X207" s="485">
        <v>17</v>
      </c>
      <c r="Y207" s="485" t="s">
        <v>5391</v>
      </c>
      <c r="Z207" s="486">
        <v>65431200</v>
      </c>
      <c r="AA207" s="486">
        <v>0</v>
      </c>
      <c r="AB207" s="486">
        <v>0</v>
      </c>
      <c r="AC207" s="486">
        <v>0</v>
      </c>
      <c r="AD207" s="486">
        <v>0</v>
      </c>
      <c r="AE207" s="486">
        <v>0</v>
      </c>
      <c r="AF207" s="486">
        <v>0</v>
      </c>
      <c r="AG207" s="486">
        <v>0</v>
      </c>
      <c r="AH207" s="487">
        <v>65431200</v>
      </c>
      <c r="AI207" s="486">
        <v>0</v>
      </c>
      <c r="AJ207" s="486">
        <v>0</v>
      </c>
      <c r="AK207" s="486">
        <v>0</v>
      </c>
      <c r="AL207" s="488">
        <v>0</v>
      </c>
      <c r="AM207" s="489">
        <v>65431200</v>
      </c>
      <c r="AN207" s="486">
        <v>71931200</v>
      </c>
      <c r="AO207" s="486">
        <v>0</v>
      </c>
      <c r="AP207" s="486">
        <v>0</v>
      </c>
      <c r="AQ207" s="486">
        <v>0</v>
      </c>
      <c r="AR207" s="486">
        <v>0</v>
      </c>
      <c r="AS207" s="486">
        <v>0</v>
      </c>
      <c r="AT207" s="486">
        <v>0</v>
      </c>
      <c r="AU207" s="486">
        <v>0</v>
      </c>
      <c r="AV207" s="487">
        <v>71931200</v>
      </c>
      <c r="AW207" s="486">
        <v>0</v>
      </c>
      <c r="AX207" s="486">
        <v>0</v>
      </c>
      <c r="AY207" s="486">
        <v>0</v>
      </c>
      <c r="AZ207" s="488">
        <v>0</v>
      </c>
      <c r="BA207" s="490">
        <v>71931200</v>
      </c>
      <c r="BB207" s="486">
        <v>79171752</v>
      </c>
      <c r="BC207" s="486">
        <v>0</v>
      </c>
      <c r="BD207" s="486">
        <v>0</v>
      </c>
      <c r="BE207" s="486">
        <v>0</v>
      </c>
      <c r="BF207" s="486">
        <v>0</v>
      </c>
      <c r="BG207" s="486">
        <v>0</v>
      </c>
      <c r="BH207" s="486">
        <v>0</v>
      </c>
      <c r="BI207" s="486">
        <v>0</v>
      </c>
      <c r="BJ207" s="487">
        <v>79171752</v>
      </c>
      <c r="BK207" s="486">
        <v>0</v>
      </c>
      <c r="BL207" s="486">
        <v>0</v>
      </c>
      <c r="BM207" s="486">
        <v>0</v>
      </c>
      <c r="BN207" s="488">
        <v>0</v>
      </c>
      <c r="BO207" s="490">
        <v>79171752</v>
      </c>
      <c r="BP207" s="486">
        <v>87088927</v>
      </c>
      <c r="BQ207" s="486">
        <v>0</v>
      </c>
      <c r="BR207" s="486">
        <v>0</v>
      </c>
      <c r="BS207" s="486">
        <v>0</v>
      </c>
      <c r="BT207" s="486">
        <v>0</v>
      </c>
      <c r="BU207" s="486">
        <v>0</v>
      </c>
      <c r="BV207" s="486">
        <v>0</v>
      </c>
      <c r="BW207" s="486">
        <v>0</v>
      </c>
      <c r="BX207" s="487">
        <v>87088927</v>
      </c>
      <c r="BY207" s="486">
        <v>0</v>
      </c>
      <c r="BZ207" s="486">
        <v>0</v>
      </c>
      <c r="CA207" s="486">
        <v>0</v>
      </c>
      <c r="CB207" s="488">
        <v>0</v>
      </c>
      <c r="CC207" s="491">
        <v>87088927</v>
      </c>
      <c r="CD207" s="492">
        <v>303623079</v>
      </c>
      <c r="CE207" s="493">
        <f t="shared" si="14"/>
        <v>303623079</v>
      </c>
      <c r="CF207" s="493">
        <f t="shared" si="14"/>
        <v>0</v>
      </c>
      <c r="CG207" s="493">
        <f t="shared" si="14"/>
        <v>0</v>
      </c>
      <c r="CH207" s="493">
        <f t="shared" si="14"/>
        <v>0</v>
      </c>
      <c r="CI207" s="493">
        <f t="shared" si="14"/>
        <v>0</v>
      </c>
      <c r="CJ207" s="493">
        <f t="shared" si="13"/>
        <v>0</v>
      </c>
      <c r="CK207" s="493">
        <f t="shared" si="13"/>
        <v>0</v>
      </c>
      <c r="CL207" s="493">
        <f t="shared" si="13"/>
        <v>0</v>
      </c>
      <c r="CM207" s="493">
        <f t="shared" si="16"/>
        <v>0</v>
      </c>
      <c r="CN207" s="493">
        <f t="shared" si="16"/>
        <v>0</v>
      </c>
      <c r="CO207" s="493">
        <f t="shared" si="16"/>
        <v>0</v>
      </c>
      <c r="CP207" s="502" t="s">
        <v>6329</v>
      </c>
      <c r="CQ207" s="502" t="s">
        <v>6330</v>
      </c>
    </row>
    <row r="208" spans="1:95" ht="30.45" hidden="1" customHeight="1" thickBot="1">
      <c r="A208" s="555" t="s">
        <v>4289</v>
      </c>
      <c r="B208" s="479">
        <v>206</v>
      </c>
      <c r="C208" s="480" t="s">
        <v>4255</v>
      </c>
      <c r="D208" s="480" t="s">
        <v>4400</v>
      </c>
      <c r="E208" s="480" t="str">
        <f t="shared" si="15"/>
        <v xml:space="preserve">2.3.4 </v>
      </c>
      <c r="F208" s="480" t="s">
        <v>4419</v>
      </c>
      <c r="G208" s="480" t="s">
        <v>4420</v>
      </c>
      <c r="H208" s="481">
        <v>35</v>
      </c>
      <c r="I208" s="480" t="s">
        <v>4277</v>
      </c>
      <c r="J208" s="495">
        <v>350211600</v>
      </c>
      <c r="K208" s="480" t="s">
        <v>4175</v>
      </c>
      <c r="L208" s="480" t="s">
        <v>6500</v>
      </c>
      <c r="M208" s="480" t="s">
        <v>5831</v>
      </c>
      <c r="N208" s="499">
        <v>20</v>
      </c>
      <c r="O208" s="480" t="s">
        <v>4288</v>
      </c>
      <c r="P208" s="515">
        <v>28</v>
      </c>
      <c r="Q208" s="485" t="s">
        <v>5349</v>
      </c>
      <c r="R208" s="485" t="s">
        <v>5434</v>
      </c>
      <c r="S208" s="485" t="s">
        <v>677</v>
      </c>
      <c r="T208" s="485">
        <v>0.16259999999999999</v>
      </c>
      <c r="U208" s="485" t="s">
        <v>4288</v>
      </c>
      <c r="V208" s="485">
        <v>0.2276</v>
      </c>
      <c r="W208" s="485" t="s">
        <v>5331</v>
      </c>
      <c r="X208" s="485">
        <v>17</v>
      </c>
      <c r="Y208" s="485" t="s">
        <v>5391</v>
      </c>
      <c r="Z208" s="486">
        <v>65431200</v>
      </c>
      <c r="AA208" s="486">
        <v>0</v>
      </c>
      <c r="AB208" s="486">
        <v>0</v>
      </c>
      <c r="AC208" s="486">
        <v>0</v>
      </c>
      <c r="AD208" s="486">
        <v>0</v>
      </c>
      <c r="AE208" s="486">
        <v>0</v>
      </c>
      <c r="AF208" s="486">
        <v>0</v>
      </c>
      <c r="AG208" s="486">
        <v>0</v>
      </c>
      <c r="AH208" s="487">
        <v>65431200</v>
      </c>
      <c r="AI208" s="486">
        <v>50000000</v>
      </c>
      <c r="AJ208" s="486">
        <v>0</v>
      </c>
      <c r="AK208" s="486">
        <v>0</v>
      </c>
      <c r="AL208" s="488">
        <v>50000000</v>
      </c>
      <c r="AM208" s="489">
        <v>115431200</v>
      </c>
      <c r="AN208" s="486">
        <v>71931200</v>
      </c>
      <c r="AO208" s="486">
        <v>0</v>
      </c>
      <c r="AP208" s="486">
        <v>0</v>
      </c>
      <c r="AQ208" s="486">
        <v>0</v>
      </c>
      <c r="AR208" s="486">
        <v>0</v>
      </c>
      <c r="AS208" s="486">
        <v>0</v>
      </c>
      <c r="AT208" s="486">
        <v>0</v>
      </c>
      <c r="AU208" s="486">
        <v>0</v>
      </c>
      <c r="AV208" s="487">
        <v>71931200</v>
      </c>
      <c r="AW208" s="486">
        <v>50000000</v>
      </c>
      <c r="AX208" s="486">
        <v>0</v>
      </c>
      <c r="AY208" s="486">
        <v>0</v>
      </c>
      <c r="AZ208" s="488">
        <v>50000000</v>
      </c>
      <c r="BA208" s="490">
        <v>121931200</v>
      </c>
      <c r="BB208" s="486">
        <v>79171752</v>
      </c>
      <c r="BC208" s="486">
        <v>0</v>
      </c>
      <c r="BD208" s="486">
        <v>0</v>
      </c>
      <c r="BE208" s="486">
        <v>0</v>
      </c>
      <c r="BF208" s="486">
        <v>0</v>
      </c>
      <c r="BG208" s="486">
        <v>0</v>
      </c>
      <c r="BH208" s="486">
        <v>0</v>
      </c>
      <c r="BI208" s="486">
        <v>0</v>
      </c>
      <c r="BJ208" s="487">
        <v>79171752</v>
      </c>
      <c r="BK208" s="486">
        <v>50000000</v>
      </c>
      <c r="BL208" s="486">
        <v>0</v>
      </c>
      <c r="BM208" s="486">
        <v>0</v>
      </c>
      <c r="BN208" s="488">
        <v>50000000</v>
      </c>
      <c r="BO208" s="490">
        <v>129171752</v>
      </c>
      <c r="BP208" s="486">
        <v>87088927</v>
      </c>
      <c r="BQ208" s="486">
        <v>0</v>
      </c>
      <c r="BR208" s="486">
        <v>0</v>
      </c>
      <c r="BS208" s="486">
        <v>0</v>
      </c>
      <c r="BT208" s="486">
        <v>0</v>
      </c>
      <c r="BU208" s="486">
        <v>0</v>
      </c>
      <c r="BV208" s="486">
        <v>0</v>
      </c>
      <c r="BW208" s="486">
        <v>0</v>
      </c>
      <c r="BX208" s="487">
        <v>87088927</v>
      </c>
      <c r="BY208" s="486">
        <v>50000000</v>
      </c>
      <c r="BZ208" s="486">
        <v>0</v>
      </c>
      <c r="CA208" s="486">
        <v>0</v>
      </c>
      <c r="CB208" s="488">
        <v>50000000</v>
      </c>
      <c r="CC208" s="491">
        <v>137088927</v>
      </c>
      <c r="CD208" s="492">
        <v>503623079</v>
      </c>
      <c r="CE208" s="493">
        <f t="shared" si="14"/>
        <v>303623079</v>
      </c>
      <c r="CF208" s="493">
        <f t="shared" si="14"/>
        <v>0</v>
      </c>
      <c r="CG208" s="493">
        <f t="shared" si="14"/>
        <v>0</v>
      </c>
      <c r="CH208" s="493">
        <f t="shared" si="14"/>
        <v>0</v>
      </c>
      <c r="CI208" s="493">
        <f t="shared" si="14"/>
        <v>0</v>
      </c>
      <c r="CJ208" s="493">
        <f t="shared" si="13"/>
        <v>0</v>
      </c>
      <c r="CK208" s="493">
        <f t="shared" si="13"/>
        <v>0</v>
      </c>
      <c r="CL208" s="493">
        <f t="shared" si="13"/>
        <v>0</v>
      </c>
      <c r="CM208" s="493">
        <f t="shared" si="16"/>
        <v>200000000</v>
      </c>
      <c r="CN208" s="493">
        <f t="shared" si="16"/>
        <v>0</v>
      </c>
      <c r="CO208" s="493">
        <f t="shared" si="16"/>
        <v>0</v>
      </c>
      <c r="CP208" s="502" t="s">
        <v>6329</v>
      </c>
      <c r="CQ208" s="502" t="s">
        <v>6330</v>
      </c>
    </row>
    <row r="209" spans="1:95" ht="30.45" hidden="1" customHeight="1" thickBot="1">
      <c r="A209" s="555" t="s">
        <v>4431</v>
      </c>
      <c r="B209" s="479">
        <v>207</v>
      </c>
      <c r="C209" s="480" t="s">
        <v>4255</v>
      </c>
      <c r="D209" s="480" t="s">
        <v>4422</v>
      </c>
      <c r="E209" s="480" t="str">
        <f t="shared" si="15"/>
        <v>2.4.1 </v>
      </c>
      <c r="F209" s="480" t="s">
        <v>4423</v>
      </c>
      <c r="G209" s="480" t="s">
        <v>4424</v>
      </c>
      <c r="H209" s="481">
        <v>24</v>
      </c>
      <c r="I209" s="480" t="s">
        <v>4425</v>
      </c>
      <c r="J209" s="495">
        <v>240100800</v>
      </c>
      <c r="K209" s="480" t="s">
        <v>6185</v>
      </c>
      <c r="L209" s="480" t="s">
        <v>4427</v>
      </c>
      <c r="M209" s="480" t="s">
        <v>5832</v>
      </c>
      <c r="N209" s="499" t="s">
        <v>4428</v>
      </c>
      <c r="O209" s="480" t="s">
        <v>4429</v>
      </c>
      <c r="P209" s="515" t="s">
        <v>4430</v>
      </c>
      <c r="Q209" s="485" t="s">
        <v>5349</v>
      </c>
      <c r="R209" s="485" t="s">
        <v>5435</v>
      </c>
      <c r="S209" s="485" t="s">
        <v>689</v>
      </c>
      <c r="T209" s="485">
        <v>4.01</v>
      </c>
      <c r="U209" s="485" t="s">
        <v>5393</v>
      </c>
      <c r="V209" s="485">
        <v>4.51</v>
      </c>
      <c r="W209" s="485" t="s">
        <v>5331</v>
      </c>
      <c r="X209" s="485">
        <v>9</v>
      </c>
      <c r="Y209" s="485" t="s">
        <v>849</v>
      </c>
      <c r="Z209" s="486">
        <v>0</v>
      </c>
      <c r="AA209" s="486">
        <v>0</v>
      </c>
      <c r="AB209" s="486">
        <v>0</v>
      </c>
      <c r="AC209" s="486">
        <v>0</v>
      </c>
      <c r="AD209" s="486">
        <v>0</v>
      </c>
      <c r="AE209" s="486">
        <v>0</v>
      </c>
      <c r="AF209" s="486">
        <v>900000000</v>
      </c>
      <c r="AG209" s="486">
        <v>21000000000</v>
      </c>
      <c r="AH209" s="487">
        <v>21900000000</v>
      </c>
      <c r="AI209" s="486">
        <v>0</v>
      </c>
      <c r="AJ209" s="486">
        <v>0</v>
      </c>
      <c r="AK209" s="486">
        <v>0</v>
      </c>
      <c r="AL209" s="488">
        <v>0</v>
      </c>
      <c r="AM209" s="489">
        <v>21900000000</v>
      </c>
      <c r="AN209" s="486">
        <v>0</v>
      </c>
      <c r="AO209" s="486">
        <v>0</v>
      </c>
      <c r="AP209" s="486">
        <v>0</v>
      </c>
      <c r="AQ209" s="486">
        <v>0</v>
      </c>
      <c r="AR209" s="486">
        <v>0</v>
      </c>
      <c r="AS209" s="486">
        <v>0</v>
      </c>
      <c r="AT209" s="486">
        <v>0</v>
      </c>
      <c r="AU209" s="486">
        <v>73500000000</v>
      </c>
      <c r="AV209" s="487">
        <v>73500000000</v>
      </c>
      <c r="AW209" s="486">
        <v>0</v>
      </c>
      <c r="AX209" s="486">
        <v>0</v>
      </c>
      <c r="AY209" s="486">
        <v>0</v>
      </c>
      <c r="AZ209" s="488">
        <v>0</v>
      </c>
      <c r="BA209" s="490">
        <v>73500000000</v>
      </c>
      <c r="BB209" s="486">
        <v>0</v>
      </c>
      <c r="BC209" s="486">
        <v>0</v>
      </c>
      <c r="BD209" s="486">
        <v>0</v>
      </c>
      <c r="BE209" s="486">
        <v>0</v>
      </c>
      <c r="BF209" s="486">
        <v>0</v>
      </c>
      <c r="BG209" s="486">
        <v>0</v>
      </c>
      <c r="BH209" s="486">
        <v>0</v>
      </c>
      <c r="BI209" s="486">
        <v>45150000000</v>
      </c>
      <c r="BJ209" s="487">
        <v>45150000000</v>
      </c>
      <c r="BK209" s="486">
        <v>0</v>
      </c>
      <c r="BL209" s="486">
        <v>0</v>
      </c>
      <c r="BM209" s="486">
        <v>0</v>
      </c>
      <c r="BN209" s="488">
        <v>0</v>
      </c>
      <c r="BO209" s="490">
        <v>45150000000</v>
      </c>
      <c r="BP209" s="486">
        <v>0</v>
      </c>
      <c r="BQ209" s="486">
        <v>0</v>
      </c>
      <c r="BR209" s="486">
        <v>0</v>
      </c>
      <c r="BS209" s="486">
        <v>0</v>
      </c>
      <c r="BT209" s="486">
        <v>0</v>
      </c>
      <c r="BU209" s="486">
        <v>0</v>
      </c>
      <c r="BV209" s="486">
        <v>0</v>
      </c>
      <c r="BW209" s="486">
        <v>0</v>
      </c>
      <c r="BX209" s="487">
        <v>0</v>
      </c>
      <c r="BY209" s="486">
        <v>0</v>
      </c>
      <c r="BZ209" s="486">
        <v>0</v>
      </c>
      <c r="CA209" s="486">
        <v>0</v>
      </c>
      <c r="CB209" s="488">
        <v>0</v>
      </c>
      <c r="CC209" s="491">
        <v>0</v>
      </c>
      <c r="CD209" s="492">
        <v>140550000000</v>
      </c>
      <c r="CE209" s="493">
        <f t="shared" si="14"/>
        <v>0</v>
      </c>
      <c r="CF209" s="493">
        <f t="shared" si="14"/>
        <v>0</v>
      </c>
      <c r="CG209" s="493">
        <f t="shared" si="14"/>
        <v>0</v>
      </c>
      <c r="CH209" s="493">
        <f t="shared" si="14"/>
        <v>0</v>
      </c>
      <c r="CI209" s="493">
        <f t="shared" si="14"/>
        <v>0</v>
      </c>
      <c r="CJ209" s="493">
        <f t="shared" si="13"/>
        <v>0</v>
      </c>
      <c r="CK209" s="493">
        <f t="shared" si="13"/>
        <v>900000000</v>
      </c>
      <c r="CL209" s="493">
        <f t="shared" si="13"/>
        <v>139650000000</v>
      </c>
      <c r="CM209" s="493">
        <f t="shared" si="16"/>
        <v>0</v>
      </c>
      <c r="CN209" s="493">
        <f t="shared" si="16"/>
        <v>0</v>
      </c>
      <c r="CO209" s="493">
        <f t="shared" si="16"/>
        <v>0</v>
      </c>
      <c r="CP209" s="494">
        <v>9</v>
      </c>
      <c r="CQ209" s="494" t="s">
        <v>849</v>
      </c>
    </row>
    <row r="210" spans="1:95" ht="30.45" hidden="1" customHeight="1" thickBot="1">
      <c r="A210" s="555" t="s">
        <v>4431</v>
      </c>
      <c r="B210" s="479">
        <v>208</v>
      </c>
      <c r="C210" s="480" t="s">
        <v>4255</v>
      </c>
      <c r="D210" s="480" t="s">
        <v>4422</v>
      </c>
      <c r="E210" s="480" t="str">
        <f t="shared" si="15"/>
        <v>2.4.1 </v>
      </c>
      <c r="F210" s="480" t="s">
        <v>4423</v>
      </c>
      <c r="G210" s="480" t="s">
        <v>4424</v>
      </c>
      <c r="H210" s="481">
        <v>24</v>
      </c>
      <c r="I210" s="480" t="s">
        <v>4432</v>
      </c>
      <c r="J210" s="495">
        <v>240200600</v>
      </c>
      <c r="K210" s="480" t="s">
        <v>4433</v>
      </c>
      <c r="L210" s="480" t="s">
        <v>4434</v>
      </c>
      <c r="M210" s="480" t="s">
        <v>5833</v>
      </c>
      <c r="N210" s="499" t="s">
        <v>4435</v>
      </c>
      <c r="O210" s="480" t="s">
        <v>4429</v>
      </c>
      <c r="P210" s="515">
        <v>850</v>
      </c>
      <c r="Q210" s="485" t="s">
        <v>5349</v>
      </c>
      <c r="R210" s="485" t="s">
        <v>5435</v>
      </c>
      <c r="S210" s="485" t="s">
        <v>689</v>
      </c>
      <c r="T210" s="485">
        <v>4.01</v>
      </c>
      <c r="U210" s="485" t="s">
        <v>5393</v>
      </c>
      <c r="V210" s="485">
        <v>4.51</v>
      </c>
      <c r="W210" s="485" t="s">
        <v>5331</v>
      </c>
      <c r="X210" s="485">
        <v>9</v>
      </c>
      <c r="Y210" s="485" t="s">
        <v>849</v>
      </c>
      <c r="Z210" s="486">
        <v>2723400000</v>
      </c>
      <c r="AA210" s="486">
        <v>1000000000</v>
      </c>
      <c r="AB210" s="486">
        <v>0</v>
      </c>
      <c r="AC210" s="486">
        <v>0</v>
      </c>
      <c r="AD210" s="486">
        <v>0</v>
      </c>
      <c r="AE210" s="486">
        <v>0</v>
      </c>
      <c r="AF210" s="486">
        <v>11700000000</v>
      </c>
      <c r="AG210" s="486">
        <v>0</v>
      </c>
      <c r="AH210" s="487">
        <v>15423400000</v>
      </c>
      <c r="AI210" s="486">
        <v>0</v>
      </c>
      <c r="AJ210" s="486">
        <v>0</v>
      </c>
      <c r="AK210" s="486">
        <v>32276600000</v>
      </c>
      <c r="AL210" s="488">
        <v>32276600000</v>
      </c>
      <c r="AM210" s="489">
        <v>47700000000</v>
      </c>
      <c r="AN210" s="486">
        <v>1332336000</v>
      </c>
      <c r="AO210" s="486">
        <v>0</v>
      </c>
      <c r="AP210" s="486">
        <v>0</v>
      </c>
      <c r="AQ210" s="486">
        <v>0</v>
      </c>
      <c r="AR210" s="486">
        <v>0</v>
      </c>
      <c r="AS210" s="486">
        <v>0</v>
      </c>
      <c r="AT210" s="486">
        <v>35107210874</v>
      </c>
      <c r="AU210" s="486">
        <v>0</v>
      </c>
      <c r="AV210" s="487">
        <v>36439546874</v>
      </c>
      <c r="AW210" s="486">
        <v>13666666666.666666</v>
      </c>
      <c r="AX210" s="486">
        <v>0</v>
      </c>
      <c r="AY210" s="486">
        <v>156817664000</v>
      </c>
      <c r="AZ210" s="488">
        <v>170484330666.66666</v>
      </c>
      <c r="BA210" s="490">
        <v>206923877540.66666</v>
      </c>
      <c r="BB210" s="486">
        <v>2945629440</v>
      </c>
      <c r="BC210" s="486">
        <v>0</v>
      </c>
      <c r="BD210" s="486">
        <v>0</v>
      </c>
      <c r="BE210" s="486">
        <v>0</v>
      </c>
      <c r="BF210" s="486">
        <v>0</v>
      </c>
      <c r="BG210" s="486">
        <v>0</v>
      </c>
      <c r="BH210" s="486">
        <v>34643499309</v>
      </c>
      <c r="BI210" s="486">
        <v>0</v>
      </c>
      <c r="BJ210" s="487">
        <v>37589128749</v>
      </c>
      <c r="BK210" s="486">
        <v>13666666666.666666</v>
      </c>
      <c r="BL210" s="486">
        <v>0</v>
      </c>
      <c r="BM210" s="486">
        <v>126410871251</v>
      </c>
      <c r="BN210" s="488">
        <v>140077537917.66666</v>
      </c>
      <c r="BO210" s="490">
        <v>177666666666.66666</v>
      </c>
      <c r="BP210" s="486">
        <v>0</v>
      </c>
      <c r="BQ210" s="486">
        <v>3101239282</v>
      </c>
      <c r="BR210" s="486">
        <v>0</v>
      </c>
      <c r="BS210" s="486">
        <v>0</v>
      </c>
      <c r="BT210" s="486">
        <v>0</v>
      </c>
      <c r="BU210" s="486">
        <v>0</v>
      </c>
      <c r="BV210" s="486"/>
      <c r="BW210" s="486">
        <v>0</v>
      </c>
      <c r="BX210" s="487">
        <v>3101239282</v>
      </c>
      <c r="BY210" s="486">
        <v>13666666666.666666</v>
      </c>
      <c r="BZ210" s="486">
        <v>0</v>
      </c>
      <c r="CA210" s="486">
        <v>191641915003</v>
      </c>
      <c r="CB210" s="488">
        <v>205308581669.66666</v>
      </c>
      <c r="CC210" s="491">
        <v>208409820951.66666</v>
      </c>
      <c r="CD210" s="492">
        <v>640700365159</v>
      </c>
      <c r="CE210" s="493">
        <f t="shared" si="14"/>
        <v>7001365440</v>
      </c>
      <c r="CF210" s="493">
        <f t="shared" si="14"/>
        <v>4101239282</v>
      </c>
      <c r="CG210" s="493">
        <f t="shared" si="14"/>
        <v>0</v>
      </c>
      <c r="CH210" s="493">
        <f t="shared" si="14"/>
        <v>0</v>
      </c>
      <c r="CI210" s="493">
        <f t="shared" si="14"/>
        <v>0</v>
      </c>
      <c r="CJ210" s="493">
        <f t="shared" si="13"/>
        <v>0</v>
      </c>
      <c r="CK210" s="493">
        <f t="shared" si="13"/>
        <v>81450710183</v>
      </c>
      <c r="CL210" s="493">
        <f t="shared" si="13"/>
        <v>0</v>
      </c>
      <c r="CM210" s="493">
        <f t="shared" si="16"/>
        <v>41000000000</v>
      </c>
      <c r="CN210" s="493">
        <f t="shared" si="16"/>
        <v>0</v>
      </c>
      <c r="CO210" s="493">
        <f t="shared" si="16"/>
        <v>507147050254</v>
      </c>
      <c r="CP210" s="494">
        <v>9</v>
      </c>
      <c r="CQ210" s="494" t="s">
        <v>849</v>
      </c>
    </row>
    <row r="211" spans="1:95" ht="30.45" hidden="1" customHeight="1" thickBot="1">
      <c r="A211" s="555" t="s">
        <v>4431</v>
      </c>
      <c r="B211" s="479">
        <v>209</v>
      </c>
      <c r="C211" s="480" t="s">
        <v>4255</v>
      </c>
      <c r="D211" s="480" t="s">
        <v>4422</v>
      </c>
      <c r="E211" s="480" t="str">
        <f t="shared" si="15"/>
        <v>2.4.1 </v>
      </c>
      <c r="F211" s="480" t="s">
        <v>4423</v>
      </c>
      <c r="G211" s="480" t="s">
        <v>4424</v>
      </c>
      <c r="H211" s="481">
        <v>24</v>
      </c>
      <c r="I211" s="480" t="s">
        <v>4432</v>
      </c>
      <c r="J211" s="495">
        <v>240204100</v>
      </c>
      <c r="K211" s="480" t="s">
        <v>4436</v>
      </c>
      <c r="L211" s="480" t="s">
        <v>4437</v>
      </c>
      <c r="M211" s="480" t="s">
        <v>5834</v>
      </c>
      <c r="N211" s="499" t="s">
        <v>4438</v>
      </c>
      <c r="O211" s="480" t="s">
        <v>4429</v>
      </c>
      <c r="P211" s="515">
        <v>20</v>
      </c>
      <c r="Q211" s="485" t="s">
        <v>5349</v>
      </c>
      <c r="R211" s="485" t="s">
        <v>5435</v>
      </c>
      <c r="S211" s="485" t="s">
        <v>689</v>
      </c>
      <c r="T211" s="485">
        <v>4.01</v>
      </c>
      <c r="U211" s="485" t="s">
        <v>5393</v>
      </c>
      <c r="V211" s="485">
        <v>4.51</v>
      </c>
      <c r="W211" s="485" t="s">
        <v>5331</v>
      </c>
      <c r="X211" s="485">
        <v>9</v>
      </c>
      <c r="Y211" s="485" t="s">
        <v>849</v>
      </c>
      <c r="Z211" s="486">
        <v>0</v>
      </c>
      <c r="AA211" s="486">
        <v>1349548918</v>
      </c>
      <c r="AB211" s="486">
        <v>0</v>
      </c>
      <c r="AC211" s="486">
        <v>0</v>
      </c>
      <c r="AD211" s="486">
        <v>0</v>
      </c>
      <c r="AE211" s="486">
        <v>0</v>
      </c>
      <c r="AF211" s="486">
        <v>1150000000</v>
      </c>
      <c r="AG211" s="486">
        <v>0</v>
      </c>
      <c r="AH211" s="487">
        <v>2499548918</v>
      </c>
      <c r="AI211" s="486">
        <v>0</v>
      </c>
      <c r="AJ211" s="486">
        <v>0</v>
      </c>
      <c r="AK211" s="486">
        <v>0</v>
      </c>
      <c r="AL211" s="488">
        <v>0</v>
      </c>
      <c r="AM211" s="489">
        <v>2499548918</v>
      </c>
      <c r="AN211" s="486">
        <v>1500000000</v>
      </c>
      <c r="AO211" s="486">
        <v>107210874</v>
      </c>
      <c r="AP211" s="486">
        <v>0</v>
      </c>
      <c r="AQ211" s="486">
        <v>0</v>
      </c>
      <c r="AR211" s="486">
        <v>0</v>
      </c>
      <c r="AS211" s="486">
        <v>0</v>
      </c>
      <c r="AT211" s="486">
        <v>12159474682</v>
      </c>
      <c r="AU211" s="486">
        <v>0</v>
      </c>
      <c r="AV211" s="487">
        <v>13766685556</v>
      </c>
      <c r="AW211" s="486">
        <v>0</v>
      </c>
      <c r="AX211" s="486">
        <v>0</v>
      </c>
      <c r="AY211" s="486">
        <v>0</v>
      </c>
      <c r="AZ211" s="488">
        <v>0</v>
      </c>
      <c r="BA211" s="490">
        <v>13766685556</v>
      </c>
      <c r="BB211" s="486">
        <v>0</v>
      </c>
      <c r="BC211" s="486">
        <v>1143499309</v>
      </c>
      <c r="BD211" s="486">
        <v>0</v>
      </c>
      <c r="BE211" s="486">
        <v>0</v>
      </c>
      <c r="BF211" s="486">
        <v>0</v>
      </c>
      <c r="BG211" s="486">
        <v>0</v>
      </c>
      <c r="BH211" s="486">
        <v>13623186247</v>
      </c>
      <c r="BI211" s="486">
        <v>0</v>
      </c>
      <c r="BJ211" s="487">
        <v>14766685556</v>
      </c>
      <c r="BK211" s="486">
        <v>0</v>
      </c>
      <c r="BL211" s="486">
        <v>0</v>
      </c>
      <c r="BM211" s="486">
        <v>0</v>
      </c>
      <c r="BN211" s="488">
        <v>0</v>
      </c>
      <c r="BO211" s="490">
        <v>14766685556</v>
      </c>
      <c r="BP211" s="486">
        <v>3063454617</v>
      </c>
      <c r="BQ211" s="486">
        <v>0</v>
      </c>
      <c r="BR211" s="486">
        <v>0</v>
      </c>
      <c r="BS211" s="486">
        <v>0</v>
      </c>
      <c r="BT211" s="486">
        <v>0</v>
      </c>
      <c r="BU211" s="486">
        <v>0</v>
      </c>
      <c r="BV211" s="486"/>
      <c r="BW211" s="486">
        <v>0</v>
      </c>
      <c r="BX211" s="487">
        <v>3063454617</v>
      </c>
      <c r="BY211" s="486">
        <v>0</v>
      </c>
      <c r="BZ211" s="486">
        <v>0</v>
      </c>
      <c r="CA211" s="486">
        <v>8936545383</v>
      </c>
      <c r="CB211" s="488">
        <v>8936545383</v>
      </c>
      <c r="CC211" s="491">
        <v>12000000000</v>
      </c>
      <c r="CD211" s="492">
        <v>43032920030</v>
      </c>
      <c r="CE211" s="493">
        <f t="shared" si="14"/>
        <v>4563454617</v>
      </c>
      <c r="CF211" s="493">
        <f t="shared" si="14"/>
        <v>2600259101</v>
      </c>
      <c r="CG211" s="493">
        <f t="shared" si="14"/>
        <v>0</v>
      </c>
      <c r="CH211" s="493">
        <f t="shared" si="14"/>
        <v>0</v>
      </c>
      <c r="CI211" s="493">
        <f t="shared" si="14"/>
        <v>0</v>
      </c>
      <c r="CJ211" s="493">
        <f t="shared" si="13"/>
        <v>0</v>
      </c>
      <c r="CK211" s="493">
        <f t="shared" si="13"/>
        <v>26932660929</v>
      </c>
      <c r="CL211" s="493">
        <f t="shared" si="13"/>
        <v>0</v>
      </c>
      <c r="CM211" s="493">
        <f t="shared" si="16"/>
        <v>0</v>
      </c>
      <c r="CN211" s="493">
        <f t="shared" si="16"/>
        <v>0</v>
      </c>
      <c r="CO211" s="493">
        <f t="shared" si="16"/>
        <v>8936545383</v>
      </c>
      <c r="CP211" s="494">
        <v>9</v>
      </c>
      <c r="CQ211" s="494" t="s">
        <v>849</v>
      </c>
    </row>
    <row r="212" spans="1:95" ht="30.45" hidden="1" customHeight="1">
      <c r="A212" s="555" t="s">
        <v>4431</v>
      </c>
      <c r="B212" s="479">
        <v>210</v>
      </c>
      <c r="C212" s="480" t="s">
        <v>4255</v>
      </c>
      <c r="D212" s="480" t="s">
        <v>4422</v>
      </c>
      <c r="E212" s="480" t="str">
        <f t="shared" si="15"/>
        <v>2.4.1 </v>
      </c>
      <c r="F212" s="480" t="s">
        <v>4423</v>
      </c>
      <c r="G212" s="480" t="s">
        <v>4424</v>
      </c>
      <c r="H212" s="481">
        <v>24</v>
      </c>
      <c r="I212" s="480" t="s">
        <v>4432</v>
      </c>
      <c r="J212" s="495">
        <v>240211400</v>
      </c>
      <c r="K212" s="510" t="s">
        <v>4441</v>
      </c>
      <c r="L212" s="480" t="s">
        <v>4442</v>
      </c>
      <c r="M212" s="480" t="s">
        <v>5835</v>
      </c>
      <c r="N212" s="524">
        <v>45526</v>
      </c>
      <c r="O212" s="480" t="s">
        <v>6501</v>
      </c>
      <c r="P212" s="525" t="s">
        <v>6186</v>
      </c>
      <c r="Q212" s="485" t="s">
        <v>5349</v>
      </c>
      <c r="R212" s="485" t="s">
        <v>5435</v>
      </c>
      <c r="S212" s="485" t="s">
        <v>689</v>
      </c>
      <c r="T212" s="485">
        <v>4.01</v>
      </c>
      <c r="U212" s="485" t="s">
        <v>5393</v>
      </c>
      <c r="V212" s="485">
        <v>4.51</v>
      </c>
      <c r="W212" s="485" t="s">
        <v>5331</v>
      </c>
      <c r="X212" s="485">
        <v>9</v>
      </c>
      <c r="Y212" s="485" t="s">
        <v>849</v>
      </c>
      <c r="Z212" s="486">
        <v>0</v>
      </c>
      <c r="AA212" s="486">
        <v>5000000000</v>
      </c>
      <c r="AB212" s="486">
        <v>0</v>
      </c>
      <c r="AC212" s="486">
        <v>0</v>
      </c>
      <c r="AD212" s="486">
        <v>0</v>
      </c>
      <c r="AE212" s="486">
        <v>0</v>
      </c>
      <c r="AF212" s="486">
        <v>0</v>
      </c>
      <c r="AG212" s="486">
        <v>0</v>
      </c>
      <c r="AH212" s="487">
        <v>5000000000</v>
      </c>
      <c r="AI212" s="486">
        <v>0</v>
      </c>
      <c r="AJ212" s="486">
        <v>0</v>
      </c>
      <c r="AK212" s="486">
        <v>0</v>
      </c>
      <c r="AL212" s="488">
        <v>0</v>
      </c>
      <c r="AM212" s="489">
        <v>5000000000</v>
      </c>
      <c r="AN212" s="486">
        <v>0</v>
      </c>
      <c r="AO212" s="486">
        <v>5000000000</v>
      </c>
      <c r="AP212" s="486">
        <v>0</v>
      </c>
      <c r="AQ212" s="486">
        <v>0</v>
      </c>
      <c r="AR212" s="486">
        <v>0</v>
      </c>
      <c r="AS212" s="486">
        <v>0</v>
      </c>
      <c r="AT212" s="486">
        <v>0</v>
      </c>
      <c r="AU212" s="486">
        <v>0</v>
      </c>
      <c r="AV212" s="487">
        <v>5000000000</v>
      </c>
      <c r="AW212" s="486">
        <v>0</v>
      </c>
      <c r="AX212" s="486">
        <v>0</v>
      </c>
      <c r="AY212" s="486">
        <v>0</v>
      </c>
      <c r="AZ212" s="488">
        <v>0</v>
      </c>
      <c r="BA212" s="490">
        <v>5000000000</v>
      </c>
      <c r="BB212" s="486">
        <v>0</v>
      </c>
      <c r="BC212" s="486">
        <v>5000000000</v>
      </c>
      <c r="BD212" s="486">
        <v>0</v>
      </c>
      <c r="BE212" s="486">
        <v>0</v>
      </c>
      <c r="BF212" s="486">
        <v>0</v>
      </c>
      <c r="BG212" s="486">
        <v>0</v>
      </c>
      <c r="BH212" s="486">
        <v>0</v>
      </c>
      <c r="BI212" s="486">
        <v>0</v>
      </c>
      <c r="BJ212" s="487">
        <v>5000000000</v>
      </c>
      <c r="BK212" s="486">
        <v>30000000000</v>
      </c>
      <c r="BL212" s="486">
        <v>0</v>
      </c>
      <c r="BM212" s="486">
        <v>0</v>
      </c>
      <c r="BN212" s="488">
        <v>30000000000</v>
      </c>
      <c r="BO212" s="490">
        <v>35000000000</v>
      </c>
      <c r="BP212" s="486">
        <v>0</v>
      </c>
      <c r="BQ212" s="486">
        <v>5000000000</v>
      </c>
      <c r="BR212" s="486">
        <v>0</v>
      </c>
      <c r="BS212" s="486">
        <v>0</v>
      </c>
      <c r="BT212" s="486">
        <v>0</v>
      </c>
      <c r="BU212" s="486">
        <v>0</v>
      </c>
      <c r="BV212" s="486">
        <v>0</v>
      </c>
      <c r="BW212" s="486">
        <v>0</v>
      </c>
      <c r="BX212" s="487">
        <v>5000000000</v>
      </c>
      <c r="BY212" s="486">
        <v>30000000000</v>
      </c>
      <c r="BZ212" s="486">
        <v>0</v>
      </c>
      <c r="CA212" s="486">
        <v>0</v>
      </c>
      <c r="CB212" s="488">
        <v>30000000000</v>
      </c>
      <c r="CC212" s="491">
        <v>35000000000</v>
      </c>
      <c r="CD212" s="492">
        <v>80000000000</v>
      </c>
      <c r="CE212" s="493">
        <f t="shared" si="14"/>
        <v>0</v>
      </c>
      <c r="CF212" s="493">
        <f t="shared" si="14"/>
        <v>20000000000</v>
      </c>
      <c r="CG212" s="493">
        <f t="shared" si="14"/>
        <v>0</v>
      </c>
      <c r="CH212" s="493">
        <f t="shared" si="14"/>
        <v>0</v>
      </c>
      <c r="CI212" s="493">
        <f t="shared" si="14"/>
        <v>0</v>
      </c>
      <c r="CJ212" s="493">
        <f t="shared" si="13"/>
        <v>0</v>
      </c>
      <c r="CK212" s="493">
        <f t="shared" si="13"/>
        <v>0</v>
      </c>
      <c r="CL212" s="493">
        <f t="shared" si="13"/>
        <v>0</v>
      </c>
      <c r="CM212" s="493">
        <f t="shared" si="16"/>
        <v>60000000000</v>
      </c>
      <c r="CN212" s="493">
        <f t="shared" si="16"/>
        <v>0</v>
      </c>
      <c r="CO212" s="493">
        <f t="shared" si="16"/>
        <v>0</v>
      </c>
    </row>
    <row r="213" spans="1:95" ht="30.45" hidden="1" customHeight="1">
      <c r="A213" s="555" t="s">
        <v>4431</v>
      </c>
      <c r="B213" s="479">
        <v>211</v>
      </c>
      <c r="C213" s="480" t="s">
        <v>4255</v>
      </c>
      <c r="D213" s="480" t="s">
        <v>4422</v>
      </c>
      <c r="E213" s="480" t="str">
        <f t="shared" si="15"/>
        <v>2.4.1 </v>
      </c>
      <c r="F213" s="480" t="s">
        <v>4423</v>
      </c>
      <c r="G213" s="480" t="s">
        <v>4424</v>
      </c>
      <c r="H213" s="481">
        <v>24</v>
      </c>
      <c r="I213" s="480" t="s">
        <v>4432</v>
      </c>
      <c r="J213" s="495">
        <v>240202101</v>
      </c>
      <c r="K213" s="480" t="s">
        <v>4433</v>
      </c>
      <c r="L213" s="480" t="s">
        <v>4440</v>
      </c>
      <c r="M213" s="480" t="s">
        <v>6187</v>
      </c>
      <c r="N213" s="499">
        <v>430</v>
      </c>
      <c r="O213" s="480" t="s">
        <v>6501</v>
      </c>
      <c r="P213" s="525">
        <v>860</v>
      </c>
      <c r="Q213" s="485" t="s">
        <v>5349</v>
      </c>
      <c r="R213" s="485" t="s">
        <v>5435</v>
      </c>
      <c r="S213" s="485" t="s">
        <v>689</v>
      </c>
      <c r="T213" s="485">
        <v>4.01</v>
      </c>
      <c r="U213" s="485" t="s">
        <v>5393</v>
      </c>
      <c r="V213" s="485">
        <v>4.51</v>
      </c>
      <c r="W213" s="485" t="s">
        <v>5331</v>
      </c>
      <c r="X213" s="485">
        <v>9</v>
      </c>
      <c r="Y213" s="485" t="s">
        <v>849</v>
      </c>
      <c r="Z213" s="486">
        <v>0</v>
      </c>
      <c r="AA213" s="486">
        <v>1500000000</v>
      </c>
      <c r="AB213" s="486">
        <v>0</v>
      </c>
      <c r="AC213" s="486">
        <v>0</v>
      </c>
      <c r="AD213" s="486">
        <v>0</v>
      </c>
      <c r="AE213" s="486">
        <v>0</v>
      </c>
      <c r="AF213" s="486">
        <v>0</v>
      </c>
      <c r="AG213" s="486">
        <v>17325000000</v>
      </c>
      <c r="AH213" s="487">
        <v>18825000000</v>
      </c>
      <c r="AI213" s="486">
        <v>0</v>
      </c>
      <c r="AJ213" s="486">
        <v>0</v>
      </c>
      <c r="AK213" s="486">
        <v>0</v>
      </c>
      <c r="AL213" s="488">
        <v>0</v>
      </c>
      <c r="AM213" s="489">
        <v>18825000000</v>
      </c>
      <c r="AN213" s="486">
        <v>0</v>
      </c>
      <c r="AO213" s="486">
        <v>1500000000</v>
      </c>
      <c r="AP213" s="486">
        <v>0</v>
      </c>
      <c r="AQ213" s="486">
        <v>0</v>
      </c>
      <c r="AR213" s="486">
        <v>0</v>
      </c>
      <c r="AS213" s="486">
        <v>0</v>
      </c>
      <c r="AT213" s="486">
        <v>0</v>
      </c>
      <c r="AU213" s="486"/>
      <c r="AV213" s="487">
        <v>1500000000</v>
      </c>
      <c r="AW213" s="486">
        <v>0</v>
      </c>
      <c r="AX213" s="486">
        <v>0</v>
      </c>
      <c r="AY213" s="486">
        <v>0</v>
      </c>
      <c r="AZ213" s="488">
        <v>0</v>
      </c>
      <c r="BA213" s="490">
        <v>1500000000</v>
      </c>
      <c r="BB213" s="486">
        <v>0</v>
      </c>
      <c r="BC213" s="486">
        <v>1500000000</v>
      </c>
      <c r="BD213" s="486">
        <v>0</v>
      </c>
      <c r="BE213" s="486">
        <v>0</v>
      </c>
      <c r="BF213" s="486">
        <v>0</v>
      </c>
      <c r="BG213" s="486">
        <v>0</v>
      </c>
      <c r="BH213" s="486">
        <v>0</v>
      </c>
      <c r="BI213" s="486">
        <v>0</v>
      </c>
      <c r="BJ213" s="487">
        <v>1500000000</v>
      </c>
      <c r="BK213" s="486">
        <v>0</v>
      </c>
      <c r="BL213" s="486">
        <v>0</v>
      </c>
      <c r="BM213" s="486">
        <v>0</v>
      </c>
      <c r="BN213" s="488">
        <v>0</v>
      </c>
      <c r="BO213" s="490">
        <v>1500000000</v>
      </c>
      <c r="BP213" s="486">
        <v>0</v>
      </c>
      <c r="BQ213" s="486">
        <v>1500000000</v>
      </c>
      <c r="BR213" s="486">
        <v>0</v>
      </c>
      <c r="BS213" s="486">
        <v>0</v>
      </c>
      <c r="BT213" s="486">
        <v>0</v>
      </c>
      <c r="BU213" s="486">
        <v>0</v>
      </c>
      <c r="BV213" s="486">
        <v>0</v>
      </c>
      <c r="BW213" s="486">
        <v>0</v>
      </c>
      <c r="BX213" s="487">
        <v>1500000000</v>
      </c>
      <c r="BY213" s="486">
        <v>0</v>
      </c>
      <c r="BZ213" s="486">
        <v>0</v>
      </c>
      <c r="CA213" s="486">
        <v>0</v>
      </c>
      <c r="CB213" s="488">
        <v>0</v>
      </c>
      <c r="CC213" s="491">
        <v>1500000000</v>
      </c>
      <c r="CD213" s="492">
        <v>23325000000</v>
      </c>
      <c r="CE213" s="493">
        <f t="shared" si="14"/>
        <v>0</v>
      </c>
      <c r="CF213" s="493">
        <f t="shared" si="14"/>
        <v>6000000000</v>
      </c>
      <c r="CG213" s="493">
        <f t="shared" si="14"/>
        <v>0</v>
      </c>
      <c r="CH213" s="493">
        <f t="shared" si="14"/>
        <v>0</v>
      </c>
      <c r="CI213" s="493">
        <f t="shared" si="14"/>
        <v>0</v>
      </c>
      <c r="CJ213" s="493">
        <f t="shared" si="13"/>
        <v>0</v>
      </c>
      <c r="CK213" s="493">
        <f t="shared" si="13"/>
        <v>0</v>
      </c>
      <c r="CL213" s="493">
        <f t="shared" si="13"/>
        <v>17325000000</v>
      </c>
      <c r="CM213" s="493">
        <f t="shared" si="16"/>
        <v>0</v>
      </c>
      <c r="CN213" s="493">
        <f t="shared" si="16"/>
        <v>0</v>
      </c>
      <c r="CO213" s="493">
        <f t="shared" si="16"/>
        <v>0</v>
      </c>
    </row>
    <row r="214" spans="1:95" ht="30.45" hidden="1" customHeight="1">
      <c r="A214" s="555" t="s">
        <v>4431</v>
      </c>
      <c r="B214" s="479">
        <v>212</v>
      </c>
      <c r="C214" s="480" t="s">
        <v>4255</v>
      </c>
      <c r="D214" s="480" t="s">
        <v>4422</v>
      </c>
      <c r="E214" s="480" t="str">
        <f t="shared" si="15"/>
        <v>2.4.1 </v>
      </c>
      <c r="F214" s="480" t="s">
        <v>4423</v>
      </c>
      <c r="G214" s="480" t="s">
        <v>4424</v>
      </c>
      <c r="H214" s="481">
        <v>25</v>
      </c>
      <c r="I214" s="480" t="s">
        <v>4432</v>
      </c>
      <c r="J214" s="495">
        <v>240202102</v>
      </c>
      <c r="K214" s="480" t="s">
        <v>4433</v>
      </c>
      <c r="L214" s="480" t="s">
        <v>4439</v>
      </c>
      <c r="M214" s="480" t="s">
        <v>6188</v>
      </c>
      <c r="N214" s="526" t="s">
        <v>1616</v>
      </c>
      <c r="O214" s="480" t="s">
        <v>4443</v>
      </c>
      <c r="P214" s="527">
        <v>20</v>
      </c>
      <c r="Q214" s="485" t="s">
        <v>5349</v>
      </c>
      <c r="R214" s="485" t="s">
        <v>5435</v>
      </c>
      <c r="S214" s="485" t="s">
        <v>689</v>
      </c>
      <c r="T214" s="485">
        <v>4.01</v>
      </c>
      <c r="U214" s="485" t="s">
        <v>5393</v>
      </c>
      <c r="V214" s="485">
        <v>4.51</v>
      </c>
      <c r="W214" s="485" t="s">
        <v>5331</v>
      </c>
      <c r="X214" s="485">
        <v>9</v>
      </c>
      <c r="Y214" s="485" t="s">
        <v>849</v>
      </c>
      <c r="Z214" s="486">
        <v>0</v>
      </c>
      <c r="AA214" s="486">
        <v>0</v>
      </c>
      <c r="AB214" s="486">
        <v>0</v>
      </c>
      <c r="AC214" s="486">
        <v>0</v>
      </c>
      <c r="AD214" s="486">
        <v>0</v>
      </c>
      <c r="AE214" s="486">
        <v>0</v>
      </c>
      <c r="AF214" s="486">
        <v>5000000000</v>
      </c>
      <c r="AG214" s="486"/>
      <c r="AH214" s="487">
        <v>5000000000</v>
      </c>
      <c r="AI214" s="486">
        <v>0</v>
      </c>
      <c r="AJ214" s="486">
        <v>0</v>
      </c>
      <c r="AK214" s="486">
        <v>0</v>
      </c>
      <c r="AL214" s="488">
        <v>0</v>
      </c>
      <c r="AM214" s="489">
        <v>5000000000</v>
      </c>
      <c r="AN214" s="486">
        <v>0</v>
      </c>
      <c r="AO214" s="486">
        <v>0</v>
      </c>
      <c r="AP214" s="486">
        <v>0</v>
      </c>
      <c r="AQ214" s="486">
        <v>0</v>
      </c>
      <c r="AR214" s="486">
        <v>0</v>
      </c>
      <c r="AS214" s="486">
        <v>0</v>
      </c>
      <c r="AT214" s="486">
        <v>5000000000</v>
      </c>
      <c r="AU214" s="486">
        <v>0</v>
      </c>
      <c r="AV214" s="487">
        <v>5000000000</v>
      </c>
      <c r="AW214" s="486">
        <v>0</v>
      </c>
      <c r="AX214" s="486">
        <v>0</v>
      </c>
      <c r="AY214" s="486">
        <v>0</v>
      </c>
      <c r="AZ214" s="488">
        <v>0</v>
      </c>
      <c r="BA214" s="490">
        <v>5000000000</v>
      </c>
      <c r="BB214" s="486">
        <v>0</v>
      </c>
      <c r="BC214" s="486">
        <v>0</v>
      </c>
      <c r="BD214" s="486">
        <v>0</v>
      </c>
      <c r="BE214" s="486">
        <v>0</v>
      </c>
      <c r="BF214" s="486">
        <v>0</v>
      </c>
      <c r="BG214" s="486">
        <v>0</v>
      </c>
      <c r="BH214" s="486">
        <v>5000000000</v>
      </c>
      <c r="BI214" s="486">
        <v>0</v>
      </c>
      <c r="BJ214" s="487">
        <v>5000000000</v>
      </c>
      <c r="BK214" s="486">
        <v>0</v>
      </c>
      <c r="BL214" s="486">
        <v>0</v>
      </c>
      <c r="BM214" s="486">
        <v>0</v>
      </c>
      <c r="BN214" s="488">
        <v>0</v>
      </c>
      <c r="BO214" s="490">
        <v>5000000000</v>
      </c>
      <c r="BP214" s="486">
        <v>0</v>
      </c>
      <c r="BQ214" s="486">
        <v>0</v>
      </c>
      <c r="BR214" s="486">
        <v>0</v>
      </c>
      <c r="BS214" s="486">
        <v>0</v>
      </c>
      <c r="BT214" s="486">
        <v>0</v>
      </c>
      <c r="BU214" s="486">
        <v>0</v>
      </c>
      <c r="BV214" s="486">
        <v>0</v>
      </c>
      <c r="BW214" s="486">
        <v>0</v>
      </c>
      <c r="BX214" s="487">
        <v>0</v>
      </c>
      <c r="BY214" s="486">
        <v>0</v>
      </c>
      <c r="BZ214" s="486">
        <v>0</v>
      </c>
      <c r="CA214" s="486">
        <v>5000000000</v>
      </c>
      <c r="CB214" s="488">
        <v>5000000000</v>
      </c>
      <c r="CC214" s="491">
        <v>5000000000</v>
      </c>
      <c r="CD214" s="492">
        <v>20000000000</v>
      </c>
      <c r="CE214" s="493">
        <f t="shared" si="14"/>
        <v>0</v>
      </c>
      <c r="CF214" s="493">
        <f t="shared" si="14"/>
        <v>0</v>
      </c>
      <c r="CG214" s="493">
        <f t="shared" si="14"/>
        <v>0</v>
      </c>
      <c r="CH214" s="493">
        <f t="shared" si="14"/>
        <v>0</v>
      </c>
      <c r="CI214" s="493">
        <f t="shared" si="14"/>
        <v>0</v>
      </c>
      <c r="CJ214" s="493">
        <f t="shared" si="13"/>
        <v>0</v>
      </c>
      <c r="CK214" s="493">
        <f t="shared" si="13"/>
        <v>15000000000</v>
      </c>
      <c r="CL214" s="493">
        <f t="shared" si="13"/>
        <v>0</v>
      </c>
      <c r="CM214" s="493">
        <f t="shared" si="16"/>
        <v>0</v>
      </c>
      <c r="CN214" s="493">
        <f t="shared" si="16"/>
        <v>0</v>
      </c>
      <c r="CO214" s="493">
        <f t="shared" si="16"/>
        <v>5000000000</v>
      </c>
    </row>
    <row r="215" spans="1:95" ht="30.45" hidden="1" customHeight="1">
      <c r="A215" s="555" t="s">
        <v>4431</v>
      </c>
      <c r="B215" s="479">
        <v>213</v>
      </c>
      <c r="C215" s="480" t="s">
        <v>4255</v>
      </c>
      <c r="D215" s="480" t="s">
        <v>4422</v>
      </c>
      <c r="E215" s="480" t="str">
        <f t="shared" si="15"/>
        <v>2.4.1 </v>
      </c>
      <c r="F215" s="480" t="s">
        <v>4423</v>
      </c>
      <c r="G215" s="480" t="s">
        <v>4424</v>
      </c>
      <c r="H215" s="481">
        <v>24</v>
      </c>
      <c r="I215" s="480" t="s">
        <v>4432</v>
      </c>
      <c r="J215" s="495">
        <v>240211200</v>
      </c>
      <c r="K215" s="480" t="s">
        <v>4436</v>
      </c>
      <c r="L215" s="480" t="s">
        <v>4444</v>
      </c>
      <c r="M215" s="480" t="s">
        <v>5836</v>
      </c>
      <c r="N215" s="499">
        <v>1000</v>
      </c>
      <c r="O215" s="480" t="s">
        <v>6501</v>
      </c>
      <c r="P215" s="515" t="s">
        <v>4445</v>
      </c>
      <c r="Q215" s="485" t="s">
        <v>5349</v>
      </c>
      <c r="R215" s="485" t="s">
        <v>5435</v>
      </c>
      <c r="S215" s="485" t="s">
        <v>689</v>
      </c>
      <c r="T215" s="485">
        <v>4.01</v>
      </c>
      <c r="U215" s="485" t="s">
        <v>5393</v>
      </c>
      <c r="V215" s="485">
        <v>4.51</v>
      </c>
      <c r="W215" s="485" t="s">
        <v>5331</v>
      </c>
      <c r="X215" s="485">
        <v>9</v>
      </c>
      <c r="Y215" s="485" t="s">
        <v>849</v>
      </c>
      <c r="Z215" s="486">
        <v>0</v>
      </c>
      <c r="AA215" s="486">
        <v>3500000000</v>
      </c>
      <c r="AB215" s="486">
        <v>0</v>
      </c>
      <c r="AC215" s="486">
        <v>0</v>
      </c>
      <c r="AD215" s="486">
        <v>0</v>
      </c>
      <c r="AE215" s="486">
        <v>0</v>
      </c>
      <c r="AF215" s="486">
        <v>0</v>
      </c>
      <c r="AG215" s="486">
        <v>40425000000</v>
      </c>
      <c r="AH215" s="487">
        <v>43925000000</v>
      </c>
      <c r="AI215" s="486">
        <v>0</v>
      </c>
      <c r="AJ215" s="486">
        <v>0</v>
      </c>
      <c r="AK215" s="486">
        <v>0</v>
      </c>
      <c r="AL215" s="488">
        <v>0</v>
      </c>
      <c r="AM215" s="489">
        <v>43925000000</v>
      </c>
      <c r="AN215" s="486">
        <v>0</v>
      </c>
      <c r="AO215" s="486">
        <v>3500000000</v>
      </c>
      <c r="AP215" s="486">
        <v>0</v>
      </c>
      <c r="AQ215" s="486">
        <v>0</v>
      </c>
      <c r="AR215" s="486">
        <v>0</v>
      </c>
      <c r="AS215" s="486">
        <v>0</v>
      </c>
      <c r="AT215" s="486">
        <v>0</v>
      </c>
      <c r="AU215" s="486"/>
      <c r="AV215" s="487">
        <v>3500000000</v>
      </c>
      <c r="AW215" s="486">
        <v>0</v>
      </c>
      <c r="AX215" s="486">
        <v>0</v>
      </c>
      <c r="AY215" s="486">
        <v>0</v>
      </c>
      <c r="AZ215" s="488">
        <v>0</v>
      </c>
      <c r="BA215" s="490">
        <v>3500000000</v>
      </c>
      <c r="BB215" s="486">
        <v>0</v>
      </c>
      <c r="BC215" s="486">
        <v>3500000000</v>
      </c>
      <c r="BD215" s="486">
        <v>0</v>
      </c>
      <c r="BE215" s="486">
        <v>0</v>
      </c>
      <c r="BF215" s="486">
        <v>0</v>
      </c>
      <c r="BG215" s="486">
        <v>0</v>
      </c>
      <c r="BH215" s="486">
        <v>0</v>
      </c>
      <c r="BI215" s="486">
        <v>0</v>
      </c>
      <c r="BJ215" s="487">
        <v>3500000000</v>
      </c>
      <c r="BK215" s="486">
        <v>0</v>
      </c>
      <c r="BL215" s="486">
        <v>0</v>
      </c>
      <c r="BM215" s="486">
        <v>0</v>
      </c>
      <c r="BN215" s="488">
        <v>0</v>
      </c>
      <c r="BO215" s="490">
        <v>3500000000</v>
      </c>
      <c r="BP215" s="486">
        <v>0</v>
      </c>
      <c r="BQ215" s="486">
        <v>3500000000</v>
      </c>
      <c r="BR215" s="486">
        <v>0</v>
      </c>
      <c r="BS215" s="486">
        <v>0</v>
      </c>
      <c r="BT215" s="486">
        <v>0</v>
      </c>
      <c r="BU215" s="486">
        <v>0</v>
      </c>
      <c r="BV215" s="486">
        <v>0</v>
      </c>
      <c r="BW215" s="486">
        <v>0</v>
      </c>
      <c r="BX215" s="487">
        <v>3500000000</v>
      </c>
      <c r="BY215" s="486">
        <v>0</v>
      </c>
      <c r="BZ215" s="486">
        <v>0</v>
      </c>
      <c r="CA215" s="486">
        <v>0</v>
      </c>
      <c r="CB215" s="488">
        <v>0</v>
      </c>
      <c r="CC215" s="491">
        <v>3500000000</v>
      </c>
      <c r="CD215" s="492">
        <v>54425000000</v>
      </c>
      <c r="CE215" s="493">
        <f t="shared" si="14"/>
        <v>0</v>
      </c>
      <c r="CF215" s="493">
        <f t="shared" si="14"/>
        <v>14000000000</v>
      </c>
      <c r="CG215" s="493">
        <f t="shared" si="14"/>
        <v>0</v>
      </c>
      <c r="CH215" s="493">
        <f t="shared" si="14"/>
        <v>0</v>
      </c>
      <c r="CI215" s="493">
        <f t="shared" si="14"/>
        <v>0</v>
      </c>
      <c r="CJ215" s="493">
        <f t="shared" si="13"/>
        <v>0</v>
      </c>
      <c r="CK215" s="493">
        <f t="shared" si="13"/>
        <v>0</v>
      </c>
      <c r="CL215" s="493">
        <f t="shared" si="13"/>
        <v>40425000000</v>
      </c>
      <c r="CM215" s="493">
        <f t="shared" si="16"/>
        <v>0</v>
      </c>
      <c r="CN215" s="493">
        <f t="shared" si="16"/>
        <v>0</v>
      </c>
      <c r="CO215" s="493">
        <f t="shared" si="16"/>
        <v>0</v>
      </c>
    </row>
    <row r="216" spans="1:95" ht="30.45" hidden="1" customHeight="1">
      <c r="A216" s="555" t="s">
        <v>4431</v>
      </c>
      <c r="B216" s="479">
        <v>214</v>
      </c>
      <c r="C216" s="480" t="s">
        <v>4255</v>
      </c>
      <c r="D216" s="480" t="s">
        <v>4422</v>
      </c>
      <c r="E216" s="480" t="str">
        <f t="shared" si="15"/>
        <v>2.4.1 </v>
      </c>
      <c r="F216" s="480" t="s">
        <v>4423</v>
      </c>
      <c r="G216" s="480" t="s">
        <v>4424</v>
      </c>
      <c r="H216" s="481">
        <v>24</v>
      </c>
      <c r="I216" s="480" t="s">
        <v>4432</v>
      </c>
      <c r="J216" s="495">
        <v>240201500</v>
      </c>
      <c r="K216" s="480" t="s">
        <v>4446</v>
      </c>
      <c r="L216" s="480" t="s">
        <v>4447</v>
      </c>
      <c r="M216" s="480" t="s">
        <v>5837</v>
      </c>
      <c r="N216" s="499">
        <v>3</v>
      </c>
      <c r="O216" s="480" t="s">
        <v>6501</v>
      </c>
      <c r="P216" s="515">
        <v>6</v>
      </c>
      <c r="Q216" s="485" t="s">
        <v>5349</v>
      </c>
      <c r="R216" s="485" t="s">
        <v>5435</v>
      </c>
      <c r="S216" s="485" t="s">
        <v>689</v>
      </c>
      <c r="T216" s="485">
        <v>4.01</v>
      </c>
      <c r="U216" s="485" t="s">
        <v>5393</v>
      </c>
      <c r="V216" s="485">
        <v>4.51</v>
      </c>
      <c r="W216" s="485" t="s">
        <v>5331</v>
      </c>
      <c r="X216" s="485">
        <v>9</v>
      </c>
      <c r="Y216" s="485" t="s">
        <v>849</v>
      </c>
      <c r="Z216" s="486">
        <v>0</v>
      </c>
      <c r="AA216" s="486">
        <v>0</v>
      </c>
      <c r="AB216" s="486">
        <v>0</v>
      </c>
      <c r="AC216" s="486">
        <v>0</v>
      </c>
      <c r="AD216" s="486">
        <v>0</v>
      </c>
      <c r="AE216" s="486">
        <v>0</v>
      </c>
      <c r="AF216" s="486">
        <v>0</v>
      </c>
      <c r="AG216" s="486">
        <v>700000000</v>
      </c>
      <c r="AH216" s="487">
        <v>700000000</v>
      </c>
      <c r="AI216" s="486">
        <v>0</v>
      </c>
      <c r="AJ216" s="486">
        <v>0</v>
      </c>
      <c r="AK216" s="486">
        <v>0</v>
      </c>
      <c r="AL216" s="488">
        <v>0</v>
      </c>
      <c r="AM216" s="489">
        <v>700000000</v>
      </c>
      <c r="AN216" s="486">
        <v>0</v>
      </c>
      <c r="AO216" s="486">
        <v>0</v>
      </c>
      <c r="AP216" s="486">
        <v>0</v>
      </c>
      <c r="AQ216" s="486">
        <v>0</v>
      </c>
      <c r="AR216" s="486">
        <v>0</v>
      </c>
      <c r="AS216" s="486">
        <v>0</v>
      </c>
      <c r="AT216" s="486">
        <v>0</v>
      </c>
      <c r="AU216" s="486">
        <v>2100000000</v>
      </c>
      <c r="AV216" s="487">
        <v>2100000000</v>
      </c>
      <c r="AW216" s="486">
        <v>350000000</v>
      </c>
      <c r="AX216" s="486">
        <v>0</v>
      </c>
      <c r="AY216" s="486">
        <v>0</v>
      </c>
      <c r="AZ216" s="488">
        <v>350000000</v>
      </c>
      <c r="BA216" s="490">
        <v>2450000000</v>
      </c>
      <c r="BB216" s="486">
        <v>0</v>
      </c>
      <c r="BC216" s="486"/>
      <c r="BD216" s="486">
        <v>0</v>
      </c>
      <c r="BE216" s="486">
        <v>0</v>
      </c>
      <c r="BF216" s="486">
        <v>0</v>
      </c>
      <c r="BG216" s="486">
        <v>0</v>
      </c>
      <c r="BH216" s="486">
        <v>0</v>
      </c>
      <c r="BI216" s="486">
        <v>2800000000</v>
      </c>
      <c r="BJ216" s="487">
        <v>2800000000</v>
      </c>
      <c r="BK216" s="486">
        <v>0</v>
      </c>
      <c r="BL216" s="486">
        <v>0</v>
      </c>
      <c r="BM216" s="486">
        <v>0</v>
      </c>
      <c r="BN216" s="488">
        <v>0</v>
      </c>
      <c r="BO216" s="490">
        <v>2800000000</v>
      </c>
      <c r="BP216" s="486">
        <v>0</v>
      </c>
      <c r="BQ216" s="486"/>
      <c r="BR216" s="486">
        <v>0</v>
      </c>
      <c r="BS216" s="486">
        <v>0</v>
      </c>
      <c r="BT216" s="486">
        <v>0</v>
      </c>
      <c r="BU216" s="486">
        <v>0</v>
      </c>
      <c r="BV216" s="486">
        <v>0</v>
      </c>
      <c r="BW216" s="486">
        <v>1400000000</v>
      </c>
      <c r="BX216" s="487">
        <v>1400000000</v>
      </c>
      <c r="BY216" s="486">
        <v>0</v>
      </c>
      <c r="BZ216" s="486">
        <v>0</v>
      </c>
      <c r="CA216" s="486">
        <v>0</v>
      </c>
      <c r="CB216" s="488">
        <v>0</v>
      </c>
      <c r="CC216" s="491">
        <v>1400000000</v>
      </c>
      <c r="CD216" s="492">
        <v>7350000000</v>
      </c>
      <c r="CE216" s="493">
        <f t="shared" si="14"/>
        <v>0</v>
      </c>
      <c r="CF216" s="493">
        <f t="shared" si="14"/>
        <v>0</v>
      </c>
      <c r="CG216" s="493">
        <f t="shared" si="14"/>
        <v>0</v>
      </c>
      <c r="CH216" s="493">
        <f t="shared" si="14"/>
        <v>0</v>
      </c>
      <c r="CI216" s="493">
        <f t="shared" si="14"/>
        <v>0</v>
      </c>
      <c r="CJ216" s="493">
        <f t="shared" si="13"/>
        <v>0</v>
      </c>
      <c r="CK216" s="493">
        <f t="shared" si="13"/>
        <v>0</v>
      </c>
      <c r="CL216" s="493">
        <f t="shared" si="13"/>
        <v>7000000000</v>
      </c>
      <c r="CM216" s="493">
        <f t="shared" si="16"/>
        <v>350000000</v>
      </c>
      <c r="CN216" s="493">
        <f t="shared" si="16"/>
        <v>0</v>
      </c>
      <c r="CO216" s="493">
        <f t="shared" si="16"/>
        <v>0</v>
      </c>
    </row>
    <row r="217" spans="1:95" ht="30.45" hidden="1" customHeight="1">
      <c r="A217" s="555" t="s">
        <v>4431</v>
      </c>
      <c r="B217" s="479">
        <v>215</v>
      </c>
      <c r="C217" s="480" t="s">
        <v>4255</v>
      </c>
      <c r="D217" s="480" t="s">
        <v>4422</v>
      </c>
      <c r="E217" s="480" t="str">
        <f t="shared" si="15"/>
        <v>2.4.1 </v>
      </c>
      <c r="F217" s="480" t="s">
        <v>4423</v>
      </c>
      <c r="G217" s="480" t="s">
        <v>4424</v>
      </c>
      <c r="H217" s="481">
        <v>24</v>
      </c>
      <c r="I217" s="480" t="s">
        <v>4432</v>
      </c>
      <c r="J217" s="495">
        <v>240204400</v>
      </c>
      <c r="K217" s="480" t="s">
        <v>4446</v>
      </c>
      <c r="L217" s="480" t="s">
        <v>6502</v>
      </c>
      <c r="M217" s="480" t="s">
        <v>5837</v>
      </c>
      <c r="N217" s="499" t="s">
        <v>4448</v>
      </c>
      <c r="O217" s="480" t="s">
        <v>6501</v>
      </c>
      <c r="P217" s="515">
        <v>5</v>
      </c>
      <c r="Q217" s="485" t="s">
        <v>5349</v>
      </c>
      <c r="R217" s="485" t="s">
        <v>5435</v>
      </c>
      <c r="S217" s="485" t="s">
        <v>689</v>
      </c>
      <c r="T217" s="485">
        <v>4.01</v>
      </c>
      <c r="U217" s="485" t="s">
        <v>5393</v>
      </c>
      <c r="V217" s="485">
        <v>4.51</v>
      </c>
      <c r="W217" s="485" t="s">
        <v>5331</v>
      </c>
      <c r="X217" s="485">
        <v>9</v>
      </c>
      <c r="Y217" s="485" t="s">
        <v>849</v>
      </c>
      <c r="Z217" s="486">
        <v>0</v>
      </c>
      <c r="AA217" s="486">
        <v>0</v>
      </c>
      <c r="AB217" s="486">
        <v>0</v>
      </c>
      <c r="AC217" s="486">
        <v>0</v>
      </c>
      <c r="AD217" s="486">
        <v>0</v>
      </c>
      <c r="AE217" s="486">
        <v>0</v>
      </c>
      <c r="AF217" s="486">
        <v>0</v>
      </c>
      <c r="AG217" s="486">
        <v>390000000</v>
      </c>
      <c r="AH217" s="487">
        <v>390000000</v>
      </c>
      <c r="AI217" s="486">
        <v>0</v>
      </c>
      <c r="AJ217" s="486">
        <v>0</v>
      </c>
      <c r="AK217" s="486">
        <v>0</v>
      </c>
      <c r="AL217" s="488">
        <v>0</v>
      </c>
      <c r="AM217" s="489">
        <v>390000000</v>
      </c>
      <c r="AN217" s="486">
        <v>0</v>
      </c>
      <c r="AO217" s="486">
        <v>0</v>
      </c>
      <c r="AP217" s="486">
        <v>0</v>
      </c>
      <c r="AQ217" s="486">
        <v>0</v>
      </c>
      <c r="AR217" s="486">
        <v>0</v>
      </c>
      <c r="AS217" s="486">
        <v>0</v>
      </c>
      <c r="AT217" s="486">
        <v>0</v>
      </c>
      <c r="AU217" s="486">
        <v>1170000000</v>
      </c>
      <c r="AV217" s="487">
        <v>1170000000</v>
      </c>
      <c r="AW217" s="486">
        <v>300000000</v>
      </c>
      <c r="AX217" s="486">
        <v>0</v>
      </c>
      <c r="AY217" s="486">
        <v>0</v>
      </c>
      <c r="AZ217" s="488">
        <v>300000000</v>
      </c>
      <c r="BA217" s="490">
        <v>1470000000</v>
      </c>
      <c r="BB217" s="486">
        <v>0</v>
      </c>
      <c r="BC217" s="486"/>
      <c r="BD217" s="486">
        <v>0</v>
      </c>
      <c r="BE217" s="486">
        <v>0</v>
      </c>
      <c r="BF217" s="486">
        <v>0</v>
      </c>
      <c r="BG217" s="486">
        <v>0</v>
      </c>
      <c r="BH217" s="486">
        <v>0</v>
      </c>
      <c r="BI217" s="486">
        <v>1560000000</v>
      </c>
      <c r="BJ217" s="487">
        <v>1560000000</v>
      </c>
      <c r="BK217" s="486">
        <v>0</v>
      </c>
      <c r="BL217" s="486">
        <v>0</v>
      </c>
      <c r="BM217" s="486">
        <v>0</v>
      </c>
      <c r="BN217" s="488">
        <v>0</v>
      </c>
      <c r="BO217" s="490">
        <v>1560000000</v>
      </c>
      <c r="BP217" s="486">
        <v>0</v>
      </c>
      <c r="BQ217" s="486"/>
      <c r="BR217" s="486">
        <v>0</v>
      </c>
      <c r="BS217" s="486">
        <v>0</v>
      </c>
      <c r="BT217" s="486">
        <v>0</v>
      </c>
      <c r="BU217" s="486">
        <v>0</v>
      </c>
      <c r="BV217" s="486">
        <v>0</v>
      </c>
      <c r="BW217" s="486">
        <v>780000000</v>
      </c>
      <c r="BX217" s="487">
        <v>780000000</v>
      </c>
      <c r="BY217" s="486">
        <v>0</v>
      </c>
      <c r="BZ217" s="486">
        <v>0</v>
      </c>
      <c r="CA217" s="486">
        <v>0</v>
      </c>
      <c r="CB217" s="488">
        <v>0</v>
      </c>
      <c r="CC217" s="491">
        <v>780000000</v>
      </c>
      <c r="CD217" s="492">
        <v>4200000000</v>
      </c>
      <c r="CE217" s="493">
        <f t="shared" si="14"/>
        <v>0</v>
      </c>
      <c r="CF217" s="493">
        <f t="shared" si="14"/>
        <v>0</v>
      </c>
      <c r="CG217" s="493">
        <f t="shared" si="14"/>
        <v>0</v>
      </c>
      <c r="CH217" s="493">
        <f t="shared" si="14"/>
        <v>0</v>
      </c>
      <c r="CI217" s="493">
        <f t="shared" si="14"/>
        <v>0</v>
      </c>
      <c r="CJ217" s="493">
        <f t="shared" si="13"/>
        <v>0</v>
      </c>
      <c r="CK217" s="493">
        <f t="shared" si="13"/>
        <v>0</v>
      </c>
      <c r="CL217" s="493">
        <f t="shared" si="13"/>
        <v>3900000000</v>
      </c>
      <c r="CM217" s="493">
        <f t="shared" si="16"/>
        <v>300000000</v>
      </c>
      <c r="CN217" s="493">
        <f t="shared" si="16"/>
        <v>0</v>
      </c>
      <c r="CO217" s="493">
        <f t="shared" si="16"/>
        <v>0</v>
      </c>
    </row>
    <row r="218" spans="1:95" ht="30.45" hidden="1" customHeight="1">
      <c r="A218" s="555" t="s">
        <v>4431</v>
      </c>
      <c r="B218" s="479">
        <v>216</v>
      </c>
      <c r="C218" s="480" t="s">
        <v>4255</v>
      </c>
      <c r="D218" s="480" t="s">
        <v>4422</v>
      </c>
      <c r="E218" s="480" t="str">
        <f t="shared" si="15"/>
        <v>2.4.1 </v>
      </c>
      <c r="F218" s="480" t="s">
        <v>4423</v>
      </c>
      <c r="G218" s="480" t="s">
        <v>4424</v>
      </c>
      <c r="H218" s="481">
        <v>24</v>
      </c>
      <c r="I218" s="480" t="s">
        <v>4432</v>
      </c>
      <c r="J218" s="495">
        <v>240204800</v>
      </c>
      <c r="K218" s="480" t="s">
        <v>4446</v>
      </c>
      <c r="L218" s="480" t="s">
        <v>6503</v>
      </c>
      <c r="M218" s="480" t="s">
        <v>5838</v>
      </c>
      <c r="N218" s="499" t="s">
        <v>4448</v>
      </c>
      <c r="O218" s="480" t="s">
        <v>6501</v>
      </c>
      <c r="P218" s="515">
        <v>13</v>
      </c>
      <c r="Q218" s="485" t="s">
        <v>5349</v>
      </c>
      <c r="R218" s="485" t="s">
        <v>5435</v>
      </c>
      <c r="S218" s="485" t="s">
        <v>689</v>
      </c>
      <c r="T218" s="485">
        <v>4.01</v>
      </c>
      <c r="U218" s="485" t="s">
        <v>5393</v>
      </c>
      <c r="V218" s="485">
        <v>4.51</v>
      </c>
      <c r="W218" s="485" t="s">
        <v>5331</v>
      </c>
      <c r="X218" s="485">
        <v>9</v>
      </c>
      <c r="Y218" s="485" t="s">
        <v>849</v>
      </c>
      <c r="Z218" s="486">
        <v>0</v>
      </c>
      <c r="AA218" s="486">
        <v>0</v>
      </c>
      <c r="AB218" s="486">
        <v>0</v>
      </c>
      <c r="AC218" s="486">
        <v>0</v>
      </c>
      <c r="AD218" s="486">
        <v>0</v>
      </c>
      <c r="AE218" s="486">
        <v>0</v>
      </c>
      <c r="AF218" s="486">
        <v>0</v>
      </c>
      <c r="AG218" s="486">
        <v>700000000</v>
      </c>
      <c r="AH218" s="487">
        <v>700000000</v>
      </c>
      <c r="AI218" s="486">
        <v>0</v>
      </c>
      <c r="AJ218" s="486">
        <v>0</v>
      </c>
      <c r="AK218" s="486">
        <v>0</v>
      </c>
      <c r="AL218" s="488">
        <v>0</v>
      </c>
      <c r="AM218" s="489">
        <v>700000000</v>
      </c>
      <c r="AN218" s="486">
        <v>0</v>
      </c>
      <c r="AO218" s="486">
        <v>0</v>
      </c>
      <c r="AP218" s="486">
        <v>0</v>
      </c>
      <c r="AQ218" s="486">
        <v>0</v>
      </c>
      <c r="AR218" s="486">
        <v>0</v>
      </c>
      <c r="AS218" s="486">
        <v>0</v>
      </c>
      <c r="AT218" s="486">
        <v>0</v>
      </c>
      <c r="AU218" s="486">
        <v>2100000000</v>
      </c>
      <c r="AV218" s="487">
        <v>2100000000</v>
      </c>
      <c r="AW218" s="486">
        <v>350000000</v>
      </c>
      <c r="AX218" s="486">
        <v>0</v>
      </c>
      <c r="AY218" s="486">
        <v>0</v>
      </c>
      <c r="AZ218" s="488">
        <v>350000000</v>
      </c>
      <c r="BA218" s="490">
        <v>2450000000</v>
      </c>
      <c r="BB218" s="486">
        <v>0</v>
      </c>
      <c r="BC218" s="486"/>
      <c r="BD218" s="486">
        <v>0</v>
      </c>
      <c r="BE218" s="486">
        <v>0</v>
      </c>
      <c r="BF218" s="486">
        <v>0</v>
      </c>
      <c r="BG218" s="486">
        <v>0</v>
      </c>
      <c r="BH218" s="486">
        <v>0</v>
      </c>
      <c r="BI218" s="486">
        <v>2800000000</v>
      </c>
      <c r="BJ218" s="487">
        <v>2800000000</v>
      </c>
      <c r="BK218" s="486">
        <v>0</v>
      </c>
      <c r="BL218" s="486">
        <v>0</v>
      </c>
      <c r="BM218" s="486">
        <v>0</v>
      </c>
      <c r="BN218" s="488">
        <v>0</v>
      </c>
      <c r="BO218" s="490">
        <v>2800000000</v>
      </c>
      <c r="BP218" s="486">
        <v>0</v>
      </c>
      <c r="BQ218" s="486"/>
      <c r="BR218" s="486">
        <v>0</v>
      </c>
      <c r="BS218" s="486">
        <v>0</v>
      </c>
      <c r="BT218" s="486">
        <v>0</v>
      </c>
      <c r="BU218" s="486">
        <v>0</v>
      </c>
      <c r="BV218" s="486">
        <v>0</v>
      </c>
      <c r="BW218" s="486">
        <v>1400000000</v>
      </c>
      <c r="BX218" s="487">
        <v>1400000000</v>
      </c>
      <c r="BY218" s="486">
        <v>0</v>
      </c>
      <c r="BZ218" s="486">
        <v>0</v>
      </c>
      <c r="CA218" s="486">
        <v>0</v>
      </c>
      <c r="CB218" s="488">
        <v>0</v>
      </c>
      <c r="CC218" s="491">
        <v>1400000000</v>
      </c>
      <c r="CD218" s="492">
        <v>7350000000</v>
      </c>
      <c r="CE218" s="493">
        <f t="shared" si="14"/>
        <v>0</v>
      </c>
      <c r="CF218" s="493">
        <f t="shared" si="14"/>
        <v>0</v>
      </c>
      <c r="CG218" s="493">
        <f t="shared" si="14"/>
        <v>0</v>
      </c>
      <c r="CH218" s="493">
        <f t="shared" si="14"/>
        <v>0</v>
      </c>
      <c r="CI218" s="493">
        <f t="shared" si="14"/>
        <v>0</v>
      </c>
      <c r="CJ218" s="493">
        <f t="shared" si="13"/>
        <v>0</v>
      </c>
      <c r="CK218" s="493">
        <f t="shared" si="13"/>
        <v>0</v>
      </c>
      <c r="CL218" s="493">
        <f t="shared" si="13"/>
        <v>7000000000</v>
      </c>
      <c r="CM218" s="493">
        <f t="shared" si="16"/>
        <v>350000000</v>
      </c>
      <c r="CN218" s="493">
        <f t="shared" si="16"/>
        <v>0</v>
      </c>
      <c r="CO218" s="493">
        <f t="shared" si="16"/>
        <v>0</v>
      </c>
    </row>
    <row r="219" spans="1:95" ht="30.45" hidden="1" customHeight="1">
      <c r="A219" s="555" t="s">
        <v>4431</v>
      </c>
      <c r="B219" s="479">
        <v>217</v>
      </c>
      <c r="C219" s="480" t="s">
        <v>4255</v>
      </c>
      <c r="D219" s="480" t="s">
        <v>4422</v>
      </c>
      <c r="E219" s="480" t="str">
        <f t="shared" si="15"/>
        <v>2.4.1 </v>
      </c>
      <c r="F219" s="480" t="s">
        <v>4423</v>
      </c>
      <c r="G219" s="480" t="s">
        <v>4424</v>
      </c>
      <c r="H219" s="481">
        <v>24</v>
      </c>
      <c r="I219" s="480" t="s">
        <v>4432</v>
      </c>
      <c r="J219" s="495">
        <v>240202200</v>
      </c>
      <c r="K219" s="480" t="s">
        <v>4446</v>
      </c>
      <c r="L219" s="480" t="s">
        <v>6504</v>
      </c>
      <c r="M219" s="480" t="s">
        <v>5838</v>
      </c>
      <c r="N219" s="499">
        <v>11</v>
      </c>
      <c r="O219" s="480" t="s">
        <v>6501</v>
      </c>
      <c r="P219" s="515">
        <v>24</v>
      </c>
      <c r="Q219" s="485" t="s">
        <v>5349</v>
      </c>
      <c r="R219" s="485" t="s">
        <v>5435</v>
      </c>
      <c r="S219" s="485" t="s">
        <v>689</v>
      </c>
      <c r="T219" s="485">
        <v>4.01</v>
      </c>
      <c r="U219" s="485" t="s">
        <v>5393</v>
      </c>
      <c r="V219" s="485">
        <v>4.51</v>
      </c>
      <c r="W219" s="485" t="s">
        <v>5331</v>
      </c>
      <c r="X219" s="485">
        <v>9</v>
      </c>
      <c r="Y219" s="485" t="s">
        <v>849</v>
      </c>
      <c r="Z219" s="486">
        <v>0</v>
      </c>
      <c r="AA219" s="486">
        <v>0</v>
      </c>
      <c r="AB219" s="486">
        <v>0</v>
      </c>
      <c r="AC219" s="486">
        <v>0</v>
      </c>
      <c r="AD219" s="486">
        <v>0</v>
      </c>
      <c r="AE219" s="486">
        <v>0</v>
      </c>
      <c r="AF219" s="486">
        <v>0</v>
      </c>
      <c r="AG219" s="486">
        <v>1470000000</v>
      </c>
      <c r="AH219" s="487">
        <v>1470000000</v>
      </c>
      <c r="AI219" s="486">
        <v>0</v>
      </c>
      <c r="AJ219" s="486">
        <v>0</v>
      </c>
      <c r="AK219" s="486">
        <v>0</v>
      </c>
      <c r="AL219" s="488">
        <v>0</v>
      </c>
      <c r="AM219" s="489">
        <v>1470000000</v>
      </c>
      <c r="AN219" s="486">
        <v>0</v>
      </c>
      <c r="AO219" s="486">
        <v>0</v>
      </c>
      <c r="AP219" s="486">
        <v>0</v>
      </c>
      <c r="AQ219" s="486">
        <v>0</v>
      </c>
      <c r="AR219" s="486">
        <v>0</v>
      </c>
      <c r="AS219" s="486">
        <v>0</v>
      </c>
      <c r="AT219" s="486">
        <v>0</v>
      </c>
      <c r="AU219" s="486">
        <v>4410000000</v>
      </c>
      <c r="AV219" s="487">
        <v>4410000000</v>
      </c>
      <c r="AW219" s="486">
        <v>1575000000</v>
      </c>
      <c r="AX219" s="486">
        <v>0</v>
      </c>
      <c r="AY219" s="486">
        <v>0</v>
      </c>
      <c r="AZ219" s="488">
        <v>1575000000</v>
      </c>
      <c r="BA219" s="490">
        <v>5985000000</v>
      </c>
      <c r="BB219" s="486">
        <v>0</v>
      </c>
      <c r="BC219" s="486"/>
      <c r="BD219" s="486">
        <v>0</v>
      </c>
      <c r="BE219" s="486">
        <v>0</v>
      </c>
      <c r="BF219" s="486">
        <v>0</v>
      </c>
      <c r="BG219" s="486">
        <v>0</v>
      </c>
      <c r="BH219" s="486">
        <v>0</v>
      </c>
      <c r="BI219" s="486">
        <v>5880000000</v>
      </c>
      <c r="BJ219" s="487">
        <v>5880000000</v>
      </c>
      <c r="BK219" s="486">
        <v>787500000</v>
      </c>
      <c r="BL219" s="486">
        <v>0</v>
      </c>
      <c r="BM219" s="486">
        <v>0</v>
      </c>
      <c r="BN219" s="488">
        <v>787500000</v>
      </c>
      <c r="BO219" s="490">
        <v>6667500000</v>
      </c>
      <c r="BP219" s="486">
        <v>0</v>
      </c>
      <c r="BQ219" s="486"/>
      <c r="BR219" s="486">
        <v>0</v>
      </c>
      <c r="BS219" s="486">
        <v>0</v>
      </c>
      <c r="BT219" s="486">
        <v>0</v>
      </c>
      <c r="BU219" s="486">
        <v>0</v>
      </c>
      <c r="BV219" s="486">
        <v>0</v>
      </c>
      <c r="BW219" s="486">
        <v>2940000000</v>
      </c>
      <c r="BX219" s="487">
        <v>2940000000</v>
      </c>
      <c r="BY219" s="486">
        <v>787500000</v>
      </c>
      <c r="BZ219" s="486">
        <v>0</v>
      </c>
      <c r="CA219" s="486">
        <v>0</v>
      </c>
      <c r="CB219" s="488">
        <v>787500000</v>
      </c>
      <c r="CC219" s="491">
        <v>3727500000</v>
      </c>
      <c r="CD219" s="492">
        <v>17850000000</v>
      </c>
      <c r="CE219" s="493">
        <f t="shared" si="14"/>
        <v>0</v>
      </c>
      <c r="CF219" s="493">
        <f t="shared" si="14"/>
        <v>0</v>
      </c>
      <c r="CG219" s="493">
        <f t="shared" si="14"/>
        <v>0</v>
      </c>
      <c r="CH219" s="493">
        <f t="shared" si="14"/>
        <v>0</v>
      </c>
      <c r="CI219" s="493">
        <f t="shared" si="14"/>
        <v>0</v>
      </c>
      <c r="CJ219" s="493">
        <f t="shared" si="13"/>
        <v>0</v>
      </c>
      <c r="CK219" s="493">
        <f t="shared" si="13"/>
        <v>0</v>
      </c>
      <c r="CL219" s="493">
        <f t="shared" si="13"/>
        <v>14700000000</v>
      </c>
      <c r="CM219" s="493">
        <f t="shared" si="16"/>
        <v>3150000000</v>
      </c>
      <c r="CN219" s="493">
        <f t="shared" si="16"/>
        <v>0</v>
      </c>
      <c r="CO219" s="493">
        <f t="shared" si="16"/>
        <v>0</v>
      </c>
    </row>
    <row r="220" spans="1:95" ht="30.45" hidden="1" customHeight="1">
      <c r="A220" s="555" t="s">
        <v>4431</v>
      </c>
      <c r="B220" s="479">
        <v>218</v>
      </c>
      <c r="C220" s="480" t="s">
        <v>4255</v>
      </c>
      <c r="D220" s="480" t="s">
        <v>4422</v>
      </c>
      <c r="E220" s="480" t="str">
        <f t="shared" si="15"/>
        <v>2.4.2 </v>
      </c>
      <c r="F220" s="480" t="s">
        <v>4449</v>
      </c>
      <c r="G220" s="480" t="s">
        <v>4450</v>
      </c>
      <c r="H220" s="481">
        <v>24</v>
      </c>
      <c r="I220" s="480" t="s">
        <v>4432</v>
      </c>
      <c r="J220" s="495">
        <v>240211800</v>
      </c>
      <c r="K220" s="480" t="s">
        <v>6189</v>
      </c>
      <c r="L220" s="480" t="s">
        <v>4451</v>
      </c>
      <c r="M220" s="480" t="s">
        <v>5839</v>
      </c>
      <c r="N220" s="499" t="s">
        <v>4407</v>
      </c>
      <c r="O220" s="480" t="s">
        <v>6505</v>
      </c>
      <c r="P220" s="515">
        <v>30</v>
      </c>
      <c r="Q220" s="485" t="s">
        <v>5349</v>
      </c>
      <c r="R220" s="485" t="s">
        <v>5436</v>
      </c>
      <c r="S220" s="485" t="s">
        <v>689</v>
      </c>
      <c r="T220" s="485">
        <v>4.45</v>
      </c>
      <c r="U220" s="485" t="s">
        <v>5437</v>
      </c>
      <c r="V220" s="485">
        <v>4.5</v>
      </c>
      <c r="W220" s="485" t="s">
        <v>5331</v>
      </c>
      <c r="X220" s="485">
        <v>9</v>
      </c>
      <c r="Y220" s="485" t="s">
        <v>849</v>
      </c>
      <c r="Z220" s="486">
        <v>0</v>
      </c>
      <c r="AA220" s="486">
        <v>0</v>
      </c>
      <c r="AB220" s="486">
        <v>0</v>
      </c>
      <c r="AC220" s="486">
        <v>0</v>
      </c>
      <c r="AD220" s="486">
        <v>0</v>
      </c>
      <c r="AE220" s="486">
        <v>0</v>
      </c>
      <c r="AF220" s="486">
        <v>8000000000</v>
      </c>
      <c r="AG220" s="486">
        <v>0</v>
      </c>
      <c r="AH220" s="487">
        <v>8000000000</v>
      </c>
      <c r="AI220" s="486">
        <v>0</v>
      </c>
      <c r="AJ220" s="486">
        <v>0</v>
      </c>
      <c r="AK220" s="486">
        <v>0</v>
      </c>
      <c r="AL220" s="488">
        <v>0</v>
      </c>
      <c r="AM220" s="489">
        <v>8000000000</v>
      </c>
      <c r="AN220" s="486"/>
      <c r="AO220" s="486">
        <v>1000000000</v>
      </c>
      <c r="AP220" s="486">
        <v>0</v>
      </c>
      <c r="AQ220" s="486">
        <v>0</v>
      </c>
      <c r="AR220" s="486">
        <v>0</v>
      </c>
      <c r="AS220" s="486">
        <v>0</v>
      </c>
      <c r="AT220" s="486">
        <v>1000000000</v>
      </c>
      <c r="AU220" s="486">
        <v>0</v>
      </c>
      <c r="AV220" s="487">
        <v>2000000000</v>
      </c>
      <c r="AW220" s="486">
        <v>0</v>
      </c>
      <c r="AX220" s="486">
        <v>0</v>
      </c>
      <c r="AY220" s="486">
        <v>0</v>
      </c>
      <c r="AZ220" s="488">
        <v>0</v>
      </c>
      <c r="BA220" s="490">
        <v>2000000000</v>
      </c>
      <c r="BB220" s="486">
        <v>0</v>
      </c>
      <c r="BC220" s="486">
        <v>500000000</v>
      </c>
      <c r="BD220" s="486">
        <v>0</v>
      </c>
      <c r="BE220" s="486">
        <v>0</v>
      </c>
      <c r="BF220" s="486">
        <v>0</v>
      </c>
      <c r="BG220" s="486">
        <v>0</v>
      </c>
      <c r="BH220" s="486">
        <v>0</v>
      </c>
      <c r="BI220" s="486">
        <v>0</v>
      </c>
      <c r="BJ220" s="487">
        <v>500000000</v>
      </c>
      <c r="BK220" s="486">
        <v>0</v>
      </c>
      <c r="BL220" s="486">
        <v>0</v>
      </c>
      <c r="BM220" s="486">
        <v>0</v>
      </c>
      <c r="BN220" s="488">
        <v>0</v>
      </c>
      <c r="BO220" s="490">
        <v>500000000</v>
      </c>
      <c r="BP220" s="486">
        <v>0</v>
      </c>
      <c r="BQ220" s="486">
        <v>0</v>
      </c>
      <c r="BR220" s="486">
        <v>0</v>
      </c>
      <c r="BS220" s="486">
        <v>0</v>
      </c>
      <c r="BT220" s="486">
        <v>0</v>
      </c>
      <c r="BU220" s="486">
        <v>0</v>
      </c>
      <c r="BV220" s="486">
        <v>0</v>
      </c>
      <c r="BW220" s="486">
        <v>0</v>
      </c>
      <c r="BX220" s="487">
        <v>0</v>
      </c>
      <c r="BY220" s="486">
        <v>0</v>
      </c>
      <c r="BZ220" s="486">
        <v>0</v>
      </c>
      <c r="CA220" s="486">
        <v>0</v>
      </c>
      <c r="CB220" s="488">
        <v>0</v>
      </c>
      <c r="CC220" s="491">
        <v>0</v>
      </c>
      <c r="CD220" s="492">
        <v>10500000000</v>
      </c>
      <c r="CE220" s="493">
        <f t="shared" si="14"/>
        <v>0</v>
      </c>
      <c r="CF220" s="493">
        <f t="shared" si="14"/>
        <v>1500000000</v>
      </c>
      <c r="CG220" s="493">
        <f t="shared" si="14"/>
        <v>0</v>
      </c>
      <c r="CH220" s="493">
        <f t="shared" si="14"/>
        <v>0</v>
      </c>
      <c r="CI220" s="493">
        <f t="shared" si="14"/>
        <v>0</v>
      </c>
      <c r="CJ220" s="493">
        <f t="shared" si="13"/>
        <v>0</v>
      </c>
      <c r="CK220" s="493">
        <f t="shared" si="13"/>
        <v>9000000000</v>
      </c>
      <c r="CL220" s="493">
        <f t="shared" si="13"/>
        <v>0</v>
      </c>
      <c r="CM220" s="493">
        <f t="shared" si="16"/>
        <v>0</v>
      </c>
      <c r="CN220" s="493">
        <f t="shared" si="16"/>
        <v>0</v>
      </c>
      <c r="CO220" s="493">
        <f t="shared" si="16"/>
        <v>0</v>
      </c>
    </row>
    <row r="221" spans="1:95" ht="30.45" hidden="1" customHeight="1">
      <c r="A221" s="555" t="s">
        <v>4431</v>
      </c>
      <c r="B221" s="479">
        <v>219</v>
      </c>
      <c r="C221" s="480" t="s">
        <v>4255</v>
      </c>
      <c r="D221" s="480" t="s">
        <v>4422</v>
      </c>
      <c r="E221" s="480" t="str">
        <f t="shared" si="15"/>
        <v>2.4.2 </v>
      </c>
      <c r="F221" s="480" t="s">
        <v>4449</v>
      </c>
      <c r="G221" s="480" t="s">
        <v>4450</v>
      </c>
      <c r="H221" s="481">
        <v>24</v>
      </c>
      <c r="I221" s="480" t="s">
        <v>4432</v>
      </c>
      <c r="J221" s="495">
        <v>240211700</v>
      </c>
      <c r="K221" s="480" t="s">
        <v>4426</v>
      </c>
      <c r="L221" s="480" t="s">
        <v>4452</v>
      </c>
      <c r="M221" s="480" t="s">
        <v>6506</v>
      </c>
      <c r="N221" s="499" t="s">
        <v>4453</v>
      </c>
      <c r="O221" s="480" t="s">
        <v>4454</v>
      </c>
      <c r="P221" s="515">
        <v>5484</v>
      </c>
      <c r="Q221" s="485" t="s">
        <v>5349</v>
      </c>
      <c r="R221" s="485" t="s">
        <v>5436</v>
      </c>
      <c r="S221" s="485" t="s">
        <v>689</v>
      </c>
      <c r="T221" s="485">
        <v>4.45</v>
      </c>
      <c r="U221" s="485" t="s">
        <v>5437</v>
      </c>
      <c r="V221" s="485">
        <v>4.5</v>
      </c>
      <c r="W221" s="485" t="s">
        <v>5331</v>
      </c>
      <c r="X221" s="485">
        <v>9</v>
      </c>
      <c r="Y221" s="485" t="s">
        <v>849</v>
      </c>
      <c r="Z221" s="486">
        <v>0</v>
      </c>
      <c r="AA221" s="486">
        <v>542000000</v>
      </c>
      <c r="AB221" s="486">
        <v>0</v>
      </c>
      <c r="AC221" s="486">
        <v>0</v>
      </c>
      <c r="AD221" s="486">
        <v>0</v>
      </c>
      <c r="AE221" s="486">
        <v>0</v>
      </c>
      <c r="AF221" s="486">
        <v>0</v>
      </c>
      <c r="AG221" s="486">
        <v>0</v>
      </c>
      <c r="AH221" s="487">
        <v>542000000</v>
      </c>
      <c r="AI221" s="486">
        <v>0</v>
      </c>
      <c r="AJ221" s="486">
        <v>0</v>
      </c>
      <c r="AK221" s="486">
        <v>0</v>
      </c>
      <c r="AL221" s="488">
        <v>0</v>
      </c>
      <c r="AM221" s="489">
        <v>542000000</v>
      </c>
      <c r="AN221" s="486">
        <v>0</v>
      </c>
      <c r="AO221" s="486">
        <v>0</v>
      </c>
      <c r="AP221" s="486">
        <v>0</v>
      </c>
      <c r="AQ221" s="486">
        <v>0</v>
      </c>
      <c r="AR221" s="486">
        <v>0</v>
      </c>
      <c r="AS221" s="486">
        <v>0</v>
      </c>
      <c r="AT221" s="486">
        <v>0</v>
      </c>
      <c r="AU221" s="486">
        <v>0</v>
      </c>
      <c r="AV221" s="487">
        <v>0</v>
      </c>
      <c r="AW221" s="486">
        <v>0</v>
      </c>
      <c r="AX221" s="486">
        <v>0</v>
      </c>
      <c r="AY221" s="486">
        <v>0</v>
      </c>
      <c r="AZ221" s="488">
        <v>0</v>
      </c>
      <c r="BA221" s="490">
        <v>0</v>
      </c>
      <c r="BB221" s="486">
        <v>0</v>
      </c>
      <c r="BC221" s="486"/>
      <c r="BD221" s="486">
        <v>0</v>
      </c>
      <c r="BE221" s="486">
        <v>0</v>
      </c>
      <c r="BF221" s="486">
        <v>0</v>
      </c>
      <c r="BG221" s="486">
        <v>0</v>
      </c>
      <c r="BH221" s="486">
        <v>0</v>
      </c>
      <c r="BI221" s="486">
        <v>0</v>
      </c>
      <c r="BJ221" s="487">
        <v>0</v>
      </c>
      <c r="BK221" s="486">
        <v>0</v>
      </c>
      <c r="BL221" s="486">
        <v>0</v>
      </c>
      <c r="BM221" s="486">
        <v>0</v>
      </c>
      <c r="BN221" s="488">
        <v>0</v>
      </c>
      <c r="BO221" s="490">
        <v>0</v>
      </c>
      <c r="BP221" s="486">
        <v>0</v>
      </c>
      <c r="BQ221" s="486">
        <v>0</v>
      </c>
      <c r="BR221" s="486">
        <v>0</v>
      </c>
      <c r="BS221" s="486">
        <v>0</v>
      </c>
      <c r="BT221" s="486">
        <v>0</v>
      </c>
      <c r="BU221" s="486">
        <v>0</v>
      </c>
      <c r="BV221" s="486">
        <v>0</v>
      </c>
      <c r="BW221" s="486">
        <v>0</v>
      </c>
      <c r="BX221" s="487">
        <v>0</v>
      </c>
      <c r="BY221" s="486">
        <v>0</v>
      </c>
      <c r="BZ221" s="486">
        <v>0</v>
      </c>
      <c r="CA221" s="486">
        <v>0</v>
      </c>
      <c r="CB221" s="488">
        <v>0</v>
      </c>
      <c r="CC221" s="491">
        <v>0</v>
      </c>
      <c r="CD221" s="492">
        <v>542000000</v>
      </c>
      <c r="CE221" s="493">
        <f t="shared" si="14"/>
        <v>0</v>
      </c>
      <c r="CF221" s="493">
        <f t="shared" si="14"/>
        <v>542000000</v>
      </c>
      <c r="CG221" s="493">
        <f t="shared" si="14"/>
        <v>0</v>
      </c>
      <c r="CH221" s="493">
        <f t="shared" si="14"/>
        <v>0</v>
      </c>
      <c r="CI221" s="493">
        <f t="shared" si="14"/>
        <v>0</v>
      </c>
      <c r="CJ221" s="493">
        <f t="shared" si="13"/>
        <v>0</v>
      </c>
      <c r="CK221" s="493">
        <f t="shared" si="13"/>
        <v>0</v>
      </c>
      <c r="CL221" s="493">
        <f t="shared" si="13"/>
        <v>0</v>
      </c>
      <c r="CM221" s="493">
        <f t="shared" si="16"/>
        <v>0</v>
      </c>
      <c r="CN221" s="493">
        <f t="shared" si="16"/>
        <v>0</v>
      </c>
      <c r="CO221" s="493">
        <f t="shared" si="16"/>
        <v>0</v>
      </c>
    </row>
    <row r="222" spans="1:95" ht="30.45" hidden="1" customHeight="1">
      <c r="A222" s="555" t="s">
        <v>4431</v>
      </c>
      <c r="B222" s="479">
        <v>220</v>
      </c>
      <c r="C222" s="480" t="s">
        <v>4255</v>
      </c>
      <c r="D222" s="480" t="s">
        <v>4422</v>
      </c>
      <c r="E222" s="480" t="str">
        <f t="shared" si="15"/>
        <v>2.4.3 </v>
      </c>
      <c r="F222" s="480" t="s">
        <v>4455</v>
      </c>
      <c r="G222" s="480" t="s">
        <v>4456</v>
      </c>
      <c r="H222" s="481">
        <v>24</v>
      </c>
      <c r="I222" s="480" t="s">
        <v>4457</v>
      </c>
      <c r="J222" s="495">
        <v>240404400</v>
      </c>
      <c r="K222" s="480" t="s">
        <v>4458</v>
      </c>
      <c r="L222" s="480" t="s">
        <v>4459</v>
      </c>
      <c r="M222" s="480" t="s">
        <v>5840</v>
      </c>
      <c r="N222" s="499">
        <v>1</v>
      </c>
      <c r="O222" s="480" t="s">
        <v>4460</v>
      </c>
      <c r="P222" s="515">
        <v>4</v>
      </c>
      <c r="Q222" s="485" t="s">
        <v>5349</v>
      </c>
      <c r="R222" s="485" t="s">
        <v>5438</v>
      </c>
      <c r="S222" s="485" t="s">
        <v>5439</v>
      </c>
      <c r="T222" s="485" t="s">
        <v>5440</v>
      </c>
      <c r="U222" s="485" t="s">
        <v>4460</v>
      </c>
      <c r="V222" s="485">
        <v>1</v>
      </c>
      <c r="W222" s="485" t="s">
        <v>5331</v>
      </c>
      <c r="X222" s="485">
        <v>9</v>
      </c>
      <c r="Y222" s="485" t="s">
        <v>849</v>
      </c>
      <c r="Z222" s="486">
        <v>0</v>
      </c>
      <c r="AA222" s="486">
        <v>0</v>
      </c>
      <c r="AB222" s="486">
        <v>0</v>
      </c>
      <c r="AC222" s="486">
        <v>0</v>
      </c>
      <c r="AD222" s="486">
        <v>0</v>
      </c>
      <c r="AE222" s="486">
        <v>0</v>
      </c>
      <c r="AF222" s="486">
        <v>0</v>
      </c>
      <c r="AG222" s="486">
        <v>0</v>
      </c>
      <c r="AH222" s="487">
        <v>0</v>
      </c>
      <c r="AI222" s="486">
        <v>0</v>
      </c>
      <c r="AJ222" s="486">
        <v>6422000000</v>
      </c>
      <c r="AK222" s="486">
        <v>0</v>
      </c>
      <c r="AL222" s="488">
        <v>6422000000</v>
      </c>
      <c r="AM222" s="489">
        <v>6422000000</v>
      </c>
      <c r="AN222" s="486">
        <v>0</v>
      </c>
      <c r="AO222" s="486">
        <v>0</v>
      </c>
      <c r="AP222" s="486">
        <v>0</v>
      </c>
      <c r="AQ222" s="486">
        <v>0</v>
      </c>
      <c r="AR222" s="486">
        <v>0</v>
      </c>
      <c r="AS222" s="486">
        <v>0</v>
      </c>
      <c r="AT222" s="486">
        <v>0</v>
      </c>
      <c r="AU222" s="486">
        <v>0</v>
      </c>
      <c r="AV222" s="487">
        <v>0</v>
      </c>
      <c r="AW222" s="486">
        <v>0</v>
      </c>
      <c r="AX222" s="486">
        <v>0</v>
      </c>
      <c r="AY222" s="486">
        <v>0</v>
      </c>
      <c r="AZ222" s="488">
        <v>0</v>
      </c>
      <c r="BA222" s="490">
        <v>0</v>
      </c>
      <c r="BB222" s="486">
        <v>0</v>
      </c>
      <c r="BC222" s="486">
        <v>0</v>
      </c>
      <c r="BD222" s="486">
        <v>0</v>
      </c>
      <c r="BE222" s="486">
        <v>0</v>
      </c>
      <c r="BF222" s="486">
        <v>0</v>
      </c>
      <c r="BG222" s="486">
        <v>0</v>
      </c>
      <c r="BH222" s="486">
        <v>0</v>
      </c>
      <c r="BI222" s="486">
        <v>0</v>
      </c>
      <c r="BJ222" s="487">
        <v>0</v>
      </c>
      <c r="BK222" s="486">
        <v>0</v>
      </c>
      <c r="BL222" s="486">
        <v>0</v>
      </c>
      <c r="BM222" s="486">
        <v>0</v>
      </c>
      <c r="BN222" s="488">
        <v>0</v>
      </c>
      <c r="BO222" s="490">
        <v>0</v>
      </c>
      <c r="BP222" s="486">
        <v>0</v>
      </c>
      <c r="BQ222" s="486">
        <v>0</v>
      </c>
      <c r="BR222" s="486">
        <v>0</v>
      </c>
      <c r="BS222" s="486">
        <v>0</v>
      </c>
      <c r="BT222" s="486">
        <v>0</v>
      </c>
      <c r="BU222" s="486">
        <v>0</v>
      </c>
      <c r="BV222" s="486">
        <v>0</v>
      </c>
      <c r="BW222" s="486">
        <v>0</v>
      </c>
      <c r="BX222" s="487">
        <v>0</v>
      </c>
      <c r="BY222" s="486">
        <v>0</v>
      </c>
      <c r="BZ222" s="486">
        <v>0</v>
      </c>
      <c r="CA222" s="486">
        <v>0</v>
      </c>
      <c r="CB222" s="488">
        <v>0</v>
      </c>
      <c r="CC222" s="491">
        <v>0</v>
      </c>
      <c r="CD222" s="492">
        <v>6422000000</v>
      </c>
      <c r="CE222" s="493">
        <f t="shared" si="14"/>
        <v>0</v>
      </c>
      <c r="CF222" s="493">
        <f t="shared" si="14"/>
        <v>0</v>
      </c>
      <c r="CG222" s="493">
        <f t="shared" si="14"/>
        <v>0</v>
      </c>
      <c r="CH222" s="493">
        <f t="shared" si="14"/>
        <v>0</v>
      </c>
      <c r="CI222" s="493">
        <f t="shared" si="14"/>
        <v>0</v>
      </c>
      <c r="CJ222" s="493">
        <f t="shared" si="13"/>
        <v>0</v>
      </c>
      <c r="CK222" s="493">
        <f t="shared" si="13"/>
        <v>0</v>
      </c>
      <c r="CL222" s="493">
        <f t="shared" si="13"/>
        <v>0</v>
      </c>
      <c r="CM222" s="493">
        <f t="shared" si="16"/>
        <v>0</v>
      </c>
      <c r="CN222" s="493">
        <f t="shared" si="16"/>
        <v>6422000000</v>
      </c>
      <c r="CO222" s="493">
        <f t="shared" si="16"/>
        <v>0</v>
      </c>
    </row>
    <row r="223" spans="1:95" ht="30.45" hidden="1" customHeight="1">
      <c r="A223" s="555" t="s">
        <v>4431</v>
      </c>
      <c r="B223" s="479">
        <v>221</v>
      </c>
      <c r="C223" s="480" t="s">
        <v>4255</v>
      </c>
      <c r="D223" s="480" t="s">
        <v>4422</v>
      </c>
      <c r="E223" s="480" t="str">
        <f t="shared" si="15"/>
        <v>2.4.3 </v>
      </c>
      <c r="F223" s="480" t="s">
        <v>4455</v>
      </c>
      <c r="G223" s="480" t="s">
        <v>4456</v>
      </c>
      <c r="H223" s="481">
        <v>24</v>
      </c>
      <c r="I223" s="480" t="s">
        <v>4461</v>
      </c>
      <c r="J223" s="495">
        <v>240300200</v>
      </c>
      <c r="K223" s="480" t="s">
        <v>4462</v>
      </c>
      <c r="L223" s="480" t="s">
        <v>4463</v>
      </c>
      <c r="M223" s="480" t="s">
        <v>6190</v>
      </c>
      <c r="N223" s="499">
        <v>1</v>
      </c>
      <c r="O223" s="480" t="s">
        <v>4460</v>
      </c>
      <c r="P223" s="515" t="s">
        <v>4464</v>
      </c>
      <c r="Q223" s="485" t="s">
        <v>5349</v>
      </c>
      <c r="R223" s="485" t="s">
        <v>5438</v>
      </c>
      <c r="S223" s="485" t="s">
        <v>5439</v>
      </c>
      <c r="T223" s="485" t="s">
        <v>5440</v>
      </c>
      <c r="U223" s="485" t="s">
        <v>4460</v>
      </c>
      <c r="V223" s="485">
        <v>1</v>
      </c>
      <c r="W223" s="485" t="s">
        <v>5331</v>
      </c>
      <c r="X223" s="485">
        <v>9</v>
      </c>
      <c r="Y223" s="485" t="s">
        <v>849</v>
      </c>
      <c r="Z223" s="486">
        <v>0</v>
      </c>
      <c r="AA223" s="486">
        <v>0</v>
      </c>
      <c r="AB223" s="486">
        <v>0</v>
      </c>
      <c r="AC223" s="486">
        <v>0</v>
      </c>
      <c r="AD223" s="486">
        <v>0</v>
      </c>
      <c r="AE223" s="486">
        <v>0</v>
      </c>
      <c r="AF223" s="486">
        <v>0</v>
      </c>
      <c r="AG223" s="486">
        <v>0</v>
      </c>
      <c r="AH223" s="487">
        <v>0</v>
      </c>
      <c r="AI223" s="486">
        <v>0</v>
      </c>
      <c r="AJ223" s="486">
        <v>0</v>
      </c>
      <c r="AK223" s="486">
        <v>0</v>
      </c>
      <c r="AL223" s="488">
        <v>0</v>
      </c>
      <c r="AM223" s="489">
        <v>0</v>
      </c>
      <c r="AN223" s="486">
        <v>0</v>
      </c>
      <c r="AO223" s="486">
        <v>0</v>
      </c>
      <c r="AP223" s="486">
        <v>0</v>
      </c>
      <c r="AQ223" s="486">
        <v>0</v>
      </c>
      <c r="AR223" s="486">
        <v>0</v>
      </c>
      <c r="AS223" s="486">
        <v>0</v>
      </c>
      <c r="AT223" s="486"/>
      <c r="AU223" s="486">
        <v>0</v>
      </c>
      <c r="AV223" s="487">
        <v>0</v>
      </c>
      <c r="AW223" s="486">
        <v>0</v>
      </c>
      <c r="AX223" s="486">
        <v>42931947258</v>
      </c>
      <c r="AY223" s="486">
        <v>0</v>
      </c>
      <c r="AZ223" s="488">
        <v>42931947258</v>
      </c>
      <c r="BA223" s="490">
        <v>42931947258</v>
      </c>
      <c r="BB223" s="486">
        <v>0</v>
      </c>
      <c r="BC223" s="486">
        <v>0</v>
      </c>
      <c r="BD223" s="486">
        <v>0</v>
      </c>
      <c r="BE223" s="486">
        <v>0</v>
      </c>
      <c r="BF223" s="486">
        <v>0</v>
      </c>
      <c r="BG223" s="486">
        <v>0</v>
      </c>
      <c r="BH223" s="486"/>
      <c r="BI223" s="486">
        <v>0</v>
      </c>
      <c r="BJ223" s="487">
        <v>0</v>
      </c>
      <c r="BK223" s="486">
        <v>20000000000</v>
      </c>
      <c r="BL223" s="486">
        <v>5126138665</v>
      </c>
      <c r="BM223" s="486">
        <v>10000000000</v>
      </c>
      <c r="BN223" s="488">
        <v>35126138665</v>
      </c>
      <c r="BO223" s="490">
        <v>35126138665</v>
      </c>
      <c r="BP223" s="486">
        <v>0</v>
      </c>
      <c r="BQ223" s="486">
        <v>0</v>
      </c>
      <c r="BR223" s="486">
        <v>0</v>
      </c>
      <c r="BS223" s="486">
        <v>0</v>
      </c>
      <c r="BT223" s="486">
        <v>0</v>
      </c>
      <c r="BU223" s="486">
        <v>0</v>
      </c>
      <c r="BV223" s="486">
        <v>0</v>
      </c>
      <c r="BW223" s="486">
        <v>0</v>
      </c>
      <c r="BX223" s="487">
        <v>0</v>
      </c>
      <c r="BY223" s="486">
        <v>0</v>
      </c>
      <c r="BZ223" s="486">
        <v>0</v>
      </c>
      <c r="CA223" s="486">
        <v>0</v>
      </c>
      <c r="CB223" s="488">
        <v>0</v>
      </c>
      <c r="CC223" s="491">
        <v>0</v>
      </c>
      <c r="CD223" s="492">
        <v>78058085923</v>
      </c>
      <c r="CE223" s="493">
        <f t="shared" si="14"/>
        <v>0</v>
      </c>
      <c r="CF223" s="493">
        <f t="shared" si="14"/>
        <v>0</v>
      </c>
      <c r="CG223" s="493">
        <f t="shared" si="14"/>
        <v>0</v>
      </c>
      <c r="CH223" s="493">
        <f t="shared" si="14"/>
        <v>0</v>
      </c>
      <c r="CI223" s="493">
        <f t="shared" si="14"/>
        <v>0</v>
      </c>
      <c r="CJ223" s="493">
        <f t="shared" si="13"/>
        <v>0</v>
      </c>
      <c r="CK223" s="493">
        <f t="shared" si="13"/>
        <v>0</v>
      </c>
      <c r="CL223" s="493">
        <f t="shared" si="13"/>
        <v>0</v>
      </c>
      <c r="CM223" s="493">
        <f t="shared" si="16"/>
        <v>20000000000</v>
      </c>
      <c r="CN223" s="493">
        <f t="shared" si="16"/>
        <v>48058085923</v>
      </c>
      <c r="CO223" s="493">
        <f t="shared" si="16"/>
        <v>10000000000</v>
      </c>
    </row>
    <row r="224" spans="1:95" ht="30.45" hidden="1" customHeight="1">
      <c r="A224" s="555" t="s">
        <v>4431</v>
      </c>
      <c r="B224" s="479">
        <v>222</v>
      </c>
      <c r="C224" s="480" t="s">
        <v>4255</v>
      </c>
      <c r="D224" s="480" t="s">
        <v>4422</v>
      </c>
      <c r="E224" s="480" t="str">
        <f t="shared" si="15"/>
        <v>2.4.3 </v>
      </c>
      <c r="F224" s="480" t="s">
        <v>4455</v>
      </c>
      <c r="G224" s="480" t="s">
        <v>4456</v>
      </c>
      <c r="H224" s="481">
        <v>24</v>
      </c>
      <c r="I224" s="480" t="s">
        <v>4465</v>
      </c>
      <c r="J224" s="495">
        <v>240605700</v>
      </c>
      <c r="K224" s="480" t="s">
        <v>4146</v>
      </c>
      <c r="L224" s="480" t="s">
        <v>4466</v>
      </c>
      <c r="M224" s="480" t="s">
        <v>5841</v>
      </c>
      <c r="N224" s="499" t="s">
        <v>244</v>
      </c>
      <c r="O224" s="480" t="s">
        <v>6507</v>
      </c>
      <c r="P224" s="515">
        <v>4</v>
      </c>
      <c r="Q224" s="485" t="s">
        <v>5349</v>
      </c>
      <c r="R224" s="485" t="s">
        <v>5438</v>
      </c>
      <c r="S224" s="485" t="s">
        <v>5439</v>
      </c>
      <c r="T224" s="485" t="s">
        <v>5440</v>
      </c>
      <c r="U224" s="485" t="s">
        <v>4460</v>
      </c>
      <c r="V224" s="485">
        <v>1</v>
      </c>
      <c r="W224" s="485" t="s">
        <v>5331</v>
      </c>
      <c r="X224" s="485">
        <v>9</v>
      </c>
      <c r="Y224" s="485" t="s">
        <v>849</v>
      </c>
      <c r="Z224" s="486">
        <v>0</v>
      </c>
      <c r="AA224" s="486">
        <v>0</v>
      </c>
      <c r="AB224" s="486">
        <v>0</v>
      </c>
      <c r="AC224" s="486">
        <v>0</v>
      </c>
      <c r="AD224" s="486">
        <v>0</v>
      </c>
      <c r="AE224" s="486">
        <v>0</v>
      </c>
      <c r="AF224" s="486">
        <v>0</v>
      </c>
      <c r="AG224" s="486">
        <v>0</v>
      </c>
      <c r="AH224" s="487">
        <v>0</v>
      </c>
      <c r="AI224" s="486">
        <v>0</v>
      </c>
      <c r="AJ224" s="486">
        <v>0</v>
      </c>
      <c r="AK224" s="486">
        <v>0</v>
      </c>
      <c r="AL224" s="488">
        <v>0</v>
      </c>
      <c r="AM224" s="489">
        <v>0</v>
      </c>
      <c r="AN224" s="486">
        <v>0</v>
      </c>
      <c r="AO224" s="486">
        <v>0</v>
      </c>
      <c r="AP224" s="486">
        <v>0</v>
      </c>
      <c r="AQ224" s="486">
        <v>0</v>
      </c>
      <c r="AR224" s="486">
        <v>0</v>
      </c>
      <c r="AS224" s="486">
        <v>0</v>
      </c>
      <c r="AT224" s="486">
        <v>0</v>
      </c>
      <c r="AU224" s="486">
        <v>0</v>
      </c>
      <c r="AV224" s="487">
        <v>0</v>
      </c>
      <c r="AW224" s="486">
        <v>0</v>
      </c>
      <c r="AX224" s="486">
        <v>0</v>
      </c>
      <c r="AY224" s="486">
        <v>4000000000</v>
      </c>
      <c r="AZ224" s="488">
        <v>4000000000</v>
      </c>
      <c r="BA224" s="490">
        <v>4000000000</v>
      </c>
      <c r="BB224" s="486">
        <v>0</v>
      </c>
      <c r="BC224" s="486">
        <v>0</v>
      </c>
      <c r="BD224" s="486">
        <v>0</v>
      </c>
      <c r="BE224" s="486">
        <v>0</v>
      </c>
      <c r="BF224" s="486">
        <v>0</v>
      </c>
      <c r="BG224" s="486">
        <v>0</v>
      </c>
      <c r="BH224" s="486">
        <v>0</v>
      </c>
      <c r="BI224" s="486">
        <v>0</v>
      </c>
      <c r="BJ224" s="487">
        <v>0</v>
      </c>
      <c r="BK224" s="486">
        <v>0</v>
      </c>
      <c r="BL224" s="486">
        <v>0</v>
      </c>
      <c r="BM224" s="486">
        <v>4000000000</v>
      </c>
      <c r="BN224" s="488">
        <v>4000000000</v>
      </c>
      <c r="BO224" s="490">
        <v>4000000000</v>
      </c>
      <c r="BP224" s="486">
        <v>0</v>
      </c>
      <c r="BQ224" s="486">
        <v>0</v>
      </c>
      <c r="BR224" s="486">
        <v>0</v>
      </c>
      <c r="BS224" s="486">
        <v>0</v>
      </c>
      <c r="BT224" s="486">
        <v>0</v>
      </c>
      <c r="BU224" s="486">
        <v>0</v>
      </c>
      <c r="BV224" s="486">
        <v>0</v>
      </c>
      <c r="BW224" s="486">
        <v>0</v>
      </c>
      <c r="BX224" s="487">
        <v>0</v>
      </c>
      <c r="BY224" s="486">
        <v>0</v>
      </c>
      <c r="BZ224" s="486">
        <v>0</v>
      </c>
      <c r="CA224" s="486">
        <v>2000000000</v>
      </c>
      <c r="CB224" s="488">
        <v>2000000000</v>
      </c>
      <c r="CC224" s="491">
        <v>2000000000</v>
      </c>
      <c r="CD224" s="492">
        <v>10000000000</v>
      </c>
      <c r="CE224" s="493">
        <f t="shared" si="14"/>
        <v>0</v>
      </c>
      <c r="CF224" s="493">
        <f t="shared" si="14"/>
        <v>0</v>
      </c>
      <c r="CG224" s="493">
        <f t="shared" si="14"/>
        <v>0</v>
      </c>
      <c r="CH224" s="493">
        <f t="shared" si="14"/>
        <v>0</v>
      </c>
      <c r="CI224" s="493">
        <f t="shared" si="14"/>
        <v>0</v>
      </c>
      <c r="CJ224" s="493">
        <f t="shared" si="13"/>
        <v>0</v>
      </c>
      <c r="CK224" s="493">
        <f t="shared" si="13"/>
        <v>0</v>
      </c>
      <c r="CL224" s="493">
        <f t="shared" si="13"/>
        <v>0</v>
      </c>
      <c r="CM224" s="493">
        <f t="shared" si="16"/>
        <v>0</v>
      </c>
      <c r="CN224" s="493">
        <f t="shared" si="16"/>
        <v>0</v>
      </c>
      <c r="CO224" s="493">
        <f t="shared" si="16"/>
        <v>10000000000</v>
      </c>
    </row>
    <row r="225" spans="1:93" ht="30.45" hidden="1" customHeight="1">
      <c r="A225" s="555" t="s">
        <v>4431</v>
      </c>
      <c r="B225" s="479">
        <v>223</v>
      </c>
      <c r="C225" s="480" t="s">
        <v>4255</v>
      </c>
      <c r="D225" s="480" t="s">
        <v>4422</v>
      </c>
      <c r="E225" s="480" t="str">
        <f t="shared" si="15"/>
        <v>2.4.3 </v>
      </c>
      <c r="F225" s="480" t="s">
        <v>4455</v>
      </c>
      <c r="G225" s="480" t="s">
        <v>4456</v>
      </c>
      <c r="H225" s="481">
        <v>24</v>
      </c>
      <c r="I225" s="480" t="s">
        <v>4432</v>
      </c>
      <c r="J225" s="495">
        <v>240209300</v>
      </c>
      <c r="K225" s="480" t="s">
        <v>4467</v>
      </c>
      <c r="L225" s="480" t="s">
        <v>4468</v>
      </c>
      <c r="M225" s="480" t="s">
        <v>5842</v>
      </c>
      <c r="N225" s="517">
        <v>21480</v>
      </c>
      <c r="O225" s="480" t="s">
        <v>4460</v>
      </c>
      <c r="P225" s="518">
        <v>30000</v>
      </c>
      <c r="Q225" s="485" t="s">
        <v>5349</v>
      </c>
      <c r="R225" s="485" t="s">
        <v>5438</v>
      </c>
      <c r="S225" s="485" t="s">
        <v>5439</v>
      </c>
      <c r="T225" s="485" t="s">
        <v>5440</v>
      </c>
      <c r="U225" s="485" t="s">
        <v>4460</v>
      </c>
      <c r="V225" s="485">
        <v>1</v>
      </c>
      <c r="W225" s="485" t="s">
        <v>5331</v>
      </c>
      <c r="X225" s="485">
        <v>9</v>
      </c>
      <c r="Y225" s="485" t="s">
        <v>849</v>
      </c>
      <c r="Z225" s="486">
        <v>0</v>
      </c>
      <c r="AA225" s="486">
        <v>0</v>
      </c>
      <c r="AB225" s="486">
        <v>0</v>
      </c>
      <c r="AC225" s="486">
        <v>0</v>
      </c>
      <c r="AD225" s="486">
        <v>0</v>
      </c>
      <c r="AE225" s="486">
        <v>0</v>
      </c>
      <c r="AF225" s="486">
        <v>0</v>
      </c>
      <c r="AG225" s="486">
        <v>0</v>
      </c>
      <c r="AH225" s="487">
        <v>0</v>
      </c>
      <c r="AI225" s="486">
        <v>0</v>
      </c>
      <c r="AJ225" s="486">
        <v>0</v>
      </c>
      <c r="AK225" s="486">
        <v>0</v>
      </c>
      <c r="AL225" s="488">
        <v>0</v>
      </c>
      <c r="AM225" s="489">
        <v>0</v>
      </c>
      <c r="AN225" s="486">
        <v>0</v>
      </c>
      <c r="AO225" s="486">
        <v>2000000000</v>
      </c>
      <c r="AP225" s="486">
        <v>0</v>
      </c>
      <c r="AQ225" s="486">
        <v>0</v>
      </c>
      <c r="AR225" s="486">
        <v>0</v>
      </c>
      <c r="AS225" s="486">
        <v>0</v>
      </c>
      <c r="AT225" s="486">
        <v>0</v>
      </c>
      <c r="AU225" s="486">
        <v>0</v>
      </c>
      <c r="AV225" s="487">
        <v>2000000000</v>
      </c>
      <c r="AW225" s="486">
        <v>0</v>
      </c>
      <c r="AX225" s="486">
        <v>0</v>
      </c>
      <c r="AY225" s="486">
        <v>0</v>
      </c>
      <c r="AZ225" s="488">
        <v>0</v>
      </c>
      <c r="BA225" s="490">
        <v>2000000000</v>
      </c>
      <c r="BB225" s="486">
        <v>0</v>
      </c>
      <c r="BC225" s="486">
        <v>2000000000</v>
      </c>
      <c r="BD225" s="486">
        <v>0</v>
      </c>
      <c r="BE225" s="486">
        <v>0</v>
      </c>
      <c r="BF225" s="486">
        <v>0</v>
      </c>
      <c r="BG225" s="486">
        <v>0</v>
      </c>
      <c r="BH225" s="486">
        <v>0</v>
      </c>
      <c r="BI225" s="486">
        <v>0</v>
      </c>
      <c r="BJ225" s="487">
        <v>2000000000</v>
      </c>
      <c r="BK225" s="486">
        <v>0</v>
      </c>
      <c r="BL225" s="486">
        <v>0</v>
      </c>
      <c r="BM225" s="486">
        <v>0</v>
      </c>
      <c r="BN225" s="488">
        <v>0</v>
      </c>
      <c r="BO225" s="490">
        <v>2000000000</v>
      </c>
      <c r="BP225" s="486">
        <v>0</v>
      </c>
      <c r="BQ225" s="486">
        <v>1000000000</v>
      </c>
      <c r="BR225" s="486">
        <v>0</v>
      </c>
      <c r="BS225" s="486">
        <v>0</v>
      </c>
      <c r="BT225" s="486">
        <v>0</v>
      </c>
      <c r="BU225" s="486">
        <v>0</v>
      </c>
      <c r="BV225" s="486">
        <v>0</v>
      </c>
      <c r="BW225" s="486">
        <v>0</v>
      </c>
      <c r="BX225" s="487">
        <v>1000000000</v>
      </c>
      <c r="BY225" s="486">
        <v>0</v>
      </c>
      <c r="BZ225" s="486">
        <v>0</v>
      </c>
      <c r="CA225" s="486">
        <v>0</v>
      </c>
      <c r="CB225" s="488">
        <v>0</v>
      </c>
      <c r="CC225" s="491">
        <v>1000000000</v>
      </c>
      <c r="CD225" s="492">
        <v>5000000000</v>
      </c>
      <c r="CE225" s="493">
        <f t="shared" si="14"/>
        <v>0</v>
      </c>
      <c r="CF225" s="493">
        <f t="shared" si="14"/>
        <v>5000000000</v>
      </c>
      <c r="CG225" s="493">
        <f t="shared" si="14"/>
        <v>0</v>
      </c>
      <c r="CH225" s="493">
        <f t="shared" si="14"/>
        <v>0</v>
      </c>
      <c r="CI225" s="493">
        <f t="shared" si="14"/>
        <v>0</v>
      </c>
      <c r="CJ225" s="493">
        <f t="shared" si="13"/>
        <v>0</v>
      </c>
      <c r="CK225" s="493">
        <f t="shared" si="13"/>
        <v>0</v>
      </c>
      <c r="CL225" s="493">
        <f t="shared" si="13"/>
        <v>0</v>
      </c>
      <c r="CM225" s="493">
        <f t="shared" si="16"/>
        <v>0</v>
      </c>
      <c r="CN225" s="493">
        <f t="shared" si="16"/>
        <v>0</v>
      </c>
      <c r="CO225" s="493">
        <f t="shared" si="16"/>
        <v>0</v>
      </c>
    </row>
    <row r="226" spans="1:93" ht="30.45" hidden="1" customHeight="1">
      <c r="A226" s="555" t="s">
        <v>4431</v>
      </c>
      <c r="B226" s="479">
        <v>224</v>
      </c>
      <c r="C226" s="480" t="s">
        <v>4255</v>
      </c>
      <c r="D226" s="480" t="s">
        <v>4422</v>
      </c>
      <c r="E226" s="480" t="str">
        <f t="shared" si="15"/>
        <v>2.4.3 </v>
      </c>
      <c r="F226" s="480" t="s">
        <v>4455</v>
      </c>
      <c r="G226" s="480" t="s">
        <v>4456</v>
      </c>
      <c r="H226" s="481">
        <v>24</v>
      </c>
      <c r="I226" s="480" t="s">
        <v>4432</v>
      </c>
      <c r="J226" s="495">
        <v>240203400</v>
      </c>
      <c r="K226" s="480" t="s">
        <v>4467</v>
      </c>
      <c r="L226" s="480" t="s">
        <v>4469</v>
      </c>
      <c r="M226" s="480" t="s">
        <v>5843</v>
      </c>
      <c r="N226" s="499">
        <v>0</v>
      </c>
      <c r="O226" s="480" t="s">
        <v>4443</v>
      </c>
      <c r="P226" s="515">
        <v>9000</v>
      </c>
      <c r="Q226" s="485" t="s">
        <v>5349</v>
      </c>
      <c r="R226" s="485" t="s">
        <v>5438</v>
      </c>
      <c r="S226" s="485" t="s">
        <v>5439</v>
      </c>
      <c r="T226" s="485" t="s">
        <v>5440</v>
      </c>
      <c r="U226" s="485" t="s">
        <v>4460</v>
      </c>
      <c r="V226" s="485">
        <v>1</v>
      </c>
      <c r="W226" s="485" t="s">
        <v>5331</v>
      </c>
      <c r="X226" s="485">
        <v>9</v>
      </c>
      <c r="Y226" s="485" t="s">
        <v>849</v>
      </c>
      <c r="Z226" s="486">
        <v>0</v>
      </c>
      <c r="AA226" s="486">
        <v>0</v>
      </c>
      <c r="AB226" s="486">
        <v>0</v>
      </c>
      <c r="AC226" s="486">
        <v>0</v>
      </c>
      <c r="AD226" s="486">
        <v>0</v>
      </c>
      <c r="AE226" s="486">
        <v>0</v>
      </c>
      <c r="AF226" s="486">
        <v>0</v>
      </c>
      <c r="AG226" s="486">
        <v>0</v>
      </c>
      <c r="AH226" s="487">
        <v>0</v>
      </c>
      <c r="AI226" s="486">
        <v>0</v>
      </c>
      <c r="AJ226" s="486">
        <v>0</v>
      </c>
      <c r="AK226" s="486">
        <v>0</v>
      </c>
      <c r="AL226" s="488">
        <v>0</v>
      </c>
      <c r="AM226" s="489">
        <v>0</v>
      </c>
      <c r="AN226" s="486">
        <v>0</v>
      </c>
      <c r="AO226" s="486">
        <v>300000000</v>
      </c>
      <c r="AP226" s="486">
        <v>0</v>
      </c>
      <c r="AQ226" s="486">
        <v>0</v>
      </c>
      <c r="AR226" s="486">
        <v>0</v>
      </c>
      <c r="AS226" s="486">
        <v>0</v>
      </c>
      <c r="AT226" s="486">
        <v>0</v>
      </c>
      <c r="AU226" s="486">
        <v>0</v>
      </c>
      <c r="AV226" s="487">
        <v>300000000</v>
      </c>
      <c r="AW226" s="486">
        <v>0</v>
      </c>
      <c r="AX226" s="486">
        <v>0</v>
      </c>
      <c r="AY226" s="486">
        <v>0</v>
      </c>
      <c r="AZ226" s="488">
        <v>0</v>
      </c>
      <c r="BA226" s="490">
        <v>300000000</v>
      </c>
      <c r="BB226" s="486">
        <v>0</v>
      </c>
      <c r="BC226" s="486">
        <v>300000000</v>
      </c>
      <c r="BD226" s="486">
        <v>0</v>
      </c>
      <c r="BE226" s="486">
        <v>0</v>
      </c>
      <c r="BF226" s="486">
        <v>0</v>
      </c>
      <c r="BG226" s="486">
        <v>0</v>
      </c>
      <c r="BH226" s="486">
        <v>0</v>
      </c>
      <c r="BI226" s="486">
        <v>0</v>
      </c>
      <c r="BJ226" s="487">
        <v>300000000</v>
      </c>
      <c r="BK226" s="486">
        <v>0</v>
      </c>
      <c r="BL226" s="486">
        <v>0</v>
      </c>
      <c r="BM226" s="486">
        <v>0</v>
      </c>
      <c r="BN226" s="488">
        <v>0</v>
      </c>
      <c r="BO226" s="490">
        <v>300000000</v>
      </c>
      <c r="BP226" s="486">
        <v>0</v>
      </c>
      <c r="BQ226" s="486">
        <v>400000000</v>
      </c>
      <c r="BR226" s="486">
        <v>0</v>
      </c>
      <c r="BS226" s="486">
        <v>0</v>
      </c>
      <c r="BT226" s="486">
        <v>0</v>
      </c>
      <c r="BU226" s="486">
        <v>0</v>
      </c>
      <c r="BV226" s="486">
        <v>0</v>
      </c>
      <c r="BW226" s="486">
        <v>0</v>
      </c>
      <c r="BX226" s="487">
        <v>400000000</v>
      </c>
      <c r="BY226" s="486">
        <v>0</v>
      </c>
      <c r="BZ226" s="486">
        <v>0</v>
      </c>
      <c r="CA226" s="486">
        <v>0</v>
      </c>
      <c r="CB226" s="488">
        <v>0</v>
      </c>
      <c r="CC226" s="491">
        <v>400000000</v>
      </c>
      <c r="CD226" s="492">
        <v>1000000000</v>
      </c>
      <c r="CE226" s="493">
        <f t="shared" si="14"/>
        <v>0</v>
      </c>
      <c r="CF226" s="493">
        <f t="shared" si="14"/>
        <v>1000000000</v>
      </c>
      <c r="CG226" s="493">
        <f t="shared" si="14"/>
        <v>0</v>
      </c>
      <c r="CH226" s="493">
        <f t="shared" si="14"/>
        <v>0</v>
      </c>
      <c r="CI226" s="493">
        <f t="shared" si="14"/>
        <v>0</v>
      </c>
      <c r="CJ226" s="493">
        <f t="shared" si="13"/>
        <v>0</v>
      </c>
      <c r="CK226" s="493">
        <f t="shared" si="13"/>
        <v>0</v>
      </c>
      <c r="CL226" s="493">
        <f t="shared" si="13"/>
        <v>0</v>
      </c>
      <c r="CM226" s="493">
        <f t="shared" si="16"/>
        <v>0</v>
      </c>
      <c r="CN226" s="493">
        <f t="shared" si="16"/>
        <v>0</v>
      </c>
      <c r="CO226" s="493">
        <f t="shared" si="16"/>
        <v>0</v>
      </c>
    </row>
    <row r="227" spans="1:93" ht="30.45" hidden="1" customHeight="1">
      <c r="A227" s="555" t="s">
        <v>1250</v>
      </c>
      <c r="B227" s="479">
        <v>225</v>
      </c>
      <c r="C227" s="480" t="s">
        <v>4255</v>
      </c>
      <c r="D227" s="480" t="s">
        <v>4422</v>
      </c>
      <c r="E227" s="480" t="str">
        <f t="shared" si="15"/>
        <v>2.4.4 </v>
      </c>
      <c r="F227" s="480" t="s">
        <v>4470</v>
      </c>
      <c r="G227" s="480" t="s">
        <v>4471</v>
      </c>
      <c r="H227" s="481">
        <v>24</v>
      </c>
      <c r="I227" s="480" t="s">
        <v>4472</v>
      </c>
      <c r="J227" s="495">
        <v>240904300</v>
      </c>
      <c r="K227" s="480" t="s">
        <v>4473</v>
      </c>
      <c r="L227" s="480" t="s">
        <v>4474</v>
      </c>
      <c r="M227" s="480" t="s">
        <v>5844</v>
      </c>
      <c r="N227" s="499">
        <v>11</v>
      </c>
      <c r="O227" s="480" t="s">
        <v>4475</v>
      </c>
      <c r="P227" s="515">
        <v>30</v>
      </c>
      <c r="Q227" s="485">
        <v>60010012</v>
      </c>
      <c r="R227" s="485" t="s">
        <v>5441</v>
      </c>
      <c r="S227" s="485" t="s">
        <v>677</v>
      </c>
      <c r="T227" s="485">
        <v>0.20899999999999999</v>
      </c>
      <c r="U227" s="485" t="s">
        <v>5442</v>
      </c>
      <c r="V227" s="485">
        <v>0.19900000000000001</v>
      </c>
      <c r="W227" s="485" t="s">
        <v>5357</v>
      </c>
      <c r="X227" s="485" t="s">
        <v>5443</v>
      </c>
      <c r="Y227" s="485" t="s">
        <v>2568</v>
      </c>
      <c r="Z227" s="486">
        <v>0</v>
      </c>
      <c r="AA227" s="486">
        <v>0</v>
      </c>
      <c r="AB227" s="486">
        <v>0</v>
      </c>
      <c r="AC227" s="486">
        <v>0</v>
      </c>
      <c r="AD227" s="486">
        <v>0</v>
      </c>
      <c r="AE227" s="486">
        <v>653639932.38999999</v>
      </c>
      <c r="AF227" s="486">
        <v>0</v>
      </c>
      <c r="AG227" s="486">
        <v>0</v>
      </c>
      <c r="AH227" s="487">
        <v>653639932.38999999</v>
      </c>
      <c r="AI227" s="486">
        <v>0</v>
      </c>
      <c r="AJ227" s="486">
        <v>0</v>
      </c>
      <c r="AK227" s="486">
        <v>0</v>
      </c>
      <c r="AL227" s="488">
        <v>0</v>
      </c>
      <c r="AM227" s="489">
        <v>653639932.38999999</v>
      </c>
      <c r="AN227" s="486">
        <v>0</v>
      </c>
      <c r="AO227" s="486">
        <v>0</v>
      </c>
      <c r="AP227" s="486">
        <v>0</v>
      </c>
      <c r="AQ227" s="486">
        <v>0</v>
      </c>
      <c r="AR227" s="486">
        <v>0</v>
      </c>
      <c r="AS227" s="486">
        <v>114400000</v>
      </c>
      <c r="AT227" s="486">
        <v>0</v>
      </c>
      <c r="AU227" s="486">
        <v>0</v>
      </c>
      <c r="AV227" s="487">
        <v>114400000</v>
      </c>
      <c r="AW227" s="486">
        <v>0</v>
      </c>
      <c r="AX227" s="486">
        <v>0</v>
      </c>
      <c r="AY227" s="486">
        <v>0</v>
      </c>
      <c r="AZ227" s="488">
        <v>0</v>
      </c>
      <c r="BA227" s="490">
        <v>114400000</v>
      </c>
      <c r="BB227" s="486">
        <v>0</v>
      </c>
      <c r="BC227" s="486">
        <v>0</v>
      </c>
      <c r="BD227" s="486">
        <v>0</v>
      </c>
      <c r="BE227" s="486">
        <v>0</v>
      </c>
      <c r="BF227" s="486">
        <v>0</v>
      </c>
      <c r="BG227" s="486">
        <v>118976000</v>
      </c>
      <c r="BH227" s="486">
        <v>0</v>
      </c>
      <c r="BI227" s="486">
        <v>0</v>
      </c>
      <c r="BJ227" s="487">
        <v>118976000</v>
      </c>
      <c r="BK227" s="486">
        <v>0</v>
      </c>
      <c r="BL227" s="486">
        <v>0</v>
      </c>
      <c r="BM227" s="486">
        <v>0</v>
      </c>
      <c r="BN227" s="488">
        <v>0</v>
      </c>
      <c r="BO227" s="490">
        <v>118976000</v>
      </c>
      <c r="BP227" s="486">
        <v>0</v>
      </c>
      <c r="BQ227" s="486">
        <v>0</v>
      </c>
      <c r="BR227" s="486">
        <v>0</v>
      </c>
      <c r="BS227" s="486">
        <v>0</v>
      </c>
      <c r="BT227" s="486">
        <v>0</v>
      </c>
      <c r="BU227" s="486">
        <v>123735040</v>
      </c>
      <c r="BV227" s="486">
        <v>0</v>
      </c>
      <c r="BW227" s="486">
        <v>0</v>
      </c>
      <c r="BX227" s="487">
        <v>123735040</v>
      </c>
      <c r="BY227" s="486">
        <v>0</v>
      </c>
      <c r="BZ227" s="486">
        <v>0</v>
      </c>
      <c r="CA227" s="486">
        <v>0</v>
      </c>
      <c r="CB227" s="488">
        <v>0</v>
      </c>
      <c r="CC227" s="491">
        <v>123735040</v>
      </c>
      <c r="CD227" s="492">
        <v>1010750972.39</v>
      </c>
      <c r="CE227" s="493">
        <f t="shared" si="14"/>
        <v>0</v>
      </c>
      <c r="CF227" s="493">
        <f t="shared" si="14"/>
        <v>0</v>
      </c>
      <c r="CG227" s="493">
        <f t="shared" si="14"/>
        <v>0</v>
      </c>
      <c r="CH227" s="493">
        <f t="shared" si="14"/>
        <v>0</v>
      </c>
      <c r="CI227" s="493">
        <f t="shared" si="14"/>
        <v>0</v>
      </c>
      <c r="CJ227" s="493">
        <f t="shared" si="13"/>
        <v>1010750972.39</v>
      </c>
      <c r="CK227" s="493">
        <f t="shared" si="13"/>
        <v>0</v>
      </c>
      <c r="CL227" s="493">
        <f t="shared" si="13"/>
        <v>0</v>
      </c>
      <c r="CM227" s="493">
        <f t="shared" si="16"/>
        <v>0</v>
      </c>
      <c r="CN227" s="493">
        <f t="shared" si="16"/>
        <v>0</v>
      </c>
      <c r="CO227" s="493">
        <f t="shared" si="16"/>
        <v>0</v>
      </c>
    </row>
    <row r="228" spans="1:93" ht="30.45" hidden="1" customHeight="1">
      <c r="A228" s="555" t="s">
        <v>1250</v>
      </c>
      <c r="B228" s="479">
        <v>226</v>
      </c>
      <c r="C228" s="480" t="s">
        <v>4255</v>
      </c>
      <c r="D228" s="480" t="s">
        <v>4422</v>
      </c>
      <c r="E228" s="480" t="str">
        <f t="shared" si="15"/>
        <v>2.4.4 </v>
      </c>
      <c r="F228" s="480" t="s">
        <v>4470</v>
      </c>
      <c r="G228" s="480" t="s">
        <v>4471</v>
      </c>
      <c r="H228" s="481">
        <v>24</v>
      </c>
      <c r="I228" s="480" t="s">
        <v>4472</v>
      </c>
      <c r="J228" s="495">
        <v>240903900</v>
      </c>
      <c r="K228" s="480" t="s">
        <v>4426</v>
      </c>
      <c r="L228" s="480" t="s">
        <v>4476</v>
      </c>
      <c r="M228" s="480" t="s">
        <v>5845</v>
      </c>
      <c r="N228" s="499">
        <v>108</v>
      </c>
      <c r="O228" s="480" t="s">
        <v>4475</v>
      </c>
      <c r="P228" s="515">
        <v>300</v>
      </c>
      <c r="Q228" s="485">
        <v>60010012</v>
      </c>
      <c r="R228" s="485" t="s">
        <v>5441</v>
      </c>
      <c r="S228" s="485" t="s">
        <v>677</v>
      </c>
      <c r="T228" s="485">
        <v>0.20899999999999999</v>
      </c>
      <c r="U228" s="485" t="s">
        <v>5442</v>
      </c>
      <c r="V228" s="485">
        <v>0.19900000000000001</v>
      </c>
      <c r="W228" s="485" t="s">
        <v>5357</v>
      </c>
      <c r="X228" s="485" t="s">
        <v>5443</v>
      </c>
      <c r="Y228" s="485" t="s">
        <v>2568</v>
      </c>
      <c r="Z228" s="486">
        <v>0</v>
      </c>
      <c r="AA228" s="486">
        <v>0</v>
      </c>
      <c r="AB228" s="486">
        <v>0</v>
      </c>
      <c r="AC228" s="486">
        <v>0</v>
      </c>
      <c r="AD228" s="486">
        <v>0</v>
      </c>
      <c r="AE228" s="528">
        <v>534796308.31999999</v>
      </c>
      <c r="AF228" s="486">
        <v>0</v>
      </c>
      <c r="AG228" s="486">
        <v>0</v>
      </c>
      <c r="AH228" s="487">
        <v>534796308.31999999</v>
      </c>
      <c r="AI228" s="486">
        <v>0</v>
      </c>
      <c r="AJ228" s="486">
        <v>0</v>
      </c>
      <c r="AK228" s="486">
        <v>0</v>
      </c>
      <c r="AL228" s="488">
        <v>0</v>
      </c>
      <c r="AM228" s="489">
        <v>534796308.31999999</v>
      </c>
      <c r="AN228" s="486">
        <v>0</v>
      </c>
      <c r="AO228" s="486">
        <v>0</v>
      </c>
      <c r="AP228" s="486">
        <v>0</v>
      </c>
      <c r="AQ228" s="486">
        <v>0</v>
      </c>
      <c r="AR228" s="486">
        <v>0</v>
      </c>
      <c r="AS228" s="528">
        <v>93600000</v>
      </c>
      <c r="AT228" s="486">
        <v>0</v>
      </c>
      <c r="AU228" s="486">
        <v>0</v>
      </c>
      <c r="AV228" s="487">
        <v>93600000</v>
      </c>
      <c r="AW228" s="486">
        <v>0</v>
      </c>
      <c r="AX228" s="486">
        <v>0</v>
      </c>
      <c r="AY228" s="486">
        <v>0</v>
      </c>
      <c r="AZ228" s="488">
        <v>0</v>
      </c>
      <c r="BA228" s="490">
        <v>93600000</v>
      </c>
      <c r="BB228" s="486">
        <v>0</v>
      </c>
      <c r="BC228" s="486">
        <v>0</v>
      </c>
      <c r="BD228" s="486">
        <v>0</v>
      </c>
      <c r="BE228" s="486">
        <v>0</v>
      </c>
      <c r="BF228" s="486">
        <v>0</v>
      </c>
      <c r="BG228" s="486">
        <v>97344000</v>
      </c>
      <c r="BH228" s="486">
        <v>0</v>
      </c>
      <c r="BI228" s="486">
        <v>0</v>
      </c>
      <c r="BJ228" s="487">
        <v>97344000</v>
      </c>
      <c r="BK228" s="486">
        <v>0</v>
      </c>
      <c r="BL228" s="486">
        <v>0</v>
      </c>
      <c r="BM228" s="486">
        <v>0</v>
      </c>
      <c r="BN228" s="488">
        <v>0</v>
      </c>
      <c r="BO228" s="490">
        <v>97344000</v>
      </c>
      <c r="BP228" s="486">
        <v>0</v>
      </c>
      <c r="BQ228" s="486">
        <v>0</v>
      </c>
      <c r="BR228" s="486">
        <v>0</v>
      </c>
      <c r="BS228" s="486">
        <v>0</v>
      </c>
      <c r="BT228" s="486">
        <v>0</v>
      </c>
      <c r="BU228" s="486">
        <v>101237760</v>
      </c>
      <c r="BV228" s="486">
        <v>0</v>
      </c>
      <c r="BW228" s="486">
        <v>0</v>
      </c>
      <c r="BX228" s="487">
        <v>101237760</v>
      </c>
      <c r="BY228" s="486">
        <v>0</v>
      </c>
      <c r="BZ228" s="486">
        <v>0</v>
      </c>
      <c r="CA228" s="486">
        <v>0</v>
      </c>
      <c r="CB228" s="488">
        <v>0</v>
      </c>
      <c r="CC228" s="491">
        <v>101237760</v>
      </c>
      <c r="CD228" s="492">
        <v>826978068.31999993</v>
      </c>
      <c r="CE228" s="493">
        <f t="shared" si="14"/>
        <v>0</v>
      </c>
      <c r="CF228" s="493">
        <f t="shared" si="14"/>
        <v>0</v>
      </c>
      <c r="CG228" s="493">
        <f t="shared" si="14"/>
        <v>0</v>
      </c>
      <c r="CH228" s="493">
        <f t="shared" si="14"/>
        <v>0</v>
      </c>
      <c r="CI228" s="493">
        <f t="shared" si="14"/>
        <v>0</v>
      </c>
      <c r="CJ228" s="493">
        <f t="shared" si="13"/>
        <v>826978068.31999993</v>
      </c>
      <c r="CK228" s="493">
        <f t="shared" si="13"/>
        <v>0</v>
      </c>
      <c r="CL228" s="493">
        <f t="shared" si="13"/>
        <v>0</v>
      </c>
      <c r="CM228" s="493">
        <f t="shared" si="16"/>
        <v>0</v>
      </c>
      <c r="CN228" s="493">
        <f t="shared" si="16"/>
        <v>0</v>
      </c>
      <c r="CO228" s="493">
        <f t="shared" si="16"/>
        <v>0</v>
      </c>
    </row>
    <row r="229" spans="1:93" ht="30.45" hidden="1" customHeight="1">
      <c r="A229" s="555" t="s">
        <v>1250</v>
      </c>
      <c r="B229" s="479">
        <v>227</v>
      </c>
      <c r="C229" s="480" t="s">
        <v>4255</v>
      </c>
      <c r="D229" s="480" t="s">
        <v>4422</v>
      </c>
      <c r="E229" s="480" t="str">
        <f t="shared" si="15"/>
        <v>2.4.4 </v>
      </c>
      <c r="F229" s="480" t="s">
        <v>4470</v>
      </c>
      <c r="G229" s="480" t="s">
        <v>4471</v>
      </c>
      <c r="H229" s="481">
        <v>24</v>
      </c>
      <c r="I229" s="480" t="s">
        <v>4472</v>
      </c>
      <c r="J229" s="495">
        <v>240900800</v>
      </c>
      <c r="K229" s="480" t="s">
        <v>4063</v>
      </c>
      <c r="L229" s="480" t="s">
        <v>4112</v>
      </c>
      <c r="M229" s="480" t="s">
        <v>5846</v>
      </c>
      <c r="N229" s="499">
        <v>20</v>
      </c>
      <c r="O229" s="480" t="s">
        <v>4475</v>
      </c>
      <c r="P229" s="515" t="s">
        <v>4477</v>
      </c>
      <c r="Q229" s="485">
        <v>60010012</v>
      </c>
      <c r="R229" s="485" t="s">
        <v>5441</v>
      </c>
      <c r="S229" s="485" t="s">
        <v>677</v>
      </c>
      <c r="T229" s="485">
        <v>0.20899999999999999</v>
      </c>
      <c r="U229" s="485" t="s">
        <v>5442</v>
      </c>
      <c r="V229" s="485">
        <v>0.19900000000000001</v>
      </c>
      <c r="W229" s="485" t="s">
        <v>5357</v>
      </c>
      <c r="X229" s="485" t="s">
        <v>5443</v>
      </c>
      <c r="Y229" s="485" t="s">
        <v>2568</v>
      </c>
      <c r="Z229" s="486">
        <v>0</v>
      </c>
      <c r="AA229" s="486">
        <v>0</v>
      </c>
      <c r="AB229" s="486">
        <v>0</v>
      </c>
      <c r="AC229" s="486">
        <v>0</v>
      </c>
      <c r="AD229" s="486">
        <v>0</v>
      </c>
      <c r="AE229" s="528">
        <v>52525000</v>
      </c>
      <c r="AF229" s="486">
        <v>0</v>
      </c>
      <c r="AG229" s="486">
        <v>0</v>
      </c>
      <c r="AH229" s="487">
        <v>52525000</v>
      </c>
      <c r="AI229" s="486">
        <v>0</v>
      </c>
      <c r="AJ229" s="486">
        <v>0</v>
      </c>
      <c r="AK229" s="486">
        <v>0</v>
      </c>
      <c r="AL229" s="488">
        <v>0</v>
      </c>
      <c r="AM229" s="489">
        <v>52525000</v>
      </c>
      <c r="AN229" s="486">
        <v>0</v>
      </c>
      <c r="AO229" s="486">
        <v>0</v>
      </c>
      <c r="AP229" s="486">
        <v>0</v>
      </c>
      <c r="AQ229" s="486">
        <v>0</v>
      </c>
      <c r="AR229" s="486">
        <v>0</v>
      </c>
      <c r="AS229" s="528">
        <v>54626000</v>
      </c>
      <c r="AT229" s="486">
        <v>0</v>
      </c>
      <c r="AU229" s="486">
        <v>0</v>
      </c>
      <c r="AV229" s="487">
        <v>54626000</v>
      </c>
      <c r="AW229" s="486">
        <v>0</v>
      </c>
      <c r="AX229" s="486">
        <v>0</v>
      </c>
      <c r="AY229" s="486">
        <v>0</v>
      </c>
      <c r="AZ229" s="488">
        <v>0</v>
      </c>
      <c r="BA229" s="490">
        <v>54626000</v>
      </c>
      <c r="BB229" s="486">
        <v>0</v>
      </c>
      <c r="BC229" s="486">
        <v>0</v>
      </c>
      <c r="BD229" s="486">
        <v>0</v>
      </c>
      <c r="BE229" s="486">
        <v>0</v>
      </c>
      <c r="BF229" s="486">
        <v>0</v>
      </c>
      <c r="BG229" s="486">
        <v>56811040</v>
      </c>
      <c r="BH229" s="486">
        <v>0</v>
      </c>
      <c r="BI229" s="486">
        <v>0</v>
      </c>
      <c r="BJ229" s="487">
        <v>56811040</v>
      </c>
      <c r="BK229" s="486">
        <v>0</v>
      </c>
      <c r="BL229" s="486">
        <v>0</v>
      </c>
      <c r="BM229" s="486">
        <v>0</v>
      </c>
      <c r="BN229" s="488">
        <v>0</v>
      </c>
      <c r="BO229" s="490">
        <v>56811040</v>
      </c>
      <c r="BP229" s="486">
        <v>0</v>
      </c>
      <c r="BQ229" s="486">
        <v>0</v>
      </c>
      <c r="BR229" s="486">
        <v>0</v>
      </c>
      <c r="BS229" s="486">
        <v>0</v>
      </c>
      <c r="BT229" s="486">
        <v>0</v>
      </c>
      <c r="BU229" s="486">
        <v>59083481.600000001</v>
      </c>
      <c r="BV229" s="486">
        <v>0</v>
      </c>
      <c r="BW229" s="486">
        <v>0</v>
      </c>
      <c r="BX229" s="487">
        <v>59083481.600000001</v>
      </c>
      <c r="BY229" s="486">
        <v>0</v>
      </c>
      <c r="BZ229" s="486">
        <v>0</v>
      </c>
      <c r="CA229" s="486">
        <v>0</v>
      </c>
      <c r="CB229" s="488">
        <v>0</v>
      </c>
      <c r="CC229" s="491">
        <v>59083481.600000001</v>
      </c>
      <c r="CD229" s="492">
        <v>223045521.59999999</v>
      </c>
      <c r="CE229" s="493">
        <f t="shared" si="14"/>
        <v>0</v>
      </c>
      <c r="CF229" s="493">
        <f t="shared" si="14"/>
        <v>0</v>
      </c>
      <c r="CG229" s="493">
        <f t="shared" si="14"/>
        <v>0</v>
      </c>
      <c r="CH229" s="493">
        <f t="shared" si="14"/>
        <v>0</v>
      </c>
      <c r="CI229" s="493">
        <f t="shared" si="14"/>
        <v>0</v>
      </c>
      <c r="CJ229" s="493">
        <f t="shared" si="13"/>
        <v>223045521.59999999</v>
      </c>
      <c r="CK229" s="493">
        <f t="shared" si="13"/>
        <v>0</v>
      </c>
      <c r="CL229" s="493">
        <f t="shared" si="13"/>
        <v>0</v>
      </c>
      <c r="CM229" s="493">
        <f t="shared" si="16"/>
        <v>0</v>
      </c>
      <c r="CN229" s="493">
        <f t="shared" si="16"/>
        <v>0</v>
      </c>
      <c r="CO229" s="493">
        <f t="shared" si="16"/>
        <v>0</v>
      </c>
    </row>
    <row r="230" spans="1:93" ht="30.45" hidden="1" customHeight="1">
      <c r="A230" s="555" t="s">
        <v>1250</v>
      </c>
      <c r="B230" s="479">
        <v>228</v>
      </c>
      <c r="C230" s="480" t="s">
        <v>4255</v>
      </c>
      <c r="D230" s="480" t="s">
        <v>4422</v>
      </c>
      <c r="E230" s="480" t="str">
        <f t="shared" si="15"/>
        <v>2.4.4 </v>
      </c>
      <c r="F230" s="480" t="s">
        <v>4470</v>
      </c>
      <c r="G230" s="480" t="s">
        <v>4471</v>
      </c>
      <c r="H230" s="481">
        <v>24</v>
      </c>
      <c r="I230" s="480" t="s">
        <v>4472</v>
      </c>
      <c r="J230" s="495">
        <v>240900200</v>
      </c>
      <c r="K230" s="480" t="s">
        <v>4286</v>
      </c>
      <c r="L230" s="480" t="s">
        <v>4478</v>
      </c>
      <c r="M230" s="480" t="s">
        <v>5847</v>
      </c>
      <c r="N230" s="499">
        <v>5</v>
      </c>
      <c r="O230" s="480" t="s">
        <v>4475</v>
      </c>
      <c r="P230" s="515">
        <v>12</v>
      </c>
      <c r="Q230" s="485">
        <v>60010012</v>
      </c>
      <c r="R230" s="485" t="s">
        <v>5441</v>
      </c>
      <c r="S230" s="485" t="s">
        <v>677</v>
      </c>
      <c r="T230" s="485">
        <v>0.20899999999999999</v>
      </c>
      <c r="U230" s="485" t="s">
        <v>5442</v>
      </c>
      <c r="V230" s="485">
        <v>0.19900000000000001</v>
      </c>
      <c r="W230" s="485" t="s">
        <v>5357</v>
      </c>
      <c r="X230" s="485" t="s">
        <v>5443</v>
      </c>
      <c r="Y230" s="485" t="s">
        <v>2568</v>
      </c>
      <c r="Z230" s="486">
        <v>0</v>
      </c>
      <c r="AA230" s="486">
        <v>0</v>
      </c>
      <c r="AB230" s="486">
        <v>0</v>
      </c>
      <c r="AC230" s="486">
        <v>0</v>
      </c>
      <c r="AD230" s="486">
        <v>0</v>
      </c>
      <c r="AE230" s="528">
        <v>181662400</v>
      </c>
      <c r="AF230" s="486">
        <v>0</v>
      </c>
      <c r="AG230" s="486">
        <v>0</v>
      </c>
      <c r="AH230" s="487">
        <v>181662400</v>
      </c>
      <c r="AI230" s="486">
        <v>0</v>
      </c>
      <c r="AJ230" s="486">
        <v>0</v>
      </c>
      <c r="AK230" s="486">
        <v>0</v>
      </c>
      <c r="AL230" s="488">
        <v>0</v>
      </c>
      <c r="AM230" s="489">
        <v>181662400</v>
      </c>
      <c r="AN230" s="486">
        <v>0</v>
      </c>
      <c r="AO230" s="486">
        <v>0</v>
      </c>
      <c r="AP230" s="486">
        <v>0</v>
      </c>
      <c r="AQ230" s="486">
        <v>0</v>
      </c>
      <c r="AR230" s="486">
        <v>0</v>
      </c>
      <c r="AS230" s="529">
        <v>188928896</v>
      </c>
      <c r="AT230" s="486">
        <v>0</v>
      </c>
      <c r="AU230" s="486">
        <v>0</v>
      </c>
      <c r="AV230" s="487">
        <v>188928896</v>
      </c>
      <c r="AW230" s="486">
        <v>0</v>
      </c>
      <c r="AX230" s="486">
        <v>0</v>
      </c>
      <c r="AY230" s="486">
        <v>0</v>
      </c>
      <c r="AZ230" s="488">
        <v>0</v>
      </c>
      <c r="BA230" s="490">
        <v>188928896</v>
      </c>
      <c r="BB230" s="486">
        <v>0</v>
      </c>
      <c r="BC230" s="486">
        <v>0</v>
      </c>
      <c r="BD230" s="486">
        <v>0</v>
      </c>
      <c r="BE230" s="486">
        <v>0</v>
      </c>
      <c r="BF230" s="486">
        <v>0</v>
      </c>
      <c r="BG230" s="486">
        <v>196486051.84</v>
      </c>
      <c r="BH230" s="486">
        <v>0</v>
      </c>
      <c r="BI230" s="486">
        <v>0</v>
      </c>
      <c r="BJ230" s="487">
        <v>196486051.84</v>
      </c>
      <c r="BK230" s="486">
        <v>0</v>
      </c>
      <c r="BL230" s="486">
        <v>0</v>
      </c>
      <c r="BM230" s="486">
        <v>0</v>
      </c>
      <c r="BN230" s="488">
        <v>0</v>
      </c>
      <c r="BO230" s="490">
        <v>196486051.84</v>
      </c>
      <c r="BP230" s="486">
        <v>0</v>
      </c>
      <c r="BQ230" s="486">
        <v>0</v>
      </c>
      <c r="BR230" s="486">
        <v>0</v>
      </c>
      <c r="BS230" s="486">
        <v>0</v>
      </c>
      <c r="BT230" s="486">
        <v>0</v>
      </c>
      <c r="BU230" s="486">
        <v>204345493.91</v>
      </c>
      <c r="BV230" s="486">
        <v>0</v>
      </c>
      <c r="BW230" s="486">
        <v>0</v>
      </c>
      <c r="BX230" s="487">
        <v>204345493.91</v>
      </c>
      <c r="BY230" s="486">
        <v>0</v>
      </c>
      <c r="BZ230" s="486">
        <v>0</v>
      </c>
      <c r="CA230" s="486">
        <v>0</v>
      </c>
      <c r="CB230" s="488">
        <v>0</v>
      </c>
      <c r="CC230" s="491">
        <v>204345493.91</v>
      </c>
      <c r="CD230" s="492">
        <v>771422841.75</v>
      </c>
      <c r="CE230" s="493">
        <f t="shared" si="14"/>
        <v>0</v>
      </c>
      <c r="CF230" s="493">
        <f t="shared" si="14"/>
        <v>0</v>
      </c>
      <c r="CG230" s="493">
        <f t="shared" si="14"/>
        <v>0</v>
      </c>
      <c r="CH230" s="493">
        <f t="shared" si="14"/>
        <v>0</v>
      </c>
      <c r="CI230" s="493">
        <f t="shared" si="14"/>
        <v>0</v>
      </c>
      <c r="CJ230" s="493">
        <f t="shared" si="13"/>
        <v>771422841.75</v>
      </c>
      <c r="CK230" s="493">
        <f t="shared" si="13"/>
        <v>0</v>
      </c>
      <c r="CL230" s="493">
        <f t="shared" si="13"/>
        <v>0</v>
      </c>
      <c r="CM230" s="493">
        <f t="shared" si="16"/>
        <v>0</v>
      </c>
      <c r="CN230" s="493">
        <f t="shared" si="16"/>
        <v>0</v>
      </c>
      <c r="CO230" s="493">
        <f t="shared" si="16"/>
        <v>0</v>
      </c>
    </row>
    <row r="231" spans="1:93" ht="30.45" hidden="1" customHeight="1">
      <c r="A231" s="555" t="s">
        <v>1250</v>
      </c>
      <c r="B231" s="479">
        <v>229</v>
      </c>
      <c r="C231" s="480" t="s">
        <v>4255</v>
      </c>
      <c r="D231" s="480" t="s">
        <v>4422</v>
      </c>
      <c r="E231" s="480" t="str">
        <f t="shared" si="15"/>
        <v>2.4.4 </v>
      </c>
      <c r="F231" s="480" t="s">
        <v>4470</v>
      </c>
      <c r="G231" s="480" t="s">
        <v>4471</v>
      </c>
      <c r="H231" s="481">
        <v>24</v>
      </c>
      <c r="I231" s="480" t="s">
        <v>4472</v>
      </c>
      <c r="J231" s="495">
        <v>240900400</v>
      </c>
      <c r="K231" s="480" t="s">
        <v>4479</v>
      </c>
      <c r="L231" s="480" t="s">
        <v>4480</v>
      </c>
      <c r="M231" s="480" t="s">
        <v>5848</v>
      </c>
      <c r="N231" s="499">
        <v>739</v>
      </c>
      <c r="O231" s="480" t="s">
        <v>4475</v>
      </c>
      <c r="P231" s="515" t="s">
        <v>4481</v>
      </c>
      <c r="Q231" s="485">
        <v>60010012</v>
      </c>
      <c r="R231" s="485" t="s">
        <v>5441</v>
      </c>
      <c r="S231" s="485" t="s">
        <v>677</v>
      </c>
      <c r="T231" s="485">
        <v>0.20899999999999999</v>
      </c>
      <c r="U231" s="485" t="s">
        <v>5442</v>
      </c>
      <c r="V231" s="485">
        <v>0.19900000000000001</v>
      </c>
      <c r="W231" s="485" t="s">
        <v>5357</v>
      </c>
      <c r="X231" s="485" t="s">
        <v>5443</v>
      </c>
      <c r="Y231" s="485" t="s">
        <v>2568</v>
      </c>
      <c r="Z231" s="486">
        <v>0</v>
      </c>
      <c r="AA231" s="486">
        <v>0</v>
      </c>
      <c r="AB231" s="486">
        <v>0</v>
      </c>
      <c r="AC231" s="486">
        <v>0</v>
      </c>
      <c r="AD231" s="486">
        <v>0</v>
      </c>
      <c r="AE231" s="528">
        <v>367450000</v>
      </c>
      <c r="AF231" s="486">
        <v>0</v>
      </c>
      <c r="AG231" s="486">
        <v>0</v>
      </c>
      <c r="AH231" s="487">
        <v>367450000</v>
      </c>
      <c r="AI231" s="486">
        <v>0</v>
      </c>
      <c r="AJ231" s="486">
        <v>0</v>
      </c>
      <c r="AK231" s="486">
        <v>0</v>
      </c>
      <c r="AL231" s="488">
        <v>0</v>
      </c>
      <c r="AM231" s="489">
        <v>367450000</v>
      </c>
      <c r="AN231" s="486">
        <v>0</v>
      </c>
      <c r="AO231" s="486">
        <v>0</v>
      </c>
      <c r="AP231" s="486">
        <v>0</v>
      </c>
      <c r="AQ231" s="486">
        <v>0</v>
      </c>
      <c r="AR231" s="486">
        <v>0</v>
      </c>
      <c r="AS231" s="529">
        <v>382148000</v>
      </c>
      <c r="AT231" s="486">
        <v>0</v>
      </c>
      <c r="AU231" s="486">
        <v>0</v>
      </c>
      <c r="AV231" s="487">
        <v>382148000</v>
      </c>
      <c r="AW231" s="486">
        <v>0</v>
      </c>
      <c r="AX231" s="486">
        <v>0</v>
      </c>
      <c r="AY231" s="486">
        <v>0</v>
      </c>
      <c r="AZ231" s="488">
        <v>0</v>
      </c>
      <c r="BA231" s="490">
        <v>382148000</v>
      </c>
      <c r="BB231" s="486">
        <v>0</v>
      </c>
      <c r="BC231" s="486">
        <v>0</v>
      </c>
      <c r="BD231" s="486">
        <v>0</v>
      </c>
      <c r="BE231" s="486">
        <v>0</v>
      </c>
      <c r="BF231" s="486">
        <v>0</v>
      </c>
      <c r="BG231" s="486">
        <v>397433920</v>
      </c>
      <c r="BH231" s="486">
        <v>0</v>
      </c>
      <c r="BI231" s="486">
        <v>0</v>
      </c>
      <c r="BJ231" s="487">
        <v>397433920</v>
      </c>
      <c r="BK231" s="486">
        <v>0</v>
      </c>
      <c r="BL231" s="486">
        <v>0</v>
      </c>
      <c r="BM231" s="486">
        <v>0</v>
      </c>
      <c r="BN231" s="488">
        <v>0</v>
      </c>
      <c r="BO231" s="490">
        <v>397433920</v>
      </c>
      <c r="BP231" s="486">
        <v>0</v>
      </c>
      <c r="BQ231" s="486">
        <v>0</v>
      </c>
      <c r="BR231" s="486">
        <v>0</v>
      </c>
      <c r="BS231" s="486">
        <v>0</v>
      </c>
      <c r="BT231" s="486">
        <v>0</v>
      </c>
      <c r="BU231" s="486">
        <v>413331276.80000001</v>
      </c>
      <c r="BV231" s="486">
        <v>0</v>
      </c>
      <c r="BW231" s="486">
        <v>0</v>
      </c>
      <c r="BX231" s="487">
        <v>413331276.80000001</v>
      </c>
      <c r="BY231" s="486">
        <v>0</v>
      </c>
      <c r="BZ231" s="486">
        <v>0</v>
      </c>
      <c r="CA231" s="486">
        <v>0</v>
      </c>
      <c r="CB231" s="488">
        <v>0</v>
      </c>
      <c r="CC231" s="491">
        <v>413331276.80000001</v>
      </c>
      <c r="CD231" s="492">
        <v>1560363196.8</v>
      </c>
      <c r="CE231" s="493">
        <f t="shared" si="14"/>
        <v>0</v>
      </c>
      <c r="CF231" s="493">
        <f t="shared" si="14"/>
        <v>0</v>
      </c>
      <c r="CG231" s="493">
        <f t="shared" si="14"/>
        <v>0</v>
      </c>
      <c r="CH231" s="493">
        <f t="shared" si="14"/>
        <v>0</v>
      </c>
      <c r="CI231" s="493">
        <f t="shared" si="14"/>
        <v>0</v>
      </c>
      <c r="CJ231" s="493">
        <f t="shared" si="13"/>
        <v>1560363196.8</v>
      </c>
      <c r="CK231" s="493">
        <f t="shared" si="13"/>
        <v>0</v>
      </c>
      <c r="CL231" s="493">
        <f t="shared" si="13"/>
        <v>0</v>
      </c>
      <c r="CM231" s="493">
        <f t="shared" si="16"/>
        <v>0</v>
      </c>
      <c r="CN231" s="493">
        <f t="shared" si="16"/>
        <v>0</v>
      </c>
      <c r="CO231" s="493">
        <f t="shared" si="16"/>
        <v>0</v>
      </c>
    </row>
    <row r="232" spans="1:93" ht="30.45" hidden="1" customHeight="1">
      <c r="A232" s="555" t="s">
        <v>1250</v>
      </c>
      <c r="B232" s="479">
        <v>230</v>
      </c>
      <c r="C232" s="480" t="s">
        <v>4255</v>
      </c>
      <c r="D232" s="480" t="s">
        <v>4422</v>
      </c>
      <c r="E232" s="480" t="str">
        <f t="shared" si="15"/>
        <v>2.4.4 </v>
      </c>
      <c r="F232" s="480" t="s">
        <v>4470</v>
      </c>
      <c r="G232" s="480" t="s">
        <v>4471</v>
      </c>
      <c r="H232" s="481">
        <v>24</v>
      </c>
      <c r="I232" s="480" t="s">
        <v>4472</v>
      </c>
      <c r="J232" s="495">
        <v>240902300</v>
      </c>
      <c r="K232" s="480" t="s">
        <v>4008</v>
      </c>
      <c r="L232" s="480" t="s">
        <v>4482</v>
      </c>
      <c r="M232" s="480" t="s">
        <v>5849</v>
      </c>
      <c r="N232" s="499">
        <v>246260</v>
      </c>
      <c r="O232" s="480" t="s">
        <v>4475</v>
      </c>
      <c r="P232" s="518">
        <v>500000</v>
      </c>
      <c r="Q232" s="485">
        <v>60010012</v>
      </c>
      <c r="R232" s="485" t="s">
        <v>5441</v>
      </c>
      <c r="S232" s="485" t="s">
        <v>677</v>
      </c>
      <c r="T232" s="485">
        <v>0.20899999999999999</v>
      </c>
      <c r="U232" s="485" t="s">
        <v>5442</v>
      </c>
      <c r="V232" s="485">
        <v>0.19900000000000001</v>
      </c>
      <c r="W232" s="485" t="s">
        <v>5357</v>
      </c>
      <c r="X232" s="485" t="s">
        <v>5443</v>
      </c>
      <c r="Y232" s="485" t="s">
        <v>2568</v>
      </c>
      <c r="Z232" s="486">
        <v>0</v>
      </c>
      <c r="AA232" s="486">
        <v>0</v>
      </c>
      <c r="AB232" s="486">
        <v>0</v>
      </c>
      <c r="AC232" s="486">
        <v>0</v>
      </c>
      <c r="AD232" s="486">
        <v>0</v>
      </c>
      <c r="AE232" s="528">
        <v>367675000</v>
      </c>
      <c r="AF232" s="486">
        <v>0</v>
      </c>
      <c r="AG232" s="486">
        <v>0</v>
      </c>
      <c r="AH232" s="487">
        <v>367675000</v>
      </c>
      <c r="AI232" s="486">
        <v>0</v>
      </c>
      <c r="AJ232" s="486">
        <v>0</v>
      </c>
      <c r="AK232" s="486">
        <v>0</v>
      </c>
      <c r="AL232" s="488">
        <v>0</v>
      </c>
      <c r="AM232" s="489">
        <v>367675000</v>
      </c>
      <c r="AN232" s="486">
        <v>0</v>
      </c>
      <c r="AO232" s="486">
        <v>0</v>
      </c>
      <c r="AP232" s="486">
        <v>0</v>
      </c>
      <c r="AQ232" s="486">
        <v>0</v>
      </c>
      <c r="AR232" s="486">
        <v>0</v>
      </c>
      <c r="AS232" s="529">
        <v>382382000</v>
      </c>
      <c r="AT232" s="486">
        <v>0</v>
      </c>
      <c r="AU232" s="486">
        <v>0</v>
      </c>
      <c r="AV232" s="487">
        <v>382382000</v>
      </c>
      <c r="AW232" s="486">
        <v>0</v>
      </c>
      <c r="AX232" s="486">
        <v>0</v>
      </c>
      <c r="AY232" s="486">
        <v>0</v>
      </c>
      <c r="AZ232" s="488">
        <v>0</v>
      </c>
      <c r="BA232" s="490">
        <v>382382000</v>
      </c>
      <c r="BB232" s="486">
        <v>0</v>
      </c>
      <c r="BC232" s="486">
        <v>0</v>
      </c>
      <c r="BD232" s="486">
        <v>0</v>
      </c>
      <c r="BE232" s="486">
        <v>0</v>
      </c>
      <c r="BF232" s="486">
        <v>0</v>
      </c>
      <c r="BG232" s="486">
        <v>397677280</v>
      </c>
      <c r="BH232" s="486">
        <v>0</v>
      </c>
      <c r="BI232" s="486">
        <v>0</v>
      </c>
      <c r="BJ232" s="487">
        <v>397677280</v>
      </c>
      <c r="BK232" s="486">
        <v>0</v>
      </c>
      <c r="BL232" s="486">
        <v>0</v>
      </c>
      <c r="BM232" s="486">
        <v>0</v>
      </c>
      <c r="BN232" s="488">
        <v>0</v>
      </c>
      <c r="BO232" s="490">
        <v>397677280</v>
      </c>
      <c r="BP232" s="486">
        <v>0</v>
      </c>
      <c r="BQ232" s="486">
        <v>0</v>
      </c>
      <c r="BR232" s="486">
        <v>0</v>
      </c>
      <c r="BS232" s="486">
        <v>0</v>
      </c>
      <c r="BT232" s="486">
        <v>0</v>
      </c>
      <c r="BU232" s="486">
        <v>413584371.19999999</v>
      </c>
      <c r="BV232" s="486">
        <v>0</v>
      </c>
      <c r="BW232" s="486">
        <v>0</v>
      </c>
      <c r="BX232" s="487">
        <v>413584371.19999999</v>
      </c>
      <c r="BY232" s="486">
        <v>0</v>
      </c>
      <c r="BZ232" s="486">
        <v>0</v>
      </c>
      <c r="CA232" s="486">
        <v>0</v>
      </c>
      <c r="CB232" s="488">
        <v>0</v>
      </c>
      <c r="CC232" s="491">
        <v>413584371.19999999</v>
      </c>
      <c r="CD232" s="492">
        <v>1561318651.2</v>
      </c>
      <c r="CE232" s="493">
        <f t="shared" si="14"/>
        <v>0</v>
      </c>
      <c r="CF232" s="493">
        <f t="shared" si="14"/>
        <v>0</v>
      </c>
      <c r="CG232" s="493">
        <f t="shared" si="14"/>
        <v>0</v>
      </c>
      <c r="CH232" s="493">
        <f t="shared" si="14"/>
        <v>0</v>
      </c>
      <c r="CI232" s="493">
        <f t="shared" si="14"/>
        <v>0</v>
      </c>
      <c r="CJ232" s="493">
        <f t="shared" si="13"/>
        <v>1561318651.2</v>
      </c>
      <c r="CK232" s="493">
        <f t="shared" si="13"/>
        <v>0</v>
      </c>
      <c r="CL232" s="493">
        <f t="shared" si="13"/>
        <v>0</v>
      </c>
      <c r="CM232" s="493">
        <f t="shared" si="16"/>
        <v>0</v>
      </c>
      <c r="CN232" s="493">
        <f t="shared" si="16"/>
        <v>0</v>
      </c>
      <c r="CO232" s="493">
        <f t="shared" si="16"/>
        <v>0</v>
      </c>
    </row>
    <row r="233" spans="1:93" ht="30.45" hidden="1" customHeight="1">
      <c r="A233" s="555" t="s">
        <v>1250</v>
      </c>
      <c r="B233" s="479">
        <v>231</v>
      </c>
      <c r="C233" s="480" t="s">
        <v>4255</v>
      </c>
      <c r="D233" s="480" t="s">
        <v>4422</v>
      </c>
      <c r="E233" s="480" t="str">
        <f t="shared" si="15"/>
        <v>2.4.5 </v>
      </c>
      <c r="F233" s="480" t="s">
        <v>4483</v>
      </c>
      <c r="G233" s="480" t="s">
        <v>4484</v>
      </c>
      <c r="H233" s="481">
        <v>24</v>
      </c>
      <c r="I233" s="480" t="s">
        <v>4472</v>
      </c>
      <c r="J233" s="495">
        <v>240905900</v>
      </c>
      <c r="K233" s="480" t="s">
        <v>4181</v>
      </c>
      <c r="L233" s="480" t="s">
        <v>4182</v>
      </c>
      <c r="M233" s="480" t="s">
        <v>6508</v>
      </c>
      <c r="N233" s="499">
        <v>3</v>
      </c>
      <c r="O233" s="480" t="s">
        <v>4475</v>
      </c>
      <c r="P233" s="515">
        <v>3</v>
      </c>
      <c r="Q233" s="485" t="s">
        <v>5349</v>
      </c>
      <c r="R233" s="485" t="s">
        <v>5444</v>
      </c>
      <c r="S233" s="485" t="s">
        <v>689</v>
      </c>
      <c r="T233" s="485">
        <v>26</v>
      </c>
      <c r="U233" s="485" t="s">
        <v>5445</v>
      </c>
      <c r="V233" s="485">
        <v>28</v>
      </c>
      <c r="W233" s="485" t="s">
        <v>5351</v>
      </c>
      <c r="X233" s="485">
        <v>9</v>
      </c>
      <c r="Y233" s="485" t="s">
        <v>5406</v>
      </c>
      <c r="Z233" s="486">
        <v>0</v>
      </c>
      <c r="AA233" s="486">
        <v>0</v>
      </c>
      <c r="AB233" s="486">
        <v>0</v>
      </c>
      <c r="AC233" s="486">
        <v>0</v>
      </c>
      <c r="AD233" s="486">
        <v>0</v>
      </c>
      <c r="AE233" s="530">
        <v>100000000</v>
      </c>
      <c r="AF233" s="486">
        <v>0</v>
      </c>
      <c r="AG233" s="486">
        <v>0</v>
      </c>
      <c r="AH233" s="487">
        <v>100000000</v>
      </c>
      <c r="AI233" s="486">
        <v>0</v>
      </c>
      <c r="AJ233" s="486">
        <v>0</v>
      </c>
      <c r="AK233" s="486">
        <v>0</v>
      </c>
      <c r="AL233" s="488">
        <v>0</v>
      </c>
      <c r="AM233" s="489">
        <v>100000000</v>
      </c>
      <c r="AN233" s="486">
        <v>0</v>
      </c>
      <c r="AO233" s="486">
        <v>0</v>
      </c>
      <c r="AP233" s="486">
        <v>0</v>
      </c>
      <c r="AQ233" s="486">
        <v>0</v>
      </c>
      <c r="AR233" s="486">
        <v>0</v>
      </c>
      <c r="AS233" s="529">
        <v>104000000</v>
      </c>
      <c r="AT233" s="486">
        <v>0</v>
      </c>
      <c r="AU233" s="486">
        <v>0</v>
      </c>
      <c r="AV233" s="487">
        <v>104000000</v>
      </c>
      <c r="AW233" s="486">
        <v>0</v>
      </c>
      <c r="AX233" s="486">
        <v>0</v>
      </c>
      <c r="AY233" s="486">
        <v>0</v>
      </c>
      <c r="AZ233" s="488">
        <v>0</v>
      </c>
      <c r="BA233" s="490">
        <v>104000000</v>
      </c>
      <c r="BB233" s="486">
        <v>0</v>
      </c>
      <c r="BC233" s="486">
        <v>0</v>
      </c>
      <c r="BD233" s="486">
        <v>0</v>
      </c>
      <c r="BE233" s="486">
        <v>0</v>
      </c>
      <c r="BF233" s="486">
        <v>0</v>
      </c>
      <c r="BG233" s="486">
        <v>108160000</v>
      </c>
      <c r="BH233" s="486">
        <v>0</v>
      </c>
      <c r="BI233" s="486">
        <v>0</v>
      </c>
      <c r="BJ233" s="487">
        <v>108160000</v>
      </c>
      <c r="BK233" s="486">
        <v>0</v>
      </c>
      <c r="BL233" s="486">
        <v>0</v>
      </c>
      <c r="BM233" s="486">
        <v>0</v>
      </c>
      <c r="BN233" s="488">
        <v>0</v>
      </c>
      <c r="BO233" s="490">
        <v>108160000</v>
      </c>
      <c r="BP233" s="486">
        <v>0</v>
      </c>
      <c r="BQ233" s="486">
        <v>0</v>
      </c>
      <c r="BR233" s="486">
        <v>0</v>
      </c>
      <c r="BS233" s="486">
        <v>0</v>
      </c>
      <c r="BT233" s="486">
        <v>0</v>
      </c>
      <c r="BU233" s="486">
        <v>112486400</v>
      </c>
      <c r="BV233" s="486">
        <v>0</v>
      </c>
      <c r="BW233" s="486">
        <v>0</v>
      </c>
      <c r="BX233" s="487">
        <v>112486400</v>
      </c>
      <c r="BY233" s="486">
        <v>0</v>
      </c>
      <c r="BZ233" s="486">
        <v>0</v>
      </c>
      <c r="CA233" s="486">
        <v>0</v>
      </c>
      <c r="CB233" s="488">
        <v>0</v>
      </c>
      <c r="CC233" s="491">
        <v>112486400</v>
      </c>
      <c r="CD233" s="492">
        <v>424646400</v>
      </c>
      <c r="CE233" s="493">
        <f t="shared" ref="CE233:CL266" si="17">Z233+AN233+BB233+BP233</f>
        <v>0</v>
      </c>
      <c r="CF233" s="493">
        <f t="shared" si="17"/>
        <v>0</v>
      </c>
      <c r="CG233" s="493">
        <f t="shared" si="17"/>
        <v>0</v>
      </c>
      <c r="CH233" s="493">
        <f t="shared" si="17"/>
        <v>0</v>
      </c>
      <c r="CI233" s="493">
        <f t="shared" si="17"/>
        <v>0</v>
      </c>
      <c r="CJ233" s="493">
        <f t="shared" si="13"/>
        <v>424646400</v>
      </c>
      <c r="CK233" s="493">
        <f t="shared" si="13"/>
        <v>0</v>
      </c>
      <c r="CL233" s="493">
        <f t="shared" si="13"/>
        <v>0</v>
      </c>
      <c r="CM233" s="493">
        <f t="shared" si="16"/>
        <v>0</v>
      </c>
      <c r="CN233" s="493">
        <f t="shared" si="16"/>
        <v>0</v>
      </c>
      <c r="CO233" s="493">
        <f t="shared" si="16"/>
        <v>0</v>
      </c>
    </row>
    <row r="234" spans="1:93" ht="30.45" hidden="1" customHeight="1">
      <c r="A234" s="555" t="s">
        <v>1250</v>
      </c>
      <c r="B234" s="479">
        <v>232</v>
      </c>
      <c r="C234" s="480" t="s">
        <v>4255</v>
      </c>
      <c r="D234" s="480" t="s">
        <v>4422</v>
      </c>
      <c r="E234" s="480" t="str">
        <f t="shared" si="15"/>
        <v>2.4.5 </v>
      </c>
      <c r="F234" s="480" t="s">
        <v>4483</v>
      </c>
      <c r="G234" s="480" t="s">
        <v>4484</v>
      </c>
      <c r="H234" s="481">
        <v>45</v>
      </c>
      <c r="I234" s="480" t="s">
        <v>4485</v>
      </c>
      <c r="J234" s="495">
        <v>459901600</v>
      </c>
      <c r="K234" s="480" t="s">
        <v>4037</v>
      </c>
      <c r="L234" s="480" t="s">
        <v>4486</v>
      </c>
      <c r="M234" s="480" t="s">
        <v>5850</v>
      </c>
      <c r="N234" s="499">
        <v>1</v>
      </c>
      <c r="O234" s="480" t="s">
        <v>4475</v>
      </c>
      <c r="P234" s="515">
        <v>4</v>
      </c>
      <c r="Q234" s="485" t="s">
        <v>5349</v>
      </c>
      <c r="R234" s="485" t="s">
        <v>5444</v>
      </c>
      <c r="S234" s="485" t="s">
        <v>689</v>
      </c>
      <c r="T234" s="485">
        <v>26</v>
      </c>
      <c r="U234" s="485" t="s">
        <v>5445</v>
      </c>
      <c r="V234" s="485">
        <v>28</v>
      </c>
      <c r="W234" s="485" t="s">
        <v>5351</v>
      </c>
      <c r="X234" s="485">
        <v>9</v>
      </c>
      <c r="Y234" s="485" t="s">
        <v>5406</v>
      </c>
      <c r="Z234" s="486">
        <v>0</v>
      </c>
      <c r="AA234" s="486">
        <v>0</v>
      </c>
      <c r="AB234" s="486">
        <v>0</v>
      </c>
      <c r="AC234" s="486">
        <v>0</v>
      </c>
      <c r="AD234" s="486">
        <v>0</v>
      </c>
      <c r="AE234" s="530">
        <v>22000000</v>
      </c>
      <c r="AF234" s="486">
        <v>0</v>
      </c>
      <c r="AG234" s="486">
        <v>0</v>
      </c>
      <c r="AH234" s="487">
        <v>22000000</v>
      </c>
      <c r="AI234" s="486">
        <v>0</v>
      </c>
      <c r="AJ234" s="486">
        <v>0</v>
      </c>
      <c r="AK234" s="486">
        <v>0</v>
      </c>
      <c r="AL234" s="488">
        <v>0</v>
      </c>
      <c r="AM234" s="489">
        <v>22000000</v>
      </c>
      <c r="AN234" s="486">
        <v>0</v>
      </c>
      <c r="AO234" s="486">
        <v>0</v>
      </c>
      <c r="AP234" s="486">
        <v>0</v>
      </c>
      <c r="AQ234" s="486">
        <v>0</v>
      </c>
      <c r="AR234" s="486">
        <v>0</v>
      </c>
      <c r="AS234" s="529">
        <v>22880000</v>
      </c>
      <c r="AT234" s="486">
        <v>0</v>
      </c>
      <c r="AU234" s="486">
        <v>0</v>
      </c>
      <c r="AV234" s="487">
        <v>22880000</v>
      </c>
      <c r="AW234" s="486">
        <v>0</v>
      </c>
      <c r="AX234" s="486">
        <v>0</v>
      </c>
      <c r="AY234" s="486">
        <v>0</v>
      </c>
      <c r="AZ234" s="488">
        <v>0</v>
      </c>
      <c r="BA234" s="490">
        <v>22880000</v>
      </c>
      <c r="BB234" s="486">
        <v>0</v>
      </c>
      <c r="BC234" s="486">
        <v>0</v>
      </c>
      <c r="BD234" s="486">
        <v>0</v>
      </c>
      <c r="BE234" s="486">
        <v>0</v>
      </c>
      <c r="BF234" s="486">
        <v>0</v>
      </c>
      <c r="BG234" s="486">
        <v>23795200</v>
      </c>
      <c r="BH234" s="486">
        <v>0</v>
      </c>
      <c r="BI234" s="486">
        <v>0</v>
      </c>
      <c r="BJ234" s="487">
        <v>23795200</v>
      </c>
      <c r="BK234" s="486">
        <v>0</v>
      </c>
      <c r="BL234" s="486">
        <v>0</v>
      </c>
      <c r="BM234" s="486">
        <v>0</v>
      </c>
      <c r="BN234" s="488">
        <v>0</v>
      </c>
      <c r="BO234" s="490">
        <v>23795200</v>
      </c>
      <c r="BP234" s="486">
        <v>0</v>
      </c>
      <c r="BQ234" s="486">
        <v>0</v>
      </c>
      <c r="BR234" s="486">
        <v>0</v>
      </c>
      <c r="BS234" s="486">
        <v>0</v>
      </c>
      <c r="BT234" s="486">
        <v>0</v>
      </c>
      <c r="BU234" s="486">
        <v>24747008</v>
      </c>
      <c r="BV234" s="486">
        <v>0</v>
      </c>
      <c r="BW234" s="486">
        <v>0</v>
      </c>
      <c r="BX234" s="487">
        <v>24747008</v>
      </c>
      <c r="BY234" s="486">
        <v>0</v>
      </c>
      <c r="BZ234" s="486">
        <v>0</v>
      </c>
      <c r="CA234" s="486">
        <v>0</v>
      </c>
      <c r="CB234" s="488">
        <v>0</v>
      </c>
      <c r="CC234" s="491">
        <v>24747008</v>
      </c>
      <c r="CD234" s="492">
        <v>93422208</v>
      </c>
      <c r="CE234" s="493">
        <f t="shared" si="17"/>
        <v>0</v>
      </c>
      <c r="CF234" s="493">
        <f t="shared" si="17"/>
        <v>0</v>
      </c>
      <c r="CG234" s="493">
        <f t="shared" si="17"/>
        <v>0</v>
      </c>
      <c r="CH234" s="493">
        <f t="shared" si="17"/>
        <v>0</v>
      </c>
      <c r="CI234" s="493">
        <f t="shared" si="17"/>
        <v>0</v>
      </c>
      <c r="CJ234" s="493">
        <f t="shared" si="13"/>
        <v>93422208</v>
      </c>
      <c r="CK234" s="493">
        <f t="shared" si="13"/>
        <v>0</v>
      </c>
      <c r="CL234" s="493">
        <f t="shared" si="13"/>
        <v>0</v>
      </c>
      <c r="CM234" s="493">
        <f t="shared" si="16"/>
        <v>0</v>
      </c>
      <c r="CN234" s="493">
        <f t="shared" si="16"/>
        <v>0</v>
      </c>
      <c r="CO234" s="493">
        <f t="shared" si="16"/>
        <v>0</v>
      </c>
    </row>
    <row r="235" spans="1:93" ht="30.45" hidden="1" customHeight="1">
      <c r="A235" s="555" t="s">
        <v>1250</v>
      </c>
      <c r="B235" s="479">
        <v>233</v>
      </c>
      <c r="C235" s="480" t="s">
        <v>4255</v>
      </c>
      <c r="D235" s="480" t="s">
        <v>4422</v>
      </c>
      <c r="E235" s="480" t="str">
        <f t="shared" si="15"/>
        <v>2.4.5 </v>
      </c>
      <c r="F235" s="480" t="s">
        <v>4483</v>
      </c>
      <c r="G235" s="480" t="s">
        <v>4484</v>
      </c>
      <c r="H235" s="481">
        <v>45</v>
      </c>
      <c r="I235" s="480" t="s">
        <v>4487</v>
      </c>
      <c r="J235" s="495">
        <v>459903400</v>
      </c>
      <c r="K235" s="480" t="s">
        <v>4037</v>
      </c>
      <c r="L235" s="480" t="s">
        <v>4080</v>
      </c>
      <c r="M235" s="480" t="s">
        <v>5851</v>
      </c>
      <c r="N235" s="499">
        <v>11</v>
      </c>
      <c r="O235" s="480" t="s">
        <v>4475</v>
      </c>
      <c r="P235" s="515">
        <v>11</v>
      </c>
      <c r="Q235" s="485" t="s">
        <v>5349</v>
      </c>
      <c r="R235" s="485" t="s">
        <v>5444</v>
      </c>
      <c r="S235" s="485" t="s">
        <v>689</v>
      </c>
      <c r="T235" s="485">
        <v>26</v>
      </c>
      <c r="U235" s="485" t="s">
        <v>5445</v>
      </c>
      <c r="V235" s="485">
        <v>28</v>
      </c>
      <c r="W235" s="485" t="s">
        <v>5351</v>
      </c>
      <c r="X235" s="485">
        <v>9</v>
      </c>
      <c r="Y235" s="485" t="s">
        <v>5406</v>
      </c>
      <c r="Z235" s="486">
        <v>0</v>
      </c>
      <c r="AA235" s="486">
        <v>0</v>
      </c>
      <c r="AB235" s="486">
        <v>0</v>
      </c>
      <c r="AC235" s="486">
        <v>0</v>
      </c>
      <c r="AD235" s="486">
        <v>0</v>
      </c>
      <c r="AE235" s="530">
        <v>601017050.63</v>
      </c>
      <c r="AF235" s="486">
        <v>0</v>
      </c>
      <c r="AG235" s="486">
        <v>0</v>
      </c>
      <c r="AH235" s="487">
        <v>601017050.63</v>
      </c>
      <c r="AI235" s="486">
        <v>0</v>
      </c>
      <c r="AJ235" s="486">
        <v>0</v>
      </c>
      <c r="AK235" s="486">
        <v>0</v>
      </c>
      <c r="AL235" s="488">
        <v>0</v>
      </c>
      <c r="AM235" s="489">
        <v>601017050.63</v>
      </c>
      <c r="AN235" s="486">
        <v>0</v>
      </c>
      <c r="AO235" s="486">
        <v>0</v>
      </c>
      <c r="AP235" s="486">
        <v>0</v>
      </c>
      <c r="AQ235" s="486">
        <v>0</v>
      </c>
      <c r="AR235" s="486">
        <v>0</v>
      </c>
      <c r="AS235" s="529">
        <v>72800000</v>
      </c>
      <c r="AT235" s="486">
        <v>0</v>
      </c>
      <c r="AU235" s="486">
        <v>0</v>
      </c>
      <c r="AV235" s="487">
        <v>72800000</v>
      </c>
      <c r="AW235" s="486">
        <v>0</v>
      </c>
      <c r="AX235" s="486">
        <v>0</v>
      </c>
      <c r="AY235" s="486">
        <v>0</v>
      </c>
      <c r="AZ235" s="488">
        <v>0</v>
      </c>
      <c r="BA235" s="490">
        <v>72800000</v>
      </c>
      <c r="BB235" s="486">
        <v>0</v>
      </c>
      <c r="BC235" s="486">
        <v>0</v>
      </c>
      <c r="BD235" s="486">
        <v>0</v>
      </c>
      <c r="BE235" s="486">
        <v>0</v>
      </c>
      <c r="BF235" s="486">
        <v>0</v>
      </c>
      <c r="BG235" s="486">
        <v>75712000</v>
      </c>
      <c r="BH235" s="486">
        <v>0</v>
      </c>
      <c r="BI235" s="486">
        <v>0</v>
      </c>
      <c r="BJ235" s="487">
        <v>75712000</v>
      </c>
      <c r="BK235" s="486">
        <v>0</v>
      </c>
      <c r="BL235" s="486">
        <v>0</v>
      </c>
      <c r="BM235" s="486">
        <v>0</v>
      </c>
      <c r="BN235" s="488">
        <v>0</v>
      </c>
      <c r="BO235" s="490">
        <v>75712000</v>
      </c>
      <c r="BP235" s="486">
        <v>0</v>
      </c>
      <c r="BQ235" s="486">
        <v>0</v>
      </c>
      <c r="BR235" s="486">
        <v>0</v>
      </c>
      <c r="BS235" s="486">
        <v>0</v>
      </c>
      <c r="BT235" s="486">
        <v>0</v>
      </c>
      <c r="BU235" s="486">
        <v>78740480</v>
      </c>
      <c r="BV235" s="486">
        <v>0</v>
      </c>
      <c r="BW235" s="486">
        <v>0</v>
      </c>
      <c r="BX235" s="487">
        <v>78740480</v>
      </c>
      <c r="BY235" s="486">
        <v>0</v>
      </c>
      <c r="BZ235" s="486">
        <v>0</v>
      </c>
      <c r="CA235" s="486">
        <v>0</v>
      </c>
      <c r="CB235" s="488">
        <v>0</v>
      </c>
      <c r="CC235" s="491">
        <v>78740480</v>
      </c>
      <c r="CD235" s="492">
        <v>828269530.63</v>
      </c>
      <c r="CE235" s="493">
        <f t="shared" si="17"/>
        <v>0</v>
      </c>
      <c r="CF235" s="493">
        <f t="shared" si="17"/>
        <v>0</v>
      </c>
      <c r="CG235" s="493">
        <f t="shared" si="17"/>
        <v>0</v>
      </c>
      <c r="CH235" s="493">
        <f t="shared" si="17"/>
        <v>0</v>
      </c>
      <c r="CI235" s="493">
        <f t="shared" si="17"/>
        <v>0</v>
      </c>
      <c r="CJ235" s="493">
        <f t="shared" si="13"/>
        <v>828269530.63</v>
      </c>
      <c r="CK235" s="493">
        <f t="shared" si="13"/>
        <v>0</v>
      </c>
      <c r="CL235" s="493">
        <f t="shared" si="13"/>
        <v>0</v>
      </c>
      <c r="CM235" s="493">
        <f t="shared" si="16"/>
        <v>0</v>
      </c>
      <c r="CN235" s="493">
        <f t="shared" si="16"/>
        <v>0</v>
      </c>
      <c r="CO235" s="493">
        <f t="shared" si="16"/>
        <v>0</v>
      </c>
    </row>
    <row r="236" spans="1:93" ht="30.45" hidden="1" customHeight="1">
      <c r="A236" s="555" t="s">
        <v>1250</v>
      </c>
      <c r="B236" s="479">
        <v>234</v>
      </c>
      <c r="C236" s="480" t="s">
        <v>4255</v>
      </c>
      <c r="D236" s="480" t="s">
        <v>4422</v>
      </c>
      <c r="E236" s="480" t="str">
        <f t="shared" si="15"/>
        <v>2.4.5 </v>
      </c>
      <c r="F236" s="480" t="s">
        <v>4483</v>
      </c>
      <c r="G236" s="480" t="s">
        <v>4484</v>
      </c>
      <c r="H236" s="481">
        <v>24</v>
      </c>
      <c r="I236" s="480" t="s">
        <v>4488</v>
      </c>
      <c r="J236" s="495">
        <v>240901008</v>
      </c>
      <c r="K236" s="480" t="s">
        <v>4264</v>
      </c>
      <c r="L236" s="480" t="s">
        <v>4489</v>
      </c>
      <c r="M236" s="480" t="s">
        <v>5852</v>
      </c>
      <c r="N236" s="517">
        <v>17000</v>
      </c>
      <c r="O236" s="480" t="s">
        <v>4475</v>
      </c>
      <c r="P236" s="518">
        <v>35000</v>
      </c>
      <c r="Q236" s="485" t="s">
        <v>5349</v>
      </c>
      <c r="R236" s="485" t="s">
        <v>5444</v>
      </c>
      <c r="S236" s="485" t="s">
        <v>689</v>
      </c>
      <c r="T236" s="485">
        <v>26</v>
      </c>
      <c r="U236" s="485" t="s">
        <v>5445</v>
      </c>
      <c r="V236" s="485">
        <v>28</v>
      </c>
      <c r="W236" s="485" t="s">
        <v>5351</v>
      </c>
      <c r="X236" s="485">
        <v>9</v>
      </c>
      <c r="Y236" s="485" t="s">
        <v>5406</v>
      </c>
      <c r="Z236" s="486">
        <v>0</v>
      </c>
      <c r="AA236" s="486">
        <v>0</v>
      </c>
      <c r="AB236" s="486">
        <v>0</v>
      </c>
      <c r="AC236" s="486">
        <v>0</v>
      </c>
      <c r="AD236" s="486">
        <v>0</v>
      </c>
      <c r="AE236" s="530">
        <v>181837247.62</v>
      </c>
      <c r="AF236" s="486">
        <v>0</v>
      </c>
      <c r="AG236" s="486">
        <v>0</v>
      </c>
      <c r="AH236" s="487">
        <v>181837247.62</v>
      </c>
      <c r="AI236" s="486">
        <v>0</v>
      </c>
      <c r="AJ236" s="486">
        <v>0</v>
      </c>
      <c r="AK236" s="486">
        <v>0</v>
      </c>
      <c r="AL236" s="488">
        <v>0</v>
      </c>
      <c r="AM236" s="489">
        <v>181837247.62</v>
      </c>
      <c r="AN236" s="486">
        <v>0</v>
      </c>
      <c r="AO236" s="486">
        <v>0</v>
      </c>
      <c r="AP236" s="486">
        <v>0</v>
      </c>
      <c r="AQ236" s="486">
        <v>0</v>
      </c>
      <c r="AR236" s="486">
        <v>0</v>
      </c>
      <c r="AS236" s="529">
        <v>189110737.53</v>
      </c>
      <c r="AT236" s="486">
        <v>0</v>
      </c>
      <c r="AU236" s="486">
        <v>0</v>
      </c>
      <c r="AV236" s="487">
        <v>189110737.53</v>
      </c>
      <c r="AW236" s="486">
        <v>0</v>
      </c>
      <c r="AX236" s="486">
        <v>0</v>
      </c>
      <c r="AY236" s="486">
        <v>0</v>
      </c>
      <c r="AZ236" s="488">
        <v>0</v>
      </c>
      <c r="BA236" s="490">
        <v>189110737.53</v>
      </c>
      <c r="BB236" s="486">
        <v>0</v>
      </c>
      <c r="BC236" s="486">
        <v>0</v>
      </c>
      <c r="BD236" s="486">
        <v>0</v>
      </c>
      <c r="BE236" s="486">
        <v>0</v>
      </c>
      <c r="BF236" s="486">
        <v>0</v>
      </c>
      <c r="BG236" s="486">
        <v>196675167.03</v>
      </c>
      <c r="BH236" s="486">
        <v>0</v>
      </c>
      <c r="BI236" s="486">
        <v>0</v>
      </c>
      <c r="BJ236" s="487">
        <v>196675167.03</v>
      </c>
      <c r="BK236" s="486">
        <v>0</v>
      </c>
      <c r="BL236" s="486">
        <v>0</v>
      </c>
      <c r="BM236" s="486">
        <v>0</v>
      </c>
      <c r="BN236" s="488">
        <v>0</v>
      </c>
      <c r="BO236" s="490">
        <v>196675167.03</v>
      </c>
      <c r="BP236" s="486">
        <v>0</v>
      </c>
      <c r="BQ236" s="486">
        <v>0</v>
      </c>
      <c r="BR236" s="486">
        <v>0</v>
      </c>
      <c r="BS236" s="486">
        <v>0</v>
      </c>
      <c r="BT236" s="486">
        <v>0</v>
      </c>
      <c r="BU236" s="486">
        <v>204542173.71000001</v>
      </c>
      <c r="BV236" s="486">
        <v>0</v>
      </c>
      <c r="BW236" s="486">
        <v>0</v>
      </c>
      <c r="BX236" s="487">
        <v>204542173.71000001</v>
      </c>
      <c r="BY236" s="486">
        <v>0</v>
      </c>
      <c r="BZ236" s="486">
        <v>0</v>
      </c>
      <c r="CA236" s="486">
        <v>0</v>
      </c>
      <c r="CB236" s="488">
        <v>0</v>
      </c>
      <c r="CC236" s="491">
        <v>204542173.71000001</v>
      </c>
      <c r="CD236" s="492">
        <v>772165325.88999999</v>
      </c>
      <c r="CE236" s="493">
        <f t="shared" si="17"/>
        <v>0</v>
      </c>
      <c r="CF236" s="493">
        <f t="shared" si="17"/>
        <v>0</v>
      </c>
      <c r="CG236" s="493">
        <f t="shared" si="17"/>
        <v>0</v>
      </c>
      <c r="CH236" s="493">
        <f t="shared" si="17"/>
        <v>0</v>
      </c>
      <c r="CI236" s="493">
        <f t="shared" si="17"/>
        <v>0</v>
      </c>
      <c r="CJ236" s="493">
        <f t="shared" si="13"/>
        <v>772165325.88999999</v>
      </c>
      <c r="CK236" s="493">
        <f t="shared" si="13"/>
        <v>0</v>
      </c>
      <c r="CL236" s="493">
        <f t="shared" si="13"/>
        <v>0</v>
      </c>
      <c r="CM236" s="493">
        <f t="shared" si="16"/>
        <v>0</v>
      </c>
      <c r="CN236" s="493">
        <f t="shared" si="16"/>
        <v>0</v>
      </c>
      <c r="CO236" s="493">
        <f t="shared" si="16"/>
        <v>0</v>
      </c>
    </row>
    <row r="237" spans="1:93" ht="30.45" hidden="1" customHeight="1">
      <c r="A237" s="555" t="s">
        <v>1250</v>
      </c>
      <c r="B237" s="479">
        <v>235</v>
      </c>
      <c r="C237" s="480" t="s">
        <v>4255</v>
      </c>
      <c r="D237" s="480" t="s">
        <v>4422</v>
      </c>
      <c r="E237" s="480" t="str">
        <f t="shared" si="15"/>
        <v>2.4.5 </v>
      </c>
      <c r="F237" s="480" t="s">
        <v>4483</v>
      </c>
      <c r="G237" s="480" t="s">
        <v>4484</v>
      </c>
      <c r="H237" s="481">
        <v>24</v>
      </c>
      <c r="I237" s="480" t="s">
        <v>4472</v>
      </c>
      <c r="J237" s="495">
        <v>240901005</v>
      </c>
      <c r="K237" s="480" t="s">
        <v>4264</v>
      </c>
      <c r="L237" s="480" t="s">
        <v>4490</v>
      </c>
      <c r="M237" s="480" t="s">
        <v>5853</v>
      </c>
      <c r="N237" s="517">
        <v>49969</v>
      </c>
      <c r="O237" s="480" t="s">
        <v>4475</v>
      </c>
      <c r="P237" s="515">
        <v>74969</v>
      </c>
      <c r="Q237" s="485" t="s">
        <v>5349</v>
      </c>
      <c r="R237" s="485" t="s">
        <v>5444</v>
      </c>
      <c r="S237" s="485" t="s">
        <v>689</v>
      </c>
      <c r="T237" s="485">
        <v>26</v>
      </c>
      <c r="U237" s="485" t="s">
        <v>5445</v>
      </c>
      <c r="V237" s="485">
        <v>28</v>
      </c>
      <c r="W237" s="485" t="s">
        <v>5351</v>
      </c>
      <c r="X237" s="485">
        <v>9</v>
      </c>
      <c r="Y237" s="485" t="s">
        <v>5406</v>
      </c>
      <c r="Z237" s="486">
        <v>0</v>
      </c>
      <c r="AA237" s="486">
        <v>0</v>
      </c>
      <c r="AB237" s="486">
        <v>0</v>
      </c>
      <c r="AC237" s="486">
        <v>0</v>
      </c>
      <c r="AD237" s="486">
        <v>0</v>
      </c>
      <c r="AE237" s="530">
        <v>181837247.62</v>
      </c>
      <c r="AF237" s="486">
        <v>0</v>
      </c>
      <c r="AG237" s="486">
        <v>0</v>
      </c>
      <c r="AH237" s="487">
        <v>181837247.62</v>
      </c>
      <c r="AI237" s="486">
        <v>0</v>
      </c>
      <c r="AJ237" s="486">
        <v>0</v>
      </c>
      <c r="AK237" s="486">
        <v>0</v>
      </c>
      <c r="AL237" s="488">
        <v>0</v>
      </c>
      <c r="AM237" s="489">
        <v>181837247.62</v>
      </c>
      <c r="AN237" s="486">
        <v>0</v>
      </c>
      <c r="AO237" s="486">
        <v>0</v>
      </c>
      <c r="AP237" s="486">
        <v>0</v>
      </c>
      <c r="AQ237" s="486">
        <v>0</v>
      </c>
      <c r="AR237" s="486">
        <v>0</v>
      </c>
      <c r="AS237" s="529">
        <v>189110737.53</v>
      </c>
      <c r="AT237" s="486">
        <v>0</v>
      </c>
      <c r="AU237" s="486">
        <v>0</v>
      </c>
      <c r="AV237" s="487">
        <v>189110737.53</v>
      </c>
      <c r="AW237" s="486">
        <v>0</v>
      </c>
      <c r="AX237" s="486">
        <v>0</v>
      </c>
      <c r="AY237" s="486">
        <v>0</v>
      </c>
      <c r="AZ237" s="488">
        <v>0</v>
      </c>
      <c r="BA237" s="490">
        <v>189110737.53</v>
      </c>
      <c r="BB237" s="486">
        <v>0</v>
      </c>
      <c r="BC237" s="486">
        <v>0</v>
      </c>
      <c r="BD237" s="486">
        <v>0</v>
      </c>
      <c r="BE237" s="486">
        <v>0</v>
      </c>
      <c r="BF237" s="486">
        <v>0</v>
      </c>
      <c r="BG237" s="486">
        <v>196675167.03</v>
      </c>
      <c r="BH237" s="486">
        <v>0</v>
      </c>
      <c r="BI237" s="486">
        <v>0</v>
      </c>
      <c r="BJ237" s="487">
        <v>196675167.03</v>
      </c>
      <c r="BK237" s="486">
        <v>0</v>
      </c>
      <c r="BL237" s="486">
        <v>0</v>
      </c>
      <c r="BM237" s="486">
        <v>0</v>
      </c>
      <c r="BN237" s="488">
        <v>0</v>
      </c>
      <c r="BO237" s="490">
        <v>196675167.03</v>
      </c>
      <c r="BP237" s="486">
        <v>0</v>
      </c>
      <c r="BQ237" s="486">
        <v>0</v>
      </c>
      <c r="BR237" s="486">
        <v>0</v>
      </c>
      <c r="BS237" s="486">
        <v>0</v>
      </c>
      <c r="BT237" s="486">
        <v>0</v>
      </c>
      <c r="BU237" s="486">
        <v>204542173.71000001</v>
      </c>
      <c r="BV237" s="486">
        <v>0</v>
      </c>
      <c r="BW237" s="486">
        <v>0</v>
      </c>
      <c r="BX237" s="487">
        <v>204542173.71000001</v>
      </c>
      <c r="BY237" s="486">
        <v>0</v>
      </c>
      <c r="BZ237" s="486">
        <v>0</v>
      </c>
      <c r="CA237" s="486">
        <v>0</v>
      </c>
      <c r="CB237" s="488">
        <v>0</v>
      </c>
      <c r="CC237" s="491">
        <v>204542173.71000001</v>
      </c>
      <c r="CD237" s="492">
        <v>772165325.88999999</v>
      </c>
      <c r="CE237" s="493">
        <f t="shared" si="17"/>
        <v>0</v>
      </c>
      <c r="CF237" s="493">
        <f t="shared" si="17"/>
        <v>0</v>
      </c>
      <c r="CG237" s="493">
        <f t="shared" si="17"/>
        <v>0</v>
      </c>
      <c r="CH237" s="493">
        <f t="shared" si="17"/>
        <v>0</v>
      </c>
      <c r="CI237" s="493">
        <f t="shared" si="17"/>
        <v>0</v>
      </c>
      <c r="CJ237" s="493">
        <f t="shared" si="17"/>
        <v>772165325.88999999</v>
      </c>
      <c r="CK237" s="493">
        <f t="shared" si="17"/>
        <v>0</v>
      </c>
      <c r="CL237" s="493">
        <f t="shared" si="17"/>
        <v>0</v>
      </c>
      <c r="CM237" s="493">
        <f t="shared" si="16"/>
        <v>0</v>
      </c>
      <c r="CN237" s="493">
        <f t="shared" si="16"/>
        <v>0</v>
      </c>
      <c r="CO237" s="493">
        <f t="shared" si="16"/>
        <v>0</v>
      </c>
    </row>
    <row r="238" spans="1:93" ht="30.45" hidden="1" customHeight="1">
      <c r="A238" s="555" t="s">
        <v>1250</v>
      </c>
      <c r="B238" s="479">
        <v>236</v>
      </c>
      <c r="C238" s="480" t="s">
        <v>4255</v>
      </c>
      <c r="D238" s="480" t="s">
        <v>4422</v>
      </c>
      <c r="E238" s="480" t="str">
        <f t="shared" si="15"/>
        <v>2.4.5 </v>
      </c>
      <c r="F238" s="480" t="s">
        <v>4483</v>
      </c>
      <c r="G238" s="480" t="s">
        <v>4484</v>
      </c>
      <c r="H238" s="481">
        <v>24</v>
      </c>
      <c r="I238" s="480" t="s">
        <v>4472</v>
      </c>
      <c r="J238" s="495">
        <v>240901006</v>
      </c>
      <c r="K238" s="480" t="s">
        <v>4264</v>
      </c>
      <c r="L238" s="480" t="s">
        <v>4491</v>
      </c>
      <c r="M238" s="480" t="s">
        <v>5854</v>
      </c>
      <c r="N238" s="499">
        <v>16293</v>
      </c>
      <c r="O238" s="480" t="s">
        <v>4475</v>
      </c>
      <c r="P238" s="515">
        <v>33293</v>
      </c>
      <c r="Q238" s="485" t="s">
        <v>5349</v>
      </c>
      <c r="R238" s="485" t="s">
        <v>5444</v>
      </c>
      <c r="S238" s="485" t="s">
        <v>689</v>
      </c>
      <c r="T238" s="485">
        <v>26</v>
      </c>
      <c r="U238" s="485" t="s">
        <v>5445</v>
      </c>
      <c r="V238" s="485">
        <v>28</v>
      </c>
      <c r="W238" s="485" t="s">
        <v>5351</v>
      </c>
      <c r="X238" s="485">
        <v>9</v>
      </c>
      <c r="Y238" s="485" t="s">
        <v>5406</v>
      </c>
      <c r="Z238" s="486">
        <v>0</v>
      </c>
      <c r="AA238" s="486">
        <v>0</v>
      </c>
      <c r="AB238" s="486">
        <v>0</v>
      </c>
      <c r="AC238" s="486">
        <v>0</v>
      </c>
      <c r="AD238" s="486">
        <v>0</v>
      </c>
      <c r="AE238" s="530">
        <v>155860497.96000001</v>
      </c>
      <c r="AF238" s="486">
        <v>0</v>
      </c>
      <c r="AG238" s="486">
        <v>0</v>
      </c>
      <c r="AH238" s="487">
        <v>155860497.96000001</v>
      </c>
      <c r="AI238" s="486">
        <v>0</v>
      </c>
      <c r="AJ238" s="486">
        <v>0</v>
      </c>
      <c r="AK238" s="486">
        <v>0</v>
      </c>
      <c r="AL238" s="488">
        <v>0</v>
      </c>
      <c r="AM238" s="489">
        <v>155860497.96000001</v>
      </c>
      <c r="AN238" s="486">
        <v>0</v>
      </c>
      <c r="AO238" s="486">
        <v>0</v>
      </c>
      <c r="AP238" s="486">
        <v>0</v>
      </c>
      <c r="AQ238" s="486">
        <v>0</v>
      </c>
      <c r="AR238" s="486">
        <v>0</v>
      </c>
      <c r="AS238" s="529">
        <v>162094917.88</v>
      </c>
      <c r="AT238" s="486">
        <v>0</v>
      </c>
      <c r="AU238" s="486">
        <v>0</v>
      </c>
      <c r="AV238" s="487">
        <v>162094917.88</v>
      </c>
      <c r="AW238" s="486">
        <v>0</v>
      </c>
      <c r="AX238" s="486">
        <v>0</v>
      </c>
      <c r="AY238" s="486">
        <v>0</v>
      </c>
      <c r="AZ238" s="488">
        <v>0</v>
      </c>
      <c r="BA238" s="490">
        <v>162094917.88</v>
      </c>
      <c r="BB238" s="486">
        <v>0</v>
      </c>
      <c r="BC238" s="486">
        <v>0</v>
      </c>
      <c r="BD238" s="486">
        <v>0</v>
      </c>
      <c r="BE238" s="486">
        <v>0</v>
      </c>
      <c r="BF238" s="486">
        <v>0</v>
      </c>
      <c r="BG238" s="486">
        <v>168578714.59999999</v>
      </c>
      <c r="BH238" s="486">
        <v>0</v>
      </c>
      <c r="BI238" s="486">
        <v>0</v>
      </c>
      <c r="BJ238" s="487">
        <v>168578714.59999999</v>
      </c>
      <c r="BK238" s="486">
        <v>0</v>
      </c>
      <c r="BL238" s="486">
        <v>0</v>
      </c>
      <c r="BM238" s="486">
        <v>0</v>
      </c>
      <c r="BN238" s="488">
        <v>0</v>
      </c>
      <c r="BO238" s="490">
        <v>168578714.59999999</v>
      </c>
      <c r="BP238" s="486">
        <v>0</v>
      </c>
      <c r="BQ238" s="486">
        <v>0</v>
      </c>
      <c r="BR238" s="486">
        <v>0</v>
      </c>
      <c r="BS238" s="486">
        <v>0</v>
      </c>
      <c r="BT238" s="486">
        <v>0</v>
      </c>
      <c r="BU238" s="486">
        <v>175321863.18000001</v>
      </c>
      <c r="BV238" s="486">
        <v>0</v>
      </c>
      <c r="BW238" s="486">
        <v>0</v>
      </c>
      <c r="BX238" s="487">
        <v>175321863.18000001</v>
      </c>
      <c r="BY238" s="486">
        <v>0</v>
      </c>
      <c r="BZ238" s="486">
        <v>0</v>
      </c>
      <c r="CA238" s="486">
        <v>0</v>
      </c>
      <c r="CB238" s="488">
        <v>0</v>
      </c>
      <c r="CC238" s="491">
        <v>175321863.18000001</v>
      </c>
      <c r="CD238" s="492">
        <v>661855993.62</v>
      </c>
      <c r="CE238" s="493">
        <f t="shared" si="17"/>
        <v>0</v>
      </c>
      <c r="CF238" s="493">
        <f t="shared" si="17"/>
        <v>0</v>
      </c>
      <c r="CG238" s="493">
        <f t="shared" si="17"/>
        <v>0</v>
      </c>
      <c r="CH238" s="493">
        <f t="shared" si="17"/>
        <v>0</v>
      </c>
      <c r="CI238" s="493">
        <f t="shared" si="17"/>
        <v>0</v>
      </c>
      <c r="CJ238" s="493">
        <f t="shared" si="17"/>
        <v>661855993.62000012</v>
      </c>
      <c r="CK238" s="493">
        <f t="shared" si="17"/>
        <v>0</v>
      </c>
      <c r="CL238" s="493">
        <f t="shared" si="17"/>
        <v>0</v>
      </c>
      <c r="CM238" s="493">
        <f t="shared" si="16"/>
        <v>0</v>
      </c>
      <c r="CN238" s="493">
        <f t="shared" si="16"/>
        <v>0</v>
      </c>
      <c r="CO238" s="493">
        <f t="shared" si="16"/>
        <v>0</v>
      </c>
    </row>
    <row r="239" spans="1:93" ht="30.45" hidden="1" customHeight="1">
      <c r="A239" s="555" t="s">
        <v>4203</v>
      </c>
      <c r="B239" s="479">
        <v>237</v>
      </c>
      <c r="C239" s="480" t="s">
        <v>4255</v>
      </c>
      <c r="D239" s="480" t="s">
        <v>4492</v>
      </c>
      <c r="E239" s="480" t="str">
        <f t="shared" si="15"/>
        <v xml:space="preserve">2.5.1 </v>
      </c>
      <c r="F239" s="480" t="s">
        <v>4493</v>
      </c>
      <c r="G239" s="480" t="s">
        <v>4494</v>
      </c>
      <c r="H239" s="481">
        <v>23</v>
      </c>
      <c r="I239" s="480" t="s">
        <v>4012</v>
      </c>
      <c r="J239" s="495">
        <v>230207300</v>
      </c>
      <c r="K239" s="480" t="s">
        <v>4063</v>
      </c>
      <c r="L239" s="480" t="s">
        <v>6191</v>
      </c>
      <c r="M239" s="480" t="s">
        <v>5855</v>
      </c>
      <c r="N239" s="517">
        <v>1</v>
      </c>
      <c r="O239" s="480" t="s">
        <v>6509</v>
      </c>
      <c r="P239" s="518">
        <v>5</v>
      </c>
      <c r="Q239" s="485" t="s">
        <v>5349</v>
      </c>
      <c r="R239" s="485" t="s">
        <v>5446</v>
      </c>
      <c r="S239" s="485" t="s">
        <v>689</v>
      </c>
      <c r="T239" s="485">
        <v>83.7</v>
      </c>
      <c r="U239" s="485" t="s">
        <v>5374</v>
      </c>
      <c r="V239" s="485">
        <v>100</v>
      </c>
      <c r="W239" s="485" t="s">
        <v>5447</v>
      </c>
      <c r="X239" s="485">
        <v>16</v>
      </c>
      <c r="Y239" s="485" t="s">
        <v>5448</v>
      </c>
      <c r="Z239" s="486">
        <v>1250000</v>
      </c>
      <c r="AA239" s="486">
        <v>0</v>
      </c>
      <c r="AB239" s="486">
        <v>0</v>
      </c>
      <c r="AC239" s="486">
        <v>0</v>
      </c>
      <c r="AD239" s="486">
        <v>0</v>
      </c>
      <c r="AE239" s="530">
        <v>0</v>
      </c>
      <c r="AF239" s="486">
        <v>0</v>
      </c>
      <c r="AG239" s="486">
        <v>0</v>
      </c>
      <c r="AH239" s="487">
        <v>1250000</v>
      </c>
      <c r="AI239" s="486">
        <v>12500000</v>
      </c>
      <c r="AJ239" s="486">
        <v>0</v>
      </c>
      <c r="AK239" s="486"/>
      <c r="AL239" s="488">
        <v>12500000</v>
      </c>
      <c r="AM239" s="489">
        <v>13750000</v>
      </c>
      <c r="AN239" s="486">
        <v>1250000</v>
      </c>
      <c r="AO239" s="486">
        <v>0</v>
      </c>
      <c r="AP239" s="486">
        <v>0</v>
      </c>
      <c r="AQ239" s="486">
        <v>0</v>
      </c>
      <c r="AR239" s="486">
        <v>0</v>
      </c>
      <c r="AS239" s="529">
        <v>0</v>
      </c>
      <c r="AT239" s="486">
        <v>0</v>
      </c>
      <c r="AU239" s="486">
        <v>0</v>
      </c>
      <c r="AV239" s="487">
        <v>1250000</v>
      </c>
      <c r="AW239" s="486">
        <v>12500000</v>
      </c>
      <c r="AX239" s="486">
        <v>0</v>
      </c>
      <c r="AY239" s="486"/>
      <c r="AZ239" s="488">
        <v>12500000</v>
      </c>
      <c r="BA239" s="490">
        <v>13750000</v>
      </c>
      <c r="BB239" s="486">
        <v>1250000</v>
      </c>
      <c r="BC239" s="486">
        <v>0</v>
      </c>
      <c r="BD239" s="486">
        <v>0</v>
      </c>
      <c r="BE239" s="486">
        <v>0</v>
      </c>
      <c r="BF239" s="486">
        <v>0</v>
      </c>
      <c r="BG239" s="486">
        <v>0</v>
      </c>
      <c r="BH239" s="486">
        <v>0</v>
      </c>
      <c r="BI239" s="486">
        <v>0</v>
      </c>
      <c r="BJ239" s="487">
        <v>1250000</v>
      </c>
      <c r="BK239" s="486">
        <v>12500000</v>
      </c>
      <c r="BL239" s="486">
        <v>0</v>
      </c>
      <c r="BM239" s="486"/>
      <c r="BN239" s="488">
        <v>12500000</v>
      </c>
      <c r="BO239" s="490">
        <v>13750000</v>
      </c>
      <c r="BP239" s="486">
        <v>1250000</v>
      </c>
      <c r="BQ239" s="486">
        <v>0</v>
      </c>
      <c r="BR239" s="486">
        <v>0</v>
      </c>
      <c r="BS239" s="486">
        <v>0</v>
      </c>
      <c r="BT239" s="486">
        <v>0</v>
      </c>
      <c r="BU239" s="486">
        <v>0</v>
      </c>
      <c r="BV239" s="486">
        <v>0</v>
      </c>
      <c r="BW239" s="486">
        <v>0</v>
      </c>
      <c r="BX239" s="487">
        <v>1250000</v>
      </c>
      <c r="BY239" s="486">
        <v>12500000</v>
      </c>
      <c r="BZ239" s="486">
        <v>0</v>
      </c>
      <c r="CA239" s="486"/>
      <c r="CB239" s="488">
        <v>12500000</v>
      </c>
      <c r="CC239" s="491">
        <v>13750000</v>
      </c>
      <c r="CD239" s="492">
        <v>55000000</v>
      </c>
      <c r="CE239" s="493">
        <f t="shared" si="17"/>
        <v>5000000</v>
      </c>
      <c r="CF239" s="493">
        <f t="shared" si="17"/>
        <v>0</v>
      </c>
      <c r="CG239" s="493">
        <f t="shared" si="17"/>
        <v>0</v>
      </c>
      <c r="CH239" s="493">
        <f t="shared" si="17"/>
        <v>0</v>
      </c>
      <c r="CI239" s="493">
        <f t="shared" si="17"/>
        <v>0</v>
      </c>
      <c r="CJ239" s="493">
        <f t="shared" si="17"/>
        <v>0</v>
      </c>
      <c r="CK239" s="493">
        <f t="shared" si="17"/>
        <v>0</v>
      </c>
      <c r="CL239" s="493">
        <f t="shared" si="17"/>
        <v>0</v>
      </c>
      <c r="CM239" s="493">
        <f t="shared" si="16"/>
        <v>50000000</v>
      </c>
      <c r="CN239" s="493">
        <f t="shared" si="16"/>
        <v>0</v>
      </c>
      <c r="CO239" s="493">
        <f t="shared" si="16"/>
        <v>0</v>
      </c>
    </row>
    <row r="240" spans="1:93" ht="30.45" hidden="1" customHeight="1">
      <c r="A240" s="555" t="s">
        <v>4203</v>
      </c>
      <c r="B240" s="479">
        <v>238</v>
      </c>
      <c r="C240" s="480" t="s">
        <v>4255</v>
      </c>
      <c r="D240" s="480" t="s">
        <v>4492</v>
      </c>
      <c r="E240" s="480" t="str">
        <f t="shared" si="15"/>
        <v xml:space="preserve">2.5.1 </v>
      </c>
      <c r="F240" s="480" t="s">
        <v>4493</v>
      </c>
      <c r="G240" s="480" t="s">
        <v>4494</v>
      </c>
      <c r="H240" s="481">
        <v>23</v>
      </c>
      <c r="I240" s="480" t="s">
        <v>4012</v>
      </c>
      <c r="J240" s="495">
        <v>230200300</v>
      </c>
      <c r="K240" s="480" t="s">
        <v>4495</v>
      </c>
      <c r="L240" s="480" t="s">
        <v>4496</v>
      </c>
      <c r="M240" s="480" t="s">
        <v>5856</v>
      </c>
      <c r="N240" s="517">
        <v>10000</v>
      </c>
      <c r="O240" s="480" t="s">
        <v>6510</v>
      </c>
      <c r="P240" s="518">
        <v>25000</v>
      </c>
      <c r="Q240" s="485" t="s">
        <v>5349</v>
      </c>
      <c r="R240" s="485" t="s">
        <v>5446</v>
      </c>
      <c r="S240" s="485" t="s">
        <v>689</v>
      </c>
      <c r="T240" s="485">
        <v>83.7</v>
      </c>
      <c r="U240" s="485" t="s">
        <v>5374</v>
      </c>
      <c r="V240" s="485">
        <v>100</v>
      </c>
      <c r="W240" s="485" t="s">
        <v>5447</v>
      </c>
      <c r="X240" s="485">
        <v>16</v>
      </c>
      <c r="Y240" s="485" t="s">
        <v>5448</v>
      </c>
      <c r="Z240" s="486">
        <v>860000</v>
      </c>
      <c r="AA240" s="486">
        <v>0</v>
      </c>
      <c r="AB240" s="486">
        <v>0</v>
      </c>
      <c r="AC240" s="486">
        <v>0</v>
      </c>
      <c r="AD240" s="486">
        <v>0</v>
      </c>
      <c r="AE240" s="486">
        <v>0</v>
      </c>
      <c r="AF240" s="486">
        <v>0</v>
      </c>
      <c r="AG240" s="486">
        <v>0</v>
      </c>
      <c r="AH240" s="487">
        <v>860000</v>
      </c>
      <c r="AI240" s="486">
        <v>25000000</v>
      </c>
      <c r="AJ240" s="486">
        <v>0</v>
      </c>
      <c r="AK240" s="486"/>
      <c r="AL240" s="488">
        <v>25000000</v>
      </c>
      <c r="AM240" s="489">
        <v>25860000</v>
      </c>
      <c r="AN240" s="486">
        <v>1250000</v>
      </c>
      <c r="AO240" s="486">
        <v>0</v>
      </c>
      <c r="AP240" s="486">
        <v>0</v>
      </c>
      <c r="AQ240" s="486">
        <v>0</v>
      </c>
      <c r="AR240" s="486">
        <v>0</v>
      </c>
      <c r="AS240" s="486">
        <v>0</v>
      </c>
      <c r="AT240" s="486">
        <v>0</v>
      </c>
      <c r="AU240" s="486">
        <v>0</v>
      </c>
      <c r="AV240" s="487">
        <v>1250000</v>
      </c>
      <c r="AW240" s="486">
        <v>25000000</v>
      </c>
      <c r="AX240" s="486">
        <v>0</v>
      </c>
      <c r="AY240" s="486"/>
      <c r="AZ240" s="488">
        <v>25000000</v>
      </c>
      <c r="BA240" s="490">
        <v>26250000</v>
      </c>
      <c r="BB240" s="486">
        <v>1250000</v>
      </c>
      <c r="BC240" s="486">
        <v>0</v>
      </c>
      <c r="BD240" s="486">
        <v>0</v>
      </c>
      <c r="BE240" s="486">
        <v>0</v>
      </c>
      <c r="BF240" s="486">
        <v>0</v>
      </c>
      <c r="BG240" s="486">
        <v>0</v>
      </c>
      <c r="BH240" s="486">
        <v>0</v>
      </c>
      <c r="BI240" s="486">
        <v>0</v>
      </c>
      <c r="BJ240" s="487">
        <v>1250000</v>
      </c>
      <c r="BK240" s="486">
        <v>25000000</v>
      </c>
      <c r="BL240" s="486">
        <v>0</v>
      </c>
      <c r="BM240" s="486"/>
      <c r="BN240" s="488">
        <v>25000000</v>
      </c>
      <c r="BO240" s="490">
        <v>26250000</v>
      </c>
      <c r="BP240" s="486">
        <v>1250000</v>
      </c>
      <c r="BQ240" s="486">
        <v>0</v>
      </c>
      <c r="BR240" s="486">
        <v>0</v>
      </c>
      <c r="BS240" s="486">
        <v>0</v>
      </c>
      <c r="BT240" s="486">
        <v>0</v>
      </c>
      <c r="BU240" s="486">
        <v>0</v>
      </c>
      <c r="BV240" s="486">
        <v>0</v>
      </c>
      <c r="BW240" s="486">
        <v>0</v>
      </c>
      <c r="BX240" s="487">
        <v>1250000</v>
      </c>
      <c r="BY240" s="486">
        <v>25000000</v>
      </c>
      <c r="BZ240" s="486">
        <v>0</v>
      </c>
      <c r="CA240" s="486"/>
      <c r="CB240" s="488">
        <v>25000000</v>
      </c>
      <c r="CC240" s="491">
        <v>26250000</v>
      </c>
      <c r="CD240" s="492">
        <v>104610000</v>
      </c>
      <c r="CE240" s="493">
        <f t="shared" si="17"/>
        <v>4610000</v>
      </c>
      <c r="CF240" s="493">
        <f t="shared" si="17"/>
        <v>0</v>
      </c>
      <c r="CG240" s="493">
        <f t="shared" si="17"/>
        <v>0</v>
      </c>
      <c r="CH240" s="493">
        <f t="shared" si="17"/>
        <v>0</v>
      </c>
      <c r="CI240" s="493">
        <f t="shared" si="17"/>
        <v>0</v>
      </c>
      <c r="CJ240" s="493">
        <f t="shared" si="17"/>
        <v>0</v>
      </c>
      <c r="CK240" s="493">
        <f t="shared" si="17"/>
        <v>0</v>
      </c>
      <c r="CL240" s="493">
        <f t="shared" si="17"/>
        <v>0</v>
      </c>
      <c r="CM240" s="493">
        <f t="shared" si="16"/>
        <v>100000000</v>
      </c>
      <c r="CN240" s="493">
        <f t="shared" si="16"/>
        <v>0</v>
      </c>
      <c r="CO240" s="493">
        <f t="shared" si="16"/>
        <v>0</v>
      </c>
    </row>
    <row r="241" spans="1:93" ht="30.45" hidden="1" customHeight="1">
      <c r="A241" s="555" t="s">
        <v>4203</v>
      </c>
      <c r="B241" s="479">
        <v>239</v>
      </c>
      <c r="C241" s="480" t="s">
        <v>4255</v>
      </c>
      <c r="D241" s="480" t="s">
        <v>4492</v>
      </c>
      <c r="E241" s="480" t="str">
        <f t="shared" si="15"/>
        <v xml:space="preserve">2.5.1 </v>
      </c>
      <c r="F241" s="480" t="s">
        <v>4493</v>
      </c>
      <c r="G241" s="480" t="s">
        <v>4494</v>
      </c>
      <c r="H241" s="481">
        <v>45</v>
      </c>
      <c r="I241" s="480" t="s">
        <v>4497</v>
      </c>
      <c r="J241" s="495">
        <v>450200109</v>
      </c>
      <c r="K241" s="480" t="s">
        <v>4210</v>
      </c>
      <c r="L241" s="480" t="s">
        <v>4498</v>
      </c>
      <c r="M241" s="480" t="s">
        <v>5857</v>
      </c>
      <c r="N241" s="499">
        <v>600</v>
      </c>
      <c r="O241" s="480" t="s">
        <v>4499</v>
      </c>
      <c r="P241" s="518">
        <v>1200</v>
      </c>
      <c r="Q241" s="485" t="s">
        <v>5349</v>
      </c>
      <c r="R241" s="485" t="s">
        <v>5446</v>
      </c>
      <c r="S241" s="485" t="s">
        <v>689</v>
      </c>
      <c r="T241" s="485">
        <v>83.7</v>
      </c>
      <c r="U241" s="485" t="s">
        <v>5374</v>
      </c>
      <c r="V241" s="485">
        <v>100</v>
      </c>
      <c r="W241" s="485" t="s">
        <v>5447</v>
      </c>
      <c r="X241" s="485">
        <v>16</v>
      </c>
      <c r="Y241" s="485" t="s">
        <v>5448</v>
      </c>
      <c r="Z241" s="486">
        <v>3500000</v>
      </c>
      <c r="AA241" s="486">
        <v>0</v>
      </c>
      <c r="AB241" s="486">
        <v>0</v>
      </c>
      <c r="AC241" s="486">
        <v>0</v>
      </c>
      <c r="AD241" s="486">
        <v>0</v>
      </c>
      <c r="AE241" s="486">
        <v>0</v>
      </c>
      <c r="AF241" s="486">
        <v>0</v>
      </c>
      <c r="AG241" s="486">
        <v>0</v>
      </c>
      <c r="AH241" s="487">
        <v>3500000</v>
      </c>
      <c r="AI241" s="486">
        <v>75000000</v>
      </c>
      <c r="AJ241" s="486">
        <v>0</v>
      </c>
      <c r="AK241" s="486"/>
      <c r="AL241" s="488">
        <v>75000000</v>
      </c>
      <c r="AM241" s="489">
        <v>78500000</v>
      </c>
      <c r="AN241" s="486">
        <v>3500000</v>
      </c>
      <c r="AO241" s="486">
        <v>0</v>
      </c>
      <c r="AP241" s="486">
        <v>0</v>
      </c>
      <c r="AQ241" s="486">
        <v>0</v>
      </c>
      <c r="AR241" s="486">
        <v>0</v>
      </c>
      <c r="AS241" s="486">
        <v>0</v>
      </c>
      <c r="AT241" s="486">
        <v>0</v>
      </c>
      <c r="AU241" s="486">
        <v>0</v>
      </c>
      <c r="AV241" s="487">
        <v>3500000</v>
      </c>
      <c r="AW241" s="486">
        <v>75000000</v>
      </c>
      <c r="AX241" s="486">
        <v>0</v>
      </c>
      <c r="AY241" s="486"/>
      <c r="AZ241" s="488">
        <v>75000000</v>
      </c>
      <c r="BA241" s="490">
        <v>78500000</v>
      </c>
      <c r="BB241" s="486">
        <v>3500000</v>
      </c>
      <c r="BC241" s="486">
        <v>0</v>
      </c>
      <c r="BD241" s="486">
        <v>0</v>
      </c>
      <c r="BE241" s="486">
        <v>0</v>
      </c>
      <c r="BF241" s="486">
        <v>0</v>
      </c>
      <c r="BG241" s="486">
        <v>0</v>
      </c>
      <c r="BH241" s="486">
        <v>0</v>
      </c>
      <c r="BI241" s="486">
        <v>0</v>
      </c>
      <c r="BJ241" s="487">
        <v>3500000</v>
      </c>
      <c r="BK241" s="486">
        <v>75000000</v>
      </c>
      <c r="BL241" s="486">
        <v>0</v>
      </c>
      <c r="BM241" s="486"/>
      <c r="BN241" s="488">
        <v>75000000</v>
      </c>
      <c r="BO241" s="490">
        <v>78500000</v>
      </c>
      <c r="BP241" s="486">
        <v>3500000</v>
      </c>
      <c r="BQ241" s="486">
        <v>0</v>
      </c>
      <c r="BR241" s="486">
        <v>0</v>
      </c>
      <c r="BS241" s="486">
        <v>0</v>
      </c>
      <c r="BT241" s="486">
        <v>0</v>
      </c>
      <c r="BU241" s="486">
        <v>0</v>
      </c>
      <c r="BV241" s="486">
        <v>0</v>
      </c>
      <c r="BW241" s="486">
        <v>0</v>
      </c>
      <c r="BX241" s="487">
        <v>3500000</v>
      </c>
      <c r="BY241" s="486">
        <v>75000000</v>
      </c>
      <c r="BZ241" s="486">
        <v>0</v>
      </c>
      <c r="CA241" s="486"/>
      <c r="CB241" s="488">
        <v>75000000</v>
      </c>
      <c r="CC241" s="491">
        <v>78500000</v>
      </c>
      <c r="CD241" s="492">
        <v>314000000</v>
      </c>
      <c r="CE241" s="493">
        <f t="shared" si="17"/>
        <v>14000000</v>
      </c>
      <c r="CF241" s="493">
        <f t="shared" si="17"/>
        <v>0</v>
      </c>
      <c r="CG241" s="493">
        <f t="shared" si="17"/>
        <v>0</v>
      </c>
      <c r="CH241" s="493">
        <f t="shared" si="17"/>
        <v>0</v>
      </c>
      <c r="CI241" s="493">
        <f t="shared" si="17"/>
        <v>0</v>
      </c>
      <c r="CJ241" s="493">
        <f t="shared" si="17"/>
        <v>0</v>
      </c>
      <c r="CK241" s="493">
        <f t="shared" si="17"/>
        <v>0</v>
      </c>
      <c r="CL241" s="493">
        <f t="shared" si="17"/>
        <v>0</v>
      </c>
      <c r="CM241" s="493">
        <f t="shared" si="16"/>
        <v>300000000</v>
      </c>
      <c r="CN241" s="493">
        <f t="shared" si="16"/>
        <v>0</v>
      </c>
      <c r="CO241" s="493">
        <f t="shared" si="16"/>
        <v>0</v>
      </c>
    </row>
    <row r="242" spans="1:93" ht="70.95" hidden="1" customHeight="1">
      <c r="A242" s="555" t="s">
        <v>1251</v>
      </c>
      <c r="B242" s="479">
        <v>240</v>
      </c>
      <c r="C242" s="480" t="s">
        <v>4255</v>
      </c>
      <c r="D242" s="480" t="s">
        <v>4492</v>
      </c>
      <c r="E242" s="480" t="str">
        <f t="shared" si="15"/>
        <v xml:space="preserve">2.5.2 </v>
      </c>
      <c r="F242" s="480" t="s">
        <v>4500</v>
      </c>
      <c r="G242" s="480" t="s">
        <v>4501</v>
      </c>
      <c r="H242" s="481">
        <v>45</v>
      </c>
      <c r="I242" s="480" t="s">
        <v>4180</v>
      </c>
      <c r="J242" s="495">
        <v>459901800</v>
      </c>
      <c r="K242" s="480" t="s">
        <v>4063</v>
      </c>
      <c r="L242" s="480" t="s">
        <v>4502</v>
      </c>
      <c r="M242" s="480" t="s">
        <v>5858</v>
      </c>
      <c r="N242" s="499">
        <v>1</v>
      </c>
      <c r="O242" s="480" t="s">
        <v>4503</v>
      </c>
      <c r="P242" s="515">
        <v>5</v>
      </c>
      <c r="Q242" s="485" t="s">
        <v>5349</v>
      </c>
      <c r="R242" s="485" t="s">
        <v>5449</v>
      </c>
      <c r="S242" s="485" t="s">
        <v>689</v>
      </c>
      <c r="T242" s="485" t="s">
        <v>5450</v>
      </c>
      <c r="U242" s="485" t="s">
        <v>5374</v>
      </c>
      <c r="V242" s="485" t="s">
        <v>5451</v>
      </c>
      <c r="W242" s="485" t="s">
        <v>5372</v>
      </c>
      <c r="X242" s="485">
        <v>8</v>
      </c>
      <c r="Y242" s="485" t="s">
        <v>5452</v>
      </c>
      <c r="Z242" s="486">
        <v>1066095043</v>
      </c>
      <c r="AA242" s="486">
        <v>0</v>
      </c>
      <c r="AB242" s="486">
        <v>0</v>
      </c>
      <c r="AC242" s="486">
        <v>0</v>
      </c>
      <c r="AD242" s="486">
        <v>0</v>
      </c>
      <c r="AE242" s="486">
        <v>0</v>
      </c>
      <c r="AF242" s="486">
        <v>0</v>
      </c>
      <c r="AG242" s="486">
        <v>0</v>
      </c>
      <c r="AH242" s="487">
        <v>1066095043</v>
      </c>
      <c r="AI242" s="486">
        <v>489768957</v>
      </c>
      <c r="AJ242" s="486">
        <v>0</v>
      </c>
      <c r="AK242" s="486">
        <v>0</v>
      </c>
      <c r="AL242" s="488">
        <v>489768957</v>
      </c>
      <c r="AM242" s="489">
        <v>1555864000</v>
      </c>
      <c r="AN242" s="486">
        <v>1109136000</v>
      </c>
      <c r="AO242" s="486">
        <v>0</v>
      </c>
      <c r="AP242" s="486">
        <v>0</v>
      </c>
      <c r="AQ242" s="486">
        <v>0</v>
      </c>
      <c r="AR242" s="486">
        <v>0</v>
      </c>
      <c r="AS242" s="486">
        <v>0</v>
      </c>
      <c r="AT242" s="486">
        <v>0</v>
      </c>
      <c r="AU242" s="486">
        <v>0</v>
      </c>
      <c r="AV242" s="487">
        <v>1109136000</v>
      </c>
      <c r="AW242" s="486">
        <v>671126000</v>
      </c>
      <c r="AX242" s="486">
        <v>0</v>
      </c>
      <c r="AY242" s="486">
        <v>0</v>
      </c>
      <c r="AZ242" s="488">
        <v>671126000</v>
      </c>
      <c r="BA242" s="490">
        <v>1780262000</v>
      </c>
      <c r="BB242" s="486">
        <v>1103595770</v>
      </c>
      <c r="BC242" s="486">
        <v>0</v>
      </c>
      <c r="BD242" s="486">
        <v>0</v>
      </c>
      <c r="BE242" s="486">
        <v>0</v>
      </c>
      <c r="BF242" s="486">
        <v>0</v>
      </c>
      <c r="BG242" s="486">
        <v>0</v>
      </c>
      <c r="BH242" s="486">
        <v>0</v>
      </c>
      <c r="BI242" s="486">
        <v>0</v>
      </c>
      <c r="BJ242" s="487">
        <v>1103595770</v>
      </c>
      <c r="BK242" s="486">
        <v>705778830</v>
      </c>
      <c r="BL242" s="486">
        <v>0</v>
      </c>
      <c r="BM242" s="486">
        <v>0</v>
      </c>
      <c r="BN242" s="488">
        <v>705778830</v>
      </c>
      <c r="BO242" s="490">
        <v>1809374600</v>
      </c>
      <c r="BP242" s="486">
        <v>970854560</v>
      </c>
      <c r="BQ242" s="486">
        <v>0</v>
      </c>
      <c r="BR242" s="486">
        <v>0</v>
      </c>
      <c r="BS242" s="486">
        <v>0</v>
      </c>
      <c r="BT242" s="486">
        <v>0</v>
      </c>
      <c r="BU242" s="486">
        <v>0</v>
      </c>
      <c r="BV242" s="486">
        <v>0</v>
      </c>
      <c r="BW242" s="486">
        <v>0</v>
      </c>
      <c r="BX242" s="487">
        <v>970854560</v>
      </c>
      <c r="BY242" s="486">
        <v>1052262460</v>
      </c>
      <c r="BZ242" s="486">
        <v>0</v>
      </c>
      <c r="CA242" s="486">
        <v>0</v>
      </c>
      <c r="CB242" s="488">
        <v>1052262460</v>
      </c>
      <c r="CC242" s="491">
        <v>2023117020</v>
      </c>
      <c r="CD242" s="492">
        <v>7168617620</v>
      </c>
      <c r="CE242" s="493">
        <f t="shared" si="17"/>
        <v>4249681373</v>
      </c>
      <c r="CF242" s="493">
        <f t="shared" si="17"/>
        <v>0</v>
      </c>
      <c r="CG242" s="493">
        <f t="shared" si="17"/>
        <v>0</v>
      </c>
      <c r="CH242" s="493">
        <f t="shared" si="17"/>
        <v>0</v>
      </c>
      <c r="CI242" s="493">
        <f t="shared" si="17"/>
        <v>0</v>
      </c>
      <c r="CJ242" s="493">
        <f t="shared" si="17"/>
        <v>0</v>
      </c>
      <c r="CK242" s="493">
        <f t="shared" si="17"/>
        <v>0</v>
      </c>
      <c r="CL242" s="493">
        <f t="shared" si="17"/>
        <v>0</v>
      </c>
      <c r="CM242" s="493">
        <f t="shared" si="16"/>
        <v>2918936247</v>
      </c>
      <c r="CN242" s="493">
        <f t="shared" si="16"/>
        <v>0</v>
      </c>
      <c r="CO242" s="493">
        <f t="shared" si="16"/>
        <v>0</v>
      </c>
    </row>
    <row r="243" spans="1:93" ht="30.45" hidden="1" customHeight="1">
      <c r="A243" s="555" t="s">
        <v>1251</v>
      </c>
      <c r="B243" s="479">
        <v>241</v>
      </c>
      <c r="C243" s="480" t="s">
        <v>4255</v>
      </c>
      <c r="D243" s="480" t="s">
        <v>4492</v>
      </c>
      <c r="E243" s="480" t="str">
        <f t="shared" si="15"/>
        <v xml:space="preserve">2.5.2 </v>
      </c>
      <c r="F243" s="480" t="s">
        <v>4500</v>
      </c>
      <c r="G243" s="480" t="s">
        <v>4501</v>
      </c>
      <c r="H243" s="481">
        <v>45</v>
      </c>
      <c r="I243" s="480" t="s">
        <v>6511</v>
      </c>
      <c r="J243" s="495">
        <v>459902800</v>
      </c>
      <c r="K243" s="480" t="s">
        <v>4181</v>
      </c>
      <c r="L243" s="480" t="s">
        <v>4197</v>
      </c>
      <c r="M243" s="480" t="s">
        <v>5859</v>
      </c>
      <c r="N243" s="499">
        <v>1</v>
      </c>
      <c r="O243" s="480" t="s">
        <v>4503</v>
      </c>
      <c r="P243" s="515">
        <v>2</v>
      </c>
      <c r="Q243" s="485" t="s">
        <v>5349</v>
      </c>
      <c r="R243" s="485" t="s">
        <v>5449</v>
      </c>
      <c r="S243" s="485" t="s">
        <v>689</v>
      </c>
      <c r="T243" s="485" t="s">
        <v>5450</v>
      </c>
      <c r="U243" s="485" t="s">
        <v>5374</v>
      </c>
      <c r="V243" s="485" t="s">
        <v>5451</v>
      </c>
      <c r="W243" s="485" t="s">
        <v>5372</v>
      </c>
      <c r="X243" s="485">
        <v>8</v>
      </c>
      <c r="Y243" s="485" t="s">
        <v>5452</v>
      </c>
      <c r="Z243" s="486">
        <v>100000000</v>
      </c>
      <c r="AA243" s="486">
        <v>0</v>
      </c>
      <c r="AB243" s="486">
        <v>0</v>
      </c>
      <c r="AC243" s="486">
        <v>0</v>
      </c>
      <c r="AD243" s="486">
        <v>0</v>
      </c>
      <c r="AE243" s="486">
        <v>0</v>
      </c>
      <c r="AF243" s="486">
        <v>0</v>
      </c>
      <c r="AG243" s="486">
        <v>0</v>
      </c>
      <c r="AH243" s="487">
        <v>100000000</v>
      </c>
      <c r="AI243" s="486"/>
      <c r="AJ243" s="486">
        <v>0</v>
      </c>
      <c r="AK243" s="486">
        <v>0</v>
      </c>
      <c r="AL243" s="488">
        <v>0</v>
      </c>
      <c r="AM243" s="489">
        <v>100000000</v>
      </c>
      <c r="AN243" s="486">
        <v>50000000</v>
      </c>
      <c r="AO243" s="486">
        <v>0</v>
      </c>
      <c r="AP243" s="486">
        <v>0</v>
      </c>
      <c r="AQ243" s="486">
        <v>0</v>
      </c>
      <c r="AR243" s="486">
        <v>0</v>
      </c>
      <c r="AS243" s="486">
        <v>0</v>
      </c>
      <c r="AT243" s="486">
        <v>0</v>
      </c>
      <c r="AU243" s="486">
        <v>0</v>
      </c>
      <c r="AV243" s="487">
        <v>50000000</v>
      </c>
      <c r="AW243" s="486"/>
      <c r="AX243" s="486">
        <v>0</v>
      </c>
      <c r="AY243" s="486">
        <v>0</v>
      </c>
      <c r="AZ243" s="488">
        <v>0</v>
      </c>
      <c r="BA243" s="490">
        <v>50000000</v>
      </c>
      <c r="BB243" s="486">
        <v>50000000</v>
      </c>
      <c r="BC243" s="486">
        <v>0</v>
      </c>
      <c r="BD243" s="486">
        <v>0</v>
      </c>
      <c r="BE243" s="486">
        <v>0</v>
      </c>
      <c r="BF243" s="486">
        <v>0</v>
      </c>
      <c r="BG243" s="486">
        <v>0</v>
      </c>
      <c r="BH243" s="486">
        <v>0</v>
      </c>
      <c r="BI243" s="486">
        <v>0</v>
      </c>
      <c r="BJ243" s="487">
        <v>50000000</v>
      </c>
      <c r="BK243" s="486"/>
      <c r="BL243" s="486">
        <v>0</v>
      </c>
      <c r="BM243" s="486">
        <v>0</v>
      </c>
      <c r="BN243" s="488">
        <v>0</v>
      </c>
      <c r="BO243" s="490">
        <v>50000000</v>
      </c>
      <c r="BP243" s="486">
        <v>50000000</v>
      </c>
      <c r="BQ243" s="486">
        <v>0</v>
      </c>
      <c r="BR243" s="486">
        <v>0</v>
      </c>
      <c r="BS243" s="486">
        <v>0</v>
      </c>
      <c r="BT243" s="486">
        <v>0</v>
      </c>
      <c r="BU243" s="486">
        <v>0</v>
      </c>
      <c r="BV243" s="486">
        <v>0</v>
      </c>
      <c r="BW243" s="486">
        <v>0</v>
      </c>
      <c r="BX243" s="487">
        <v>50000000</v>
      </c>
      <c r="BY243" s="486"/>
      <c r="BZ243" s="486">
        <v>0</v>
      </c>
      <c r="CA243" s="486">
        <v>0</v>
      </c>
      <c r="CB243" s="488">
        <v>0</v>
      </c>
      <c r="CC243" s="491">
        <v>50000000</v>
      </c>
      <c r="CD243" s="492">
        <v>250000000</v>
      </c>
      <c r="CE243" s="493">
        <f t="shared" si="17"/>
        <v>250000000</v>
      </c>
      <c r="CF243" s="493">
        <f t="shared" si="17"/>
        <v>0</v>
      </c>
      <c r="CG243" s="493">
        <f t="shared" si="17"/>
        <v>0</v>
      </c>
      <c r="CH243" s="493">
        <f t="shared" si="17"/>
        <v>0</v>
      </c>
      <c r="CI243" s="493">
        <f t="shared" si="17"/>
        <v>0</v>
      </c>
      <c r="CJ243" s="493">
        <f t="shared" si="17"/>
        <v>0</v>
      </c>
      <c r="CK243" s="493">
        <f t="shared" si="17"/>
        <v>0</v>
      </c>
      <c r="CL243" s="493">
        <f t="shared" si="17"/>
        <v>0</v>
      </c>
      <c r="CM243" s="493">
        <f t="shared" si="16"/>
        <v>0</v>
      </c>
      <c r="CN243" s="493">
        <f t="shared" si="16"/>
        <v>0</v>
      </c>
      <c r="CO243" s="493">
        <f t="shared" si="16"/>
        <v>0</v>
      </c>
    </row>
    <row r="244" spans="1:93" ht="30.45" hidden="1" customHeight="1">
      <c r="A244" s="555" t="s">
        <v>1251</v>
      </c>
      <c r="B244" s="479">
        <v>242</v>
      </c>
      <c r="C244" s="480" t="s">
        <v>4255</v>
      </c>
      <c r="D244" s="480" t="s">
        <v>4492</v>
      </c>
      <c r="E244" s="480" t="str">
        <f t="shared" si="15"/>
        <v xml:space="preserve">2.5.2 </v>
      </c>
      <c r="F244" s="480" t="s">
        <v>4500</v>
      </c>
      <c r="G244" s="480" t="s">
        <v>4501</v>
      </c>
      <c r="H244" s="481">
        <v>45</v>
      </c>
      <c r="I244" s="480" t="s">
        <v>4180</v>
      </c>
      <c r="J244" s="495">
        <v>459902300</v>
      </c>
      <c r="K244" s="480" t="s">
        <v>6512</v>
      </c>
      <c r="L244" s="480" t="s">
        <v>6513</v>
      </c>
      <c r="M244" s="480" t="s">
        <v>5860</v>
      </c>
      <c r="N244" s="499">
        <v>1</v>
      </c>
      <c r="O244" s="480" t="s">
        <v>4503</v>
      </c>
      <c r="P244" s="515">
        <v>1</v>
      </c>
      <c r="Q244" s="485" t="s">
        <v>5349</v>
      </c>
      <c r="R244" s="485" t="s">
        <v>5449</v>
      </c>
      <c r="S244" s="485" t="s">
        <v>689</v>
      </c>
      <c r="T244" s="485" t="s">
        <v>5450</v>
      </c>
      <c r="U244" s="485" t="s">
        <v>5374</v>
      </c>
      <c r="V244" s="485" t="s">
        <v>5451</v>
      </c>
      <c r="W244" s="485" t="s">
        <v>5372</v>
      </c>
      <c r="X244" s="485">
        <v>8</v>
      </c>
      <c r="Y244" s="485" t="s">
        <v>5452</v>
      </c>
      <c r="Z244" s="486">
        <v>598662000</v>
      </c>
      <c r="AA244" s="486">
        <v>0</v>
      </c>
      <c r="AB244" s="486">
        <v>0</v>
      </c>
      <c r="AC244" s="486">
        <v>0</v>
      </c>
      <c r="AD244" s="486">
        <v>0</v>
      </c>
      <c r="AE244" s="486">
        <v>0</v>
      </c>
      <c r="AF244" s="486">
        <v>0</v>
      </c>
      <c r="AG244" s="486">
        <v>0</v>
      </c>
      <c r="AH244" s="487">
        <v>598662000</v>
      </c>
      <c r="AI244" s="486">
        <v>150000000</v>
      </c>
      <c r="AJ244" s="486">
        <v>0</v>
      </c>
      <c r="AK244" s="486">
        <v>0</v>
      </c>
      <c r="AL244" s="488">
        <v>150000000</v>
      </c>
      <c r="AM244" s="489">
        <v>748662000</v>
      </c>
      <c r="AN244" s="486">
        <v>531192200</v>
      </c>
      <c r="AO244" s="486">
        <v>0</v>
      </c>
      <c r="AP244" s="486">
        <v>0</v>
      </c>
      <c r="AQ244" s="486">
        <v>0</v>
      </c>
      <c r="AR244" s="486">
        <v>0</v>
      </c>
      <c r="AS244" s="486">
        <v>0</v>
      </c>
      <c r="AT244" s="486">
        <v>0</v>
      </c>
      <c r="AU244" s="486">
        <v>0</v>
      </c>
      <c r="AV244" s="487">
        <v>531192200</v>
      </c>
      <c r="AW244" s="486">
        <v>1249725000</v>
      </c>
      <c r="AX244" s="486">
        <v>0</v>
      </c>
      <c r="AY244" s="486">
        <v>0</v>
      </c>
      <c r="AZ244" s="488">
        <v>1249725000</v>
      </c>
      <c r="BA244" s="490">
        <v>1780917200</v>
      </c>
      <c r="BB244" s="486">
        <v>482381020</v>
      </c>
      <c r="BC244" s="486">
        <v>0</v>
      </c>
      <c r="BD244" s="486">
        <v>0</v>
      </c>
      <c r="BE244" s="486">
        <v>0</v>
      </c>
      <c r="BF244" s="486">
        <v>0</v>
      </c>
      <c r="BG244" s="486">
        <v>0</v>
      </c>
      <c r="BH244" s="486">
        <v>0</v>
      </c>
      <c r="BI244" s="486">
        <v>0</v>
      </c>
      <c r="BJ244" s="487">
        <v>482381020</v>
      </c>
      <c r="BK244" s="486">
        <v>462123440</v>
      </c>
      <c r="BL244" s="486">
        <v>0</v>
      </c>
      <c r="BM244" s="486">
        <v>0</v>
      </c>
      <c r="BN244" s="488">
        <v>462123440</v>
      </c>
      <c r="BO244" s="490">
        <v>944504460</v>
      </c>
      <c r="BP244" s="486">
        <v>530619122</v>
      </c>
      <c r="BQ244" s="486">
        <v>0</v>
      </c>
      <c r="BR244" s="486">
        <v>0</v>
      </c>
      <c r="BS244" s="486">
        <v>0</v>
      </c>
      <c r="BT244" s="486">
        <v>0</v>
      </c>
      <c r="BU244" s="486">
        <v>0</v>
      </c>
      <c r="BV244" s="486">
        <v>0</v>
      </c>
      <c r="BW244" s="486">
        <v>0</v>
      </c>
      <c r="BX244" s="487">
        <v>530619122</v>
      </c>
      <c r="BY244" s="486">
        <v>473335784</v>
      </c>
      <c r="BZ244" s="486">
        <v>0</v>
      </c>
      <c r="CA244" s="486">
        <v>0</v>
      </c>
      <c r="CB244" s="488">
        <v>473335784</v>
      </c>
      <c r="CC244" s="491">
        <v>1003954906</v>
      </c>
      <c r="CD244" s="492">
        <v>4478038566</v>
      </c>
      <c r="CE244" s="493">
        <f t="shared" si="17"/>
        <v>2142854342</v>
      </c>
      <c r="CF244" s="493">
        <f t="shared" si="17"/>
        <v>0</v>
      </c>
      <c r="CG244" s="493">
        <f t="shared" si="17"/>
        <v>0</v>
      </c>
      <c r="CH244" s="493">
        <f t="shared" si="17"/>
        <v>0</v>
      </c>
      <c r="CI244" s="493">
        <f t="shared" si="17"/>
        <v>0</v>
      </c>
      <c r="CJ244" s="493">
        <f t="shared" si="17"/>
        <v>0</v>
      </c>
      <c r="CK244" s="493">
        <f t="shared" si="17"/>
        <v>0</v>
      </c>
      <c r="CL244" s="493">
        <f t="shared" si="17"/>
        <v>0</v>
      </c>
      <c r="CM244" s="493">
        <f t="shared" si="16"/>
        <v>2335184224</v>
      </c>
      <c r="CN244" s="493">
        <f t="shared" si="16"/>
        <v>0</v>
      </c>
      <c r="CO244" s="493">
        <f t="shared" si="16"/>
        <v>0</v>
      </c>
    </row>
    <row r="245" spans="1:93" ht="30.45" hidden="1" customHeight="1">
      <c r="A245" s="555" t="s">
        <v>1251</v>
      </c>
      <c r="B245" s="479">
        <v>243</v>
      </c>
      <c r="C245" s="480" t="s">
        <v>4255</v>
      </c>
      <c r="D245" s="480" t="s">
        <v>4492</v>
      </c>
      <c r="E245" s="480" t="str">
        <f t="shared" si="15"/>
        <v xml:space="preserve">2.5.2 </v>
      </c>
      <c r="F245" s="480" t="s">
        <v>4500</v>
      </c>
      <c r="G245" s="480" t="s">
        <v>4501</v>
      </c>
      <c r="H245" s="481">
        <v>45</v>
      </c>
      <c r="I245" s="480" t="s">
        <v>4180</v>
      </c>
      <c r="J245" s="495">
        <v>459902900</v>
      </c>
      <c r="K245" s="480" t="s">
        <v>4504</v>
      </c>
      <c r="L245" s="480" t="s">
        <v>4505</v>
      </c>
      <c r="M245" s="480" t="s">
        <v>5861</v>
      </c>
      <c r="N245" s="499">
        <v>0</v>
      </c>
      <c r="O245" s="480" t="s">
        <v>4506</v>
      </c>
      <c r="P245" s="515">
        <v>1</v>
      </c>
      <c r="Q245" s="485" t="s">
        <v>5349</v>
      </c>
      <c r="R245" s="485" t="s">
        <v>5449</v>
      </c>
      <c r="S245" s="485" t="s">
        <v>689</v>
      </c>
      <c r="T245" s="485" t="s">
        <v>5450</v>
      </c>
      <c r="U245" s="485" t="s">
        <v>5374</v>
      </c>
      <c r="V245" s="485" t="s">
        <v>5451</v>
      </c>
      <c r="W245" s="485" t="s">
        <v>5372</v>
      </c>
      <c r="X245" s="485">
        <v>8</v>
      </c>
      <c r="Y245" s="485" t="s">
        <v>5452</v>
      </c>
      <c r="Z245" s="486">
        <v>239030000</v>
      </c>
      <c r="AA245" s="486">
        <v>0</v>
      </c>
      <c r="AB245" s="486">
        <v>0</v>
      </c>
      <c r="AC245" s="486">
        <v>0</v>
      </c>
      <c r="AD245" s="486">
        <v>0</v>
      </c>
      <c r="AE245" s="486">
        <v>0</v>
      </c>
      <c r="AF245" s="486">
        <v>0</v>
      </c>
      <c r="AG245" s="486">
        <v>0</v>
      </c>
      <c r="AH245" s="487">
        <v>239030000</v>
      </c>
      <c r="AI245" s="486">
        <v>513689000</v>
      </c>
      <c r="AJ245" s="486">
        <v>0</v>
      </c>
      <c r="AK245" s="486">
        <v>0</v>
      </c>
      <c r="AL245" s="488">
        <v>513689000</v>
      </c>
      <c r="AM245" s="489">
        <v>752719000</v>
      </c>
      <c r="AN245" s="486">
        <v>262933000</v>
      </c>
      <c r="AO245" s="486">
        <v>0</v>
      </c>
      <c r="AP245" s="486">
        <v>0</v>
      </c>
      <c r="AQ245" s="486">
        <v>0</v>
      </c>
      <c r="AR245" s="486">
        <v>0</v>
      </c>
      <c r="AS245" s="486">
        <v>0</v>
      </c>
      <c r="AT245" s="486">
        <v>0</v>
      </c>
      <c r="AU245" s="486">
        <v>0</v>
      </c>
      <c r="AV245" s="487">
        <v>262933000</v>
      </c>
      <c r="AW245" s="486">
        <v>1162124900</v>
      </c>
      <c r="AX245" s="486">
        <v>0</v>
      </c>
      <c r="AY245" s="486">
        <v>0</v>
      </c>
      <c r="AZ245" s="488">
        <v>1162124900</v>
      </c>
      <c r="BA245" s="490">
        <v>1425057900</v>
      </c>
      <c r="BB245" s="486">
        <v>289226300</v>
      </c>
      <c r="BC245" s="486">
        <v>0</v>
      </c>
      <c r="BD245" s="486">
        <v>0</v>
      </c>
      <c r="BE245" s="486">
        <v>0</v>
      </c>
      <c r="BF245" s="486">
        <v>0</v>
      </c>
      <c r="BG245" s="486">
        <v>0</v>
      </c>
      <c r="BH245" s="486">
        <v>0</v>
      </c>
      <c r="BI245" s="486">
        <v>0</v>
      </c>
      <c r="BJ245" s="487">
        <v>289226300</v>
      </c>
      <c r="BK245" s="486">
        <v>1797678390</v>
      </c>
      <c r="BL245" s="486">
        <v>0</v>
      </c>
      <c r="BM245" s="486">
        <v>0</v>
      </c>
      <c r="BN245" s="488">
        <v>1797678390</v>
      </c>
      <c r="BO245" s="490">
        <v>2086904690</v>
      </c>
      <c r="BP245" s="486">
        <v>318148930</v>
      </c>
      <c r="BQ245" s="486">
        <v>0</v>
      </c>
      <c r="BR245" s="486">
        <v>0</v>
      </c>
      <c r="BS245" s="486">
        <v>0</v>
      </c>
      <c r="BT245" s="486">
        <v>0</v>
      </c>
      <c r="BU245" s="486">
        <v>0</v>
      </c>
      <c r="BV245" s="486">
        <v>0</v>
      </c>
      <c r="BW245" s="486">
        <v>0</v>
      </c>
      <c r="BX245" s="487">
        <v>318148930</v>
      </c>
      <c r="BY245" s="486">
        <v>765571129</v>
      </c>
      <c r="BZ245" s="486">
        <v>0</v>
      </c>
      <c r="CA245" s="486">
        <v>0</v>
      </c>
      <c r="CB245" s="488">
        <v>765571129</v>
      </c>
      <c r="CC245" s="491">
        <v>1083720059</v>
      </c>
      <c r="CD245" s="492">
        <v>5348401649</v>
      </c>
      <c r="CE245" s="493">
        <f t="shared" si="17"/>
        <v>1109338230</v>
      </c>
      <c r="CF245" s="493">
        <f t="shared" si="17"/>
        <v>0</v>
      </c>
      <c r="CG245" s="493">
        <f t="shared" si="17"/>
        <v>0</v>
      </c>
      <c r="CH245" s="493">
        <f t="shared" si="17"/>
        <v>0</v>
      </c>
      <c r="CI245" s="493">
        <f t="shared" si="17"/>
        <v>0</v>
      </c>
      <c r="CJ245" s="493">
        <f t="shared" si="17"/>
        <v>0</v>
      </c>
      <c r="CK245" s="493">
        <f t="shared" si="17"/>
        <v>0</v>
      </c>
      <c r="CL245" s="493">
        <f t="shared" si="17"/>
        <v>0</v>
      </c>
      <c r="CM245" s="493">
        <f t="shared" si="16"/>
        <v>4239063419</v>
      </c>
      <c r="CN245" s="493">
        <f t="shared" si="16"/>
        <v>0</v>
      </c>
      <c r="CO245" s="493">
        <f t="shared" si="16"/>
        <v>0</v>
      </c>
    </row>
    <row r="246" spans="1:93" ht="30.45" hidden="1" customHeight="1">
      <c r="A246" s="555" t="s">
        <v>1251</v>
      </c>
      <c r="B246" s="479">
        <v>244</v>
      </c>
      <c r="C246" s="480" t="s">
        <v>4255</v>
      </c>
      <c r="D246" s="480" t="s">
        <v>4492</v>
      </c>
      <c r="E246" s="480" t="str">
        <f t="shared" si="15"/>
        <v xml:space="preserve">2.5.2 </v>
      </c>
      <c r="F246" s="480" t="s">
        <v>4500</v>
      </c>
      <c r="G246" s="480" t="s">
        <v>4501</v>
      </c>
      <c r="H246" s="481">
        <v>45</v>
      </c>
      <c r="I246" s="480" t="s">
        <v>4180</v>
      </c>
      <c r="J246" s="495">
        <v>450200100</v>
      </c>
      <c r="K246" s="480" t="s">
        <v>4210</v>
      </c>
      <c r="L246" s="480" t="s">
        <v>4211</v>
      </c>
      <c r="M246" s="480" t="s">
        <v>5862</v>
      </c>
      <c r="N246" s="499">
        <v>0</v>
      </c>
      <c r="O246" s="480" t="s">
        <v>4506</v>
      </c>
      <c r="P246" s="515">
        <v>23</v>
      </c>
      <c r="Q246" s="485" t="s">
        <v>5349</v>
      </c>
      <c r="R246" s="485" t="s">
        <v>5449</v>
      </c>
      <c r="S246" s="485" t="s">
        <v>689</v>
      </c>
      <c r="T246" s="485" t="s">
        <v>5450</v>
      </c>
      <c r="U246" s="485" t="s">
        <v>5374</v>
      </c>
      <c r="V246" s="485" t="s">
        <v>5451</v>
      </c>
      <c r="W246" s="485" t="s">
        <v>5372</v>
      </c>
      <c r="X246" s="485">
        <v>8</v>
      </c>
      <c r="Y246" s="485" t="s">
        <v>5452</v>
      </c>
      <c r="Z246" s="486">
        <v>251185000</v>
      </c>
      <c r="AA246" s="486">
        <v>0</v>
      </c>
      <c r="AB246" s="486">
        <v>0</v>
      </c>
      <c r="AC246" s="486">
        <v>0</v>
      </c>
      <c r="AD246" s="486">
        <v>0</v>
      </c>
      <c r="AE246" s="486">
        <v>0</v>
      </c>
      <c r="AF246" s="486">
        <v>0</v>
      </c>
      <c r="AG246" s="486">
        <v>0</v>
      </c>
      <c r="AH246" s="487">
        <v>251185000</v>
      </c>
      <c r="AI246" s="486">
        <v>150000000</v>
      </c>
      <c r="AJ246" s="486">
        <v>0</v>
      </c>
      <c r="AK246" s="486">
        <v>0</v>
      </c>
      <c r="AL246" s="488">
        <v>150000000</v>
      </c>
      <c r="AM246" s="489">
        <v>401185000</v>
      </c>
      <c r="AN246" s="486">
        <v>276303500</v>
      </c>
      <c r="AO246" s="486">
        <v>0</v>
      </c>
      <c r="AP246" s="486">
        <v>0</v>
      </c>
      <c r="AQ246" s="486">
        <v>0</v>
      </c>
      <c r="AR246" s="486">
        <v>0</v>
      </c>
      <c r="AS246" s="486">
        <v>0</v>
      </c>
      <c r="AT246" s="486">
        <v>0</v>
      </c>
      <c r="AU246" s="486">
        <v>0</v>
      </c>
      <c r="AV246" s="487">
        <v>276303500</v>
      </c>
      <c r="AW246" s="486">
        <v>150000000</v>
      </c>
      <c r="AX246" s="486">
        <v>0</v>
      </c>
      <c r="AY246" s="486">
        <v>0</v>
      </c>
      <c r="AZ246" s="488">
        <v>150000000</v>
      </c>
      <c r="BA246" s="490">
        <v>426303500</v>
      </c>
      <c r="BB246" s="486">
        <v>303933850</v>
      </c>
      <c r="BC246" s="486">
        <v>0</v>
      </c>
      <c r="BD246" s="486">
        <v>0</v>
      </c>
      <c r="BE246" s="486">
        <v>0</v>
      </c>
      <c r="BF246" s="486">
        <v>0</v>
      </c>
      <c r="BG246" s="486">
        <v>0</v>
      </c>
      <c r="BH246" s="486">
        <v>0</v>
      </c>
      <c r="BI246" s="486">
        <v>0</v>
      </c>
      <c r="BJ246" s="487">
        <v>303933850</v>
      </c>
      <c r="BK246" s="486">
        <v>150000000</v>
      </c>
      <c r="BL246" s="486">
        <v>0</v>
      </c>
      <c r="BM246" s="486">
        <v>0</v>
      </c>
      <c r="BN246" s="488">
        <v>150000000</v>
      </c>
      <c r="BO246" s="490">
        <v>453933850</v>
      </c>
      <c r="BP246" s="486">
        <v>334327235</v>
      </c>
      <c r="BQ246" s="486">
        <v>0</v>
      </c>
      <c r="BR246" s="486">
        <v>0</v>
      </c>
      <c r="BS246" s="486">
        <v>0</v>
      </c>
      <c r="BT246" s="486">
        <v>0</v>
      </c>
      <c r="BU246" s="486">
        <v>0</v>
      </c>
      <c r="BV246" s="486">
        <v>0</v>
      </c>
      <c r="BW246" s="486">
        <v>0</v>
      </c>
      <c r="BX246" s="487">
        <v>334327235</v>
      </c>
      <c r="BY246" s="486">
        <v>150000000</v>
      </c>
      <c r="BZ246" s="486">
        <v>0</v>
      </c>
      <c r="CA246" s="486">
        <v>0</v>
      </c>
      <c r="CB246" s="488">
        <v>150000000</v>
      </c>
      <c r="CC246" s="491">
        <v>484327235</v>
      </c>
      <c r="CD246" s="492">
        <v>1765749585</v>
      </c>
      <c r="CE246" s="493">
        <f t="shared" si="17"/>
        <v>1165749585</v>
      </c>
      <c r="CF246" s="493">
        <f t="shared" si="17"/>
        <v>0</v>
      </c>
      <c r="CG246" s="493">
        <f t="shared" si="17"/>
        <v>0</v>
      </c>
      <c r="CH246" s="493">
        <f t="shared" si="17"/>
        <v>0</v>
      </c>
      <c r="CI246" s="493">
        <f t="shared" si="17"/>
        <v>0</v>
      </c>
      <c r="CJ246" s="493">
        <f t="shared" si="17"/>
        <v>0</v>
      </c>
      <c r="CK246" s="493">
        <f t="shared" si="17"/>
        <v>0</v>
      </c>
      <c r="CL246" s="493">
        <f t="shared" si="17"/>
        <v>0</v>
      </c>
      <c r="CM246" s="493">
        <f t="shared" si="16"/>
        <v>600000000</v>
      </c>
      <c r="CN246" s="493">
        <f t="shared" si="16"/>
        <v>0</v>
      </c>
      <c r="CO246" s="493">
        <f t="shared" si="16"/>
        <v>0</v>
      </c>
    </row>
    <row r="247" spans="1:93" ht="30.45" hidden="1" customHeight="1">
      <c r="A247" s="555" t="s">
        <v>4203</v>
      </c>
      <c r="B247" s="479">
        <v>245</v>
      </c>
      <c r="C247" s="480" t="s">
        <v>4255</v>
      </c>
      <c r="D247" s="480" t="s">
        <v>4507</v>
      </c>
      <c r="E247" s="480" t="str">
        <f t="shared" si="15"/>
        <v xml:space="preserve">2.6.1 </v>
      </c>
      <c r="F247" s="480" t="s">
        <v>4508</v>
      </c>
      <c r="G247" s="480" t="s">
        <v>4509</v>
      </c>
      <c r="H247" s="481">
        <v>23</v>
      </c>
      <c r="I247" s="480" t="s">
        <v>4007</v>
      </c>
      <c r="J247" s="495">
        <v>230100801</v>
      </c>
      <c r="K247" s="480" t="s">
        <v>4510</v>
      </c>
      <c r="L247" s="480" t="s">
        <v>4511</v>
      </c>
      <c r="M247" s="480" t="s">
        <v>6514</v>
      </c>
      <c r="N247" s="499">
        <v>1</v>
      </c>
      <c r="O247" s="480" t="s">
        <v>4512</v>
      </c>
      <c r="P247" s="515">
        <v>1</v>
      </c>
      <c r="Q247" s="485" t="s">
        <v>5349</v>
      </c>
      <c r="R247" s="485" t="s">
        <v>5453</v>
      </c>
      <c r="S247" s="485" t="s">
        <v>677</v>
      </c>
      <c r="T247" s="485">
        <v>0.48</v>
      </c>
      <c r="U247" s="485" t="s">
        <v>5454</v>
      </c>
      <c r="V247" s="485">
        <v>0.7</v>
      </c>
      <c r="W247" s="485" t="s">
        <v>5455</v>
      </c>
      <c r="X247" s="485" t="s">
        <v>5456</v>
      </c>
      <c r="Y247" s="485" t="s">
        <v>5457</v>
      </c>
      <c r="Z247" s="486">
        <v>55000000</v>
      </c>
      <c r="AA247" s="486">
        <v>0</v>
      </c>
      <c r="AB247" s="486">
        <v>0</v>
      </c>
      <c r="AC247" s="486">
        <v>0</v>
      </c>
      <c r="AD247" s="486">
        <v>0</v>
      </c>
      <c r="AE247" s="486">
        <v>0</v>
      </c>
      <c r="AF247" s="486">
        <v>0</v>
      </c>
      <c r="AG247" s="486">
        <v>0</v>
      </c>
      <c r="AH247" s="487">
        <v>55000000</v>
      </c>
      <c r="AI247" s="486">
        <v>0</v>
      </c>
      <c r="AJ247" s="486">
        <v>150000000</v>
      </c>
      <c r="AK247" s="486">
        <v>0</v>
      </c>
      <c r="AL247" s="488">
        <v>150000000</v>
      </c>
      <c r="AM247" s="489">
        <v>205000000</v>
      </c>
      <c r="AN247" s="486">
        <v>73184400</v>
      </c>
      <c r="AO247" s="486">
        <v>0</v>
      </c>
      <c r="AP247" s="486">
        <v>0</v>
      </c>
      <c r="AQ247" s="486">
        <v>0</v>
      </c>
      <c r="AR247" s="486">
        <v>0</v>
      </c>
      <c r="AS247" s="486">
        <v>0</v>
      </c>
      <c r="AT247" s="486">
        <v>0</v>
      </c>
      <c r="AU247" s="486">
        <v>0</v>
      </c>
      <c r="AV247" s="487">
        <v>73184400</v>
      </c>
      <c r="AW247" s="486">
        <v>0</v>
      </c>
      <c r="AX247" s="486">
        <v>150000000</v>
      </c>
      <c r="AY247" s="486">
        <v>0</v>
      </c>
      <c r="AZ247" s="488">
        <v>150000000</v>
      </c>
      <c r="BA247" s="490">
        <v>223184400</v>
      </c>
      <c r="BB247" s="486">
        <v>75000000</v>
      </c>
      <c r="BC247" s="486">
        <v>0</v>
      </c>
      <c r="BD247" s="486">
        <v>0</v>
      </c>
      <c r="BE247" s="486">
        <v>0</v>
      </c>
      <c r="BF247" s="486">
        <v>0</v>
      </c>
      <c r="BG247" s="486">
        <v>0</v>
      </c>
      <c r="BH247" s="486">
        <v>0</v>
      </c>
      <c r="BI247" s="486">
        <v>0</v>
      </c>
      <c r="BJ247" s="487">
        <v>75000000</v>
      </c>
      <c r="BK247" s="486">
        <v>0</v>
      </c>
      <c r="BL247" s="486">
        <v>150000000</v>
      </c>
      <c r="BM247" s="486">
        <v>0</v>
      </c>
      <c r="BN247" s="488">
        <v>150000000</v>
      </c>
      <c r="BO247" s="490">
        <v>225000000</v>
      </c>
      <c r="BP247" s="486">
        <v>75000000</v>
      </c>
      <c r="BQ247" s="486">
        <v>0</v>
      </c>
      <c r="BR247" s="486">
        <v>0</v>
      </c>
      <c r="BS247" s="486">
        <v>0</v>
      </c>
      <c r="BT247" s="486">
        <v>0</v>
      </c>
      <c r="BU247" s="486">
        <v>0</v>
      </c>
      <c r="BV247" s="486">
        <v>0</v>
      </c>
      <c r="BW247" s="486">
        <v>0</v>
      </c>
      <c r="BX247" s="487">
        <v>75000000</v>
      </c>
      <c r="BY247" s="486">
        <v>0</v>
      </c>
      <c r="BZ247" s="486">
        <v>150000000</v>
      </c>
      <c r="CA247" s="486">
        <v>0</v>
      </c>
      <c r="CB247" s="488">
        <v>150000000</v>
      </c>
      <c r="CC247" s="491">
        <v>225000000</v>
      </c>
      <c r="CD247" s="492">
        <v>878184400</v>
      </c>
      <c r="CE247" s="493">
        <f t="shared" si="17"/>
        <v>278184400</v>
      </c>
      <c r="CF247" s="493">
        <f t="shared" si="17"/>
        <v>0</v>
      </c>
      <c r="CG247" s="493">
        <f t="shared" si="17"/>
        <v>0</v>
      </c>
      <c r="CH247" s="493">
        <f t="shared" si="17"/>
        <v>0</v>
      </c>
      <c r="CI247" s="493">
        <f t="shared" si="17"/>
        <v>0</v>
      </c>
      <c r="CJ247" s="493">
        <f t="shared" si="17"/>
        <v>0</v>
      </c>
      <c r="CK247" s="493">
        <f t="shared" si="17"/>
        <v>0</v>
      </c>
      <c r="CL247" s="493">
        <f t="shared" si="17"/>
        <v>0</v>
      </c>
      <c r="CM247" s="493">
        <f t="shared" si="16"/>
        <v>0</v>
      </c>
      <c r="CN247" s="493">
        <f t="shared" si="16"/>
        <v>600000000</v>
      </c>
      <c r="CO247" s="493">
        <f t="shared" si="16"/>
        <v>0</v>
      </c>
    </row>
    <row r="248" spans="1:93" ht="30.45" hidden="1" customHeight="1">
      <c r="A248" s="555" t="s">
        <v>4203</v>
      </c>
      <c r="B248" s="479">
        <v>246</v>
      </c>
      <c r="C248" s="480" t="s">
        <v>4255</v>
      </c>
      <c r="D248" s="480" t="s">
        <v>4507</v>
      </c>
      <c r="E248" s="480" t="str">
        <f t="shared" si="15"/>
        <v xml:space="preserve">2.6.1 </v>
      </c>
      <c r="F248" s="480" t="s">
        <v>4508</v>
      </c>
      <c r="G248" s="480" t="s">
        <v>4509</v>
      </c>
      <c r="H248" s="481">
        <v>23</v>
      </c>
      <c r="I248" s="480" t="s">
        <v>4007</v>
      </c>
      <c r="J248" s="495">
        <v>230101000</v>
      </c>
      <c r="K248" s="480" t="s">
        <v>4032</v>
      </c>
      <c r="L248" s="480" t="s">
        <v>4513</v>
      </c>
      <c r="M248" s="480" t="s">
        <v>5863</v>
      </c>
      <c r="N248" s="499">
        <v>0</v>
      </c>
      <c r="O248" s="480" t="s">
        <v>4514</v>
      </c>
      <c r="P248" s="515">
        <v>1</v>
      </c>
      <c r="Q248" s="485" t="s">
        <v>5349</v>
      </c>
      <c r="R248" s="485" t="s">
        <v>5453</v>
      </c>
      <c r="S248" s="485" t="s">
        <v>677</v>
      </c>
      <c r="T248" s="485">
        <v>0.48</v>
      </c>
      <c r="U248" s="485" t="s">
        <v>5454</v>
      </c>
      <c r="V248" s="485">
        <v>0.7</v>
      </c>
      <c r="W248" s="485" t="s">
        <v>5455</v>
      </c>
      <c r="X248" s="485" t="s">
        <v>5456</v>
      </c>
      <c r="Y248" s="485" t="s">
        <v>5457</v>
      </c>
      <c r="Z248" s="486">
        <v>42500000</v>
      </c>
      <c r="AA248" s="486">
        <v>0</v>
      </c>
      <c r="AB248" s="486">
        <v>0</v>
      </c>
      <c r="AC248" s="486">
        <v>0</v>
      </c>
      <c r="AD248" s="486">
        <v>0</v>
      </c>
      <c r="AE248" s="486">
        <v>0</v>
      </c>
      <c r="AF248" s="486">
        <v>0</v>
      </c>
      <c r="AG248" s="486">
        <v>0</v>
      </c>
      <c r="AH248" s="487">
        <v>42500000</v>
      </c>
      <c r="AI248" s="486">
        <v>0</v>
      </c>
      <c r="AJ248" s="486">
        <v>200000000</v>
      </c>
      <c r="AK248" s="486">
        <v>0</v>
      </c>
      <c r="AL248" s="488">
        <v>200000000</v>
      </c>
      <c r="AM248" s="489">
        <v>242500000</v>
      </c>
      <c r="AN248" s="486">
        <v>47500000</v>
      </c>
      <c r="AO248" s="486">
        <v>0</v>
      </c>
      <c r="AP248" s="486">
        <v>0</v>
      </c>
      <c r="AQ248" s="486">
        <v>0</v>
      </c>
      <c r="AR248" s="486">
        <v>0</v>
      </c>
      <c r="AS248" s="486">
        <v>0</v>
      </c>
      <c r="AT248" s="486">
        <v>0</v>
      </c>
      <c r="AU248" s="486">
        <v>0</v>
      </c>
      <c r="AV248" s="487">
        <v>47500000</v>
      </c>
      <c r="AW248" s="486">
        <v>0</v>
      </c>
      <c r="AX248" s="486">
        <v>200000000</v>
      </c>
      <c r="AY248" s="486">
        <v>0</v>
      </c>
      <c r="AZ248" s="488">
        <v>200000000</v>
      </c>
      <c r="BA248" s="490">
        <v>247500000</v>
      </c>
      <c r="BB248" s="486">
        <v>61001776</v>
      </c>
      <c r="BC248" s="486">
        <v>0</v>
      </c>
      <c r="BD248" s="486">
        <v>0</v>
      </c>
      <c r="BE248" s="486">
        <v>0</v>
      </c>
      <c r="BF248" s="486">
        <v>0</v>
      </c>
      <c r="BG248" s="486">
        <v>0</v>
      </c>
      <c r="BH248" s="486">
        <v>0</v>
      </c>
      <c r="BI248" s="486">
        <v>0</v>
      </c>
      <c r="BJ248" s="487">
        <v>61001776</v>
      </c>
      <c r="BK248" s="486">
        <v>0</v>
      </c>
      <c r="BL248" s="486">
        <v>200000000</v>
      </c>
      <c r="BM248" s="486">
        <v>0</v>
      </c>
      <c r="BN248" s="488">
        <v>200000000</v>
      </c>
      <c r="BO248" s="490">
        <v>261001776</v>
      </c>
      <c r="BP248" s="486">
        <v>58131847</v>
      </c>
      <c r="BQ248" s="486">
        <v>0</v>
      </c>
      <c r="BR248" s="486">
        <v>0</v>
      </c>
      <c r="BS248" s="486">
        <v>0</v>
      </c>
      <c r="BT248" s="486">
        <v>0</v>
      </c>
      <c r="BU248" s="486">
        <v>0</v>
      </c>
      <c r="BV248" s="486">
        <v>0</v>
      </c>
      <c r="BW248" s="486">
        <v>0</v>
      </c>
      <c r="BX248" s="487">
        <v>58131847</v>
      </c>
      <c r="BY248" s="486">
        <v>0</v>
      </c>
      <c r="BZ248" s="486">
        <v>200000000</v>
      </c>
      <c r="CA248" s="486">
        <v>0</v>
      </c>
      <c r="CB248" s="488">
        <v>200000000</v>
      </c>
      <c r="CC248" s="491">
        <v>258131847</v>
      </c>
      <c r="CD248" s="492">
        <v>1009133623</v>
      </c>
      <c r="CE248" s="493">
        <f t="shared" si="17"/>
        <v>209133623</v>
      </c>
      <c r="CF248" s="493">
        <f t="shared" si="17"/>
        <v>0</v>
      </c>
      <c r="CG248" s="493">
        <f t="shared" si="17"/>
        <v>0</v>
      </c>
      <c r="CH248" s="493">
        <f t="shared" si="17"/>
        <v>0</v>
      </c>
      <c r="CI248" s="493">
        <f t="shared" si="17"/>
        <v>0</v>
      </c>
      <c r="CJ248" s="493">
        <f t="shared" si="17"/>
        <v>0</v>
      </c>
      <c r="CK248" s="493">
        <f t="shared" si="17"/>
        <v>0</v>
      </c>
      <c r="CL248" s="493">
        <f t="shared" si="17"/>
        <v>0</v>
      </c>
      <c r="CM248" s="493">
        <f t="shared" si="16"/>
        <v>0</v>
      </c>
      <c r="CN248" s="493">
        <f t="shared" si="16"/>
        <v>800000000</v>
      </c>
      <c r="CO248" s="493">
        <f t="shared" si="16"/>
        <v>0</v>
      </c>
    </row>
    <row r="249" spans="1:93" ht="30.45" hidden="1" customHeight="1">
      <c r="A249" s="555" t="s">
        <v>4203</v>
      </c>
      <c r="B249" s="479">
        <v>247</v>
      </c>
      <c r="C249" s="480" t="s">
        <v>4255</v>
      </c>
      <c r="D249" s="480" t="s">
        <v>4507</v>
      </c>
      <c r="E249" s="480" t="str">
        <f t="shared" si="15"/>
        <v xml:space="preserve">2.6.1 </v>
      </c>
      <c r="F249" s="480" t="s">
        <v>4508</v>
      </c>
      <c r="G249" s="480" t="s">
        <v>4509</v>
      </c>
      <c r="H249" s="481">
        <v>23</v>
      </c>
      <c r="I249" s="480" t="s">
        <v>6515</v>
      </c>
      <c r="J249" s="495">
        <v>230201200</v>
      </c>
      <c r="K249" s="480" t="s">
        <v>6516</v>
      </c>
      <c r="L249" s="480" t="s">
        <v>4515</v>
      </c>
      <c r="M249" s="480" t="s">
        <v>5864</v>
      </c>
      <c r="N249" s="499">
        <v>2</v>
      </c>
      <c r="O249" s="480" t="s">
        <v>6517</v>
      </c>
      <c r="P249" s="515">
        <v>7</v>
      </c>
      <c r="Q249" s="485" t="s">
        <v>5349</v>
      </c>
      <c r="R249" s="485" t="s">
        <v>5453</v>
      </c>
      <c r="S249" s="485" t="s">
        <v>677</v>
      </c>
      <c r="T249" s="485">
        <v>0.48</v>
      </c>
      <c r="U249" s="485" t="s">
        <v>5454</v>
      </c>
      <c r="V249" s="485">
        <v>0.7</v>
      </c>
      <c r="W249" s="485" t="s">
        <v>5455</v>
      </c>
      <c r="X249" s="485" t="s">
        <v>5456</v>
      </c>
      <c r="Y249" s="485" t="s">
        <v>5457</v>
      </c>
      <c r="Z249" s="486">
        <v>12500000</v>
      </c>
      <c r="AA249" s="486">
        <v>0</v>
      </c>
      <c r="AB249" s="486">
        <v>0</v>
      </c>
      <c r="AC249" s="486">
        <v>0</v>
      </c>
      <c r="AD249" s="486">
        <v>0</v>
      </c>
      <c r="AE249" s="486">
        <v>0</v>
      </c>
      <c r="AF249" s="486">
        <v>0</v>
      </c>
      <c r="AG249" s="486">
        <v>0</v>
      </c>
      <c r="AH249" s="487">
        <v>12500000</v>
      </c>
      <c r="AI249" s="486">
        <v>37500000</v>
      </c>
      <c r="AJ249" s="486">
        <v>0</v>
      </c>
      <c r="AK249" s="486"/>
      <c r="AL249" s="488">
        <v>37500000</v>
      </c>
      <c r="AM249" s="489">
        <v>50000000</v>
      </c>
      <c r="AN249" s="486">
        <v>12500000</v>
      </c>
      <c r="AO249" s="486">
        <v>0</v>
      </c>
      <c r="AP249" s="486">
        <v>0</v>
      </c>
      <c r="AQ249" s="486">
        <v>0</v>
      </c>
      <c r="AR249" s="486">
        <v>0</v>
      </c>
      <c r="AS249" s="486">
        <v>0</v>
      </c>
      <c r="AT249" s="486">
        <v>0</v>
      </c>
      <c r="AU249" s="486">
        <v>0</v>
      </c>
      <c r="AV249" s="487">
        <v>12500000</v>
      </c>
      <c r="AW249" s="486">
        <v>37500000</v>
      </c>
      <c r="AX249" s="486">
        <v>0</v>
      </c>
      <c r="AY249" s="486"/>
      <c r="AZ249" s="488">
        <v>37500000</v>
      </c>
      <c r="BA249" s="490">
        <v>50000000</v>
      </c>
      <c r="BB249" s="486">
        <v>12500000</v>
      </c>
      <c r="BC249" s="486">
        <v>0</v>
      </c>
      <c r="BD249" s="486">
        <v>0</v>
      </c>
      <c r="BE249" s="486">
        <v>0</v>
      </c>
      <c r="BF249" s="486">
        <v>0</v>
      </c>
      <c r="BG249" s="486">
        <v>0</v>
      </c>
      <c r="BH249" s="486">
        <v>0</v>
      </c>
      <c r="BI249" s="486">
        <v>0</v>
      </c>
      <c r="BJ249" s="487">
        <v>12500000</v>
      </c>
      <c r="BK249" s="486">
        <v>37500000</v>
      </c>
      <c r="BL249" s="486">
        <v>0</v>
      </c>
      <c r="BM249" s="486"/>
      <c r="BN249" s="488">
        <v>37500000</v>
      </c>
      <c r="BO249" s="490">
        <v>50000000</v>
      </c>
      <c r="BP249" s="486">
        <v>12500000</v>
      </c>
      <c r="BQ249" s="486">
        <v>0</v>
      </c>
      <c r="BR249" s="486">
        <v>0</v>
      </c>
      <c r="BS249" s="486">
        <v>0</v>
      </c>
      <c r="BT249" s="486">
        <v>0</v>
      </c>
      <c r="BU249" s="486">
        <v>0</v>
      </c>
      <c r="BV249" s="486">
        <v>0</v>
      </c>
      <c r="BW249" s="486">
        <v>0</v>
      </c>
      <c r="BX249" s="487">
        <v>12500000</v>
      </c>
      <c r="BY249" s="486">
        <v>37500000</v>
      </c>
      <c r="BZ249" s="486">
        <v>0</v>
      </c>
      <c r="CA249" s="486"/>
      <c r="CB249" s="488">
        <v>37500000</v>
      </c>
      <c r="CC249" s="491">
        <v>50000000</v>
      </c>
      <c r="CD249" s="492">
        <v>200000000</v>
      </c>
      <c r="CE249" s="493">
        <f t="shared" si="17"/>
        <v>50000000</v>
      </c>
      <c r="CF249" s="493">
        <f t="shared" si="17"/>
        <v>0</v>
      </c>
      <c r="CG249" s="493">
        <f t="shared" si="17"/>
        <v>0</v>
      </c>
      <c r="CH249" s="493">
        <f t="shared" si="17"/>
        <v>0</v>
      </c>
      <c r="CI249" s="493">
        <f t="shared" si="17"/>
        <v>0</v>
      </c>
      <c r="CJ249" s="493">
        <f t="shared" si="17"/>
        <v>0</v>
      </c>
      <c r="CK249" s="493">
        <f t="shared" si="17"/>
        <v>0</v>
      </c>
      <c r="CL249" s="493">
        <f t="shared" si="17"/>
        <v>0</v>
      </c>
      <c r="CM249" s="493">
        <f t="shared" si="16"/>
        <v>150000000</v>
      </c>
      <c r="CN249" s="493">
        <f t="shared" si="16"/>
        <v>0</v>
      </c>
      <c r="CO249" s="493">
        <f t="shared" si="16"/>
        <v>0</v>
      </c>
    </row>
    <row r="250" spans="1:93" ht="30.45" hidden="1" customHeight="1">
      <c r="A250" s="555" t="s">
        <v>4203</v>
      </c>
      <c r="B250" s="479">
        <v>248</v>
      </c>
      <c r="C250" s="480" t="s">
        <v>4255</v>
      </c>
      <c r="D250" s="480" t="s">
        <v>4507</v>
      </c>
      <c r="E250" s="480" t="str">
        <f t="shared" si="15"/>
        <v xml:space="preserve">2.6.1 </v>
      </c>
      <c r="F250" s="480" t="s">
        <v>4508</v>
      </c>
      <c r="G250" s="480" t="s">
        <v>4509</v>
      </c>
      <c r="H250" s="481">
        <v>23</v>
      </c>
      <c r="I250" s="480" t="s">
        <v>6518</v>
      </c>
      <c r="J250" s="495">
        <v>230200700</v>
      </c>
      <c r="K250" s="480" t="s">
        <v>6519</v>
      </c>
      <c r="L250" s="480" t="s">
        <v>6192</v>
      </c>
      <c r="M250" s="480" t="s">
        <v>5865</v>
      </c>
      <c r="N250" s="499">
        <v>0</v>
      </c>
      <c r="O250" s="480" t="s">
        <v>6520</v>
      </c>
      <c r="P250" s="515">
        <v>1</v>
      </c>
      <c r="Q250" s="485" t="s">
        <v>5349</v>
      </c>
      <c r="R250" s="485" t="s">
        <v>5453</v>
      </c>
      <c r="S250" s="485" t="s">
        <v>677</v>
      </c>
      <c r="T250" s="485">
        <v>0.48</v>
      </c>
      <c r="U250" s="485" t="s">
        <v>5454</v>
      </c>
      <c r="V250" s="485">
        <v>0.7</v>
      </c>
      <c r="W250" s="485" t="s">
        <v>5455</v>
      </c>
      <c r="X250" s="485" t="s">
        <v>5456</v>
      </c>
      <c r="Y250" s="485" t="s">
        <v>5457</v>
      </c>
      <c r="Z250" s="486">
        <v>12500000</v>
      </c>
      <c r="AA250" s="486">
        <v>0</v>
      </c>
      <c r="AB250" s="486">
        <v>0</v>
      </c>
      <c r="AC250" s="486">
        <v>0</v>
      </c>
      <c r="AD250" s="486">
        <v>0</v>
      </c>
      <c r="AE250" s="486">
        <v>0</v>
      </c>
      <c r="AF250" s="486">
        <v>0</v>
      </c>
      <c r="AG250" s="486">
        <v>0</v>
      </c>
      <c r="AH250" s="487">
        <v>12500000</v>
      </c>
      <c r="AI250" s="486">
        <v>625000000</v>
      </c>
      <c r="AJ250" s="486">
        <v>0</v>
      </c>
      <c r="AK250" s="486"/>
      <c r="AL250" s="488">
        <v>625000000</v>
      </c>
      <c r="AM250" s="489">
        <v>637500000</v>
      </c>
      <c r="AN250" s="486">
        <v>12500000</v>
      </c>
      <c r="AO250" s="486">
        <v>0</v>
      </c>
      <c r="AP250" s="486">
        <v>0</v>
      </c>
      <c r="AQ250" s="486">
        <v>0</v>
      </c>
      <c r="AR250" s="486">
        <v>0</v>
      </c>
      <c r="AS250" s="486">
        <v>0</v>
      </c>
      <c r="AT250" s="486">
        <v>0</v>
      </c>
      <c r="AU250" s="486">
        <v>0</v>
      </c>
      <c r="AV250" s="487">
        <v>12500000</v>
      </c>
      <c r="AW250" s="486">
        <v>625000000</v>
      </c>
      <c r="AX250" s="486">
        <v>0</v>
      </c>
      <c r="AY250" s="486"/>
      <c r="AZ250" s="488">
        <v>625000000</v>
      </c>
      <c r="BA250" s="490">
        <v>637500000</v>
      </c>
      <c r="BB250" s="486">
        <v>12500000</v>
      </c>
      <c r="BC250" s="486">
        <v>0</v>
      </c>
      <c r="BD250" s="486">
        <v>0</v>
      </c>
      <c r="BE250" s="486">
        <v>0</v>
      </c>
      <c r="BF250" s="486">
        <v>0</v>
      </c>
      <c r="BG250" s="486">
        <v>0</v>
      </c>
      <c r="BH250" s="486">
        <v>0</v>
      </c>
      <c r="BI250" s="486">
        <v>0</v>
      </c>
      <c r="BJ250" s="487">
        <v>12500000</v>
      </c>
      <c r="BK250" s="486">
        <v>625000000</v>
      </c>
      <c r="BL250" s="486">
        <v>0</v>
      </c>
      <c r="BM250" s="486"/>
      <c r="BN250" s="488">
        <v>625000000</v>
      </c>
      <c r="BO250" s="490">
        <v>637500000</v>
      </c>
      <c r="BP250" s="486">
        <v>12500000</v>
      </c>
      <c r="BQ250" s="486">
        <v>0</v>
      </c>
      <c r="BR250" s="486">
        <v>0</v>
      </c>
      <c r="BS250" s="486">
        <v>0</v>
      </c>
      <c r="BT250" s="486">
        <v>0</v>
      </c>
      <c r="BU250" s="486">
        <v>0</v>
      </c>
      <c r="BV250" s="486">
        <v>0</v>
      </c>
      <c r="BW250" s="486">
        <v>0</v>
      </c>
      <c r="BX250" s="487">
        <v>12500000</v>
      </c>
      <c r="BY250" s="486">
        <v>625000000</v>
      </c>
      <c r="BZ250" s="486">
        <v>0</v>
      </c>
      <c r="CA250" s="486"/>
      <c r="CB250" s="488">
        <v>625000000</v>
      </c>
      <c r="CC250" s="491">
        <v>637500000</v>
      </c>
      <c r="CD250" s="492">
        <v>2550000000</v>
      </c>
      <c r="CE250" s="493">
        <f t="shared" si="17"/>
        <v>50000000</v>
      </c>
      <c r="CF250" s="493">
        <f t="shared" si="17"/>
        <v>0</v>
      </c>
      <c r="CG250" s="493">
        <f t="shared" si="17"/>
        <v>0</v>
      </c>
      <c r="CH250" s="493">
        <f t="shared" si="17"/>
        <v>0</v>
      </c>
      <c r="CI250" s="493">
        <f t="shared" si="17"/>
        <v>0</v>
      </c>
      <c r="CJ250" s="493">
        <f t="shared" si="17"/>
        <v>0</v>
      </c>
      <c r="CK250" s="493">
        <f t="shared" si="17"/>
        <v>0</v>
      </c>
      <c r="CL250" s="493">
        <f t="shared" si="17"/>
        <v>0</v>
      </c>
      <c r="CM250" s="493">
        <f t="shared" si="16"/>
        <v>2500000000</v>
      </c>
      <c r="CN250" s="493">
        <f t="shared" si="16"/>
        <v>0</v>
      </c>
      <c r="CO250" s="493">
        <f t="shared" si="16"/>
        <v>0</v>
      </c>
    </row>
    <row r="251" spans="1:93" ht="30.45" hidden="1" customHeight="1">
      <c r="A251" s="555" t="s">
        <v>4203</v>
      </c>
      <c r="B251" s="479">
        <v>249</v>
      </c>
      <c r="C251" s="480" t="s">
        <v>4255</v>
      </c>
      <c r="D251" s="480" t="s">
        <v>4507</v>
      </c>
      <c r="E251" s="480" t="str">
        <f t="shared" si="15"/>
        <v xml:space="preserve">2.6.1 </v>
      </c>
      <c r="F251" s="480" t="s">
        <v>4508</v>
      </c>
      <c r="G251" s="480" t="s">
        <v>4509</v>
      </c>
      <c r="H251" s="481">
        <v>45</v>
      </c>
      <c r="I251" s="480" t="s">
        <v>4209</v>
      </c>
      <c r="J251" s="495">
        <v>450200100</v>
      </c>
      <c r="K251" s="480" t="s">
        <v>4210</v>
      </c>
      <c r="L251" s="480" t="s">
        <v>4211</v>
      </c>
      <c r="M251" s="480" t="s">
        <v>6521</v>
      </c>
      <c r="N251" s="499">
        <v>6</v>
      </c>
      <c r="O251" s="480" t="s">
        <v>4512</v>
      </c>
      <c r="P251" s="515">
        <v>10</v>
      </c>
      <c r="Q251" s="485" t="s">
        <v>5349</v>
      </c>
      <c r="R251" s="485" t="s">
        <v>5453</v>
      </c>
      <c r="S251" s="485" t="s">
        <v>677</v>
      </c>
      <c r="T251" s="485">
        <v>0.48</v>
      </c>
      <c r="U251" s="485" t="s">
        <v>5454</v>
      </c>
      <c r="V251" s="485">
        <v>0.7</v>
      </c>
      <c r="W251" s="485" t="s">
        <v>5455</v>
      </c>
      <c r="X251" s="485" t="s">
        <v>5456</v>
      </c>
      <c r="Y251" s="485" t="s">
        <v>5457</v>
      </c>
      <c r="Z251" s="486">
        <v>500000000</v>
      </c>
      <c r="AA251" s="486">
        <v>0</v>
      </c>
      <c r="AB251" s="486">
        <v>0</v>
      </c>
      <c r="AC251" s="486">
        <v>0</v>
      </c>
      <c r="AD251" s="486">
        <v>0</v>
      </c>
      <c r="AE251" s="486">
        <v>0</v>
      </c>
      <c r="AF251" s="486">
        <v>0</v>
      </c>
      <c r="AG251" s="486">
        <v>0</v>
      </c>
      <c r="AH251" s="487">
        <v>500000000</v>
      </c>
      <c r="AI251" s="486">
        <v>0</v>
      </c>
      <c r="AJ251" s="486">
        <v>0</v>
      </c>
      <c r="AK251" s="486">
        <v>0</v>
      </c>
      <c r="AL251" s="488">
        <v>0</v>
      </c>
      <c r="AM251" s="489">
        <v>500000000</v>
      </c>
      <c r="AN251" s="486">
        <v>520000000</v>
      </c>
      <c r="AO251" s="486">
        <v>0</v>
      </c>
      <c r="AP251" s="486">
        <v>0</v>
      </c>
      <c r="AQ251" s="486">
        <v>0</v>
      </c>
      <c r="AR251" s="486">
        <v>0</v>
      </c>
      <c r="AS251" s="486">
        <v>0</v>
      </c>
      <c r="AT251" s="486">
        <v>0</v>
      </c>
      <c r="AU251" s="486">
        <v>0</v>
      </c>
      <c r="AV251" s="487">
        <v>520000000</v>
      </c>
      <c r="AW251" s="486">
        <v>0</v>
      </c>
      <c r="AX251" s="486">
        <v>0</v>
      </c>
      <c r="AY251" s="486">
        <v>0</v>
      </c>
      <c r="AZ251" s="488">
        <v>0</v>
      </c>
      <c r="BA251" s="490">
        <v>520000000</v>
      </c>
      <c r="BB251" s="486">
        <v>550000000</v>
      </c>
      <c r="BC251" s="486">
        <v>0</v>
      </c>
      <c r="BD251" s="486">
        <v>0</v>
      </c>
      <c r="BE251" s="486">
        <v>0</v>
      </c>
      <c r="BF251" s="486">
        <v>0</v>
      </c>
      <c r="BG251" s="486">
        <v>0</v>
      </c>
      <c r="BH251" s="486">
        <v>0</v>
      </c>
      <c r="BI251" s="486">
        <v>0</v>
      </c>
      <c r="BJ251" s="487">
        <v>550000000</v>
      </c>
      <c r="BK251" s="486">
        <v>0</v>
      </c>
      <c r="BL251" s="486">
        <v>0</v>
      </c>
      <c r="BM251" s="486">
        <v>0</v>
      </c>
      <c r="BN251" s="488">
        <v>0</v>
      </c>
      <c r="BO251" s="490">
        <v>550000000</v>
      </c>
      <c r="BP251" s="486">
        <v>575000000</v>
      </c>
      <c r="BQ251" s="486">
        <v>0</v>
      </c>
      <c r="BR251" s="486">
        <v>0</v>
      </c>
      <c r="BS251" s="486">
        <v>0</v>
      </c>
      <c r="BT251" s="486">
        <v>0</v>
      </c>
      <c r="BU251" s="486">
        <v>0</v>
      </c>
      <c r="BV251" s="486">
        <v>0</v>
      </c>
      <c r="BW251" s="486">
        <v>0</v>
      </c>
      <c r="BX251" s="487">
        <v>575000000</v>
      </c>
      <c r="BY251" s="486">
        <v>0</v>
      </c>
      <c r="BZ251" s="486">
        <v>0</v>
      </c>
      <c r="CA251" s="486">
        <v>0</v>
      </c>
      <c r="CB251" s="488">
        <v>0</v>
      </c>
      <c r="CC251" s="491">
        <v>575000000</v>
      </c>
      <c r="CD251" s="492">
        <v>2145000000</v>
      </c>
      <c r="CE251" s="493">
        <f t="shared" si="17"/>
        <v>2145000000</v>
      </c>
      <c r="CF251" s="493">
        <f t="shared" si="17"/>
        <v>0</v>
      </c>
      <c r="CG251" s="493">
        <f t="shared" si="17"/>
        <v>0</v>
      </c>
      <c r="CH251" s="493">
        <f t="shared" si="17"/>
        <v>0</v>
      </c>
      <c r="CI251" s="493">
        <f t="shared" si="17"/>
        <v>0</v>
      </c>
      <c r="CJ251" s="493">
        <f t="shared" si="17"/>
        <v>0</v>
      </c>
      <c r="CK251" s="493">
        <f t="shared" si="17"/>
        <v>0</v>
      </c>
      <c r="CL251" s="493">
        <f t="shared" si="17"/>
        <v>0</v>
      </c>
      <c r="CM251" s="493">
        <f t="shared" si="16"/>
        <v>0</v>
      </c>
      <c r="CN251" s="493">
        <f t="shared" si="16"/>
        <v>0</v>
      </c>
      <c r="CO251" s="493">
        <f t="shared" si="16"/>
        <v>0</v>
      </c>
    </row>
    <row r="252" spans="1:93" ht="30.45" hidden="1" customHeight="1">
      <c r="A252" s="555" t="s">
        <v>4011</v>
      </c>
      <c r="B252" s="479">
        <v>250</v>
      </c>
      <c r="C252" s="480" t="s">
        <v>4255</v>
      </c>
      <c r="D252" s="480" t="s">
        <v>4507</v>
      </c>
      <c r="E252" s="480" t="str">
        <f t="shared" si="15"/>
        <v xml:space="preserve">2.6.2 </v>
      </c>
      <c r="F252" s="480" t="s">
        <v>4516</v>
      </c>
      <c r="G252" s="480" t="s">
        <v>4517</v>
      </c>
      <c r="H252" s="481">
        <v>23</v>
      </c>
      <c r="I252" s="480" t="s">
        <v>4518</v>
      </c>
      <c r="J252" s="495">
        <v>230202402</v>
      </c>
      <c r="K252" s="480" t="s">
        <v>4088</v>
      </c>
      <c r="L252" s="480" t="s">
        <v>4519</v>
      </c>
      <c r="M252" s="480" t="s">
        <v>5866</v>
      </c>
      <c r="N252" s="499">
        <v>123</v>
      </c>
      <c r="O252" s="480" t="s">
        <v>4010</v>
      </c>
      <c r="P252" s="515">
        <v>123</v>
      </c>
      <c r="Q252" s="485" t="s">
        <v>5349</v>
      </c>
      <c r="R252" s="485" t="s">
        <v>5458</v>
      </c>
      <c r="S252" s="485" t="s">
        <v>689</v>
      </c>
      <c r="T252" s="485" t="s">
        <v>5459</v>
      </c>
      <c r="U252" s="485" t="s">
        <v>5460</v>
      </c>
      <c r="V252" s="485">
        <v>82</v>
      </c>
      <c r="W252" s="485" t="s">
        <v>5461</v>
      </c>
      <c r="X252" s="485">
        <v>16</v>
      </c>
      <c r="Y252" s="485" t="s">
        <v>5370</v>
      </c>
      <c r="Z252" s="486">
        <v>25000000</v>
      </c>
      <c r="AA252" s="486">
        <v>0</v>
      </c>
      <c r="AB252" s="486">
        <v>0</v>
      </c>
      <c r="AC252" s="486">
        <v>0</v>
      </c>
      <c r="AD252" s="486">
        <v>0</v>
      </c>
      <c r="AE252" s="486">
        <v>0</v>
      </c>
      <c r="AF252" s="486">
        <v>0</v>
      </c>
      <c r="AG252" s="486">
        <v>0</v>
      </c>
      <c r="AH252" s="487">
        <v>25000000</v>
      </c>
      <c r="AI252" s="486">
        <v>0</v>
      </c>
      <c r="AJ252" s="486">
        <v>0</v>
      </c>
      <c r="AK252" s="486">
        <v>0</v>
      </c>
      <c r="AL252" s="488">
        <v>0</v>
      </c>
      <c r="AM252" s="489">
        <v>25000000</v>
      </c>
      <c r="AN252" s="486">
        <v>26000000</v>
      </c>
      <c r="AO252" s="486">
        <v>0</v>
      </c>
      <c r="AP252" s="486">
        <v>0</v>
      </c>
      <c r="AQ252" s="486">
        <v>0</v>
      </c>
      <c r="AR252" s="486">
        <v>0</v>
      </c>
      <c r="AS252" s="486">
        <v>0</v>
      </c>
      <c r="AT252" s="486">
        <v>0</v>
      </c>
      <c r="AU252" s="486">
        <v>0</v>
      </c>
      <c r="AV252" s="487">
        <v>26000000</v>
      </c>
      <c r="AW252" s="486">
        <v>0</v>
      </c>
      <c r="AX252" s="486">
        <v>0</v>
      </c>
      <c r="AY252" s="486">
        <v>0</v>
      </c>
      <c r="AZ252" s="488">
        <v>0</v>
      </c>
      <c r="BA252" s="490">
        <v>26000000</v>
      </c>
      <c r="BB252" s="486">
        <v>27040000</v>
      </c>
      <c r="BC252" s="486">
        <v>0</v>
      </c>
      <c r="BD252" s="486">
        <v>0</v>
      </c>
      <c r="BE252" s="486">
        <v>0</v>
      </c>
      <c r="BF252" s="486">
        <v>0</v>
      </c>
      <c r="BG252" s="486">
        <v>0</v>
      </c>
      <c r="BH252" s="486">
        <v>0</v>
      </c>
      <c r="BI252" s="486">
        <v>0</v>
      </c>
      <c r="BJ252" s="487">
        <v>27040000</v>
      </c>
      <c r="BK252" s="486">
        <v>0</v>
      </c>
      <c r="BL252" s="486">
        <v>0</v>
      </c>
      <c r="BM252" s="486">
        <v>0</v>
      </c>
      <c r="BN252" s="488">
        <v>0</v>
      </c>
      <c r="BO252" s="490">
        <v>27040000</v>
      </c>
      <c r="BP252" s="486">
        <v>28121600</v>
      </c>
      <c r="BQ252" s="486">
        <v>0</v>
      </c>
      <c r="BR252" s="486">
        <v>0</v>
      </c>
      <c r="BS252" s="486">
        <v>0</v>
      </c>
      <c r="BT252" s="486">
        <v>0</v>
      </c>
      <c r="BU252" s="486">
        <v>0</v>
      </c>
      <c r="BV252" s="486">
        <v>0</v>
      </c>
      <c r="BW252" s="486">
        <v>0</v>
      </c>
      <c r="BX252" s="487">
        <v>28121600</v>
      </c>
      <c r="BY252" s="486">
        <v>0</v>
      </c>
      <c r="BZ252" s="486">
        <v>0</v>
      </c>
      <c r="CA252" s="486">
        <v>0</v>
      </c>
      <c r="CB252" s="488">
        <v>0</v>
      </c>
      <c r="CC252" s="491">
        <v>28121600</v>
      </c>
      <c r="CD252" s="492">
        <v>106161600</v>
      </c>
      <c r="CE252" s="493">
        <f t="shared" si="17"/>
        <v>106161600</v>
      </c>
      <c r="CF252" s="493">
        <f t="shared" si="17"/>
        <v>0</v>
      </c>
      <c r="CG252" s="493">
        <f t="shared" si="17"/>
        <v>0</v>
      </c>
      <c r="CH252" s="493">
        <f t="shared" si="17"/>
        <v>0</v>
      </c>
      <c r="CI252" s="493">
        <f t="shared" si="17"/>
        <v>0</v>
      </c>
      <c r="CJ252" s="493">
        <f t="shared" si="17"/>
        <v>0</v>
      </c>
      <c r="CK252" s="493">
        <f t="shared" si="17"/>
        <v>0</v>
      </c>
      <c r="CL252" s="493">
        <f t="shared" si="17"/>
        <v>0</v>
      </c>
      <c r="CM252" s="493">
        <f t="shared" si="16"/>
        <v>0</v>
      </c>
      <c r="CN252" s="493">
        <f t="shared" si="16"/>
        <v>0</v>
      </c>
      <c r="CO252" s="493">
        <f t="shared" si="16"/>
        <v>0</v>
      </c>
    </row>
    <row r="253" spans="1:93" ht="30.45" hidden="1" customHeight="1">
      <c r="A253" s="555" t="s">
        <v>4011</v>
      </c>
      <c r="B253" s="479">
        <v>251</v>
      </c>
      <c r="C253" s="480" t="s">
        <v>4255</v>
      </c>
      <c r="D253" s="480" t="s">
        <v>4507</v>
      </c>
      <c r="E253" s="480" t="str">
        <f t="shared" si="15"/>
        <v xml:space="preserve">2.6.2 </v>
      </c>
      <c r="F253" s="480" t="s">
        <v>4516</v>
      </c>
      <c r="G253" s="480" t="s">
        <v>4517</v>
      </c>
      <c r="H253" s="481">
        <v>45</v>
      </c>
      <c r="I253" s="480" t="s">
        <v>4520</v>
      </c>
      <c r="J253" s="495">
        <v>230107700</v>
      </c>
      <c r="K253" s="480" t="s">
        <v>4181</v>
      </c>
      <c r="L253" s="480" t="s">
        <v>4526</v>
      </c>
      <c r="M253" s="480" t="s">
        <v>5867</v>
      </c>
      <c r="N253" s="499">
        <v>18</v>
      </c>
      <c r="O253" s="480" t="s">
        <v>4010</v>
      </c>
      <c r="P253" s="515">
        <v>25</v>
      </c>
      <c r="Q253" s="485" t="s">
        <v>5349</v>
      </c>
      <c r="R253" s="485" t="s">
        <v>5458</v>
      </c>
      <c r="S253" s="485" t="s">
        <v>689</v>
      </c>
      <c r="T253" s="485" t="s">
        <v>5459</v>
      </c>
      <c r="U253" s="485" t="s">
        <v>5460</v>
      </c>
      <c r="V253" s="485">
        <v>82</v>
      </c>
      <c r="W253" s="485" t="s">
        <v>5461</v>
      </c>
      <c r="X253" s="485">
        <v>16</v>
      </c>
      <c r="Y253" s="485" t="s">
        <v>5370</v>
      </c>
      <c r="Z253" s="486">
        <v>25000000</v>
      </c>
      <c r="AA253" s="486">
        <v>0</v>
      </c>
      <c r="AB253" s="486">
        <v>0</v>
      </c>
      <c r="AC253" s="486">
        <v>0</v>
      </c>
      <c r="AD253" s="486">
        <v>0</v>
      </c>
      <c r="AE253" s="486">
        <v>0</v>
      </c>
      <c r="AF253" s="486">
        <v>0</v>
      </c>
      <c r="AG253" s="486">
        <v>0</v>
      </c>
      <c r="AH253" s="487">
        <v>25000000</v>
      </c>
      <c r="AI253" s="486">
        <v>0</v>
      </c>
      <c r="AJ253" s="486">
        <v>0</v>
      </c>
      <c r="AK253" s="486">
        <v>0</v>
      </c>
      <c r="AL253" s="488">
        <v>0</v>
      </c>
      <c r="AM253" s="489">
        <v>25000000</v>
      </c>
      <c r="AN253" s="486">
        <v>26000000</v>
      </c>
      <c r="AO253" s="486">
        <v>0</v>
      </c>
      <c r="AP253" s="486">
        <v>0</v>
      </c>
      <c r="AQ253" s="486">
        <v>0</v>
      </c>
      <c r="AR253" s="486">
        <v>0</v>
      </c>
      <c r="AS253" s="486">
        <v>0</v>
      </c>
      <c r="AT253" s="486">
        <v>0</v>
      </c>
      <c r="AU253" s="486">
        <v>0</v>
      </c>
      <c r="AV253" s="487">
        <v>26000000</v>
      </c>
      <c r="AW253" s="486">
        <v>0</v>
      </c>
      <c r="AX253" s="486">
        <v>0</v>
      </c>
      <c r="AY253" s="486">
        <v>0</v>
      </c>
      <c r="AZ253" s="488">
        <v>0</v>
      </c>
      <c r="BA253" s="490">
        <v>26000000</v>
      </c>
      <c r="BB253" s="486">
        <v>27040000</v>
      </c>
      <c r="BC253" s="486">
        <v>0</v>
      </c>
      <c r="BD253" s="486">
        <v>0</v>
      </c>
      <c r="BE253" s="486">
        <v>0</v>
      </c>
      <c r="BF253" s="486">
        <v>0</v>
      </c>
      <c r="BG253" s="486">
        <v>0</v>
      </c>
      <c r="BH253" s="486">
        <v>0</v>
      </c>
      <c r="BI253" s="486">
        <v>0</v>
      </c>
      <c r="BJ253" s="487">
        <v>27040000</v>
      </c>
      <c r="BK253" s="486">
        <v>0</v>
      </c>
      <c r="BL253" s="486">
        <v>0</v>
      </c>
      <c r="BM253" s="486">
        <v>0</v>
      </c>
      <c r="BN253" s="488">
        <v>0</v>
      </c>
      <c r="BO253" s="490">
        <v>27040000</v>
      </c>
      <c r="BP253" s="486">
        <v>28121600</v>
      </c>
      <c r="BQ253" s="486">
        <v>0</v>
      </c>
      <c r="BR253" s="486">
        <v>0</v>
      </c>
      <c r="BS253" s="486">
        <v>0</v>
      </c>
      <c r="BT253" s="486">
        <v>0</v>
      </c>
      <c r="BU253" s="486">
        <v>0</v>
      </c>
      <c r="BV253" s="486">
        <v>0</v>
      </c>
      <c r="BW253" s="486">
        <v>0</v>
      </c>
      <c r="BX253" s="487">
        <v>28121600</v>
      </c>
      <c r="BY253" s="486">
        <v>0</v>
      </c>
      <c r="BZ253" s="486">
        <v>0</v>
      </c>
      <c r="CA253" s="486">
        <v>0</v>
      </c>
      <c r="CB253" s="488">
        <v>0</v>
      </c>
      <c r="CC253" s="491">
        <v>28121600</v>
      </c>
      <c r="CD253" s="492">
        <v>106161600</v>
      </c>
      <c r="CE253" s="493">
        <f t="shared" si="17"/>
        <v>106161600</v>
      </c>
      <c r="CF253" s="493">
        <f t="shared" si="17"/>
        <v>0</v>
      </c>
      <c r="CG253" s="493">
        <f t="shared" si="17"/>
        <v>0</v>
      </c>
      <c r="CH253" s="493">
        <f t="shared" si="17"/>
        <v>0</v>
      </c>
      <c r="CI253" s="493">
        <f t="shared" si="17"/>
        <v>0</v>
      </c>
      <c r="CJ253" s="493">
        <f t="shared" si="17"/>
        <v>0</v>
      </c>
      <c r="CK253" s="493">
        <f t="shared" si="17"/>
        <v>0</v>
      </c>
      <c r="CL253" s="493">
        <f t="shared" si="17"/>
        <v>0</v>
      </c>
      <c r="CM253" s="493">
        <f t="shared" si="16"/>
        <v>0</v>
      </c>
      <c r="CN253" s="493">
        <f t="shared" si="16"/>
        <v>0</v>
      </c>
      <c r="CO253" s="493">
        <f t="shared" si="16"/>
        <v>0</v>
      </c>
    </row>
    <row r="254" spans="1:93" ht="30.45" hidden="1" customHeight="1">
      <c r="A254" s="555" t="s">
        <v>4011</v>
      </c>
      <c r="B254" s="479">
        <v>252</v>
      </c>
      <c r="C254" s="480" t="s">
        <v>4255</v>
      </c>
      <c r="D254" s="480" t="s">
        <v>4507</v>
      </c>
      <c r="E254" s="480" t="str">
        <f t="shared" si="15"/>
        <v xml:space="preserve">2.6.2 </v>
      </c>
      <c r="F254" s="480" t="s">
        <v>4516</v>
      </c>
      <c r="G254" s="480" t="s">
        <v>4517</v>
      </c>
      <c r="H254" s="481">
        <v>45</v>
      </c>
      <c r="I254" s="480" t="s">
        <v>4180</v>
      </c>
      <c r="J254" s="495">
        <v>459903600</v>
      </c>
      <c r="K254" s="480" t="s">
        <v>4094</v>
      </c>
      <c r="L254" s="480" t="s">
        <v>4521</v>
      </c>
      <c r="M254" s="480" t="s">
        <v>5868</v>
      </c>
      <c r="N254" s="499">
        <v>1</v>
      </c>
      <c r="O254" s="480" t="s">
        <v>4010</v>
      </c>
      <c r="P254" s="515">
        <v>1</v>
      </c>
      <c r="Q254" s="485" t="s">
        <v>5349</v>
      </c>
      <c r="R254" s="485" t="s">
        <v>5458</v>
      </c>
      <c r="S254" s="485" t="s">
        <v>689</v>
      </c>
      <c r="T254" s="485" t="s">
        <v>5459</v>
      </c>
      <c r="U254" s="485" t="s">
        <v>5460</v>
      </c>
      <c r="V254" s="485">
        <v>82</v>
      </c>
      <c r="W254" s="485" t="s">
        <v>5461</v>
      </c>
      <c r="X254" s="485">
        <v>16</v>
      </c>
      <c r="Y254" s="485" t="s">
        <v>5370</v>
      </c>
      <c r="Z254" s="486">
        <v>50000000</v>
      </c>
      <c r="AA254" s="486">
        <v>0</v>
      </c>
      <c r="AB254" s="486">
        <v>0</v>
      </c>
      <c r="AC254" s="486">
        <v>0</v>
      </c>
      <c r="AD254" s="486">
        <v>0</v>
      </c>
      <c r="AE254" s="486">
        <v>0</v>
      </c>
      <c r="AF254" s="486">
        <v>0</v>
      </c>
      <c r="AG254" s="486">
        <v>0</v>
      </c>
      <c r="AH254" s="487">
        <v>50000000</v>
      </c>
      <c r="AI254" s="486">
        <v>500000000</v>
      </c>
      <c r="AJ254" s="486">
        <v>0</v>
      </c>
      <c r="AK254" s="486">
        <v>0</v>
      </c>
      <c r="AL254" s="488">
        <v>500000000</v>
      </c>
      <c r="AM254" s="489">
        <v>550000000</v>
      </c>
      <c r="AN254" s="486">
        <v>52000000</v>
      </c>
      <c r="AO254" s="486">
        <v>0</v>
      </c>
      <c r="AP254" s="486">
        <v>0</v>
      </c>
      <c r="AQ254" s="486">
        <v>0</v>
      </c>
      <c r="AR254" s="486">
        <v>0</v>
      </c>
      <c r="AS254" s="486">
        <v>0</v>
      </c>
      <c r="AT254" s="486">
        <v>0</v>
      </c>
      <c r="AU254" s="486">
        <v>0</v>
      </c>
      <c r="AV254" s="487">
        <v>52000000</v>
      </c>
      <c r="AW254" s="486">
        <v>500000000</v>
      </c>
      <c r="AX254" s="486">
        <v>0</v>
      </c>
      <c r="AY254" s="486">
        <v>0</v>
      </c>
      <c r="AZ254" s="488">
        <v>500000000</v>
      </c>
      <c r="BA254" s="490">
        <v>552000000</v>
      </c>
      <c r="BB254" s="486">
        <v>54080000</v>
      </c>
      <c r="BC254" s="486">
        <v>0</v>
      </c>
      <c r="BD254" s="486">
        <v>0</v>
      </c>
      <c r="BE254" s="486">
        <v>0</v>
      </c>
      <c r="BF254" s="486">
        <v>0</v>
      </c>
      <c r="BG254" s="486">
        <v>0</v>
      </c>
      <c r="BH254" s="486">
        <v>0</v>
      </c>
      <c r="BI254" s="486">
        <v>0</v>
      </c>
      <c r="BJ254" s="487">
        <v>54080000</v>
      </c>
      <c r="BK254" s="486">
        <v>500000000</v>
      </c>
      <c r="BL254" s="486">
        <v>0</v>
      </c>
      <c r="BM254" s="486">
        <v>0</v>
      </c>
      <c r="BN254" s="488">
        <v>500000000</v>
      </c>
      <c r="BO254" s="490">
        <v>554080000</v>
      </c>
      <c r="BP254" s="486">
        <v>56243200</v>
      </c>
      <c r="BQ254" s="486">
        <v>0</v>
      </c>
      <c r="BR254" s="486">
        <v>0</v>
      </c>
      <c r="BS254" s="486">
        <v>0</v>
      </c>
      <c r="BT254" s="486">
        <v>0</v>
      </c>
      <c r="BU254" s="486">
        <v>0</v>
      </c>
      <c r="BV254" s="486">
        <v>0</v>
      </c>
      <c r="BW254" s="486">
        <v>0</v>
      </c>
      <c r="BX254" s="487">
        <v>56243200</v>
      </c>
      <c r="BY254" s="486">
        <v>500000000</v>
      </c>
      <c r="BZ254" s="486">
        <v>0</v>
      </c>
      <c r="CA254" s="486">
        <v>0</v>
      </c>
      <c r="CB254" s="488">
        <v>500000000</v>
      </c>
      <c r="CC254" s="491">
        <v>556243200</v>
      </c>
      <c r="CD254" s="492">
        <v>2212323200</v>
      </c>
      <c r="CE254" s="493">
        <f t="shared" si="17"/>
        <v>212323200</v>
      </c>
      <c r="CF254" s="493">
        <f t="shared" si="17"/>
        <v>0</v>
      </c>
      <c r="CG254" s="493">
        <f t="shared" si="17"/>
        <v>0</v>
      </c>
      <c r="CH254" s="493">
        <f t="shared" si="17"/>
        <v>0</v>
      </c>
      <c r="CI254" s="493">
        <f t="shared" si="17"/>
        <v>0</v>
      </c>
      <c r="CJ254" s="493">
        <f t="shared" si="17"/>
        <v>0</v>
      </c>
      <c r="CK254" s="493">
        <f t="shared" si="17"/>
        <v>0</v>
      </c>
      <c r="CL254" s="493">
        <f t="shared" si="17"/>
        <v>0</v>
      </c>
      <c r="CM254" s="493">
        <f t="shared" si="16"/>
        <v>2000000000</v>
      </c>
      <c r="CN254" s="493">
        <f t="shared" si="16"/>
        <v>0</v>
      </c>
      <c r="CO254" s="493">
        <f t="shared" si="16"/>
        <v>0</v>
      </c>
    </row>
    <row r="255" spans="1:93" ht="30.45" hidden="1" customHeight="1">
      <c r="A255" s="555" t="s">
        <v>4011</v>
      </c>
      <c r="B255" s="479">
        <v>253</v>
      </c>
      <c r="C255" s="480" t="s">
        <v>4255</v>
      </c>
      <c r="D255" s="480" t="s">
        <v>4507</v>
      </c>
      <c r="E255" s="480" t="str">
        <f t="shared" si="15"/>
        <v xml:space="preserve">2.6.2 </v>
      </c>
      <c r="F255" s="480" t="s">
        <v>4516</v>
      </c>
      <c r="G255" s="480" t="s">
        <v>4517</v>
      </c>
      <c r="H255" s="481">
        <v>45</v>
      </c>
      <c r="I255" s="480" t="s">
        <v>4180</v>
      </c>
      <c r="J255" s="495">
        <v>459902900</v>
      </c>
      <c r="K255" s="480" t="s">
        <v>4504</v>
      </c>
      <c r="L255" s="480" t="s">
        <v>4505</v>
      </c>
      <c r="M255" s="480" t="s">
        <v>5869</v>
      </c>
      <c r="N255" s="499">
        <v>2</v>
      </c>
      <c r="O255" s="480" t="s">
        <v>4010</v>
      </c>
      <c r="P255" s="515">
        <v>3</v>
      </c>
      <c r="Q255" s="485" t="s">
        <v>5349</v>
      </c>
      <c r="R255" s="485" t="s">
        <v>5458</v>
      </c>
      <c r="S255" s="485" t="s">
        <v>689</v>
      </c>
      <c r="T255" s="485" t="s">
        <v>5459</v>
      </c>
      <c r="U255" s="485" t="s">
        <v>5460</v>
      </c>
      <c r="V255" s="485">
        <v>82</v>
      </c>
      <c r="W255" s="485" t="s">
        <v>5461</v>
      </c>
      <c r="X255" s="485">
        <v>16</v>
      </c>
      <c r="Y255" s="485" t="s">
        <v>5370</v>
      </c>
      <c r="Z255" s="486">
        <v>108700000</v>
      </c>
      <c r="AA255" s="486">
        <v>0</v>
      </c>
      <c r="AB255" s="486">
        <v>0</v>
      </c>
      <c r="AC255" s="486">
        <v>0</v>
      </c>
      <c r="AD255" s="486">
        <v>0</v>
      </c>
      <c r="AE255" s="486">
        <v>0</v>
      </c>
      <c r="AF255" s="486">
        <v>0</v>
      </c>
      <c r="AG255" s="486">
        <v>0</v>
      </c>
      <c r="AH255" s="487">
        <v>108700000</v>
      </c>
      <c r="AI255" s="486">
        <v>750000000</v>
      </c>
      <c r="AJ255" s="486">
        <v>0</v>
      </c>
      <c r="AK255" s="486">
        <v>0</v>
      </c>
      <c r="AL255" s="488">
        <v>750000000</v>
      </c>
      <c r="AM255" s="489">
        <v>858700000</v>
      </c>
      <c r="AN255" s="486">
        <v>113048000</v>
      </c>
      <c r="AO255" s="486">
        <v>0</v>
      </c>
      <c r="AP255" s="486">
        <v>0</v>
      </c>
      <c r="AQ255" s="486">
        <v>0</v>
      </c>
      <c r="AR255" s="486">
        <v>0</v>
      </c>
      <c r="AS255" s="486">
        <v>0</v>
      </c>
      <c r="AT255" s="486">
        <v>0</v>
      </c>
      <c r="AU255" s="486">
        <v>0</v>
      </c>
      <c r="AV255" s="487">
        <v>113048000</v>
      </c>
      <c r="AW255" s="486">
        <v>750000000</v>
      </c>
      <c r="AX255" s="486">
        <v>0</v>
      </c>
      <c r="AY255" s="486">
        <v>0</v>
      </c>
      <c r="AZ255" s="488">
        <v>750000000</v>
      </c>
      <c r="BA255" s="490">
        <v>863048000</v>
      </c>
      <c r="BB255" s="486">
        <v>117569920</v>
      </c>
      <c r="BC255" s="486">
        <v>0</v>
      </c>
      <c r="BD255" s="486">
        <v>0</v>
      </c>
      <c r="BE255" s="486">
        <v>0</v>
      </c>
      <c r="BF255" s="486">
        <v>0</v>
      </c>
      <c r="BG255" s="486">
        <v>0</v>
      </c>
      <c r="BH255" s="486">
        <v>0</v>
      </c>
      <c r="BI255" s="486">
        <v>0</v>
      </c>
      <c r="BJ255" s="487">
        <v>117569920</v>
      </c>
      <c r="BK255" s="486">
        <v>750000000</v>
      </c>
      <c r="BL255" s="486">
        <v>0</v>
      </c>
      <c r="BM255" s="486">
        <v>0</v>
      </c>
      <c r="BN255" s="488">
        <v>750000000</v>
      </c>
      <c r="BO255" s="490">
        <v>867569920</v>
      </c>
      <c r="BP255" s="486">
        <v>122272716</v>
      </c>
      <c r="BQ255" s="486">
        <v>0</v>
      </c>
      <c r="BR255" s="486">
        <v>0</v>
      </c>
      <c r="BS255" s="486">
        <v>0</v>
      </c>
      <c r="BT255" s="486">
        <v>0</v>
      </c>
      <c r="BU255" s="486">
        <v>0</v>
      </c>
      <c r="BV255" s="486">
        <v>0</v>
      </c>
      <c r="BW255" s="486">
        <v>0</v>
      </c>
      <c r="BX255" s="487">
        <v>122272716</v>
      </c>
      <c r="BY255" s="486">
        <v>750000000</v>
      </c>
      <c r="BZ255" s="486">
        <v>0</v>
      </c>
      <c r="CA255" s="486">
        <v>0</v>
      </c>
      <c r="CB255" s="488">
        <v>750000000</v>
      </c>
      <c r="CC255" s="491">
        <v>872272716</v>
      </c>
      <c r="CD255" s="492">
        <v>3461590636</v>
      </c>
      <c r="CE255" s="493">
        <f t="shared" si="17"/>
        <v>461590636</v>
      </c>
      <c r="CF255" s="493">
        <f t="shared" si="17"/>
        <v>0</v>
      </c>
      <c r="CG255" s="493">
        <f t="shared" si="17"/>
        <v>0</v>
      </c>
      <c r="CH255" s="493">
        <f t="shared" si="17"/>
        <v>0</v>
      </c>
      <c r="CI255" s="493">
        <f t="shared" si="17"/>
        <v>0</v>
      </c>
      <c r="CJ255" s="493">
        <f t="shared" si="17"/>
        <v>0</v>
      </c>
      <c r="CK255" s="493">
        <f t="shared" si="17"/>
        <v>0</v>
      </c>
      <c r="CL255" s="493">
        <f t="shared" si="17"/>
        <v>0</v>
      </c>
      <c r="CM255" s="493">
        <f t="shared" si="16"/>
        <v>3000000000</v>
      </c>
      <c r="CN255" s="493">
        <f t="shared" si="16"/>
        <v>0</v>
      </c>
      <c r="CO255" s="493">
        <f t="shared" si="16"/>
        <v>0</v>
      </c>
    </row>
    <row r="256" spans="1:93" ht="30.45" hidden="1" customHeight="1">
      <c r="A256" s="555" t="s">
        <v>4011</v>
      </c>
      <c r="B256" s="479">
        <v>254</v>
      </c>
      <c r="C256" s="480" t="s">
        <v>4255</v>
      </c>
      <c r="D256" s="480" t="s">
        <v>4507</v>
      </c>
      <c r="E256" s="480" t="str">
        <f t="shared" si="15"/>
        <v xml:space="preserve">2.6.2 </v>
      </c>
      <c r="F256" s="480" t="s">
        <v>4516</v>
      </c>
      <c r="G256" s="480" t="s">
        <v>4517</v>
      </c>
      <c r="H256" s="481">
        <v>45</v>
      </c>
      <c r="I256" s="480" t="s">
        <v>4180</v>
      </c>
      <c r="J256" s="495">
        <v>459900700</v>
      </c>
      <c r="K256" s="480" t="s">
        <v>4522</v>
      </c>
      <c r="L256" s="480" t="s">
        <v>4523</v>
      </c>
      <c r="M256" s="480" t="s">
        <v>5870</v>
      </c>
      <c r="N256" s="499">
        <v>68</v>
      </c>
      <c r="O256" s="480" t="s">
        <v>4010</v>
      </c>
      <c r="P256" s="515">
        <v>75</v>
      </c>
      <c r="Q256" s="485" t="s">
        <v>5349</v>
      </c>
      <c r="R256" s="485" t="s">
        <v>5458</v>
      </c>
      <c r="S256" s="485" t="s">
        <v>689</v>
      </c>
      <c r="T256" s="485" t="s">
        <v>5459</v>
      </c>
      <c r="U256" s="485" t="s">
        <v>5460</v>
      </c>
      <c r="V256" s="485">
        <v>82</v>
      </c>
      <c r="W256" s="485" t="s">
        <v>5461</v>
      </c>
      <c r="X256" s="485">
        <v>16</v>
      </c>
      <c r="Y256" s="485" t="s">
        <v>5370</v>
      </c>
      <c r="Z256" s="486">
        <v>25000000</v>
      </c>
      <c r="AA256" s="486">
        <v>0</v>
      </c>
      <c r="AB256" s="486">
        <v>0</v>
      </c>
      <c r="AC256" s="486">
        <v>0</v>
      </c>
      <c r="AD256" s="486">
        <v>0</v>
      </c>
      <c r="AE256" s="486">
        <v>0</v>
      </c>
      <c r="AF256" s="486">
        <v>0</v>
      </c>
      <c r="AG256" s="486">
        <v>0</v>
      </c>
      <c r="AH256" s="487">
        <v>25000000</v>
      </c>
      <c r="AI256" s="486">
        <v>100000000</v>
      </c>
      <c r="AJ256" s="486">
        <v>0</v>
      </c>
      <c r="AK256" s="486">
        <v>0</v>
      </c>
      <c r="AL256" s="488">
        <v>100000000</v>
      </c>
      <c r="AM256" s="489">
        <v>125000000</v>
      </c>
      <c r="AN256" s="486">
        <v>26000000</v>
      </c>
      <c r="AO256" s="486">
        <v>0</v>
      </c>
      <c r="AP256" s="486">
        <v>0</v>
      </c>
      <c r="AQ256" s="486">
        <v>0</v>
      </c>
      <c r="AR256" s="486">
        <v>0</v>
      </c>
      <c r="AS256" s="486">
        <v>0</v>
      </c>
      <c r="AT256" s="486">
        <v>0</v>
      </c>
      <c r="AU256" s="486">
        <v>0</v>
      </c>
      <c r="AV256" s="487">
        <v>26000000</v>
      </c>
      <c r="AW256" s="486">
        <v>100000000</v>
      </c>
      <c r="AX256" s="486">
        <v>0</v>
      </c>
      <c r="AY256" s="486">
        <v>0</v>
      </c>
      <c r="AZ256" s="488">
        <v>100000000</v>
      </c>
      <c r="BA256" s="490">
        <v>126000000</v>
      </c>
      <c r="BB256" s="486">
        <v>27040000</v>
      </c>
      <c r="BC256" s="486">
        <v>0</v>
      </c>
      <c r="BD256" s="486">
        <v>0</v>
      </c>
      <c r="BE256" s="486">
        <v>0</v>
      </c>
      <c r="BF256" s="486">
        <v>0</v>
      </c>
      <c r="BG256" s="486">
        <v>0</v>
      </c>
      <c r="BH256" s="486">
        <v>0</v>
      </c>
      <c r="BI256" s="486">
        <v>0</v>
      </c>
      <c r="BJ256" s="487">
        <v>27040000</v>
      </c>
      <c r="BK256" s="486">
        <v>100000000</v>
      </c>
      <c r="BL256" s="486">
        <v>0</v>
      </c>
      <c r="BM256" s="486">
        <v>0</v>
      </c>
      <c r="BN256" s="488">
        <v>100000000</v>
      </c>
      <c r="BO256" s="490">
        <v>127040000</v>
      </c>
      <c r="BP256" s="486">
        <v>28121600</v>
      </c>
      <c r="BQ256" s="486">
        <v>0</v>
      </c>
      <c r="BR256" s="486">
        <v>0</v>
      </c>
      <c r="BS256" s="486">
        <v>0</v>
      </c>
      <c r="BT256" s="486">
        <v>0</v>
      </c>
      <c r="BU256" s="486">
        <v>0</v>
      </c>
      <c r="BV256" s="486">
        <v>0</v>
      </c>
      <c r="BW256" s="486">
        <v>0</v>
      </c>
      <c r="BX256" s="487">
        <v>28121600</v>
      </c>
      <c r="BY256" s="486">
        <v>100000000</v>
      </c>
      <c r="BZ256" s="486">
        <v>0</v>
      </c>
      <c r="CA256" s="486">
        <v>0</v>
      </c>
      <c r="CB256" s="488">
        <v>100000000</v>
      </c>
      <c r="CC256" s="491">
        <v>128121600</v>
      </c>
      <c r="CD256" s="492">
        <v>506161600</v>
      </c>
      <c r="CE256" s="493">
        <f t="shared" si="17"/>
        <v>106161600</v>
      </c>
      <c r="CF256" s="493">
        <f t="shared" si="17"/>
        <v>0</v>
      </c>
      <c r="CG256" s="493">
        <f t="shared" si="17"/>
        <v>0</v>
      </c>
      <c r="CH256" s="493">
        <f t="shared" si="17"/>
        <v>0</v>
      </c>
      <c r="CI256" s="493">
        <f t="shared" si="17"/>
        <v>0</v>
      </c>
      <c r="CJ256" s="493">
        <f t="shared" si="17"/>
        <v>0</v>
      </c>
      <c r="CK256" s="493">
        <f t="shared" si="17"/>
        <v>0</v>
      </c>
      <c r="CL256" s="493">
        <f t="shared" si="17"/>
        <v>0</v>
      </c>
      <c r="CM256" s="493">
        <f t="shared" si="16"/>
        <v>400000000</v>
      </c>
      <c r="CN256" s="493">
        <f t="shared" si="16"/>
        <v>0</v>
      </c>
      <c r="CO256" s="493">
        <f t="shared" si="16"/>
        <v>0</v>
      </c>
    </row>
    <row r="257" spans="1:93" ht="30.45" hidden="1" customHeight="1">
      <c r="A257" s="555" t="s">
        <v>4011</v>
      </c>
      <c r="B257" s="479">
        <v>255</v>
      </c>
      <c r="C257" s="480" t="s">
        <v>4255</v>
      </c>
      <c r="D257" s="480" t="s">
        <v>4507</v>
      </c>
      <c r="E257" s="480" t="str">
        <f t="shared" si="15"/>
        <v xml:space="preserve">2.6.2 </v>
      </c>
      <c r="F257" s="480" t="s">
        <v>4516</v>
      </c>
      <c r="G257" s="480" t="s">
        <v>4517</v>
      </c>
      <c r="H257" s="481">
        <v>45</v>
      </c>
      <c r="I257" s="480" t="s">
        <v>4180</v>
      </c>
      <c r="J257" s="495">
        <v>459902802</v>
      </c>
      <c r="K257" s="480" t="s">
        <v>4181</v>
      </c>
      <c r="L257" s="480" t="s">
        <v>4524</v>
      </c>
      <c r="M257" s="480" t="s">
        <v>5871</v>
      </c>
      <c r="N257" s="499">
        <v>12</v>
      </c>
      <c r="O257" s="480" t="s">
        <v>4010</v>
      </c>
      <c r="P257" s="515">
        <v>20</v>
      </c>
      <c r="Q257" s="485" t="s">
        <v>5349</v>
      </c>
      <c r="R257" s="485" t="s">
        <v>5458</v>
      </c>
      <c r="S257" s="485" t="s">
        <v>689</v>
      </c>
      <c r="T257" s="485" t="s">
        <v>5459</v>
      </c>
      <c r="U257" s="485" t="s">
        <v>5460</v>
      </c>
      <c r="V257" s="485">
        <v>82</v>
      </c>
      <c r="W257" s="485" t="s">
        <v>5461</v>
      </c>
      <c r="X257" s="485">
        <v>16</v>
      </c>
      <c r="Y257" s="485" t="s">
        <v>5370</v>
      </c>
      <c r="Z257" s="486">
        <v>50000000</v>
      </c>
      <c r="AA257" s="486">
        <v>0</v>
      </c>
      <c r="AB257" s="486">
        <v>0</v>
      </c>
      <c r="AC257" s="486">
        <v>0</v>
      </c>
      <c r="AD257" s="486">
        <v>0</v>
      </c>
      <c r="AE257" s="486">
        <v>0</v>
      </c>
      <c r="AF257" s="486">
        <v>0</v>
      </c>
      <c r="AG257" s="486">
        <v>0</v>
      </c>
      <c r="AH257" s="487">
        <v>50000000</v>
      </c>
      <c r="AI257" s="486">
        <v>0</v>
      </c>
      <c r="AJ257" s="486">
        <v>0</v>
      </c>
      <c r="AK257" s="486">
        <v>0</v>
      </c>
      <c r="AL257" s="488">
        <v>0</v>
      </c>
      <c r="AM257" s="489">
        <v>50000000</v>
      </c>
      <c r="AN257" s="486">
        <v>52000000</v>
      </c>
      <c r="AO257" s="486">
        <v>0</v>
      </c>
      <c r="AP257" s="486">
        <v>0</v>
      </c>
      <c r="AQ257" s="486">
        <v>0</v>
      </c>
      <c r="AR257" s="486">
        <v>0</v>
      </c>
      <c r="AS257" s="486">
        <v>0</v>
      </c>
      <c r="AT257" s="486">
        <v>0</v>
      </c>
      <c r="AU257" s="486">
        <v>0</v>
      </c>
      <c r="AV257" s="487">
        <v>52000000</v>
      </c>
      <c r="AW257" s="486">
        <v>0</v>
      </c>
      <c r="AX257" s="486">
        <v>0</v>
      </c>
      <c r="AY257" s="486">
        <v>0</v>
      </c>
      <c r="AZ257" s="488">
        <v>0</v>
      </c>
      <c r="BA257" s="490">
        <v>52000000</v>
      </c>
      <c r="BB257" s="486">
        <v>54080000</v>
      </c>
      <c r="BC257" s="486">
        <v>0</v>
      </c>
      <c r="BD257" s="486">
        <v>0</v>
      </c>
      <c r="BE257" s="486">
        <v>0</v>
      </c>
      <c r="BF257" s="486">
        <v>0</v>
      </c>
      <c r="BG257" s="486">
        <v>0</v>
      </c>
      <c r="BH257" s="486">
        <v>0</v>
      </c>
      <c r="BI257" s="486">
        <v>0</v>
      </c>
      <c r="BJ257" s="487">
        <v>54080000</v>
      </c>
      <c r="BK257" s="486">
        <v>0</v>
      </c>
      <c r="BL257" s="486">
        <v>0</v>
      </c>
      <c r="BM257" s="486">
        <v>0</v>
      </c>
      <c r="BN257" s="488">
        <v>0</v>
      </c>
      <c r="BO257" s="490">
        <v>54080000</v>
      </c>
      <c r="BP257" s="486">
        <v>56243200</v>
      </c>
      <c r="BQ257" s="486">
        <v>0</v>
      </c>
      <c r="BR257" s="486">
        <v>0</v>
      </c>
      <c r="BS257" s="486">
        <v>0</v>
      </c>
      <c r="BT257" s="486">
        <v>0</v>
      </c>
      <c r="BU257" s="486">
        <v>0</v>
      </c>
      <c r="BV257" s="486">
        <v>0</v>
      </c>
      <c r="BW257" s="486">
        <v>0</v>
      </c>
      <c r="BX257" s="487">
        <v>56243200</v>
      </c>
      <c r="BY257" s="486">
        <v>0</v>
      </c>
      <c r="BZ257" s="486">
        <v>0</v>
      </c>
      <c r="CA257" s="486">
        <v>0</v>
      </c>
      <c r="CB257" s="488">
        <v>0</v>
      </c>
      <c r="CC257" s="491">
        <v>56243200</v>
      </c>
      <c r="CD257" s="492">
        <v>212323200</v>
      </c>
      <c r="CE257" s="493">
        <f t="shared" si="17"/>
        <v>212323200</v>
      </c>
      <c r="CF257" s="493">
        <f t="shared" si="17"/>
        <v>0</v>
      </c>
      <c r="CG257" s="493">
        <f t="shared" si="17"/>
        <v>0</v>
      </c>
      <c r="CH257" s="493">
        <f t="shared" si="17"/>
        <v>0</v>
      </c>
      <c r="CI257" s="493">
        <f t="shared" si="17"/>
        <v>0</v>
      </c>
      <c r="CJ257" s="493">
        <f t="shared" si="17"/>
        <v>0</v>
      </c>
      <c r="CK257" s="493">
        <f t="shared" si="17"/>
        <v>0</v>
      </c>
      <c r="CL257" s="493">
        <f t="shared" si="17"/>
        <v>0</v>
      </c>
      <c r="CM257" s="493">
        <f t="shared" si="16"/>
        <v>0</v>
      </c>
      <c r="CN257" s="493">
        <f t="shared" si="16"/>
        <v>0</v>
      </c>
      <c r="CO257" s="493">
        <f t="shared" si="16"/>
        <v>0</v>
      </c>
    </row>
    <row r="258" spans="1:93" ht="30.45" hidden="1" customHeight="1">
      <c r="A258" s="555" t="s">
        <v>4011</v>
      </c>
      <c r="B258" s="479">
        <v>256</v>
      </c>
      <c r="C258" s="480" t="s">
        <v>4255</v>
      </c>
      <c r="D258" s="480" t="s">
        <v>4507</v>
      </c>
      <c r="E258" s="480" t="str">
        <f t="shared" si="15"/>
        <v xml:space="preserve">2.6.2 </v>
      </c>
      <c r="F258" s="480" t="s">
        <v>4516</v>
      </c>
      <c r="G258" s="480" t="s">
        <v>4517</v>
      </c>
      <c r="H258" s="481">
        <v>23</v>
      </c>
      <c r="I258" s="480" t="s">
        <v>4007</v>
      </c>
      <c r="J258" s="495">
        <v>459903100</v>
      </c>
      <c r="K258" s="480" t="s">
        <v>4215</v>
      </c>
      <c r="L258" s="480" t="s">
        <v>4525</v>
      </c>
      <c r="M258" s="480" t="s">
        <v>5872</v>
      </c>
      <c r="N258" s="499">
        <v>17</v>
      </c>
      <c r="O258" s="480" t="s">
        <v>4010</v>
      </c>
      <c r="P258" s="515">
        <v>30</v>
      </c>
      <c r="Q258" s="485" t="s">
        <v>5349</v>
      </c>
      <c r="R258" s="485" t="s">
        <v>5458</v>
      </c>
      <c r="S258" s="485" t="s">
        <v>689</v>
      </c>
      <c r="T258" s="485" t="s">
        <v>5459</v>
      </c>
      <c r="U258" s="485" t="s">
        <v>5460</v>
      </c>
      <c r="V258" s="485">
        <v>82</v>
      </c>
      <c r="W258" s="485" t="s">
        <v>5461</v>
      </c>
      <c r="X258" s="485">
        <v>16</v>
      </c>
      <c r="Y258" s="485" t="s">
        <v>5370</v>
      </c>
      <c r="Z258" s="486">
        <v>100000000</v>
      </c>
      <c r="AA258" s="486">
        <v>0</v>
      </c>
      <c r="AB258" s="486">
        <v>0</v>
      </c>
      <c r="AC258" s="486">
        <v>0</v>
      </c>
      <c r="AD258" s="486">
        <v>0</v>
      </c>
      <c r="AE258" s="486">
        <v>0</v>
      </c>
      <c r="AF258" s="486">
        <v>0</v>
      </c>
      <c r="AG258" s="486">
        <v>0</v>
      </c>
      <c r="AH258" s="487">
        <v>100000000</v>
      </c>
      <c r="AI258" s="486">
        <v>250000000</v>
      </c>
      <c r="AJ258" s="486">
        <v>0</v>
      </c>
      <c r="AK258" s="486">
        <v>0</v>
      </c>
      <c r="AL258" s="488">
        <v>250000000</v>
      </c>
      <c r="AM258" s="489">
        <v>350000000</v>
      </c>
      <c r="AN258" s="486">
        <v>104000000</v>
      </c>
      <c r="AO258" s="486">
        <v>0</v>
      </c>
      <c r="AP258" s="486">
        <v>0</v>
      </c>
      <c r="AQ258" s="486">
        <v>0</v>
      </c>
      <c r="AR258" s="486">
        <v>0</v>
      </c>
      <c r="AS258" s="486">
        <v>0</v>
      </c>
      <c r="AT258" s="486">
        <v>0</v>
      </c>
      <c r="AU258" s="486">
        <v>0</v>
      </c>
      <c r="AV258" s="487">
        <v>104000000</v>
      </c>
      <c r="AW258" s="486">
        <v>250000000</v>
      </c>
      <c r="AX258" s="486">
        <v>0</v>
      </c>
      <c r="AY258" s="486">
        <v>0</v>
      </c>
      <c r="AZ258" s="488">
        <v>250000000</v>
      </c>
      <c r="BA258" s="490">
        <v>354000000</v>
      </c>
      <c r="BB258" s="486">
        <v>108160000</v>
      </c>
      <c r="BC258" s="486">
        <v>0</v>
      </c>
      <c r="BD258" s="486">
        <v>0</v>
      </c>
      <c r="BE258" s="486">
        <v>0</v>
      </c>
      <c r="BF258" s="486">
        <v>0</v>
      </c>
      <c r="BG258" s="486">
        <v>0</v>
      </c>
      <c r="BH258" s="486">
        <v>0</v>
      </c>
      <c r="BI258" s="486">
        <v>0</v>
      </c>
      <c r="BJ258" s="487">
        <v>108160000</v>
      </c>
      <c r="BK258" s="486">
        <v>250000000</v>
      </c>
      <c r="BL258" s="486">
        <v>0</v>
      </c>
      <c r="BM258" s="486">
        <v>0</v>
      </c>
      <c r="BN258" s="488">
        <v>250000000</v>
      </c>
      <c r="BO258" s="490">
        <v>358160000</v>
      </c>
      <c r="BP258" s="486">
        <v>112486400</v>
      </c>
      <c r="BQ258" s="486">
        <v>0</v>
      </c>
      <c r="BR258" s="486">
        <v>0</v>
      </c>
      <c r="BS258" s="486">
        <v>0</v>
      </c>
      <c r="BT258" s="486">
        <v>0</v>
      </c>
      <c r="BU258" s="486">
        <v>0</v>
      </c>
      <c r="BV258" s="486">
        <v>0</v>
      </c>
      <c r="BW258" s="486">
        <v>0</v>
      </c>
      <c r="BX258" s="487">
        <v>112486400</v>
      </c>
      <c r="BY258" s="486">
        <v>250000000</v>
      </c>
      <c r="BZ258" s="486">
        <v>0</v>
      </c>
      <c r="CA258" s="486">
        <v>0</v>
      </c>
      <c r="CB258" s="488">
        <v>250000000</v>
      </c>
      <c r="CC258" s="491">
        <v>362486400</v>
      </c>
      <c r="CD258" s="492">
        <v>1424646400</v>
      </c>
      <c r="CE258" s="493">
        <f t="shared" si="17"/>
        <v>424646400</v>
      </c>
      <c r="CF258" s="493">
        <f t="shared" si="17"/>
        <v>0</v>
      </c>
      <c r="CG258" s="493">
        <f t="shared" si="17"/>
        <v>0</v>
      </c>
      <c r="CH258" s="493">
        <f t="shared" si="17"/>
        <v>0</v>
      </c>
      <c r="CI258" s="493">
        <f t="shared" si="17"/>
        <v>0</v>
      </c>
      <c r="CJ258" s="493">
        <f t="shared" si="17"/>
        <v>0</v>
      </c>
      <c r="CK258" s="493">
        <f t="shared" si="17"/>
        <v>0</v>
      </c>
      <c r="CL258" s="493">
        <f t="shared" si="17"/>
        <v>0</v>
      </c>
      <c r="CM258" s="493">
        <f t="shared" si="16"/>
        <v>1000000000</v>
      </c>
      <c r="CN258" s="493">
        <f t="shared" si="16"/>
        <v>0</v>
      </c>
      <c r="CO258" s="493">
        <f t="shared" si="16"/>
        <v>0</v>
      </c>
    </row>
    <row r="259" spans="1:93" ht="30.45" hidden="1" customHeight="1">
      <c r="A259" s="555" t="s">
        <v>4011</v>
      </c>
      <c r="B259" s="479">
        <v>257</v>
      </c>
      <c r="C259" s="480" t="s">
        <v>4255</v>
      </c>
      <c r="D259" s="480" t="s">
        <v>4507</v>
      </c>
      <c r="E259" s="480" t="str">
        <f t="shared" si="15"/>
        <v xml:space="preserve">2.6.2 </v>
      </c>
      <c r="F259" s="480" t="s">
        <v>4516</v>
      </c>
      <c r="G259" s="480" t="s">
        <v>4517</v>
      </c>
      <c r="H259" s="481">
        <v>45</v>
      </c>
      <c r="I259" s="480" t="s">
        <v>4180</v>
      </c>
      <c r="J259" s="495">
        <v>459902300</v>
      </c>
      <c r="K259" s="480" t="s">
        <v>4094</v>
      </c>
      <c r="L259" s="480" t="s">
        <v>4527</v>
      </c>
      <c r="M259" s="480" t="s">
        <v>5873</v>
      </c>
      <c r="N259" s="499" t="s">
        <v>244</v>
      </c>
      <c r="O259" s="480" t="s">
        <v>6522</v>
      </c>
      <c r="P259" s="515">
        <v>1</v>
      </c>
      <c r="Q259" s="485" t="s">
        <v>5349</v>
      </c>
      <c r="R259" s="485" t="s">
        <v>5458</v>
      </c>
      <c r="S259" s="485" t="s">
        <v>689</v>
      </c>
      <c r="T259" s="485" t="s">
        <v>5459</v>
      </c>
      <c r="U259" s="485" t="s">
        <v>5460</v>
      </c>
      <c r="V259" s="485">
        <v>82</v>
      </c>
      <c r="W259" s="485" t="s">
        <v>5461</v>
      </c>
      <c r="X259" s="485">
        <v>16</v>
      </c>
      <c r="Y259" s="485" t="s">
        <v>5370</v>
      </c>
      <c r="Z259" s="486">
        <v>50000000</v>
      </c>
      <c r="AA259" s="486">
        <v>0</v>
      </c>
      <c r="AB259" s="486">
        <v>0</v>
      </c>
      <c r="AC259" s="486">
        <v>0</v>
      </c>
      <c r="AD259" s="486">
        <v>0</v>
      </c>
      <c r="AE259" s="486">
        <v>0</v>
      </c>
      <c r="AF259" s="486">
        <v>0</v>
      </c>
      <c r="AG259" s="486">
        <v>0</v>
      </c>
      <c r="AH259" s="487">
        <v>50000000</v>
      </c>
      <c r="AI259" s="486">
        <v>750000000</v>
      </c>
      <c r="AJ259" s="486">
        <v>0</v>
      </c>
      <c r="AK259" s="486">
        <v>0</v>
      </c>
      <c r="AL259" s="488">
        <v>750000000</v>
      </c>
      <c r="AM259" s="489">
        <v>800000000</v>
      </c>
      <c r="AN259" s="486">
        <v>52000000</v>
      </c>
      <c r="AO259" s="486">
        <v>0</v>
      </c>
      <c r="AP259" s="486">
        <v>0</v>
      </c>
      <c r="AQ259" s="486">
        <v>0</v>
      </c>
      <c r="AR259" s="486">
        <v>0</v>
      </c>
      <c r="AS259" s="486">
        <v>0</v>
      </c>
      <c r="AT259" s="486">
        <v>0</v>
      </c>
      <c r="AU259" s="486">
        <v>0</v>
      </c>
      <c r="AV259" s="487">
        <v>52000000</v>
      </c>
      <c r="AW259" s="486">
        <v>750000000</v>
      </c>
      <c r="AX259" s="486">
        <v>0</v>
      </c>
      <c r="AY259" s="486">
        <v>0</v>
      </c>
      <c r="AZ259" s="488">
        <v>750000000</v>
      </c>
      <c r="BA259" s="490">
        <v>802000000</v>
      </c>
      <c r="BB259" s="486">
        <v>54080000</v>
      </c>
      <c r="BC259" s="486">
        <v>0</v>
      </c>
      <c r="BD259" s="486">
        <v>0</v>
      </c>
      <c r="BE259" s="486">
        <v>0</v>
      </c>
      <c r="BF259" s="486">
        <v>0</v>
      </c>
      <c r="BG259" s="486">
        <v>0</v>
      </c>
      <c r="BH259" s="486">
        <v>0</v>
      </c>
      <c r="BI259" s="486">
        <v>0</v>
      </c>
      <c r="BJ259" s="487">
        <v>54080000</v>
      </c>
      <c r="BK259" s="486">
        <v>750000000</v>
      </c>
      <c r="BL259" s="486">
        <v>0</v>
      </c>
      <c r="BM259" s="486">
        <v>0</v>
      </c>
      <c r="BN259" s="488">
        <v>750000000</v>
      </c>
      <c r="BO259" s="490">
        <v>804080000</v>
      </c>
      <c r="BP259" s="486">
        <v>56243200</v>
      </c>
      <c r="BQ259" s="486">
        <v>0</v>
      </c>
      <c r="BR259" s="486">
        <v>0</v>
      </c>
      <c r="BS259" s="486">
        <v>0</v>
      </c>
      <c r="BT259" s="486">
        <v>0</v>
      </c>
      <c r="BU259" s="486">
        <v>0</v>
      </c>
      <c r="BV259" s="486">
        <v>0</v>
      </c>
      <c r="BW259" s="486">
        <v>0</v>
      </c>
      <c r="BX259" s="487">
        <v>56243200</v>
      </c>
      <c r="BY259" s="486">
        <v>750000000</v>
      </c>
      <c r="BZ259" s="486">
        <v>0</v>
      </c>
      <c r="CA259" s="486">
        <v>0</v>
      </c>
      <c r="CB259" s="488">
        <v>750000000</v>
      </c>
      <c r="CC259" s="491">
        <v>806243200</v>
      </c>
      <c r="CD259" s="492">
        <v>3212323200</v>
      </c>
      <c r="CE259" s="493">
        <f t="shared" si="17"/>
        <v>212323200</v>
      </c>
      <c r="CF259" s="493">
        <f t="shared" si="17"/>
        <v>0</v>
      </c>
      <c r="CG259" s="493">
        <f t="shared" si="17"/>
        <v>0</v>
      </c>
      <c r="CH259" s="493">
        <f t="shared" si="17"/>
        <v>0</v>
      </c>
      <c r="CI259" s="493">
        <f t="shared" si="17"/>
        <v>0</v>
      </c>
      <c r="CJ259" s="493">
        <f t="shared" si="17"/>
        <v>0</v>
      </c>
      <c r="CK259" s="493">
        <f t="shared" si="17"/>
        <v>0</v>
      </c>
      <c r="CL259" s="493">
        <f t="shared" si="17"/>
        <v>0</v>
      </c>
      <c r="CM259" s="493">
        <f t="shared" si="16"/>
        <v>3000000000</v>
      </c>
      <c r="CN259" s="493">
        <f t="shared" si="16"/>
        <v>0</v>
      </c>
      <c r="CO259" s="493">
        <f t="shared" si="16"/>
        <v>0</v>
      </c>
    </row>
    <row r="260" spans="1:93" ht="30.45" hidden="1" customHeight="1">
      <c r="A260" s="555" t="s">
        <v>4533</v>
      </c>
      <c r="B260" s="479">
        <v>258</v>
      </c>
      <c r="C260" s="480" t="s">
        <v>4255</v>
      </c>
      <c r="D260" s="480" t="s">
        <v>4507</v>
      </c>
      <c r="E260" s="480" t="str">
        <f t="shared" ref="E260:E323" si="18">MID(F260,1,6)</f>
        <v xml:space="preserve">2.6.3 </v>
      </c>
      <c r="F260" s="480" t="s">
        <v>4528</v>
      </c>
      <c r="G260" s="480" t="s">
        <v>4529</v>
      </c>
      <c r="H260" s="481">
        <v>12</v>
      </c>
      <c r="I260" s="480" t="s">
        <v>4530</v>
      </c>
      <c r="J260" s="495">
        <v>120500400</v>
      </c>
      <c r="K260" s="480" t="s">
        <v>6523</v>
      </c>
      <c r="L260" s="480" t="s">
        <v>4531</v>
      </c>
      <c r="M260" s="480" t="s">
        <v>6524</v>
      </c>
      <c r="N260" s="499">
        <v>3</v>
      </c>
      <c r="O260" s="480" t="s">
        <v>4532</v>
      </c>
      <c r="P260" s="515">
        <v>7</v>
      </c>
      <c r="Q260" s="485">
        <v>190010003</v>
      </c>
      <c r="R260" s="485" t="s">
        <v>5462</v>
      </c>
      <c r="S260" s="485" t="s">
        <v>677</v>
      </c>
      <c r="T260" s="485">
        <v>0.39</v>
      </c>
      <c r="U260" s="485" t="s">
        <v>5463</v>
      </c>
      <c r="V260" s="485">
        <v>0.24</v>
      </c>
      <c r="W260" s="485" t="s">
        <v>5464</v>
      </c>
      <c r="X260" s="485">
        <v>16</v>
      </c>
      <c r="Y260" s="485" t="s">
        <v>5465</v>
      </c>
      <c r="Z260" s="486">
        <v>190608000</v>
      </c>
      <c r="AA260" s="486">
        <v>0</v>
      </c>
      <c r="AB260" s="486">
        <v>0</v>
      </c>
      <c r="AC260" s="486">
        <v>0</v>
      </c>
      <c r="AD260" s="486">
        <v>0</v>
      </c>
      <c r="AE260" s="486">
        <v>0</v>
      </c>
      <c r="AF260" s="486">
        <v>0</v>
      </c>
      <c r="AG260" s="486">
        <v>0</v>
      </c>
      <c r="AH260" s="487">
        <v>190608000</v>
      </c>
      <c r="AI260" s="486">
        <v>0</v>
      </c>
      <c r="AJ260" s="486">
        <v>0</v>
      </c>
      <c r="AK260" s="486">
        <v>0</v>
      </c>
      <c r="AL260" s="488">
        <v>0</v>
      </c>
      <c r="AM260" s="489">
        <v>190608000</v>
      </c>
      <c r="AN260" s="486">
        <v>198232320</v>
      </c>
      <c r="AO260" s="486">
        <v>0</v>
      </c>
      <c r="AP260" s="486">
        <v>0</v>
      </c>
      <c r="AQ260" s="486">
        <v>0</v>
      </c>
      <c r="AR260" s="486">
        <v>0</v>
      </c>
      <c r="AS260" s="486">
        <v>0</v>
      </c>
      <c r="AT260" s="486">
        <v>0</v>
      </c>
      <c r="AU260" s="486">
        <v>0</v>
      </c>
      <c r="AV260" s="487">
        <v>198232320</v>
      </c>
      <c r="AW260" s="486">
        <v>0</v>
      </c>
      <c r="AX260" s="486">
        <v>0</v>
      </c>
      <c r="AY260" s="486">
        <v>0</v>
      </c>
      <c r="AZ260" s="488">
        <v>0</v>
      </c>
      <c r="BA260" s="490">
        <v>198232320</v>
      </c>
      <c r="BB260" s="486">
        <v>206161612</v>
      </c>
      <c r="BC260" s="486">
        <v>0</v>
      </c>
      <c r="BD260" s="486">
        <v>0</v>
      </c>
      <c r="BE260" s="486">
        <v>0</v>
      </c>
      <c r="BF260" s="486">
        <v>0</v>
      </c>
      <c r="BG260" s="486">
        <v>0</v>
      </c>
      <c r="BH260" s="486">
        <v>0</v>
      </c>
      <c r="BI260" s="486">
        <v>0</v>
      </c>
      <c r="BJ260" s="487">
        <v>206161612</v>
      </c>
      <c r="BK260" s="486">
        <v>0</v>
      </c>
      <c r="BL260" s="486">
        <v>0</v>
      </c>
      <c r="BM260" s="486">
        <v>0</v>
      </c>
      <c r="BN260" s="488">
        <v>0</v>
      </c>
      <c r="BO260" s="490">
        <v>206161612</v>
      </c>
      <c r="BP260" s="486">
        <v>214395878</v>
      </c>
      <c r="BQ260" s="486">
        <v>0</v>
      </c>
      <c r="BR260" s="486">
        <v>0</v>
      </c>
      <c r="BS260" s="486">
        <v>0</v>
      </c>
      <c r="BT260" s="486">
        <v>0</v>
      </c>
      <c r="BU260" s="486">
        <v>0</v>
      </c>
      <c r="BV260" s="486">
        <v>0</v>
      </c>
      <c r="BW260" s="486">
        <v>0</v>
      </c>
      <c r="BX260" s="487">
        <v>214395878</v>
      </c>
      <c r="BY260" s="486">
        <v>0</v>
      </c>
      <c r="BZ260" s="486">
        <v>0</v>
      </c>
      <c r="CA260" s="486">
        <v>0</v>
      </c>
      <c r="CB260" s="488">
        <v>0</v>
      </c>
      <c r="CC260" s="491">
        <v>214395878</v>
      </c>
      <c r="CD260" s="492">
        <v>809397810</v>
      </c>
      <c r="CE260" s="493">
        <f t="shared" si="17"/>
        <v>809397810</v>
      </c>
      <c r="CF260" s="493">
        <f t="shared" si="17"/>
        <v>0</v>
      </c>
      <c r="CG260" s="493">
        <f t="shared" si="17"/>
        <v>0</v>
      </c>
      <c r="CH260" s="493">
        <f t="shared" si="17"/>
        <v>0</v>
      </c>
      <c r="CI260" s="493">
        <f t="shared" si="17"/>
        <v>0</v>
      </c>
      <c r="CJ260" s="493">
        <f t="shared" si="17"/>
        <v>0</v>
      </c>
      <c r="CK260" s="493">
        <f t="shared" si="17"/>
        <v>0</v>
      </c>
      <c r="CL260" s="493">
        <f t="shared" si="17"/>
        <v>0</v>
      </c>
      <c r="CM260" s="493">
        <f t="shared" ref="CM260:CO323" si="19">AI260+AW260+BK260+BY260</f>
        <v>0</v>
      </c>
      <c r="CN260" s="493">
        <f t="shared" si="19"/>
        <v>0</v>
      </c>
      <c r="CO260" s="493">
        <f t="shared" si="19"/>
        <v>0</v>
      </c>
    </row>
    <row r="261" spans="1:93" ht="30.45" hidden="1" customHeight="1">
      <c r="A261" s="555" t="s">
        <v>4533</v>
      </c>
      <c r="B261" s="479">
        <v>259</v>
      </c>
      <c r="C261" s="480" t="s">
        <v>4255</v>
      </c>
      <c r="D261" s="480" t="s">
        <v>4507</v>
      </c>
      <c r="E261" s="480" t="str">
        <f t="shared" si="18"/>
        <v xml:space="preserve">2.6.3 </v>
      </c>
      <c r="F261" s="480" t="s">
        <v>4528</v>
      </c>
      <c r="G261" s="480" t="s">
        <v>4529</v>
      </c>
      <c r="H261" s="481">
        <v>12</v>
      </c>
      <c r="I261" s="480" t="s">
        <v>4530</v>
      </c>
      <c r="J261" s="495">
        <v>120500500</v>
      </c>
      <c r="K261" s="480" t="s">
        <v>6523</v>
      </c>
      <c r="L261" s="480" t="s">
        <v>4112</v>
      </c>
      <c r="M261" s="480" t="s">
        <v>5874</v>
      </c>
      <c r="N261" s="499">
        <v>3</v>
      </c>
      <c r="O261" s="480" t="s">
        <v>4534</v>
      </c>
      <c r="P261" s="515">
        <v>5</v>
      </c>
      <c r="Q261" s="485">
        <v>190010003</v>
      </c>
      <c r="R261" s="485" t="s">
        <v>5462</v>
      </c>
      <c r="S261" s="485" t="s">
        <v>677</v>
      </c>
      <c r="T261" s="485">
        <v>0.39</v>
      </c>
      <c r="U261" s="485" t="s">
        <v>5463</v>
      </c>
      <c r="V261" s="485">
        <v>0.24</v>
      </c>
      <c r="W261" s="485" t="s">
        <v>5464</v>
      </c>
      <c r="X261" s="485">
        <v>16</v>
      </c>
      <c r="Y261" s="485" t="s">
        <v>5465</v>
      </c>
      <c r="Z261" s="486">
        <v>822696000</v>
      </c>
      <c r="AA261" s="486">
        <v>0</v>
      </c>
      <c r="AB261" s="486">
        <v>0</v>
      </c>
      <c r="AC261" s="486">
        <v>0</v>
      </c>
      <c r="AD261" s="486">
        <v>0</v>
      </c>
      <c r="AE261" s="486">
        <v>0</v>
      </c>
      <c r="AF261" s="486">
        <v>0</v>
      </c>
      <c r="AG261" s="486">
        <v>0</v>
      </c>
      <c r="AH261" s="487">
        <v>822696000</v>
      </c>
      <c r="AI261" s="486">
        <v>0</v>
      </c>
      <c r="AJ261" s="486">
        <v>0</v>
      </c>
      <c r="AK261" s="486">
        <v>0</v>
      </c>
      <c r="AL261" s="488">
        <v>0</v>
      </c>
      <c r="AM261" s="489">
        <v>822696000</v>
      </c>
      <c r="AN261" s="486">
        <v>855603840</v>
      </c>
      <c r="AO261" s="486">
        <v>0</v>
      </c>
      <c r="AP261" s="486">
        <v>0</v>
      </c>
      <c r="AQ261" s="486">
        <v>0</v>
      </c>
      <c r="AR261" s="486">
        <v>0</v>
      </c>
      <c r="AS261" s="486">
        <v>0</v>
      </c>
      <c r="AT261" s="486">
        <v>0</v>
      </c>
      <c r="AU261" s="486">
        <v>0</v>
      </c>
      <c r="AV261" s="487">
        <v>855603840</v>
      </c>
      <c r="AW261" s="486">
        <v>0</v>
      </c>
      <c r="AX261" s="486">
        <v>0</v>
      </c>
      <c r="AY261" s="486">
        <v>0</v>
      </c>
      <c r="AZ261" s="488">
        <v>0</v>
      </c>
      <c r="BA261" s="490">
        <v>855603840</v>
      </c>
      <c r="BB261" s="486">
        <v>889827993</v>
      </c>
      <c r="BC261" s="486">
        <v>0</v>
      </c>
      <c r="BD261" s="486">
        <v>0</v>
      </c>
      <c r="BE261" s="486">
        <v>0</v>
      </c>
      <c r="BF261" s="486">
        <v>0</v>
      </c>
      <c r="BG261" s="486">
        <v>0</v>
      </c>
      <c r="BH261" s="486">
        <v>0</v>
      </c>
      <c r="BI261" s="486">
        <v>0</v>
      </c>
      <c r="BJ261" s="487">
        <v>889827993</v>
      </c>
      <c r="BK261" s="486">
        <v>0</v>
      </c>
      <c r="BL261" s="486">
        <v>0</v>
      </c>
      <c r="BM261" s="486">
        <v>0</v>
      </c>
      <c r="BN261" s="488">
        <v>0</v>
      </c>
      <c r="BO261" s="490">
        <v>889827993</v>
      </c>
      <c r="BP261" s="486">
        <v>925426213</v>
      </c>
      <c r="BQ261" s="486">
        <v>0</v>
      </c>
      <c r="BR261" s="486">
        <v>0</v>
      </c>
      <c r="BS261" s="486">
        <v>0</v>
      </c>
      <c r="BT261" s="486">
        <v>0</v>
      </c>
      <c r="BU261" s="486">
        <v>0</v>
      </c>
      <c r="BV261" s="486">
        <v>0</v>
      </c>
      <c r="BW261" s="486">
        <v>0</v>
      </c>
      <c r="BX261" s="487">
        <v>925426213</v>
      </c>
      <c r="BY261" s="486">
        <v>0</v>
      </c>
      <c r="BZ261" s="486">
        <v>0</v>
      </c>
      <c r="CA261" s="486">
        <v>0</v>
      </c>
      <c r="CB261" s="488">
        <v>0</v>
      </c>
      <c r="CC261" s="491">
        <v>925426213</v>
      </c>
      <c r="CD261" s="492">
        <v>3493554046</v>
      </c>
      <c r="CE261" s="493">
        <f t="shared" si="17"/>
        <v>3493554046</v>
      </c>
      <c r="CF261" s="493">
        <f t="shared" si="17"/>
        <v>0</v>
      </c>
      <c r="CG261" s="493">
        <f t="shared" si="17"/>
        <v>0</v>
      </c>
      <c r="CH261" s="493">
        <f t="shared" si="17"/>
        <v>0</v>
      </c>
      <c r="CI261" s="493">
        <f t="shared" si="17"/>
        <v>0</v>
      </c>
      <c r="CJ261" s="493">
        <f t="shared" si="17"/>
        <v>0</v>
      </c>
      <c r="CK261" s="493">
        <f t="shared" si="17"/>
        <v>0</v>
      </c>
      <c r="CL261" s="493">
        <f t="shared" si="17"/>
        <v>0</v>
      </c>
      <c r="CM261" s="493">
        <f t="shared" si="19"/>
        <v>0</v>
      </c>
      <c r="CN261" s="493">
        <f t="shared" si="19"/>
        <v>0</v>
      </c>
      <c r="CO261" s="493">
        <f t="shared" si="19"/>
        <v>0</v>
      </c>
    </row>
    <row r="262" spans="1:93" ht="30.45" hidden="1" customHeight="1">
      <c r="A262" s="555" t="s">
        <v>4533</v>
      </c>
      <c r="B262" s="479">
        <v>260</v>
      </c>
      <c r="C262" s="480" t="s">
        <v>4255</v>
      </c>
      <c r="D262" s="480" t="s">
        <v>4507</v>
      </c>
      <c r="E262" s="480" t="str">
        <f t="shared" si="18"/>
        <v xml:space="preserve">2.6.3 </v>
      </c>
      <c r="F262" s="480" t="s">
        <v>4528</v>
      </c>
      <c r="G262" s="480" t="s">
        <v>4529</v>
      </c>
      <c r="H262" s="481">
        <v>12</v>
      </c>
      <c r="I262" s="480" t="s">
        <v>4530</v>
      </c>
      <c r="J262" s="495">
        <v>120500600</v>
      </c>
      <c r="K262" s="480" t="s">
        <v>6525</v>
      </c>
      <c r="L262" s="480" t="s">
        <v>4113</v>
      </c>
      <c r="M262" s="480" t="s">
        <v>6526</v>
      </c>
      <c r="N262" s="499">
        <v>2</v>
      </c>
      <c r="O262" s="480" t="s">
        <v>4532</v>
      </c>
      <c r="P262" s="515">
        <v>4</v>
      </c>
      <c r="Q262" s="485">
        <v>190010003</v>
      </c>
      <c r="R262" s="485" t="s">
        <v>5462</v>
      </c>
      <c r="S262" s="485" t="s">
        <v>677</v>
      </c>
      <c r="T262" s="485">
        <v>0.39</v>
      </c>
      <c r="U262" s="485" t="s">
        <v>5463</v>
      </c>
      <c r="V262" s="485">
        <v>0.24</v>
      </c>
      <c r="W262" s="485" t="s">
        <v>5464</v>
      </c>
      <c r="X262" s="485">
        <v>16</v>
      </c>
      <c r="Y262" s="485" t="s">
        <v>5465</v>
      </c>
      <c r="Z262" s="486">
        <v>822696000</v>
      </c>
      <c r="AA262" s="486">
        <v>0</v>
      </c>
      <c r="AB262" s="486">
        <v>0</v>
      </c>
      <c r="AC262" s="486">
        <v>0</v>
      </c>
      <c r="AD262" s="486">
        <v>0</v>
      </c>
      <c r="AE262" s="486">
        <v>0</v>
      </c>
      <c r="AF262" s="486">
        <v>0</v>
      </c>
      <c r="AG262" s="486">
        <v>0</v>
      </c>
      <c r="AH262" s="487">
        <v>822696000</v>
      </c>
      <c r="AI262" s="486">
        <v>0</v>
      </c>
      <c r="AJ262" s="486">
        <v>0</v>
      </c>
      <c r="AK262" s="486">
        <v>0</v>
      </c>
      <c r="AL262" s="488">
        <v>0</v>
      </c>
      <c r="AM262" s="489">
        <v>822696000</v>
      </c>
      <c r="AN262" s="486">
        <v>855603840</v>
      </c>
      <c r="AO262" s="486">
        <v>0</v>
      </c>
      <c r="AP262" s="486">
        <v>0</v>
      </c>
      <c r="AQ262" s="486">
        <v>0</v>
      </c>
      <c r="AR262" s="486">
        <v>0</v>
      </c>
      <c r="AS262" s="486">
        <v>0</v>
      </c>
      <c r="AT262" s="486">
        <v>0</v>
      </c>
      <c r="AU262" s="486">
        <v>0</v>
      </c>
      <c r="AV262" s="487">
        <v>855603840</v>
      </c>
      <c r="AW262" s="486">
        <v>0</v>
      </c>
      <c r="AX262" s="486">
        <v>0</v>
      </c>
      <c r="AY262" s="486">
        <v>0</v>
      </c>
      <c r="AZ262" s="488">
        <v>0</v>
      </c>
      <c r="BA262" s="490">
        <v>855603840</v>
      </c>
      <c r="BB262" s="486">
        <v>889827993</v>
      </c>
      <c r="BC262" s="486">
        <v>0</v>
      </c>
      <c r="BD262" s="486">
        <v>0</v>
      </c>
      <c r="BE262" s="486">
        <v>0</v>
      </c>
      <c r="BF262" s="486">
        <v>0</v>
      </c>
      <c r="BG262" s="486">
        <v>0</v>
      </c>
      <c r="BH262" s="486">
        <v>0</v>
      </c>
      <c r="BI262" s="486">
        <v>0</v>
      </c>
      <c r="BJ262" s="487">
        <v>889827993</v>
      </c>
      <c r="BK262" s="486">
        <v>0</v>
      </c>
      <c r="BL262" s="486">
        <v>0</v>
      </c>
      <c r="BM262" s="486">
        <v>0</v>
      </c>
      <c r="BN262" s="488">
        <v>0</v>
      </c>
      <c r="BO262" s="490">
        <v>889827993</v>
      </c>
      <c r="BP262" s="486">
        <v>925428213</v>
      </c>
      <c r="BQ262" s="486">
        <v>0</v>
      </c>
      <c r="BR262" s="486">
        <v>0</v>
      </c>
      <c r="BS262" s="486">
        <v>0</v>
      </c>
      <c r="BT262" s="486">
        <v>0</v>
      </c>
      <c r="BU262" s="486">
        <v>0</v>
      </c>
      <c r="BV262" s="486">
        <v>0</v>
      </c>
      <c r="BW262" s="486">
        <v>0</v>
      </c>
      <c r="BX262" s="487">
        <v>925428213</v>
      </c>
      <c r="BY262" s="486">
        <v>0</v>
      </c>
      <c r="BZ262" s="486">
        <v>0</v>
      </c>
      <c r="CA262" s="486">
        <v>0</v>
      </c>
      <c r="CB262" s="488">
        <v>0</v>
      </c>
      <c r="CC262" s="491">
        <v>925428213</v>
      </c>
      <c r="CD262" s="492">
        <v>3493556046</v>
      </c>
      <c r="CE262" s="493">
        <f t="shared" si="17"/>
        <v>3493556046</v>
      </c>
      <c r="CF262" s="493">
        <f t="shared" si="17"/>
        <v>0</v>
      </c>
      <c r="CG262" s="493">
        <f t="shared" si="17"/>
        <v>0</v>
      </c>
      <c r="CH262" s="493">
        <f t="shared" si="17"/>
        <v>0</v>
      </c>
      <c r="CI262" s="493">
        <f t="shared" si="17"/>
        <v>0</v>
      </c>
      <c r="CJ262" s="493">
        <f t="shared" si="17"/>
        <v>0</v>
      </c>
      <c r="CK262" s="493">
        <f t="shared" si="17"/>
        <v>0</v>
      </c>
      <c r="CL262" s="493">
        <f t="shared" si="17"/>
        <v>0</v>
      </c>
      <c r="CM262" s="493">
        <f t="shared" si="19"/>
        <v>0</v>
      </c>
      <c r="CN262" s="493">
        <f t="shared" si="19"/>
        <v>0</v>
      </c>
      <c r="CO262" s="493">
        <f t="shared" si="19"/>
        <v>0</v>
      </c>
    </row>
    <row r="263" spans="1:93" ht="30.45" hidden="1" customHeight="1">
      <c r="A263" s="555" t="s">
        <v>4533</v>
      </c>
      <c r="B263" s="479">
        <v>261</v>
      </c>
      <c r="C263" s="480" t="s">
        <v>4255</v>
      </c>
      <c r="D263" s="480" t="s">
        <v>4507</v>
      </c>
      <c r="E263" s="480" t="str">
        <f t="shared" si="18"/>
        <v xml:space="preserve">2.6.3 </v>
      </c>
      <c r="F263" s="480" t="s">
        <v>4528</v>
      </c>
      <c r="G263" s="480" t="s">
        <v>4529</v>
      </c>
      <c r="H263" s="481">
        <v>12</v>
      </c>
      <c r="I263" s="480" t="s">
        <v>4535</v>
      </c>
      <c r="J263" s="495">
        <v>120201200</v>
      </c>
      <c r="K263" s="480" t="s">
        <v>4536</v>
      </c>
      <c r="L263" s="480" t="s">
        <v>6527</v>
      </c>
      <c r="M263" s="480" t="s">
        <v>5875</v>
      </c>
      <c r="N263" s="499">
        <v>0</v>
      </c>
      <c r="O263" s="480" t="s">
        <v>1616</v>
      </c>
      <c r="P263" s="515">
        <v>200</v>
      </c>
      <c r="Q263" s="485">
        <v>190010003</v>
      </c>
      <c r="R263" s="485" t="s">
        <v>5462</v>
      </c>
      <c r="S263" s="485" t="s">
        <v>677</v>
      </c>
      <c r="T263" s="485">
        <v>0.39</v>
      </c>
      <c r="U263" s="485" t="s">
        <v>5463</v>
      </c>
      <c r="V263" s="485">
        <v>0.24</v>
      </c>
      <c r="W263" s="485" t="s">
        <v>5464</v>
      </c>
      <c r="X263" s="485">
        <v>16</v>
      </c>
      <c r="Y263" s="485" t="s">
        <v>5465</v>
      </c>
      <c r="Z263" s="486">
        <v>0</v>
      </c>
      <c r="AA263" s="486">
        <v>0</v>
      </c>
      <c r="AB263" s="486">
        <v>0</v>
      </c>
      <c r="AC263" s="486">
        <v>0</v>
      </c>
      <c r="AD263" s="486">
        <v>0</v>
      </c>
      <c r="AE263" s="486">
        <v>0</v>
      </c>
      <c r="AF263" s="486">
        <v>0</v>
      </c>
      <c r="AG263" s="486">
        <v>0</v>
      </c>
      <c r="AH263" s="487">
        <v>0</v>
      </c>
      <c r="AI263" s="486">
        <v>0</v>
      </c>
      <c r="AJ263" s="486">
        <v>0</v>
      </c>
      <c r="AK263" s="486">
        <v>5000000</v>
      </c>
      <c r="AL263" s="488">
        <v>5000000</v>
      </c>
      <c r="AM263" s="489">
        <v>5000000</v>
      </c>
      <c r="AN263" s="486">
        <v>0</v>
      </c>
      <c r="AO263" s="486">
        <v>0</v>
      </c>
      <c r="AP263" s="486">
        <v>0</v>
      </c>
      <c r="AQ263" s="486">
        <v>0</v>
      </c>
      <c r="AR263" s="486">
        <v>0</v>
      </c>
      <c r="AS263" s="486">
        <v>0</v>
      </c>
      <c r="AT263" s="486">
        <v>0</v>
      </c>
      <c r="AU263" s="486">
        <v>0</v>
      </c>
      <c r="AV263" s="487">
        <v>0</v>
      </c>
      <c r="AW263" s="486">
        <v>0</v>
      </c>
      <c r="AX263" s="486">
        <v>0</v>
      </c>
      <c r="AY263" s="486">
        <v>5000000</v>
      </c>
      <c r="AZ263" s="488">
        <v>5000000</v>
      </c>
      <c r="BA263" s="490">
        <v>5000000</v>
      </c>
      <c r="BB263" s="486">
        <v>0</v>
      </c>
      <c r="BC263" s="486">
        <v>0</v>
      </c>
      <c r="BD263" s="486">
        <v>0</v>
      </c>
      <c r="BE263" s="486">
        <v>0</v>
      </c>
      <c r="BF263" s="486">
        <v>0</v>
      </c>
      <c r="BG263" s="486">
        <v>0</v>
      </c>
      <c r="BH263" s="486">
        <v>0</v>
      </c>
      <c r="BI263" s="486">
        <v>0</v>
      </c>
      <c r="BJ263" s="487">
        <v>0</v>
      </c>
      <c r="BK263" s="486">
        <v>0</v>
      </c>
      <c r="BL263" s="486">
        <v>0</v>
      </c>
      <c r="BM263" s="486">
        <v>5000000</v>
      </c>
      <c r="BN263" s="488">
        <v>5000000</v>
      </c>
      <c r="BO263" s="490">
        <v>5000000</v>
      </c>
      <c r="BP263" s="486">
        <v>0</v>
      </c>
      <c r="BQ263" s="486">
        <v>0</v>
      </c>
      <c r="BR263" s="486">
        <v>0</v>
      </c>
      <c r="BS263" s="486">
        <v>0</v>
      </c>
      <c r="BT263" s="486">
        <v>0</v>
      </c>
      <c r="BU263" s="486">
        <v>0</v>
      </c>
      <c r="BV263" s="486">
        <v>0</v>
      </c>
      <c r="BW263" s="486">
        <v>0</v>
      </c>
      <c r="BX263" s="487">
        <v>0</v>
      </c>
      <c r="BY263" s="486">
        <v>0</v>
      </c>
      <c r="BZ263" s="486">
        <v>0</v>
      </c>
      <c r="CA263" s="486">
        <v>5000000</v>
      </c>
      <c r="CB263" s="488">
        <v>5000000</v>
      </c>
      <c r="CC263" s="491">
        <v>5000000</v>
      </c>
      <c r="CD263" s="492">
        <v>20000000</v>
      </c>
      <c r="CE263" s="493">
        <f t="shared" si="17"/>
        <v>0</v>
      </c>
      <c r="CF263" s="493">
        <f t="shared" si="17"/>
        <v>0</v>
      </c>
      <c r="CG263" s="493">
        <f t="shared" si="17"/>
        <v>0</v>
      </c>
      <c r="CH263" s="493">
        <f t="shared" si="17"/>
        <v>0</v>
      </c>
      <c r="CI263" s="493">
        <f t="shared" si="17"/>
        <v>0</v>
      </c>
      <c r="CJ263" s="493">
        <f t="shared" si="17"/>
        <v>0</v>
      </c>
      <c r="CK263" s="493">
        <f t="shared" si="17"/>
        <v>0</v>
      </c>
      <c r="CL263" s="493">
        <f t="shared" si="17"/>
        <v>0</v>
      </c>
      <c r="CM263" s="493">
        <f t="shared" si="19"/>
        <v>0</v>
      </c>
      <c r="CN263" s="493">
        <f t="shared" si="19"/>
        <v>0</v>
      </c>
      <c r="CO263" s="493">
        <f t="shared" si="19"/>
        <v>20000000</v>
      </c>
    </row>
    <row r="264" spans="1:93" ht="30.45" hidden="1" customHeight="1">
      <c r="A264" s="555" t="s">
        <v>4541</v>
      </c>
      <c r="B264" s="479">
        <v>262</v>
      </c>
      <c r="C264" s="480" t="s">
        <v>4255</v>
      </c>
      <c r="D264" s="480" t="s">
        <v>4507</v>
      </c>
      <c r="E264" s="480" t="str">
        <f t="shared" si="18"/>
        <v xml:space="preserve">2.6.4 </v>
      </c>
      <c r="F264" s="480" t="s">
        <v>4537</v>
      </c>
      <c r="G264" s="480" t="s">
        <v>4538</v>
      </c>
      <c r="H264" s="481">
        <v>25</v>
      </c>
      <c r="I264" s="480" t="s">
        <v>6528</v>
      </c>
      <c r="J264" s="495">
        <v>250300200</v>
      </c>
      <c r="K264" s="480" t="s">
        <v>4008</v>
      </c>
      <c r="L264" s="480" t="s">
        <v>4539</v>
      </c>
      <c r="M264" s="480" t="s">
        <v>5876</v>
      </c>
      <c r="N264" s="499">
        <v>120</v>
      </c>
      <c r="O264" s="480" t="s">
        <v>4540</v>
      </c>
      <c r="P264" s="515">
        <v>200</v>
      </c>
      <c r="Q264" s="485" t="s">
        <v>5349</v>
      </c>
      <c r="R264" s="485" t="s">
        <v>5466</v>
      </c>
      <c r="S264" s="485" t="s">
        <v>5467</v>
      </c>
      <c r="T264" s="485">
        <v>71.2</v>
      </c>
      <c r="U264" s="485" t="s">
        <v>5374</v>
      </c>
      <c r="V264" s="485">
        <v>75</v>
      </c>
      <c r="W264" s="485" t="s">
        <v>5331</v>
      </c>
      <c r="X264" s="485" t="s">
        <v>5468</v>
      </c>
      <c r="Y264" s="485" t="s">
        <v>5469</v>
      </c>
      <c r="Z264" s="486">
        <v>9419602</v>
      </c>
      <c r="AA264" s="486">
        <v>0</v>
      </c>
      <c r="AB264" s="486">
        <v>0</v>
      </c>
      <c r="AC264" s="486">
        <v>0</v>
      </c>
      <c r="AD264" s="486">
        <v>0</v>
      </c>
      <c r="AE264" s="486">
        <v>0</v>
      </c>
      <c r="AF264" s="486">
        <v>0</v>
      </c>
      <c r="AG264" s="486">
        <v>0</v>
      </c>
      <c r="AH264" s="487">
        <v>9419602</v>
      </c>
      <c r="AI264" s="486">
        <v>0</v>
      </c>
      <c r="AJ264" s="486">
        <v>0</v>
      </c>
      <c r="AK264" s="486">
        <v>0</v>
      </c>
      <c r="AL264" s="488">
        <v>0</v>
      </c>
      <c r="AM264" s="489">
        <v>9419602</v>
      </c>
      <c r="AN264" s="486">
        <v>9796386</v>
      </c>
      <c r="AO264" s="486">
        <v>0</v>
      </c>
      <c r="AP264" s="486">
        <v>0</v>
      </c>
      <c r="AQ264" s="486">
        <v>0</v>
      </c>
      <c r="AR264" s="486">
        <v>0</v>
      </c>
      <c r="AS264" s="486">
        <v>0</v>
      </c>
      <c r="AT264" s="486">
        <v>0</v>
      </c>
      <c r="AU264" s="486">
        <v>0</v>
      </c>
      <c r="AV264" s="487">
        <v>9796386</v>
      </c>
      <c r="AW264" s="486">
        <v>0</v>
      </c>
      <c r="AX264" s="486">
        <v>0</v>
      </c>
      <c r="AY264" s="486">
        <v>0</v>
      </c>
      <c r="AZ264" s="488">
        <v>0</v>
      </c>
      <c r="BA264" s="490">
        <v>9796386</v>
      </c>
      <c r="BB264" s="486">
        <v>10188241</v>
      </c>
      <c r="BC264" s="486">
        <v>0</v>
      </c>
      <c r="BD264" s="486">
        <v>0</v>
      </c>
      <c r="BE264" s="486">
        <v>0</v>
      </c>
      <c r="BF264" s="486">
        <v>0</v>
      </c>
      <c r="BG264" s="486">
        <v>0</v>
      </c>
      <c r="BH264" s="486">
        <v>0</v>
      </c>
      <c r="BI264" s="486">
        <v>0</v>
      </c>
      <c r="BJ264" s="487">
        <v>10188241</v>
      </c>
      <c r="BK264" s="486">
        <v>0</v>
      </c>
      <c r="BL264" s="486">
        <v>0</v>
      </c>
      <c r="BM264" s="486">
        <v>0</v>
      </c>
      <c r="BN264" s="488">
        <v>0</v>
      </c>
      <c r="BO264" s="490">
        <v>10188241</v>
      </c>
      <c r="BP264" s="486">
        <v>10595771</v>
      </c>
      <c r="BQ264" s="486">
        <v>0</v>
      </c>
      <c r="BR264" s="486">
        <v>0</v>
      </c>
      <c r="BS264" s="486">
        <v>0</v>
      </c>
      <c r="BT264" s="486">
        <v>0</v>
      </c>
      <c r="BU264" s="486">
        <v>0</v>
      </c>
      <c r="BV264" s="486">
        <v>0</v>
      </c>
      <c r="BW264" s="486">
        <v>0</v>
      </c>
      <c r="BX264" s="487">
        <v>10595771</v>
      </c>
      <c r="BY264" s="486">
        <v>0</v>
      </c>
      <c r="BZ264" s="486">
        <v>0</v>
      </c>
      <c r="CA264" s="486">
        <v>0</v>
      </c>
      <c r="CB264" s="488">
        <v>0</v>
      </c>
      <c r="CC264" s="491">
        <v>10595771</v>
      </c>
      <c r="CD264" s="492">
        <v>40000000</v>
      </c>
      <c r="CE264" s="493">
        <f t="shared" si="17"/>
        <v>40000000</v>
      </c>
      <c r="CF264" s="493">
        <f t="shared" si="17"/>
        <v>0</v>
      </c>
      <c r="CG264" s="493">
        <f t="shared" si="17"/>
        <v>0</v>
      </c>
      <c r="CH264" s="493">
        <f t="shared" si="17"/>
        <v>0</v>
      </c>
      <c r="CI264" s="493">
        <f t="shared" si="17"/>
        <v>0</v>
      </c>
      <c r="CJ264" s="493">
        <f t="shared" si="17"/>
        <v>0</v>
      </c>
      <c r="CK264" s="493">
        <f t="shared" si="17"/>
        <v>0</v>
      </c>
      <c r="CL264" s="493">
        <f t="shared" si="17"/>
        <v>0</v>
      </c>
      <c r="CM264" s="493">
        <f t="shared" si="19"/>
        <v>0</v>
      </c>
      <c r="CN264" s="493">
        <f t="shared" si="19"/>
        <v>0</v>
      </c>
      <c r="CO264" s="493">
        <f t="shared" si="19"/>
        <v>0</v>
      </c>
    </row>
    <row r="265" spans="1:93" ht="30.45" hidden="1" customHeight="1">
      <c r="A265" s="555" t="s">
        <v>4541</v>
      </c>
      <c r="B265" s="479">
        <v>263</v>
      </c>
      <c r="C265" s="480" t="s">
        <v>4255</v>
      </c>
      <c r="D265" s="480" t="s">
        <v>4507</v>
      </c>
      <c r="E265" s="480" t="str">
        <f t="shared" si="18"/>
        <v xml:space="preserve">2.6.4 </v>
      </c>
      <c r="F265" s="480" t="s">
        <v>4537</v>
      </c>
      <c r="G265" s="480" t="s">
        <v>4538</v>
      </c>
      <c r="H265" s="481">
        <v>25</v>
      </c>
      <c r="I265" s="480" t="s">
        <v>6528</v>
      </c>
      <c r="J265" s="495">
        <v>250300800</v>
      </c>
      <c r="K265" s="480" t="s">
        <v>6529</v>
      </c>
      <c r="L265" s="480" t="s">
        <v>4542</v>
      </c>
      <c r="M265" s="480" t="s">
        <v>5877</v>
      </c>
      <c r="N265" s="499">
        <v>0</v>
      </c>
      <c r="O265" s="480" t="s">
        <v>4543</v>
      </c>
      <c r="P265" s="515">
        <v>2</v>
      </c>
      <c r="Q265" s="485" t="s">
        <v>5349</v>
      </c>
      <c r="R265" s="485" t="s">
        <v>5466</v>
      </c>
      <c r="S265" s="485" t="s">
        <v>5467</v>
      </c>
      <c r="T265" s="485">
        <v>71.2</v>
      </c>
      <c r="U265" s="485" t="s">
        <v>5374</v>
      </c>
      <c r="V265" s="485">
        <v>75</v>
      </c>
      <c r="W265" s="485" t="s">
        <v>5331</v>
      </c>
      <c r="X265" s="485" t="s">
        <v>5468</v>
      </c>
      <c r="Y265" s="485" t="s">
        <v>5469</v>
      </c>
      <c r="Z265" s="486">
        <v>9419602</v>
      </c>
      <c r="AA265" s="486">
        <v>0</v>
      </c>
      <c r="AB265" s="486">
        <v>0</v>
      </c>
      <c r="AC265" s="486">
        <v>0</v>
      </c>
      <c r="AD265" s="486">
        <v>0</v>
      </c>
      <c r="AE265" s="486">
        <v>0</v>
      </c>
      <c r="AF265" s="486">
        <v>0</v>
      </c>
      <c r="AG265" s="486">
        <v>0</v>
      </c>
      <c r="AH265" s="487">
        <v>9419602</v>
      </c>
      <c r="AI265" s="486">
        <v>0</v>
      </c>
      <c r="AJ265" s="486">
        <v>0</v>
      </c>
      <c r="AK265" s="486">
        <v>0</v>
      </c>
      <c r="AL265" s="488">
        <v>0</v>
      </c>
      <c r="AM265" s="489">
        <v>9419602</v>
      </c>
      <c r="AN265" s="486">
        <v>9796386</v>
      </c>
      <c r="AO265" s="486">
        <v>0</v>
      </c>
      <c r="AP265" s="486">
        <v>0</v>
      </c>
      <c r="AQ265" s="486">
        <v>0</v>
      </c>
      <c r="AR265" s="486">
        <v>0</v>
      </c>
      <c r="AS265" s="486">
        <v>0</v>
      </c>
      <c r="AT265" s="486">
        <v>0</v>
      </c>
      <c r="AU265" s="486">
        <v>0</v>
      </c>
      <c r="AV265" s="487">
        <v>9796386</v>
      </c>
      <c r="AW265" s="486">
        <v>0</v>
      </c>
      <c r="AX265" s="486">
        <v>0</v>
      </c>
      <c r="AY265" s="486">
        <v>0</v>
      </c>
      <c r="AZ265" s="488">
        <v>0</v>
      </c>
      <c r="BA265" s="490">
        <v>9796386</v>
      </c>
      <c r="BB265" s="486">
        <v>10188241</v>
      </c>
      <c r="BC265" s="486">
        <v>0</v>
      </c>
      <c r="BD265" s="486">
        <v>0</v>
      </c>
      <c r="BE265" s="486">
        <v>0</v>
      </c>
      <c r="BF265" s="486">
        <v>0</v>
      </c>
      <c r="BG265" s="486">
        <v>0</v>
      </c>
      <c r="BH265" s="486">
        <v>0</v>
      </c>
      <c r="BI265" s="486">
        <v>0</v>
      </c>
      <c r="BJ265" s="487">
        <v>10188241</v>
      </c>
      <c r="BK265" s="486">
        <v>0</v>
      </c>
      <c r="BL265" s="486">
        <v>0</v>
      </c>
      <c r="BM265" s="486">
        <v>0</v>
      </c>
      <c r="BN265" s="488">
        <v>0</v>
      </c>
      <c r="BO265" s="490">
        <v>10188241</v>
      </c>
      <c r="BP265" s="486">
        <v>10595771</v>
      </c>
      <c r="BQ265" s="486">
        <v>0</v>
      </c>
      <c r="BR265" s="486">
        <v>0</v>
      </c>
      <c r="BS265" s="486">
        <v>0</v>
      </c>
      <c r="BT265" s="486">
        <v>0</v>
      </c>
      <c r="BU265" s="486">
        <v>0</v>
      </c>
      <c r="BV265" s="486">
        <v>0</v>
      </c>
      <c r="BW265" s="486">
        <v>0</v>
      </c>
      <c r="BX265" s="487">
        <v>10595771</v>
      </c>
      <c r="BY265" s="486">
        <v>0</v>
      </c>
      <c r="BZ265" s="486">
        <v>0</v>
      </c>
      <c r="CA265" s="486">
        <v>0</v>
      </c>
      <c r="CB265" s="488">
        <v>0</v>
      </c>
      <c r="CC265" s="491">
        <v>10595771</v>
      </c>
      <c r="CD265" s="492">
        <v>40000000</v>
      </c>
      <c r="CE265" s="493">
        <f t="shared" si="17"/>
        <v>40000000</v>
      </c>
      <c r="CF265" s="493">
        <f t="shared" si="17"/>
        <v>0</v>
      </c>
      <c r="CG265" s="493">
        <f t="shared" si="17"/>
        <v>0</v>
      </c>
      <c r="CH265" s="493">
        <f t="shared" si="17"/>
        <v>0</v>
      </c>
      <c r="CI265" s="493">
        <f t="shared" si="17"/>
        <v>0</v>
      </c>
      <c r="CJ265" s="493">
        <f t="shared" si="17"/>
        <v>0</v>
      </c>
      <c r="CK265" s="493">
        <f t="shared" si="17"/>
        <v>0</v>
      </c>
      <c r="CL265" s="493">
        <f t="shared" si="17"/>
        <v>0</v>
      </c>
      <c r="CM265" s="493">
        <f t="shared" si="19"/>
        <v>0</v>
      </c>
      <c r="CN265" s="493">
        <f t="shared" si="19"/>
        <v>0</v>
      </c>
      <c r="CO265" s="493">
        <f t="shared" si="19"/>
        <v>0</v>
      </c>
    </row>
    <row r="266" spans="1:93" ht="30.45" hidden="1" customHeight="1">
      <c r="A266" s="555" t="s">
        <v>4541</v>
      </c>
      <c r="B266" s="479">
        <v>264</v>
      </c>
      <c r="C266" s="480" t="s">
        <v>4255</v>
      </c>
      <c r="D266" s="480" t="s">
        <v>4507</v>
      </c>
      <c r="E266" s="480" t="str">
        <f t="shared" si="18"/>
        <v xml:space="preserve">2.6.4 </v>
      </c>
      <c r="F266" s="480" t="s">
        <v>4537</v>
      </c>
      <c r="G266" s="480" t="s">
        <v>4538</v>
      </c>
      <c r="H266" s="481">
        <v>25</v>
      </c>
      <c r="I266" s="480" t="s">
        <v>4544</v>
      </c>
      <c r="J266" s="495">
        <v>250300700</v>
      </c>
      <c r="K266" s="480" t="s">
        <v>4063</v>
      </c>
      <c r="L266" s="480" t="s">
        <v>4545</v>
      </c>
      <c r="M266" s="480" t="s">
        <v>5878</v>
      </c>
      <c r="N266" s="499">
        <v>1488</v>
      </c>
      <c r="O266" s="480" t="s">
        <v>4543</v>
      </c>
      <c r="P266" s="515">
        <v>1800</v>
      </c>
      <c r="Q266" s="485" t="s">
        <v>5349</v>
      </c>
      <c r="R266" s="485" t="s">
        <v>5466</v>
      </c>
      <c r="S266" s="485" t="s">
        <v>5467</v>
      </c>
      <c r="T266" s="485">
        <v>71.2</v>
      </c>
      <c r="U266" s="485" t="s">
        <v>5374</v>
      </c>
      <c r="V266" s="485">
        <v>75</v>
      </c>
      <c r="W266" s="485" t="s">
        <v>5331</v>
      </c>
      <c r="X266" s="485" t="s">
        <v>5468</v>
      </c>
      <c r="Y266" s="485" t="s">
        <v>5469</v>
      </c>
      <c r="Z266" s="486">
        <v>583741194</v>
      </c>
      <c r="AA266" s="486">
        <v>0</v>
      </c>
      <c r="AB266" s="486">
        <v>0</v>
      </c>
      <c r="AC266" s="486">
        <v>0</v>
      </c>
      <c r="AD266" s="486">
        <v>0</v>
      </c>
      <c r="AE266" s="486">
        <v>0</v>
      </c>
      <c r="AF266" s="486">
        <v>0</v>
      </c>
      <c r="AG266" s="486">
        <v>0</v>
      </c>
      <c r="AH266" s="487">
        <v>583741194</v>
      </c>
      <c r="AI266" s="486">
        <v>463426315</v>
      </c>
      <c r="AJ266" s="486">
        <v>0</v>
      </c>
      <c r="AK266" s="486">
        <v>0</v>
      </c>
      <c r="AL266" s="488">
        <v>463426315</v>
      </c>
      <c r="AM266" s="489">
        <v>1047167509</v>
      </c>
      <c r="AN266" s="486">
        <v>607090842</v>
      </c>
      <c r="AO266" s="486">
        <v>0</v>
      </c>
      <c r="AP266" s="486">
        <v>0</v>
      </c>
      <c r="AQ266" s="486">
        <v>0</v>
      </c>
      <c r="AR266" s="486">
        <v>0</v>
      </c>
      <c r="AS266" s="486">
        <v>0</v>
      </c>
      <c r="AT266" s="486">
        <v>0</v>
      </c>
      <c r="AU266" s="486">
        <v>0</v>
      </c>
      <c r="AV266" s="487">
        <v>607090842</v>
      </c>
      <c r="AW266" s="486">
        <v>450548342</v>
      </c>
      <c r="AX266" s="486">
        <v>0</v>
      </c>
      <c r="AY266" s="486">
        <v>0</v>
      </c>
      <c r="AZ266" s="488">
        <v>450548342</v>
      </c>
      <c r="BA266" s="490">
        <v>1057639184</v>
      </c>
      <c r="BB266" s="486">
        <v>631374477</v>
      </c>
      <c r="BC266" s="486">
        <v>0</v>
      </c>
      <c r="BD266" s="486">
        <v>0</v>
      </c>
      <c r="BE266" s="486">
        <v>0</v>
      </c>
      <c r="BF266" s="486">
        <v>0</v>
      </c>
      <c r="BG266" s="486">
        <v>0</v>
      </c>
      <c r="BH266" s="486">
        <v>0</v>
      </c>
      <c r="BI266" s="486">
        <v>0</v>
      </c>
      <c r="BJ266" s="487">
        <v>631374477</v>
      </c>
      <c r="BK266" s="486">
        <v>436841100</v>
      </c>
      <c r="BL266" s="486">
        <v>0</v>
      </c>
      <c r="BM266" s="486">
        <v>0</v>
      </c>
      <c r="BN266" s="488">
        <v>436841100</v>
      </c>
      <c r="BO266" s="490">
        <v>1068215577</v>
      </c>
      <c r="BP266" s="486">
        <v>656629455</v>
      </c>
      <c r="BQ266" s="486">
        <v>0</v>
      </c>
      <c r="BR266" s="486">
        <v>0</v>
      </c>
      <c r="BS266" s="486">
        <v>0</v>
      </c>
      <c r="BT266" s="486">
        <v>0</v>
      </c>
      <c r="BU266" s="486">
        <v>0</v>
      </c>
      <c r="BV266" s="486">
        <v>0</v>
      </c>
      <c r="BW266" s="486">
        <v>0</v>
      </c>
      <c r="BX266" s="487">
        <v>656629455</v>
      </c>
      <c r="BY266" s="486">
        <v>422268275</v>
      </c>
      <c r="BZ266" s="486">
        <v>0</v>
      </c>
      <c r="CA266" s="486">
        <v>0</v>
      </c>
      <c r="CB266" s="488">
        <v>422268275</v>
      </c>
      <c r="CC266" s="491">
        <v>1078897730</v>
      </c>
      <c r="CD266" s="492">
        <v>4251920000</v>
      </c>
      <c r="CE266" s="493">
        <f t="shared" si="17"/>
        <v>2478835968</v>
      </c>
      <c r="CF266" s="493">
        <f t="shared" si="17"/>
        <v>0</v>
      </c>
      <c r="CG266" s="493">
        <f t="shared" si="17"/>
        <v>0</v>
      </c>
      <c r="CH266" s="493">
        <f t="shared" ref="CH266:CL316" si="20">AC266+AQ266+BE266+BS266</f>
        <v>0</v>
      </c>
      <c r="CI266" s="493">
        <f t="shared" si="20"/>
        <v>0</v>
      </c>
      <c r="CJ266" s="493">
        <f t="shared" si="20"/>
        <v>0</v>
      </c>
      <c r="CK266" s="493">
        <f t="shared" si="20"/>
        <v>0</v>
      </c>
      <c r="CL266" s="493">
        <f t="shared" si="20"/>
        <v>0</v>
      </c>
      <c r="CM266" s="493">
        <f t="shared" si="19"/>
        <v>1773084032</v>
      </c>
      <c r="CN266" s="493">
        <f t="shared" si="19"/>
        <v>0</v>
      </c>
      <c r="CO266" s="493">
        <f t="shared" si="19"/>
        <v>0</v>
      </c>
    </row>
    <row r="267" spans="1:93" ht="30.45" hidden="1" customHeight="1">
      <c r="A267" s="555" t="s">
        <v>4541</v>
      </c>
      <c r="B267" s="479">
        <v>265</v>
      </c>
      <c r="C267" s="480" t="s">
        <v>4255</v>
      </c>
      <c r="D267" s="480" t="s">
        <v>4507</v>
      </c>
      <c r="E267" s="480" t="str">
        <f t="shared" si="18"/>
        <v xml:space="preserve">2.6.4 </v>
      </c>
      <c r="F267" s="480" t="s">
        <v>4537</v>
      </c>
      <c r="G267" s="480" t="s">
        <v>4538</v>
      </c>
      <c r="H267" s="481">
        <v>23</v>
      </c>
      <c r="I267" s="480" t="s">
        <v>4546</v>
      </c>
      <c r="J267" s="495">
        <v>230107500</v>
      </c>
      <c r="K267" s="480" t="s">
        <v>4181</v>
      </c>
      <c r="L267" s="480" t="s">
        <v>4182</v>
      </c>
      <c r="M267" s="480" t="s">
        <v>5879</v>
      </c>
      <c r="N267" s="499">
        <v>0</v>
      </c>
      <c r="O267" s="480" t="s">
        <v>4543</v>
      </c>
      <c r="P267" s="515">
        <v>2</v>
      </c>
      <c r="Q267" s="485" t="s">
        <v>5349</v>
      </c>
      <c r="R267" s="485" t="s">
        <v>5466</v>
      </c>
      <c r="S267" s="485" t="s">
        <v>5467</v>
      </c>
      <c r="T267" s="485">
        <v>71.2</v>
      </c>
      <c r="U267" s="485" t="s">
        <v>5374</v>
      </c>
      <c r="V267" s="485">
        <v>75</v>
      </c>
      <c r="W267" s="485" t="s">
        <v>5331</v>
      </c>
      <c r="X267" s="485" t="s">
        <v>5468</v>
      </c>
      <c r="Y267" s="485" t="s">
        <v>5469</v>
      </c>
      <c r="Z267" s="486">
        <v>9419602</v>
      </c>
      <c r="AA267" s="486">
        <v>0</v>
      </c>
      <c r="AB267" s="486">
        <v>0</v>
      </c>
      <c r="AC267" s="486">
        <v>0</v>
      </c>
      <c r="AD267" s="486">
        <v>0</v>
      </c>
      <c r="AE267" s="486">
        <v>0</v>
      </c>
      <c r="AF267" s="486">
        <v>0</v>
      </c>
      <c r="AG267" s="486">
        <v>0</v>
      </c>
      <c r="AH267" s="487">
        <v>9419602</v>
      </c>
      <c r="AI267" s="486">
        <v>0</v>
      </c>
      <c r="AJ267" s="486">
        <v>0</v>
      </c>
      <c r="AK267" s="486">
        <v>0</v>
      </c>
      <c r="AL267" s="488">
        <v>0</v>
      </c>
      <c r="AM267" s="489">
        <v>9419602</v>
      </c>
      <c r="AN267" s="486">
        <v>9796386</v>
      </c>
      <c r="AO267" s="486">
        <v>0</v>
      </c>
      <c r="AP267" s="486">
        <v>0</v>
      </c>
      <c r="AQ267" s="486">
        <v>0</v>
      </c>
      <c r="AR267" s="486">
        <v>0</v>
      </c>
      <c r="AS267" s="486">
        <v>0</v>
      </c>
      <c r="AT267" s="486">
        <v>0</v>
      </c>
      <c r="AU267" s="486">
        <v>0</v>
      </c>
      <c r="AV267" s="487">
        <v>9796386</v>
      </c>
      <c r="AW267" s="486">
        <v>0</v>
      </c>
      <c r="AX267" s="486">
        <v>0</v>
      </c>
      <c r="AY267" s="486">
        <v>0</v>
      </c>
      <c r="AZ267" s="488">
        <v>0</v>
      </c>
      <c r="BA267" s="490">
        <v>9796386</v>
      </c>
      <c r="BB267" s="486">
        <v>10188241</v>
      </c>
      <c r="BC267" s="486">
        <v>0</v>
      </c>
      <c r="BD267" s="486">
        <v>0</v>
      </c>
      <c r="BE267" s="486">
        <v>0</v>
      </c>
      <c r="BF267" s="486">
        <v>0</v>
      </c>
      <c r="BG267" s="486">
        <v>0</v>
      </c>
      <c r="BH267" s="486">
        <v>0</v>
      </c>
      <c r="BI267" s="486">
        <v>0</v>
      </c>
      <c r="BJ267" s="487">
        <v>10188241</v>
      </c>
      <c r="BK267" s="486">
        <v>0</v>
      </c>
      <c r="BL267" s="486">
        <v>0</v>
      </c>
      <c r="BM267" s="486">
        <v>0</v>
      </c>
      <c r="BN267" s="488">
        <v>0</v>
      </c>
      <c r="BO267" s="490">
        <v>10188241</v>
      </c>
      <c r="BP267" s="486">
        <v>10595771</v>
      </c>
      <c r="BQ267" s="486">
        <v>0</v>
      </c>
      <c r="BR267" s="486">
        <v>0</v>
      </c>
      <c r="BS267" s="486">
        <v>0</v>
      </c>
      <c r="BT267" s="486">
        <v>0</v>
      </c>
      <c r="BU267" s="486">
        <v>0</v>
      </c>
      <c r="BV267" s="486">
        <v>0</v>
      </c>
      <c r="BW267" s="486">
        <v>0</v>
      </c>
      <c r="BX267" s="487">
        <v>10595771</v>
      </c>
      <c r="BY267" s="486">
        <v>0</v>
      </c>
      <c r="BZ267" s="486">
        <v>0</v>
      </c>
      <c r="CA267" s="486">
        <v>0</v>
      </c>
      <c r="CB267" s="488">
        <v>0</v>
      </c>
      <c r="CC267" s="491">
        <v>10595771</v>
      </c>
      <c r="CD267" s="492">
        <v>40000000</v>
      </c>
      <c r="CE267" s="493">
        <f t="shared" ref="CE267:CL330" si="21">Z267+AN267+BB267+BP267</f>
        <v>40000000</v>
      </c>
      <c r="CF267" s="493">
        <f t="shared" si="21"/>
        <v>0</v>
      </c>
      <c r="CG267" s="493">
        <f t="shared" si="21"/>
        <v>0</v>
      </c>
      <c r="CH267" s="493">
        <f t="shared" si="20"/>
        <v>0</v>
      </c>
      <c r="CI267" s="493">
        <f t="shared" si="20"/>
        <v>0</v>
      </c>
      <c r="CJ267" s="493">
        <f t="shared" si="20"/>
        <v>0</v>
      </c>
      <c r="CK267" s="493">
        <f t="shared" si="20"/>
        <v>0</v>
      </c>
      <c r="CL267" s="493">
        <f t="shared" si="20"/>
        <v>0</v>
      </c>
      <c r="CM267" s="493">
        <f t="shared" si="19"/>
        <v>0</v>
      </c>
      <c r="CN267" s="493">
        <f t="shared" si="19"/>
        <v>0</v>
      </c>
      <c r="CO267" s="493">
        <f t="shared" si="19"/>
        <v>0</v>
      </c>
    </row>
    <row r="268" spans="1:93" ht="30.45" hidden="1" customHeight="1">
      <c r="A268" s="555" t="s">
        <v>1251</v>
      </c>
      <c r="B268" s="479">
        <v>266</v>
      </c>
      <c r="C268" s="480" t="s">
        <v>4255</v>
      </c>
      <c r="D268" s="480" t="s">
        <v>4507</v>
      </c>
      <c r="E268" s="480" t="str">
        <f t="shared" si="18"/>
        <v xml:space="preserve">2.6.5 </v>
      </c>
      <c r="F268" s="480" t="s">
        <v>4547</v>
      </c>
      <c r="G268" s="480" t="s">
        <v>4548</v>
      </c>
      <c r="H268" s="481">
        <v>45</v>
      </c>
      <c r="I268" s="480" t="s">
        <v>4180</v>
      </c>
      <c r="J268" s="495">
        <v>459901600</v>
      </c>
      <c r="K268" s="480" t="s">
        <v>4549</v>
      </c>
      <c r="L268" s="480" t="s">
        <v>6530</v>
      </c>
      <c r="M268" s="480" t="s">
        <v>6531</v>
      </c>
      <c r="N268" s="499">
        <v>18</v>
      </c>
      <c r="O268" s="480" t="s">
        <v>4550</v>
      </c>
      <c r="P268" s="515">
        <v>38</v>
      </c>
      <c r="Q268" s="485" t="s">
        <v>5349</v>
      </c>
      <c r="R268" s="485" t="s">
        <v>5470</v>
      </c>
      <c r="S268" s="485" t="s">
        <v>5467</v>
      </c>
      <c r="T268" s="485" t="s">
        <v>5471</v>
      </c>
      <c r="U268" s="485" t="s">
        <v>5374</v>
      </c>
      <c r="V268" s="485" t="s">
        <v>5472</v>
      </c>
      <c r="W268" s="485" t="s">
        <v>5372</v>
      </c>
      <c r="X268" s="485">
        <v>8</v>
      </c>
      <c r="Y268" s="485" t="s">
        <v>5452</v>
      </c>
      <c r="Z268" s="486">
        <v>710347000</v>
      </c>
      <c r="AA268" s="486">
        <v>0</v>
      </c>
      <c r="AB268" s="486">
        <v>0</v>
      </c>
      <c r="AC268" s="486">
        <v>0</v>
      </c>
      <c r="AD268" s="486">
        <v>0</v>
      </c>
      <c r="AE268" s="486">
        <v>0</v>
      </c>
      <c r="AF268" s="486">
        <v>0</v>
      </c>
      <c r="AG268" s="486">
        <v>0</v>
      </c>
      <c r="AH268" s="487">
        <v>710347000</v>
      </c>
      <c r="AI268" s="486">
        <v>158796000</v>
      </c>
      <c r="AJ268" s="486">
        <v>0</v>
      </c>
      <c r="AK268" s="486">
        <v>0</v>
      </c>
      <c r="AL268" s="488">
        <v>158796000</v>
      </c>
      <c r="AM268" s="489">
        <v>869143000</v>
      </c>
      <c r="AN268" s="486">
        <v>781381700</v>
      </c>
      <c r="AO268" s="486">
        <v>0</v>
      </c>
      <c r="AP268" s="486">
        <v>0</v>
      </c>
      <c r="AQ268" s="486">
        <v>0</v>
      </c>
      <c r="AR268" s="486">
        <v>0</v>
      </c>
      <c r="AS268" s="486">
        <v>0</v>
      </c>
      <c r="AT268" s="486">
        <v>0</v>
      </c>
      <c r="AU268" s="486">
        <v>0</v>
      </c>
      <c r="AV268" s="487">
        <v>781381700</v>
      </c>
      <c r="AW268" s="486">
        <v>1174675600</v>
      </c>
      <c r="AX268" s="486">
        <v>0</v>
      </c>
      <c r="AY268" s="486">
        <v>0</v>
      </c>
      <c r="AZ268" s="488">
        <v>1174675600</v>
      </c>
      <c r="BA268" s="490">
        <v>1956057300</v>
      </c>
      <c r="BB268" s="486">
        <v>859519870</v>
      </c>
      <c r="BC268" s="486">
        <v>0</v>
      </c>
      <c r="BD268" s="486">
        <v>0</v>
      </c>
      <c r="BE268" s="486">
        <v>0</v>
      </c>
      <c r="BF268" s="486">
        <v>0</v>
      </c>
      <c r="BG268" s="486">
        <v>0</v>
      </c>
      <c r="BH268" s="486">
        <v>0</v>
      </c>
      <c r="BI268" s="486">
        <v>0</v>
      </c>
      <c r="BJ268" s="487">
        <v>859519870</v>
      </c>
      <c r="BK268" s="486">
        <v>1192143160</v>
      </c>
      <c r="BL268" s="486">
        <v>0</v>
      </c>
      <c r="BM268" s="486">
        <v>0</v>
      </c>
      <c r="BN268" s="488">
        <v>1192143160</v>
      </c>
      <c r="BO268" s="490">
        <v>2051663030</v>
      </c>
      <c r="BP268" s="486">
        <v>945471857</v>
      </c>
      <c r="BQ268" s="486">
        <v>0</v>
      </c>
      <c r="BR268" s="486">
        <v>0</v>
      </c>
      <c r="BS268" s="486">
        <v>0</v>
      </c>
      <c r="BT268" s="486">
        <v>0</v>
      </c>
      <c r="BU268" s="486">
        <v>0</v>
      </c>
      <c r="BV268" s="486">
        <v>0</v>
      </c>
      <c r="BW268" s="486">
        <v>0</v>
      </c>
      <c r="BX268" s="487">
        <v>945471857</v>
      </c>
      <c r="BY268" s="486">
        <v>1211357476</v>
      </c>
      <c r="BZ268" s="486">
        <v>0</v>
      </c>
      <c r="CA268" s="486">
        <v>0</v>
      </c>
      <c r="CB268" s="488">
        <v>1211357476</v>
      </c>
      <c r="CC268" s="491">
        <v>2156829333</v>
      </c>
      <c r="CD268" s="492">
        <v>7033692663</v>
      </c>
      <c r="CE268" s="493">
        <f t="shared" si="21"/>
        <v>3296720427</v>
      </c>
      <c r="CF268" s="493">
        <f t="shared" si="21"/>
        <v>0</v>
      </c>
      <c r="CG268" s="493">
        <f t="shared" si="21"/>
        <v>0</v>
      </c>
      <c r="CH268" s="493">
        <f t="shared" si="20"/>
        <v>0</v>
      </c>
      <c r="CI268" s="493">
        <f t="shared" si="20"/>
        <v>0</v>
      </c>
      <c r="CJ268" s="493">
        <f t="shared" si="20"/>
        <v>0</v>
      </c>
      <c r="CK268" s="493">
        <f t="shared" si="20"/>
        <v>0</v>
      </c>
      <c r="CL268" s="493">
        <f t="shared" si="20"/>
        <v>0</v>
      </c>
      <c r="CM268" s="493">
        <f t="shared" si="19"/>
        <v>3736972236</v>
      </c>
      <c r="CN268" s="493">
        <f t="shared" si="19"/>
        <v>0</v>
      </c>
      <c r="CO268" s="493">
        <f t="shared" si="19"/>
        <v>0</v>
      </c>
    </row>
    <row r="269" spans="1:93" ht="30.45" hidden="1" customHeight="1">
      <c r="A269" s="555" t="s">
        <v>1251</v>
      </c>
      <c r="B269" s="479">
        <v>267</v>
      </c>
      <c r="C269" s="480" t="s">
        <v>4255</v>
      </c>
      <c r="D269" s="480" t="s">
        <v>4507</v>
      </c>
      <c r="E269" s="480" t="str">
        <f t="shared" si="18"/>
        <v xml:space="preserve">2.6.5 </v>
      </c>
      <c r="F269" s="480" t="s">
        <v>4547</v>
      </c>
      <c r="G269" s="480" t="s">
        <v>4548</v>
      </c>
      <c r="H269" s="481">
        <v>45</v>
      </c>
      <c r="I269" s="480" t="s">
        <v>4180</v>
      </c>
      <c r="J269" s="495">
        <v>459903400</v>
      </c>
      <c r="K269" s="480" t="s">
        <v>4037</v>
      </c>
      <c r="L269" s="480" t="s">
        <v>4080</v>
      </c>
      <c r="M269" s="480" t="s">
        <v>5880</v>
      </c>
      <c r="N269" s="499">
        <v>24</v>
      </c>
      <c r="O269" s="480" t="s">
        <v>4550</v>
      </c>
      <c r="P269" s="515">
        <v>36</v>
      </c>
      <c r="Q269" s="485" t="s">
        <v>5349</v>
      </c>
      <c r="R269" s="485" t="s">
        <v>5470</v>
      </c>
      <c r="S269" s="485" t="s">
        <v>5467</v>
      </c>
      <c r="T269" s="485" t="s">
        <v>5471</v>
      </c>
      <c r="U269" s="485" t="s">
        <v>5374</v>
      </c>
      <c r="V269" s="485" t="s">
        <v>5472</v>
      </c>
      <c r="W269" s="485" t="s">
        <v>5372</v>
      </c>
      <c r="X269" s="485">
        <v>8</v>
      </c>
      <c r="Y269" s="485" t="s">
        <v>5452</v>
      </c>
      <c r="Z269" s="486">
        <v>31097000</v>
      </c>
      <c r="AA269" s="486">
        <v>0</v>
      </c>
      <c r="AB269" s="486">
        <v>0</v>
      </c>
      <c r="AC269" s="486">
        <v>0</v>
      </c>
      <c r="AD269" s="486">
        <v>0</v>
      </c>
      <c r="AE269" s="486">
        <v>0</v>
      </c>
      <c r="AF269" s="486">
        <v>0</v>
      </c>
      <c r="AG269" s="486">
        <v>0</v>
      </c>
      <c r="AH269" s="487">
        <v>31097000</v>
      </c>
      <c r="AI269" s="486">
        <v>834029000</v>
      </c>
      <c r="AJ269" s="486">
        <v>0</v>
      </c>
      <c r="AK269" s="486">
        <v>0</v>
      </c>
      <c r="AL269" s="488">
        <v>834029000</v>
      </c>
      <c r="AM269" s="489">
        <v>865126000</v>
      </c>
      <c r="AN269" s="486">
        <v>62577400</v>
      </c>
      <c r="AO269" s="486"/>
      <c r="AP269" s="486">
        <v>0</v>
      </c>
      <c r="AQ269" s="486">
        <v>0</v>
      </c>
      <c r="AR269" s="486">
        <v>0</v>
      </c>
      <c r="AS269" s="486">
        <v>0</v>
      </c>
      <c r="AT269" s="486">
        <v>0</v>
      </c>
      <c r="AU269" s="486">
        <v>0</v>
      </c>
      <c r="AV269" s="487">
        <v>62577400</v>
      </c>
      <c r="AW269" s="486">
        <v>642431900</v>
      </c>
      <c r="AX269" s="486">
        <v>0</v>
      </c>
      <c r="AY269" s="486">
        <v>0</v>
      </c>
      <c r="AZ269" s="488">
        <v>642431900</v>
      </c>
      <c r="BA269" s="490">
        <v>705009300</v>
      </c>
      <c r="BB269" s="486">
        <v>37627370</v>
      </c>
      <c r="BC269" s="486">
        <v>0</v>
      </c>
      <c r="BD269" s="486">
        <v>0</v>
      </c>
      <c r="BE269" s="486">
        <v>0</v>
      </c>
      <c r="BF269" s="486">
        <v>0</v>
      </c>
      <c r="BG269" s="486">
        <v>0</v>
      </c>
      <c r="BH269" s="486">
        <v>0</v>
      </c>
      <c r="BI269" s="486">
        <v>0</v>
      </c>
      <c r="BJ269" s="487">
        <v>37627370</v>
      </c>
      <c r="BK269" s="486">
        <v>651675090</v>
      </c>
      <c r="BL269" s="486">
        <v>0</v>
      </c>
      <c r="BM269" s="486">
        <v>0</v>
      </c>
      <c r="BN269" s="488">
        <v>651675090</v>
      </c>
      <c r="BO269" s="490">
        <v>689302460</v>
      </c>
      <c r="BP269" s="486">
        <v>41390107</v>
      </c>
      <c r="BQ269" s="486">
        <v>0</v>
      </c>
      <c r="BR269" s="486">
        <v>0</v>
      </c>
      <c r="BS269" s="486">
        <v>0</v>
      </c>
      <c r="BT269" s="486">
        <v>0</v>
      </c>
      <c r="BU269" s="486">
        <v>0</v>
      </c>
      <c r="BV269" s="486">
        <v>0</v>
      </c>
      <c r="BW269" s="486">
        <v>0</v>
      </c>
      <c r="BX269" s="487">
        <v>41390107</v>
      </c>
      <c r="BY269" s="486">
        <v>661842599</v>
      </c>
      <c r="BZ269" s="486">
        <v>0</v>
      </c>
      <c r="CA269" s="486">
        <v>0</v>
      </c>
      <c r="CB269" s="488">
        <v>661842599</v>
      </c>
      <c r="CC269" s="491">
        <v>703232706</v>
      </c>
      <c r="CD269" s="492">
        <v>2962670466</v>
      </c>
      <c r="CE269" s="493">
        <f t="shared" si="21"/>
        <v>172691877</v>
      </c>
      <c r="CF269" s="493">
        <f t="shared" si="21"/>
        <v>0</v>
      </c>
      <c r="CG269" s="493">
        <f t="shared" si="21"/>
        <v>0</v>
      </c>
      <c r="CH269" s="493">
        <f t="shared" si="20"/>
        <v>0</v>
      </c>
      <c r="CI269" s="493">
        <f t="shared" si="20"/>
        <v>0</v>
      </c>
      <c r="CJ269" s="493">
        <f t="shared" si="20"/>
        <v>0</v>
      </c>
      <c r="CK269" s="493">
        <f t="shared" si="20"/>
        <v>0</v>
      </c>
      <c r="CL269" s="493">
        <f t="shared" si="20"/>
        <v>0</v>
      </c>
      <c r="CM269" s="493">
        <f t="shared" si="19"/>
        <v>2789978589</v>
      </c>
      <c r="CN269" s="493">
        <f t="shared" si="19"/>
        <v>0</v>
      </c>
      <c r="CO269" s="493">
        <f t="shared" si="19"/>
        <v>0</v>
      </c>
    </row>
    <row r="270" spans="1:93" ht="30.45" hidden="1" customHeight="1">
      <c r="A270" s="555" t="s">
        <v>1251</v>
      </c>
      <c r="B270" s="479">
        <v>268</v>
      </c>
      <c r="C270" s="480" t="s">
        <v>4255</v>
      </c>
      <c r="D270" s="480" t="s">
        <v>4507</v>
      </c>
      <c r="E270" s="480" t="str">
        <f t="shared" si="18"/>
        <v xml:space="preserve">2.6.5 </v>
      </c>
      <c r="F270" s="480" t="s">
        <v>4547</v>
      </c>
      <c r="G270" s="480" t="s">
        <v>4548</v>
      </c>
      <c r="H270" s="481">
        <v>45</v>
      </c>
      <c r="I270" s="480" t="s">
        <v>4180</v>
      </c>
      <c r="J270" s="495">
        <v>459903100</v>
      </c>
      <c r="K270" s="480" t="s">
        <v>4215</v>
      </c>
      <c r="L270" s="480" t="s">
        <v>4216</v>
      </c>
      <c r="M270" s="480" t="s">
        <v>5881</v>
      </c>
      <c r="N270" s="499">
        <v>0</v>
      </c>
      <c r="O270" s="480" t="s">
        <v>4551</v>
      </c>
      <c r="P270" s="515">
        <v>31</v>
      </c>
      <c r="Q270" s="485" t="s">
        <v>5349</v>
      </c>
      <c r="R270" s="485" t="s">
        <v>5470</v>
      </c>
      <c r="S270" s="485" t="s">
        <v>5467</v>
      </c>
      <c r="T270" s="485" t="s">
        <v>5471</v>
      </c>
      <c r="U270" s="485" t="s">
        <v>5374</v>
      </c>
      <c r="V270" s="485" t="s">
        <v>5472</v>
      </c>
      <c r="W270" s="485" t="s">
        <v>5372</v>
      </c>
      <c r="X270" s="485">
        <v>8</v>
      </c>
      <c r="Y270" s="485" t="s">
        <v>5452</v>
      </c>
      <c r="Z270" s="486">
        <v>52932000</v>
      </c>
      <c r="AA270" s="486">
        <v>0</v>
      </c>
      <c r="AB270" s="486">
        <v>0</v>
      </c>
      <c r="AC270" s="486">
        <v>0</v>
      </c>
      <c r="AD270" s="486">
        <v>0</v>
      </c>
      <c r="AE270" s="486">
        <v>0</v>
      </c>
      <c r="AF270" s="486">
        <v>0</v>
      </c>
      <c r="AG270" s="486">
        <v>0</v>
      </c>
      <c r="AH270" s="487">
        <v>52932000</v>
      </c>
      <c r="AI270" s="486">
        <v>3636961000</v>
      </c>
      <c r="AJ270" s="486">
        <v>0</v>
      </c>
      <c r="AK270" s="486">
        <v>0</v>
      </c>
      <c r="AL270" s="488">
        <v>3636961000</v>
      </c>
      <c r="AM270" s="489">
        <v>3689893000</v>
      </c>
      <c r="AN270" s="486">
        <v>150657100</v>
      </c>
      <c r="AO270" s="486">
        <v>0</v>
      </c>
      <c r="AP270" s="486">
        <v>0</v>
      </c>
      <c r="AQ270" s="486">
        <v>0</v>
      </c>
      <c r="AR270" s="486">
        <v>0</v>
      </c>
      <c r="AS270" s="486">
        <v>0</v>
      </c>
      <c r="AT270" s="486">
        <v>0</v>
      </c>
      <c r="AU270" s="486">
        <v>0</v>
      </c>
      <c r="AV270" s="487">
        <v>150657100</v>
      </c>
      <c r="AW270" s="486">
        <v>3892225200</v>
      </c>
      <c r="AX270" s="486">
        <v>0</v>
      </c>
      <c r="AY270" s="486">
        <v>0</v>
      </c>
      <c r="AZ270" s="488">
        <v>3892225200</v>
      </c>
      <c r="BA270" s="490">
        <v>4042882300</v>
      </c>
      <c r="BB270" s="486">
        <v>165722810</v>
      </c>
      <c r="BC270" s="486">
        <v>0</v>
      </c>
      <c r="BD270" s="486">
        <v>0</v>
      </c>
      <c r="BE270" s="486">
        <v>0</v>
      </c>
      <c r="BF270" s="486">
        <v>0</v>
      </c>
      <c r="BG270" s="486">
        <v>0</v>
      </c>
      <c r="BH270" s="486">
        <v>0</v>
      </c>
      <c r="BI270" s="486">
        <v>0</v>
      </c>
      <c r="BJ270" s="487">
        <v>165722810</v>
      </c>
      <c r="BK270" s="486">
        <v>4281447720</v>
      </c>
      <c r="BL270" s="486">
        <v>0</v>
      </c>
      <c r="BM270" s="486">
        <v>0</v>
      </c>
      <c r="BN270" s="488">
        <v>4281447720</v>
      </c>
      <c r="BO270" s="490">
        <v>4447170530</v>
      </c>
      <c r="BP270" s="486">
        <v>182295091</v>
      </c>
      <c r="BQ270" s="486">
        <v>0</v>
      </c>
      <c r="BR270" s="486">
        <v>0</v>
      </c>
      <c r="BS270" s="486">
        <v>0</v>
      </c>
      <c r="BT270" s="486">
        <v>0</v>
      </c>
      <c r="BU270" s="486">
        <v>0</v>
      </c>
      <c r="BV270" s="486">
        <v>0</v>
      </c>
      <c r="BW270" s="486">
        <v>0</v>
      </c>
      <c r="BX270" s="487">
        <v>182295091</v>
      </c>
      <c r="BY270" s="486">
        <v>4709592492</v>
      </c>
      <c r="BZ270" s="486">
        <v>0</v>
      </c>
      <c r="CA270" s="486">
        <v>0</v>
      </c>
      <c r="CB270" s="488">
        <v>4709592492</v>
      </c>
      <c r="CC270" s="491">
        <v>4891887583</v>
      </c>
      <c r="CD270" s="492">
        <v>17071833413</v>
      </c>
      <c r="CE270" s="493">
        <f t="shared" si="21"/>
        <v>551607001</v>
      </c>
      <c r="CF270" s="493">
        <f t="shared" si="21"/>
        <v>0</v>
      </c>
      <c r="CG270" s="493">
        <f t="shared" si="21"/>
        <v>0</v>
      </c>
      <c r="CH270" s="493">
        <f t="shared" si="20"/>
        <v>0</v>
      </c>
      <c r="CI270" s="493">
        <f t="shared" si="20"/>
        <v>0</v>
      </c>
      <c r="CJ270" s="493">
        <f t="shared" si="20"/>
        <v>0</v>
      </c>
      <c r="CK270" s="493">
        <f t="shared" si="20"/>
        <v>0</v>
      </c>
      <c r="CL270" s="493">
        <f t="shared" si="20"/>
        <v>0</v>
      </c>
      <c r="CM270" s="493">
        <f t="shared" si="19"/>
        <v>16520226412</v>
      </c>
      <c r="CN270" s="493">
        <f t="shared" si="19"/>
        <v>0</v>
      </c>
      <c r="CO270" s="493">
        <f t="shared" si="19"/>
        <v>0</v>
      </c>
    </row>
    <row r="271" spans="1:93" ht="30.45" hidden="1" customHeight="1">
      <c r="A271" s="555" t="s">
        <v>1251</v>
      </c>
      <c r="B271" s="479">
        <v>269</v>
      </c>
      <c r="C271" s="480" t="s">
        <v>4255</v>
      </c>
      <c r="D271" s="480" t="s">
        <v>4507</v>
      </c>
      <c r="E271" s="480" t="str">
        <f t="shared" si="18"/>
        <v xml:space="preserve">2.6.5 </v>
      </c>
      <c r="F271" s="480" t="s">
        <v>4547</v>
      </c>
      <c r="G271" s="480" t="s">
        <v>4548</v>
      </c>
      <c r="H271" s="481">
        <v>45</v>
      </c>
      <c r="I271" s="480" t="s">
        <v>4180</v>
      </c>
      <c r="J271" s="495">
        <v>459901700</v>
      </c>
      <c r="K271" s="480" t="s">
        <v>4094</v>
      </c>
      <c r="L271" s="480" t="s">
        <v>4095</v>
      </c>
      <c r="M271" s="480" t="s">
        <v>5882</v>
      </c>
      <c r="N271" s="499">
        <v>1</v>
      </c>
      <c r="O271" s="480" t="s">
        <v>4503</v>
      </c>
      <c r="P271" s="515">
        <v>1</v>
      </c>
      <c r="Q271" s="485" t="s">
        <v>5349</v>
      </c>
      <c r="R271" s="485" t="s">
        <v>5470</v>
      </c>
      <c r="S271" s="485" t="s">
        <v>5467</v>
      </c>
      <c r="T271" s="485" t="s">
        <v>5471</v>
      </c>
      <c r="U271" s="485" t="s">
        <v>5374</v>
      </c>
      <c r="V271" s="485" t="s">
        <v>5472</v>
      </c>
      <c r="W271" s="485" t="s">
        <v>5372</v>
      </c>
      <c r="X271" s="485">
        <v>8</v>
      </c>
      <c r="Y271" s="485" t="s">
        <v>5452</v>
      </c>
      <c r="Z271" s="486">
        <v>812301957</v>
      </c>
      <c r="AA271" s="486">
        <v>0</v>
      </c>
      <c r="AB271" s="486">
        <v>0</v>
      </c>
      <c r="AC271" s="486">
        <v>0</v>
      </c>
      <c r="AD271" s="486">
        <v>0</v>
      </c>
      <c r="AE271" s="486">
        <v>0</v>
      </c>
      <c r="AF271" s="486">
        <v>0</v>
      </c>
      <c r="AG271" s="486">
        <v>0</v>
      </c>
      <c r="AH271" s="487">
        <v>812301957</v>
      </c>
      <c r="AI271" s="486">
        <v>1172419404.8</v>
      </c>
      <c r="AJ271" s="486">
        <v>0</v>
      </c>
      <c r="AK271" s="486">
        <v>0</v>
      </c>
      <c r="AL271" s="488">
        <v>1172419404.8</v>
      </c>
      <c r="AM271" s="489">
        <v>1984721361.8</v>
      </c>
      <c r="AN271" s="486">
        <v>778834100</v>
      </c>
      <c r="AO271" s="486">
        <v>0</v>
      </c>
      <c r="AP271" s="486">
        <v>0</v>
      </c>
      <c r="AQ271" s="486">
        <v>0</v>
      </c>
      <c r="AR271" s="486">
        <v>0</v>
      </c>
      <c r="AS271" s="486">
        <v>0</v>
      </c>
      <c r="AT271" s="486">
        <v>0</v>
      </c>
      <c r="AU271" s="486">
        <v>0</v>
      </c>
      <c r="AV271" s="487">
        <v>778834100</v>
      </c>
      <c r="AW271" s="486">
        <v>698995932</v>
      </c>
      <c r="AX271" s="486">
        <v>0</v>
      </c>
      <c r="AY271" s="486">
        <v>0</v>
      </c>
      <c r="AZ271" s="488">
        <v>698995932</v>
      </c>
      <c r="BA271" s="490">
        <v>1477830032</v>
      </c>
      <c r="BB271" s="486">
        <v>856717510</v>
      </c>
      <c r="BC271" s="486">
        <v>0</v>
      </c>
      <c r="BD271" s="486">
        <v>0</v>
      </c>
      <c r="BE271" s="486">
        <v>0</v>
      </c>
      <c r="BF271" s="486">
        <v>0</v>
      </c>
      <c r="BG271" s="486">
        <v>0</v>
      </c>
      <c r="BH271" s="486">
        <v>0</v>
      </c>
      <c r="BI271" s="486">
        <v>0</v>
      </c>
      <c r="BJ271" s="487">
        <v>856717510</v>
      </c>
      <c r="BK271" s="486">
        <v>716176172</v>
      </c>
      <c r="BL271" s="486">
        <v>0</v>
      </c>
      <c r="BM271" s="486">
        <v>0</v>
      </c>
      <c r="BN271" s="488">
        <v>716176172</v>
      </c>
      <c r="BO271" s="490">
        <v>1572893682</v>
      </c>
      <c r="BP271" s="486">
        <v>925714368</v>
      </c>
      <c r="BQ271" s="486">
        <v>0</v>
      </c>
      <c r="BR271" s="486">
        <v>0</v>
      </c>
      <c r="BS271" s="486">
        <v>0</v>
      </c>
      <c r="BT271" s="486">
        <v>0</v>
      </c>
      <c r="BU271" s="486">
        <v>0</v>
      </c>
      <c r="BV271" s="486">
        <v>0</v>
      </c>
      <c r="BW271" s="486">
        <v>0</v>
      </c>
      <c r="BX271" s="487">
        <v>925714368</v>
      </c>
      <c r="BY271" s="486">
        <v>751749329</v>
      </c>
      <c r="BZ271" s="486">
        <v>0</v>
      </c>
      <c r="CA271" s="486">
        <v>0</v>
      </c>
      <c r="CB271" s="488">
        <v>751749329</v>
      </c>
      <c r="CC271" s="491">
        <v>1677463697</v>
      </c>
      <c r="CD271" s="492">
        <v>6712908772.8000002</v>
      </c>
      <c r="CE271" s="493">
        <f t="shared" si="21"/>
        <v>3373567935</v>
      </c>
      <c r="CF271" s="493">
        <f t="shared" si="21"/>
        <v>0</v>
      </c>
      <c r="CG271" s="493">
        <f t="shared" si="21"/>
        <v>0</v>
      </c>
      <c r="CH271" s="493">
        <f t="shared" si="20"/>
        <v>0</v>
      </c>
      <c r="CI271" s="493">
        <f t="shared" si="20"/>
        <v>0</v>
      </c>
      <c r="CJ271" s="493">
        <f t="shared" si="20"/>
        <v>0</v>
      </c>
      <c r="CK271" s="493">
        <f t="shared" si="20"/>
        <v>0</v>
      </c>
      <c r="CL271" s="493">
        <f t="shared" si="20"/>
        <v>0</v>
      </c>
      <c r="CM271" s="493">
        <f t="shared" si="19"/>
        <v>3339340837.8000002</v>
      </c>
      <c r="CN271" s="493">
        <f t="shared" si="19"/>
        <v>0</v>
      </c>
      <c r="CO271" s="493">
        <f t="shared" si="19"/>
        <v>0</v>
      </c>
    </row>
    <row r="272" spans="1:93" ht="30.45" hidden="1" customHeight="1">
      <c r="A272" s="555" t="s">
        <v>1251</v>
      </c>
      <c r="B272" s="479">
        <v>270</v>
      </c>
      <c r="C272" s="480" t="s">
        <v>4255</v>
      </c>
      <c r="D272" s="480" t="s">
        <v>4507</v>
      </c>
      <c r="E272" s="480" t="str">
        <f t="shared" si="18"/>
        <v xml:space="preserve">2.6.5 </v>
      </c>
      <c r="F272" s="480" t="s">
        <v>4547</v>
      </c>
      <c r="G272" s="480" t="s">
        <v>4548</v>
      </c>
      <c r="H272" s="481">
        <v>45</v>
      </c>
      <c r="I272" s="480" t="s">
        <v>4180</v>
      </c>
      <c r="J272" s="495">
        <v>459901800</v>
      </c>
      <c r="K272" s="480" t="s">
        <v>4063</v>
      </c>
      <c r="L272" s="480" t="s">
        <v>4112</v>
      </c>
      <c r="M272" s="480" t="s">
        <v>5883</v>
      </c>
      <c r="N272" s="499">
        <v>4</v>
      </c>
      <c r="O272" s="480" t="s">
        <v>4503</v>
      </c>
      <c r="P272" s="515">
        <v>11</v>
      </c>
      <c r="Q272" s="485" t="s">
        <v>5349</v>
      </c>
      <c r="R272" s="485" t="s">
        <v>5470</v>
      </c>
      <c r="S272" s="485" t="s">
        <v>5467</v>
      </c>
      <c r="T272" s="485" t="s">
        <v>5471</v>
      </c>
      <c r="U272" s="485" t="s">
        <v>5374</v>
      </c>
      <c r="V272" s="485" t="s">
        <v>5472</v>
      </c>
      <c r="W272" s="485" t="s">
        <v>5372</v>
      </c>
      <c r="X272" s="485">
        <v>8</v>
      </c>
      <c r="Y272" s="485" t="s">
        <v>5452</v>
      </c>
      <c r="Z272" s="486">
        <v>218350000</v>
      </c>
      <c r="AA272" s="486">
        <v>0</v>
      </c>
      <c r="AB272" s="486">
        <v>0</v>
      </c>
      <c r="AC272" s="486">
        <v>0</v>
      </c>
      <c r="AD272" s="486">
        <v>0</v>
      </c>
      <c r="AE272" s="486">
        <v>0</v>
      </c>
      <c r="AF272" s="486">
        <v>0</v>
      </c>
      <c r="AG272" s="486">
        <v>0</v>
      </c>
      <c r="AH272" s="487">
        <v>218350000</v>
      </c>
      <c r="AI272" s="486">
        <v>300000000</v>
      </c>
      <c r="AJ272" s="486">
        <v>0</v>
      </c>
      <c r="AK272" s="486">
        <v>0</v>
      </c>
      <c r="AL272" s="488">
        <v>300000000</v>
      </c>
      <c r="AM272" s="489">
        <v>518350000</v>
      </c>
      <c r="AN272" s="486">
        <v>240185000</v>
      </c>
      <c r="AO272" s="486">
        <v>0</v>
      </c>
      <c r="AP272" s="486">
        <v>0</v>
      </c>
      <c r="AQ272" s="486">
        <v>0</v>
      </c>
      <c r="AR272" s="486">
        <v>0</v>
      </c>
      <c r="AS272" s="486">
        <v>0</v>
      </c>
      <c r="AT272" s="486">
        <v>0</v>
      </c>
      <c r="AU272" s="486">
        <v>0</v>
      </c>
      <c r="AV272" s="487">
        <v>240185000</v>
      </c>
      <c r="AW272" s="486">
        <v>300000000</v>
      </c>
      <c r="AX272" s="486">
        <v>0</v>
      </c>
      <c r="AY272" s="486">
        <v>0</v>
      </c>
      <c r="AZ272" s="488">
        <v>300000000</v>
      </c>
      <c r="BA272" s="490">
        <v>540185000</v>
      </c>
      <c r="BB272" s="486">
        <v>264203500</v>
      </c>
      <c r="BC272" s="486">
        <v>0</v>
      </c>
      <c r="BD272" s="486">
        <v>0</v>
      </c>
      <c r="BE272" s="486">
        <v>0</v>
      </c>
      <c r="BF272" s="486">
        <v>0</v>
      </c>
      <c r="BG272" s="486">
        <v>0</v>
      </c>
      <c r="BH272" s="486">
        <v>0</v>
      </c>
      <c r="BI272" s="486">
        <v>0</v>
      </c>
      <c r="BJ272" s="487">
        <v>264203500</v>
      </c>
      <c r="BK272" s="486">
        <v>300000000</v>
      </c>
      <c r="BL272" s="486">
        <v>0</v>
      </c>
      <c r="BM272" s="486">
        <v>0</v>
      </c>
      <c r="BN272" s="488">
        <v>300000000</v>
      </c>
      <c r="BO272" s="490">
        <v>564203500</v>
      </c>
      <c r="BP272" s="486">
        <v>290623850</v>
      </c>
      <c r="BQ272" s="486">
        <v>0</v>
      </c>
      <c r="BR272" s="486">
        <v>0</v>
      </c>
      <c r="BS272" s="486">
        <v>0</v>
      </c>
      <c r="BT272" s="486">
        <v>0</v>
      </c>
      <c r="BU272" s="486">
        <v>0</v>
      </c>
      <c r="BV272" s="486">
        <v>0</v>
      </c>
      <c r="BW272" s="486">
        <v>0</v>
      </c>
      <c r="BX272" s="487">
        <v>290623850</v>
      </c>
      <c r="BY272" s="486">
        <v>1900000000</v>
      </c>
      <c r="BZ272" s="486">
        <v>0</v>
      </c>
      <c r="CA272" s="486">
        <v>0</v>
      </c>
      <c r="CB272" s="488">
        <v>1900000000</v>
      </c>
      <c r="CC272" s="491">
        <v>2190623850</v>
      </c>
      <c r="CD272" s="492">
        <v>3813362350</v>
      </c>
      <c r="CE272" s="493">
        <f t="shared" si="21"/>
        <v>1013362350</v>
      </c>
      <c r="CF272" s="493">
        <f t="shared" si="21"/>
        <v>0</v>
      </c>
      <c r="CG272" s="493">
        <f t="shared" si="21"/>
        <v>0</v>
      </c>
      <c r="CH272" s="493">
        <f t="shared" si="20"/>
        <v>0</v>
      </c>
      <c r="CI272" s="493">
        <f t="shared" si="20"/>
        <v>0</v>
      </c>
      <c r="CJ272" s="493">
        <f t="shared" si="20"/>
        <v>0</v>
      </c>
      <c r="CK272" s="493">
        <f t="shared" si="20"/>
        <v>0</v>
      </c>
      <c r="CL272" s="493">
        <f t="shared" si="20"/>
        <v>0</v>
      </c>
      <c r="CM272" s="493">
        <f t="shared" si="19"/>
        <v>2800000000</v>
      </c>
      <c r="CN272" s="493">
        <f t="shared" si="19"/>
        <v>0</v>
      </c>
      <c r="CO272" s="493">
        <f t="shared" si="19"/>
        <v>0</v>
      </c>
    </row>
    <row r="273" spans="1:93" ht="30.45" hidden="1" customHeight="1">
      <c r="A273" s="555" t="s">
        <v>4555</v>
      </c>
      <c r="B273" s="479">
        <v>271</v>
      </c>
      <c r="C273" s="480" t="s">
        <v>4255</v>
      </c>
      <c r="D273" s="480" t="s">
        <v>4507</v>
      </c>
      <c r="E273" s="480" t="str">
        <f t="shared" si="18"/>
        <v xml:space="preserve">2.6.6 </v>
      </c>
      <c r="F273" s="480" t="s">
        <v>4552</v>
      </c>
      <c r="G273" s="480" t="s">
        <v>4553</v>
      </c>
      <c r="H273" s="481">
        <v>45</v>
      </c>
      <c r="I273" s="480" t="s">
        <v>4180</v>
      </c>
      <c r="J273" s="495">
        <v>459900200</v>
      </c>
      <c r="K273" s="480" t="s">
        <v>677</v>
      </c>
      <c r="L273" s="480" t="s">
        <v>4554</v>
      </c>
      <c r="M273" s="480" t="s">
        <v>5884</v>
      </c>
      <c r="N273" s="499">
        <v>0</v>
      </c>
      <c r="O273" s="480" t="s">
        <v>6532</v>
      </c>
      <c r="P273" s="531">
        <v>0.6</v>
      </c>
      <c r="Q273" s="485" t="s">
        <v>5349</v>
      </c>
      <c r="R273" s="485" t="s">
        <v>5473</v>
      </c>
      <c r="S273" s="485" t="s">
        <v>5467</v>
      </c>
      <c r="T273" s="485" t="s">
        <v>5474</v>
      </c>
      <c r="U273" s="485" t="s">
        <v>5475</v>
      </c>
      <c r="V273" s="485">
        <v>90</v>
      </c>
      <c r="W273" s="485" t="s">
        <v>5331</v>
      </c>
      <c r="X273" s="485" t="s">
        <v>5468</v>
      </c>
      <c r="Y273" s="485" t="s">
        <v>5469</v>
      </c>
      <c r="Z273" s="486">
        <v>185192572</v>
      </c>
      <c r="AA273" s="486">
        <v>0</v>
      </c>
      <c r="AB273" s="486">
        <v>0</v>
      </c>
      <c r="AC273" s="486">
        <v>0</v>
      </c>
      <c r="AD273" s="486">
        <v>0</v>
      </c>
      <c r="AE273" s="486">
        <v>0</v>
      </c>
      <c r="AF273" s="486">
        <v>0</v>
      </c>
      <c r="AG273" s="486">
        <v>0</v>
      </c>
      <c r="AH273" s="487">
        <v>185192572</v>
      </c>
      <c r="AI273" s="486">
        <v>50001994</v>
      </c>
      <c r="AJ273" s="486">
        <v>0</v>
      </c>
      <c r="AK273" s="486">
        <v>0</v>
      </c>
      <c r="AL273" s="488">
        <v>50001994</v>
      </c>
      <c r="AM273" s="489">
        <v>235194566</v>
      </c>
      <c r="AN273" s="486">
        <v>192600273</v>
      </c>
      <c r="AO273" s="486">
        <v>0</v>
      </c>
      <c r="AP273" s="486">
        <v>0</v>
      </c>
      <c r="AQ273" s="486">
        <v>0</v>
      </c>
      <c r="AR273" s="486">
        <v>0</v>
      </c>
      <c r="AS273" s="486">
        <v>0</v>
      </c>
      <c r="AT273" s="486">
        <v>0</v>
      </c>
      <c r="AU273" s="486">
        <v>0</v>
      </c>
      <c r="AV273" s="487">
        <v>192600273</v>
      </c>
      <c r="AW273" s="486">
        <v>52002074</v>
      </c>
      <c r="AX273" s="486">
        <v>0</v>
      </c>
      <c r="AY273" s="486">
        <v>0</v>
      </c>
      <c r="AZ273" s="488">
        <v>52002074</v>
      </c>
      <c r="BA273" s="490">
        <v>244602347</v>
      </c>
      <c r="BB273" s="486">
        <v>200304286</v>
      </c>
      <c r="BC273" s="486">
        <v>0</v>
      </c>
      <c r="BD273" s="486">
        <v>0</v>
      </c>
      <c r="BE273" s="486">
        <v>0</v>
      </c>
      <c r="BF273" s="486">
        <v>0</v>
      </c>
      <c r="BG273" s="486">
        <v>0</v>
      </c>
      <c r="BH273" s="486">
        <v>0</v>
      </c>
      <c r="BI273" s="486">
        <v>0</v>
      </c>
      <c r="BJ273" s="487">
        <v>200304286</v>
      </c>
      <c r="BK273" s="486">
        <v>54082157</v>
      </c>
      <c r="BL273" s="486">
        <v>0</v>
      </c>
      <c r="BM273" s="486">
        <v>0</v>
      </c>
      <c r="BN273" s="488">
        <v>54082157</v>
      </c>
      <c r="BO273" s="490">
        <v>254386443</v>
      </c>
      <c r="BP273" s="486">
        <v>208316457</v>
      </c>
      <c r="BQ273" s="486">
        <v>0</v>
      </c>
      <c r="BR273" s="486">
        <v>0</v>
      </c>
      <c r="BS273" s="486">
        <v>0</v>
      </c>
      <c r="BT273" s="486">
        <v>0</v>
      </c>
      <c r="BU273" s="486">
        <v>0</v>
      </c>
      <c r="BV273" s="486">
        <v>0</v>
      </c>
      <c r="BW273" s="486">
        <v>0</v>
      </c>
      <c r="BX273" s="487">
        <v>208316457</v>
      </c>
      <c r="BY273" s="486">
        <v>56245443</v>
      </c>
      <c r="BZ273" s="486">
        <v>0</v>
      </c>
      <c r="CA273" s="486">
        <v>0</v>
      </c>
      <c r="CB273" s="488">
        <v>56245443</v>
      </c>
      <c r="CC273" s="491">
        <v>264561900</v>
      </c>
      <c r="CD273" s="492">
        <v>998745256</v>
      </c>
      <c r="CE273" s="493">
        <f t="shared" si="21"/>
        <v>786413588</v>
      </c>
      <c r="CF273" s="493">
        <f t="shared" si="21"/>
        <v>0</v>
      </c>
      <c r="CG273" s="493">
        <f t="shared" si="21"/>
        <v>0</v>
      </c>
      <c r="CH273" s="493">
        <f t="shared" si="20"/>
        <v>0</v>
      </c>
      <c r="CI273" s="493">
        <f t="shared" si="20"/>
        <v>0</v>
      </c>
      <c r="CJ273" s="493">
        <f t="shared" si="20"/>
        <v>0</v>
      </c>
      <c r="CK273" s="493">
        <f t="shared" si="20"/>
        <v>0</v>
      </c>
      <c r="CL273" s="493">
        <f t="shared" si="20"/>
        <v>0</v>
      </c>
      <c r="CM273" s="493">
        <f t="shared" si="19"/>
        <v>212331668</v>
      </c>
      <c r="CN273" s="493">
        <f t="shared" si="19"/>
        <v>0</v>
      </c>
      <c r="CO273" s="493">
        <f t="shared" si="19"/>
        <v>0</v>
      </c>
    </row>
    <row r="274" spans="1:93" ht="30.45" hidden="1" customHeight="1">
      <c r="A274" s="555" t="s">
        <v>4555</v>
      </c>
      <c r="B274" s="479">
        <v>272</v>
      </c>
      <c r="C274" s="480" t="s">
        <v>4255</v>
      </c>
      <c r="D274" s="480" t="s">
        <v>4507</v>
      </c>
      <c r="E274" s="480" t="str">
        <f t="shared" si="18"/>
        <v xml:space="preserve">2.6.6 </v>
      </c>
      <c r="F274" s="480" t="s">
        <v>4552</v>
      </c>
      <c r="G274" s="480" t="s">
        <v>4553</v>
      </c>
      <c r="H274" s="481">
        <v>45</v>
      </c>
      <c r="I274" s="480" t="s">
        <v>4180</v>
      </c>
      <c r="J274" s="495">
        <v>459901701</v>
      </c>
      <c r="K274" s="480" t="s">
        <v>4556</v>
      </c>
      <c r="L274" s="480" t="s">
        <v>4557</v>
      </c>
      <c r="M274" s="480" t="s">
        <v>6533</v>
      </c>
      <c r="N274" s="499">
        <v>1</v>
      </c>
      <c r="O274" s="480" t="s">
        <v>6532</v>
      </c>
      <c r="P274" s="515">
        <v>1</v>
      </c>
      <c r="Q274" s="485" t="s">
        <v>5349</v>
      </c>
      <c r="R274" s="485" t="s">
        <v>5473</v>
      </c>
      <c r="S274" s="485" t="s">
        <v>5467</v>
      </c>
      <c r="T274" s="485" t="s">
        <v>5474</v>
      </c>
      <c r="U274" s="485" t="s">
        <v>5475</v>
      </c>
      <c r="V274" s="485">
        <v>90</v>
      </c>
      <c r="W274" s="485" t="s">
        <v>5331</v>
      </c>
      <c r="X274" s="485" t="s">
        <v>5468</v>
      </c>
      <c r="Y274" s="485" t="s">
        <v>5469</v>
      </c>
      <c r="Z274" s="486">
        <v>483836571</v>
      </c>
      <c r="AA274" s="486">
        <v>0</v>
      </c>
      <c r="AB274" s="486">
        <v>0</v>
      </c>
      <c r="AC274" s="486">
        <v>0</v>
      </c>
      <c r="AD274" s="486">
        <v>0</v>
      </c>
      <c r="AE274" s="486">
        <v>0</v>
      </c>
      <c r="AF274" s="486">
        <v>0</v>
      </c>
      <c r="AG274" s="486">
        <v>0</v>
      </c>
      <c r="AH274" s="487">
        <v>483836571</v>
      </c>
      <c r="AI274" s="486">
        <v>130635874</v>
      </c>
      <c r="AJ274" s="486">
        <v>0</v>
      </c>
      <c r="AK274" s="486">
        <v>0</v>
      </c>
      <c r="AL274" s="488">
        <v>130635874</v>
      </c>
      <c r="AM274" s="489">
        <v>614472445</v>
      </c>
      <c r="AN274" s="486">
        <v>503190034</v>
      </c>
      <c r="AO274" s="486">
        <v>0</v>
      </c>
      <c r="AP274" s="486">
        <v>0</v>
      </c>
      <c r="AQ274" s="486">
        <v>0</v>
      </c>
      <c r="AR274" s="486">
        <v>0</v>
      </c>
      <c r="AS274" s="486">
        <v>0</v>
      </c>
      <c r="AT274" s="486">
        <v>0</v>
      </c>
      <c r="AU274" s="486">
        <v>0</v>
      </c>
      <c r="AV274" s="487">
        <v>503190034</v>
      </c>
      <c r="AW274" s="486">
        <v>135861309</v>
      </c>
      <c r="AX274" s="486">
        <v>0</v>
      </c>
      <c r="AY274" s="486">
        <v>0</v>
      </c>
      <c r="AZ274" s="488">
        <v>135861309</v>
      </c>
      <c r="BA274" s="490">
        <v>639051343</v>
      </c>
      <c r="BB274" s="486">
        <v>523317635</v>
      </c>
      <c r="BC274" s="486">
        <v>0</v>
      </c>
      <c r="BD274" s="486">
        <v>0</v>
      </c>
      <c r="BE274" s="486">
        <v>0</v>
      </c>
      <c r="BF274" s="486">
        <v>0</v>
      </c>
      <c r="BG274" s="486">
        <v>0</v>
      </c>
      <c r="BH274" s="486">
        <v>0</v>
      </c>
      <c r="BI274" s="486">
        <v>0</v>
      </c>
      <c r="BJ274" s="487">
        <v>523317635</v>
      </c>
      <c r="BK274" s="486">
        <v>141295762</v>
      </c>
      <c r="BL274" s="486">
        <v>0</v>
      </c>
      <c r="BM274" s="486">
        <v>0</v>
      </c>
      <c r="BN274" s="488">
        <v>141295762</v>
      </c>
      <c r="BO274" s="490">
        <v>664613397</v>
      </c>
      <c r="BP274" s="486">
        <v>544250342</v>
      </c>
      <c r="BQ274" s="486">
        <v>0</v>
      </c>
      <c r="BR274" s="486">
        <v>0</v>
      </c>
      <c r="BS274" s="486">
        <v>0</v>
      </c>
      <c r="BT274" s="486">
        <v>0</v>
      </c>
      <c r="BU274" s="486">
        <v>0</v>
      </c>
      <c r="BV274" s="486">
        <v>0</v>
      </c>
      <c r="BW274" s="486">
        <v>0</v>
      </c>
      <c r="BX274" s="487">
        <v>544250342</v>
      </c>
      <c r="BY274" s="486">
        <v>146947592</v>
      </c>
      <c r="BZ274" s="486">
        <v>0</v>
      </c>
      <c r="CA274" s="486">
        <v>0</v>
      </c>
      <c r="CB274" s="488">
        <v>146947592</v>
      </c>
      <c r="CC274" s="491">
        <v>691197934</v>
      </c>
      <c r="CD274" s="492">
        <v>2609335119</v>
      </c>
      <c r="CE274" s="493">
        <f t="shared" si="21"/>
        <v>2054594582</v>
      </c>
      <c r="CF274" s="493">
        <f t="shared" si="21"/>
        <v>0</v>
      </c>
      <c r="CG274" s="493">
        <f t="shared" si="21"/>
        <v>0</v>
      </c>
      <c r="CH274" s="493">
        <f t="shared" si="20"/>
        <v>0</v>
      </c>
      <c r="CI274" s="493">
        <f t="shared" si="20"/>
        <v>0</v>
      </c>
      <c r="CJ274" s="493">
        <f t="shared" si="20"/>
        <v>0</v>
      </c>
      <c r="CK274" s="493">
        <f t="shared" si="20"/>
        <v>0</v>
      </c>
      <c r="CL274" s="493">
        <f t="shared" si="20"/>
        <v>0</v>
      </c>
      <c r="CM274" s="493">
        <f t="shared" si="19"/>
        <v>554740537</v>
      </c>
      <c r="CN274" s="493">
        <f t="shared" si="19"/>
        <v>0</v>
      </c>
      <c r="CO274" s="493">
        <f t="shared" si="19"/>
        <v>0</v>
      </c>
    </row>
    <row r="275" spans="1:93" ht="30.45" hidden="1" customHeight="1">
      <c r="A275" s="555" t="s">
        <v>4555</v>
      </c>
      <c r="B275" s="479">
        <v>273</v>
      </c>
      <c r="C275" s="480" t="s">
        <v>4255</v>
      </c>
      <c r="D275" s="480" t="s">
        <v>4507</v>
      </c>
      <c r="E275" s="480" t="str">
        <f t="shared" si="18"/>
        <v xml:space="preserve">2.6.6 </v>
      </c>
      <c r="F275" s="480" t="s">
        <v>4552</v>
      </c>
      <c r="G275" s="480" t="s">
        <v>4553</v>
      </c>
      <c r="H275" s="481">
        <v>45</v>
      </c>
      <c r="I275" s="480" t="s">
        <v>4180</v>
      </c>
      <c r="J275" s="495">
        <v>459902500</v>
      </c>
      <c r="K275" s="480" t="s">
        <v>4181</v>
      </c>
      <c r="L275" s="480" t="s">
        <v>4182</v>
      </c>
      <c r="M275" s="480" t="s">
        <v>6534</v>
      </c>
      <c r="N275" s="499">
        <v>0</v>
      </c>
      <c r="O275" s="480" t="s">
        <v>6532</v>
      </c>
      <c r="P275" s="515">
        <v>1</v>
      </c>
      <c r="Q275" s="485" t="s">
        <v>5349</v>
      </c>
      <c r="R275" s="485" t="s">
        <v>5473</v>
      </c>
      <c r="S275" s="485" t="s">
        <v>5467</v>
      </c>
      <c r="T275" s="485" t="s">
        <v>5474</v>
      </c>
      <c r="U275" s="485" t="s">
        <v>5475</v>
      </c>
      <c r="V275" s="485">
        <v>90</v>
      </c>
      <c r="W275" s="485" t="s">
        <v>5331</v>
      </c>
      <c r="X275" s="485" t="s">
        <v>5468</v>
      </c>
      <c r="Y275" s="485" t="s">
        <v>5469</v>
      </c>
      <c r="Z275" s="486">
        <v>143620572</v>
      </c>
      <c r="AA275" s="486">
        <v>0</v>
      </c>
      <c r="AB275" s="486">
        <v>0</v>
      </c>
      <c r="AC275" s="486">
        <v>0</v>
      </c>
      <c r="AD275" s="486">
        <v>0</v>
      </c>
      <c r="AE275" s="486">
        <v>0</v>
      </c>
      <c r="AF275" s="486">
        <v>0</v>
      </c>
      <c r="AG275" s="486">
        <v>0</v>
      </c>
      <c r="AH275" s="487">
        <v>143620572</v>
      </c>
      <c r="AI275" s="486">
        <v>38777554</v>
      </c>
      <c r="AJ275" s="486">
        <v>0</v>
      </c>
      <c r="AK275" s="486">
        <v>0</v>
      </c>
      <c r="AL275" s="488">
        <v>38777554</v>
      </c>
      <c r="AM275" s="489">
        <v>182398126</v>
      </c>
      <c r="AN275" s="486">
        <v>149365391</v>
      </c>
      <c r="AO275" s="486">
        <v>0</v>
      </c>
      <c r="AP275" s="486">
        <v>0</v>
      </c>
      <c r="AQ275" s="486">
        <v>0</v>
      </c>
      <c r="AR275" s="486">
        <v>0</v>
      </c>
      <c r="AS275" s="486">
        <v>0</v>
      </c>
      <c r="AT275" s="486">
        <v>0</v>
      </c>
      <c r="AU275" s="486">
        <v>0</v>
      </c>
      <c r="AV275" s="487">
        <v>149365391</v>
      </c>
      <c r="AW275" s="486">
        <v>40328656</v>
      </c>
      <c r="AX275" s="486">
        <v>0</v>
      </c>
      <c r="AY275" s="486">
        <v>0</v>
      </c>
      <c r="AZ275" s="488">
        <v>40328656</v>
      </c>
      <c r="BA275" s="490">
        <v>189694047</v>
      </c>
      <c r="BB275" s="486">
        <v>155340011</v>
      </c>
      <c r="BC275" s="486">
        <v>0</v>
      </c>
      <c r="BD275" s="486">
        <v>0</v>
      </c>
      <c r="BE275" s="486">
        <v>0</v>
      </c>
      <c r="BF275" s="486">
        <v>0</v>
      </c>
      <c r="BG275" s="486">
        <v>0</v>
      </c>
      <c r="BH275" s="486">
        <v>0</v>
      </c>
      <c r="BI275" s="486">
        <v>0</v>
      </c>
      <c r="BJ275" s="487">
        <v>155340011</v>
      </c>
      <c r="BK275" s="486">
        <v>41941803</v>
      </c>
      <c r="BL275" s="486">
        <v>0</v>
      </c>
      <c r="BM275" s="486">
        <v>0</v>
      </c>
      <c r="BN275" s="488">
        <v>41941803</v>
      </c>
      <c r="BO275" s="490">
        <v>197281814</v>
      </c>
      <c r="BP275" s="486">
        <v>161553612</v>
      </c>
      <c r="BQ275" s="486">
        <v>0</v>
      </c>
      <c r="BR275" s="486">
        <v>0</v>
      </c>
      <c r="BS275" s="486">
        <v>0</v>
      </c>
      <c r="BT275" s="486">
        <v>0</v>
      </c>
      <c r="BU275" s="486">
        <v>0</v>
      </c>
      <c r="BV275" s="486">
        <v>0</v>
      </c>
      <c r="BW275" s="486">
        <v>0</v>
      </c>
      <c r="BX275" s="487">
        <v>161553612</v>
      </c>
      <c r="BY275" s="486">
        <v>43619475</v>
      </c>
      <c r="BZ275" s="486">
        <v>0</v>
      </c>
      <c r="CA275" s="486">
        <v>0</v>
      </c>
      <c r="CB275" s="488">
        <v>43619475</v>
      </c>
      <c r="CC275" s="491">
        <v>205173087</v>
      </c>
      <c r="CD275" s="492">
        <v>774547074</v>
      </c>
      <c r="CE275" s="493">
        <f t="shared" si="21"/>
        <v>609879586</v>
      </c>
      <c r="CF275" s="493">
        <f t="shared" si="21"/>
        <v>0</v>
      </c>
      <c r="CG275" s="493">
        <f t="shared" si="21"/>
        <v>0</v>
      </c>
      <c r="CH275" s="493">
        <f t="shared" si="20"/>
        <v>0</v>
      </c>
      <c r="CI275" s="493">
        <f t="shared" si="20"/>
        <v>0</v>
      </c>
      <c r="CJ275" s="493">
        <f t="shared" si="20"/>
        <v>0</v>
      </c>
      <c r="CK275" s="493">
        <f t="shared" si="20"/>
        <v>0</v>
      </c>
      <c r="CL275" s="493">
        <f t="shared" si="20"/>
        <v>0</v>
      </c>
      <c r="CM275" s="493">
        <f t="shared" si="19"/>
        <v>164667488</v>
      </c>
      <c r="CN275" s="493">
        <f t="shared" si="19"/>
        <v>0</v>
      </c>
      <c r="CO275" s="493">
        <f t="shared" si="19"/>
        <v>0</v>
      </c>
    </row>
    <row r="276" spans="1:93" ht="30.45" hidden="1" customHeight="1">
      <c r="A276" s="555" t="s">
        <v>4555</v>
      </c>
      <c r="B276" s="479">
        <v>274</v>
      </c>
      <c r="C276" s="480" t="s">
        <v>4255</v>
      </c>
      <c r="D276" s="480" t="s">
        <v>4507</v>
      </c>
      <c r="E276" s="480" t="str">
        <f t="shared" si="18"/>
        <v xml:space="preserve">2.6.6 </v>
      </c>
      <c r="F276" s="480" t="s">
        <v>4552</v>
      </c>
      <c r="G276" s="480" t="s">
        <v>4553</v>
      </c>
      <c r="H276" s="481">
        <v>45</v>
      </c>
      <c r="I276" s="480" t="s">
        <v>4180</v>
      </c>
      <c r="J276" s="495">
        <v>459902800</v>
      </c>
      <c r="K276" s="480" t="s">
        <v>4558</v>
      </c>
      <c r="L276" s="480" t="s">
        <v>4197</v>
      </c>
      <c r="M276" s="480" t="s">
        <v>6535</v>
      </c>
      <c r="N276" s="499">
        <v>5</v>
      </c>
      <c r="O276" s="480" t="s">
        <v>6536</v>
      </c>
      <c r="P276" s="515">
        <v>5</v>
      </c>
      <c r="Q276" s="485" t="s">
        <v>5349</v>
      </c>
      <c r="R276" s="485" t="s">
        <v>5473</v>
      </c>
      <c r="S276" s="485" t="s">
        <v>5467</v>
      </c>
      <c r="T276" s="485" t="s">
        <v>5474</v>
      </c>
      <c r="U276" s="485" t="s">
        <v>5475</v>
      </c>
      <c r="V276" s="485">
        <v>90</v>
      </c>
      <c r="W276" s="485" t="s">
        <v>5331</v>
      </c>
      <c r="X276" s="485" t="s">
        <v>5468</v>
      </c>
      <c r="Y276" s="485" t="s">
        <v>5469</v>
      </c>
      <c r="Z276" s="486">
        <v>409684572</v>
      </c>
      <c r="AA276" s="486">
        <v>0</v>
      </c>
      <c r="AB276" s="486">
        <v>0</v>
      </c>
      <c r="AC276" s="486">
        <v>0</v>
      </c>
      <c r="AD276" s="486">
        <v>0</v>
      </c>
      <c r="AE276" s="486">
        <v>0</v>
      </c>
      <c r="AF276" s="486">
        <v>0</v>
      </c>
      <c r="AG276" s="486">
        <v>0</v>
      </c>
      <c r="AH276" s="487">
        <v>409684572</v>
      </c>
      <c r="AI276" s="486">
        <v>110614834</v>
      </c>
      <c r="AJ276" s="486">
        <v>0</v>
      </c>
      <c r="AK276" s="486">
        <v>0</v>
      </c>
      <c r="AL276" s="488">
        <v>110614834</v>
      </c>
      <c r="AM276" s="489">
        <v>520299406</v>
      </c>
      <c r="AN276" s="486">
        <v>426071953</v>
      </c>
      <c r="AO276" s="486">
        <v>0</v>
      </c>
      <c r="AP276" s="486">
        <v>0</v>
      </c>
      <c r="AQ276" s="486">
        <v>0</v>
      </c>
      <c r="AR276" s="486">
        <v>0</v>
      </c>
      <c r="AS276" s="486">
        <v>0</v>
      </c>
      <c r="AT276" s="486">
        <v>0</v>
      </c>
      <c r="AU276" s="486">
        <v>0</v>
      </c>
      <c r="AV276" s="487">
        <v>426071953</v>
      </c>
      <c r="AW276" s="486">
        <v>115039428</v>
      </c>
      <c r="AX276" s="486">
        <v>0</v>
      </c>
      <c r="AY276" s="486">
        <v>0</v>
      </c>
      <c r="AZ276" s="488">
        <v>115039428</v>
      </c>
      <c r="BA276" s="490">
        <v>541111381</v>
      </c>
      <c r="BB276" s="486">
        <v>443114834</v>
      </c>
      <c r="BC276" s="486">
        <v>0</v>
      </c>
      <c r="BD276" s="486">
        <v>0</v>
      </c>
      <c r="BE276" s="486">
        <v>0</v>
      </c>
      <c r="BF276" s="486">
        <v>0</v>
      </c>
      <c r="BG276" s="486">
        <v>0</v>
      </c>
      <c r="BH276" s="486">
        <v>0</v>
      </c>
      <c r="BI276" s="486">
        <v>0</v>
      </c>
      <c r="BJ276" s="487">
        <v>443114834</v>
      </c>
      <c r="BK276" s="486">
        <v>119641004</v>
      </c>
      <c r="BL276" s="486">
        <v>0</v>
      </c>
      <c r="BM276" s="486">
        <v>0</v>
      </c>
      <c r="BN276" s="488">
        <v>119641004</v>
      </c>
      <c r="BO276" s="490">
        <v>562755838</v>
      </c>
      <c r="BP276" s="486">
        <v>460839425</v>
      </c>
      <c r="BQ276" s="486">
        <v>0</v>
      </c>
      <c r="BR276" s="486">
        <v>0</v>
      </c>
      <c r="BS276" s="486">
        <v>0</v>
      </c>
      <c r="BT276" s="486">
        <v>0</v>
      </c>
      <c r="BU276" s="486">
        <v>0</v>
      </c>
      <c r="BV276" s="486">
        <v>0</v>
      </c>
      <c r="BW276" s="486">
        <v>0</v>
      </c>
      <c r="BX276" s="487">
        <v>460839425</v>
      </c>
      <c r="BY276" s="486">
        <v>124426645</v>
      </c>
      <c r="BZ276" s="486">
        <v>0</v>
      </c>
      <c r="CA276" s="486">
        <v>0</v>
      </c>
      <c r="CB276" s="488">
        <v>124426645</v>
      </c>
      <c r="CC276" s="491">
        <v>585266070</v>
      </c>
      <c r="CD276" s="492">
        <v>2209432695</v>
      </c>
      <c r="CE276" s="493">
        <f t="shared" si="21"/>
        <v>1739710784</v>
      </c>
      <c r="CF276" s="493">
        <f t="shared" si="21"/>
        <v>0</v>
      </c>
      <c r="CG276" s="493">
        <f t="shared" si="21"/>
        <v>0</v>
      </c>
      <c r="CH276" s="493">
        <f t="shared" si="20"/>
        <v>0</v>
      </c>
      <c r="CI276" s="493">
        <f t="shared" si="20"/>
        <v>0</v>
      </c>
      <c r="CJ276" s="493">
        <f t="shared" si="20"/>
        <v>0</v>
      </c>
      <c r="CK276" s="493">
        <f t="shared" si="20"/>
        <v>0</v>
      </c>
      <c r="CL276" s="493">
        <f t="shared" si="20"/>
        <v>0</v>
      </c>
      <c r="CM276" s="493">
        <f t="shared" si="19"/>
        <v>469721911</v>
      </c>
      <c r="CN276" s="493">
        <f t="shared" si="19"/>
        <v>0</v>
      </c>
      <c r="CO276" s="493">
        <f t="shared" si="19"/>
        <v>0</v>
      </c>
    </row>
    <row r="277" spans="1:93" ht="30.45" hidden="1" customHeight="1">
      <c r="A277" s="555" t="s">
        <v>4555</v>
      </c>
      <c r="B277" s="479">
        <v>275</v>
      </c>
      <c r="C277" s="480" t="s">
        <v>4255</v>
      </c>
      <c r="D277" s="480" t="s">
        <v>4507</v>
      </c>
      <c r="E277" s="480" t="str">
        <f t="shared" si="18"/>
        <v xml:space="preserve">2.6.6 </v>
      </c>
      <c r="F277" s="480" t="s">
        <v>4552</v>
      </c>
      <c r="G277" s="480" t="s">
        <v>4553</v>
      </c>
      <c r="H277" s="481">
        <v>45</v>
      </c>
      <c r="I277" s="480" t="s">
        <v>4180</v>
      </c>
      <c r="J277" s="495">
        <v>459903100</v>
      </c>
      <c r="K277" s="480" t="s">
        <v>4215</v>
      </c>
      <c r="L277" s="480" t="s">
        <v>4216</v>
      </c>
      <c r="M277" s="480" t="s">
        <v>6537</v>
      </c>
      <c r="N277" s="499">
        <v>17</v>
      </c>
      <c r="O277" s="480" t="s">
        <v>6532</v>
      </c>
      <c r="P277" s="515">
        <v>34</v>
      </c>
      <c r="Q277" s="485" t="s">
        <v>5349</v>
      </c>
      <c r="R277" s="485" t="s">
        <v>5473</v>
      </c>
      <c r="S277" s="485" t="s">
        <v>5467</v>
      </c>
      <c r="T277" s="485" t="s">
        <v>5474</v>
      </c>
      <c r="U277" s="485" t="s">
        <v>5475</v>
      </c>
      <c r="V277" s="485">
        <v>90</v>
      </c>
      <c r="W277" s="485" t="s">
        <v>5331</v>
      </c>
      <c r="X277" s="485" t="s">
        <v>5468</v>
      </c>
      <c r="Y277" s="485" t="s">
        <v>5469</v>
      </c>
      <c r="Z277" s="486">
        <v>1419665713</v>
      </c>
      <c r="AA277" s="486">
        <v>0</v>
      </c>
      <c r="AB277" s="486">
        <v>0</v>
      </c>
      <c r="AC277" s="486">
        <v>0</v>
      </c>
      <c r="AD277" s="486">
        <v>0</v>
      </c>
      <c r="AE277" s="486">
        <v>0</v>
      </c>
      <c r="AF277" s="486">
        <v>0</v>
      </c>
      <c r="AG277" s="486">
        <v>0</v>
      </c>
      <c r="AH277" s="487">
        <v>1419665713</v>
      </c>
      <c r="AI277" s="486">
        <v>383309744</v>
      </c>
      <c r="AJ277" s="486">
        <v>0</v>
      </c>
      <c r="AK277" s="486">
        <v>0</v>
      </c>
      <c r="AL277" s="488">
        <v>383309744</v>
      </c>
      <c r="AM277" s="489">
        <v>1802975457</v>
      </c>
      <c r="AN277" s="486">
        <v>1476452349</v>
      </c>
      <c r="AO277" s="486">
        <v>0</v>
      </c>
      <c r="AP277" s="486">
        <v>0</v>
      </c>
      <c r="AQ277" s="486">
        <v>0</v>
      </c>
      <c r="AR277" s="486">
        <v>0</v>
      </c>
      <c r="AS277" s="486">
        <v>0</v>
      </c>
      <c r="AT277" s="486">
        <v>0</v>
      </c>
      <c r="AU277" s="486">
        <v>0</v>
      </c>
      <c r="AV277" s="487">
        <v>1476452349</v>
      </c>
      <c r="AW277" s="486">
        <v>398642133</v>
      </c>
      <c r="AX277" s="486">
        <v>0</v>
      </c>
      <c r="AY277" s="486">
        <v>0</v>
      </c>
      <c r="AZ277" s="488">
        <v>398642133</v>
      </c>
      <c r="BA277" s="490">
        <v>1875094482</v>
      </c>
      <c r="BB277" s="486">
        <v>1535510434</v>
      </c>
      <c r="BC277" s="486">
        <v>0</v>
      </c>
      <c r="BD277" s="486">
        <v>0</v>
      </c>
      <c r="BE277" s="486">
        <v>0</v>
      </c>
      <c r="BF277" s="486">
        <v>0</v>
      </c>
      <c r="BG277" s="486">
        <v>0</v>
      </c>
      <c r="BH277" s="486">
        <v>0</v>
      </c>
      <c r="BI277" s="486">
        <v>0</v>
      </c>
      <c r="BJ277" s="487">
        <v>1535510434</v>
      </c>
      <c r="BK277" s="486">
        <v>414587818</v>
      </c>
      <c r="BL277" s="486">
        <v>0</v>
      </c>
      <c r="BM277" s="486">
        <v>0</v>
      </c>
      <c r="BN277" s="488">
        <v>414587818</v>
      </c>
      <c r="BO277" s="490">
        <v>1950098252</v>
      </c>
      <c r="BP277" s="486">
        <v>1596930852</v>
      </c>
      <c r="BQ277" s="486">
        <v>0</v>
      </c>
      <c r="BR277" s="486">
        <v>0</v>
      </c>
      <c r="BS277" s="486">
        <v>0</v>
      </c>
      <c r="BT277" s="486">
        <v>0</v>
      </c>
      <c r="BU277" s="486">
        <v>0</v>
      </c>
      <c r="BV277" s="486">
        <v>0</v>
      </c>
      <c r="BW277" s="486">
        <v>0</v>
      </c>
      <c r="BX277" s="487">
        <v>1596930852</v>
      </c>
      <c r="BY277" s="486">
        <v>431171331</v>
      </c>
      <c r="BZ277" s="486">
        <v>0</v>
      </c>
      <c r="CA277" s="486">
        <v>0</v>
      </c>
      <c r="CB277" s="488">
        <v>431171331</v>
      </c>
      <c r="CC277" s="491">
        <v>2028102183</v>
      </c>
      <c r="CD277" s="492">
        <v>7656270374</v>
      </c>
      <c r="CE277" s="493">
        <f t="shared" si="21"/>
        <v>6028559348</v>
      </c>
      <c r="CF277" s="493">
        <f t="shared" si="21"/>
        <v>0</v>
      </c>
      <c r="CG277" s="493">
        <f t="shared" si="21"/>
        <v>0</v>
      </c>
      <c r="CH277" s="493">
        <f t="shared" si="20"/>
        <v>0</v>
      </c>
      <c r="CI277" s="493">
        <f t="shared" si="20"/>
        <v>0</v>
      </c>
      <c r="CJ277" s="493">
        <f t="shared" si="20"/>
        <v>0</v>
      </c>
      <c r="CK277" s="493">
        <f t="shared" si="20"/>
        <v>0</v>
      </c>
      <c r="CL277" s="493">
        <f t="shared" si="20"/>
        <v>0</v>
      </c>
      <c r="CM277" s="493">
        <f t="shared" si="19"/>
        <v>1627711026</v>
      </c>
      <c r="CN277" s="493">
        <f t="shared" si="19"/>
        <v>0</v>
      </c>
      <c r="CO277" s="493">
        <f t="shared" si="19"/>
        <v>0</v>
      </c>
    </row>
    <row r="278" spans="1:93" ht="30.45" hidden="1" customHeight="1">
      <c r="A278" s="555" t="s">
        <v>4563</v>
      </c>
      <c r="B278" s="479">
        <v>276</v>
      </c>
      <c r="C278" s="480" t="s">
        <v>4255</v>
      </c>
      <c r="D278" s="480" t="s">
        <v>4507</v>
      </c>
      <c r="E278" s="480" t="str">
        <f t="shared" si="18"/>
        <v xml:space="preserve">2.6.7 </v>
      </c>
      <c r="F278" s="480" t="s">
        <v>4559</v>
      </c>
      <c r="G278" s="480" t="s">
        <v>4560</v>
      </c>
      <c r="H278" s="481">
        <v>25</v>
      </c>
      <c r="I278" s="480" t="s">
        <v>4561</v>
      </c>
      <c r="J278" s="495">
        <v>250100100</v>
      </c>
      <c r="K278" s="480" t="s">
        <v>683</v>
      </c>
      <c r="L278" s="480" t="s">
        <v>4112</v>
      </c>
      <c r="M278" s="480" t="s">
        <v>5885</v>
      </c>
      <c r="N278" s="499">
        <v>1</v>
      </c>
      <c r="O278" s="480" t="s">
        <v>4562</v>
      </c>
      <c r="P278" s="515">
        <v>1</v>
      </c>
      <c r="Q278" s="485">
        <v>220010002</v>
      </c>
      <c r="R278" s="485" t="s">
        <v>5476</v>
      </c>
      <c r="S278" s="485" t="s">
        <v>677</v>
      </c>
      <c r="T278" s="485">
        <v>0.4</v>
      </c>
      <c r="U278" s="485" t="s">
        <v>5477</v>
      </c>
      <c r="V278" s="485">
        <v>0.7</v>
      </c>
      <c r="W278" s="485" t="s">
        <v>5478</v>
      </c>
      <c r="X278" s="485">
        <v>16</v>
      </c>
      <c r="Y278" s="485" t="s">
        <v>5352</v>
      </c>
      <c r="Z278" s="486">
        <v>62485149.824125253</v>
      </c>
      <c r="AA278" s="486">
        <v>0</v>
      </c>
      <c r="AB278" s="486">
        <v>0</v>
      </c>
      <c r="AC278" s="486">
        <v>0</v>
      </c>
      <c r="AD278" s="486">
        <v>0</v>
      </c>
      <c r="AE278" s="486">
        <v>0</v>
      </c>
      <c r="AF278" s="486">
        <v>0</v>
      </c>
      <c r="AG278" s="486">
        <v>0</v>
      </c>
      <c r="AH278" s="487">
        <v>62485149.824125253</v>
      </c>
      <c r="AI278" s="486">
        <v>0</v>
      </c>
      <c r="AJ278" s="486">
        <v>0</v>
      </c>
      <c r="AK278" s="486">
        <v>0</v>
      </c>
      <c r="AL278" s="488">
        <v>0</v>
      </c>
      <c r="AM278" s="489">
        <v>62485149.824125253</v>
      </c>
      <c r="AN278" s="486">
        <v>64940816.212213375</v>
      </c>
      <c r="AO278" s="486">
        <v>0</v>
      </c>
      <c r="AP278" s="486">
        <v>0</v>
      </c>
      <c r="AQ278" s="486">
        <v>0</v>
      </c>
      <c r="AR278" s="486">
        <v>0</v>
      </c>
      <c r="AS278" s="486">
        <v>0</v>
      </c>
      <c r="AT278" s="486">
        <v>0</v>
      </c>
      <c r="AU278" s="486">
        <v>0</v>
      </c>
      <c r="AV278" s="487">
        <v>64940816.212213375</v>
      </c>
      <c r="AW278" s="486">
        <v>0</v>
      </c>
      <c r="AX278" s="486">
        <v>0</v>
      </c>
      <c r="AY278" s="486">
        <v>0</v>
      </c>
      <c r="AZ278" s="488">
        <v>0</v>
      </c>
      <c r="BA278" s="490">
        <v>64940816.212213375</v>
      </c>
      <c r="BB278" s="486">
        <v>67492990.289353356</v>
      </c>
      <c r="BC278" s="486">
        <v>0</v>
      </c>
      <c r="BD278" s="486">
        <v>0</v>
      </c>
      <c r="BE278" s="486">
        <v>0</v>
      </c>
      <c r="BF278" s="486">
        <v>0</v>
      </c>
      <c r="BG278" s="486">
        <v>0</v>
      </c>
      <c r="BH278" s="486">
        <v>0</v>
      </c>
      <c r="BI278" s="486">
        <v>0</v>
      </c>
      <c r="BJ278" s="487">
        <v>67492990.289353356</v>
      </c>
      <c r="BK278" s="486">
        <v>0</v>
      </c>
      <c r="BL278" s="486">
        <v>0</v>
      </c>
      <c r="BM278" s="486">
        <v>0</v>
      </c>
      <c r="BN278" s="488">
        <v>0</v>
      </c>
      <c r="BO278" s="490">
        <v>67492990.289353356</v>
      </c>
      <c r="BP278" s="486">
        <v>70145464.807724938</v>
      </c>
      <c r="BQ278" s="486">
        <v>0</v>
      </c>
      <c r="BR278" s="486">
        <v>0</v>
      </c>
      <c r="BS278" s="486">
        <v>0</v>
      </c>
      <c r="BT278" s="486">
        <v>0</v>
      </c>
      <c r="BU278" s="486">
        <v>0</v>
      </c>
      <c r="BV278" s="486">
        <v>0</v>
      </c>
      <c r="BW278" s="486">
        <v>0</v>
      </c>
      <c r="BX278" s="487">
        <v>70145464.807724938</v>
      </c>
      <c r="BY278" s="486">
        <v>0</v>
      </c>
      <c r="BZ278" s="486">
        <v>0</v>
      </c>
      <c r="CA278" s="486">
        <v>0</v>
      </c>
      <c r="CB278" s="488">
        <v>0</v>
      </c>
      <c r="CC278" s="491">
        <v>70145464.807724938</v>
      </c>
      <c r="CD278" s="492">
        <v>265064421.13341692</v>
      </c>
      <c r="CE278" s="493">
        <f t="shared" si="21"/>
        <v>265064421.13341695</v>
      </c>
      <c r="CF278" s="493">
        <f t="shared" si="21"/>
        <v>0</v>
      </c>
      <c r="CG278" s="493">
        <f t="shared" si="21"/>
        <v>0</v>
      </c>
      <c r="CH278" s="493">
        <f t="shared" si="20"/>
        <v>0</v>
      </c>
      <c r="CI278" s="493">
        <f t="shared" si="20"/>
        <v>0</v>
      </c>
      <c r="CJ278" s="493">
        <f t="shared" si="20"/>
        <v>0</v>
      </c>
      <c r="CK278" s="493">
        <f t="shared" si="20"/>
        <v>0</v>
      </c>
      <c r="CL278" s="493">
        <f t="shared" si="20"/>
        <v>0</v>
      </c>
      <c r="CM278" s="493">
        <f t="shared" si="19"/>
        <v>0</v>
      </c>
      <c r="CN278" s="493">
        <f t="shared" si="19"/>
        <v>0</v>
      </c>
      <c r="CO278" s="493">
        <f t="shared" si="19"/>
        <v>0</v>
      </c>
    </row>
    <row r="279" spans="1:93" ht="30.45" hidden="1" customHeight="1">
      <c r="A279" s="555" t="s">
        <v>4563</v>
      </c>
      <c r="B279" s="479">
        <v>277</v>
      </c>
      <c r="C279" s="480" t="s">
        <v>4255</v>
      </c>
      <c r="D279" s="480" t="s">
        <v>4507</v>
      </c>
      <c r="E279" s="480" t="str">
        <f t="shared" si="18"/>
        <v xml:space="preserve">2.6.7 </v>
      </c>
      <c r="F279" s="480" t="s">
        <v>4559</v>
      </c>
      <c r="G279" s="480" t="s">
        <v>4560</v>
      </c>
      <c r="H279" s="481">
        <v>25</v>
      </c>
      <c r="I279" s="480" t="s">
        <v>4564</v>
      </c>
      <c r="J279" s="495">
        <v>250100101</v>
      </c>
      <c r="K279" s="480" t="s">
        <v>683</v>
      </c>
      <c r="L279" s="480" t="s">
        <v>4565</v>
      </c>
      <c r="M279" s="480" t="s">
        <v>5886</v>
      </c>
      <c r="N279" s="499">
        <v>1</v>
      </c>
      <c r="O279" s="480" t="s">
        <v>6538</v>
      </c>
      <c r="P279" s="515">
        <v>9</v>
      </c>
      <c r="Q279" s="485">
        <v>220010002</v>
      </c>
      <c r="R279" s="485" t="s">
        <v>5476</v>
      </c>
      <c r="S279" s="485" t="s">
        <v>677</v>
      </c>
      <c r="T279" s="485">
        <v>0.4</v>
      </c>
      <c r="U279" s="485" t="s">
        <v>5477</v>
      </c>
      <c r="V279" s="485">
        <v>0.7</v>
      </c>
      <c r="W279" s="485" t="s">
        <v>5478</v>
      </c>
      <c r="X279" s="485">
        <v>16</v>
      </c>
      <c r="Y279" s="485" t="s">
        <v>5352</v>
      </c>
      <c r="Z279" s="486">
        <v>62485149.824125253</v>
      </c>
      <c r="AA279" s="486">
        <v>0</v>
      </c>
      <c r="AB279" s="486">
        <v>0</v>
      </c>
      <c r="AC279" s="486">
        <v>0</v>
      </c>
      <c r="AD279" s="486">
        <v>0</v>
      </c>
      <c r="AE279" s="486">
        <v>0</v>
      </c>
      <c r="AF279" s="486">
        <v>0</v>
      </c>
      <c r="AG279" s="486">
        <v>0</v>
      </c>
      <c r="AH279" s="487">
        <v>62485149.824125253</v>
      </c>
      <c r="AI279" s="486">
        <v>0</v>
      </c>
      <c r="AJ279" s="486">
        <v>0</v>
      </c>
      <c r="AK279" s="486">
        <v>0</v>
      </c>
      <c r="AL279" s="488">
        <v>0</v>
      </c>
      <c r="AM279" s="489">
        <v>62485149.824125253</v>
      </c>
      <c r="AN279" s="486">
        <v>64940616.212213397</v>
      </c>
      <c r="AO279" s="486">
        <v>0</v>
      </c>
      <c r="AP279" s="486">
        <v>0</v>
      </c>
      <c r="AQ279" s="486">
        <v>0</v>
      </c>
      <c r="AR279" s="486">
        <v>0</v>
      </c>
      <c r="AS279" s="486">
        <v>0</v>
      </c>
      <c r="AT279" s="486">
        <v>0</v>
      </c>
      <c r="AU279" s="486">
        <v>0</v>
      </c>
      <c r="AV279" s="487">
        <v>64940616.212213397</v>
      </c>
      <c r="AW279" s="486">
        <v>0</v>
      </c>
      <c r="AX279" s="486">
        <v>0</v>
      </c>
      <c r="AY279" s="486">
        <v>0</v>
      </c>
      <c r="AZ279" s="488">
        <v>0</v>
      </c>
      <c r="BA279" s="490">
        <v>64940616.212213397</v>
      </c>
      <c r="BB279" s="486">
        <v>67492990.289353356</v>
      </c>
      <c r="BC279" s="486">
        <v>0</v>
      </c>
      <c r="BD279" s="486">
        <v>0</v>
      </c>
      <c r="BE279" s="486">
        <v>0</v>
      </c>
      <c r="BF279" s="486">
        <v>0</v>
      </c>
      <c r="BG279" s="486">
        <v>0</v>
      </c>
      <c r="BH279" s="486">
        <v>0</v>
      </c>
      <c r="BI279" s="486">
        <v>0</v>
      </c>
      <c r="BJ279" s="487">
        <v>67492990.289353356</v>
      </c>
      <c r="BK279" s="486">
        <v>0</v>
      </c>
      <c r="BL279" s="486">
        <v>0</v>
      </c>
      <c r="BM279" s="486">
        <v>0</v>
      </c>
      <c r="BN279" s="488">
        <v>0</v>
      </c>
      <c r="BO279" s="490">
        <v>67492990.289353356</v>
      </c>
      <c r="BP279" s="486">
        <v>70145464.807724938</v>
      </c>
      <c r="BQ279" s="486">
        <v>0</v>
      </c>
      <c r="BR279" s="486">
        <v>0</v>
      </c>
      <c r="BS279" s="486">
        <v>0</v>
      </c>
      <c r="BT279" s="486">
        <v>0</v>
      </c>
      <c r="BU279" s="486">
        <v>0</v>
      </c>
      <c r="BV279" s="486">
        <v>0</v>
      </c>
      <c r="BW279" s="486">
        <v>0</v>
      </c>
      <c r="BX279" s="487">
        <v>70145464.807724938</v>
      </c>
      <c r="BY279" s="486">
        <v>0</v>
      </c>
      <c r="BZ279" s="486">
        <v>0</v>
      </c>
      <c r="CA279" s="486">
        <v>0</v>
      </c>
      <c r="CB279" s="488">
        <v>0</v>
      </c>
      <c r="CC279" s="491">
        <v>70145464.807724938</v>
      </c>
      <c r="CD279" s="492">
        <v>265064221.13341695</v>
      </c>
      <c r="CE279" s="493">
        <f t="shared" si="21"/>
        <v>265064221.13341695</v>
      </c>
      <c r="CF279" s="493">
        <f t="shared" si="21"/>
        <v>0</v>
      </c>
      <c r="CG279" s="493">
        <f t="shared" si="21"/>
        <v>0</v>
      </c>
      <c r="CH279" s="493">
        <f t="shared" si="20"/>
        <v>0</v>
      </c>
      <c r="CI279" s="493">
        <f t="shared" si="20"/>
        <v>0</v>
      </c>
      <c r="CJ279" s="493">
        <f t="shared" si="20"/>
        <v>0</v>
      </c>
      <c r="CK279" s="493">
        <f t="shared" si="20"/>
        <v>0</v>
      </c>
      <c r="CL279" s="493">
        <f t="shared" si="20"/>
        <v>0</v>
      </c>
      <c r="CM279" s="493">
        <f t="shared" si="19"/>
        <v>0</v>
      </c>
      <c r="CN279" s="493">
        <f t="shared" si="19"/>
        <v>0</v>
      </c>
      <c r="CO279" s="493">
        <f t="shared" si="19"/>
        <v>0</v>
      </c>
    </row>
    <row r="280" spans="1:93" ht="30.45" hidden="1" customHeight="1">
      <c r="A280" s="555" t="s">
        <v>4563</v>
      </c>
      <c r="B280" s="479">
        <v>278</v>
      </c>
      <c r="C280" s="480" t="s">
        <v>4255</v>
      </c>
      <c r="D280" s="480" t="s">
        <v>4507</v>
      </c>
      <c r="E280" s="480" t="str">
        <f t="shared" si="18"/>
        <v xml:space="preserve">2.6.7 </v>
      </c>
      <c r="F280" s="480" t="s">
        <v>4559</v>
      </c>
      <c r="G280" s="480" t="s">
        <v>4560</v>
      </c>
      <c r="H280" s="481">
        <v>45</v>
      </c>
      <c r="I280" s="480" t="s">
        <v>4566</v>
      </c>
      <c r="J280" s="495">
        <v>459900100</v>
      </c>
      <c r="K280" s="480" t="s">
        <v>683</v>
      </c>
      <c r="L280" s="480" t="s">
        <v>4567</v>
      </c>
      <c r="M280" s="480" t="s">
        <v>5887</v>
      </c>
      <c r="N280" s="499">
        <v>70</v>
      </c>
      <c r="O280" s="480" t="s">
        <v>4568</v>
      </c>
      <c r="P280" s="515">
        <v>130</v>
      </c>
      <c r="Q280" s="485">
        <v>220010002</v>
      </c>
      <c r="R280" s="485" t="s">
        <v>5476</v>
      </c>
      <c r="S280" s="485" t="s">
        <v>677</v>
      </c>
      <c r="T280" s="485">
        <v>0.4</v>
      </c>
      <c r="U280" s="485" t="s">
        <v>5477</v>
      </c>
      <c r="V280" s="485">
        <v>0.7</v>
      </c>
      <c r="W280" s="485" t="s">
        <v>5478</v>
      </c>
      <c r="X280" s="485">
        <v>16</v>
      </c>
      <c r="Y280" s="485" t="s">
        <v>5352</v>
      </c>
      <c r="Z280" s="486">
        <v>196311761.12771416</v>
      </c>
      <c r="AA280" s="486">
        <v>0</v>
      </c>
      <c r="AB280" s="486">
        <v>0</v>
      </c>
      <c r="AC280" s="486">
        <v>0</v>
      </c>
      <c r="AD280" s="486">
        <v>0</v>
      </c>
      <c r="AE280" s="486">
        <v>0</v>
      </c>
      <c r="AF280" s="486">
        <v>0</v>
      </c>
      <c r="AG280" s="486">
        <v>0</v>
      </c>
      <c r="AH280" s="487">
        <v>196311761.12771416</v>
      </c>
      <c r="AI280" s="486">
        <v>0</v>
      </c>
      <c r="AJ280" s="486">
        <v>0</v>
      </c>
      <c r="AK280" s="486">
        <v>0</v>
      </c>
      <c r="AL280" s="488">
        <v>0</v>
      </c>
      <c r="AM280" s="489">
        <v>196311761.12771416</v>
      </c>
      <c r="AN280" s="486">
        <v>204526813.34003299</v>
      </c>
      <c r="AO280" s="486">
        <v>0</v>
      </c>
      <c r="AP280" s="486">
        <v>0</v>
      </c>
      <c r="AQ280" s="486">
        <v>0</v>
      </c>
      <c r="AR280" s="486">
        <v>0</v>
      </c>
      <c r="AS280" s="486">
        <v>0</v>
      </c>
      <c r="AT280" s="486">
        <v>0</v>
      </c>
      <c r="AU280" s="486">
        <v>0</v>
      </c>
      <c r="AV280" s="487">
        <v>204526813.34003299</v>
      </c>
      <c r="AW280" s="486">
        <v>0</v>
      </c>
      <c r="AX280" s="486">
        <v>0</v>
      </c>
      <c r="AY280" s="486">
        <v>0</v>
      </c>
      <c r="AZ280" s="488">
        <v>0</v>
      </c>
      <c r="BA280" s="490">
        <v>204526813.34003299</v>
      </c>
      <c r="BB280" s="486">
        <v>213084301</v>
      </c>
      <c r="BC280" s="486">
        <v>0</v>
      </c>
      <c r="BD280" s="486">
        <v>0</v>
      </c>
      <c r="BE280" s="486">
        <v>0</v>
      </c>
      <c r="BF280" s="486">
        <v>0</v>
      </c>
      <c r="BG280" s="486">
        <v>0</v>
      </c>
      <c r="BH280" s="486">
        <v>0</v>
      </c>
      <c r="BI280" s="486">
        <v>0</v>
      </c>
      <c r="BJ280" s="487">
        <v>213084301</v>
      </c>
      <c r="BK280" s="486">
        <v>0</v>
      </c>
      <c r="BL280" s="486">
        <v>0</v>
      </c>
      <c r="BM280" s="486">
        <v>0</v>
      </c>
      <c r="BN280" s="488">
        <v>0</v>
      </c>
      <c r="BO280" s="490">
        <v>213084301</v>
      </c>
      <c r="BP280" s="486">
        <v>220378438.24149549</v>
      </c>
      <c r="BQ280" s="486">
        <v>0</v>
      </c>
      <c r="BR280" s="486">
        <v>0</v>
      </c>
      <c r="BS280" s="486">
        <v>0</v>
      </c>
      <c r="BT280" s="486">
        <v>0</v>
      </c>
      <c r="BU280" s="486">
        <v>0</v>
      </c>
      <c r="BV280" s="486">
        <v>0</v>
      </c>
      <c r="BW280" s="486">
        <v>0</v>
      </c>
      <c r="BX280" s="487">
        <v>220378438.24149549</v>
      </c>
      <c r="BY280" s="486">
        <v>0</v>
      </c>
      <c r="BZ280" s="486">
        <v>0</v>
      </c>
      <c r="CA280" s="486">
        <v>0</v>
      </c>
      <c r="CB280" s="488">
        <v>0</v>
      </c>
      <c r="CC280" s="491">
        <v>220378438.24149549</v>
      </c>
      <c r="CD280" s="492">
        <v>834301313.70924258</v>
      </c>
      <c r="CE280" s="493">
        <f t="shared" si="21"/>
        <v>834301313.7092427</v>
      </c>
      <c r="CF280" s="493">
        <f t="shared" si="21"/>
        <v>0</v>
      </c>
      <c r="CG280" s="493">
        <f t="shared" si="21"/>
        <v>0</v>
      </c>
      <c r="CH280" s="493">
        <f t="shared" si="20"/>
        <v>0</v>
      </c>
      <c r="CI280" s="493">
        <f t="shared" si="20"/>
        <v>0</v>
      </c>
      <c r="CJ280" s="493">
        <f t="shared" si="20"/>
        <v>0</v>
      </c>
      <c r="CK280" s="493">
        <f t="shared" si="20"/>
        <v>0</v>
      </c>
      <c r="CL280" s="493">
        <f t="shared" si="20"/>
        <v>0</v>
      </c>
      <c r="CM280" s="493">
        <f t="shared" si="19"/>
        <v>0</v>
      </c>
      <c r="CN280" s="493">
        <f t="shared" si="19"/>
        <v>0</v>
      </c>
      <c r="CO280" s="493">
        <f t="shared" si="19"/>
        <v>0</v>
      </c>
    </row>
    <row r="281" spans="1:93" ht="30.45" hidden="1" customHeight="1">
      <c r="A281" s="555" t="s">
        <v>4563</v>
      </c>
      <c r="B281" s="479">
        <v>279</v>
      </c>
      <c r="C281" s="480" t="s">
        <v>4255</v>
      </c>
      <c r="D281" s="480" t="s">
        <v>4507</v>
      </c>
      <c r="E281" s="480" t="str">
        <f t="shared" si="18"/>
        <v xml:space="preserve">2.6.7 </v>
      </c>
      <c r="F281" s="480" t="s">
        <v>4559</v>
      </c>
      <c r="G281" s="480" t="s">
        <v>4560</v>
      </c>
      <c r="H281" s="481">
        <v>45</v>
      </c>
      <c r="I281" s="480" t="s">
        <v>4569</v>
      </c>
      <c r="J281" s="495">
        <v>459903100</v>
      </c>
      <c r="K281" s="480" t="s">
        <v>4570</v>
      </c>
      <c r="L281" s="480" t="s">
        <v>4571</v>
      </c>
      <c r="M281" s="480" t="s">
        <v>5888</v>
      </c>
      <c r="N281" s="499">
        <v>42</v>
      </c>
      <c r="O281" s="480" t="s">
        <v>6539</v>
      </c>
      <c r="P281" s="515">
        <v>42</v>
      </c>
      <c r="Q281" s="485">
        <v>220010002</v>
      </c>
      <c r="R281" s="485" t="s">
        <v>5476</v>
      </c>
      <c r="S281" s="485" t="s">
        <v>677</v>
      </c>
      <c r="T281" s="485">
        <v>0.4</v>
      </c>
      <c r="U281" s="485" t="s">
        <v>5477</v>
      </c>
      <c r="V281" s="485">
        <v>0.7</v>
      </c>
      <c r="W281" s="485" t="s">
        <v>5478</v>
      </c>
      <c r="X281" s="485">
        <v>16</v>
      </c>
      <c r="Y281" s="485" t="s">
        <v>5352</v>
      </c>
      <c r="Z281" s="486">
        <v>156543333.95043769</v>
      </c>
      <c r="AA281" s="486">
        <v>0</v>
      </c>
      <c r="AB281" s="486">
        <v>0</v>
      </c>
      <c r="AC281" s="486">
        <v>0</v>
      </c>
      <c r="AD281" s="486">
        <v>0</v>
      </c>
      <c r="AE281" s="486">
        <v>0</v>
      </c>
      <c r="AF281" s="486">
        <v>0</v>
      </c>
      <c r="AG281" s="486">
        <v>0</v>
      </c>
      <c r="AH281" s="487">
        <v>156543333.95043769</v>
      </c>
      <c r="AI281" s="486">
        <v>0</v>
      </c>
      <c r="AJ281" s="486">
        <v>0</v>
      </c>
      <c r="AK281" s="486">
        <v>0</v>
      </c>
      <c r="AL281" s="488">
        <v>0</v>
      </c>
      <c r="AM281" s="489">
        <v>156543333.95043769</v>
      </c>
      <c r="AN281" s="486">
        <v>162695486.9746899</v>
      </c>
      <c r="AO281" s="486">
        <v>0</v>
      </c>
      <c r="AP281" s="486">
        <v>0</v>
      </c>
      <c r="AQ281" s="486">
        <v>0</v>
      </c>
      <c r="AR281" s="486">
        <v>0</v>
      </c>
      <c r="AS281" s="486">
        <v>0</v>
      </c>
      <c r="AT281" s="486">
        <v>0</v>
      </c>
      <c r="AU281" s="486">
        <v>0</v>
      </c>
      <c r="AV281" s="487">
        <v>162695486.9746899</v>
      </c>
      <c r="AW281" s="486">
        <v>0</v>
      </c>
      <c r="AX281" s="486">
        <v>0</v>
      </c>
      <c r="AY281" s="486">
        <v>0</v>
      </c>
      <c r="AZ281" s="488">
        <v>0</v>
      </c>
      <c r="BA281" s="490">
        <v>162695486.9746899</v>
      </c>
      <c r="BB281" s="486">
        <v>169089419.6127952</v>
      </c>
      <c r="BC281" s="486">
        <v>0</v>
      </c>
      <c r="BD281" s="486">
        <v>0</v>
      </c>
      <c r="BE281" s="486">
        <v>0</v>
      </c>
      <c r="BF281" s="486">
        <v>0</v>
      </c>
      <c r="BG281" s="486">
        <v>0</v>
      </c>
      <c r="BH281" s="486">
        <v>0</v>
      </c>
      <c r="BI281" s="486">
        <v>0</v>
      </c>
      <c r="BJ281" s="487">
        <v>169089419.6127952</v>
      </c>
      <c r="BK281" s="486">
        <v>0</v>
      </c>
      <c r="BL281" s="486">
        <v>0</v>
      </c>
      <c r="BM281" s="486">
        <v>0</v>
      </c>
      <c r="BN281" s="488">
        <v>0</v>
      </c>
      <c r="BO281" s="490">
        <v>169089419.6127952</v>
      </c>
      <c r="BP281" s="486">
        <v>177355294</v>
      </c>
      <c r="BQ281" s="486">
        <v>0</v>
      </c>
      <c r="BR281" s="486">
        <v>0</v>
      </c>
      <c r="BS281" s="486">
        <v>0</v>
      </c>
      <c r="BT281" s="486">
        <v>0</v>
      </c>
      <c r="BU281" s="486">
        <v>0</v>
      </c>
      <c r="BV281" s="486">
        <v>0</v>
      </c>
      <c r="BW281" s="486">
        <v>0</v>
      </c>
      <c r="BX281" s="487">
        <v>177355294</v>
      </c>
      <c r="BY281" s="486">
        <v>0</v>
      </c>
      <c r="BZ281" s="486">
        <v>0</v>
      </c>
      <c r="CA281" s="486">
        <v>0</v>
      </c>
      <c r="CB281" s="488">
        <v>0</v>
      </c>
      <c r="CC281" s="491">
        <v>177355294</v>
      </c>
      <c r="CD281" s="492">
        <v>665683534.53792286</v>
      </c>
      <c r="CE281" s="493">
        <f t="shared" si="21"/>
        <v>665683534.53792286</v>
      </c>
      <c r="CF281" s="493">
        <f t="shared" si="21"/>
        <v>0</v>
      </c>
      <c r="CG281" s="493">
        <f t="shared" si="21"/>
        <v>0</v>
      </c>
      <c r="CH281" s="493">
        <f t="shared" si="20"/>
        <v>0</v>
      </c>
      <c r="CI281" s="493">
        <f t="shared" si="20"/>
        <v>0</v>
      </c>
      <c r="CJ281" s="493">
        <f t="shared" si="20"/>
        <v>0</v>
      </c>
      <c r="CK281" s="493">
        <f t="shared" si="20"/>
        <v>0</v>
      </c>
      <c r="CL281" s="493">
        <f t="shared" si="20"/>
        <v>0</v>
      </c>
      <c r="CM281" s="493">
        <f t="shared" si="19"/>
        <v>0</v>
      </c>
      <c r="CN281" s="493">
        <f t="shared" si="19"/>
        <v>0</v>
      </c>
      <c r="CO281" s="493">
        <f t="shared" si="19"/>
        <v>0</v>
      </c>
    </row>
    <row r="282" spans="1:93" ht="30.45" hidden="1" customHeight="1">
      <c r="A282" s="555" t="s">
        <v>4563</v>
      </c>
      <c r="B282" s="479">
        <v>280</v>
      </c>
      <c r="C282" s="480" t="s">
        <v>4255</v>
      </c>
      <c r="D282" s="480" t="s">
        <v>4507</v>
      </c>
      <c r="E282" s="480" t="str">
        <f t="shared" si="18"/>
        <v xml:space="preserve">2.6.7 </v>
      </c>
      <c r="F282" s="480" t="s">
        <v>4559</v>
      </c>
      <c r="G282" s="480" t="s">
        <v>4560</v>
      </c>
      <c r="H282" s="481">
        <v>25</v>
      </c>
      <c r="I282" s="480" t="s">
        <v>4572</v>
      </c>
      <c r="J282" s="495">
        <v>250101400</v>
      </c>
      <c r="K282" s="480" t="s">
        <v>4063</v>
      </c>
      <c r="L282" s="480" t="s">
        <v>4573</v>
      </c>
      <c r="M282" s="480" t="s">
        <v>5889</v>
      </c>
      <c r="N282" s="499">
        <v>42</v>
      </c>
      <c r="O282" s="480" t="s">
        <v>4574</v>
      </c>
      <c r="P282" s="515">
        <v>70</v>
      </c>
      <c r="Q282" s="485">
        <v>220010002</v>
      </c>
      <c r="R282" s="485" t="s">
        <v>5476</v>
      </c>
      <c r="S282" s="485" t="s">
        <v>677</v>
      </c>
      <c r="T282" s="485">
        <v>0.4</v>
      </c>
      <c r="U282" s="485" t="s">
        <v>5477</v>
      </c>
      <c r="V282" s="485">
        <v>0.7</v>
      </c>
      <c r="W282" s="485" t="s">
        <v>5478</v>
      </c>
      <c r="X282" s="485">
        <v>16</v>
      </c>
      <c r="Y282" s="485" t="s">
        <v>5352</v>
      </c>
      <c r="Z282" s="486">
        <v>85201872.470974058</v>
      </c>
      <c r="AA282" s="486">
        <v>0</v>
      </c>
      <c r="AB282" s="486">
        <v>0</v>
      </c>
      <c r="AC282" s="486">
        <v>0</v>
      </c>
      <c r="AD282" s="486">
        <v>0</v>
      </c>
      <c r="AE282" s="486">
        <v>0</v>
      </c>
      <c r="AF282" s="486">
        <v>0</v>
      </c>
      <c r="AG282" s="486">
        <v>0</v>
      </c>
      <c r="AH282" s="487">
        <v>85201872.470974058</v>
      </c>
      <c r="AI282" s="486">
        <v>0</v>
      </c>
      <c r="AJ282" s="486">
        <v>0</v>
      </c>
      <c r="AK282" s="486">
        <v>0</v>
      </c>
      <c r="AL282" s="488">
        <v>0</v>
      </c>
      <c r="AM282" s="489">
        <v>85201872.470974058</v>
      </c>
      <c r="AN282" s="486">
        <v>88550306.059083343</v>
      </c>
      <c r="AO282" s="486">
        <v>0</v>
      </c>
      <c r="AP282" s="486">
        <v>0</v>
      </c>
      <c r="AQ282" s="486">
        <v>0</v>
      </c>
      <c r="AR282" s="486">
        <v>0</v>
      </c>
      <c r="AS282" s="486">
        <v>0</v>
      </c>
      <c r="AT282" s="486">
        <v>0</v>
      </c>
      <c r="AU282" s="486">
        <v>0</v>
      </c>
      <c r="AV282" s="487">
        <v>88550306.059083343</v>
      </c>
      <c r="AW282" s="486">
        <v>0</v>
      </c>
      <c r="AX282" s="486">
        <v>0</v>
      </c>
      <c r="AY282" s="486">
        <v>0</v>
      </c>
      <c r="AZ282" s="488">
        <v>0</v>
      </c>
      <c r="BA282" s="490">
        <v>88550306.059083343</v>
      </c>
      <c r="BB282" s="486">
        <v>92030333.087205321</v>
      </c>
      <c r="BC282" s="486">
        <v>0</v>
      </c>
      <c r="BD282" s="486">
        <v>0</v>
      </c>
      <c r="BE282" s="486">
        <v>0</v>
      </c>
      <c r="BF282" s="486">
        <v>0</v>
      </c>
      <c r="BG282" s="486">
        <v>0</v>
      </c>
      <c r="BH282" s="486">
        <v>0</v>
      </c>
      <c r="BI282" s="486">
        <v>0</v>
      </c>
      <c r="BJ282" s="487">
        <v>92030333.087205321</v>
      </c>
      <c r="BK282" s="486">
        <v>0</v>
      </c>
      <c r="BL282" s="486">
        <v>0</v>
      </c>
      <c r="BM282" s="486">
        <v>0</v>
      </c>
      <c r="BN282" s="488">
        <v>0</v>
      </c>
      <c r="BO282" s="490">
        <v>92030333.087205321</v>
      </c>
      <c r="BP282" s="486">
        <v>95647125.177532494</v>
      </c>
      <c r="BQ282" s="486">
        <v>0</v>
      </c>
      <c r="BR282" s="486">
        <v>0</v>
      </c>
      <c r="BS282" s="486">
        <v>0</v>
      </c>
      <c r="BT282" s="486">
        <v>0</v>
      </c>
      <c r="BU282" s="486">
        <v>0</v>
      </c>
      <c r="BV282" s="486">
        <v>0</v>
      </c>
      <c r="BW282" s="486">
        <v>0</v>
      </c>
      <c r="BX282" s="487">
        <v>95647125.177532494</v>
      </c>
      <c r="BY282" s="486">
        <v>0</v>
      </c>
      <c r="BZ282" s="486">
        <v>0</v>
      </c>
      <c r="CA282" s="486">
        <v>0</v>
      </c>
      <c r="CB282" s="488">
        <v>0</v>
      </c>
      <c r="CC282" s="491">
        <v>95647125.177532494</v>
      </c>
      <c r="CD282" s="492">
        <v>361429636.79479527</v>
      </c>
      <c r="CE282" s="493">
        <f t="shared" si="21"/>
        <v>361429636.79479522</v>
      </c>
      <c r="CF282" s="493">
        <f t="shared" si="21"/>
        <v>0</v>
      </c>
      <c r="CG282" s="493">
        <f t="shared" si="21"/>
        <v>0</v>
      </c>
      <c r="CH282" s="493">
        <f t="shared" si="20"/>
        <v>0</v>
      </c>
      <c r="CI282" s="493">
        <f t="shared" si="20"/>
        <v>0</v>
      </c>
      <c r="CJ282" s="493">
        <f t="shared" si="20"/>
        <v>0</v>
      </c>
      <c r="CK282" s="493">
        <f t="shared" si="20"/>
        <v>0</v>
      </c>
      <c r="CL282" s="493">
        <f t="shared" si="20"/>
        <v>0</v>
      </c>
      <c r="CM282" s="493">
        <f t="shared" si="19"/>
        <v>0</v>
      </c>
      <c r="CN282" s="493">
        <f t="shared" si="19"/>
        <v>0</v>
      </c>
      <c r="CO282" s="493">
        <f t="shared" si="19"/>
        <v>0</v>
      </c>
    </row>
    <row r="283" spans="1:93" ht="30.45" hidden="1" customHeight="1">
      <c r="A283" s="555" t="s">
        <v>4563</v>
      </c>
      <c r="B283" s="479">
        <v>281</v>
      </c>
      <c r="C283" s="480" t="s">
        <v>4255</v>
      </c>
      <c r="D283" s="480" t="s">
        <v>4507</v>
      </c>
      <c r="E283" s="480" t="str">
        <f t="shared" si="18"/>
        <v xml:space="preserve">2.6.8 </v>
      </c>
      <c r="F283" s="480" t="s">
        <v>4575</v>
      </c>
      <c r="G283" s="480" t="s">
        <v>4576</v>
      </c>
      <c r="H283" s="481">
        <v>25</v>
      </c>
      <c r="I283" s="480" t="s">
        <v>4577</v>
      </c>
      <c r="J283" s="495">
        <v>250100101</v>
      </c>
      <c r="K283" s="480" t="s">
        <v>683</v>
      </c>
      <c r="L283" s="480" t="s">
        <v>4565</v>
      </c>
      <c r="M283" s="480" t="s">
        <v>5890</v>
      </c>
      <c r="N283" s="499">
        <v>2</v>
      </c>
      <c r="O283" s="480" t="s">
        <v>6540</v>
      </c>
      <c r="P283" s="515">
        <v>10</v>
      </c>
      <c r="Q283" s="485" t="s">
        <v>5349</v>
      </c>
      <c r="R283" s="485" t="s">
        <v>5479</v>
      </c>
      <c r="S283" s="485" t="s">
        <v>677</v>
      </c>
      <c r="T283" s="485">
        <v>0.35</v>
      </c>
      <c r="U283" s="485" t="s">
        <v>5480</v>
      </c>
      <c r="V283" s="485">
        <v>0.55000000000000004</v>
      </c>
      <c r="W283" s="485" t="s">
        <v>5478</v>
      </c>
      <c r="X283" s="485">
        <v>16</v>
      </c>
      <c r="Y283" s="485" t="s">
        <v>5355</v>
      </c>
      <c r="Z283" s="486">
        <v>62485149.824125253</v>
      </c>
      <c r="AA283" s="486">
        <v>0</v>
      </c>
      <c r="AB283" s="486">
        <v>0</v>
      </c>
      <c r="AC283" s="486">
        <v>0</v>
      </c>
      <c r="AD283" s="486">
        <v>0</v>
      </c>
      <c r="AE283" s="486">
        <v>0</v>
      </c>
      <c r="AF283" s="486">
        <v>0</v>
      </c>
      <c r="AG283" s="486">
        <v>0</v>
      </c>
      <c r="AH283" s="487">
        <v>62485149.824125253</v>
      </c>
      <c r="AI283" s="486">
        <v>0</v>
      </c>
      <c r="AJ283" s="486">
        <v>0</v>
      </c>
      <c r="AK283" s="486">
        <v>0</v>
      </c>
      <c r="AL283" s="488">
        <v>0</v>
      </c>
      <c r="AM283" s="489">
        <v>62485149.824125253</v>
      </c>
      <c r="AN283" s="486">
        <v>64940816.212213375</v>
      </c>
      <c r="AO283" s="486">
        <v>0</v>
      </c>
      <c r="AP283" s="486">
        <v>0</v>
      </c>
      <c r="AQ283" s="486">
        <v>0</v>
      </c>
      <c r="AR283" s="486">
        <v>0</v>
      </c>
      <c r="AS283" s="486">
        <v>0</v>
      </c>
      <c r="AT283" s="486">
        <v>0</v>
      </c>
      <c r="AU283" s="486">
        <v>0</v>
      </c>
      <c r="AV283" s="487">
        <v>64940816.212213375</v>
      </c>
      <c r="AW283" s="486">
        <v>0</v>
      </c>
      <c r="AX283" s="486">
        <v>0</v>
      </c>
      <c r="AY283" s="486">
        <v>0</v>
      </c>
      <c r="AZ283" s="488">
        <v>0</v>
      </c>
      <c r="BA283" s="490">
        <v>64940816.212213375</v>
      </c>
      <c r="BB283" s="486">
        <v>67492990.289353356</v>
      </c>
      <c r="BC283" s="486">
        <v>0</v>
      </c>
      <c r="BD283" s="486">
        <v>0</v>
      </c>
      <c r="BE283" s="486">
        <v>0</v>
      </c>
      <c r="BF283" s="486">
        <v>0</v>
      </c>
      <c r="BG283" s="486">
        <v>0</v>
      </c>
      <c r="BH283" s="486">
        <v>0</v>
      </c>
      <c r="BI283" s="486">
        <v>0</v>
      </c>
      <c r="BJ283" s="487">
        <v>67492990.289353356</v>
      </c>
      <c r="BK283" s="486">
        <v>0</v>
      </c>
      <c r="BL283" s="486">
        <v>0</v>
      </c>
      <c r="BM283" s="486">
        <v>0</v>
      </c>
      <c r="BN283" s="488">
        <v>0</v>
      </c>
      <c r="BO283" s="490">
        <v>67492990.289353356</v>
      </c>
      <c r="BP283" s="486">
        <v>70145464.807724938</v>
      </c>
      <c r="BQ283" s="486">
        <v>0</v>
      </c>
      <c r="BR283" s="486">
        <v>0</v>
      </c>
      <c r="BS283" s="486">
        <v>0</v>
      </c>
      <c r="BT283" s="486">
        <v>0</v>
      </c>
      <c r="BU283" s="486">
        <v>0</v>
      </c>
      <c r="BV283" s="486">
        <v>0</v>
      </c>
      <c r="BW283" s="486">
        <v>0</v>
      </c>
      <c r="BX283" s="487">
        <v>70145464.807724938</v>
      </c>
      <c r="BY283" s="486">
        <v>0</v>
      </c>
      <c r="BZ283" s="486">
        <v>0</v>
      </c>
      <c r="CA283" s="486">
        <v>0</v>
      </c>
      <c r="CB283" s="488">
        <v>0</v>
      </c>
      <c r="CC283" s="491">
        <v>70145464.807724938</v>
      </c>
      <c r="CD283" s="492">
        <v>265064421.13341692</v>
      </c>
      <c r="CE283" s="493">
        <f t="shared" si="21"/>
        <v>265064421.13341695</v>
      </c>
      <c r="CF283" s="493">
        <f t="shared" si="21"/>
        <v>0</v>
      </c>
      <c r="CG283" s="493">
        <f t="shared" si="21"/>
        <v>0</v>
      </c>
      <c r="CH283" s="493">
        <f t="shared" si="20"/>
        <v>0</v>
      </c>
      <c r="CI283" s="493">
        <f t="shared" si="20"/>
        <v>0</v>
      </c>
      <c r="CJ283" s="493">
        <f t="shared" si="20"/>
        <v>0</v>
      </c>
      <c r="CK283" s="493">
        <f t="shared" si="20"/>
        <v>0</v>
      </c>
      <c r="CL283" s="493">
        <f t="shared" si="20"/>
        <v>0</v>
      </c>
      <c r="CM283" s="493">
        <f t="shared" si="19"/>
        <v>0</v>
      </c>
      <c r="CN283" s="493">
        <f t="shared" si="19"/>
        <v>0</v>
      </c>
      <c r="CO283" s="493">
        <f t="shared" si="19"/>
        <v>0</v>
      </c>
    </row>
    <row r="284" spans="1:93" ht="30.45" hidden="1" customHeight="1">
      <c r="A284" s="555" t="s">
        <v>4563</v>
      </c>
      <c r="B284" s="479">
        <v>282</v>
      </c>
      <c r="C284" s="480" t="s">
        <v>4255</v>
      </c>
      <c r="D284" s="480" t="s">
        <v>4507</v>
      </c>
      <c r="E284" s="480" t="str">
        <f t="shared" si="18"/>
        <v xml:space="preserve">2.6.8 </v>
      </c>
      <c r="F284" s="480" t="s">
        <v>4575</v>
      </c>
      <c r="G284" s="480" t="s">
        <v>4576</v>
      </c>
      <c r="H284" s="481">
        <v>45</v>
      </c>
      <c r="I284" s="480" t="s">
        <v>4180</v>
      </c>
      <c r="J284" s="495">
        <v>459903102</v>
      </c>
      <c r="K284" s="480" t="s">
        <v>683</v>
      </c>
      <c r="L284" s="480" t="s">
        <v>4578</v>
      </c>
      <c r="M284" s="480" t="s">
        <v>5891</v>
      </c>
      <c r="N284" s="499">
        <v>44</v>
      </c>
      <c r="O284" s="480" t="s">
        <v>4579</v>
      </c>
      <c r="P284" s="515">
        <v>44</v>
      </c>
      <c r="Q284" s="485" t="s">
        <v>5349</v>
      </c>
      <c r="R284" s="485" t="s">
        <v>5479</v>
      </c>
      <c r="S284" s="485" t="s">
        <v>677</v>
      </c>
      <c r="T284" s="485">
        <v>0.35</v>
      </c>
      <c r="U284" s="485" t="s">
        <v>5480</v>
      </c>
      <c r="V284" s="485">
        <v>0.55000000000000004</v>
      </c>
      <c r="W284" s="485" t="s">
        <v>5478</v>
      </c>
      <c r="X284" s="485">
        <v>16</v>
      </c>
      <c r="Y284" s="485" t="s">
        <v>5355</v>
      </c>
      <c r="Z284" s="486">
        <v>88487582.97849831</v>
      </c>
      <c r="AA284" s="486">
        <v>0</v>
      </c>
      <c r="AB284" s="486">
        <v>0</v>
      </c>
      <c r="AC284" s="486">
        <v>0</v>
      </c>
      <c r="AD284" s="486">
        <v>0</v>
      </c>
      <c r="AE284" s="486">
        <v>0</v>
      </c>
      <c r="AF284" s="486">
        <v>0</v>
      </c>
      <c r="AG284" s="486">
        <v>0</v>
      </c>
      <c r="AH284" s="487">
        <v>88487582.97849831</v>
      </c>
      <c r="AI284" s="486">
        <v>0</v>
      </c>
      <c r="AJ284" s="486">
        <v>0</v>
      </c>
      <c r="AK284" s="486">
        <v>0</v>
      </c>
      <c r="AL284" s="488">
        <v>0</v>
      </c>
      <c r="AM284" s="489">
        <v>88487582.97849831</v>
      </c>
      <c r="AN284" s="486">
        <v>91965144.989553288</v>
      </c>
      <c r="AO284" s="486">
        <v>0</v>
      </c>
      <c r="AP284" s="486">
        <v>0</v>
      </c>
      <c r="AQ284" s="486">
        <v>0</v>
      </c>
      <c r="AR284" s="486">
        <v>0</v>
      </c>
      <c r="AS284" s="486">
        <v>0</v>
      </c>
      <c r="AT284" s="486">
        <v>0</v>
      </c>
      <c r="AU284" s="486">
        <v>0</v>
      </c>
      <c r="AV284" s="487">
        <v>91965144.989553288</v>
      </c>
      <c r="AW284" s="486">
        <v>0</v>
      </c>
      <c r="AX284" s="486">
        <v>0</v>
      </c>
      <c r="AY284" s="486">
        <v>0</v>
      </c>
      <c r="AZ284" s="488">
        <v>0</v>
      </c>
      <c r="BA284" s="490">
        <v>91965144.989553288</v>
      </c>
      <c r="BB284" s="486">
        <v>95579375.187642738</v>
      </c>
      <c r="BC284" s="486">
        <v>0</v>
      </c>
      <c r="BD284" s="486">
        <v>0</v>
      </c>
      <c r="BE284" s="486">
        <v>0</v>
      </c>
      <c r="BF284" s="486">
        <v>0</v>
      </c>
      <c r="BG284" s="486">
        <v>0</v>
      </c>
      <c r="BH284" s="486">
        <v>0</v>
      </c>
      <c r="BI284" s="486">
        <v>0</v>
      </c>
      <c r="BJ284" s="487">
        <v>95579375.187642738</v>
      </c>
      <c r="BK284" s="486">
        <v>0</v>
      </c>
      <c r="BL284" s="486">
        <v>0</v>
      </c>
      <c r="BM284" s="486">
        <v>0</v>
      </c>
      <c r="BN284" s="488">
        <v>0</v>
      </c>
      <c r="BO284" s="490">
        <v>95579375.187642738</v>
      </c>
      <c r="BP284" s="486">
        <v>99335644.632517099</v>
      </c>
      <c r="BQ284" s="486">
        <v>0</v>
      </c>
      <c r="BR284" s="486">
        <v>0</v>
      </c>
      <c r="BS284" s="486">
        <v>0</v>
      </c>
      <c r="BT284" s="486">
        <v>0</v>
      </c>
      <c r="BU284" s="486">
        <v>0</v>
      </c>
      <c r="BV284" s="486">
        <v>0</v>
      </c>
      <c r="BW284" s="486">
        <v>0</v>
      </c>
      <c r="BX284" s="487">
        <v>99335644.632517099</v>
      </c>
      <c r="BY284" s="486">
        <v>0</v>
      </c>
      <c r="BZ284" s="486">
        <v>0</v>
      </c>
      <c r="CA284" s="486">
        <v>0</v>
      </c>
      <c r="CB284" s="488">
        <v>0</v>
      </c>
      <c r="CC284" s="491">
        <v>99335644.632517099</v>
      </c>
      <c r="CD284" s="492">
        <v>375367747.78821146</v>
      </c>
      <c r="CE284" s="493">
        <f t="shared" si="21"/>
        <v>375367747.78821146</v>
      </c>
      <c r="CF284" s="493">
        <f t="shared" si="21"/>
        <v>0</v>
      </c>
      <c r="CG284" s="493">
        <f t="shared" si="21"/>
        <v>0</v>
      </c>
      <c r="CH284" s="493">
        <f t="shared" si="20"/>
        <v>0</v>
      </c>
      <c r="CI284" s="493">
        <f t="shared" si="20"/>
        <v>0</v>
      </c>
      <c r="CJ284" s="493">
        <f t="shared" si="20"/>
        <v>0</v>
      </c>
      <c r="CK284" s="493">
        <f t="shared" si="20"/>
        <v>0</v>
      </c>
      <c r="CL284" s="493">
        <f t="shared" si="20"/>
        <v>0</v>
      </c>
      <c r="CM284" s="493">
        <f t="shared" si="19"/>
        <v>0</v>
      </c>
      <c r="CN284" s="493">
        <f t="shared" si="19"/>
        <v>0</v>
      </c>
      <c r="CO284" s="493">
        <f t="shared" si="19"/>
        <v>0</v>
      </c>
    </row>
    <row r="285" spans="1:93" ht="30.45" hidden="1" customHeight="1">
      <c r="A285" s="555" t="s">
        <v>4585</v>
      </c>
      <c r="B285" s="479">
        <v>283</v>
      </c>
      <c r="C285" s="480" t="s">
        <v>4255</v>
      </c>
      <c r="D285" s="480" t="s">
        <v>4580</v>
      </c>
      <c r="E285" s="480" t="str">
        <f t="shared" si="18"/>
        <v xml:space="preserve">2.7.1 </v>
      </c>
      <c r="F285" s="480" t="s">
        <v>6375</v>
      </c>
      <c r="G285" s="480" t="s">
        <v>4581</v>
      </c>
      <c r="H285" s="481">
        <v>45</v>
      </c>
      <c r="I285" s="480" t="s">
        <v>4582</v>
      </c>
      <c r="J285" s="495">
        <v>459902300</v>
      </c>
      <c r="K285" s="480" t="s">
        <v>4094</v>
      </c>
      <c r="L285" s="480" t="s">
        <v>4583</v>
      </c>
      <c r="M285" s="480" t="s">
        <v>5892</v>
      </c>
      <c r="N285" s="499">
        <v>0</v>
      </c>
      <c r="O285" s="480" t="s">
        <v>4584</v>
      </c>
      <c r="P285" s="515">
        <v>1</v>
      </c>
      <c r="Q285" s="485" t="s">
        <v>5349</v>
      </c>
      <c r="R285" s="485" t="s">
        <v>5481</v>
      </c>
      <c r="S285" s="485" t="s">
        <v>689</v>
      </c>
      <c r="T285" s="485">
        <v>54.3</v>
      </c>
      <c r="U285" s="485" t="s">
        <v>5482</v>
      </c>
      <c r="V285" s="485">
        <v>59.3</v>
      </c>
      <c r="W285" s="485" t="s">
        <v>5331</v>
      </c>
      <c r="X285" s="485">
        <v>16</v>
      </c>
      <c r="Y285" s="485" t="s">
        <v>5483</v>
      </c>
      <c r="Z285" s="486">
        <v>1800000000</v>
      </c>
      <c r="AA285" s="486">
        <v>0</v>
      </c>
      <c r="AB285" s="486">
        <v>0</v>
      </c>
      <c r="AC285" s="486">
        <v>0</v>
      </c>
      <c r="AD285" s="486">
        <v>0</v>
      </c>
      <c r="AE285" s="486">
        <v>0</v>
      </c>
      <c r="AF285" s="486">
        <v>0</v>
      </c>
      <c r="AG285" s="486">
        <v>0</v>
      </c>
      <c r="AH285" s="487">
        <v>1800000000</v>
      </c>
      <c r="AI285" s="486">
        <v>1600000000</v>
      </c>
      <c r="AJ285" s="486">
        <v>0</v>
      </c>
      <c r="AK285" s="486">
        <v>0</v>
      </c>
      <c r="AL285" s="488">
        <v>1600000000</v>
      </c>
      <c r="AM285" s="489">
        <v>3400000000</v>
      </c>
      <c r="AN285" s="486">
        <v>1872000000</v>
      </c>
      <c r="AO285" s="486">
        <v>0</v>
      </c>
      <c r="AP285" s="486">
        <v>0</v>
      </c>
      <c r="AQ285" s="486">
        <v>0</v>
      </c>
      <c r="AR285" s="486">
        <v>0</v>
      </c>
      <c r="AS285" s="486">
        <v>0</v>
      </c>
      <c r="AT285" s="486">
        <v>0</v>
      </c>
      <c r="AU285" s="486">
        <v>0</v>
      </c>
      <c r="AV285" s="487">
        <v>1872000000</v>
      </c>
      <c r="AW285" s="486">
        <v>1600000000</v>
      </c>
      <c r="AX285" s="486">
        <v>0</v>
      </c>
      <c r="AY285" s="486">
        <v>0</v>
      </c>
      <c r="AZ285" s="488">
        <v>1600000000</v>
      </c>
      <c r="BA285" s="490">
        <v>3472000000</v>
      </c>
      <c r="BB285" s="486">
        <v>1946880000</v>
      </c>
      <c r="BC285" s="486">
        <v>0</v>
      </c>
      <c r="BD285" s="486">
        <v>0</v>
      </c>
      <c r="BE285" s="486">
        <v>0</v>
      </c>
      <c r="BF285" s="486">
        <v>0</v>
      </c>
      <c r="BG285" s="486">
        <v>0</v>
      </c>
      <c r="BH285" s="486">
        <v>0</v>
      </c>
      <c r="BI285" s="486">
        <v>0</v>
      </c>
      <c r="BJ285" s="487">
        <v>1946880000</v>
      </c>
      <c r="BK285" s="486">
        <v>800000000</v>
      </c>
      <c r="BL285" s="486">
        <v>0</v>
      </c>
      <c r="BM285" s="486">
        <v>0</v>
      </c>
      <c r="BN285" s="488">
        <v>800000000</v>
      </c>
      <c r="BO285" s="490">
        <v>2746880000</v>
      </c>
      <c r="BP285" s="486">
        <v>2024755200</v>
      </c>
      <c r="BQ285" s="486">
        <v>0</v>
      </c>
      <c r="BR285" s="486">
        <v>0</v>
      </c>
      <c r="BS285" s="486">
        <v>0</v>
      </c>
      <c r="BT285" s="486">
        <v>0</v>
      </c>
      <c r="BU285" s="486">
        <v>0</v>
      </c>
      <c r="BV285" s="486">
        <v>0</v>
      </c>
      <c r="BW285" s="486">
        <v>0</v>
      </c>
      <c r="BX285" s="487">
        <v>2024755200</v>
      </c>
      <c r="BY285" s="486">
        <v>800000000</v>
      </c>
      <c r="BZ285" s="486">
        <v>0</v>
      </c>
      <c r="CA285" s="486">
        <v>0</v>
      </c>
      <c r="CB285" s="488">
        <v>800000000</v>
      </c>
      <c r="CC285" s="491">
        <v>2824755200</v>
      </c>
      <c r="CD285" s="492">
        <v>12443635200</v>
      </c>
      <c r="CE285" s="493">
        <f t="shared" si="21"/>
        <v>7643635200</v>
      </c>
      <c r="CF285" s="493">
        <f t="shared" si="21"/>
        <v>0</v>
      </c>
      <c r="CG285" s="493">
        <f t="shared" si="21"/>
        <v>0</v>
      </c>
      <c r="CH285" s="493">
        <f t="shared" si="20"/>
        <v>0</v>
      </c>
      <c r="CI285" s="493">
        <f t="shared" si="20"/>
        <v>0</v>
      </c>
      <c r="CJ285" s="493">
        <f t="shared" si="20"/>
        <v>0</v>
      </c>
      <c r="CK285" s="493">
        <f t="shared" si="20"/>
        <v>0</v>
      </c>
      <c r="CL285" s="493">
        <f t="shared" si="20"/>
        <v>0</v>
      </c>
      <c r="CM285" s="493">
        <f t="shared" si="19"/>
        <v>4800000000</v>
      </c>
      <c r="CN285" s="493">
        <f t="shared" si="19"/>
        <v>0</v>
      </c>
      <c r="CO285" s="493">
        <f t="shared" si="19"/>
        <v>0</v>
      </c>
    </row>
    <row r="286" spans="1:93" ht="30.45" hidden="1" customHeight="1">
      <c r="A286" s="555" t="s">
        <v>4585</v>
      </c>
      <c r="B286" s="479">
        <v>284</v>
      </c>
      <c r="C286" s="480" t="s">
        <v>4255</v>
      </c>
      <c r="D286" s="480" t="s">
        <v>4580</v>
      </c>
      <c r="E286" s="480" t="str">
        <f t="shared" si="18"/>
        <v xml:space="preserve">2.7.1 </v>
      </c>
      <c r="F286" s="480" t="s">
        <v>6376</v>
      </c>
      <c r="G286" s="480" t="s">
        <v>4581</v>
      </c>
      <c r="H286" s="481">
        <v>45</v>
      </c>
      <c r="I286" s="480" t="s">
        <v>4582</v>
      </c>
      <c r="J286" s="495">
        <v>459900200</v>
      </c>
      <c r="K286" s="480" t="s">
        <v>6541</v>
      </c>
      <c r="L286" s="480" t="s">
        <v>4586</v>
      </c>
      <c r="M286" s="480" t="s">
        <v>5893</v>
      </c>
      <c r="N286" s="499">
        <v>75</v>
      </c>
      <c r="O286" s="480" t="s">
        <v>4587</v>
      </c>
      <c r="P286" s="515">
        <v>90</v>
      </c>
      <c r="Q286" s="485" t="s">
        <v>5349</v>
      </c>
      <c r="R286" s="485" t="s">
        <v>5481</v>
      </c>
      <c r="S286" s="485" t="s">
        <v>689</v>
      </c>
      <c r="T286" s="485">
        <v>54.3</v>
      </c>
      <c r="U286" s="485" t="s">
        <v>5482</v>
      </c>
      <c r="V286" s="485">
        <v>59.3</v>
      </c>
      <c r="W286" s="485" t="s">
        <v>5331</v>
      </c>
      <c r="X286" s="485">
        <v>16</v>
      </c>
      <c r="Y286" s="485" t="s">
        <v>5483</v>
      </c>
      <c r="Z286" s="486">
        <v>0</v>
      </c>
      <c r="AA286" s="486">
        <v>3000000000</v>
      </c>
      <c r="AB286" s="486">
        <v>0</v>
      </c>
      <c r="AC286" s="486">
        <v>0</v>
      </c>
      <c r="AD286" s="486">
        <v>0</v>
      </c>
      <c r="AE286" s="486">
        <v>0</v>
      </c>
      <c r="AF286" s="486">
        <v>0</v>
      </c>
      <c r="AG286" s="486">
        <v>0</v>
      </c>
      <c r="AH286" s="487">
        <v>3000000000</v>
      </c>
      <c r="AI286" s="486">
        <v>1000000000</v>
      </c>
      <c r="AJ286" s="486">
        <v>0</v>
      </c>
      <c r="AK286" s="486">
        <v>0</v>
      </c>
      <c r="AL286" s="488">
        <v>1000000000</v>
      </c>
      <c r="AM286" s="489">
        <v>4000000000</v>
      </c>
      <c r="AN286" s="486">
        <v>0</v>
      </c>
      <c r="AO286" s="486">
        <v>3120000000</v>
      </c>
      <c r="AP286" s="486">
        <v>0</v>
      </c>
      <c r="AQ286" s="486">
        <v>0</v>
      </c>
      <c r="AR286" s="486">
        <v>0</v>
      </c>
      <c r="AS286" s="486">
        <v>0</v>
      </c>
      <c r="AT286" s="486">
        <v>0</v>
      </c>
      <c r="AU286" s="486">
        <v>0</v>
      </c>
      <c r="AV286" s="487">
        <v>3120000000</v>
      </c>
      <c r="AW286" s="486">
        <v>1020000000</v>
      </c>
      <c r="AX286" s="486">
        <v>0</v>
      </c>
      <c r="AY286" s="486">
        <v>0</v>
      </c>
      <c r="AZ286" s="488">
        <v>1020000000</v>
      </c>
      <c r="BA286" s="490">
        <v>4140000000</v>
      </c>
      <c r="BB286" s="486">
        <v>0</v>
      </c>
      <c r="BC286" s="486">
        <v>3244800000</v>
      </c>
      <c r="BD286" s="486">
        <v>0</v>
      </c>
      <c r="BE286" s="486">
        <v>0</v>
      </c>
      <c r="BF286" s="486">
        <v>0</v>
      </c>
      <c r="BG286" s="486">
        <v>0</v>
      </c>
      <c r="BH286" s="486">
        <v>0</v>
      </c>
      <c r="BI286" s="486">
        <v>0</v>
      </c>
      <c r="BJ286" s="487">
        <v>3244800000</v>
      </c>
      <c r="BK286" s="486">
        <v>1020400000</v>
      </c>
      <c r="BL286" s="486">
        <v>0</v>
      </c>
      <c r="BM286" s="486">
        <v>0</v>
      </c>
      <c r="BN286" s="488">
        <v>1020400000</v>
      </c>
      <c r="BO286" s="490">
        <v>4265200000</v>
      </c>
      <c r="BP286" s="486">
        <v>0</v>
      </c>
      <c r="BQ286" s="486">
        <v>3374592000</v>
      </c>
      <c r="BR286" s="486">
        <v>0</v>
      </c>
      <c r="BS286" s="486">
        <v>0</v>
      </c>
      <c r="BT286" s="486">
        <v>0</v>
      </c>
      <c r="BU286" s="486">
        <v>0</v>
      </c>
      <c r="BV286" s="486">
        <v>0</v>
      </c>
      <c r="BW286" s="486">
        <v>0</v>
      </c>
      <c r="BX286" s="487">
        <v>3374592000</v>
      </c>
      <c r="BY286" s="486">
        <v>1020408000</v>
      </c>
      <c r="BZ286" s="486">
        <v>0</v>
      </c>
      <c r="CA286" s="486">
        <v>0</v>
      </c>
      <c r="CB286" s="488">
        <v>1020408000</v>
      </c>
      <c r="CC286" s="491">
        <v>4395000000</v>
      </c>
      <c r="CD286" s="492">
        <v>16800200000</v>
      </c>
      <c r="CE286" s="493">
        <f t="shared" si="21"/>
        <v>0</v>
      </c>
      <c r="CF286" s="493">
        <f t="shared" si="21"/>
        <v>12739392000</v>
      </c>
      <c r="CG286" s="493">
        <f t="shared" si="21"/>
        <v>0</v>
      </c>
      <c r="CH286" s="493">
        <f t="shared" si="20"/>
        <v>0</v>
      </c>
      <c r="CI286" s="493">
        <f t="shared" si="20"/>
        <v>0</v>
      </c>
      <c r="CJ286" s="493">
        <f t="shared" si="20"/>
        <v>0</v>
      </c>
      <c r="CK286" s="493">
        <f t="shared" si="20"/>
        <v>0</v>
      </c>
      <c r="CL286" s="493">
        <f t="shared" si="20"/>
        <v>0</v>
      </c>
      <c r="CM286" s="493">
        <f t="shared" si="19"/>
        <v>4060808000</v>
      </c>
      <c r="CN286" s="493">
        <f t="shared" si="19"/>
        <v>0</v>
      </c>
      <c r="CO286" s="493">
        <f t="shared" si="19"/>
        <v>0</v>
      </c>
    </row>
    <row r="287" spans="1:93" ht="30.45" hidden="1" customHeight="1">
      <c r="A287" s="555" t="s">
        <v>4585</v>
      </c>
      <c r="B287" s="479">
        <v>285</v>
      </c>
      <c r="C287" s="480" t="s">
        <v>4255</v>
      </c>
      <c r="D287" s="480" t="s">
        <v>4580</v>
      </c>
      <c r="E287" s="480" t="str">
        <f t="shared" si="18"/>
        <v xml:space="preserve">2.7.1 </v>
      </c>
      <c r="F287" s="480" t="s">
        <v>6375</v>
      </c>
      <c r="G287" s="480" t="s">
        <v>4581</v>
      </c>
      <c r="H287" s="481">
        <v>45</v>
      </c>
      <c r="I287" s="480" t="s">
        <v>4582</v>
      </c>
      <c r="J287" s="495">
        <v>459903100</v>
      </c>
      <c r="K287" s="480" t="s">
        <v>4215</v>
      </c>
      <c r="L287" s="480" t="s">
        <v>6542</v>
      </c>
      <c r="M287" s="480" t="s">
        <v>6543</v>
      </c>
      <c r="N287" s="499">
        <v>0</v>
      </c>
      <c r="O287" s="480" t="s">
        <v>4587</v>
      </c>
      <c r="P287" s="515">
        <v>150</v>
      </c>
      <c r="Q287" s="485" t="s">
        <v>5349</v>
      </c>
      <c r="R287" s="485" t="s">
        <v>5481</v>
      </c>
      <c r="S287" s="485" t="s">
        <v>689</v>
      </c>
      <c r="T287" s="485">
        <v>54.3</v>
      </c>
      <c r="U287" s="485" t="s">
        <v>5482</v>
      </c>
      <c r="V287" s="485">
        <v>59.3</v>
      </c>
      <c r="W287" s="485" t="s">
        <v>5331</v>
      </c>
      <c r="X287" s="485">
        <v>16</v>
      </c>
      <c r="Y287" s="485" t="s">
        <v>5483</v>
      </c>
      <c r="Z287" s="486">
        <v>2500000000</v>
      </c>
      <c r="AA287" s="486">
        <v>0</v>
      </c>
      <c r="AB287" s="486">
        <v>0</v>
      </c>
      <c r="AC287" s="486">
        <v>0</v>
      </c>
      <c r="AD287" s="486">
        <v>0</v>
      </c>
      <c r="AE287" s="486">
        <v>0</v>
      </c>
      <c r="AF287" s="486">
        <v>0</v>
      </c>
      <c r="AG287" s="486">
        <v>0</v>
      </c>
      <c r="AH287" s="487">
        <v>2500000000</v>
      </c>
      <c r="AI287" s="486">
        <v>120000000</v>
      </c>
      <c r="AJ287" s="486">
        <v>0</v>
      </c>
      <c r="AK287" s="486">
        <v>0</v>
      </c>
      <c r="AL287" s="488">
        <v>120000000</v>
      </c>
      <c r="AM287" s="489">
        <v>2620000000</v>
      </c>
      <c r="AN287" s="486">
        <v>2600000000</v>
      </c>
      <c r="AO287" s="486">
        <v>0</v>
      </c>
      <c r="AP287" s="486">
        <v>0</v>
      </c>
      <c r="AQ287" s="486">
        <v>0</v>
      </c>
      <c r="AR287" s="486">
        <v>0</v>
      </c>
      <c r="AS287" s="486">
        <v>0</v>
      </c>
      <c r="AT287" s="486">
        <v>0</v>
      </c>
      <c r="AU287" s="486">
        <v>0</v>
      </c>
      <c r="AV287" s="487">
        <v>2600000000</v>
      </c>
      <c r="AW287" s="486">
        <v>122400000</v>
      </c>
      <c r="AX287" s="486">
        <v>0</v>
      </c>
      <c r="AY287" s="486">
        <v>0</v>
      </c>
      <c r="AZ287" s="488">
        <v>122400000</v>
      </c>
      <c r="BA287" s="490">
        <v>2722400000</v>
      </c>
      <c r="BB287" s="486">
        <v>2704000000</v>
      </c>
      <c r="BC287" s="486">
        <v>0</v>
      </c>
      <c r="BD287" s="486">
        <v>0</v>
      </c>
      <c r="BE287" s="486">
        <v>0</v>
      </c>
      <c r="BF287" s="486">
        <v>0</v>
      </c>
      <c r="BG287" s="486">
        <v>0</v>
      </c>
      <c r="BH287" s="486">
        <v>0</v>
      </c>
      <c r="BI287" s="486">
        <v>0</v>
      </c>
      <c r="BJ287" s="487">
        <v>2704000000</v>
      </c>
      <c r="BK287" s="486">
        <v>124848000</v>
      </c>
      <c r="BL287" s="486">
        <v>0</v>
      </c>
      <c r="BM287" s="486">
        <v>0</v>
      </c>
      <c r="BN287" s="488">
        <v>124848000</v>
      </c>
      <c r="BO287" s="490">
        <v>2828848000</v>
      </c>
      <c r="BP287" s="486">
        <v>2812160000</v>
      </c>
      <c r="BQ287" s="486">
        <v>0</v>
      </c>
      <c r="BR287" s="486">
        <v>0</v>
      </c>
      <c r="BS287" s="486">
        <v>0</v>
      </c>
      <c r="BT287" s="486">
        <v>0</v>
      </c>
      <c r="BU287" s="486">
        <v>0</v>
      </c>
      <c r="BV287" s="486">
        <v>0</v>
      </c>
      <c r="BW287" s="486">
        <v>0</v>
      </c>
      <c r="BX287" s="487">
        <v>2812160000</v>
      </c>
      <c r="BY287" s="486">
        <v>127344960</v>
      </c>
      <c r="BZ287" s="486">
        <v>0</v>
      </c>
      <c r="CA287" s="486">
        <v>0</v>
      </c>
      <c r="CB287" s="488">
        <v>127344960</v>
      </c>
      <c r="CC287" s="491">
        <v>2939504960</v>
      </c>
      <c r="CD287" s="492">
        <v>11110752960</v>
      </c>
      <c r="CE287" s="493">
        <f t="shared" si="21"/>
        <v>10616160000</v>
      </c>
      <c r="CF287" s="493">
        <f t="shared" si="21"/>
        <v>0</v>
      </c>
      <c r="CG287" s="493">
        <f t="shared" si="21"/>
        <v>0</v>
      </c>
      <c r="CH287" s="493">
        <f t="shared" si="20"/>
        <v>0</v>
      </c>
      <c r="CI287" s="493">
        <f t="shared" si="20"/>
        <v>0</v>
      </c>
      <c r="CJ287" s="493">
        <f t="shared" si="20"/>
        <v>0</v>
      </c>
      <c r="CK287" s="493">
        <f t="shared" si="20"/>
        <v>0</v>
      </c>
      <c r="CL287" s="493">
        <f t="shared" si="20"/>
        <v>0</v>
      </c>
      <c r="CM287" s="493">
        <f t="shared" si="19"/>
        <v>494592960</v>
      </c>
      <c r="CN287" s="493">
        <f t="shared" si="19"/>
        <v>0</v>
      </c>
      <c r="CO287" s="493">
        <f t="shared" si="19"/>
        <v>0</v>
      </c>
    </row>
    <row r="288" spans="1:93" ht="30.45" hidden="1" customHeight="1">
      <c r="A288" s="555" t="s">
        <v>4585</v>
      </c>
      <c r="B288" s="479">
        <v>286</v>
      </c>
      <c r="C288" s="480" t="s">
        <v>4255</v>
      </c>
      <c r="D288" s="480" t="s">
        <v>4580</v>
      </c>
      <c r="E288" s="480" t="str">
        <f t="shared" si="18"/>
        <v xml:space="preserve">2.7.1 </v>
      </c>
      <c r="F288" s="480" t="s">
        <v>6375</v>
      </c>
      <c r="G288" s="480" t="s">
        <v>4581</v>
      </c>
      <c r="H288" s="481">
        <v>45</v>
      </c>
      <c r="I288" s="480" t="s">
        <v>4582</v>
      </c>
      <c r="J288" s="495">
        <v>450102600</v>
      </c>
      <c r="K288" s="480" t="s">
        <v>4588</v>
      </c>
      <c r="L288" s="480" t="s">
        <v>5894</v>
      </c>
      <c r="M288" s="480" t="s">
        <v>5895</v>
      </c>
      <c r="N288" s="499">
        <v>1</v>
      </c>
      <c r="O288" s="480" t="s">
        <v>4587</v>
      </c>
      <c r="P288" s="515">
        <v>1</v>
      </c>
      <c r="Q288" s="485" t="s">
        <v>5349</v>
      </c>
      <c r="R288" s="485" t="s">
        <v>5481</v>
      </c>
      <c r="S288" s="485" t="s">
        <v>689</v>
      </c>
      <c r="T288" s="485">
        <v>54.3</v>
      </c>
      <c r="U288" s="485" t="s">
        <v>5482</v>
      </c>
      <c r="V288" s="485">
        <v>59.3</v>
      </c>
      <c r="W288" s="485" t="s">
        <v>5331</v>
      </c>
      <c r="X288" s="485">
        <v>16</v>
      </c>
      <c r="Y288" s="485" t="s">
        <v>5483</v>
      </c>
      <c r="Z288" s="486">
        <v>0</v>
      </c>
      <c r="AA288" s="486">
        <v>733906038</v>
      </c>
      <c r="AB288" s="486">
        <v>0</v>
      </c>
      <c r="AC288" s="486">
        <v>0</v>
      </c>
      <c r="AD288" s="486">
        <v>0</v>
      </c>
      <c r="AE288" s="486">
        <v>0</v>
      </c>
      <c r="AF288" s="486">
        <v>0</v>
      </c>
      <c r="AG288" s="486">
        <v>0</v>
      </c>
      <c r="AH288" s="487">
        <v>733906038</v>
      </c>
      <c r="AI288" s="486">
        <v>427000000</v>
      </c>
      <c r="AJ288" s="486">
        <v>0</v>
      </c>
      <c r="AK288" s="486">
        <v>0</v>
      </c>
      <c r="AL288" s="488">
        <v>427000000</v>
      </c>
      <c r="AM288" s="489">
        <v>1160906038</v>
      </c>
      <c r="AN288" s="486">
        <v>0</v>
      </c>
      <c r="AO288" s="486">
        <v>763262279</v>
      </c>
      <c r="AP288" s="486">
        <v>0</v>
      </c>
      <c r="AQ288" s="486">
        <v>0</v>
      </c>
      <c r="AR288" s="486">
        <v>0</v>
      </c>
      <c r="AS288" s="486">
        <v>0</v>
      </c>
      <c r="AT288" s="486">
        <v>0</v>
      </c>
      <c r="AU288" s="486">
        <v>0</v>
      </c>
      <c r="AV288" s="487">
        <v>763262279</v>
      </c>
      <c r="AW288" s="486">
        <v>435540000</v>
      </c>
      <c r="AX288" s="486">
        <v>0</v>
      </c>
      <c r="AY288" s="486">
        <v>0</v>
      </c>
      <c r="AZ288" s="488">
        <v>435540000</v>
      </c>
      <c r="BA288" s="490">
        <v>1198802279</v>
      </c>
      <c r="BB288" s="486">
        <v>0</v>
      </c>
      <c r="BC288" s="486">
        <v>793792770</v>
      </c>
      <c r="BD288" s="486">
        <v>0</v>
      </c>
      <c r="BE288" s="486">
        <v>0</v>
      </c>
      <c r="BF288" s="486">
        <v>0</v>
      </c>
      <c r="BG288" s="486">
        <v>0</v>
      </c>
      <c r="BH288" s="486">
        <v>0</v>
      </c>
      <c r="BI288" s="486">
        <v>0</v>
      </c>
      <c r="BJ288" s="487">
        <v>793792770</v>
      </c>
      <c r="BK288" s="486">
        <v>444250800</v>
      </c>
      <c r="BL288" s="486">
        <v>0</v>
      </c>
      <c r="BM288" s="486">
        <v>0</v>
      </c>
      <c r="BN288" s="488">
        <v>444250800</v>
      </c>
      <c r="BO288" s="490">
        <v>1238043570</v>
      </c>
      <c r="BP288" s="486">
        <v>0</v>
      </c>
      <c r="BQ288" s="486">
        <v>825544481</v>
      </c>
      <c r="BR288" s="486">
        <v>0</v>
      </c>
      <c r="BS288" s="486">
        <v>0</v>
      </c>
      <c r="BT288" s="486">
        <v>0</v>
      </c>
      <c r="BU288" s="486">
        <v>0</v>
      </c>
      <c r="BV288" s="486">
        <v>0</v>
      </c>
      <c r="BW288" s="486">
        <v>0</v>
      </c>
      <c r="BX288" s="487">
        <v>825544481</v>
      </c>
      <c r="BY288" s="486">
        <v>453135816</v>
      </c>
      <c r="BZ288" s="486">
        <v>0</v>
      </c>
      <c r="CA288" s="486">
        <v>0</v>
      </c>
      <c r="CB288" s="488">
        <v>453135816</v>
      </c>
      <c r="CC288" s="491">
        <v>1278680297</v>
      </c>
      <c r="CD288" s="492">
        <v>4876432184</v>
      </c>
      <c r="CE288" s="493">
        <f t="shared" si="21"/>
        <v>0</v>
      </c>
      <c r="CF288" s="493">
        <f t="shared" si="21"/>
        <v>3116505568</v>
      </c>
      <c r="CG288" s="493">
        <f t="shared" si="21"/>
        <v>0</v>
      </c>
      <c r="CH288" s="493">
        <f t="shared" si="20"/>
        <v>0</v>
      </c>
      <c r="CI288" s="493">
        <f t="shared" si="20"/>
        <v>0</v>
      </c>
      <c r="CJ288" s="493">
        <f t="shared" si="20"/>
        <v>0</v>
      </c>
      <c r="CK288" s="493">
        <f t="shared" si="20"/>
        <v>0</v>
      </c>
      <c r="CL288" s="493">
        <f t="shared" si="20"/>
        <v>0</v>
      </c>
      <c r="CM288" s="493">
        <f t="shared" si="19"/>
        <v>1759926616</v>
      </c>
      <c r="CN288" s="493">
        <f t="shared" si="19"/>
        <v>0</v>
      </c>
      <c r="CO288" s="493">
        <f t="shared" si="19"/>
        <v>0</v>
      </c>
    </row>
    <row r="289" spans="1:93" ht="30.45" hidden="1" customHeight="1">
      <c r="A289" s="555" t="s">
        <v>1259</v>
      </c>
      <c r="B289" s="479">
        <v>287</v>
      </c>
      <c r="C289" s="480" t="s">
        <v>4255</v>
      </c>
      <c r="D289" s="480" t="s">
        <v>4580</v>
      </c>
      <c r="E289" s="480" t="str">
        <f t="shared" si="18"/>
        <v xml:space="preserve">2.7.2 </v>
      </c>
      <c r="F289" s="480" t="s">
        <v>4589</v>
      </c>
      <c r="G289" s="480" t="s">
        <v>4590</v>
      </c>
      <c r="H289" s="481">
        <v>45</v>
      </c>
      <c r="I289" s="480" t="s">
        <v>4180</v>
      </c>
      <c r="J289" s="495">
        <v>459902300</v>
      </c>
      <c r="K289" s="480" t="s">
        <v>4094</v>
      </c>
      <c r="L289" s="480" t="s">
        <v>4217</v>
      </c>
      <c r="M289" s="480" t="s">
        <v>5896</v>
      </c>
      <c r="N289" s="499">
        <v>1</v>
      </c>
      <c r="O289" s="480" t="s">
        <v>4591</v>
      </c>
      <c r="P289" s="515">
        <v>2</v>
      </c>
      <c r="Q289" s="485" t="s">
        <v>5349</v>
      </c>
      <c r="R289" s="485" t="s">
        <v>5484</v>
      </c>
      <c r="S289" s="485" t="s">
        <v>677</v>
      </c>
      <c r="T289" s="485">
        <v>3348000000</v>
      </c>
      <c r="U289" s="485" t="s">
        <v>4591</v>
      </c>
      <c r="V289" s="485">
        <v>4017600000</v>
      </c>
      <c r="W289" s="485" t="s">
        <v>5485</v>
      </c>
      <c r="X289" s="485" t="s">
        <v>5486</v>
      </c>
      <c r="Y289" s="485" t="s">
        <v>5487</v>
      </c>
      <c r="Z289" s="486">
        <v>0</v>
      </c>
      <c r="AA289" s="486">
        <v>0</v>
      </c>
      <c r="AB289" s="486">
        <v>0</v>
      </c>
      <c r="AC289" s="486">
        <v>0</v>
      </c>
      <c r="AD289" s="486">
        <v>0</v>
      </c>
      <c r="AE289" s="486">
        <v>727224057</v>
      </c>
      <c r="AF289" s="486">
        <v>0</v>
      </c>
      <c r="AG289" s="486">
        <v>0</v>
      </c>
      <c r="AH289" s="487">
        <v>727224057</v>
      </c>
      <c r="AI289" s="486">
        <v>0</v>
      </c>
      <c r="AJ289" s="486">
        <v>0</v>
      </c>
      <c r="AK289" s="486">
        <v>0</v>
      </c>
      <c r="AL289" s="488">
        <v>0</v>
      </c>
      <c r="AM289" s="489">
        <v>727224057</v>
      </c>
      <c r="AN289" s="486">
        <v>0</v>
      </c>
      <c r="AO289" s="486">
        <v>0</v>
      </c>
      <c r="AP289" s="486">
        <v>0</v>
      </c>
      <c r="AQ289" s="486">
        <v>0</v>
      </c>
      <c r="AR289" s="486">
        <v>0</v>
      </c>
      <c r="AS289" s="486">
        <v>721361099.85000002</v>
      </c>
      <c r="AT289" s="486">
        <v>0</v>
      </c>
      <c r="AU289" s="486">
        <v>0</v>
      </c>
      <c r="AV289" s="487">
        <v>721361099.85000002</v>
      </c>
      <c r="AW289" s="486">
        <v>0</v>
      </c>
      <c r="AX289" s="486">
        <v>0</v>
      </c>
      <c r="AY289" s="486">
        <v>0</v>
      </c>
      <c r="AZ289" s="488">
        <v>0</v>
      </c>
      <c r="BA289" s="490">
        <v>721361099.85000002</v>
      </c>
      <c r="BB289" s="486">
        <v>0</v>
      </c>
      <c r="BC289" s="486">
        <v>0</v>
      </c>
      <c r="BD289" s="486">
        <v>0</v>
      </c>
      <c r="BE289" s="486">
        <v>0</v>
      </c>
      <c r="BF289" s="486">
        <v>0</v>
      </c>
      <c r="BG289" s="486">
        <v>734629994.84249997</v>
      </c>
      <c r="BH289" s="486">
        <v>0</v>
      </c>
      <c r="BI289" s="486">
        <v>0</v>
      </c>
      <c r="BJ289" s="487">
        <v>734629994.84249997</v>
      </c>
      <c r="BK289" s="486">
        <v>0</v>
      </c>
      <c r="BL289" s="486">
        <v>0</v>
      </c>
      <c r="BM289" s="486">
        <v>0</v>
      </c>
      <c r="BN289" s="488">
        <v>0</v>
      </c>
      <c r="BO289" s="490">
        <v>734629994.84249997</v>
      </c>
      <c r="BP289" s="486">
        <v>0</v>
      </c>
      <c r="BQ289" s="486">
        <v>0</v>
      </c>
      <c r="BR289" s="486">
        <v>0</v>
      </c>
      <c r="BS289" s="486">
        <v>0</v>
      </c>
      <c r="BT289" s="486">
        <v>0</v>
      </c>
      <c r="BU289" s="486">
        <v>749062334.58462501</v>
      </c>
      <c r="BV289" s="486">
        <v>0</v>
      </c>
      <c r="BW289" s="486">
        <v>0</v>
      </c>
      <c r="BX289" s="487">
        <v>749062334.58462501</v>
      </c>
      <c r="BY289" s="486">
        <v>0</v>
      </c>
      <c r="BZ289" s="486">
        <v>0</v>
      </c>
      <c r="CA289" s="486">
        <v>0</v>
      </c>
      <c r="CB289" s="488">
        <v>0</v>
      </c>
      <c r="CC289" s="491">
        <v>749062334.58462501</v>
      </c>
      <c r="CD289" s="492">
        <v>2932277486.2771249</v>
      </c>
      <c r="CE289" s="493">
        <f t="shared" si="21"/>
        <v>0</v>
      </c>
      <c r="CF289" s="493">
        <f t="shared" si="21"/>
        <v>0</v>
      </c>
      <c r="CG289" s="493">
        <f t="shared" si="21"/>
        <v>0</v>
      </c>
      <c r="CH289" s="493">
        <f t="shared" si="20"/>
        <v>0</v>
      </c>
      <c r="CI289" s="493">
        <f t="shared" si="20"/>
        <v>0</v>
      </c>
      <c r="CJ289" s="493">
        <f t="shared" si="20"/>
        <v>2932277486.2771254</v>
      </c>
      <c r="CK289" s="493">
        <f t="shared" si="20"/>
        <v>0</v>
      </c>
      <c r="CL289" s="493">
        <f t="shared" si="20"/>
        <v>0</v>
      </c>
      <c r="CM289" s="493">
        <f t="shared" si="19"/>
        <v>0</v>
      </c>
      <c r="CN289" s="493">
        <f t="shared" si="19"/>
        <v>0</v>
      </c>
      <c r="CO289" s="493">
        <f t="shared" si="19"/>
        <v>0</v>
      </c>
    </row>
    <row r="290" spans="1:93" ht="30.45" hidden="1" customHeight="1">
      <c r="A290" s="555" t="s">
        <v>1259</v>
      </c>
      <c r="B290" s="479">
        <v>288</v>
      </c>
      <c r="C290" s="480" t="s">
        <v>4255</v>
      </c>
      <c r="D290" s="480" t="s">
        <v>4580</v>
      </c>
      <c r="E290" s="480" t="str">
        <f t="shared" si="18"/>
        <v xml:space="preserve">2.7.2 </v>
      </c>
      <c r="F290" s="480" t="s">
        <v>4589</v>
      </c>
      <c r="G290" s="480" t="s">
        <v>4590</v>
      </c>
      <c r="H290" s="481">
        <v>45</v>
      </c>
      <c r="I290" s="480" t="s">
        <v>4209</v>
      </c>
      <c r="J290" s="495">
        <v>450203800</v>
      </c>
      <c r="K290" s="480" t="s">
        <v>4347</v>
      </c>
      <c r="L290" s="480" t="s">
        <v>6544</v>
      </c>
      <c r="M290" s="480" t="s">
        <v>5897</v>
      </c>
      <c r="N290" s="499">
        <v>0</v>
      </c>
      <c r="O290" s="480" t="s">
        <v>4591</v>
      </c>
      <c r="P290" s="515">
        <v>4</v>
      </c>
      <c r="Q290" s="485" t="s">
        <v>5349</v>
      </c>
      <c r="R290" s="485" t="s">
        <v>5484</v>
      </c>
      <c r="S290" s="485" t="s">
        <v>677</v>
      </c>
      <c r="T290" s="485">
        <v>3348000000</v>
      </c>
      <c r="U290" s="485" t="s">
        <v>4591</v>
      </c>
      <c r="V290" s="485">
        <v>4017600000</v>
      </c>
      <c r="W290" s="485" t="s">
        <v>5485</v>
      </c>
      <c r="X290" s="485" t="s">
        <v>5486</v>
      </c>
      <c r="Y290" s="485" t="s">
        <v>5487</v>
      </c>
      <c r="Z290" s="486">
        <v>0</v>
      </c>
      <c r="AA290" s="486">
        <v>0</v>
      </c>
      <c r="AB290" s="486">
        <v>0</v>
      </c>
      <c r="AC290" s="486">
        <v>0</v>
      </c>
      <c r="AD290" s="486">
        <v>0</v>
      </c>
      <c r="AE290" s="486">
        <v>345336000</v>
      </c>
      <c r="AF290" s="486">
        <v>0</v>
      </c>
      <c r="AG290" s="486">
        <v>0</v>
      </c>
      <c r="AH290" s="487">
        <v>345336000</v>
      </c>
      <c r="AI290" s="486">
        <v>0</v>
      </c>
      <c r="AJ290" s="486">
        <v>0</v>
      </c>
      <c r="AK290" s="486">
        <v>0</v>
      </c>
      <c r="AL290" s="488">
        <v>0</v>
      </c>
      <c r="AM290" s="489">
        <v>345336000</v>
      </c>
      <c r="AN290" s="486">
        <v>0</v>
      </c>
      <c r="AO290" s="486">
        <v>0</v>
      </c>
      <c r="AP290" s="486">
        <v>0</v>
      </c>
      <c r="AQ290" s="486">
        <v>0</v>
      </c>
      <c r="AR290" s="486">
        <v>0</v>
      </c>
      <c r="AS290" s="486">
        <v>347602800</v>
      </c>
      <c r="AT290" s="486">
        <v>0</v>
      </c>
      <c r="AU290" s="486">
        <v>0</v>
      </c>
      <c r="AV290" s="487">
        <v>347602800</v>
      </c>
      <c r="AW290" s="486">
        <v>0</v>
      </c>
      <c r="AX290" s="486">
        <v>0</v>
      </c>
      <c r="AY290" s="486">
        <v>0</v>
      </c>
      <c r="AZ290" s="488">
        <v>0</v>
      </c>
      <c r="BA290" s="490">
        <v>347602800</v>
      </c>
      <c r="BB290" s="486">
        <v>0</v>
      </c>
      <c r="BC290" s="486">
        <v>0</v>
      </c>
      <c r="BD290" s="486">
        <v>0</v>
      </c>
      <c r="BE290" s="486">
        <v>0</v>
      </c>
      <c r="BF290" s="486">
        <v>0</v>
      </c>
      <c r="BG290" s="486">
        <v>349982940</v>
      </c>
      <c r="BH290" s="486">
        <v>0</v>
      </c>
      <c r="BI290" s="486">
        <v>0</v>
      </c>
      <c r="BJ290" s="487">
        <v>349982940</v>
      </c>
      <c r="BK290" s="486">
        <v>0</v>
      </c>
      <c r="BL290" s="486">
        <v>0</v>
      </c>
      <c r="BM290" s="486">
        <v>0</v>
      </c>
      <c r="BN290" s="488">
        <v>0</v>
      </c>
      <c r="BO290" s="490">
        <v>349982940</v>
      </c>
      <c r="BP290" s="486">
        <v>0</v>
      </c>
      <c r="BQ290" s="486">
        <v>0</v>
      </c>
      <c r="BR290" s="486">
        <v>0</v>
      </c>
      <c r="BS290" s="486">
        <v>0</v>
      </c>
      <c r="BT290" s="486">
        <v>0</v>
      </c>
      <c r="BU290" s="486">
        <v>352482087</v>
      </c>
      <c r="BV290" s="486">
        <v>0</v>
      </c>
      <c r="BW290" s="486">
        <v>0</v>
      </c>
      <c r="BX290" s="487">
        <v>352482087</v>
      </c>
      <c r="BY290" s="486">
        <v>0</v>
      </c>
      <c r="BZ290" s="486">
        <v>0</v>
      </c>
      <c r="CA290" s="486">
        <v>0</v>
      </c>
      <c r="CB290" s="488">
        <v>0</v>
      </c>
      <c r="CC290" s="491">
        <v>352482087</v>
      </c>
      <c r="CD290" s="492">
        <v>1395403827</v>
      </c>
      <c r="CE290" s="493">
        <f t="shared" si="21"/>
        <v>0</v>
      </c>
      <c r="CF290" s="493">
        <f t="shared" si="21"/>
        <v>0</v>
      </c>
      <c r="CG290" s="493">
        <f t="shared" si="21"/>
        <v>0</v>
      </c>
      <c r="CH290" s="493">
        <f t="shared" si="20"/>
        <v>0</v>
      </c>
      <c r="CI290" s="493">
        <f t="shared" si="20"/>
        <v>0</v>
      </c>
      <c r="CJ290" s="493">
        <f t="shared" si="20"/>
        <v>1395403827</v>
      </c>
      <c r="CK290" s="493">
        <f t="shared" si="20"/>
        <v>0</v>
      </c>
      <c r="CL290" s="493">
        <f t="shared" si="20"/>
        <v>0</v>
      </c>
      <c r="CM290" s="493">
        <f t="shared" si="19"/>
        <v>0</v>
      </c>
      <c r="CN290" s="493">
        <f t="shared" si="19"/>
        <v>0</v>
      </c>
      <c r="CO290" s="493">
        <f t="shared" si="19"/>
        <v>0</v>
      </c>
    </row>
    <row r="291" spans="1:93" ht="30.45" hidden="1" customHeight="1">
      <c r="A291" s="555" t="s">
        <v>1259</v>
      </c>
      <c r="B291" s="479">
        <v>289</v>
      </c>
      <c r="C291" s="480" t="s">
        <v>4255</v>
      </c>
      <c r="D291" s="480" t="s">
        <v>4580</v>
      </c>
      <c r="E291" s="480" t="str">
        <f t="shared" si="18"/>
        <v xml:space="preserve">2.7.2 </v>
      </c>
      <c r="F291" s="480" t="s">
        <v>4589</v>
      </c>
      <c r="G291" s="480" t="s">
        <v>4590</v>
      </c>
      <c r="H291" s="481">
        <v>35</v>
      </c>
      <c r="I291" s="480" t="s">
        <v>4277</v>
      </c>
      <c r="J291" s="495">
        <v>350200400</v>
      </c>
      <c r="K291" s="480" t="s">
        <v>4178</v>
      </c>
      <c r="L291" s="480" t="s">
        <v>6545</v>
      </c>
      <c r="M291" s="480" t="s">
        <v>5898</v>
      </c>
      <c r="N291" s="499">
        <v>3</v>
      </c>
      <c r="O291" s="480" t="s">
        <v>4591</v>
      </c>
      <c r="P291" s="515">
        <v>7</v>
      </c>
      <c r="Q291" s="485" t="s">
        <v>5349</v>
      </c>
      <c r="R291" s="485" t="s">
        <v>5484</v>
      </c>
      <c r="S291" s="485" t="s">
        <v>677</v>
      </c>
      <c r="T291" s="485">
        <v>3348000000</v>
      </c>
      <c r="U291" s="485" t="s">
        <v>4591</v>
      </c>
      <c r="V291" s="485">
        <v>4017600000</v>
      </c>
      <c r="W291" s="485" t="s">
        <v>5485</v>
      </c>
      <c r="X291" s="485" t="s">
        <v>5486</v>
      </c>
      <c r="Y291" s="485" t="s">
        <v>5487</v>
      </c>
      <c r="Z291" s="486">
        <v>0</v>
      </c>
      <c r="AA291" s="486">
        <v>0</v>
      </c>
      <c r="AB291" s="486">
        <v>0</v>
      </c>
      <c r="AC291" s="486">
        <v>0</v>
      </c>
      <c r="AD291" s="486">
        <v>0</v>
      </c>
      <c r="AE291" s="486">
        <v>1180828000</v>
      </c>
      <c r="AF291" s="486">
        <v>0</v>
      </c>
      <c r="AG291" s="486">
        <v>0</v>
      </c>
      <c r="AH291" s="487">
        <v>1180828000</v>
      </c>
      <c r="AI291" s="486">
        <v>0</v>
      </c>
      <c r="AJ291" s="486">
        <v>0</v>
      </c>
      <c r="AK291" s="486">
        <v>0</v>
      </c>
      <c r="AL291" s="488">
        <v>0</v>
      </c>
      <c r="AM291" s="489">
        <v>1180828000</v>
      </c>
      <c r="AN291" s="486">
        <v>0</v>
      </c>
      <c r="AO291" s="486">
        <v>0</v>
      </c>
      <c r="AP291" s="486">
        <v>0</v>
      </c>
      <c r="AQ291" s="486">
        <v>0</v>
      </c>
      <c r="AR291" s="486">
        <v>0</v>
      </c>
      <c r="AS291" s="486">
        <v>796766000</v>
      </c>
      <c r="AT291" s="486">
        <v>0</v>
      </c>
      <c r="AU291" s="486">
        <v>0</v>
      </c>
      <c r="AV291" s="487">
        <v>796766000</v>
      </c>
      <c r="AW291" s="486">
        <v>0</v>
      </c>
      <c r="AX291" s="486">
        <v>0</v>
      </c>
      <c r="AY291" s="486">
        <v>0</v>
      </c>
      <c r="AZ291" s="488">
        <v>0</v>
      </c>
      <c r="BA291" s="490">
        <v>796766000</v>
      </c>
      <c r="BB291" s="486">
        <v>0</v>
      </c>
      <c r="BC291" s="486">
        <v>0</v>
      </c>
      <c r="BD291" s="486">
        <v>0</v>
      </c>
      <c r="BE291" s="486">
        <v>0</v>
      </c>
      <c r="BF291" s="486">
        <v>0</v>
      </c>
      <c r="BG291" s="486">
        <v>793250900</v>
      </c>
      <c r="BH291" s="486">
        <v>0</v>
      </c>
      <c r="BI291" s="486">
        <v>0</v>
      </c>
      <c r="BJ291" s="487">
        <v>793250900</v>
      </c>
      <c r="BK291" s="486">
        <v>0</v>
      </c>
      <c r="BL291" s="486">
        <v>0</v>
      </c>
      <c r="BM291" s="486">
        <v>0</v>
      </c>
      <c r="BN291" s="488">
        <v>0</v>
      </c>
      <c r="BO291" s="490">
        <v>793250900</v>
      </c>
      <c r="BP291" s="486">
        <v>0</v>
      </c>
      <c r="BQ291" s="486">
        <v>0</v>
      </c>
      <c r="BR291" s="486">
        <v>0</v>
      </c>
      <c r="BS291" s="486">
        <v>0</v>
      </c>
      <c r="BT291" s="486">
        <v>0</v>
      </c>
      <c r="BU291" s="486">
        <v>765310045</v>
      </c>
      <c r="BV291" s="486">
        <v>0</v>
      </c>
      <c r="BW291" s="486">
        <v>0</v>
      </c>
      <c r="BX291" s="487">
        <v>765310045</v>
      </c>
      <c r="BY291" s="486">
        <v>0</v>
      </c>
      <c r="BZ291" s="486">
        <v>0</v>
      </c>
      <c r="CA291" s="486">
        <v>0</v>
      </c>
      <c r="CB291" s="488">
        <v>0</v>
      </c>
      <c r="CC291" s="491">
        <v>765310045</v>
      </c>
      <c r="CD291" s="492">
        <v>3536154945</v>
      </c>
      <c r="CE291" s="493">
        <f t="shared" si="21"/>
        <v>0</v>
      </c>
      <c r="CF291" s="493">
        <f t="shared" si="21"/>
        <v>0</v>
      </c>
      <c r="CG291" s="493">
        <f t="shared" si="21"/>
        <v>0</v>
      </c>
      <c r="CH291" s="493">
        <f t="shared" si="20"/>
        <v>0</v>
      </c>
      <c r="CI291" s="493">
        <f t="shared" si="20"/>
        <v>0</v>
      </c>
      <c r="CJ291" s="493">
        <f t="shared" si="20"/>
        <v>3536154945</v>
      </c>
      <c r="CK291" s="493">
        <f t="shared" si="20"/>
        <v>0</v>
      </c>
      <c r="CL291" s="493">
        <f t="shared" si="20"/>
        <v>0</v>
      </c>
      <c r="CM291" s="493">
        <f t="shared" si="19"/>
        <v>0</v>
      </c>
      <c r="CN291" s="493">
        <f t="shared" si="19"/>
        <v>0</v>
      </c>
      <c r="CO291" s="493">
        <f t="shared" si="19"/>
        <v>0</v>
      </c>
    </row>
    <row r="292" spans="1:93" ht="30.45" hidden="1" customHeight="1">
      <c r="A292" s="555" t="s">
        <v>1259</v>
      </c>
      <c r="B292" s="479">
        <v>290</v>
      </c>
      <c r="C292" s="480" t="s">
        <v>4255</v>
      </c>
      <c r="D292" s="480" t="s">
        <v>4580</v>
      </c>
      <c r="E292" s="480" t="str">
        <f t="shared" si="18"/>
        <v xml:space="preserve">2.7.2 </v>
      </c>
      <c r="F292" s="480" t="s">
        <v>4589</v>
      </c>
      <c r="G292" s="480" t="s">
        <v>4590</v>
      </c>
      <c r="H292" s="481">
        <v>35</v>
      </c>
      <c r="I292" s="480" t="s">
        <v>4277</v>
      </c>
      <c r="J292" s="495">
        <v>350200800</v>
      </c>
      <c r="K292" s="480" t="s">
        <v>4592</v>
      </c>
      <c r="L292" s="480" t="s">
        <v>6546</v>
      </c>
      <c r="M292" s="480" t="s">
        <v>5899</v>
      </c>
      <c r="N292" s="499">
        <v>0</v>
      </c>
      <c r="O292" s="480" t="s">
        <v>4591</v>
      </c>
      <c r="P292" s="515">
        <v>3</v>
      </c>
      <c r="Q292" s="485" t="s">
        <v>5349</v>
      </c>
      <c r="R292" s="485" t="s">
        <v>5484</v>
      </c>
      <c r="S292" s="485" t="s">
        <v>677</v>
      </c>
      <c r="T292" s="485">
        <v>3348000000</v>
      </c>
      <c r="U292" s="485" t="s">
        <v>4591</v>
      </c>
      <c r="V292" s="485">
        <v>4017600000</v>
      </c>
      <c r="W292" s="485" t="s">
        <v>5485</v>
      </c>
      <c r="X292" s="485" t="s">
        <v>5486</v>
      </c>
      <c r="Y292" s="485" t="s">
        <v>5487</v>
      </c>
      <c r="Z292" s="486">
        <v>0</v>
      </c>
      <c r="AA292" s="486">
        <v>0</v>
      </c>
      <c r="AB292" s="486">
        <v>0</v>
      </c>
      <c r="AC292" s="486">
        <v>0</v>
      </c>
      <c r="AD292" s="486">
        <v>0</v>
      </c>
      <c r="AE292" s="486">
        <v>631616000</v>
      </c>
      <c r="AF292" s="486">
        <v>0</v>
      </c>
      <c r="AG292" s="486">
        <v>0</v>
      </c>
      <c r="AH292" s="487">
        <v>631616000</v>
      </c>
      <c r="AI292" s="486">
        <v>0</v>
      </c>
      <c r="AJ292" s="486">
        <v>0</v>
      </c>
      <c r="AK292" s="486">
        <v>0</v>
      </c>
      <c r="AL292" s="488">
        <v>0</v>
      </c>
      <c r="AM292" s="489">
        <v>631616000</v>
      </c>
      <c r="AN292" s="486">
        <v>0</v>
      </c>
      <c r="AO292" s="486">
        <v>0</v>
      </c>
      <c r="AP292" s="486">
        <v>0</v>
      </c>
      <c r="AQ292" s="486">
        <v>0</v>
      </c>
      <c r="AR292" s="486">
        <v>0</v>
      </c>
      <c r="AS292" s="486">
        <v>738020200</v>
      </c>
      <c r="AT292" s="486">
        <v>0</v>
      </c>
      <c r="AU292" s="486">
        <v>0</v>
      </c>
      <c r="AV292" s="487">
        <v>738020200</v>
      </c>
      <c r="AW292" s="486">
        <v>0</v>
      </c>
      <c r="AX292" s="486">
        <v>0</v>
      </c>
      <c r="AY292" s="486">
        <v>0</v>
      </c>
      <c r="AZ292" s="488">
        <v>0</v>
      </c>
      <c r="BA292" s="490">
        <v>738020200</v>
      </c>
      <c r="BB292" s="486">
        <v>0</v>
      </c>
      <c r="BC292" s="486">
        <v>0</v>
      </c>
      <c r="BD292" s="486">
        <v>0</v>
      </c>
      <c r="BE292" s="486">
        <v>0</v>
      </c>
      <c r="BF292" s="486">
        <v>0</v>
      </c>
      <c r="BG292" s="486">
        <v>744744610</v>
      </c>
      <c r="BH292" s="486">
        <v>0</v>
      </c>
      <c r="BI292" s="486">
        <v>0</v>
      </c>
      <c r="BJ292" s="487">
        <v>744744610</v>
      </c>
      <c r="BK292" s="486">
        <v>0</v>
      </c>
      <c r="BL292" s="486">
        <v>0</v>
      </c>
      <c r="BM292" s="486">
        <v>0</v>
      </c>
      <c r="BN292" s="488">
        <v>0</v>
      </c>
      <c r="BO292" s="490">
        <v>744744610</v>
      </c>
      <c r="BP292" s="486">
        <v>0</v>
      </c>
      <c r="BQ292" s="486">
        <v>0</v>
      </c>
      <c r="BR292" s="486">
        <v>0</v>
      </c>
      <c r="BS292" s="486">
        <v>0</v>
      </c>
      <c r="BT292" s="486">
        <v>0</v>
      </c>
      <c r="BU292" s="486">
        <v>751805240.5</v>
      </c>
      <c r="BV292" s="486">
        <v>0</v>
      </c>
      <c r="BW292" s="486">
        <v>0</v>
      </c>
      <c r="BX292" s="487">
        <v>751805240.5</v>
      </c>
      <c r="BY292" s="486">
        <v>0</v>
      </c>
      <c r="BZ292" s="486">
        <v>0</v>
      </c>
      <c r="CA292" s="486">
        <v>0</v>
      </c>
      <c r="CB292" s="488">
        <v>0</v>
      </c>
      <c r="CC292" s="491">
        <v>751805240.5</v>
      </c>
      <c r="CD292" s="492">
        <v>2866186050.5</v>
      </c>
      <c r="CE292" s="493">
        <f t="shared" si="21"/>
        <v>0</v>
      </c>
      <c r="CF292" s="493">
        <f t="shared" si="21"/>
        <v>0</v>
      </c>
      <c r="CG292" s="493">
        <f t="shared" si="21"/>
        <v>0</v>
      </c>
      <c r="CH292" s="493">
        <f t="shared" si="20"/>
        <v>0</v>
      </c>
      <c r="CI292" s="493">
        <f t="shared" si="20"/>
        <v>0</v>
      </c>
      <c r="CJ292" s="493">
        <f t="shared" si="20"/>
        <v>2866186050.5</v>
      </c>
      <c r="CK292" s="493">
        <f t="shared" si="20"/>
        <v>0</v>
      </c>
      <c r="CL292" s="493">
        <f t="shared" si="20"/>
        <v>0</v>
      </c>
      <c r="CM292" s="493">
        <f t="shared" si="19"/>
        <v>0</v>
      </c>
      <c r="CN292" s="493">
        <f t="shared" si="19"/>
        <v>0</v>
      </c>
      <c r="CO292" s="493">
        <f t="shared" si="19"/>
        <v>0</v>
      </c>
    </row>
    <row r="293" spans="1:93" ht="30.45" hidden="1" customHeight="1">
      <c r="A293" s="555" t="s">
        <v>4596</v>
      </c>
      <c r="B293" s="479">
        <v>291</v>
      </c>
      <c r="C293" s="480" t="s">
        <v>4255</v>
      </c>
      <c r="D293" s="480" t="s">
        <v>4580</v>
      </c>
      <c r="E293" s="480" t="str">
        <f t="shared" si="18"/>
        <v xml:space="preserve">2.7.3 </v>
      </c>
      <c r="F293" s="480" t="s">
        <v>4593</v>
      </c>
      <c r="G293" s="480" t="s">
        <v>4594</v>
      </c>
      <c r="H293" s="481">
        <v>35</v>
      </c>
      <c r="I293" s="480" t="s">
        <v>4277</v>
      </c>
      <c r="J293" s="495">
        <v>350200800</v>
      </c>
      <c r="K293" s="480" t="s">
        <v>4303</v>
      </c>
      <c r="L293" s="480" t="s">
        <v>4304</v>
      </c>
      <c r="M293" s="480" t="s">
        <v>6547</v>
      </c>
      <c r="N293" s="499">
        <v>0</v>
      </c>
      <c r="O293" s="480" t="s">
        <v>4595</v>
      </c>
      <c r="P293" s="515">
        <v>3</v>
      </c>
      <c r="Q293" s="485" t="s">
        <v>5349</v>
      </c>
      <c r="R293" s="485" t="s">
        <v>5488</v>
      </c>
      <c r="S293" s="485" t="s">
        <v>5489</v>
      </c>
      <c r="T293" s="485">
        <v>76713594422</v>
      </c>
      <c r="U293" s="485" t="s">
        <v>5490</v>
      </c>
      <c r="V293" s="485">
        <v>171713594422</v>
      </c>
      <c r="W293" s="485" t="s">
        <v>5491</v>
      </c>
      <c r="X293" s="485" t="s">
        <v>5492</v>
      </c>
      <c r="Y293" s="485" t="s">
        <v>5370</v>
      </c>
      <c r="Z293" s="486">
        <v>0</v>
      </c>
      <c r="AA293" s="486">
        <v>0</v>
      </c>
      <c r="AB293" s="486">
        <v>0</v>
      </c>
      <c r="AC293" s="486">
        <v>0</v>
      </c>
      <c r="AD293" s="486">
        <v>0</v>
      </c>
      <c r="AE293" s="486">
        <v>25000000</v>
      </c>
      <c r="AF293" s="486">
        <v>0</v>
      </c>
      <c r="AG293" s="486">
        <v>0</v>
      </c>
      <c r="AH293" s="487">
        <v>25000000</v>
      </c>
      <c r="AI293" s="486">
        <v>0</v>
      </c>
      <c r="AJ293" s="486">
        <v>0</v>
      </c>
      <c r="AK293" s="486">
        <v>0</v>
      </c>
      <c r="AL293" s="488">
        <v>0</v>
      </c>
      <c r="AM293" s="489">
        <v>25000000</v>
      </c>
      <c r="AN293" s="486">
        <v>0</v>
      </c>
      <c r="AO293" s="486">
        <v>0</v>
      </c>
      <c r="AP293" s="486">
        <v>0</v>
      </c>
      <c r="AQ293" s="486">
        <v>0</v>
      </c>
      <c r="AR293" s="486">
        <v>0</v>
      </c>
      <c r="AS293" s="486">
        <v>25000000</v>
      </c>
      <c r="AT293" s="486">
        <v>0</v>
      </c>
      <c r="AU293" s="486">
        <v>0</v>
      </c>
      <c r="AV293" s="487">
        <v>25000000</v>
      </c>
      <c r="AW293" s="486">
        <v>0</v>
      </c>
      <c r="AX293" s="486">
        <v>0</v>
      </c>
      <c r="AY293" s="486">
        <v>0</v>
      </c>
      <c r="AZ293" s="488">
        <v>0</v>
      </c>
      <c r="BA293" s="490">
        <v>25000000</v>
      </c>
      <c r="BB293" s="486">
        <v>0</v>
      </c>
      <c r="BC293" s="486">
        <v>0</v>
      </c>
      <c r="BD293" s="486">
        <v>0</v>
      </c>
      <c r="BE293" s="486">
        <v>0</v>
      </c>
      <c r="BF293" s="486">
        <v>0</v>
      </c>
      <c r="BG293" s="486">
        <v>25000000</v>
      </c>
      <c r="BH293" s="486">
        <v>0</v>
      </c>
      <c r="BI293" s="486">
        <v>0</v>
      </c>
      <c r="BJ293" s="487">
        <v>25000000</v>
      </c>
      <c r="BK293" s="486">
        <v>0</v>
      </c>
      <c r="BL293" s="486">
        <v>0</v>
      </c>
      <c r="BM293" s="486">
        <v>0</v>
      </c>
      <c r="BN293" s="488">
        <v>0</v>
      </c>
      <c r="BO293" s="490">
        <v>25000000</v>
      </c>
      <c r="BP293" s="486">
        <v>0</v>
      </c>
      <c r="BQ293" s="486">
        <v>0</v>
      </c>
      <c r="BR293" s="486">
        <v>0</v>
      </c>
      <c r="BS293" s="486">
        <v>0</v>
      </c>
      <c r="BT293" s="486">
        <v>0</v>
      </c>
      <c r="BU293" s="486">
        <v>25000000</v>
      </c>
      <c r="BV293" s="486">
        <v>0</v>
      </c>
      <c r="BW293" s="486">
        <v>0</v>
      </c>
      <c r="BX293" s="487">
        <v>25000000</v>
      </c>
      <c r="BY293" s="486">
        <v>0</v>
      </c>
      <c r="BZ293" s="486">
        <v>0</v>
      </c>
      <c r="CA293" s="486">
        <v>0</v>
      </c>
      <c r="CB293" s="488">
        <v>0</v>
      </c>
      <c r="CC293" s="491">
        <v>25000000</v>
      </c>
      <c r="CD293" s="492">
        <v>100000000</v>
      </c>
      <c r="CE293" s="493">
        <f t="shared" si="21"/>
        <v>0</v>
      </c>
      <c r="CF293" s="493">
        <f t="shared" si="21"/>
        <v>0</v>
      </c>
      <c r="CG293" s="493">
        <f t="shared" si="21"/>
        <v>0</v>
      </c>
      <c r="CH293" s="493">
        <f t="shared" si="20"/>
        <v>0</v>
      </c>
      <c r="CI293" s="493">
        <f t="shared" si="20"/>
        <v>0</v>
      </c>
      <c r="CJ293" s="493">
        <f t="shared" si="20"/>
        <v>100000000</v>
      </c>
      <c r="CK293" s="493">
        <f t="shared" si="20"/>
        <v>0</v>
      </c>
      <c r="CL293" s="493">
        <f t="shared" si="20"/>
        <v>0</v>
      </c>
      <c r="CM293" s="493">
        <f t="shared" si="19"/>
        <v>0</v>
      </c>
      <c r="CN293" s="493">
        <f t="shared" si="19"/>
        <v>0</v>
      </c>
      <c r="CO293" s="493">
        <f t="shared" si="19"/>
        <v>0</v>
      </c>
    </row>
    <row r="294" spans="1:93" ht="30.45" hidden="1" customHeight="1">
      <c r="A294" s="555" t="s">
        <v>4596</v>
      </c>
      <c r="B294" s="479">
        <v>292</v>
      </c>
      <c r="C294" s="480" t="s">
        <v>4255</v>
      </c>
      <c r="D294" s="480" t="s">
        <v>4580</v>
      </c>
      <c r="E294" s="480" t="str">
        <f t="shared" si="18"/>
        <v xml:space="preserve">2.7.3 </v>
      </c>
      <c r="F294" s="480" t="s">
        <v>4593</v>
      </c>
      <c r="G294" s="480" t="s">
        <v>4594</v>
      </c>
      <c r="H294" s="481">
        <v>35</v>
      </c>
      <c r="I294" s="480" t="s">
        <v>4277</v>
      </c>
      <c r="J294" s="495">
        <v>350200802</v>
      </c>
      <c r="K294" s="480" t="s">
        <v>4303</v>
      </c>
      <c r="L294" s="480" t="s">
        <v>4597</v>
      </c>
      <c r="M294" s="480" t="s">
        <v>5900</v>
      </c>
      <c r="N294" s="499">
        <v>1</v>
      </c>
      <c r="O294" s="480" t="s">
        <v>4595</v>
      </c>
      <c r="P294" s="515">
        <v>4</v>
      </c>
      <c r="Q294" s="485" t="s">
        <v>5349</v>
      </c>
      <c r="R294" s="485" t="s">
        <v>5488</v>
      </c>
      <c r="S294" s="485" t="s">
        <v>5489</v>
      </c>
      <c r="T294" s="485">
        <v>76713594422</v>
      </c>
      <c r="U294" s="485" t="s">
        <v>5490</v>
      </c>
      <c r="V294" s="485">
        <v>171713594422</v>
      </c>
      <c r="W294" s="485" t="s">
        <v>5491</v>
      </c>
      <c r="X294" s="485" t="s">
        <v>5492</v>
      </c>
      <c r="Y294" s="485" t="s">
        <v>5370</v>
      </c>
      <c r="Z294" s="486">
        <v>0</v>
      </c>
      <c r="AA294" s="486">
        <v>0</v>
      </c>
      <c r="AB294" s="486">
        <v>0</v>
      </c>
      <c r="AC294" s="486">
        <v>0</v>
      </c>
      <c r="AD294" s="486">
        <v>0</v>
      </c>
      <c r="AE294" s="486">
        <v>250000000</v>
      </c>
      <c r="AF294" s="486">
        <v>0</v>
      </c>
      <c r="AG294" s="486">
        <v>0</v>
      </c>
      <c r="AH294" s="487">
        <v>250000000</v>
      </c>
      <c r="AI294" s="486">
        <v>0</v>
      </c>
      <c r="AJ294" s="486">
        <v>0</v>
      </c>
      <c r="AK294" s="486">
        <v>0</v>
      </c>
      <c r="AL294" s="488">
        <v>0</v>
      </c>
      <c r="AM294" s="489">
        <v>250000000</v>
      </c>
      <c r="AN294" s="486">
        <v>0</v>
      </c>
      <c r="AO294" s="486">
        <v>0</v>
      </c>
      <c r="AP294" s="486">
        <v>0</v>
      </c>
      <c r="AQ294" s="486">
        <v>0</v>
      </c>
      <c r="AR294" s="486">
        <v>0</v>
      </c>
      <c r="AS294" s="486">
        <v>250000000</v>
      </c>
      <c r="AT294" s="486">
        <v>0</v>
      </c>
      <c r="AU294" s="486">
        <v>0</v>
      </c>
      <c r="AV294" s="487">
        <v>250000000</v>
      </c>
      <c r="AW294" s="486">
        <v>0</v>
      </c>
      <c r="AX294" s="486">
        <v>0</v>
      </c>
      <c r="AY294" s="486">
        <v>0</v>
      </c>
      <c r="AZ294" s="488">
        <v>0</v>
      </c>
      <c r="BA294" s="490">
        <v>250000000</v>
      </c>
      <c r="BB294" s="486">
        <v>0</v>
      </c>
      <c r="BC294" s="486">
        <v>0</v>
      </c>
      <c r="BD294" s="486">
        <v>0</v>
      </c>
      <c r="BE294" s="486">
        <v>0</v>
      </c>
      <c r="BF294" s="486">
        <v>0</v>
      </c>
      <c r="BG294" s="486">
        <v>250000000</v>
      </c>
      <c r="BH294" s="486">
        <v>0</v>
      </c>
      <c r="BI294" s="486">
        <v>0</v>
      </c>
      <c r="BJ294" s="487">
        <v>250000000</v>
      </c>
      <c r="BK294" s="486">
        <v>0</v>
      </c>
      <c r="BL294" s="486">
        <v>0</v>
      </c>
      <c r="BM294" s="486">
        <v>0</v>
      </c>
      <c r="BN294" s="488">
        <v>0</v>
      </c>
      <c r="BO294" s="490">
        <v>250000000</v>
      </c>
      <c r="BP294" s="486">
        <v>0</v>
      </c>
      <c r="BQ294" s="486">
        <v>0</v>
      </c>
      <c r="BR294" s="486">
        <v>0</v>
      </c>
      <c r="BS294" s="486">
        <v>0</v>
      </c>
      <c r="BT294" s="486">
        <v>0</v>
      </c>
      <c r="BU294" s="486">
        <v>250000000</v>
      </c>
      <c r="BV294" s="486">
        <v>0</v>
      </c>
      <c r="BW294" s="486">
        <v>0</v>
      </c>
      <c r="BX294" s="487">
        <v>250000000</v>
      </c>
      <c r="BY294" s="486">
        <v>0</v>
      </c>
      <c r="BZ294" s="486">
        <v>0</v>
      </c>
      <c r="CA294" s="486">
        <v>0</v>
      </c>
      <c r="CB294" s="488">
        <v>0</v>
      </c>
      <c r="CC294" s="491">
        <v>250000000</v>
      </c>
      <c r="CD294" s="492">
        <v>1000000000</v>
      </c>
      <c r="CE294" s="493">
        <f t="shared" si="21"/>
        <v>0</v>
      </c>
      <c r="CF294" s="493">
        <f t="shared" si="21"/>
        <v>0</v>
      </c>
      <c r="CG294" s="493">
        <f t="shared" si="21"/>
        <v>0</v>
      </c>
      <c r="CH294" s="493">
        <f t="shared" si="20"/>
        <v>0</v>
      </c>
      <c r="CI294" s="493">
        <f t="shared" si="20"/>
        <v>0</v>
      </c>
      <c r="CJ294" s="493">
        <f t="shared" si="20"/>
        <v>1000000000</v>
      </c>
      <c r="CK294" s="493">
        <f t="shared" si="20"/>
        <v>0</v>
      </c>
      <c r="CL294" s="493">
        <f t="shared" si="20"/>
        <v>0</v>
      </c>
      <c r="CM294" s="493">
        <f t="shared" si="19"/>
        <v>0</v>
      </c>
      <c r="CN294" s="493">
        <f t="shared" si="19"/>
        <v>0</v>
      </c>
      <c r="CO294" s="493">
        <f t="shared" si="19"/>
        <v>0</v>
      </c>
    </row>
    <row r="295" spans="1:93" ht="30.45" hidden="1" customHeight="1">
      <c r="A295" s="555" t="s">
        <v>4596</v>
      </c>
      <c r="B295" s="479">
        <v>293</v>
      </c>
      <c r="C295" s="480" t="s">
        <v>4255</v>
      </c>
      <c r="D295" s="480" t="s">
        <v>4580</v>
      </c>
      <c r="E295" s="480" t="str">
        <f t="shared" si="18"/>
        <v xml:space="preserve">2.7.3 </v>
      </c>
      <c r="F295" s="480" t="s">
        <v>4593</v>
      </c>
      <c r="G295" s="480" t="s">
        <v>4594</v>
      </c>
      <c r="H295" s="481">
        <v>35</v>
      </c>
      <c r="I295" s="480" t="s">
        <v>4277</v>
      </c>
      <c r="J295" s="495">
        <v>350200803</v>
      </c>
      <c r="K295" s="480" t="s">
        <v>4303</v>
      </c>
      <c r="L295" s="480" t="s">
        <v>4598</v>
      </c>
      <c r="M295" s="480" t="s">
        <v>6548</v>
      </c>
      <c r="N295" s="499">
        <v>1</v>
      </c>
      <c r="O295" s="480" t="s">
        <v>4595</v>
      </c>
      <c r="P295" s="515">
        <v>2</v>
      </c>
      <c r="Q295" s="485" t="s">
        <v>5349</v>
      </c>
      <c r="R295" s="485" t="s">
        <v>5488</v>
      </c>
      <c r="S295" s="485" t="s">
        <v>5489</v>
      </c>
      <c r="T295" s="485">
        <v>76713594422</v>
      </c>
      <c r="U295" s="485" t="s">
        <v>5490</v>
      </c>
      <c r="V295" s="485">
        <v>171713594422</v>
      </c>
      <c r="W295" s="485" t="s">
        <v>5491</v>
      </c>
      <c r="X295" s="485" t="s">
        <v>5492</v>
      </c>
      <c r="Y295" s="485" t="s">
        <v>5370</v>
      </c>
      <c r="Z295" s="486">
        <v>0</v>
      </c>
      <c r="AA295" s="486">
        <v>0</v>
      </c>
      <c r="AB295" s="486">
        <v>0</v>
      </c>
      <c r="AC295" s="486">
        <v>0</v>
      </c>
      <c r="AD295" s="486">
        <v>0</v>
      </c>
      <c r="AE295" s="486">
        <v>250000000</v>
      </c>
      <c r="AF295" s="486">
        <v>0</v>
      </c>
      <c r="AG295" s="486">
        <v>0</v>
      </c>
      <c r="AH295" s="487">
        <v>250000000</v>
      </c>
      <c r="AI295" s="486">
        <v>0</v>
      </c>
      <c r="AJ295" s="486">
        <v>0</v>
      </c>
      <c r="AK295" s="486">
        <v>0</v>
      </c>
      <c r="AL295" s="488">
        <v>0</v>
      </c>
      <c r="AM295" s="489">
        <v>250000000</v>
      </c>
      <c r="AN295" s="486">
        <v>0</v>
      </c>
      <c r="AO295" s="486">
        <v>0</v>
      </c>
      <c r="AP295" s="486">
        <v>0</v>
      </c>
      <c r="AQ295" s="486">
        <v>0</v>
      </c>
      <c r="AR295" s="486">
        <v>0</v>
      </c>
      <c r="AS295" s="486">
        <v>250000000</v>
      </c>
      <c r="AT295" s="486">
        <v>0</v>
      </c>
      <c r="AU295" s="486">
        <v>0</v>
      </c>
      <c r="AV295" s="487">
        <v>250000000</v>
      </c>
      <c r="AW295" s="486">
        <v>0</v>
      </c>
      <c r="AX295" s="486">
        <v>0</v>
      </c>
      <c r="AY295" s="486">
        <v>0</v>
      </c>
      <c r="AZ295" s="488">
        <v>0</v>
      </c>
      <c r="BA295" s="490">
        <v>250000000</v>
      </c>
      <c r="BB295" s="486">
        <v>0</v>
      </c>
      <c r="BC295" s="486">
        <v>0</v>
      </c>
      <c r="BD295" s="486">
        <v>0</v>
      </c>
      <c r="BE295" s="486">
        <v>0</v>
      </c>
      <c r="BF295" s="486">
        <v>0</v>
      </c>
      <c r="BG295" s="486">
        <v>250000000</v>
      </c>
      <c r="BH295" s="486">
        <v>0</v>
      </c>
      <c r="BI295" s="486">
        <v>0</v>
      </c>
      <c r="BJ295" s="487">
        <v>250000000</v>
      </c>
      <c r="BK295" s="486">
        <v>0</v>
      </c>
      <c r="BL295" s="486">
        <v>0</v>
      </c>
      <c r="BM295" s="486">
        <v>0</v>
      </c>
      <c r="BN295" s="488">
        <v>0</v>
      </c>
      <c r="BO295" s="490">
        <v>250000000</v>
      </c>
      <c r="BP295" s="486">
        <v>0</v>
      </c>
      <c r="BQ295" s="486">
        <v>0</v>
      </c>
      <c r="BR295" s="486">
        <v>0</v>
      </c>
      <c r="BS295" s="486">
        <v>0</v>
      </c>
      <c r="BT295" s="486">
        <v>0</v>
      </c>
      <c r="BU295" s="486">
        <v>250000000</v>
      </c>
      <c r="BV295" s="486">
        <v>0</v>
      </c>
      <c r="BW295" s="486">
        <v>0</v>
      </c>
      <c r="BX295" s="487">
        <v>250000000</v>
      </c>
      <c r="BY295" s="486">
        <v>0</v>
      </c>
      <c r="BZ295" s="486">
        <v>0</v>
      </c>
      <c r="CA295" s="486">
        <v>0</v>
      </c>
      <c r="CB295" s="488">
        <v>0</v>
      </c>
      <c r="CC295" s="491">
        <v>250000000</v>
      </c>
      <c r="CD295" s="492">
        <v>1000000000</v>
      </c>
      <c r="CE295" s="493">
        <f t="shared" si="21"/>
        <v>0</v>
      </c>
      <c r="CF295" s="493">
        <f t="shared" si="21"/>
        <v>0</v>
      </c>
      <c r="CG295" s="493">
        <f t="shared" si="21"/>
        <v>0</v>
      </c>
      <c r="CH295" s="493">
        <f t="shared" si="20"/>
        <v>0</v>
      </c>
      <c r="CI295" s="493">
        <f t="shared" si="20"/>
        <v>0</v>
      </c>
      <c r="CJ295" s="493">
        <f t="shared" si="20"/>
        <v>1000000000</v>
      </c>
      <c r="CK295" s="493">
        <f t="shared" si="20"/>
        <v>0</v>
      </c>
      <c r="CL295" s="493">
        <f t="shared" si="20"/>
        <v>0</v>
      </c>
      <c r="CM295" s="493">
        <f t="shared" si="19"/>
        <v>0</v>
      </c>
      <c r="CN295" s="493">
        <f t="shared" si="19"/>
        <v>0</v>
      </c>
      <c r="CO295" s="493">
        <f t="shared" si="19"/>
        <v>0</v>
      </c>
    </row>
    <row r="296" spans="1:93" ht="30.45" hidden="1" customHeight="1">
      <c r="A296" s="555" t="s">
        <v>4596</v>
      </c>
      <c r="B296" s="479">
        <v>294</v>
      </c>
      <c r="C296" s="480" t="s">
        <v>4255</v>
      </c>
      <c r="D296" s="480" t="s">
        <v>4580</v>
      </c>
      <c r="E296" s="480" t="str">
        <f t="shared" si="18"/>
        <v xml:space="preserve">2.7.3 </v>
      </c>
      <c r="F296" s="480" t="s">
        <v>4593</v>
      </c>
      <c r="G296" s="480" t="s">
        <v>4594</v>
      </c>
      <c r="H296" s="481">
        <v>35</v>
      </c>
      <c r="I296" s="480" t="s">
        <v>4277</v>
      </c>
      <c r="J296" s="495">
        <v>350200803</v>
      </c>
      <c r="K296" s="480" t="s">
        <v>4303</v>
      </c>
      <c r="L296" s="480" t="s">
        <v>6549</v>
      </c>
      <c r="M296" s="480" t="s">
        <v>5901</v>
      </c>
      <c r="N296" s="499">
        <v>1</v>
      </c>
      <c r="O296" s="480" t="s">
        <v>4595</v>
      </c>
      <c r="P296" s="515">
        <v>2</v>
      </c>
      <c r="Q296" s="485" t="s">
        <v>5349</v>
      </c>
      <c r="R296" s="485" t="s">
        <v>5488</v>
      </c>
      <c r="S296" s="485" t="s">
        <v>5489</v>
      </c>
      <c r="T296" s="485">
        <v>76713594422</v>
      </c>
      <c r="U296" s="485" t="s">
        <v>5490</v>
      </c>
      <c r="V296" s="485">
        <v>171713594422</v>
      </c>
      <c r="W296" s="485" t="s">
        <v>5491</v>
      </c>
      <c r="X296" s="485" t="s">
        <v>5492</v>
      </c>
      <c r="Y296" s="485" t="s">
        <v>5370</v>
      </c>
      <c r="Z296" s="486">
        <v>0</v>
      </c>
      <c r="AA296" s="486">
        <v>0</v>
      </c>
      <c r="AB296" s="486">
        <v>0</v>
      </c>
      <c r="AC296" s="486">
        <v>0</v>
      </c>
      <c r="AD296" s="486">
        <v>0</v>
      </c>
      <c r="AE296" s="486">
        <v>25000000</v>
      </c>
      <c r="AF296" s="486">
        <v>0</v>
      </c>
      <c r="AG296" s="486">
        <v>0</v>
      </c>
      <c r="AH296" s="487">
        <v>25000000</v>
      </c>
      <c r="AI296" s="486">
        <v>0</v>
      </c>
      <c r="AJ296" s="486">
        <v>0</v>
      </c>
      <c r="AK296" s="486">
        <v>0</v>
      </c>
      <c r="AL296" s="488">
        <v>0</v>
      </c>
      <c r="AM296" s="489">
        <v>25000000</v>
      </c>
      <c r="AN296" s="486">
        <v>0</v>
      </c>
      <c r="AO296" s="486">
        <v>0</v>
      </c>
      <c r="AP296" s="486">
        <v>0</v>
      </c>
      <c r="AQ296" s="486">
        <v>0</v>
      </c>
      <c r="AR296" s="486">
        <v>0</v>
      </c>
      <c r="AS296" s="486">
        <v>25000000</v>
      </c>
      <c r="AT296" s="486">
        <v>0</v>
      </c>
      <c r="AU296" s="486">
        <v>0</v>
      </c>
      <c r="AV296" s="487">
        <v>25000000</v>
      </c>
      <c r="AW296" s="486">
        <v>0</v>
      </c>
      <c r="AX296" s="486">
        <v>0</v>
      </c>
      <c r="AY296" s="486">
        <v>0</v>
      </c>
      <c r="AZ296" s="488">
        <v>0</v>
      </c>
      <c r="BA296" s="490">
        <v>25000000</v>
      </c>
      <c r="BB296" s="486">
        <v>0</v>
      </c>
      <c r="BC296" s="486">
        <v>0</v>
      </c>
      <c r="BD296" s="486">
        <v>0</v>
      </c>
      <c r="BE296" s="486">
        <v>0</v>
      </c>
      <c r="BF296" s="486">
        <v>0</v>
      </c>
      <c r="BG296" s="486">
        <v>25000000</v>
      </c>
      <c r="BH296" s="486">
        <v>0</v>
      </c>
      <c r="BI296" s="486">
        <v>0</v>
      </c>
      <c r="BJ296" s="487">
        <v>25000000</v>
      </c>
      <c r="BK296" s="486">
        <v>0</v>
      </c>
      <c r="BL296" s="486">
        <v>0</v>
      </c>
      <c r="BM296" s="486">
        <v>0</v>
      </c>
      <c r="BN296" s="488">
        <v>0</v>
      </c>
      <c r="BO296" s="490">
        <v>25000000</v>
      </c>
      <c r="BP296" s="486">
        <v>0</v>
      </c>
      <c r="BQ296" s="486">
        <v>0</v>
      </c>
      <c r="BR296" s="486">
        <v>0</v>
      </c>
      <c r="BS296" s="486">
        <v>0</v>
      </c>
      <c r="BT296" s="486">
        <v>0</v>
      </c>
      <c r="BU296" s="486">
        <v>25000000</v>
      </c>
      <c r="BV296" s="486">
        <v>0</v>
      </c>
      <c r="BW296" s="486">
        <v>0</v>
      </c>
      <c r="BX296" s="487">
        <v>25000000</v>
      </c>
      <c r="BY296" s="486">
        <v>0</v>
      </c>
      <c r="BZ296" s="486">
        <v>0</v>
      </c>
      <c r="CA296" s="486">
        <v>0</v>
      </c>
      <c r="CB296" s="488">
        <v>0</v>
      </c>
      <c r="CC296" s="491">
        <v>25000000</v>
      </c>
      <c r="CD296" s="492">
        <v>100000000</v>
      </c>
      <c r="CE296" s="493">
        <f t="shared" si="21"/>
        <v>0</v>
      </c>
      <c r="CF296" s="493">
        <f t="shared" si="21"/>
        <v>0</v>
      </c>
      <c r="CG296" s="493">
        <f t="shared" si="21"/>
        <v>0</v>
      </c>
      <c r="CH296" s="493">
        <f t="shared" si="20"/>
        <v>0</v>
      </c>
      <c r="CI296" s="493">
        <f t="shared" si="20"/>
        <v>0</v>
      </c>
      <c r="CJ296" s="493">
        <f t="shared" si="20"/>
        <v>100000000</v>
      </c>
      <c r="CK296" s="493">
        <f t="shared" si="20"/>
        <v>0</v>
      </c>
      <c r="CL296" s="493">
        <f t="shared" si="20"/>
        <v>0</v>
      </c>
      <c r="CM296" s="493">
        <f t="shared" si="19"/>
        <v>0</v>
      </c>
      <c r="CN296" s="493">
        <f t="shared" si="19"/>
        <v>0</v>
      </c>
      <c r="CO296" s="493">
        <f t="shared" si="19"/>
        <v>0</v>
      </c>
    </row>
    <row r="297" spans="1:93" ht="30.45" hidden="1" customHeight="1">
      <c r="A297" s="555" t="s">
        <v>4596</v>
      </c>
      <c r="B297" s="479">
        <v>295</v>
      </c>
      <c r="C297" s="480" t="s">
        <v>4255</v>
      </c>
      <c r="D297" s="480" t="s">
        <v>4580</v>
      </c>
      <c r="E297" s="480" t="str">
        <f t="shared" si="18"/>
        <v xml:space="preserve">2.7.3 </v>
      </c>
      <c r="F297" s="480" t="s">
        <v>4593</v>
      </c>
      <c r="G297" s="480" t="s">
        <v>4594</v>
      </c>
      <c r="H297" s="481">
        <v>41</v>
      </c>
      <c r="I297" s="480" t="s">
        <v>4599</v>
      </c>
      <c r="J297" s="495">
        <v>410107401</v>
      </c>
      <c r="K297" s="480" t="s">
        <v>4600</v>
      </c>
      <c r="L297" s="480" t="s">
        <v>6550</v>
      </c>
      <c r="M297" s="480" t="s">
        <v>5902</v>
      </c>
      <c r="N297" s="499">
        <v>1</v>
      </c>
      <c r="O297" s="480" t="s">
        <v>2657</v>
      </c>
      <c r="P297" s="515">
        <v>4</v>
      </c>
      <c r="Q297" s="485" t="s">
        <v>5349</v>
      </c>
      <c r="R297" s="485" t="s">
        <v>5488</v>
      </c>
      <c r="S297" s="485" t="s">
        <v>5489</v>
      </c>
      <c r="T297" s="485">
        <v>76713594422</v>
      </c>
      <c r="U297" s="485" t="s">
        <v>5490</v>
      </c>
      <c r="V297" s="485">
        <v>171713594422</v>
      </c>
      <c r="W297" s="485" t="s">
        <v>5491</v>
      </c>
      <c r="X297" s="485" t="s">
        <v>5492</v>
      </c>
      <c r="Y297" s="485" t="s">
        <v>5370</v>
      </c>
      <c r="Z297" s="486">
        <v>0</v>
      </c>
      <c r="AA297" s="486">
        <v>0</v>
      </c>
      <c r="AB297" s="486">
        <v>0</v>
      </c>
      <c r="AC297" s="486">
        <v>0</v>
      </c>
      <c r="AD297" s="486">
        <v>0</v>
      </c>
      <c r="AE297" s="486">
        <v>150000000</v>
      </c>
      <c r="AF297" s="486">
        <v>0</v>
      </c>
      <c r="AG297" s="486">
        <v>0</v>
      </c>
      <c r="AH297" s="487">
        <v>150000000</v>
      </c>
      <c r="AI297" s="486">
        <v>0</v>
      </c>
      <c r="AJ297" s="486">
        <v>0</v>
      </c>
      <c r="AK297" s="486">
        <v>0</v>
      </c>
      <c r="AL297" s="488">
        <v>0</v>
      </c>
      <c r="AM297" s="489">
        <v>150000000</v>
      </c>
      <c r="AN297" s="486">
        <v>0</v>
      </c>
      <c r="AO297" s="486">
        <v>0</v>
      </c>
      <c r="AP297" s="486">
        <v>0</v>
      </c>
      <c r="AQ297" s="486">
        <v>0</v>
      </c>
      <c r="AR297" s="486">
        <v>0</v>
      </c>
      <c r="AS297" s="486">
        <v>150000000</v>
      </c>
      <c r="AT297" s="486">
        <v>0</v>
      </c>
      <c r="AU297" s="486">
        <v>0</v>
      </c>
      <c r="AV297" s="487">
        <v>150000000</v>
      </c>
      <c r="AW297" s="486">
        <v>0</v>
      </c>
      <c r="AX297" s="486">
        <v>0</v>
      </c>
      <c r="AY297" s="486">
        <v>0</v>
      </c>
      <c r="AZ297" s="488">
        <v>0</v>
      </c>
      <c r="BA297" s="490">
        <v>150000000</v>
      </c>
      <c r="BB297" s="486">
        <v>0</v>
      </c>
      <c r="BC297" s="486">
        <v>0</v>
      </c>
      <c r="BD297" s="486">
        <v>0</v>
      </c>
      <c r="BE297" s="486">
        <v>0</v>
      </c>
      <c r="BF297" s="486">
        <v>0</v>
      </c>
      <c r="BG297" s="486">
        <v>150000000</v>
      </c>
      <c r="BH297" s="486">
        <v>0</v>
      </c>
      <c r="BI297" s="486">
        <v>0</v>
      </c>
      <c r="BJ297" s="487">
        <v>150000000</v>
      </c>
      <c r="BK297" s="486">
        <v>0</v>
      </c>
      <c r="BL297" s="486">
        <v>0</v>
      </c>
      <c r="BM297" s="486">
        <v>0</v>
      </c>
      <c r="BN297" s="488">
        <v>0</v>
      </c>
      <c r="BO297" s="490">
        <v>150000000</v>
      </c>
      <c r="BP297" s="486">
        <v>0</v>
      </c>
      <c r="BQ297" s="486">
        <v>0</v>
      </c>
      <c r="BR297" s="486">
        <v>0</v>
      </c>
      <c r="BS297" s="486">
        <v>0</v>
      </c>
      <c r="BT297" s="486">
        <v>0</v>
      </c>
      <c r="BU297" s="486">
        <v>150000000</v>
      </c>
      <c r="BV297" s="486">
        <v>0</v>
      </c>
      <c r="BW297" s="486">
        <v>0</v>
      </c>
      <c r="BX297" s="487">
        <v>150000000</v>
      </c>
      <c r="BY297" s="486">
        <v>0</v>
      </c>
      <c r="BZ297" s="486">
        <v>0</v>
      </c>
      <c r="CA297" s="486">
        <v>0</v>
      </c>
      <c r="CB297" s="488">
        <v>0</v>
      </c>
      <c r="CC297" s="491">
        <v>150000000</v>
      </c>
      <c r="CD297" s="492">
        <v>600000000</v>
      </c>
      <c r="CE297" s="493">
        <f t="shared" si="21"/>
        <v>0</v>
      </c>
      <c r="CF297" s="493">
        <f t="shared" si="21"/>
        <v>0</v>
      </c>
      <c r="CG297" s="493">
        <f t="shared" si="21"/>
        <v>0</v>
      </c>
      <c r="CH297" s="493">
        <f t="shared" si="20"/>
        <v>0</v>
      </c>
      <c r="CI297" s="493">
        <f t="shared" si="20"/>
        <v>0</v>
      </c>
      <c r="CJ297" s="493">
        <f t="shared" si="20"/>
        <v>600000000</v>
      </c>
      <c r="CK297" s="493">
        <f t="shared" si="20"/>
        <v>0</v>
      </c>
      <c r="CL297" s="493">
        <f t="shared" si="20"/>
        <v>0</v>
      </c>
      <c r="CM297" s="493">
        <f t="shared" si="19"/>
        <v>0</v>
      </c>
      <c r="CN297" s="493">
        <f t="shared" si="19"/>
        <v>0</v>
      </c>
      <c r="CO297" s="493">
        <f t="shared" si="19"/>
        <v>0</v>
      </c>
    </row>
    <row r="298" spans="1:93" ht="30.45" customHeight="1">
      <c r="A298" s="555" t="s">
        <v>4606</v>
      </c>
      <c r="B298" s="479">
        <v>296</v>
      </c>
      <c r="C298" s="480" t="s">
        <v>4255</v>
      </c>
      <c r="D298" s="480" t="s">
        <v>4580</v>
      </c>
      <c r="E298" s="480" t="str">
        <f t="shared" si="18"/>
        <v xml:space="preserve">2.7.4 </v>
      </c>
      <c r="F298" s="480" t="s">
        <v>4601</v>
      </c>
      <c r="G298" s="480" t="s">
        <v>4602</v>
      </c>
      <c r="H298" s="481">
        <v>35</v>
      </c>
      <c r="I298" s="480" t="s">
        <v>4603</v>
      </c>
      <c r="J298" s="495">
        <v>350200900</v>
      </c>
      <c r="K298" s="480" t="s">
        <v>4278</v>
      </c>
      <c r="L298" s="480" t="s">
        <v>4604</v>
      </c>
      <c r="M298" s="480" t="s">
        <v>6551</v>
      </c>
      <c r="N298" s="499">
        <v>9</v>
      </c>
      <c r="O298" s="480" t="s">
        <v>4605</v>
      </c>
      <c r="P298" s="515">
        <v>9</v>
      </c>
      <c r="Q298" s="485" t="s">
        <v>5349</v>
      </c>
      <c r="R298" s="485" t="s">
        <v>5493</v>
      </c>
      <c r="S298" s="485" t="s">
        <v>5489</v>
      </c>
      <c r="T298" s="485">
        <v>107123611957</v>
      </c>
      <c r="U298" s="485" t="s">
        <v>4609</v>
      </c>
      <c r="V298" s="485">
        <v>225123611957</v>
      </c>
      <c r="W298" s="485" t="s">
        <v>5494</v>
      </c>
      <c r="X298" s="485">
        <v>3</v>
      </c>
      <c r="Y298" s="485" t="s">
        <v>5495</v>
      </c>
      <c r="Z298" s="486">
        <v>0</v>
      </c>
      <c r="AA298" s="486">
        <v>0</v>
      </c>
      <c r="AB298" s="486">
        <v>0</v>
      </c>
      <c r="AC298" s="486">
        <v>0</v>
      </c>
      <c r="AD298" s="486">
        <v>0</v>
      </c>
      <c r="AE298" s="486">
        <v>12150000000</v>
      </c>
      <c r="AF298" s="486">
        <v>0</v>
      </c>
      <c r="AG298" s="486">
        <v>0</v>
      </c>
      <c r="AH298" s="487">
        <v>12150000000</v>
      </c>
      <c r="AI298" s="486">
        <v>0</v>
      </c>
      <c r="AJ298" s="486">
        <v>0</v>
      </c>
      <c r="AK298" s="486">
        <v>0</v>
      </c>
      <c r="AL298" s="488">
        <v>0</v>
      </c>
      <c r="AM298" s="489">
        <v>12150000000</v>
      </c>
      <c r="AN298" s="486">
        <v>0</v>
      </c>
      <c r="AO298" s="486">
        <v>0</v>
      </c>
      <c r="AP298" s="486">
        <v>0</v>
      </c>
      <c r="AQ298" s="486">
        <v>0</v>
      </c>
      <c r="AR298" s="486">
        <v>0</v>
      </c>
      <c r="AS298" s="486">
        <v>12150000000</v>
      </c>
      <c r="AT298" s="486">
        <v>0</v>
      </c>
      <c r="AU298" s="486">
        <v>0</v>
      </c>
      <c r="AV298" s="487">
        <v>12150000000</v>
      </c>
      <c r="AW298" s="486">
        <v>0</v>
      </c>
      <c r="AX298" s="486">
        <v>0</v>
      </c>
      <c r="AY298" s="486">
        <v>0</v>
      </c>
      <c r="AZ298" s="488">
        <v>0</v>
      </c>
      <c r="BA298" s="490">
        <v>12150000000</v>
      </c>
      <c r="BB298" s="486">
        <v>0</v>
      </c>
      <c r="BC298" s="486">
        <v>0</v>
      </c>
      <c r="BD298" s="486">
        <v>0</v>
      </c>
      <c r="BE298" s="486">
        <v>0</v>
      </c>
      <c r="BF298" s="486">
        <v>0</v>
      </c>
      <c r="BG298" s="486">
        <v>12150000000</v>
      </c>
      <c r="BH298" s="486">
        <v>0</v>
      </c>
      <c r="BI298" s="486">
        <v>0</v>
      </c>
      <c r="BJ298" s="487">
        <v>12150000000</v>
      </c>
      <c r="BK298" s="486">
        <v>0</v>
      </c>
      <c r="BL298" s="486">
        <v>0</v>
      </c>
      <c r="BM298" s="486">
        <v>0</v>
      </c>
      <c r="BN298" s="488">
        <v>0</v>
      </c>
      <c r="BO298" s="490">
        <v>12150000000</v>
      </c>
      <c r="BP298" s="486">
        <v>0</v>
      </c>
      <c r="BQ298" s="486">
        <v>0</v>
      </c>
      <c r="BR298" s="486">
        <v>0</v>
      </c>
      <c r="BS298" s="486">
        <v>0</v>
      </c>
      <c r="BT298" s="486">
        <v>0</v>
      </c>
      <c r="BU298" s="486">
        <v>12150000000</v>
      </c>
      <c r="BV298" s="486">
        <v>0</v>
      </c>
      <c r="BW298" s="486">
        <v>0</v>
      </c>
      <c r="BX298" s="487">
        <v>12150000000</v>
      </c>
      <c r="BY298" s="486">
        <v>0</v>
      </c>
      <c r="BZ298" s="486">
        <v>0</v>
      </c>
      <c r="CA298" s="486">
        <v>0</v>
      </c>
      <c r="CB298" s="488">
        <v>0</v>
      </c>
      <c r="CC298" s="491">
        <v>12150000000</v>
      </c>
      <c r="CD298" s="492">
        <v>48600000000</v>
      </c>
      <c r="CE298" s="493">
        <f t="shared" si="21"/>
        <v>0</v>
      </c>
      <c r="CF298" s="493">
        <f t="shared" si="21"/>
        <v>0</v>
      </c>
      <c r="CG298" s="493">
        <f t="shared" si="21"/>
        <v>0</v>
      </c>
      <c r="CH298" s="493">
        <f t="shared" si="20"/>
        <v>0</v>
      </c>
      <c r="CI298" s="493">
        <f t="shared" si="20"/>
        <v>0</v>
      </c>
      <c r="CJ298" s="493">
        <f t="shared" si="20"/>
        <v>48600000000</v>
      </c>
      <c r="CK298" s="493">
        <f t="shared" si="20"/>
        <v>0</v>
      </c>
      <c r="CL298" s="493">
        <f t="shared" si="20"/>
        <v>0</v>
      </c>
      <c r="CM298" s="493">
        <f t="shared" si="19"/>
        <v>0</v>
      </c>
      <c r="CN298" s="493">
        <f t="shared" si="19"/>
        <v>0</v>
      </c>
      <c r="CO298" s="493">
        <f t="shared" si="19"/>
        <v>0</v>
      </c>
    </row>
    <row r="299" spans="1:93" ht="30.45" customHeight="1">
      <c r="A299" s="555" t="s">
        <v>4606</v>
      </c>
      <c r="B299" s="479">
        <v>297</v>
      </c>
      <c r="C299" s="480" t="s">
        <v>4255</v>
      </c>
      <c r="D299" s="480" t="s">
        <v>4580</v>
      </c>
      <c r="E299" s="480" t="str">
        <f t="shared" si="18"/>
        <v xml:space="preserve">2.7.4 </v>
      </c>
      <c r="F299" s="480" t="s">
        <v>4601</v>
      </c>
      <c r="G299" s="480" t="s">
        <v>4602</v>
      </c>
      <c r="H299" s="481">
        <v>45</v>
      </c>
      <c r="I299" s="480" t="s">
        <v>4209</v>
      </c>
      <c r="J299" s="495">
        <v>450203200</v>
      </c>
      <c r="K299" s="480" t="s">
        <v>4063</v>
      </c>
      <c r="L299" s="480" t="s">
        <v>4607</v>
      </c>
      <c r="M299" s="480" t="s">
        <v>5903</v>
      </c>
      <c r="N299" s="499">
        <v>4</v>
      </c>
      <c r="O299" s="480" t="s">
        <v>4608</v>
      </c>
      <c r="P299" s="515">
        <v>8</v>
      </c>
      <c r="Q299" s="485" t="s">
        <v>5349</v>
      </c>
      <c r="R299" s="485" t="s">
        <v>5493</v>
      </c>
      <c r="S299" s="485" t="s">
        <v>5489</v>
      </c>
      <c r="T299" s="485">
        <v>107123611957</v>
      </c>
      <c r="U299" s="485" t="s">
        <v>4609</v>
      </c>
      <c r="V299" s="485">
        <v>225123611957</v>
      </c>
      <c r="W299" s="485" t="s">
        <v>5494</v>
      </c>
      <c r="X299" s="485">
        <v>3</v>
      </c>
      <c r="Y299" s="485" t="s">
        <v>5495</v>
      </c>
      <c r="Z299" s="486">
        <v>0</v>
      </c>
      <c r="AA299" s="486">
        <v>0</v>
      </c>
      <c r="AB299" s="486">
        <v>0</v>
      </c>
      <c r="AC299" s="486">
        <v>0</v>
      </c>
      <c r="AD299" s="486">
        <v>0</v>
      </c>
      <c r="AE299" s="486">
        <v>10800000000</v>
      </c>
      <c r="AF299" s="486">
        <v>0</v>
      </c>
      <c r="AG299" s="486">
        <v>0</v>
      </c>
      <c r="AH299" s="487">
        <v>10800000000</v>
      </c>
      <c r="AI299" s="486">
        <v>0</v>
      </c>
      <c r="AJ299" s="486">
        <v>0</v>
      </c>
      <c r="AK299" s="486">
        <v>0</v>
      </c>
      <c r="AL299" s="488">
        <v>0</v>
      </c>
      <c r="AM299" s="489">
        <v>10800000000</v>
      </c>
      <c r="AN299" s="486">
        <v>0</v>
      </c>
      <c r="AO299" s="486">
        <v>0</v>
      </c>
      <c r="AP299" s="486">
        <v>0</v>
      </c>
      <c r="AQ299" s="486">
        <v>0</v>
      </c>
      <c r="AR299" s="486">
        <v>0</v>
      </c>
      <c r="AS299" s="486">
        <v>10800000000</v>
      </c>
      <c r="AT299" s="486">
        <v>0</v>
      </c>
      <c r="AU299" s="486">
        <v>0</v>
      </c>
      <c r="AV299" s="487">
        <v>10800000000</v>
      </c>
      <c r="AW299" s="486">
        <v>0</v>
      </c>
      <c r="AX299" s="486">
        <v>0</v>
      </c>
      <c r="AY299" s="486">
        <v>0</v>
      </c>
      <c r="AZ299" s="488">
        <v>0</v>
      </c>
      <c r="BA299" s="490">
        <v>10800000000</v>
      </c>
      <c r="BB299" s="486">
        <v>0</v>
      </c>
      <c r="BC299" s="486">
        <v>0</v>
      </c>
      <c r="BD299" s="486">
        <v>0</v>
      </c>
      <c r="BE299" s="486">
        <v>0</v>
      </c>
      <c r="BF299" s="486">
        <v>0</v>
      </c>
      <c r="BG299" s="486">
        <v>10800000000</v>
      </c>
      <c r="BH299" s="486">
        <v>0</v>
      </c>
      <c r="BI299" s="486">
        <v>0</v>
      </c>
      <c r="BJ299" s="487">
        <v>10800000000</v>
      </c>
      <c r="BK299" s="486">
        <v>0</v>
      </c>
      <c r="BL299" s="486">
        <v>0</v>
      </c>
      <c r="BM299" s="486">
        <v>0</v>
      </c>
      <c r="BN299" s="488">
        <v>0</v>
      </c>
      <c r="BO299" s="490">
        <v>10800000000</v>
      </c>
      <c r="BP299" s="486">
        <v>0</v>
      </c>
      <c r="BQ299" s="486">
        <v>0</v>
      </c>
      <c r="BR299" s="486">
        <v>0</v>
      </c>
      <c r="BS299" s="486">
        <v>0</v>
      </c>
      <c r="BT299" s="486">
        <v>0</v>
      </c>
      <c r="BU299" s="486">
        <v>10800000000</v>
      </c>
      <c r="BV299" s="486">
        <v>0</v>
      </c>
      <c r="BW299" s="486">
        <v>0</v>
      </c>
      <c r="BX299" s="487">
        <v>10800000000</v>
      </c>
      <c r="BY299" s="486">
        <v>0</v>
      </c>
      <c r="BZ299" s="486">
        <v>0</v>
      </c>
      <c r="CA299" s="486">
        <v>0</v>
      </c>
      <c r="CB299" s="488">
        <v>0</v>
      </c>
      <c r="CC299" s="491">
        <v>10800000000</v>
      </c>
      <c r="CD299" s="492">
        <v>43200000000</v>
      </c>
      <c r="CE299" s="493">
        <f t="shared" si="21"/>
        <v>0</v>
      </c>
      <c r="CF299" s="493">
        <f t="shared" si="21"/>
        <v>0</v>
      </c>
      <c r="CG299" s="493">
        <f t="shared" si="21"/>
        <v>0</v>
      </c>
      <c r="CH299" s="493">
        <f t="shared" si="20"/>
        <v>0</v>
      </c>
      <c r="CI299" s="493">
        <f t="shared" si="20"/>
        <v>0</v>
      </c>
      <c r="CJ299" s="493">
        <f t="shared" si="20"/>
        <v>43200000000</v>
      </c>
      <c r="CK299" s="493">
        <f t="shared" si="20"/>
        <v>0</v>
      </c>
      <c r="CL299" s="493">
        <f t="shared" si="20"/>
        <v>0</v>
      </c>
      <c r="CM299" s="493">
        <f t="shared" si="19"/>
        <v>0</v>
      </c>
      <c r="CN299" s="493">
        <f t="shared" si="19"/>
        <v>0</v>
      </c>
      <c r="CO299" s="493">
        <f t="shared" si="19"/>
        <v>0</v>
      </c>
    </row>
    <row r="300" spans="1:93" ht="30.45" customHeight="1">
      <c r="A300" s="555" t="s">
        <v>4606</v>
      </c>
      <c r="B300" s="479">
        <v>298</v>
      </c>
      <c r="C300" s="480" t="s">
        <v>4255</v>
      </c>
      <c r="D300" s="480" t="s">
        <v>4580</v>
      </c>
      <c r="E300" s="480" t="str">
        <f t="shared" si="18"/>
        <v xml:space="preserve">2.7.4 </v>
      </c>
      <c r="F300" s="480" t="s">
        <v>4601</v>
      </c>
      <c r="G300" s="480" t="s">
        <v>4602</v>
      </c>
      <c r="H300" s="481">
        <v>35</v>
      </c>
      <c r="I300" s="480" t="s">
        <v>6552</v>
      </c>
      <c r="J300" s="495">
        <v>350200200</v>
      </c>
      <c r="K300" s="480" t="s">
        <v>4063</v>
      </c>
      <c r="L300" s="480" t="s">
        <v>4406</v>
      </c>
      <c r="M300" s="480" t="s">
        <v>6553</v>
      </c>
      <c r="N300" s="499">
        <v>3</v>
      </c>
      <c r="O300" s="480" t="s">
        <v>4609</v>
      </c>
      <c r="P300" s="515">
        <v>6</v>
      </c>
      <c r="Q300" s="485" t="s">
        <v>5349</v>
      </c>
      <c r="R300" s="485" t="s">
        <v>5493</v>
      </c>
      <c r="S300" s="485" t="s">
        <v>5489</v>
      </c>
      <c r="T300" s="485">
        <v>107123611957</v>
      </c>
      <c r="U300" s="485" t="s">
        <v>4609</v>
      </c>
      <c r="V300" s="485">
        <v>225123611957</v>
      </c>
      <c r="W300" s="485" t="s">
        <v>5494</v>
      </c>
      <c r="X300" s="485">
        <v>3</v>
      </c>
      <c r="Y300" s="485" t="s">
        <v>5495</v>
      </c>
      <c r="Z300" s="486">
        <v>0</v>
      </c>
      <c r="AA300" s="486">
        <v>0</v>
      </c>
      <c r="AB300" s="486">
        <v>0</v>
      </c>
      <c r="AC300" s="486">
        <v>0</v>
      </c>
      <c r="AD300" s="486">
        <v>0</v>
      </c>
      <c r="AE300" s="486">
        <v>40000000</v>
      </c>
      <c r="AF300" s="486">
        <v>0</v>
      </c>
      <c r="AG300" s="486">
        <v>0</v>
      </c>
      <c r="AH300" s="487">
        <v>40000000</v>
      </c>
      <c r="AI300" s="486">
        <v>0</v>
      </c>
      <c r="AJ300" s="486">
        <v>0</v>
      </c>
      <c r="AK300" s="486">
        <v>0</v>
      </c>
      <c r="AL300" s="488">
        <v>0</v>
      </c>
      <c r="AM300" s="489">
        <v>40000000</v>
      </c>
      <c r="AN300" s="486">
        <v>0</v>
      </c>
      <c r="AO300" s="486">
        <v>0</v>
      </c>
      <c r="AP300" s="486">
        <v>0</v>
      </c>
      <c r="AQ300" s="486">
        <v>0</v>
      </c>
      <c r="AR300" s="486">
        <v>0</v>
      </c>
      <c r="AS300" s="486">
        <v>40000000</v>
      </c>
      <c r="AT300" s="486">
        <v>0</v>
      </c>
      <c r="AU300" s="486">
        <v>0</v>
      </c>
      <c r="AV300" s="487">
        <v>40000000</v>
      </c>
      <c r="AW300" s="486">
        <v>0</v>
      </c>
      <c r="AX300" s="486">
        <v>0</v>
      </c>
      <c r="AY300" s="486">
        <v>0</v>
      </c>
      <c r="AZ300" s="488">
        <v>0</v>
      </c>
      <c r="BA300" s="490">
        <v>40000000</v>
      </c>
      <c r="BB300" s="486">
        <v>0</v>
      </c>
      <c r="BC300" s="486">
        <v>0</v>
      </c>
      <c r="BD300" s="486">
        <v>0</v>
      </c>
      <c r="BE300" s="486">
        <v>0</v>
      </c>
      <c r="BF300" s="486">
        <v>0</v>
      </c>
      <c r="BG300" s="486">
        <v>40000000</v>
      </c>
      <c r="BH300" s="486">
        <v>0</v>
      </c>
      <c r="BI300" s="486">
        <v>0</v>
      </c>
      <c r="BJ300" s="487">
        <v>40000000</v>
      </c>
      <c r="BK300" s="486">
        <v>0</v>
      </c>
      <c r="BL300" s="486">
        <v>0</v>
      </c>
      <c r="BM300" s="486">
        <v>0</v>
      </c>
      <c r="BN300" s="488">
        <v>0</v>
      </c>
      <c r="BO300" s="490">
        <v>40000000</v>
      </c>
      <c r="BP300" s="486">
        <v>0</v>
      </c>
      <c r="BQ300" s="486">
        <v>0</v>
      </c>
      <c r="BR300" s="486">
        <v>0</v>
      </c>
      <c r="BS300" s="486">
        <v>0</v>
      </c>
      <c r="BT300" s="486">
        <v>0</v>
      </c>
      <c r="BU300" s="486">
        <v>40000000</v>
      </c>
      <c r="BV300" s="486">
        <v>0</v>
      </c>
      <c r="BW300" s="486">
        <v>0</v>
      </c>
      <c r="BX300" s="487">
        <v>40000000</v>
      </c>
      <c r="BY300" s="486">
        <v>0</v>
      </c>
      <c r="BZ300" s="486">
        <v>0</v>
      </c>
      <c r="CA300" s="486">
        <v>0</v>
      </c>
      <c r="CB300" s="488">
        <v>0</v>
      </c>
      <c r="CC300" s="491">
        <v>40000000</v>
      </c>
      <c r="CD300" s="492">
        <v>160000000</v>
      </c>
      <c r="CE300" s="493">
        <f t="shared" si="21"/>
        <v>0</v>
      </c>
      <c r="CF300" s="493">
        <f t="shared" si="21"/>
        <v>0</v>
      </c>
      <c r="CG300" s="493">
        <f t="shared" si="21"/>
        <v>0</v>
      </c>
      <c r="CH300" s="493">
        <f t="shared" si="20"/>
        <v>0</v>
      </c>
      <c r="CI300" s="493">
        <f t="shared" si="20"/>
        <v>0</v>
      </c>
      <c r="CJ300" s="493">
        <f t="shared" si="20"/>
        <v>160000000</v>
      </c>
      <c r="CK300" s="493">
        <f t="shared" si="20"/>
        <v>0</v>
      </c>
      <c r="CL300" s="493">
        <f t="shared" si="20"/>
        <v>0</v>
      </c>
      <c r="CM300" s="493">
        <f t="shared" si="19"/>
        <v>0</v>
      </c>
      <c r="CN300" s="493">
        <f t="shared" si="19"/>
        <v>0</v>
      </c>
      <c r="CO300" s="493">
        <f t="shared" si="19"/>
        <v>0</v>
      </c>
    </row>
    <row r="301" spans="1:93" ht="30.45" customHeight="1">
      <c r="A301" s="555" t="s">
        <v>4606</v>
      </c>
      <c r="B301" s="479">
        <v>299</v>
      </c>
      <c r="C301" s="480" t="s">
        <v>4255</v>
      </c>
      <c r="D301" s="480" t="s">
        <v>4580</v>
      </c>
      <c r="E301" s="480" t="str">
        <f t="shared" si="18"/>
        <v xml:space="preserve">2.7.4 </v>
      </c>
      <c r="F301" s="480" t="s">
        <v>4601</v>
      </c>
      <c r="G301" s="480" t="s">
        <v>4602</v>
      </c>
      <c r="H301" s="481">
        <v>36</v>
      </c>
      <c r="I301" s="480" t="s">
        <v>4610</v>
      </c>
      <c r="J301" s="495">
        <v>360302100</v>
      </c>
      <c r="K301" s="480" t="s">
        <v>4347</v>
      </c>
      <c r="L301" s="480" t="s">
        <v>4611</v>
      </c>
      <c r="M301" s="480" t="s">
        <v>6554</v>
      </c>
      <c r="N301" s="499">
        <v>2</v>
      </c>
      <c r="O301" s="480" t="s">
        <v>4609</v>
      </c>
      <c r="P301" s="515">
        <v>8</v>
      </c>
      <c r="Q301" s="485" t="s">
        <v>5349</v>
      </c>
      <c r="R301" s="485" t="s">
        <v>5493</v>
      </c>
      <c r="S301" s="485" t="s">
        <v>5489</v>
      </c>
      <c r="T301" s="485">
        <v>107123611957</v>
      </c>
      <c r="U301" s="485" t="s">
        <v>4609</v>
      </c>
      <c r="V301" s="485">
        <v>225123611957</v>
      </c>
      <c r="W301" s="485" t="s">
        <v>5494</v>
      </c>
      <c r="X301" s="485">
        <v>3</v>
      </c>
      <c r="Y301" s="485" t="s">
        <v>5495</v>
      </c>
      <c r="Z301" s="486">
        <v>0</v>
      </c>
      <c r="AA301" s="486">
        <v>0</v>
      </c>
      <c r="AB301" s="486">
        <v>0</v>
      </c>
      <c r="AC301" s="486">
        <v>0</v>
      </c>
      <c r="AD301" s="486">
        <v>0</v>
      </c>
      <c r="AE301" s="486">
        <v>2660000000</v>
      </c>
      <c r="AF301" s="486">
        <v>0</v>
      </c>
      <c r="AG301" s="486">
        <v>0</v>
      </c>
      <c r="AH301" s="487">
        <v>2660000000</v>
      </c>
      <c r="AI301" s="486">
        <v>0</v>
      </c>
      <c r="AJ301" s="486">
        <v>0</v>
      </c>
      <c r="AK301" s="486">
        <v>0</v>
      </c>
      <c r="AL301" s="488">
        <v>0</v>
      </c>
      <c r="AM301" s="489">
        <v>2660000000</v>
      </c>
      <c r="AN301" s="486">
        <v>0</v>
      </c>
      <c r="AO301" s="486">
        <v>0</v>
      </c>
      <c r="AP301" s="486">
        <v>0</v>
      </c>
      <c r="AQ301" s="486">
        <v>0</v>
      </c>
      <c r="AR301" s="486">
        <v>0</v>
      </c>
      <c r="AS301" s="486">
        <v>2660000000</v>
      </c>
      <c r="AT301" s="486">
        <v>0</v>
      </c>
      <c r="AU301" s="486">
        <v>0</v>
      </c>
      <c r="AV301" s="487">
        <v>2660000000</v>
      </c>
      <c r="AW301" s="486">
        <v>0</v>
      </c>
      <c r="AX301" s="486">
        <v>0</v>
      </c>
      <c r="AY301" s="486">
        <v>0</v>
      </c>
      <c r="AZ301" s="488">
        <v>0</v>
      </c>
      <c r="BA301" s="490">
        <v>2660000000</v>
      </c>
      <c r="BB301" s="486">
        <v>0</v>
      </c>
      <c r="BC301" s="486">
        <v>0</v>
      </c>
      <c r="BD301" s="486">
        <v>0</v>
      </c>
      <c r="BE301" s="486">
        <v>0</v>
      </c>
      <c r="BF301" s="486">
        <v>0</v>
      </c>
      <c r="BG301" s="486">
        <v>2660000000</v>
      </c>
      <c r="BH301" s="486">
        <v>0</v>
      </c>
      <c r="BI301" s="486">
        <v>0</v>
      </c>
      <c r="BJ301" s="487">
        <v>2660000000</v>
      </c>
      <c r="BK301" s="486">
        <v>0</v>
      </c>
      <c r="BL301" s="486">
        <v>0</v>
      </c>
      <c r="BM301" s="486">
        <v>0</v>
      </c>
      <c r="BN301" s="488">
        <v>0</v>
      </c>
      <c r="BO301" s="490">
        <v>2660000000</v>
      </c>
      <c r="BP301" s="486">
        <v>0</v>
      </c>
      <c r="BQ301" s="486">
        <v>0</v>
      </c>
      <c r="BR301" s="486">
        <v>0</v>
      </c>
      <c r="BS301" s="486">
        <v>0</v>
      </c>
      <c r="BT301" s="486">
        <v>0</v>
      </c>
      <c r="BU301" s="486">
        <v>2660000000</v>
      </c>
      <c r="BV301" s="486">
        <v>0</v>
      </c>
      <c r="BW301" s="486">
        <v>0</v>
      </c>
      <c r="BX301" s="487">
        <v>2660000000</v>
      </c>
      <c r="BY301" s="486">
        <v>0</v>
      </c>
      <c r="BZ301" s="486">
        <v>0</v>
      </c>
      <c r="CA301" s="486">
        <v>0</v>
      </c>
      <c r="CB301" s="488">
        <v>0</v>
      </c>
      <c r="CC301" s="491">
        <v>2660000000</v>
      </c>
      <c r="CD301" s="492">
        <v>10640000000</v>
      </c>
      <c r="CE301" s="493">
        <f t="shared" si="21"/>
        <v>0</v>
      </c>
      <c r="CF301" s="493">
        <f t="shared" si="21"/>
        <v>0</v>
      </c>
      <c r="CG301" s="493">
        <f t="shared" si="21"/>
        <v>0</v>
      </c>
      <c r="CH301" s="493">
        <f t="shared" si="20"/>
        <v>0</v>
      </c>
      <c r="CI301" s="493">
        <f t="shared" si="20"/>
        <v>0</v>
      </c>
      <c r="CJ301" s="493">
        <f t="shared" si="20"/>
        <v>10640000000</v>
      </c>
      <c r="CK301" s="493">
        <f t="shared" si="20"/>
        <v>0</v>
      </c>
      <c r="CL301" s="493">
        <f t="shared" si="20"/>
        <v>0</v>
      </c>
      <c r="CM301" s="493">
        <f t="shared" si="19"/>
        <v>0</v>
      </c>
      <c r="CN301" s="493">
        <f t="shared" si="19"/>
        <v>0</v>
      </c>
      <c r="CO301" s="493">
        <f t="shared" si="19"/>
        <v>0</v>
      </c>
    </row>
    <row r="302" spans="1:93" ht="30.45" customHeight="1">
      <c r="A302" s="555" t="s">
        <v>4606</v>
      </c>
      <c r="B302" s="479">
        <v>300</v>
      </c>
      <c r="C302" s="480" t="s">
        <v>4255</v>
      </c>
      <c r="D302" s="480" t="s">
        <v>4580</v>
      </c>
      <c r="E302" s="480" t="str">
        <f t="shared" si="18"/>
        <v xml:space="preserve">2.7.4 </v>
      </c>
      <c r="F302" s="480" t="s">
        <v>4601</v>
      </c>
      <c r="G302" s="480" t="s">
        <v>4602</v>
      </c>
      <c r="H302" s="481">
        <v>35</v>
      </c>
      <c r="I302" s="480" t="s">
        <v>4612</v>
      </c>
      <c r="J302" s="495">
        <v>350200803</v>
      </c>
      <c r="K302" s="480" t="s">
        <v>4613</v>
      </c>
      <c r="L302" s="480" t="s">
        <v>6555</v>
      </c>
      <c r="M302" s="480" t="s">
        <v>5904</v>
      </c>
      <c r="N302" s="499">
        <v>3</v>
      </c>
      <c r="O302" s="480" t="s">
        <v>4614</v>
      </c>
      <c r="P302" s="515">
        <v>8</v>
      </c>
      <c r="Q302" s="485" t="s">
        <v>5349</v>
      </c>
      <c r="R302" s="485" t="s">
        <v>5493</v>
      </c>
      <c r="S302" s="485" t="s">
        <v>5489</v>
      </c>
      <c r="T302" s="485">
        <v>107123611957</v>
      </c>
      <c r="U302" s="485" t="s">
        <v>4609</v>
      </c>
      <c r="V302" s="485">
        <v>225123611957</v>
      </c>
      <c r="W302" s="485" t="s">
        <v>5494</v>
      </c>
      <c r="X302" s="485">
        <v>3</v>
      </c>
      <c r="Y302" s="485" t="s">
        <v>5495</v>
      </c>
      <c r="Z302" s="486">
        <v>0</v>
      </c>
      <c r="AA302" s="486">
        <v>0</v>
      </c>
      <c r="AB302" s="486">
        <v>0</v>
      </c>
      <c r="AC302" s="486">
        <v>0</v>
      </c>
      <c r="AD302" s="486">
        <v>0</v>
      </c>
      <c r="AE302" s="486">
        <v>2000000000</v>
      </c>
      <c r="AF302" s="486">
        <v>0</v>
      </c>
      <c r="AG302" s="486">
        <v>0</v>
      </c>
      <c r="AH302" s="487">
        <v>2000000000</v>
      </c>
      <c r="AI302" s="486">
        <v>0</v>
      </c>
      <c r="AJ302" s="486">
        <v>0</v>
      </c>
      <c r="AK302" s="486">
        <v>0</v>
      </c>
      <c r="AL302" s="488">
        <v>0</v>
      </c>
      <c r="AM302" s="489">
        <v>2000000000</v>
      </c>
      <c r="AN302" s="486">
        <v>0</v>
      </c>
      <c r="AO302" s="486">
        <v>0</v>
      </c>
      <c r="AP302" s="486">
        <v>0</v>
      </c>
      <c r="AQ302" s="486">
        <v>0</v>
      </c>
      <c r="AR302" s="486">
        <v>0</v>
      </c>
      <c r="AS302" s="486">
        <v>2000000000</v>
      </c>
      <c r="AT302" s="486">
        <v>0</v>
      </c>
      <c r="AU302" s="486">
        <v>0</v>
      </c>
      <c r="AV302" s="487">
        <v>2000000000</v>
      </c>
      <c r="AW302" s="486">
        <v>0</v>
      </c>
      <c r="AX302" s="486">
        <v>0</v>
      </c>
      <c r="AY302" s="486">
        <v>0</v>
      </c>
      <c r="AZ302" s="488">
        <v>0</v>
      </c>
      <c r="BA302" s="490">
        <v>2000000000</v>
      </c>
      <c r="BB302" s="486">
        <v>0</v>
      </c>
      <c r="BC302" s="486">
        <v>0</v>
      </c>
      <c r="BD302" s="486">
        <v>0</v>
      </c>
      <c r="BE302" s="486">
        <v>0</v>
      </c>
      <c r="BF302" s="486">
        <v>0</v>
      </c>
      <c r="BG302" s="486">
        <v>2000000000</v>
      </c>
      <c r="BH302" s="486">
        <v>0</v>
      </c>
      <c r="BI302" s="486">
        <v>0</v>
      </c>
      <c r="BJ302" s="487">
        <v>2000000000</v>
      </c>
      <c r="BK302" s="486">
        <v>0</v>
      </c>
      <c r="BL302" s="486">
        <v>0</v>
      </c>
      <c r="BM302" s="486">
        <v>0</v>
      </c>
      <c r="BN302" s="488">
        <v>0</v>
      </c>
      <c r="BO302" s="490">
        <v>2000000000</v>
      </c>
      <c r="BP302" s="486">
        <v>0</v>
      </c>
      <c r="BQ302" s="486">
        <v>0</v>
      </c>
      <c r="BR302" s="486">
        <v>0</v>
      </c>
      <c r="BS302" s="486">
        <v>0</v>
      </c>
      <c r="BT302" s="486">
        <v>0</v>
      </c>
      <c r="BU302" s="486">
        <v>2000000000</v>
      </c>
      <c r="BV302" s="486">
        <v>0</v>
      </c>
      <c r="BW302" s="486">
        <v>0</v>
      </c>
      <c r="BX302" s="487">
        <v>2000000000</v>
      </c>
      <c r="BY302" s="486">
        <v>0</v>
      </c>
      <c r="BZ302" s="486">
        <v>0</v>
      </c>
      <c r="CA302" s="486">
        <v>0</v>
      </c>
      <c r="CB302" s="488">
        <v>0</v>
      </c>
      <c r="CC302" s="491">
        <v>2000000000</v>
      </c>
      <c r="CD302" s="492">
        <v>8000000000</v>
      </c>
      <c r="CE302" s="493">
        <f t="shared" si="21"/>
        <v>0</v>
      </c>
      <c r="CF302" s="493">
        <f t="shared" si="21"/>
        <v>0</v>
      </c>
      <c r="CG302" s="493">
        <f t="shared" si="21"/>
        <v>0</v>
      </c>
      <c r="CH302" s="493">
        <f t="shared" si="20"/>
        <v>0</v>
      </c>
      <c r="CI302" s="493">
        <f t="shared" si="20"/>
        <v>0</v>
      </c>
      <c r="CJ302" s="493">
        <f t="shared" si="20"/>
        <v>8000000000</v>
      </c>
      <c r="CK302" s="493">
        <f t="shared" si="20"/>
        <v>0</v>
      </c>
      <c r="CL302" s="493">
        <f t="shared" si="20"/>
        <v>0</v>
      </c>
      <c r="CM302" s="493">
        <f t="shared" si="19"/>
        <v>0</v>
      </c>
      <c r="CN302" s="493">
        <f t="shared" si="19"/>
        <v>0</v>
      </c>
      <c r="CO302" s="493">
        <f t="shared" si="19"/>
        <v>0</v>
      </c>
    </row>
    <row r="303" spans="1:93" ht="30.45" hidden="1" customHeight="1">
      <c r="A303" s="555" t="s">
        <v>4618</v>
      </c>
      <c r="B303" s="479">
        <v>301</v>
      </c>
      <c r="C303" s="480" t="s">
        <v>4255</v>
      </c>
      <c r="D303" s="480" t="s">
        <v>4615</v>
      </c>
      <c r="E303" s="480" t="str">
        <f t="shared" si="18"/>
        <v xml:space="preserve">2.8.1 </v>
      </c>
      <c r="F303" s="480" t="s">
        <v>4616</v>
      </c>
      <c r="G303" s="480" t="s">
        <v>4617</v>
      </c>
      <c r="H303" s="481">
        <v>45</v>
      </c>
      <c r="I303" s="480" t="s">
        <v>4180</v>
      </c>
      <c r="J303" s="495">
        <v>459901800</v>
      </c>
      <c r="K303" s="480" t="s">
        <v>4063</v>
      </c>
      <c r="L303" s="480" t="s">
        <v>4112</v>
      </c>
      <c r="M303" s="480" t="s">
        <v>6556</v>
      </c>
      <c r="N303" s="499">
        <v>1</v>
      </c>
      <c r="O303" s="480">
        <v>2023</v>
      </c>
      <c r="P303" s="515">
        <v>2</v>
      </c>
      <c r="Q303" s="485" t="s">
        <v>5349</v>
      </c>
      <c r="R303" s="485" t="s">
        <v>5496</v>
      </c>
      <c r="S303" s="485" t="s">
        <v>5497</v>
      </c>
      <c r="T303" s="485">
        <v>2.02</v>
      </c>
      <c r="U303" s="485">
        <v>2023</v>
      </c>
      <c r="V303" s="485">
        <v>2.42</v>
      </c>
      <c r="W303" s="485" t="s">
        <v>5498</v>
      </c>
      <c r="X303" s="485">
        <v>16</v>
      </c>
      <c r="Y303" s="485" t="s">
        <v>5370</v>
      </c>
      <c r="Z303" s="486">
        <v>311500000</v>
      </c>
      <c r="AA303" s="486">
        <v>0</v>
      </c>
      <c r="AB303" s="486">
        <v>0</v>
      </c>
      <c r="AC303" s="486">
        <v>0</v>
      </c>
      <c r="AD303" s="486">
        <v>0</v>
      </c>
      <c r="AE303" s="486">
        <v>0</v>
      </c>
      <c r="AF303" s="486">
        <v>0</v>
      </c>
      <c r="AG303" s="486">
        <v>0</v>
      </c>
      <c r="AH303" s="487">
        <v>311500000</v>
      </c>
      <c r="AI303" s="486">
        <v>0</v>
      </c>
      <c r="AJ303" s="486">
        <v>0</v>
      </c>
      <c r="AK303" s="486">
        <v>37581500</v>
      </c>
      <c r="AL303" s="488">
        <v>37581500</v>
      </c>
      <c r="AM303" s="489">
        <v>349081500</v>
      </c>
      <c r="AN303" s="486">
        <v>319760000</v>
      </c>
      <c r="AO303" s="486">
        <v>0</v>
      </c>
      <c r="AP303" s="486">
        <v>0</v>
      </c>
      <c r="AQ303" s="486">
        <v>0</v>
      </c>
      <c r="AR303" s="486">
        <v>0</v>
      </c>
      <c r="AS303" s="486">
        <v>0</v>
      </c>
      <c r="AT303" s="486">
        <v>0</v>
      </c>
      <c r="AU303" s="486">
        <v>0</v>
      </c>
      <c r="AV303" s="487">
        <v>319760000</v>
      </c>
      <c r="AW303" s="486"/>
      <c r="AX303" s="486">
        <v>0</v>
      </c>
      <c r="AY303" s="486">
        <v>166698500</v>
      </c>
      <c r="AZ303" s="488">
        <v>166698500</v>
      </c>
      <c r="BA303" s="490">
        <v>486458500</v>
      </c>
      <c r="BB303" s="486">
        <v>328550400</v>
      </c>
      <c r="BC303" s="486">
        <v>0</v>
      </c>
      <c r="BD303" s="486">
        <v>0</v>
      </c>
      <c r="BE303" s="486">
        <v>0</v>
      </c>
      <c r="BF303" s="486">
        <v>0</v>
      </c>
      <c r="BG303" s="486">
        <v>0</v>
      </c>
      <c r="BH303" s="486">
        <v>0</v>
      </c>
      <c r="BI303" s="486">
        <v>0</v>
      </c>
      <c r="BJ303" s="487">
        <v>328550400</v>
      </c>
      <c r="BK303" s="486">
        <v>0</v>
      </c>
      <c r="BL303" s="486">
        <v>0</v>
      </c>
      <c r="BM303" s="486">
        <v>157908100</v>
      </c>
      <c r="BN303" s="488">
        <v>157908100</v>
      </c>
      <c r="BO303" s="490">
        <v>486458500</v>
      </c>
      <c r="BP303" s="486">
        <v>337892416</v>
      </c>
      <c r="BQ303" s="486">
        <v>0</v>
      </c>
      <c r="BR303" s="486">
        <v>0</v>
      </c>
      <c r="BS303" s="486">
        <v>0</v>
      </c>
      <c r="BT303" s="486">
        <v>0</v>
      </c>
      <c r="BU303" s="486">
        <v>0</v>
      </c>
      <c r="BV303" s="486">
        <v>0</v>
      </c>
      <c r="BW303" s="486">
        <v>0</v>
      </c>
      <c r="BX303" s="487">
        <v>337892416</v>
      </c>
      <c r="BY303" s="486">
        <v>0</v>
      </c>
      <c r="BZ303" s="486">
        <v>0</v>
      </c>
      <c r="CA303" s="486">
        <v>148566084</v>
      </c>
      <c r="CB303" s="488">
        <v>148566084</v>
      </c>
      <c r="CC303" s="491">
        <v>486458500</v>
      </c>
      <c r="CD303" s="492">
        <v>1808457000</v>
      </c>
      <c r="CE303" s="493">
        <f t="shared" si="21"/>
        <v>1297702816</v>
      </c>
      <c r="CF303" s="493">
        <f t="shared" si="21"/>
        <v>0</v>
      </c>
      <c r="CG303" s="493">
        <f t="shared" si="21"/>
        <v>0</v>
      </c>
      <c r="CH303" s="493">
        <f t="shared" si="20"/>
        <v>0</v>
      </c>
      <c r="CI303" s="493">
        <f t="shared" si="20"/>
        <v>0</v>
      </c>
      <c r="CJ303" s="493">
        <f t="shared" si="20"/>
        <v>0</v>
      </c>
      <c r="CK303" s="493">
        <f t="shared" si="20"/>
        <v>0</v>
      </c>
      <c r="CL303" s="493">
        <f t="shared" si="20"/>
        <v>0</v>
      </c>
      <c r="CM303" s="493">
        <f t="shared" si="19"/>
        <v>0</v>
      </c>
      <c r="CN303" s="493">
        <f t="shared" si="19"/>
        <v>0</v>
      </c>
      <c r="CO303" s="493">
        <f t="shared" si="19"/>
        <v>510754184</v>
      </c>
    </row>
    <row r="304" spans="1:93" ht="30.45" hidden="1" customHeight="1">
      <c r="A304" s="555" t="s">
        <v>4618</v>
      </c>
      <c r="B304" s="479">
        <v>302</v>
      </c>
      <c r="C304" s="480" t="s">
        <v>4255</v>
      </c>
      <c r="D304" s="480" t="s">
        <v>4615</v>
      </c>
      <c r="E304" s="480" t="str">
        <f t="shared" si="18"/>
        <v xml:space="preserve">2.8.1 </v>
      </c>
      <c r="F304" s="480" t="s">
        <v>4616</v>
      </c>
      <c r="G304" s="480" t="s">
        <v>4617</v>
      </c>
      <c r="H304" s="481">
        <v>35</v>
      </c>
      <c r="I304" s="480" t="s">
        <v>4619</v>
      </c>
      <c r="J304" s="495">
        <v>350203900</v>
      </c>
      <c r="K304" s="480" t="s">
        <v>4251</v>
      </c>
      <c r="L304" s="480" t="s">
        <v>6193</v>
      </c>
      <c r="M304" s="480" t="s">
        <v>5905</v>
      </c>
      <c r="N304" s="499">
        <v>4</v>
      </c>
      <c r="O304" s="480" t="s">
        <v>4551</v>
      </c>
      <c r="P304" s="515">
        <v>30</v>
      </c>
      <c r="Q304" s="485" t="s">
        <v>5349</v>
      </c>
      <c r="R304" s="485" t="s">
        <v>5496</v>
      </c>
      <c r="S304" s="485" t="s">
        <v>5497</v>
      </c>
      <c r="T304" s="485">
        <v>2.02</v>
      </c>
      <c r="U304" s="485">
        <v>2023</v>
      </c>
      <c r="V304" s="485">
        <v>2.42</v>
      </c>
      <c r="W304" s="485" t="s">
        <v>5498</v>
      </c>
      <c r="X304" s="485">
        <v>16</v>
      </c>
      <c r="Y304" s="485" t="s">
        <v>5370</v>
      </c>
      <c r="Z304" s="486">
        <v>351500000</v>
      </c>
      <c r="AA304" s="486">
        <v>0</v>
      </c>
      <c r="AB304" s="486">
        <v>0</v>
      </c>
      <c r="AC304" s="486">
        <v>0</v>
      </c>
      <c r="AD304" s="486">
        <v>0</v>
      </c>
      <c r="AE304" s="486">
        <v>0</v>
      </c>
      <c r="AF304" s="486">
        <v>0</v>
      </c>
      <c r="AG304" s="486">
        <v>0</v>
      </c>
      <c r="AH304" s="487">
        <v>351500000</v>
      </c>
      <c r="AI304" s="486">
        <v>0</v>
      </c>
      <c r="AJ304" s="486">
        <v>0</v>
      </c>
      <c r="AK304" s="486">
        <v>77581500</v>
      </c>
      <c r="AL304" s="488">
        <v>77581500</v>
      </c>
      <c r="AM304" s="489">
        <v>429081500</v>
      </c>
      <c r="AN304" s="486">
        <v>369760000</v>
      </c>
      <c r="AO304" s="486">
        <v>0</v>
      </c>
      <c r="AP304" s="486">
        <v>0</v>
      </c>
      <c r="AQ304" s="486">
        <v>0</v>
      </c>
      <c r="AR304" s="486">
        <v>0</v>
      </c>
      <c r="AS304" s="486">
        <v>0</v>
      </c>
      <c r="AT304" s="486">
        <v>0</v>
      </c>
      <c r="AU304" s="486">
        <v>0</v>
      </c>
      <c r="AV304" s="487">
        <v>369760000</v>
      </c>
      <c r="AW304" s="486">
        <v>0</v>
      </c>
      <c r="AX304" s="486">
        <v>0</v>
      </c>
      <c r="AY304" s="486">
        <v>236698500</v>
      </c>
      <c r="AZ304" s="488">
        <v>236698500</v>
      </c>
      <c r="BA304" s="490">
        <v>606458500</v>
      </c>
      <c r="BB304" s="486">
        <v>388550400</v>
      </c>
      <c r="BC304" s="486">
        <v>0</v>
      </c>
      <c r="BD304" s="486">
        <v>0</v>
      </c>
      <c r="BE304" s="486">
        <v>0</v>
      </c>
      <c r="BF304" s="486">
        <v>0</v>
      </c>
      <c r="BG304" s="486">
        <v>0</v>
      </c>
      <c r="BH304" s="486">
        <v>0</v>
      </c>
      <c r="BI304" s="486">
        <v>0</v>
      </c>
      <c r="BJ304" s="487">
        <v>388550400</v>
      </c>
      <c r="BK304" s="486">
        <v>0</v>
      </c>
      <c r="BL304" s="486">
        <v>0</v>
      </c>
      <c r="BM304" s="486">
        <v>237908100</v>
      </c>
      <c r="BN304" s="488">
        <v>237908100</v>
      </c>
      <c r="BO304" s="490">
        <v>626458500</v>
      </c>
      <c r="BP304" s="486">
        <v>407892416</v>
      </c>
      <c r="BQ304" s="486">
        <v>0</v>
      </c>
      <c r="BR304" s="486">
        <v>0</v>
      </c>
      <c r="BS304" s="486">
        <v>0</v>
      </c>
      <c r="BT304" s="486">
        <v>0</v>
      </c>
      <c r="BU304" s="486">
        <v>0</v>
      </c>
      <c r="BV304" s="486">
        <v>0</v>
      </c>
      <c r="BW304" s="486">
        <v>0</v>
      </c>
      <c r="BX304" s="487">
        <v>407892416</v>
      </c>
      <c r="BY304" s="486">
        <v>0</v>
      </c>
      <c r="BZ304" s="486">
        <v>0</v>
      </c>
      <c r="CA304" s="486">
        <v>238566084</v>
      </c>
      <c r="CB304" s="488">
        <v>238566084</v>
      </c>
      <c r="CC304" s="491">
        <v>646458500</v>
      </c>
      <c r="CD304" s="492">
        <v>2308457000</v>
      </c>
      <c r="CE304" s="493">
        <f t="shared" si="21"/>
        <v>1517702816</v>
      </c>
      <c r="CF304" s="493">
        <f t="shared" si="21"/>
        <v>0</v>
      </c>
      <c r="CG304" s="493">
        <f t="shared" si="21"/>
        <v>0</v>
      </c>
      <c r="CH304" s="493">
        <f t="shared" si="20"/>
        <v>0</v>
      </c>
      <c r="CI304" s="493">
        <f t="shared" si="20"/>
        <v>0</v>
      </c>
      <c r="CJ304" s="493">
        <f t="shared" si="20"/>
        <v>0</v>
      </c>
      <c r="CK304" s="493">
        <f t="shared" si="20"/>
        <v>0</v>
      </c>
      <c r="CL304" s="493">
        <f t="shared" si="20"/>
        <v>0</v>
      </c>
      <c r="CM304" s="493">
        <f t="shared" si="19"/>
        <v>0</v>
      </c>
      <c r="CN304" s="493">
        <f t="shared" si="19"/>
        <v>0</v>
      </c>
      <c r="CO304" s="493">
        <f t="shared" si="19"/>
        <v>790754184</v>
      </c>
    </row>
    <row r="305" spans="1:93" ht="30.45" hidden="1" customHeight="1">
      <c r="A305" s="555" t="s">
        <v>4596</v>
      </c>
      <c r="B305" s="479">
        <v>303</v>
      </c>
      <c r="C305" s="480" t="s">
        <v>6369</v>
      </c>
      <c r="D305" s="480" t="s">
        <v>4620</v>
      </c>
      <c r="E305" s="480" t="str">
        <f t="shared" si="18"/>
        <v xml:space="preserve">3.1.1 </v>
      </c>
      <c r="F305" s="480" t="s">
        <v>4621</v>
      </c>
      <c r="G305" s="480" t="s">
        <v>4622</v>
      </c>
      <c r="H305" s="481">
        <v>17</v>
      </c>
      <c r="I305" s="480" t="s">
        <v>4342</v>
      </c>
      <c r="J305" s="495">
        <v>170200701</v>
      </c>
      <c r="K305" s="480" t="s">
        <v>4303</v>
      </c>
      <c r="L305" s="480" t="s">
        <v>4623</v>
      </c>
      <c r="M305" s="480" t="s">
        <v>5906</v>
      </c>
      <c r="N305" s="499">
        <v>1</v>
      </c>
      <c r="O305" s="480" t="s">
        <v>4595</v>
      </c>
      <c r="P305" s="515">
        <v>3</v>
      </c>
      <c r="Q305" s="485" t="s">
        <v>5349</v>
      </c>
      <c r="R305" s="485" t="s">
        <v>5499</v>
      </c>
      <c r="S305" s="485" t="s">
        <v>5500</v>
      </c>
      <c r="T305" s="485">
        <v>2</v>
      </c>
      <c r="U305" s="485" t="s">
        <v>5490</v>
      </c>
      <c r="V305" s="485">
        <v>6</v>
      </c>
      <c r="W305" s="485" t="s">
        <v>5498</v>
      </c>
      <c r="X305" s="485">
        <v>16</v>
      </c>
      <c r="Y305" s="485" t="s">
        <v>5370</v>
      </c>
      <c r="Z305" s="486">
        <v>0</v>
      </c>
      <c r="AA305" s="486">
        <v>0</v>
      </c>
      <c r="AB305" s="486">
        <v>0</v>
      </c>
      <c r="AC305" s="486">
        <v>0</v>
      </c>
      <c r="AD305" s="486">
        <v>0</v>
      </c>
      <c r="AE305" s="486">
        <v>12500000</v>
      </c>
      <c r="AF305" s="486">
        <v>0</v>
      </c>
      <c r="AG305" s="486">
        <v>0</v>
      </c>
      <c r="AH305" s="487">
        <v>12500000</v>
      </c>
      <c r="AI305" s="486">
        <v>0</v>
      </c>
      <c r="AJ305" s="486">
        <v>0</v>
      </c>
      <c r="AK305" s="486">
        <v>0</v>
      </c>
      <c r="AL305" s="488">
        <v>0</v>
      </c>
      <c r="AM305" s="489">
        <v>12500000</v>
      </c>
      <c r="AN305" s="486">
        <v>0</v>
      </c>
      <c r="AO305" s="486">
        <v>0</v>
      </c>
      <c r="AP305" s="486">
        <v>0</v>
      </c>
      <c r="AQ305" s="486">
        <v>0</v>
      </c>
      <c r="AR305" s="486">
        <v>0</v>
      </c>
      <c r="AS305" s="486">
        <v>12500000</v>
      </c>
      <c r="AT305" s="486">
        <v>0</v>
      </c>
      <c r="AU305" s="486">
        <v>0</v>
      </c>
      <c r="AV305" s="487">
        <v>12500000</v>
      </c>
      <c r="AW305" s="486">
        <v>0</v>
      </c>
      <c r="AX305" s="486">
        <v>0</v>
      </c>
      <c r="AY305" s="486">
        <v>0</v>
      </c>
      <c r="AZ305" s="488">
        <v>0</v>
      </c>
      <c r="BA305" s="490">
        <v>12500000</v>
      </c>
      <c r="BB305" s="486">
        <v>0</v>
      </c>
      <c r="BC305" s="486">
        <v>0</v>
      </c>
      <c r="BD305" s="486">
        <v>0</v>
      </c>
      <c r="BE305" s="486">
        <v>0</v>
      </c>
      <c r="BF305" s="486">
        <v>0</v>
      </c>
      <c r="BG305" s="486">
        <v>12500000</v>
      </c>
      <c r="BH305" s="486">
        <v>0</v>
      </c>
      <c r="BI305" s="486">
        <v>0</v>
      </c>
      <c r="BJ305" s="487">
        <v>12500000</v>
      </c>
      <c r="BK305" s="486">
        <v>0</v>
      </c>
      <c r="BL305" s="486">
        <v>0</v>
      </c>
      <c r="BM305" s="486">
        <v>0</v>
      </c>
      <c r="BN305" s="488">
        <v>0</v>
      </c>
      <c r="BO305" s="490">
        <v>12500000</v>
      </c>
      <c r="BP305" s="486">
        <v>0</v>
      </c>
      <c r="BQ305" s="486">
        <v>0</v>
      </c>
      <c r="BR305" s="486">
        <v>0</v>
      </c>
      <c r="BS305" s="486">
        <v>0</v>
      </c>
      <c r="BT305" s="486">
        <v>0</v>
      </c>
      <c r="BU305" s="486">
        <v>12500000</v>
      </c>
      <c r="BV305" s="486">
        <v>0</v>
      </c>
      <c r="BW305" s="486">
        <v>0</v>
      </c>
      <c r="BX305" s="487">
        <v>12500000</v>
      </c>
      <c r="BY305" s="486">
        <v>0</v>
      </c>
      <c r="BZ305" s="486">
        <v>0</v>
      </c>
      <c r="CA305" s="486">
        <v>0</v>
      </c>
      <c r="CB305" s="488">
        <v>0</v>
      </c>
      <c r="CC305" s="491">
        <v>12500000</v>
      </c>
      <c r="CD305" s="492">
        <v>50000000</v>
      </c>
      <c r="CE305" s="493">
        <f t="shared" si="21"/>
        <v>0</v>
      </c>
      <c r="CF305" s="493">
        <f t="shared" si="21"/>
        <v>0</v>
      </c>
      <c r="CG305" s="493">
        <f t="shared" si="21"/>
        <v>0</v>
      </c>
      <c r="CH305" s="493">
        <f t="shared" si="20"/>
        <v>0</v>
      </c>
      <c r="CI305" s="493">
        <f t="shared" si="20"/>
        <v>0</v>
      </c>
      <c r="CJ305" s="493">
        <f t="shared" si="20"/>
        <v>50000000</v>
      </c>
      <c r="CK305" s="493">
        <f t="shared" si="20"/>
        <v>0</v>
      </c>
      <c r="CL305" s="493">
        <f t="shared" si="20"/>
        <v>0</v>
      </c>
      <c r="CM305" s="493">
        <f t="shared" si="19"/>
        <v>0</v>
      </c>
      <c r="CN305" s="493">
        <f t="shared" si="19"/>
        <v>0</v>
      </c>
      <c r="CO305" s="493">
        <f t="shared" si="19"/>
        <v>0</v>
      </c>
    </row>
    <row r="306" spans="1:93" ht="30.45" hidden="1" customHeight="1">
      <c r="A306" s="555" t="s">
        <v>4596</v>
      </c>
      <c r="B306" s="479">
        <v>304</v>
      </c>
      <c r="C306" s="480" t="s">
        <v>6369</v>
      </c>
      <c r="D306" s="480" t="s">
        <v>4620</v>
      </c>
      <c r="E306" s="480" t="str">
        <f t="shared" si="18"/>
        <v xml:space="preserve">3.1.1 </v>
      </c>
      <c r="F306" s="480" t="s">
        <v>4621</v>
      </c>
      <c r="G306" s="480" t="s">
        <v>4622</v>
      </c>
      <c r="H306" s="481">
        <v>17</v>
      </c>
      <c r="I306" s="480" t="s">
        <v>4342</v>
      </c>
      <c r="J306" s="495">
        <v>170202100</v>
      </c>
      <c r="K306" s="480" t="s">
        <v>4278</v>
      </c>
      <c r="L306" s="480" t="s">
        <v>4624</v>
      </c>
      <c r="M306" s="480" t="s">
        <v>5907</v>
      </c>
      <c r="N306" s="499">
        <v>1</v>
      </c>
      <c r="O306" s="480" t="s">
        <v>4595</v>
      </c>
      <c r="P306" s="515">
        <v>3</v>
      </c>
      <c r="Q306" s="485" t="s">
        <v>5349</v>
      </c>
      <c r="R306" s="485" t="s">
        <v>5499</v>
      </c>
      <c r="S306" s="485" t="s">
        <v>5500</v>
      </c>
      <c r="T306" s="485">
        <v>2</v>
      </c>
      <c r="U306" s="485" t="s">
        <v>5490</v>
      </c>
      <c r="V306" s="485">
        <v>6</v>
      </c>
      <c r="W306" s="485" t="s">
        <v>5498</v>
      </c>
      <c r="X306" s="485">
        <v>16</v>
      </c>
      <c r="Y306" s="485" t="s">
        <v>5370</v>
      </c>
      <c r="Z306" s="486">
        <v>0</v>
      </c>
      <c r="AA306" s="486">
        <v>0</v>
      </c>
      <c r="AB306" s="486">
        <v>0</v>
      </c>
      <c r="AC306" s="486">
        <v>0</v>
      </c>
      <c r="AD306" s="486">
        <v>0</v>
      </c>
      <c r="AE306" s="486">
        <v>25000000</v>
      </c>
      <c r="AF306" s="486">
        <v>0</v>
      </c>
      <c r="AG306" s="486">
        <v>0</v>
      </c>
      <c r="AH306" s="487">
        <v>25000000</v>
      </c>
      <c r="AI306" s="486">
        <v>0</v>
      </c>
      <c r="AJ306" s="486">
        <v>0</v>
      </c>
      <c r="AK306" s="486">
        <v>0</v>
      </c>
      <c r="AL306" s="488">
        <v>0</v>
      </c>
      <c r="AM306" s="489">
        <v>25000000</v>
      </c>
      <c r="AN306" s="486">
        <v>0</v>
      </c>
      <c r="AO306" s="486">
        <v>0</v>
      </c>
      <c r="AP306" s="486">
        <v>0</v>
      </c>
      <c r="AQ306" s="486">
        <v>0</v>
      </c>
      <c r="AR306" s="486">
        <v>0</v>
      </c>
      <c r="AS306" s="486">
        <v>25000000</v>
      </c>
      <c r="AT306" s="486">
        <v>0</v>
      </c>
      <c r="AU306" s="486">
        <v>0</v>
      </c>
      <c r="AV306" s="487">
        <v>25000000</v>
      </c>
      <c r="AW306" s="486">
        <v>0</v>
      </c>
      <c r="AX306" s="486">
        <v>0</v>
      </c>
      <c r="AY306" s="486">
        <v>0</v>
      </c>
      <c r="AZ306" s="488">
        <v>0</v>
      </c>
      <c r="BA306" s="490">
        <v>25000000</v>
      </c>
      <c r="BB306" s="486">
        <v>0</v>
      </c>
      <c r="BC306" s="486">
        <v>0</v>
      </c>
      <c r="BD306" s="486">
        <v>0</v>
      </c>
      <c r="BE306" s="486">
        <v>0</v>
      </c>
      <c r="BF306" s="486">
        <v>0</v>
      </c>
      <c r="BG306" s="486">
        <v>25000000</v>
      </c>
      <c r="BH306" s="486">
        <v>0</v>
      </c>
      <c r="BI306" s="486">
        <v>0</v>
      </c>
      <c r="BJ306" s="487">
        <v>25000000</v>
      </c>
      <c r="BK306" s="486">
        <v>0</v>
      </c>
      <c r="BL306" s="486">
        <v>0</v>
      </c>
      <c r="BM306" s="486">
        <v>0</v>
      </c>
      <c r="BN306" s="488">
        <v>0</v>
      </c>
      <c r="BO306" s="490">
        <v>25000000</v>
      </c>
      <c r="BP306" s="486">
        <v>0</v>
      </c>
      <c r="BQ306" s="486">
        <v>0</v>
      </c>
      <c r="BR306" s="486">
        <v>0</v>
      </c>
      <c r="BS306" s="486">
        <v>0</v>
      </c>
      <c r="BT306" s="486">
        <v>0</v>
      </c>
      <c r="BU306" s="486">
        <v>25000000</v>
      </c>
      <c r="BV306" s="486">
        <v>0</v>
      </c>
      <c r="BW306" s="486">
        <v>0</v>
      </c>
      <c r="BX306" s="487">
        <v>25000000</v>
      </c>
      <c r="BY306" s="486">
        <v>0</v>
      </c>
      <c r="BZ306" s="486">
        <v>0</v>
      </c>
      <c r="CA306" s="486">
        <v>0</v>
      </c>
      <c r="CB306" s="488">
        <v>0</v>
      </c>
      <c r="CC306" s="491">
        <v>25000000</v>
      </c>
      <c r="CD306" s="492">
        <v>100000000</v>
      </c>
      <c r="CE306" s="493">
        <f t="shared" si="21"/>
        <v>0</v>
      </c>
      <c r="CF306" s="493">
        <f t="shared" si="21"/>
        <v>0</v>
      </c>
      <c r="CG306" s="493">
        <f t="shared" si="21"/>
        <v>0</v>
      </c>
      <c r="CH306" s="493">
        <f t="shared" si="20"/>
        <v>0</v>
      </c>
      <c r="CI306" s="493">
        <f t="shared" si="20"/>
        <v>0</v>
      </c>
      <c r="CJ306" s="493">
        <f t="shared" si="20"/>
        <v>100000000</v>
      </c>
      <c r="CK306" s="493">
        <f t="shared" si="20"/>
        <v>0</v>
      </c>
      <c r="CL306" s="493">
        <f t="shared" si="20"/>
        <v>0</v>
      </c>
      <c r="CM306" s="493">
        <f t="shared" si="19"/>
        <v>0</v>
      </c>
      <c r="CN306" s="493">
        <f t="shared" si="19"/>
        <v>0</v>
      </c>
      <c r="CO306" s="493">
        <f t="shared" si="19"/>
        <v>0</v>
      </c>
    </row>
    <row r="307" spans="1:93" ht="30.45" hidden="1" customHeight="1">
      <c r="A307" s="555" t="s">
        <v>4630</v>
      </c>
      <c r="B307" s="479">
        <v>305</v>
      </c>
      <c r="C307" s="480" t="s">
        <v>6369</v>
      </c>
      <c r="D307" s="480" t="s">
        <v>4620</v>
      </c>
      <c r="E307" s="480" t="str">
        <f t="shared" si="18"/>
        <v>3.1.2 </v>
      </c>
      <c r="F307" s="480" t="s">
        <v>4625</v>
      </c>
      <c r="G307" s="480" t="s">
        <v>4626</v>
      </c>
      <c r="H307" s="481">
        <v>45</v>
      </c>
      <c r="I307" s="480" t="s">
        <v>4627</v>
      </c>
      <c r="J307" s="495">
        <v>450300300</v>
      </c>
      <c r="K307" s="480" t="s">
        <v>4628</v>
      </c>
      <c r="L307" s="480" t="s">
        <v>4628</v>
      </c>
      <c r="M307" s="480" t="s">
        <v>5908</v>
      </c>
      <c r="N307" s="499">
        <v>123</v>
      </c>
      <c r="O307" s="480" t="s">
        <v>4629</v>
      </c>
      <c r="P307" s="515">
        <v>123</v>
      </c>
      <c r="Q307" s="485">
        <v>110070006</v>
      </c>
      <c r="R307" s="485" t="s">
        <v>5501</v>
      </c>
      <c r="S307" s="485" t="s">
        <v>5502</v>
      </c>
      <c r="T307" s="485">
        <v>3000000000</v>
      </c>
      <c r="U307" s="485" t="s">
        <v>4629</v>
      </c>
      <c r="V307" s="485">
        <v>9330000000</v>
      </c>
      <c r="W307" s="485" t="s">
        <v>5328</v>
      </c>
      <c r="X307" s="485">
        <v>13</v>
      </c>
      <c r="Y307" s="485" t="s">
        <v>902</v>
      </c>
      <c r="Z307" s="486">
        <v>1152500000</v>
      </c>
      <c r="AA307" s="486">
        <v>0</v>
      </c>
      <c r="AB307" s="486">
        <v>0</v>
      </c>
      <c r="AC307" s="486">
        <v>0</v>
      </c>
      <c r="AD307" s="486">
        <v>0</v>
      </c>
      <c r="AE307" s="486">
        <v>0</v>
      </c>
      <c r="AF307" s="486">
        <v>0</v>
      </c>
      <c r="AG307" s="486">
        <v>0</v>
      </c>
      <c r="AH307" s="487">
        <v>1152500000</v>
      </c>
      <c r="AI307" s="486">
        <v>0</v>
      </c>
      <c r="AJ307" s="486">
        <v>0</v>
      </c>
      <c r="AK307" s="486">
        <v>0</v>
      </c>
      <c r="AL307" s="488">
        <v>0</v>
      </c>
      <c r="AM307" s="489">
        <v>1152500000</v>
      </c>
      <c r="AN307" s="486">
        <v>1200000000</v>
      </c>
      <c r="AO307" s="486">
        <v>0</v>
      </c>
      <c r="AP307" s="486">
        <v>0</v>
      </c>
      <c r="AQ307" s="486">
        <v>0</v>
      </c>
      <c r="AR307" s="486">
        <v>0</v>
      </c>
      <c r="AS307" s="486">
        <v>0</v>
      </c>
      <c r="AT307" s="486">
        <v>0</v>
      </c>
      <c r="AU307" s="486">
        <v>0</v>
      </c>
      <c r="AV307" s="487">
        <v>1200000000</v>
      </c>
      <c r="AW307" s="486">
        <v>0</v>
      </c>
      <c r="AX307" s="486">
        <v>0</v>
      </c>
      <c r="AY307" s="486">
        <v>0</v>
      </c>
      <c r="AZ307" s="488">
        <v>0</v>
      </c>
      <c r="BA307" s="490">
        <v>1200000000</v>
      </c>
      <c r="BB307" s="486">
        <v>1250000000</v>
      </c>
      <c r="BC307" s="486">
        <v>0</v>
      </c>
      <c r="BD307" s="486">
        <v>0</v>
      </c>
      <c r="BE307" s="486">
        <v>0</v>
      </c>
      <c r="BF307" s="486">
        <v>0</v>
      </c>
      <c r="BG307" s="486">
        <v>0</v>
      </c>
      <c r="BH307" s="486">
        <v>0</v>
      </c>
      <c r="BI307" s="486">
        <v>0</v>
      </c>
      <c r="BJ307" s="487">
        <v>1250000000</v>
      </c>
      <c r="BK307" s="486">
        <v>0</v>
      </c>
      <c r="BL307" s="486">
        <v>0</v>
      </c>
      <c r="BM307" s="486">
        <v>0</v>
      </c>
      <c r="BN307" s="488">
        <v>0</v>
      </c>
      <c r="BO307" s="490">
        <v>1250000000</v>
      </c>
      <c r="BP307" s="486">
        <v>1300000000</v>
      </c>
      <c r="BQ307" s="486">
        <v>0</v>
      </c>
      <c r="BR307" s="486">
        <v>0</v>
      </c>
      <c r="BS307" s="486">
        <v>0</v>
      </c>
      <c r="BT307" s="486">
        <v>0</v>
      </c>
      <c r="BU307" s="486">
        <v>0</v>
      </c>
      <c r="BV307" s="486">
        <v>0</v>
      </c>
      <c r="BW307" s="486">
        <v>0</v>
      </c>
      <c r="BX307" s="487">
        <v>1300000000</v>
      </c>
      <c r="BY307" s="486">
        <v>0</v>
      </c>
      <c r="BZ307" s="486">
        <v>0</v>
      </c>
      <c r="CA307" s="486">
        <v>0</v>
      </c>
      <c r="CB307" s="488">
        <v>0</v>
      </c>
      <c r="CC307" s="491">
        <v>1300000000</v>
      </c>
      <c r="CD307" s="492">
        <v>4902500000</v>
      </c>
      <c r="CE307" s="493">
        <f t="shared" si="21"/>
        <v>4902500000</v>
      </c>
      <c r="CF307" s="493">
        <f t="shared" si="21"/>
        <v>0</v>
      </c>
      <c r="CG307" s="493">
        <f t="shared" si="21"/>
        <v>0</v>
      </c>
      <c r="CH307" s="493">
        <f t="shared" si="20"/>
        <v>0</v>
      </c>
      <c r="CI307" s="493">
        <f t="shared" si="20"/>
        <v>0</v>
      </c>
      <c r="CJ307" s="493">
        <f t="shared" si="20"/>
        <v>0</v>
      </c>
      <c r="CK307" s="493">
        <f t="shared" si="20"/>
        <v>0</v>
      </c>
      <c r="CL307" s="493">
        <f t="shared" si="20"/>
        <v>0</v>
      </c>
      <c r="CM307" s="493">
        <f t="shared" si="19"/>
        <v>0</v>
      </c>
      <c r="CN307" s="493">
        <f t="shared" si="19"/>
        <v>0</v>
      </c>
      <c r="CO307" s="493">
        <f t="shared" si="19"/>
        <v>0</v>
      </c>
    </row>
    <row r="308" spans="1:93" ht="30.45" hidden="1" customHeight="1">
      <c r="A308" s="555" t="s">
        <v>4630</v>
      </c>
      <c r="B308" s="479">
        <v>306</v>
      </c>
      <c r="C308" s="480" t="s">
        <v>6369</v>
      </c>
      <c r="D308" s="480" t="s">
        <v>4620</v>
      </c>
      <c r="E308" s="480" t="str">
        <f t="shared" si="18"/>
        <v>3.1.2 </v>
      </c>
      <c r="F308" s="480" t="s">
        <v>4625</v>
      </c>
      <c r="G308" s="480" t="s">
        <v>4626</v>
      </c>
      <c r="H308" s="481">
        <v>45</v>
      </c>
      <c r="I308" s="480" t="s">
        <v>4627</v>
      </c>
      <c r="J308" s="495">
        <v>450302300</v>
      </c>
      <c r="K308" s="480" t="s">
        <v>4631</v>
      </c>
      <c r="L308" s="480" t="s">
        <v>4190</v>
      </c>
      <c r="M308" s="480" t="s">
        <v>5909</v>
      </c>
      <c r="N308" s="499">
        <v>2</v>
      </c>
      <c r="O308" s="480" t="s">
        <v>4629</v>
      </c>
      <c r="P308" s="515">
        <v>14</v>
      </c>
      <c r="Q308" s="485">
        <v>110070006</v>
      </c>
      <c r="R308" s="485" t="s">
        <v>5501</v>
      </c>
      <c r="S308" s="485" t="s">
        <v>5502</v>
      </c>
      <c r="T308" s="485">
        <v>3000000000</v>
      </c>
      <c r="U308" s="485" t="s">
        <v>4629</v>
      </c>
      <c r="V308" s="485">
        <v>9330000000</v>
      </c>
      <c r="W308" s="485" t="s">
        <v>5328</v>
      </c>
      <c r="X308" s="485">
        <v>13</v>
      </c>
      <c r="Y308" s="485" t="s">
        <v>902</v>
      </c>
      <c r="Z308" s="486">
        <v>600000000</v>
      </c>
      <c r="AA308" s="486">
        <v>0</v>
      </c>
      <c r="AB308" s="486">
        <v>0</v>
      </c>
      <c r="AC308" s="486">
        <v>0</v>
      </c>
      <c r="AD308" s="486">
        <v>0</v>
      </c>
      <c r="AE308" s="486">
        <v>0</v>
      </c>
      <c r="AF308" s="486">
        <v>0</v>
      </c>
      <c r="AG308" s="486">
        <v>0</v>
      </c>
      <c r="AH308" s="487">
        <v>600000000</v>
      </c>
      <c r="AI308" s="486">
        <v>0</v>
      </c>
      <c r="AJ308" s="486">
        <v>0</v>
      </c>
      <c r="AK308" s="486">
        <v>0</v>
      </c>
      <c r="AL308" s="488">
        <v>0</v>
      </c>
      <c r="AM308" s="489">
        <v>600000000</v>
      </c>
      <c r="AN308" s="486"/>
      <c r="AO308" s="486">
        <v>0</v>
      </c>
      <c r="AP308" s="486">
        <v>0</v>
      </c>
      <c r="AQ308" s="486">
        <v>0</v>
      </c>
      <c r="AR308" s="486">
        <v>0</v>
      </c>
      <c r="AS308" s="486">
        <v>0</v>
      </c>
      <c r="AT308" s="486">
        <v>0</v>
      </c>
      <c r="AU308" s="486">
        <v>0</v>
      </c>
      <c r="AV308" s="487">
        <v>0</v>
      </c>
      <c r="AW308" s="486">
        <v>0</v>
      </c>
      <c r="AX308" s="486">
        <v>0</v>
      </c>
      <c r="AY308" s="486">
        <v>0</v>
      </c>
      <c r="AZ308" s="488">
        <v>0</v>
      </c>
      <c r="BA308" s="490">
        <v>0</v>
      </c>
      <c r="BB308" s="486"/>
      <c r="BC308" s="486">
        <v>0</v>
      </c>
      <c r="BD308" s="486">
        <v>0</v>
      </c>
      <c r="BE308" s="486">
        <v>0</v>
      </c>
      <c r="BF308" s="486">
        <v>0</v>
      </c>
      <c r="BG308" s="486">
        <v>0</v>
      </c>
      <c r="BH308" s="486">
        <v>0</v>
      </c>
      <c r="BI308" s="486">
        <v>0</v>
      </c>
      <c r="BJ308" s="487">
        <v>0</v>
      </c>
      <c r="BK308" s="486">
        <v>0</v>
      </c>
      <c r="BL308" s="486">
        <v>0</v>
      </c>
      <c r="BM308" s="486">
        <v>0</v>
      </c>
      <c r="BN308" s="488">
        <v>0</v>
      </c>
      <c r="BO308" s="490">
        <v>0</v>
      </c>
      <c r="BP308" s="486"/>
      <c r="BQ308" s="486">
        <v>0</v>
      </c>
      <c r="BR308" s="486">
        <v>0</v>
      </c>
      <c r="BS308" s="486">
        <v>0</v>
      </c>
      <c r="BT308" s="486">
        <v>0</v>
      </c>
      <c r="BU308" s="486">
        <v>0</v>
      </c>
      <c r="BV308" s="486">
        <v>0</v>
      </c>
      <c r="BW308" s="486">
        <v>0</v>
      </c>
      <c r="BX308" s="487">
        <v>0</v>
      </c>
      <c r="BY308" s="486">
        <v>0</v>
      </c>
      <c r="BZ308" s="486">
        <v>0</v>
      </c>
      <c r="CA308" s="486">
        <v>0</v>
      </c>
      <c r="CB308" s="488">
        <v>0</v>
      </c>
      <c r="CC308" s="491">
        <v>0</v>
      </c>
      <c r="CD308" s="492">
        <v>600000000</v>
      </c>
      <c r="CE308" s="493">
        <f t="shared" si="21"/>
        <v>600000000</v>
      </c>
      <c r="CF308" s="493">
        <f t="shared" si="21"/>
        <v>0</v>
      </c>
      <c r="CG308" s="493">
        <f t="shared" si="21"/>
        <v>0</v>
      </c>
      <c r="CH308" s="493">
        <f t="shared" si="20"/>
        <v>0</v>
      </c>
      <c r="CI308" s="493">
        <f t="shared" si="20"/>
        <v>0</v>
      </c>
      <c r="CJ308" s="493">
        <f t="shared" si="20"/>
        <v>0</v>
      </c>
      <c r="CK308" s="493">
        <f t="shared" si="20"/>
        <v>0</v>
      </c>
      <c r="CL308" s="493">
        <f t="shared" si="20"/>
        <v>0</v>
      </c>
      <c r="CM308" s="493">
        <f t="shared" si="19"/>
        <v>0</v>
      </c>
      <c r="CN308" s="493">
        <f t="shared" si="19"/>
        <v>0</v>
      </c>
      <c r="CO308" s="493">
        <f t="shared" si="19"/>
        <v>0</v>
      </c>
    </row>
    <row r="309" spans="1:93" ht="30.45" hidden="1" customHeight="1">
      <c r="A309" s="555" t="s">
        <v>4630</v>
      </c>
      <c r="B309" s="479">
        <v>307</v>
      </c>
      <c r="C309" s="480" t="s">
        <v>6369</v>
      </c>
      <c r="D309" s="480" t="s">
        <v>4620</v>
      </c>
      <c r="E309" s="480" t="str">
        <f t="shared" si="18"/>
        <v>3.1.2 </v>
      </c>
      <c r="F309" s="480" t="s">
        <v>4625</v>
      </c>
      <c r="G309" s="480" t="s">
        <v>4626</v>
      </c>
      <c r="H309" s="481">
        <v>45</v>
      </c>
      <c r="I309" s="480" t="s">
        <v>4627</v>
      </c>
      <c r="J309" s="495">
        <v>450300200</v>
      </c>
      <c r="K309" s="480" t="s">
        <v>4008</v>
      </c>
      <c r="L309" s="480" t="s">
        <v>6527</v>
      </c>
      <c r="M309" s="480" t="s">
        <v>5910</v>
      </c>
      <c r="N309" s="499">
        <v>900</v>
      </c>
      <c r="O309" s="480" t="s">
        <v>4632</v>
      </c>
      <c r="P309" s="515">
        <v>2900</v>
      </c>
      <c r="Q309" s="485">
        <v>110070006</v>
      </c>
      <c r="R309" s="485" t="s">
        <v>5501</v>
      </c>
      <c r="S309" s="485" t="s">
        <v>5502</v>
      </c>
      <c r="T309" s="485">
        <v>3000000000</v>
      </c>
      <c r="U309" s="485" t="s">
        <v>4629</v>
      </c>
      <c r="V309" s="485">
        <v>9330000000</v>
      </c>
      <c r="W309" s="485" t="s">
        <v>5328</v>
      </c>
      <c r="X309" s="485">
        <v>13</v>
      </c>
      <c r="Y309" s="485" t="s">
        <v>902</v>
      </c>
      <c r="Z309" s="486">
        <v>50000000</v>
      </c>
      <c r="AA309" s="486">
        <v>0</v>
      </c>
      <c r="AB309" s="486">
        <v>0</v>
      </c>
      <c r="AC309" s="486">
        <v>0</v>
      </c>
      <c r="AD309" s="486">
        <v>0</v>
      </c>
      <c r="AE309" s="486">
        <v>0</v>
      </c>
      <c r="AF309" s="486">
        <v>0</v>
      </c>
      <c r="AG309" s="486">
        <v>0</v>
      </c>
      <c r="AH309" s="487">
        <v>50000000</v>
      </c>
      <c r="AI309" s="486">
        <v>0</v>
      </c>
      <c r="AJ309" s="486">
        <v>0</v>
      </c>
      <c r="AK309" s="486">
        <v>0</v>
      </c>
      <c r="AL309" s="488">
        <v>0</v>
      </c>
      <c r="AM309" s="489">
        <v>50000000</v>
      </c>
      <c r="AN309" s="486">
        <v>25000000</v>
      </c>
      <c r="AO309" s="486">
        <v>0</v>
      </c>
      <c r="AP309" s="486">
        <v>0</v>
      </c>
      <c r="AQ309" s="486">
        <v>0</v>
      </c>
      <c r="AR309" s="486">
        <v>0</v>
      </c>
      <c r="AS309" s="486">
        <v>0</v>
      </c>
      <c r="AT309" s="486">
        <v>0</v>
      </c>
      <c r="AU309" s="486">
        <v>0</v>
      </c>
      <c r="AV309" s="487">
        <v>25000000</v>
      </c>
      <c r="AW309" s="486">
        <v>0</v>
      </c>
      <c r="AX309" s="486">
        <v>0</v>
      </c>
      <c r="AY309" s="486">
        <v>0</v>
      </c>
      <c r="AZ309" s="488">
        <v>0</v>
      </c>
      <c r="BA309" s="490">
        <v>25000000</v>
      </c>
      <c r="BB309" s="486">
        <v>15000000</v>
      </c>
      <c r="BC309" s="486">
        <v>0</v>
      </c>
      <c r="BD309" s="486">
        <v>0</v>
      </c>
      <c r="BE309" s="486">
        <v>0</v>
      </c>
      <c r="BF309" s="486">
        <v>0</v>
      </c>
      <c r="BG309" s="486">
        <v>0</v>
      </c>
      <c r="BH309" s="486">
        <v>0</v>
      </c>
      <c r="BI309" s="486">
        <v>0</v>
      </c>
      <c r="BJ309" s="487">
        <v>15000000</v>
      </c>
      <c r="BK309" s="486">
        <v>0</v>
      </c>
      <c r="BL309" s="486">
        <v>0</v>
      </c>
      <c r="BM309" s="486">
        <v>0</v>
      </c>
      <c r="BN309" s="488">
        <v>0</v>
      </c>
      <c r="BO309" s="490">
        <v>15000000</v>
      </c>
      <c r="BP309" s="486">
        <v>15000000</v>
      </c>
      <c r="BQ309" s="486">
        <v>0</v>
      </c>
      <c r="BR309" s="486">
        <v>0</v>
      </c>
      <c r="BS309" s="486">
        <v>0</v>
      </c>
      <c r="BT309" s="486">
        <v>0</v>
      </c>
      <c r="BU309" s="486">
        <v>0</v>
      </c>
      <c r="BV309" s="486">
        <v>0</v>
      </c>
      <c r="BW309" s="486">
        <v>0</v>
      </c>
      <c r="BX309" s="487">
        <v>15000000</v>
      </c>
      <c r="BY309" s="486">
        <v>0</v>
      </c>
      <c r="BZ309" s="486">
        <v>0</v>
      </c>
      <c r="CA309" s="486">
        <v>0</v>
      </c>
      <c r="CB309" s="488">
        <v>0</v>
      </c>
      <c r="CC309" s="491">
        <v>15000000</v>
      </c>
      <c r="CD309" s="492">
        <v>105000000</v>
      </c>
      <c r="CE309" s="493">
        <f t="shared" si="21"/>
        <v>105000000</v>
      </c>
      <c r="CF309" s="493">
        <f t="shared" si="21"/>
        <v>0</v>
      </c>
      <c r="CG309" s="493">
        <f t="shared" si="21"/>
        <v>0</v>
      </c>
      <c r="CH309" s="493">
        <f t="shared" si="20"/>
        <v>0</v>
      </c>
      <c r="CI309" s="493">
        <f t="shared" si="20"/>
        <v>0</v>
      </c>
      <c r="CJ309" s="493">
        <f t="shared" si="20"/>
        <v>0</v>
      </c>
      <c r="CK309" s="493">
        <f t="shared" si="20"/>
        <v>0</v>
      </c>
      <c r="CL309" s="493">
        <f t="shared" si="20"/>
        <v>0</v>
      </c>
      <c r="CM309" s="493">
        <f t="shared" si="19"/>
        <v>0</v>
      </c>
      <c r="CN309" s="493">
        <f t="shared" si="19"/>
        <v>0</v>
      </c>
      <c r="CO309" s="493">
        <f t="shared" si="19"/>
        <v>0</v>
      </c>
    </row>
    <row r="310" spans="1:93" ht="30.45" hidden="1" customHeight="1">
      <c r="A310" s="555" t="s">
        <v>4630</v>
      </c>
      <c r="B310" s="479">
        <v>308</v>
      </c>
      <c r="C310" s="480" t="s">
        <v>6369</v>
      </c>
      <c r="D310" s="480" t="s">
        <v>4620</v>
      </c>
      <c r="E310" s="480" t="str">
        <f t="shared" si="18"/>
        <v>3.1.2 </v>
      </c>
      <c r="F310" s="480" t="s">
        <v>4625</v>
      </c>
      <c r="G310" s="480" t="s">
        <v>4626</v>
      </c>
      <c r="H310" s="481">
        <v>45</v>
      </c>
      <c r="I310" s="480" t="s">
        <v>4627</v>
      </c>
      <c r="J310" s="495">
        <v>450303100</v>
      </c>
      <c r="K310" s="480" t="s">
        <v>4063</v>
      </c>
      <c r="L310" s="480" t="s">
        <v>4112</v>
      </c>
      <c r="M310" s="480" t="s">
        <v>5911</v>
      </c>
      <c r="N310" s="499">
        <v>15</v>
      </c>
      <c r="O310" s="480" t="s">
        <v>4629</v>
      </c>
      <c r="P310" s="515">
        <v>35</v>
      </c>
      <c r="Q310" s="485">
        <v>110070006</v>
      </c>
      <c r="R310" s="485" t="s">
        <v>5501</v>
      </c>
      <c r="S310" s="485" t="s">
        <v>5502</v>
      </c>
      <c r="T310" s="485">
        <v>3000000000</v>
      </c>
      <c r="U310" s="485" t="s">
        <v>4629</v>
      </c>
      <c r="V310" s="485">
        <v>9330000000</v>
      </c>
      <c r="W310" s="485" t="s">
        <v>5328</v>
      </c>
      <c r="X310" s="485">
        <v>13</v>
      </c>
      <c r="Y310" s="485" t="s">
        <v>902</v>
      </c>
      <c r="Z310" s="486">
        <v>50000000</v>
      </c>
      <c r="AA310" s="486">
        <v>0</v>
      </c>
      <c r="AB310" s="486">
        <v>0</v>
      </c>
      <c r="AC310" s="486">
        <v>0</v>
      </c>
      <c r="AD310" s="486">
        <v>0</v>
      </c>
      <c r="AE310" s="486">
        <v>0</v>
      </c>
      <c r="AF310" s="486">
        <v>0</v>
      </c>
      <c r="AG310" s="486">
        <v>0</v>
      </c>
      <c r="AH310" s="487">
        <v>50000000</v>
      </c>
      <c r="AI310" s="486">
        <v>0</v>
      </c>
      <c r="AJ310" s="486">
        <v>0</v>
      </c>
      <c r="AK310" s="486">
        <v>0</v>
      </c>
      <c r="AL310" s="488">
        <v>0</v>
      </c>
      <c r="AM310" s="489">
        <v>50000000</v>
      </c>
      <c r="AN310" s="486">
        <v>20000000</v>
      </c>
      <c r="AO310" s="486">
        <v>0</v>
      </c>
      <c r="AP310" s="486">
        <v>0</v>
      </c>
      <c r="AQ310" s="486">
        <v>0</v>
      </c>
      <c r="AR310" s="486">
        <v>0</v>
      </c>
      <c r="AS310" s="486">
        <v>0</v>
      </c>
      <c r="AT310" s="486">
        <v>0</v>
      </c>
      <c r="AU310" s="486">
        <v>0</v>
      </c>
      <c r="AV310" s="487">
        <v>20000000</v>
      </c>
      <c r="AW310" s="486">
        <v>0</v>
      </c>
      <c r="AX310" s="486">
        <v>0</v>
      </c>
      <c r="AY310" s="486">
        <v>0</v>
      </c>
      <c r="AZ310" s="488">
        <v>0</v>
      </c>
      <c r="BA310" s="490">
        <v>20000000</v>
      </c>
      <c r="BB310" s="486">
        <v>20000000</v>
      </c>
      <c r="BC310" s="486">
        <v>0</v>
      </c>
      <c r="BD310" s="486">
        <v>0</v>
      </c>
      <c r="BE310" s="486">
        <v>0</v>
      </c>
      <c r="BF310" s="486">
        <v>0</v>
      </c>
      <c r="BG310" s="486">
        <v>0</v>
      </c>
      <c r="BH310" s="486">
        <v>0</v>
      </c>
      <c r="BI310" s="486">
        <v>0</v>
      </c>
      <c r="BJ310" s="487">
        <v>20000000</v>
      </c>
      <c r="BK310" s="486">
        <v>0</v>
      </c>
      <c r="BL310" s="486">
        <v>0</v>
      </c>
      <c r="BM310" s="486">
        <v>0</v>
      </c>
      <c r="BN310" s="488">
        <v>0</v>
      </c>
      <c r="BO310" s="490">
        <v>20000000</v>
      </c>
      <c r="BP310" s="486">
        <v>10000000</v>
      </c>
      <c r="BQ310" s="486">
        <v>0</v>
      </c>
      <c r="BR310" s="486">
        <v>0</v>
      </c>
      <c r="BS310" s="486">
        <v>0</v>
      </c>
      <c r="BT310" s="486">
        <v>0</v>
      </c>
      <c r="BU310" s="486">
        <v>0</v>
      </c>
      <c r="BV310" s="486">
        <v>0</v>
      </c>
      <c r="BW310" s="486">
        <v>0</v>
      </c>
      <c r="BX310" s="487">
        <v>10000000</v>
      </c>
      <c r="BY310" s="486">
        <v>0</v>
      </c>
      <c r="BZ310" s="486">
        <v>0</v>
      </c>
      <c r="CA310" s="486">
        <v>0</v>
      </c>
      <c r="CB310" s="488">
        <v>0</v>
      </c>
      <c r="CC310" s="491">
        <v>10000000</v>
      </c>
      <c r="CD310" s="492">
        <v>100000000</v>
      </c>
      <c r="CE310" s="493">
        <f t="shared" si="21"/>
        <v>100000000</v>
      </c>
      <c r="CF310" s="493">
        <f t="shared" si="21"/>
        <v>0</v>
      </c>
      <c r="CG310" s="493">
        <f t="shared" si="21"/>
        <v>0</v>
      </c>
      <c r="CH310" s="493">
        <f t="shared" si="20"/>
        <v>0</v>
      </c>
      <c r="CI310" s="493">
        <f t="shared" si="20"/>
        <v>0</v>
      </c>
      <c r="CJ310" s="493">
        <f t="shared" si="20"/>
        <v>0</v>
      </c>
      <c r="CK310" s="493">
        <f t="shared" si="20"/>
        <v>0</v>
      </c>
      <c r="CL310" s="493">
        <f t="shared" si="20"/>
        <v>0</v>
      </c>
      <c r="CM310" s="493">
        <f t="shared" si="19"/>
        <v>0</v>
      </c>
      <c r="CN310" s="493">
        <f t="shared" si="19"/>
        <v>0</v>
      </c>
      <c r="CO310" s="493">
        <f t="shared" si="19"/>
        <v>0</v>
      </c>
    </row>
    <row r="311" spans="1:93" ht="30.45" hidden="1" customHeight="1">
      <c r="A311" s="555" t="s">
        <v>4630</v>
      </c>
      <c r="B311" s="479">
        <v>309</v>
      </c>
      <c r="C311" s="480" t="s">
        <v>6369</v>
      </c>
      <c r="D311" s="480" t="s">
        <v>4620</v>
      </c>
      <c r="E311" s="480" t="str">
        <f t="shared" si="18"/>
        <v>3.1.2 </v>
      </c>
      <c r="F311" s="480" t="s">
        <v>4625</v>
      </c>
      <c r="G311" s="480" t="s">
        <v>4626</v>
      </c>
      <c r="H311" s="481">
        <v>45</v>
      </c>
      <c r="I311" s="480" t="s">
        <v>4627</v>
      </c>
      <c r="J311" s="495">
        <v>450303200</v>
      </c>
      <c r="K311" s="480" t="s">
        <v>4181</v>
      </c>
      <c r="L311" s="480" t="s">
        <v>4197</v>
      </c>
      <c r="M311" s="480" t="s">
        <v>5912</v>
      </c>
      <c r="N311" s="499">
        <v>1</v>
      </c>
      <c r="O311" s="480" t="s">
        <v>4629</v>
      </c>
      <c r="P311" s="515">
        <v>1</v>
      </c>
      <c r="Q311" s="485">
        <v>110070006</v>
      </c>
      <c r="R311" s="485" t="s">
        <v>5501</v>
      </c>
      <c r="S311" s="485" t="s">
        <v>5502</v>
      </c>
      <c r="T311" s="485">
        <v>3000000000</v>
      </c>
      <c r="U311" s="485" t="s">
        <v>4629</v>
      </c>
      <c r="V311" s="485">
        <v>9330000000</v>
      </c>
      <c r="W311" s="485" t="s">
        <v>5328</v>
      </c>
      <c r="X311" s="485">
        <v>13</v>
      </c>
      <c r="Y311" s="485" t="s">
        <v>902</v>
      </c>
      <c r="Z311" s="486">
        <v>2500000</v>
      </c>
      <c r="AA311" s="486">
        <v>0</v>
      </c>
      <c r="AB311" s="486">
        <v>0</v>
      </c>
      <c r="AC311" s="486">
        <v>0</v>
      </c>
      <c r="AD311" s="486">
        <v>0</v>
      </c>
      <c r="AE311" s="486">
        <v>0</v>
      </c>
      <c r="AF311" s="486">
        <v>0</v>
      </c>
      <c r="AG311" s="486">
        <v>0</v>
      </c>
      <c r="AH311" s="487">
        <v>2500000</v>
      </c>
      <c r="AI311" s="486">
        <v>0</v>
      </c>
      <c r="AJ311" s="486">
        <v>0</v>
      </c>
      <c r="AK311" s="486">
        <v>0</v>
      </c>
      <c r="AL311" s="488">
        <v>0</v>
      </c>
      <c r="AM311" s="489">
        <v>2500000</v>
      </c>
      <c r="AN311" s="486">
        <v>2500000</v>
      </c>
      <c r="AO311" s="486">
        <v>0</v>
      </c>
      <c r="AP311" s="486">
        <v>0</v>
      </c>
      <c r="AQ311" s="486">
        <v>0</v>
      </c>
      <c r="AR311" s="486">
        <v>0</v>
      </c>
      <c r="AS311" s="486">
        <v>0</v>
      </c>
      <c r="AT311" s="486">
        <v>0</v>
      </c>
      <c r="AU311" s="486">
        <v>0</v>
      </c>
      <c r="AV311" s="487">
        <v>2500000</v>
      </c>
      <c r="AW311" s="486">
        <v>0</v>
      </c>
      <c r="AX311" s="486">
        <v>0</v>
      </c>
      <c r="AY311" s="486">
        <v>0</v>
      </c>
      <c r="AZ311" s="488">
        <v>0</v>
      </c>
      <c r="BA311" s="490">
        <v>2500000</v>
      </c>
      <c r="BB311" s="486">
        <v>2500000</v>
      </c>
      <c r="BC311" s="486">
        <v>0</v>
      </c>
      <c r="BD311" s="486">
        <v>0</v>
      </c>
      <c r="BE311" s="486">
        <v>0</v>
      </c>
      <c r="BF311" s="486">
        <v>0</v>
      </c>
      <c r="BG311" s="486">
        <v>0</v>
      </c>
      <c r="BH311" s="486">
        <v>0</v>
      </c>
      <c r="BI311" s="486">
        <v>0</v>
      </c>
      <c r="BJ311" s="487">
        <v>2500000</v>
      </c>
      <c r="BK311" s="486">
        <v>0</v>
      </c>
      <c r="BL311" s="486">
        <v>0</v>
      </c>
      <c r="BM311" s="486">
        <v>0</v>
      </c>
      <c r="BN311" s="488">
        <v>0</v>
      </c>
      <c r="BO311" s="490">
        <v>2500000</v>
      </c>
      <c r="BP311" s="486">
        <v>2500000</v>
      </c>
      <c r="BQ311" s="486">
        <v>0</v>
      </c>
      <c r="BR311" s="486">
        <v>0</v>
      </c>
      <c r="BS311" s="486">
        <v>0</v>
      </c>
      <c r="BT311" s="486">
        <v>0</v>
      </c>
      <c r="BU311" s="486">
        <v>0</v>
      </c>
      <c r="BV311" s="486">
        <v>0</v>
      </c>
      <c r="BW311" s="486">
        <v>0</v>
      </c>
      <c r="BX311" s="487">
        <v>2500000</v>
      </c>
      <c r="BY311" s="486">
        <v>0</v>
      </c>
      <c r="BZ311" s="486">
        <v>0</v>
      </c>
      <c r="CA311" s="486">
        <v>0</v>
      </c>
      <c r="CB311" s="488">
        <v>0</v>
      </c>
      <c r="CC311" s="491">
        <v>2500000</v>
      </c>
      <c r="CD311" s="492">
        <v>10000000</v>
      </c>
      <c r="CE311" s="493">
        <f t="shared" si="21"/>
        <v>10000000</v>
      </c>
      <c r="CF311" s="493">
        <f t="shared" si="21"/>
        <v>0</v>
      </c>
      <c r="CG311" s="493">
        <f t="shared" si="21"/>
        <v>0</v>
      </c>
      <c r="CH311" s="493">
        <f t="shared" si="20"/>
        <v>0</v>
      </c>
      <c r="CI311" s="493">
        <f t="shared" si="20"/>
        <v>0</v>
      </c>
      <c r="CJ311" s="493">
        <f t="shared" si="20"/>
        <v>0</v>
      </c>
      <c r="CK311" s="493">
        <f t="shared" si="20"/>
        <v>0</v>
      </c>
      <c r="CL311" s="493">
        <f t="shared" si="20"/>
        <v>0</v>
      </c>
      <c r="CM311" s="493">
        <f t="shared" si="19"/>
        <v>0</v>
      </c>
      <c r="CN311" s="493">
        <f t="shared" si="19"/>
        <v>0</v>
      </c>
      <c r="CO311" s="493">
        <f t="shared" si="19"/>
        <v>0</v>
      </c>
    </row>
    <row r="312" spans="1:93" ht="30.45" hidden="1" customHeight="1">
      <c r="A312" s="555" t="s">
        <v>4630</v>
      </c>
      <c r="B312" s="479">
        <v>310</v>
      </c>
      <c r="C312" s="480" t="s">
        <v>6369</v>
      </c>
      <c r="D312" s="480" t="s">
        <v>4620</v>
      </c>
      <c r="E312" s="480" t="str">
        <f t="shared" si="18"/>
        <v>3.1.2 </v>
      </c>
      <c r="F312" s="480" t="s">
        <v>4625</v>
      </c>
      <c r="G312" s="480" t="s">
        <v>4626</v>
      </c>
      <c r="H312" s="481">
        <v>45</v>
      </c>
      <c r="I312" s="480" t="s">
        <v>4627</v>
      </c>
      <c r="J312" s="495">
        <v>450301800</v>
      </c>
      <c r="K312" s="480" t="s">
        <v>4094</v>
      </c>
      <c r="L312" s="480" t="s">
        <v>4633</v>
      </c>
      <c r="M312" s="480" t="s">
        <v>6557</v>
      </c>
      <c r="N312" s="499">
        <v>0</v>
      </c>
      <c r="O312" s="480" t="s">
        <v>4629</v>
      </c>
      <c r="P312" s="515">
        <v>1</v>
      </c>
      <c r="Q312" s="485">
        <v>110070006</v>
      </c>
      <c r="R312" s="485" t="s">
        <v>5501</v>
      </c>
      <c r="S312" s="485" t="s">
        <v>5502</v>
      </c>
      <c r="T312" s="485">
        <v>3000000000</v>
      </c>
      <c r="U312" s="485" t="s">
        <v>4629</v>
      </c>
      <c r="V312" s="485">
        <v>9330000000</v>
      </c>
      <c r="W312" s="485" t="s">
        <v>5328</v>
      </c>
      <c r="X312" s="485">
        <v>13</v>
      </c>
      <c r="Y312" s="485" t="s">
        <v>902</v>
      </c>
      <c r="Z312" s="486"/>
      <c r="AA312" s="486">
        <v>0</v>
      </c>
      <c r="AB312" s="486">
        <v>0</v>
      </c>
      <c r="AC312" s="486">
        <v>0</v>
      </c>
      <c r="AD312" s="486">
        <v>0</v>
      </c>
      <c r="AE312" s="486">
        <v>0</v>
      </c>
      <c r="AF312" s="486">
        <v>0</v>
      </c>
      <c r="AG312" s="486">
        <v>0</v>
      </c>
      <c r="AH312" s="487">
        <v>0</v>
      </c>
      <c r="AI312" s="486">
        <v>0</v>
      </c>
      <c r="AJ312" s="486">
        <v>0</v>
      </c>
      <c r="AK312" s="486">
        <v>0</v>
      </c>
      <c r="AL312" s="488">
        <v>0</v>
      </c>
      <c r="AM312" s="489">
        <v>0</v>
      </c>
      <c r="AN312" s="486">
        <v>150000000</v>
      </c>
      <c r="AO312" s="486">
        <v>0</v>
      </c>
      <c r="AP312" s="486">
        <v>0</v>
      </c>
      <c r="AQ312" s="486">
        <v>0</v>
      </c>
      <c r="AR312" s="486">
        <v>0</v>
      </c>
      <c r="AS312" s="486">
        <v>0</v>
      </c>
      <c r="AT312" s="486">
        <v>0</v>
      </c>
      <c r="AU312" s="486">
        <v>0</v>
      </c>
      <c r="AV312" s="487">
        <v>150000000</v>
      </c>
      <c r="AW312" s="486">
        <v>0</v>
      </c>
      <c r="AX312" s="486">
        <v>0</v>
      </c>
      <c r="AY312" s="486">
        <v>0</v>
      </c>
      <c r="AZ312" s="488">
        <v>0</v>
      </c>
      <c r="BA312" s="490">
        <v>150000000</v>
      </c>
      <c r="BB312" s="486"/>
      <c r="BC312" s="486">
        <v>0</v>
      </c>
      <c r="BD312" s="486">
        <v>0</v>
      </c>
      <c r="BE312" s="486">
        <v>0</v>
      </c>
      <c r="BF312" s="486">
        <v>0</v>
      </c>
      <c r="BG312" s="486">
        <v>0</v>
      </c>
      <c r="BH312" s="486">
        <v>0</v>
      </c>
      <c r="BI312" s="486">
        <v>0</v>
      </c>
      <c r="BJ312" s="487">
        <v>0</v>
      </c>
      <c r="BK312" s="486">
        <v>0</v>
      </c>
      <c r="BL312" s="486">
        <v>0</v>
      </c>
      <c r="BM312" s="486">
        <v>0</v>
      </c>
      <c r="BN312" s="488">
        <v>0</v>
      </c>
      <c r="BO312" s="490">
        <v>0</v>
      </c>
      <c r="BP312" s="486"/>
      <c r="BQ312" s="486">
        <v>0</v>
      </c>
      <c r="BR312" s="486">
        <v>0</v>
      </c>
      <c r="BS312" s="486">
        <v>0</v>
      </c>
      <c r="BT312" s="486">
        <v>0</v>
      </c>
      <c r="BU312" s="486">
        <v>0</v>
      </c>
      <c r="BV312" s="486">
        <v>0</v>
      </c>
      <c r="BW312" s="486">
        <v>0</v>
      </c>
      <c r="BX312" s="487">
        <v>0</v>
      </c>
      <c r="BY312" s="486">
        <v>0</v>
      </c>
      <c r="BZ312" s="486">
        <v>0</v>
      </c>
      <c r="CA312" s="486">
        <v>0</v>
      </c>
      <c r="CB312" s="488">
        <v>0</v>
      </c>
      <c r="CC312" s="491">
        <v>0</v>
      </c>
      <c r="CD312" s="492">
        <v>150000000</v>
      </c>
      <c r="CE312" s="493">
        <f t="shared" si="21"/>
        <v>150000000</v>
      </c>
      <c r="CF312" s="493">
        <f t="shared" si="21"/>
        <v>0</v>
      </c>
      <c r="CG312" s="493">
        <f t="shared" si="21"/>
        <v>0</v>
      </c>
      <c r="CH312" s="493">
        <f t="shared" si="20"/>
        <v>0</v>
      </c>
      <c r="CI312" s="493">
        <f t="shared" si="20"/>
        <v>0</v>
      </c>
      <c r="CJ312" s="493">
        <f t="shared" si="20"/>
        <v>0</v>
      </c>
      <c r="CK312" s="493">
        <f t="shared" si="20"/>
        <v>0</v>
      </c>
      <c r="CL312" s="493">
        <f t="shared" si="20"/>
        <v>0</v>
      </c>
      <c r="CM312" s="493">
        <f t="shared" si="19"/>
        <v>0</v>
      </c>
      <c r="CN312" s="493">
        <f t="shared" si="19"/>
        <v>0</v>
      </c>
      <c r="CO312" s="493">
        <f t="shared" si="19"/>
        <v>0</v>
      </c>
    </row>
    <row r="313" spans="1:93" ht="30.45" hidden="1" customHeight="1">
      <c r="A313" s="555" t="s">
        <v>4262</v>
      </c>
      <c r="B313" s="479">
        <v>311</v>
      </c>
      <c r="C313" s="480" t="s">
        <v>6369</v>
      </c>
      <c r="D313" s="480" t="s">
        <v>4620</v>
      </c>
      <c r="E313" s="480" t="str">
        <f t="shared" si="18"/>
        <v>3.1.3 </v>
      </c>
      <c r="F313" s="480" t="s">
        <v>4634</v>
      </c>
      <c r="G313" s="480" t="s">
        <v>4635</v>
      </c>
      <c r="H313" s="481">
        <v>21</v>
      </c>
      <c r="I313" s="480" t="s">
        <v>4266</v>
      </c>
      <c r="J313" s="495">
        <v>210502100</v>
      </c>
      <c r="K313" s="480" t="s">
        <v>4504</v>
      </c>
      <c r="L313" s="480" t="s">
        <v>4636</v>
      </c>
      <c r="M313" s="480" t="s">
        <v>6558</v>
      </c>
      <c r="N313" s="499">
        <v>5</v>
      </c>
      <c r="O313" s="480" t="s">
        <v>4637</v>
      </c>
      <c r="P313" s="515">
        <v>10</v>
      </c>
      <c r="Q313" s="485">
        <v>150020004</v>
      </c>
      <c r="R313" s="485" t="s">
        <v>5503</v>
      </c>
      <c r="S313" s="485" t="s">
        <v>677</v>
      </c>
      <c r="T313" s="485">
        <v>6.9999999999999999E-4</v>
      </c>
      <c r="U313" s="485" t="s">
        <v>5379</v>
      </c>
      <c r="V313" s="485" t="s">
        <v>5504</v>
      </c>
      <c r="W313" s="485" t="s">
        <v>5372</v>
      </c>
      <c r="X313" s="485" t="s">
        <v>5505</v>
      </c>
      <c r="Y313" s="485" t="s">
        <v>5506</v>
      </c>
      <c r="Z313" s="486">
        <v>100000000</v>
      </c>
      <c r="AA313" s="486">
        <v>0</v>
      </c>
      <c r="AB313" s="486">
        <v>0</v>
      </c>
      <c r="AC313" s="486">
        <v>0</v>
      </c>
      <c r="AD313" s="486">
        <v>0</v>
      </c>
      <c r="AE313" s="486">
        <v>0</v>
      </c>
      <c r="AF313" s="486">
        <v>0</v>
      </c>
      <c r="AG313" s="486">
        <v>0</v>
      </c>
      <c r="AH313" s="487">
        <v>100000000</v>
      </c>
      <c r="AI313" s="486">
        <v>0</v>
      </c>
      <c r="AJ313" s="486">
        <v>0</v>
      </c>
      <c r="AK313" s="486">
        <v>0</v>
      </c>
      <c r="AL313" s="488">
        <v>0</v>
      </c>
      <c r="AM313" s="489">
        <v>100000000</v>
      </c>
      <c r="AN313" s="486">
        <v>100000000</v>
      </c>
      <c r="AO313" s="486">
        <v>0</v>
      </c>
      <c r="AP313" s="486">
        <v>0</v>
      </c>
      <c r="AQ313" s="486">
        <v>0</v>
      </c>
      <c r="AR313" s="486">
        <v>0</v>
      </c>
      <c r="AS313" s="486">
        <v>0</v>
      </c>
      <c r="AT313" s="486">
        <v>0</v>
      </c>
      <c r="AU313" s="486">
        <v>0</v>
      </c>
      <c r="AV313" s="487">
        <v>100000000</v>
      </c>
      <c r="AW313" s="486">
        <v>0</v>
      </c>
      <c r="AX313" s="486">
        <v>0</v>
      </c>
      <c r="AY313" s="486">
        <v>0</v>
      </c>
      <c r="AZ313" s="488">
        <v>0</v>
      </c>
      <c r="BA313" s="490">
        <v>100000000</v>
      </c>
      <c r="BB313" s="486">
        <v>100000000</v>
      </c>
      <c r="BC313" s="486">
        <v>0</v>
      </c>
      <c r="BD313" s="486">
        <v>0</v>
      </c>
      <c r="BE313" s="486">
        <v>0</v>
      </c>
      <c r="BF313" s="486">
        <v>0</v>
      </c>
      <c r="BG313" s="486">
        <v>0</v>
      </c>
      <c r="BH313" s="486">
        <v>0</v>
      </c>
      <c r="BI313" s="486">
        <v>0</v>
      </c>
      <c r="BJ313" s="487">
        <v>100000000</v>
      </c>
      <c r="BK313" s="486">
        <v>0</v>
      </c>
      <c r="BL313" s="486">
        <v>0</v>
      </c>
      <c r="BM313" s="486">
        <v>0</v>
      </c>
      <c r="BN313" s="488">
        <v>0</v>
      </c>
      <c r="BO313" s="490">
        <v>100000000</v>
      </c>
      <c r="BP313" s="486">
        <v>100000000</v>
      </c>
      <c r="BQ313" s="486">
        <v>0</v>
      </c>
      <c r="BR313" s="486">
        <v>0</v>
      </c>
      <c r="BS313" s="486">
        <v>0</v>
      </c>
      <c r="BT313" s="486">
        <v>0</v>
      </c>
      <c r="BU313" s="486">
        <v>0</v>
      </c>
      <c r="BV313" s="486">
        <v>0</v>
      </c>
      <c r="BW313" s="486">
        <v>0</v>
      </c>
      <c r="BX313" s="487">
        <v>100000000</v>
      </c>
      <c r="BY313" s="486">
        <v>0</v>
      </c>
      <c r="BZ313" s="486">
        <v>0</v>
      </c>
      <c r="CA313" s="486">
        <v>0</v>
      </c>
      <c r="CB313" s="488">
        <v>0</v>
      </c>
      <c r="CC313" s="491">
        <v>100000000</v>
      </c>
      <c r="CD313" s="492">
        <v>400000000</v>
      </c>
      <c r="CE313" s="493">
        <f t="shared" si="21"/>
        <v>400000000</v>
      </c>
      <c r="CF313" s="493">
        <f t="shared" si="21"/>
        <v>0</v>
      </c>
      <c r="CG313" s="493">
        <f t="shared" si="21"/>
        <v>0</v>
      </c>
      <c r="CH313" s="493">
        <f t="shared" si="20"/>
        <v>0</v>
      </c>
      <c r="CI313" s="493">
        <f t="shared" si="20"/>
        <v>0</v>
      </c>
      <c r="CJ313" s="493">
        <f t="shared" si="20"/>
        <v>0</v>
      </c>
      <c r="CK313" s="493">
        <f t="shared" si="20"/>
        <v>0</v>
      </c>
      <c r="CL313" s="493">
        <f t="shared" si="20"/>
        <v>0</v>
      </c>
      <c r="CM313" s="493">
        <f t="shared" si="19"/>
        <v>0</v>
      </c>
      <c r="CN313" s="493">
        <f t="shared" si="19"/>
        <v>0</v>
      </c>
      <c r="CO313" s="493">
        <f t="shared" si="19"/>
        <v>0</v>
      </c>
    </row>
    <row r="314" spans="1:93" ht="30.45" hidden="1" customHeight="1">
      <c r="A314" s="555" t="s">
        <v>4262</v>
      </c>
      <c r="B314" s="479">
        <v>312</v>
      </c>
      <c r="C314" s="480" t="s">
        <v>6369</v>
      </c>
      <c r="D314" s="480" t="s">
        <v>4620</v>
      </c>
      <c r="E314" s="480" t="str">
        <f t="shared" si="18"/>
        <v>3.1.3 </v>
      </c>
      <c r="F314" s="480" t="s">
        <v>4634</v>
      </c>
      <c r="G314" s="480" t="s">
        <v>4635</v>
      </c>
      <c r="H314" s="481">
        <v>21</v>
      </c>
      <c r="I314" s="480" t="s">
        <v>4259</v>
      </c>
      <c r="J314" s="495">
        <v>210401800</v>
      </c>
      <c r="K314" s="480" t="s">
        <v>4638</v>
      </c>
      <c r="L314" s="480" t="s">
        <v>4639</v>
      </c>
      <c r="M314" s="480" t="s">
        <v>5913</v>
      </c>
      <c r="N314" s="499">
        <v>40</v>
      </c>
      <c r="O314" s="480" t="s">
        <v>4637</v>
      </c>
      <c r="P314" s="515">
        <v>80</v>
      </c>
      <c r="Q314" s="485">
        <v>150020004</v>
      </c>
      <c r="R314" s="485" t="s">
        <v>5503</v>
      </c>
      <c r="S314" s="485" t="s">
        <v>677</v>
      </c>
      <c r="T314" s="485">
        <v>6.9999999999999999E-4</v>
      </c>
      <c r="U314" s="485" t="s">
        <v>5379</v>
      </c>
      <c r="V314" s="485" t="s">
        <v>5504</v>
      </c>
      <c r="W314" s="485" t="s">
        <v>5372</v>
      </c>
      <c r="X314" s="485" t="s">
        <v>5505</v>
      </c>
      <c r="Y314" s="485" t="s">
        <v>5506</v>
      </c>
      <c r="Z314" s="486">
        <v>100000000</v>
      </c>
      <c r="AA314" s="486">
        <v>0</v>
      </c>
      <c r="AB314" s="486">
        <v>0</v>
      </c>
      <c r="AC314" s="486">
        <v>0</v>
      </c>
      <c r="AD314" s="486">
        <v>0</v>
      </c>
      <c r="AE314" s="486">
        <v>0</v>
      </c>
      <c r="AF314" s="486">
        <v>0</v>
      </c>
      <c r="AG314" s="486">
        <v>0</v>
      </c>
      <c r="AH314" s="487">
        <v>100000000</v>
      </c>
      <c r="AI314" s="486">
        <v>0</v>
      </c>
      <c r="AJ314" s="486">
        <v>0</v>
      </c>
      <c r="AK314" s="486">
        <v>0</v>
      </c>
      <c r="AL314" s="488">
        <v>0</v>
      </c>
      <c r="AM314" s="489">
        <v>100000000</v>
      </c>
      <c r="AN314" s="486">
        <v>100000000</v>
      </c>
      <c r="AO314" s="486">
        <v>0</v>
      </c>
      <c r="AP314" s="486">
        <v>0</v>
      </c>
      <c r="AQ314" s="486">
        <v>0</v>
      </c>
      <c r="AR314" s="486">
        <v>0</v>
      </c>
      <c r="AS314" s="486">
        <v>0</v>
      </c>
      <c r="AT314" s="486">
        <v>0</v>
      </c>
      <c r="AU314" s="486">
        <v>0</v>
      </c>
      <c r="AV314" s="487">
        <v>100000000</v>
      </c>
      <c r="AW314" s="486">
        <v>0</v>
      </c>
      <c r="AX314" s="486">
        <v>0</v>
      </c>
      <c r="AY314" s="486">
        <v>0</v>
      </c>
      <c r="AZ314" s="488">
        <v>0</v>
      </c>
      <c r="BA314" s="490">
        <v>100000000</v>
      </c>
      <c r="BB314" s="486">
        <v>100000000</v>
      </c>
      <c r="BC314" s="486">
        <v>0</v>
      </c>
      <c r="BD314" s="486">
        <v>0</v>
      </c>
      <c r="BE314" s="486">
        <v>0</v>
      </c>
      <c r="BF314" s="486">
        <v>0</v>
      </c>
      <c r="BG314" s="486">
        <v>0</v>
      </c>
      <c r="BH314" s="486">
        <v>0</v>
      </c>
      <c r="BI314" s="486">
        <v>0</v>
      </c>
      <c r="BJ314" s="487">
        <v>100000000</v>
      </c>
      <c r="BK314" s="486">
        <v>0</v>
      </c>
      <c r="BL314" s="486">
        <v>0</v>
      </c>
      <c r="BM314" s="486">
        <v>0</v>
      </c>
      <c r="BN314" s="488">
        <v>0</v>
      </c>
      <c r="BO314" s="490">
        <v>100000000</v>
      </c>
      <c r="BP314" s="486">
        <v>100000000</v>
      </c>
      <c r="BQ314" s="486">
        <v>0</v>
      </c>
      <c r="BR314" s="486">
        <v>0</v>
      </c>
      <c r="BS314" s="486">
        <v>0</v>
      </c>
      <c r="BT314" s="486">
        <v>0</v>
      </c>
      <c r="BU314" s="486">
        <v>0</v>
      </c>
      <c r="BV314" s="486">
        <v>0</v>
      </c>
      <c r="BW314" s="486">
        <v>0</v>
      </c>
      <c r="BX314" s="487">
        <v>100000000</v>
      </c>
      <c r="BY314" s="486">
        <v>0</v>
      </c>
      <c r="BZ314" s="486">
        <v>0</v>
      </c>
      <c r="CA314" s="486">
        <v>0</v>
      </c>
      <c r="CB314" s="488">
        <v>0</v>
      </c>
      <c r="CC314" s="491">
        <v>100000000</v>
      </c>
      <c r="CD314" s="492">
        <v>400000000</v>
      </c>
      <c r="CE314" s="493">
        <f t="shared" si="21"/>
        <v>400000000</v>
      </c>
      <c r="CF314" s="493">
        <f t="shared" si="21"/>
        <v>0</v>
      </c>
      <c r="CG314" s="493">
        <f t="shared" si="21"/>
        <v>0</v>
      </c>
      <c r="CH314" s="493">
        <f t="shared" si="20"/>
        <v>0</v>
      </c>
      <c r="CI314" s="493">
        <f t="shared" si="20"/>
        <v>0</v>
      </c>
      <c r="CJ314" s="493">
        <f t="shared" si="20"/>
        <v>0</v>
      </c>
      <c r="CK314" s="493">
        <f t="shared" si="20"/>
        <v>0</v>
      </c>
      <c r="CL314" s="493">
        <f t="shared" si="20"/>
        <v>0</v>
      </c>
      <c r="CM314" s="493">
        <f t="shared" si="19"/>
        <v>0</v>
      </c>
      <c r="CN314" s="493">
        <f t="shared" si="19"/>
        <v>0</v>
      </c>
      <c r="CO314" s="493">
        <f t="shared" si="19"/>
        <v>0</v>
      </c>
    </row>
    <row r="315" spans="1:93" ht="30.45" hidden="1" customHeight="1">
      <c r="A315" s="555" t="s">
        <v>4262</v>
      </c>
      <c r="B315" s="479">
        <v>313</v>
      </c>
      <c r="C315" s="480" t="s">
        <v>6369</v>
      </c>
      <c r="D315" s="480" t="s">
        <v>4620</v>
      </c>
      <c r="E315" s="480" t="str">
        <f t="shared" si="18"/>
        <v>3.1.3 </v>
      </c>
      <c r="F315" s="480" t="s">
        <v>4634</v>
      </c>
      <c r="G315" s="480" t="s">
        <v>4635</v>
      </c>
      <c r="H315" s="481">
        <v>21</v>
      </c>
      <c r="I315" s="480" t="s">
        <v>4259</v>
      </c>
      <c r="J315" s="495">
        <v>210402100</v>
      </c>
      <c r="K315" s="480" t="s">
        <v>4008</v>
      </c>
      <c r="L315" s="480" t="s">
        <v>6559</v>
      </c>
      <c r="M315" s="480" t="s">
        <v>6560</v>
      </c>
      <c r="N315" s="499">
        <v>0</v>
      </c>
      <c r="O315" s="480" t="s">
        <v>4637</v>
      </c>
      <c r="P315" s="515">
        <v>100</v>
      </c>
      <c r="Q315" s="485">
        <v>150020004</v>
      </c>
      <c r="R315" s="485" t="s">
        <v>5503</v>
      </c>
      <c r="S315" s="485" t="s">
        <v>677</v>
      </c>
      <c r="T315" s="485">
        <v>6.9999999999999999E-4</v>
      </c>
      <c r="U315" s="485" t="s">
        <v>5379</v>
      </c>
      <c r="V315" s="485" t="s">
        <v>5504</v>
      </c>
      <c r="W315" s="485" t="s">
        <v>5372</v>
      </c>
      <c r="X315" s="485" t="s">
        <v>5505</v>
      </c>
      <c r="Y315" s="485" t="s">
        <v>5506</v>
      </c>
      <c r="Z315" s="486">
        <v>100000000</v>
      </c>
      <c r="AA315" s="486">
        <v>0</v>
      </c>
      <c r="AB315" s="486">
        <v>0</v>
      </c>
      <c r="AC315" s="486">
        <v>0</v>
      </c>
      <c r="AD315" s="486">
        <v>0</v>
      </c>
      <c r="AE315" s="486">
        <v>0</v>
      </c>
      <c r="AF315" s="486">
        <v>0</v>
      </c>
      <c r="AG315" s="486">
        <v>0</v>
      </c>
      <c r="AH315" s="487">
        <v>100000000</v>
      </c>
      <c r="AI315" s="486">
        <v>0</v>
      </c>
      <c r="AJ315" s="486">
        <v>0</v>
      </c>
      <c r="AK315" s="486">
        <v>0</v>
      </c>
      <c r="AL315" s="488">
        <v>0</v>
      </c>
      <c r="AM315" s="489">
        <v>100000000</v>
      </c>
      <c r="AN315" s="486">
        <v>100000000</v>
      </c>
      <c r="AO315" s="486">
        <v>0</v>
      </c>
      <c r="AP315" s="486">
        <v>0</v>
      </c>
      <c r="AQ315" s="486">
        <v>0</v>
      </c>
      <c r="AR315" s="486">
        <v>0</v>
      </c>
      <c r="AS315" s="486">
        <v>0</v>
      </c>
      <c r="AT315" s="486">
        <v>0</v>
      </c>
      <c r="AU315" s="486">
        <v>0</v>
      </c>
      <c r="AV315" s="487">
        <v>100000000</v>
      </c>
      <c r="AW315" s="486">
        <v>0</v>
      </c>
      <c r="AX315" s="486">
        <v>0</v>
      </c>
      <c r="AY315" s="486">
        <v>0</v>
      </c>
      <c r="AZ315" s="488">
        <v>0</v>
      </c>
      <c r="BA315" s="490">
        <v>100000000</v>
      </c>
      <c r="BB315" s="486">
        <v>100000000</v>
      </c>
      <c r="BC315" s="486">
        <v>0</v>
      </c>
      <c r="BD315" s="486">
        <v>0</v>
      </c>
      <c r="BE315" s="486">
        <v>0</v>
      </c>
      <c r="BF315" s="486">
        <v>0</v>
      </c>
      <c r="BG315" s="486">
        <v>0</v>
      </c>
      <c r="BH315" s="486">
        <v>0</v>
      </c>
      <c r="BI315" s="486">
        <v>0</v>
      </c>
      <c r="BJ315" s="487">
        <v>100000000</v>
      </c>
      <c r="BK315" s="486">
        <v>0</v>
      </c>
      <c r="BL315" s="486">
        <v>0</v>
      </c>
      <c r="BM315" s="486">
        <v>0</v>
      </c>
      <c r="BN315" s="488">
        <v>0</v>
      </c>
      <c r="BO315" s="490">
        <v>100000000</v>
      </c>
      <c r="BP315" s="486">
        <v>100000000</v>
      </c>
      <c r="BQ315" s="486">
        <v>0</v>
      </c>
      <c r="BR315" s="486">
        <v>0</v>
      </c>
      <c r="BS315" s="486">
        <v>0</v>
      </c>
      <c r="BT315" s="486">
        <v>0</v>
      </c>
      <c r="BU315" s="486">
        <v>0</v>
      </c>
      <c r="BV315" s="486">
        <v>0</v>
      </c>
      <c r="BW315" s="486">
        <v>0</v>
      </c>
      <c r="BX315" s="487">
        <v>100000000</v>
      </c>
      <c r="BY315" s="486">
        <v>0</v>
      </c>
      <c r="BZ315" s="486">
        <v>0</v>
      </c>
      <c r="CA315" s="486">
        <v>0</v>
      </c>
      <c r="CB315" s="488">
        <v>0</v>
      </c>
      <c r="CC315" s="491">
        <v>100000000</v>
      </c>
      <c r="CD315" s="492">
        <v>400000000</v>
      </c>
      <c r="CE315" s="493">
        <f t="shared" si="21"/>
        <v>400000000</v>
      </c>
      <c r="CF315" s="493">
        <f t="shared" si="21"/>
        <v>0</v>
      </c>
      <c r="CG315" s="493">
        <f t="shared" si="21"/>
        <v>0</v>
      </c>
      <c r="CH315" s="493">
        <f t="shared" si="20"/>
        <v>0</v>
      </c>
      <c r="CI315" s="493">
        <f t="shared" si="20"/>
        <v>0</v>
      </c>
      <c r="CJ315" s="493">
        <f t="shared" si="20"/>
        <v>0</v>
      </c>
      <c r="CK315" s="493">
        <f t="shared" si="20"/>
        <v>0</v>
      </c>
      <c r="CL315" s="493">
        <f t="shared" si="20"/>
        <v>0</v>
      </c>
      <c r="CM315" s="493">
        <f t="shared" si="19"/>
        <v>0</v>
      </c>
      <c r="CN315" s="493">
        <f t="shared" si="19"/>
        <v>0</v>
      </c>
      <c r="CO315" s="493">
        <f t="shared" si="19"/>
        <v>0</v>
      </c>
    </row>
    <row r="316" spans="1:93" ht="30.45" hidden="1" customHeight="1">
      <c r="A316" s="555" t="s">
        <v>4262</v>
      </c>
      <c r="B316" s="479">
        <v>314</v>
      </c>
      <c r="C316" s="480" t="s">
        <v>6369</v>
      </c>
      <c r="D316" s="480" t="s">
        <v>4620</v>
      </c>
      <c r="E316" s="480" t="str">
        <f t="shared" si="18"/>
        <v>3.1.3 </v>
      </c>
      <c r="F316" s="480" t="s">
        <v>4634</v>
      </c>
      <c r="G316" s="480" t="s">
        <v>4635</v>
      </c>
      <c r="H316" s="481">
        <v>21</v>
      </c>
      <c r="I316" s="480" t="s">
        <v>4259</v>
      </c>
      <c r="J316" s="495">
        <v>210402102</v>
      </c>
      <c r="K316" s="480" t="s">
        <v>4008</v>
      </c>
      <c r="L316" s="480" t="s">
        <v>6561</v>
      </c>
      <c r="M316" s="480" t="s">
        <v>5914</v>
      </c>
      <c r="N316" s="499">
        <v>10</v>
      </c>
      <c r="O316" s="480" t="s">
        <v>4637</v>
      </c>
      <c r="P316" s="515">
        <v>110</v>
      </c>
      <c r="Q316" s="485">
        <v>150020004</v>
      </c>
      <c r="R316" s="485" t="s">
        <v>5503</v>
      </c>
      <c r="S316" s="485" t="s">
        <v>677</v>
      </c>
      <c r="T316" s="485">
        <v>6.9999999999999999E-4</v>
      </c>
      <c r="U316" s="485" t="s">
        <v>5379</v>
      </c>
      <c r="V316" s="485" t="s">
        <v>5504</v>
      </c>
      <c r="W316" s="485" t="s">
        <v>5372</v>
      </c>
      <c r="X316" s="485" t="s">
        <v>5505</v>
      </c>
      <c r="Y316" s="485" t="s">
        <v>5506</v>
      </c>
      <c r="Z316" s="486">
        <v>100000000</v>
      </c>
      <c r="AA316" s="486">
        <v>0</v>
      </c>
      <c r="AB316" s="486">
        <v>0</v>
      </c>
      <c r="AC316" s="486">
        <v>0</v>
      </c>
      <c r="AD316" s="486">
        <v>0</v>
      </c>
      <c r="AE316" s="486">
        <v>0</v>
      </c>
      <c r="AF316" s="486">
        <v>0</v>
      </c>
      <c r="AG316" s="486">
        <v>0</v>
      </c>
      <c r="AH316" s="487">
        <v>100000000</v>
      </c>
      <c r="AI316" s="486">
        <v>0</v>
      </c>
      <c r="AJ316" s="486">
        <v>0</v>
      </c>
      <c r="AK316" s="486">
        <v>0</v>
      </c>
      <c r="AL316" s="488">
        <v>0</v>
      </c>
      <c r="AM316" s="489">
        <v>100000000</v>
      </c>
      <c r="AN316" s="486">
        <v>200000000</v>
      </c>
      <c r="AO316" s="486">
        <v>0</v>
      </c>
      <c r="AP316" s="486">
        <v>0</v>
      </c>
      <c r="AQ316" s="486">
        <v>0</v>
      </c>
      <c r="AR316" s="486">
        <v>0</v>
      </c>
      <c r="AS316" s="486">
        <v>0</v>
      </c>
      <c r="AT316" s="486">
        <v>0</v>
      </c>
      <c r="AU316" s="486">
        <v>0</v>
      </c>
      <c r="AV316" s="487">
        <v>200000000</v>
      </c>
      <c r="AW316" s="486">
        <v>0</v>
      </c>
      <c r="AX316" s="486">
        <v>0</v>
      </c>
      <c r="AY316" s="486">
        <v>0</v>
      </c>
      <c r="AZ316" s="488">
        <v>0</v>
      </c>
      <c r="BA316" s="490">
        <v>200000000</v>
      </c>
      <c r="BB316" s="486">
        <v>250000000</v>
      </c>
      <c r="BC316" s="486">
        <v>0</v>
      </c>
      <c r="BD316" s="486">
        <v>0</v>
      </c>
      <c r="BE316" s="486">
        <v>0</v>
      </c>
      <c r="BF316" s="486">
        <v>0</v>
      </c>
      <c r="BG316" s="486">
        <v>0</v>
      </c>
      <c r="BH316" s="486">
        <v>0</v>
      </c>
      <c r="BI316" s="486">
        <v>0</v>
      </c>
      <c r="BJ316" s="487">
        <v>250000000</v>
      </c>
      <c r="BK316" s="486">
        <v>0</v>
      </c>
      <c r="BL316" s="486">
        <v>0</v>
      </c>
      <c r="BM316" s="486">
        <v>0</v>
      </c>
      <c r="BN316" s="488">
        <v>0</v>
      </c>
      <c r="BO316" s="490">
        <v>250000000</v>
      </c>
      <c r="BP316" s="486">
        <v>262840094.72000003</v>
      </c>
      <c r="BQ316" s="486">
        <v>0</v>
      </c>
      <c r="BR316" s="486">
        <v>0</v>
      </c>
      <c r="BS316" s="486">
        <v>0</v>
      </c>
      <c r="BT316" s="486">
        <v>0</v>
      </c>
      <c r="BU316" s="486">
        <v>0</v>
      </c>
      <c r="BV316" s="486">
        <v>0</v>
      </c>
      <c r="BW316" s="486">
        <v>0</v>
      </c>
      <c r="BX316" s="487">
        <v>262840094.72000003</v>
      </c>
      <c r="BY316" s="486">
        <v>0</v>
      </c>
      <c r="BZ316" s="486">
        <v>0</v>
      </c>
      <c r="CA316" s="486">
        <v>0</v>
      </c>
      <c r="CB316" s="488">
        <v>0</v>
      </c>
      <c r="CC316" s="491">
        <v>262840094.72000003</v>
      </c>
      <c r="CD316" s="492">
        <v>812840094.72000003</v>
      </c>
      <c r="CE316" s="493">
        <f t="shared" si="21"/>
        <v>812840094.72000003</v>
      </c>
      <c r="CF316" s="493">
        <f t="shared" si="21"/>
        <v>0</v>
      </c>
      <c r="CG316" s="493">
        <f t="shared" si="21"/>
        <v>0</v>
      </c>
      <c r="CH316" s="493">
        <f t="shared" si="20"/>
        <v>0</v>
      </c>
      <c r="CI316" s="493">
        <f t="shared" si="20"/>
        <v>0</v>
      </c>
      <c r="CJ316" s="493">
        <f t="shared" si="20"/>
        <v>0</v>
      </c>
      <c r="CK316" s="493">
        <f t="shared" si="20"/>
        <v>0</v>
      </c>
      <c r="CL316" s="493">
        <f t="shared" si="20"/>
        <v>0</v>
      </c>
      <c r="CM316" s="493">
        <f t="shared" si="19"/>
        <v>0</v>
      </c>
      <c r="CN316" s="493">
        <f t="shared" si="19"/>
        <v>0</v>
      </c>
      <c r="CO316" s="493">
        <f t="shared" si="19"/>
        <v>0</v>
      </c>
    </row>
    <row r="317" spans="1:93" ht="63.45" hidden="1" customHeight="1">
      <c r="A317" s="555" t="s">
        <v>4262</v>
      </c>
      <c r="B317" s="479">
        <v>315</v>
      </c>
      <c r="C317" s="480" t="s">
        <v>6369</v>
      </c>
      <c r="D317" s="480" t="s">
        <v>4620</v>
      </c>
      <c r="E317" s="480" t="str">
        <f t="shared" si="18"/>
        <v>3.1.4.</v>
      </c>
      <c r="F317" s="480" t="s">
        <v>6377</v>
      </c>
      <c r="G317" s="480" t="s">
        <v>4640</v>
      </c>
      <c r="H317" s="481">
        <v>21</v>
      </c>
      <c r="I317" s="480" t="s">
        <v>4641</v>
      </c>
      <c r="J317" s="495">
        <v>210200900</v>
      </c>
      <c r="K317" s="480" t="s">
        <v>4063</v>
      </c>
      <c r="L317" s="480" t="s">
        <v>4207</v>
      </c>
      <c r="M317" s="480" t="s">
        <v>5915</v>
      </c>
      <c r="N317" s="499">
        <v>1</v>
      </c>
      <c r="O317" s="480" t="s">
        <v>4637</v>
      </c>
      <c r="P317" s="515">
        <v>1</v>
      </c>
      <c r="Q317" s="485">
        <v>30010002</v>
      </c>
      <c r="R317" s="485" t="s">
        <v>5507</v>
      </c>
      <c r="S317" s="485" t="s">
        <v>677</v>
      </c>
      <c r="T317" s="485">
        <v>0.95840000000000003</v>
      </c>
      <c r="U317" s="485" t="s">
        <v>5508</v>
      </c>
      <c r="V317" s="485">
        <v>0.9657</v>
      </c>
      <c r="W317" s="485" t="s">
        <v>5351</v>
      </c>
      <c r="X317" s="485" t="s">
        <v>5509</v>
      </c>
      <c r="Y317" s="485" t="s">
        <v>5510</v>
      </c>
      <c r="Z317" s="486">
        <v>0</v>
      </c>
      <c r="AA317" s="486">
        <v>100000000</v>
      </c>
      <c r="AB317" s="486">
        <v>0</v>
      </c>
      <c r="AC317" s="486">
        <v>0</v>
      </c>
      <c r="AD317" s="486">
        <v>0</v>
      </c>
      <c r="AE317" s="486">
        <v>0</v>
      </c>
      <c r="AF317" s="486">
        <v>0</v>
      </c>
      <c r="AG317" s="486">
        <v>0</v>
      </c>
      <c r="AH317" s="487">
        <v>100000000</v>
      </c>
      <c r="AI317" s="486">
        <v>0</v>
      </c>
      <c r="AJ317" s="486">
        <v>0</v>
      </c>
      <c r="AK317" s="486">
        <v>0</v>
      </c>
      <c r="AL317" s="488">
        <v>0</v>
      </c>
      <c r="AM317" s="489">
        <v>100000000</v>
      </c>
      <c r="AN317" s="486">
        <v>0</v>
      </c>
      <c r="AO317" s="486">
        <v>200000000</v>
      </c>
      <c r="AP317" s="486">
        <v>0</v>
      </c>
      <c r="AQ317" s="486">
        <v>0</v>
      </c>
      <c r="AR317" s="486">
        <v>0</v>
      </c>
      <c r="AS317" s="486">
        <v>0</v>
      </c>
      <c r="AT317" s="486">
        <v>0</v>
      </c>
      <c r="AU317" s="486">
        <v>0</v>
      </c>
      <c r="AV317" s="487">
        <v>200000000</v>
      </c>
      <c r="AW317" s="486">
        <v>0</v>
      </c>
      <c r="AX317" s="486">
        <v>0</v>
      </c>
      <c r="AY317" s="486">
        <v>0</v>
      </c>
      <c r="AZ317" s="488">
        <v>0</v>
      </c>
      <c r="BA317" s="490">
        <v>200000000</v>
      </c>
      <c r="BB317" s="486">
        <v>0</v>
      </c>
      <c r="BC317" s="486">
        <v>150000000</v>
      </c>
      <c r="BD317" s="486">
        <v>0</v>
      </c>
      <c r="BE317" s="486">
        <v>0</v>
      </c>
      <c r="BF317" s="486">
        <v>0</v>
      </c>
      <c r="BG317" s="486">
        <v>0</v>
      </c>
      <c r="BH317" s="486">
        <v>0</v>
      </c>
      <c r="BI317" s="486">
        <v>0</v>
      </c>
      <c r="BJ317" s="487">
        <v>150000000</v>
      </c>
      <c r="BK317" s="486">
        <v>0</v>
      </c>
      <c r="BL317" s="486">
        <v>0</v>
      </c>
      <c r="BM317" s="486">
        <v>0</v>
      </c>
      <c r="BN317" s="488">
        <v>0</v>
      </c>
      <c r="BO317" s="490">
        <v>150000000</v>
      </c>
      <c r="BP317" s="486">
        <v>0</v>
      </c>
      <c r="BQ317" s="486">
        <v>250000000</v>
      </c>
      <c r="BR317" s="486">
        <v>0</v>
      </c>
      <c r="BS317" s="486">
        <v>0</v>
      </c>
      <c r="BT317" s="486">
        <v>0</v>
      </c>
      <c r="BU317" s="486">
        <v>0</v>
      </c>
      <c r="BV317" s="486">
        <v>0</v>
      </c>
      <c r="BW317" s="486">
        <v>0</v>
      </c>
      <c r="BX317" s="487">
        <v>250000000</v>
      </c>
      <c r="BY317" s="486">
        <v>0</v>
      </c>
      <c r="BZ317" s="486">
        <v>0</v>
      </c>
      <c r="CA317" s="486">
        <v>0</v>
      </c>
      <c r="CB317" s="488">
        <v>0</v>
      </c>
      <c r="CC317" s="491">
        <v>250000000</v>
      </c>
      <c r="CD317" s="492">
        <v>700000000</v>
      </c>
      <c r="CE317" s="493">
        <f t="shared" si="21"/>
        <v>0</v>
      </c>
      <c r="CF317" s="493">
        <f t="shared" si="21"/>
        <v>700000000</v>
      </c>
      <c r="CG317" s="493">
        <f t="shared" si="21"/>
        <v>0</v>
      </c>
      <c r="CH317" s="493">
        <f t="shared" si="21"/>
        <v>0</v>
      </c>
      <c r="CI317" s="493">
        <f t="shared" si="21"/>
        <v>0</v>
      </c>
      <c r="CJ317" s="493">
        <f t="shared" si="21"/>
        <v>0</v>
      </c>
      <c r="CK317" s="493">
        <f t="shared" si="21"/>
        <v>0</v>
      </c>
      <c r="CL317" s="493">
        <f t="shared" si="21"/>
        <v>0</v>
      </c>
      <c r="CM317" s="493">
        <f t="shared" si="19"/>
        <v>0</v>
      </c>
      <c r="CN317" s="493">
        <f t="shared" si="19"/>
        <v>0</v>
      </c>
      <c r="CO317" s="493">
        <f t="shared" si="19"/>
        <v>0</v>
      </c>
    </row>
    <row r="318" spans="1:93" ht="30.45" hidden="1" customHeight="1">
      <c r="A318" s="555" t="s">
        <v>4262</v>
      </c>
      <c r="B318" s="479">
        <v>316</v>
      </c>
      <c r="C318" s="480" t="s">
        <v>6369</v>
      </c>
      <c r="D318" s="480" t="s">
        <v>4620</v>
      </c>
      <c r="E318" s="480" t="str">
        <f t="shared" si="18"/>
        <v>3.1.4.</v>
      </c>
      <c r="F318" s="480" t="s">
        <v>6377</v>
      </c>
      <c r="G318" s="480" t="s">
        <v>4640</v>
      </c>
      <c r="H318" s="481">
        <v>21</v>
      </c>
      <c r="I318" s="480" t="s">
        <v>4641</v>
      </c>
      <c r="J318" s="495">
        <v>210201000</v>
      </c>
      <c r="K318" s="480" t="s">
        <v>4642</v>
      </c>
      <c r="L318" s="480" t="s">
        <v>4643</v>
      </c>
      <c r="M318" s="480" t="s">
        <v>5916</v>
      </c>
      <c r="N318" s="517">
        <v>10000</v>
      </c>
      <c r="O318" s="480" t="s">
        <v>4637</v>
      </c>
      <c r="P318" s="518">
        <v>30000</v>
      </c>
      <c r="Q318" s="485">
        <v>30010002</v>
      </c>
      <c r="R318" s="485" t="s">
        <v>5507</v>
      </c>
      <c r="S318" s="485" t="s">
        <v>677</v>
      </c>
      <c r="T318" s="485">
        <v>0.95840000000000003</v>
      </c>
      <c r="U318" s="485" t="s">
        <v>5508</v>
      </c>
      <c r="V318" s="485">
        <v>0.9657</v>
      </c>
      <c r="W318" s="485" t="s">
        <v>5351</v>
      </c>
      <c r="X318" s="485" t="s">
        <v>5509</v>
      </c>
      <c r="Y318" s="485" t="s">
        <v>5510</v>
      </c>
      <c r="Z318" s="486">
        <v>0</v>
      </c>
      <c r="AA318" s="486">
        <v>1100000000</v>
      </c>
      <c r="AB318" s="486">
        <v>0</v>
      </c>
      <c r="AC318" s="486">
        <v>0</v>
      </c>
      <c r="AD318" s="486">
        <v>0</v>
      </c>
      <c r="AE318" s="486">
        <v>0</v>
      </c>
      <c r="AF318" s="486">
        <v>0</v>
      </c>
      <c r="AG318" s="486">
        <v>0</v>
      </c>
      <c r="AH318" s="487">
        <v>1100000000</v>
      </c>
      <c r="AI318" s="486">
        <v>0</v>
      </c>
      <c r="AJ318" s="486">
        <v>0</v>
      </c>
      <c r="AK318" s="486">
        <v>0</v>
      </c>
      <c r="AL318" s="488">
        <v>0</v>
      </c>
      <c r="AM318" s="489">
        <v>1100000000</v>
      </c>
      <c r="AN318" s="486">
        <v>0</v>
      </c>
      <c r="AO318" s="486">
        <v>600000000</v>
      </c>
      <c r="AP318" s="486">
        <v>0</v>
      </c>
      <c r="AQ318" s="486">
        <v>0</v>
      </c>
      <c r="AR318" s="486">
        <v>0</v>
      </c>
      <c r="AS318" s="486">
        <v>0</v>
      </c>
      <c r="AT318" s="486">
        <v>0</v>
      </c>
      <c r="AU318" s="486">
        <v>0</v>
      </c>
      <c r="AV318" s="487">
        <v>600000000</v>
      </c>
      <c r="AW318" s="486">
        <v>0</v>
      </c>
      <c r="AX318" s="486">
        <v>0</v>
      </c>
      <c r="AY318" s="486">
        <v>0</v>
      </c>
      <c r="AZ318" s="488">
        <v>0</v>
      </c>
      <c r="BA318" s="490">
        <v>600000000</v>
      </c>
      <c r="BB318" s="486">
        <v>0</v>
      </c>
      <c r="BC318" s="486">
        <v>600000000</v>
      </c>
      <c r="BD318" s="486">
        <v>0</v>
      </c>
      <c r="BE318" s="486">
        <v>0</v>
      </c>
      <c r="BF318" s="486">
        <v>0</v>
      </c>
      <c r="BG318" s="486">
        <v>0</v>
      </c>
      <c r="BH318" s="486">
        <v>0</v>
      </c>
      <c r="BI318" s="486">
        <v>0</v>
      </c>
      <c r="BJ318" s="487">
        <v>600000000</v>
      </c>
      <c r="BK318" s="486">
        <v>0</v>
      </c>
      <c r="BL318" s="486">
        <v>0</v>
      </c>
      <c r="BM318" s="486">
        <v>0</v>
      </c>
      <c r="BN318" s="488">
        <v>0</v>
      </c>
      <c r="BO318" s="490">
        <v>600000000</v>
      </c>
      <c r="BP318" s="486">
        <v>0</v>
      </c>
      <c r="BQ318" s="486">
        <v>700000000</v>
      </c>
      <c r="BR318" s="486">
        <v>0</v>
      </c>
      <c r="BS318" s="486">
        <v>0</v>
      </c>
      <c r="BT318" s="486">
        <v>0</v>
      </c>
      <c r="BU318" s="486">
        <v>0</v>
      </c>
      <c r="BV318" s="486">
        <v>0</v>
      </c>
      <c r="BW318" s="486">
        <v>0</v>
      </c>
      <c r="BX318" s="487">
        <v>700000000</v>
      </c>
      <c r="BY318" s="486">
        <v>0</v>
      </c>
      <c r="BZ318" s="486">
        <v>0</v>
      </c>
      <c r="CA318" s="486">
        <v>0</v>
      </c>
      <c r="CB318" s="488">
        <v>0</v>
      </c>
      <c r="CC318" s="491">
        <v>700000000</v>
      </c>
      <c r="CD318" s="492">
        <v>3000000000</v>
      </c>
      <c r="CE318" s="493">
        <f t="shared" si="21"/>
        <v>0</v>
      </c>
      <c r="CF318" s="493">
        <f t="shared" si="21"/>
        <v>3000000000</v>
      </c>
      <c r="CG318" s="493">
        <f t="shared" si="21"/>
        <v>0</v>
      </c>
      <c r="CH318" s="493">
        <f t="shared" si="21"/>
        <v>0</v>
      </c>
      <c r="CI318" s="493">
        <f t="shared" si="21"/>
        <v>0</v>
      </c>
      <c r="CJ318" s="493">
        <f t="shared" si="21"/>
        <v>0</v>
      </c>
      <c r="CK318" s="493">
        <f t="shared" si="21"/>
        <v>0</v>
      </c>
      <c r="CL318" s="493">
        <f t="shared" si="21"/>
        <v>0</v>
      </c>
      <c r="CM318" s="493">
        <f t="shared" si="19"/>
        <v>0</v>
      </c>
      <c r="CN318" s="493">
        <f t="shared" si="19"/>
        <v>0</v>
      </c>
      <c r="CO318" s="493">
        <f t="shared" si="19"/>
        <v>0</v>
      </c>
    </row>
    <row r="319" spans="1:93" ht="30.45" hidden="1" customHeight="1">
      <c r="A319" s="555" t="s">
        <v>4262</v>
      </c>
      <c r="B319" s="479">
        <v>317</v>
      </c>
      <c r="C319" s="480" t="s">
        <v>6369</v>
      </c>
      <c r="D319" s="480" t="s">
        <v>4620</v>
      </c>
      <c r="E319" s="480" t="str">
        <f t="shared" si="18"/>
        <v>3.1.4.</v>
      </c>
      <c r="F319" s="480" t="s">
        <v>6377</v>
      </c>
      <c r="G319" s="480" t="s">
        <v>4640</v>
      </c>
      <c r="H319" s="481">
        <v>21</v>
      </c>
      <c r="I319" s="480" t="s">
        <v>4641</v>
      </c>
      <c r="J319" s="495">
        <v>210201200</v>
      </c>
      <c r="K319" s="480" t="s">
        <v>4642</v>
      </c>
      <c r="L319" s="480" t="s">
        <v>4644</v>
      </c>
      <c r="M319" s="480" t="s">
        <v>5917</v>
      </c>
      <c r="N319" s="517">
        <v>20000</v>
      </c>
      <c r="O319" s="480" t="s">
        <v>4637</v>
      </c>
      <c r="P319" s="518">
        <v>35000</v>
      </c>
      <c r="Q319" s="485">
        <v>30010002</v>
      </c>
      <c r="R319" s="485" t="s">
        <v>5507</v>
      </c>
      <c r="S319" s="485" t="s">
        <v>677</v>
      </c>
      <c r="T319" s="485">
        <v>0.95840000000000003</v>
      </c>
      <c r="U319" s="485" t="s">
        <v>5508</v>
      </c>
      <c r="V319" s="485">
        <v>0.9657</v>
      </c>
      <c r="W319" s="485" t="s">
        <v>5351</v>
      </c>
      <c r="X319" s="485" t="s">
        <v>5509</v>
      </c>
      <c r="Y319" s="485" t="s">
        <v>5510</v>
      </c>
      <c r="Z319" s="486">
        <v>0</v>
      </c>
      <c r="AA319" s="486">
        <v>825000000</v>
      </c>
      <c r="AB319" s="486">
        <v>0</v>
      </c>
      <c r="AC319" s="486">
        <v>0</v>
      </c>
      <c r="AD319" s="486">
        <v>0</v>
      </c>
      <c r="AE319" s="486">
        <v>0</v>
      </c>
      <c r="AF319" s="486">
        <v>0</v>
      </c>
      <c r="AG319" s="486">
        <v>0</v>
      </c>
      <c r="AH319" s="487">
        <v>825000000</v>
      </c>
      <c r="AI319" s="486">
        <v>0</v>
      </c>
      <c r="AJ319" s="486">
        <v>0</v>
      </c>
      <c r="AK319" s="486">
        <v>0</v>
      </c>
      <c r="AL319" s="488">
        <v>0</v>
      </c>
      <c r="AM319" s="489">
        <v>825000000</v>
      </c>
      <c r="AN319" s="486">
        <v>0</v>
      </c>
      <c r="AO319" s="486">
        <v>925000000</v>
      </c>
      <c r="AP319" s="486">
        <v>0</v>
      </c>
      <c r="AQ319" s="486">
        <v>0</v>
      </c>
      <c r="AR319" s="486">
        <v>0</v>
      </c>
      <c r="AS319" s="486">
        <v>0</v>
      </c>
      <c r="AT319" s="486">
        <v>0</v>
      </c>
      <c r="AU319" s="486">
        <v>0</v>
      </c>
      <c r="AV319" s="487">
        <v>925000000</v>
      </c>
      <c r="AW319" s="486">
        <v>0</v>
      </c>
      <c r="AX319" s="486">
        <v>0</v>
      </c>
      <c r="AY319" s="486">
        <v>0</v>
      </c>
      <c r="AZ319" s="488">
        <v>0</v>
      </c>
      <c r="BA319" s="490">
        <v>925000000</v>
      </c>
      <c r="BB319" s="486">
        <v>0</v>
      </c>
      <c r="BC319" s="486">
        <v>925000000</v>
      </c>
      <c r="BD319" s="486">
        <v>0</v>
      </c>
      <c r="BE319" s="486">
        <v>0</v>
      </c>
      <c r="BF319" s="486">
        <v>0</v>
      </c>
      <c r="BG319" s="486">
        <v>0</v>
      </c>
      <c r="BH319" s="486">
        <v>0</v>
      </c>
      <c r="BI319" s="486">
        <v>0</v>
      </c>
      <c r="BJ319" s="487">
        <v>925000000</v>
      </c>
      <c r="BK319" s="486">
        <v>0</v>
      </c>
      <c r="BL319" s="486">
        <v>0</v>
      </c>
      <c r="BM319" s="486">
        <v>0</v>
      </c>
      <c r="BN319" s="488">
        <v>0</v>
      </c>
      <c r="BO319" s="490">
        <v>925000000</v>
      </c>
      <c r="BP319" s="486">
        <v>0</v>
      </c>
      <c r="BQ319" s="486">
        <v>925000000</v>
      </c>
      <c r="BR319" s="486">
        <v>0</v>
      </c>
      <c r="BS319" s="486">
        <v>0</v>
      </c>
      <c r="BT319" s="486">
        <v>0</v>
      </c>
      <c r="BU319" s="486">
        <v>0</v>
      </c>
      <c r="BV319" s="486">
        <v>0</v>
      </c>
      <c r="BW319" s="486">
        <v>0</v>
      </c>
      <c r="BX319" s="487">
        <v>925000000</v>
      </c>
      <c r="BY319" s="486">
        <v>0</v>
      </c>
      <c r="BZ319" s="486">
        <v>0</v>
      </c>
      <c r="CA319" s="486">
        <v>0</v>
      </c>
      <c r="CB319" s="488">
        <v>0</v>
      </c>
      <c r="CC319" s="491">
        <v>925000000</v>
      </c>
      <c r="CD319" s="492">
        <v>3600000000</v>
      </c>
      <c r="CE319" s="493">
        <f t="shared" si="21"/>
        <v>0</v>
      </c>
      <c r="CF319" s="493">
        <f t="shared" si="21"/>
        <v>3600000000</v>
      </c>
      <c r="CG319" s="493">
        <f t="shared" si="21"/>
        <v>0</v>
      </c>
      <c r="CH319" s="493">
        <f t="shared" si="21"/>
        <v>0</v>
      </c>
      <c r="CI319" s="493">
        <f t="shared" si="21"/>
        <v>0</v>
      </c>
      <c r="CJ319" s="493">
        <f t="shared" si="21"/>
        <v>0</v>
      </c>
      <c r="CK319" s="493">
        <f t="shared" si="21"/>
        <v>0</v>
      </c>
      <c r="CL319" s="493">
        <f t="shared" si="21"/>
        <v>0</v>
      </c>
      <c r="CM319" s="493">
        <f t="shared" si="19"/>
        <v>0</v>
      </c>
      <c r="CN319" s="493">
        <f t="shared" si="19"/>
        <v>0</v>
      </c>
      <c r="CO319" s="493">
        <f t="shared" si="19"/>
        <v>0</v>
      </c>
    </row>
    <row r="320" spans="1:93" ht="30.45" hidden="1" customHeight="1">
      <c r="A320" s="555" t="s">
        <v>4262</v>
      </c>
      <c r="B320" s="479">
        <v>318</v>
      </c>
      <c r="C320" s="480" t="s">
        <v>6369</v>
      </c>
      <c r="D320" s="480" t="s">
        <v>4620</v>
      </c>
      <c r="E320" s="480" t="str">
        <f t="shared" si="18"/>
        <v>3.1.4.</v>
      </c>
      <c r="F320" s="480" t="s">
        <v>6377</v>
      </c>
      <c r="G320" s="480" t="s">
        <v>4640</v>
      </c>
      <c r="H320" s="481">
        <v>21</v>
      </c>
      <c r="I320" s="480" t="s">
        <v>4641</v>
      </c>
      <c r="J320" s="495">
        <v>210201300</v>
      </c>
      <c r="K320" s="480" t="s">
        <v>4642</v>
      </c>
      <c r="L320" s="480" t="s">
        <v>4645</v>
      </c>
      <c r="M320" s="480" t="s">
        <v>5918</v>
      </c>
      <c r="N320" s="499">
        <v>5000</v>
      </c>
      <c r="O320" s="480" t="s">
        <v>4637</v>
      </c>
      <c r="P320" s="515">
        <v>10000</v>
      </c>
      <c r="Q320" s="485">
        <v>30010002</v>
      </c>
      <c r="R320" s="485" t="s">
        <v>5507</v>
      </c>
      <c r="S320" s="485" t="s">
        <v>677</v>
      </c>
      <c r="T320" s="485">
        <v>0.95840000000000003</v>
      </c>
      <c r="U320" s="485" t="s">
        <v>5508</v>
      </c>
      <c r="V320" s="485">
        <v>0.9657</v>
      </c>
      <c r="W320" s="485" t="s">
        <v>5351</v>
      </c>
      <c r="X320" s="485" t="s">
        <v>5509</v>
      </c>
      <c r="Y320" s="485" t="s">
        <v>5510</v>
      </c>
      <c r="Z320" s="486">
        <v>0</v>
      </c>
      <c r="AA320" s="486">
        <v>500000000</v>
      </c>
      <c r="AB320" s="486">
        <v>0</v>
      </c>
      <c r="AC320" s="486">
        <v>0</v>
      </c>
      <c r="AD320" s="486">
        <v>0</v>
      </c>
      <c r="AE320" s="486">
        <v>0</v>
      </c>
      <c r="AF320" s="486">
        <v>0</v>
      </c>
      <c r="AG320" s="486">
        <v>0</v>
      </c>
      <c r="AH320" s="487">
        <v>500000000</v>
      </c>
      <c r="AI320" s="486">
        <v>0</v>
      </c>
      <c r="AJ320" s="486">
        <v>0</v>
      </c>
      <c r="AK320" s="486">
        <v>0</v>
      </c>
      <c r="AL320" s="488">
        <v>0</v>
      </c>
      <c r="AM320" s="489">
        <v>500000000</v>
      </c>
      <c r="AN320" s="486">
        <v>0</v>
      </c>
      <c r="AO320" s="486">
        <v>600000000</v>
      </c>
      <c r="AP320" s="486">
        <v>0</v>
      </c>
      <c r="AQ320" s="486">
        <v>0</v>
      </c>
      <c r="AR320" s="486">
        <v>0</v>
      </c>
      <c r="AS320" s="486">
        <v>0</v>
      </c>
      <c r="AT320" s="486">
        <v>0</v>
      </c>
      <c r="AU320" s="486">
        <v>0</v>
      </c>
      <c r="AV320" s="487">
        <v>600000000</v>
      </c>
      <c r="AW320" s="486">
        <v>0</v>
      </c>
      <c r="AX320" s="486">
        <v>0</v>
      </c>
      <c r="AY320" s="486">
        <v>0</v>
      </c>
      <c r="AZ320" s="488">
        <v>0</v>
      </c>
      <c r="BA320" s="490">
        <v>600000000</v>
      </c>
      <c r="BB320" s="486">
        <v>0</v>
      </c>
      <c r="BC320" s="486">
        <v>600000000</v>
      </c>
      <c r="BD320" s="486">
        <v>0</v>
      </c>
      <c r="BE320" s="486">
        <v>0</v>
      </c>
      <c r="BF320" s="486">
        <v>0</v>
      </c>
      <c r="BG320" s="486">
        <v>0</v>
      </c>
      <c r="BH320" s="486">
        <v>0</v>
      </c>
      <c r="BI320" s="486">
        <v>0</v>
      </c>
      <c r="BJ320" s="487">
        <v>600000000</v>
      </c>
      <c r="BK320" s="486">
        <v>0</v>
      </c>
      <c r="BL320" s="486">
        <v>0</v>
      </c>
      <c r="BM320" s="486">
        <v>0</v>
      </c>
      <c r="BN320" s="488">
        <v>0</v>
      </c>
      <c r="BO320" s="490">
        <v>600000000</v>
      </c>
      <c r="BP320" s="486">
        <v>0</v>
      </c>
      <c r="BQ320" s="486">
        <v>700000000</v>
      </c>
      <c r="BR320" s="486">
        <v>0</v>
      </c>
      <c r="BS320" s="486">
        <v>0</v>
      </c>
      <c r="BT320" s="486">
        <v>0</v>
      </c>
      <c r="BU320" s="486">
        <v>0</v>
      </c>
      <c r="BV320" s="486">
        <v>0</v>
      </c>
      <c r="BW320" s="486">
        <v>0</v>
      </c>
      <c r="BX320" s="487">
        <v>700000000</v>
      </c>
      <c r="BY320" s="486">
        <v>0</v>
      </c>
      <c r="BZ320" s="486">
        <v>0</v>
      </c>
      <c r="CA320" s="486">
        <v>0</v>
      </c>
      <c r="CB320" s="488">
        <v>0</v>
      </c>
      <c r="CC320" s="491">
        <v>700000000</v>
      </c>
      <c r="CD320" s="492">
        <v>2400000000</v>
      </c>
      <c r="CE320" s="493">
        <f t="shared" si="21"/>
        <v>0</v>
      </c>
      <c r="CF320" s="493">
        <f t="shared" si="21"/>
        <v>2400000000</v>
      </c>
      <c r="CG320" s="493">
        <f t="shared" si="21"/>
        <v>0</v>
      </c>
      <c r="CH320" s="493">
        <f t="shared" si="21"/>
        <v>0</v>
      </c>
      <c r="CI320" s="493">
        <f t="shared" si="21"/>
        <v>0</v>
      </c>
      <c r="CJ320" s="493">
        <f t="shared" si="21"/>
        <v>0</v>
      </c>
      <c r="CK320" s="493">
        <f t="shared" si="21"/>
        <v>0</v>
      </c>
      <c r="CL320" s="493">
        <f t="shared" si="21"/>
        <v>0</v>
      </c>
      <c r="CM320" s="493">
        <f t="shared" si="19"/>
        <v>0</v>
      </c>
      <c r="CN320" s="493">
        <f t="shared" si="19"/>
        <v>0</v>
      </c>
      <c r="CO320" s="493">
        <f t="shared" si="19"/>
        <v>0</v>
      </c>
    </row>
    <row r="321" spans="1:93" ht="30.45" hidden="1" customHeight="1">
      <c r="A321" s="555" t="s">
        <v>4262</v>
      </c>
      <c r="B321" s="479">
        <v>319</v>
      </c>
      <c r="C321" s="480" t="s">
        <v>6369</v>
      </c>
      <c r="D321" s="480" t="s">
        <v>4620</v>
      </c>
      <c r="E321" s="480" t="str">
        <f t="shared" si="18"/>
        <v>3.1.4.</v>
      </c>
      <c r="F321" s="480" t="s">
        <v>6377</v>
      </c>
      <c r="G321" s="480" t="s">
        <v>4640</v>
      </c>
      <c r="H321" s="481">
        <v>21</v>
      </c>
      <c r="I321" s="480" t="s">
        <v>4641</v>
      </c>
      <c r="J321" s="495">
        <v>210201400</v>
      </c>
      <c r="K321" s="480" t="s">
        <v>4646</v>
      </c>
      <c r="L321" s="480" t="s">
        <v>4647</v>
      </c>
      <c r="M321" s="480" t="s">
        <v>5919</v>
      </c>
      <c r="N321" s="499">
        <v>5</v>
      </c>
      <c r="O321" s="480" t="s">
        <v>4637</v>
      </c>
      <c r="P321" s="515">
        <v>25</v>
      </c>
      <c r="Q321" s="485">
        <v>30010002</v>
      </c>
      <c r="R321" s="485" t="s">
        <v>5507</v>
      </c>
      <c r="S321" s="485" t="s">
        <v>677</v>
      </c>
      <c r="T321" s="485">
        <v>0.95840000000000003</v>
      </c>
      <c r="U321" s="485" t="s">
        <v>5508</v>
      </c>
      <c r="V321" s="485">
        <v>0.9657</v>
      </c>
      <c r="W321" s="485" t="s">
        <v>5351</v>
      </c>
      <c r="X321" s="485" t="s">
        <v>5509</v>
      </c>
      <c r="Y321" s="485" t="s">
        <v>5510</v>
      </c>
      <c r="Z321" s="486">
        <v>0</v>
      </c>
      <c r="AA321" s="486">
        <v>250000000</v>
      </c>
      <c r="AB321" s="486">
        <v>0</v>
      </c>
      <c r="AC321" s="486">
        <v>0</v>
      </c>
      <c r="AD321" s="486">
        <v>0</v>
      </c>
      <c r="AE321" s="486">
        <v>0</v>
      </c>
      <c r="AF321" s="486">
        <v>0</v>
      </c>
      <c r="AG321" s="486">
        <v>0</v>
      </c>
      <c r="AH321" s="487">
        <v>250000000</v>
      </c>
      <c r="AI321" s="486">
        <v>0</v>
      </c>
      <c r="AJ321" s="486">
        <v>0</v>
      </c>
      <c r="AK321" s="486">
        <v>0</v>
      </c>
      <c r="AL321" s="488">
        <v>0</v>
      </c>
      <c r="AM321" s="489">
        <v>250000000</v>
      </c>
      <c r="AN321" s="486">
        <v>0</v>
      </c>
      <c r="AO321" s="486">
        <v>350000000</v>
      </c>
      <c r="AP321" s="486">
        <v>0</v>
      </c>
      <c r="AQ321" s="486">
        <v>0</v>
      </c>
      <c r="AR321" s="486">
        <v>0</v>
      </c>
      <c r="AS321" s="486">
        <v>0</v>
      </c>
      <c r="AT321" s="486">
        <v>0</v>
      </c>
      <c r="AU321" s="486">
        <v>0</v>
      </c>
      <c r="AV321" s="487">
        <v>350000000</v>
      </c>
      <c r="AW321" s="486">
        <v>0</v>
      </c>
      <c r="AX321" s="486">
        <v>0</v>
      </c>
      <c r="AY321" s="486">
        <v>0</v>
      </c>
      <c r="AZ321" s="488">
        <v>0</v>
      </c>
      <c r="BA321" s="490">
        <v>350000000</v>
      </c>
      <c r="BB321" s="486">
        <v>0</v>
      </c>
      <c r="BC321" s="486">
        <v>350000000</v>
      </c>
      <c r="BD321" s="486">
        <v>0</v>
      </c>
      <c r="BE321" s="486">
        <v>0</v>
      </c>
      <c r="BF321" s="486">
        <v>0</v>
      </c>
      <c r="BG321" s="486">
        <v>0</v>
      </c>
      <c r="BH321" s="486">
        <v>0</v>
      </c>
      <c r="BI321" s="486">
        <v>0</v>
      </c>
      <c r="BJ321" s="487">
        <v>350000000</v>
      </c>
      <c r="BK321" s="486">
        <v>0</v>
      </c>
      <c r="BL321" s="486">
        <v>0</v>
      </c>
      <c r="BM321" s="486">
        <v>0</v>
      </c>
      <c r="BN321" s="488">
        <v>0</v>
      </c>
      <c r="BO321" s="490">
        <v>350000000</v>
      </c>
      <c r="BP321" s="486">
        <v>0</v>
      </c>
      <c r="BQ321" s="486">
        <v>350000000</v>
      </c>
      <c r="BR321" s="486">
        <v>0</v>
      </c>
      <c r="BS321" s="486">
        <v>0</v>
      </c>
      <c r="BT321" s="486">
        <v>0</v>
      </c>
      <c r="BU321" s="486">
        <v>0</v>
      </c>
      <c r="BV321" s="486">
        <v>0</v>
      </c>
      <c r="BW321" s="486">
        <v>0</v>
      </c>
      <c r="BX321" s="487">
        <v>350000000</v>
      </c>
      <c r="BY321" s="486">
        <v>0</v>
      </c>
      <c r="BZ321" s="486">
        <v>0</v>
      </c>
      <c r="CA321" s="486">
        <v>0</v>
      </c>
      <c r="CB321" s="488">
        <v>0</v>
      </c>
      <c r="CC321" s="491">
        <v>350000000</v>
      </c>
      <c r="CD321" s="492">
        <v>1300000000</v>
      </c>
      <c r="CE321" s="493">
        <f t="shared" si="21"/>
        <v>0</v>
      </c>
      <c r="CF321" s="493">
        <f t="shared" si="21"/>
        <v>1300000000</v>
      </c>
      <c r="CG321" s="493">
        <f t="shared" si="21"/>
        <v>0</v>
      </c>
      <c r="CH321" s="493">
        <f t="shared" si="21"/>
        <v>0</v>
      </c>
      <c r="CI321" s="493">
        <f t="shared" si="21"/>
        <v>0</v>
      </c>
      <c r="CJ321" s="493">
        <f t="shared" si="21"/>
        <v>0</v>
      </c>
      <c r="CK321" s="493">
        <f t="shared" si="21"/>
        <v>0</v>
      </c>
      <c r="CL321" s="493">
        <f t="shared" si="21"/>
        <v>0</v>
      </c>
      <c r="CM321" s="493">
        <f t="shared" si="19"/>
        <v>0</v>
      </c>
      <c r="CN321" s="493">
        <f t="shared" si="19"/>
        <v>0</v>
      </c>
      <c r="CO321" s="493">
        <f t="shared" si="19"/>
        <v>0</v>
      </c>
    </row>
    <row r="322" spans="1:93" ht="30.45" hidden="1" customHeight="1">
      <c r="A322" s="555" t="s">
        <v>4262</v>
      </c>
      <c r="B322" s="479">
        <v>320</v>
      </c>
      <c r="C322" s="480" t="s">
        <v>6369</v>
      </c>
      <c r="D322" s="480" t="s">
        <v>4620</v>
      </c>
      <c r="E322" s="480" t="str">
        <f t="shared" si="18"/>
        <v>3.1.4.</v>
      </c>
      <c r="F322" s="480" t="s">
        <v>6377</v>
      </c>
      <c r="G322" s="480" t="s">
        <v>4640</v>
      </c>
      <c r="H322" s="481">
        <v>21</v>
      </c>
      <c r="I322" s="480" t="s">
        <v>4641</v>
      </c>
      <c r="J322" s="495">
        <v>210201500</v>
      </c>
      <c r="K322" s="480" t="s">
        <v>4646</v>
      </c>
      <c r="L322" s="480" t="s">
        <v>4648</v>
      </c>
      <c r="M322" s="480" t="s">
        <v>5920</v>
      </c>
      <c r="N322" s="499">
        <v>5</v>
      </c>
      <c r="O322" s="480" t="s">
        <v>4637</v>
      </c>
      <c r="P322" s="515">
        <v>10</v>
      </c>
      <c r="Q322" s="485">
        <v>30010002</v>
      </c>
      <c r="R322" s="485" t="s">
        <v>5507</v>
      </c>
      <c r="S322" s="485" t="s">
        <v>677</v>
      </c>
      <c r="T322" s="485">
        <v>0.95840000000000003</v>
      </c>
      <c r="U322" s="485" t="s">
        <v>5508</v>
      </c>
      <c r="V322" s="485">
        <v>0.9657</v>
      </c>
      <c r="W322" s="485" t="s">
        <v>5351</v>
      </c>
      <c r="X322" s="485" t="s">
        <v>5509</v>
      </c>
      <c r="Y322" s="485" t="s">
        <v>5510</v>
      </c>
      <c r="Z322" s="486">
        <v>0</v>
      </c>
      <c r="AA322" s="486">
        <v>900000000</v>
      </c>
      <c r="AB322" s="486">
        <v>0</v>
      </c>
      <c r="AC322" s="486">
        <v>0</v>
      </c>
      <c r="AD322" s="486">
        <v>0</v>
      </c>
      <c r="AE322" s="486">
        <v>0</v>
      </c>
      <c r="AF322" s="486">
        <v>0</v>
      </c>
      <c r="AG322" s="486">
        <v>0</v>
      </c>
      <c r="AH322" s="487">
        <v>900000000</v>
      </c>
      <c r="AI322" s="486">
        <v>0</v>
      </c>
      <c r="AJ322" s="486">
        <v>0</v>
      </c>
      <c r="AK322" s="486">
        <v>0</v>
      </c>
      <c r="AL322" s="488">
        <v>0</v>
      </c>
      <c r="AM322" s="489">
        <v>900000000</v>
      </c>
      <c r="AN322" s="486">
        <v>0</v>
      </c>
      <c r="AO322" s="486">
        <v>855200000</v>
      </c>
      <c r="AP322" s="486">
        <v>0</v>
      </c>
      <c r="AQ322" s="486">
        <v>0</v>
      </c>
      <c r="AR322" s="486">
        <v>0</v>
      </c>
      <c r="AS322" s="486">
        <v>0</v>
      </c>
      <c r="AT322" s="486">
        <v>0</v>
      </c>
      <c r="AU322" s="486">
        <v>0</v>
      </c>
      <c r="AV322" s="487">
        <v>855200000</v>
      </c>
      <c r="AW322" s="486">
        <v>0</v>
      </c>
      <c r="AX322" s="486">
        <v>0</v>
      </c>
      <c r="AY322" s="486">
        <v>0</v>
      </c>
      <c r="AZ322" s="488">
        <v>0</v>
      </c>
      <c r="BA322" s="490">
        <v>855200000</v>
      </c>
      <c r="BB322" s="486">
        <v>0</v>
      </c>
      <c r="BC322" s="486">
        <v>900000000</v>
      </c>
      <c r="BD322" s="486">
        <v>0</v>
      </c>
      <c r="BE322" s="486">
        <v>0</v>
      </c>
      <c r="BF322" s="486">
        <v>0</v>
      </c>
      <c r="BG322" s="486">
        <v>0</v>
      </c>
      <c r="BH322" s="486">
        <v>0</v>
      </c>
      <c r="BI322" s="486">
        <v>0</v>
      </c>
      <c r="BJ322" s="487">
        <v>900000000</v>
      </c>
      <c r="BK322" s="486">
        <v>0</v>
      </c>
      <c r="BL322" s="486">
        <v>0</v>
      </c>
      <c r="BM322" s="486">
        <v>0</v>
      </c>
      <c r="BN322" s="488">
        <v>0</v>
      </c>
      <c r="BO322" s="490">
        <v>900000000</v>
      </c>
      <c r="BP322" s="486">
        <v>0</v>
      </c>
      <c r="BQ322" s="486">
        <v>800000000</v>
      </c>
      <c r="BR322" s="486">
        <v>0</v>
      </c>
      <c r="BS322" s="486">
        <v>0</v>
      </c>
      <c r="BT322" s="486">
        <v>0</v>
      </c>
      <c r="BU322" s="486">
        <v>0</v>
      </c>
      <c r="BV322" s="486">
        <v>0</v>
      </c>
      <c r="BW322" s="486">
        <v>0</v>
      </c>
      <c r="BX322" s="487">
        <v>800000000</v>
      </c>
      <c r="BY322" s="486">
        <v>0</v>
      </c>
      <c r="BZ322" s="486">
        <v>0</v>
      </c>
      <c r="CA322" s="486">
        <v>0</v>
      </c>
      <c r="CB322" s="488">
        <v>0</v>
      </c>
      <c r="CC322" s="491">
        <v>800000000</v>
      </c>
      <c r="CD322" s="492">
        <v>3455200000</v>
      </c>
      <c r="CE322" s="493">
        <f t="shared" si="21"/>
        <v>0</v>
      </c>
      <c r="CF322" s="493">
        <f t="shared" si="21"/>
        <v>3455200000</v>
      </c>
      <c r="CG322" s="493">
        <f t="shared" si="21"/>
        <v>0</v>
      </c>
      <c r="CH322" s="493">
        <f t="shared" si="21"/>
        <v>0</v>
      </c>
      <c r="CI322" s="493">
        <f t="shared" si="21"/>
        <v>0</v>
      </c>
      <c r="CJ322" s="493">
        <f t="shared" si="21"/>
        <v>0</v>
      </c>
      <c r="CK322" s="493">
        <f t="shared" si="21"/>
        <v>0</v>
      </c>
      <c r="CL322" s="493">
        <f t="shared" si="21"/>
        <v>0</v>
      </c>
      <c r="CM322" s="493">
        <f t="shared" si="19"/>
        <v>0</v>
      </c>
      <c r="CN322" s="493">
        <f t="shared" si="19"/>
        <v>0</v>
      </c>
      <c r="CO322" s="493">
        <f t="shared" si="19"/>
        <v>0</v>
      </c>
    </row>
    <row r="323" spans="1:93" ht="30.45" hidden="1" customHeight="1">
      <c r="A323" s="555" t="s">
        <v>4262</v>
      </c>
      <c r="B323" s="479">
        <v>321</v>
      </c>
      <c r="C323" s="480" t="s">
        <v>6369</v>
      </c>
      <c r="D323" s="480" t="s">
        <v>4620</v>
      </c>
      <c r="E323" s="480" t="str">
        <f t="shared" si="18"/>
        <v>3.1.4.</v>
      </c>
      <c r="F323" s="480" t="s">
        <v>6377</v>
      </c>
      <c r="G323" s="480" t="s">
        <v>4640</v>
      </c>
      <c r="H323" s="481">
        <v>21</v>
      </c>
      <c r="I323" s="480" t="s">
        <v>4641</v>
      </c>
      <c r="J323" s="495">
        <v>210202000</v>
      </c>
      <c r="K323" s="480" t="s">
        <v>4649</v>
      </c>
      <c r="L323" s="480" t="s">
        <v>4650</v>
      </c>
      <c r="M323" s="480" t="s">
        <v>5921</v>
      </c>
      <c r="N323" s="499">
        <v>1</v>
      </c>
      <c r="O323" s="480" t="s">
        <v>4637</v>
      </c>
      <c r="P323" s="515">
        <v>11</v>
      </c>
      <c r="Q323" s="485">
        <v>30010002</v>
      </c>
      <c r="R323" s="485" t="s">
        <v>5507</v>
      </c>
      <c r="S323" s="485" t="s">
        <v>677</v>
      </c>
      <c r="T323" s="485">
        <v>0.95840000000000003</v>
      </c>
      <c r="U323" s="485" t="s">
        <v>5508</v>
      </c>
      <c r="V323" s="485">
        <v>0.9657</v>
      </c>
      <c r="W323" s="485" t="s">
        <v>5351</v>
      </c>
      <c r="X323" s="485" t="s">
        <v>5509</v>
      </c>
      <c r="Y323" s="485" t="s">
        <v>5510</v>
      </c>
      <c r="Z323" s="486">
        <v>0</v>
      </c>
      <c r="AA323" s="486">
        <v>505000000</v>
      </c>
      <c r="AB323" s="486">
        <v>0</v>
      </c>
      <c r="AC323" s="486">
        <v>0</v>
      </c>
      <c r="AD323" s="486">
        <v>0</v>
      </c>
      <c r="AE323" s="486">
        <v>0</v>
      </c>
      <c r="AF323" s="486">
        <v>0</v>
      </c>
      <c r="AG323" s="486">
        <v>0</v>
      </c>
      <c r="AH323" s="487">
        <v>505000000</v>
      </c>
      <c r="AI323" s="486">
        <v>0</v>
      </c>
      <c r="AJ323" s="486">
        <v>0</v>
      </c>
      <c r="AK323" s="486">
        <v>0</v>
      </c>
      <c r="AL323" s="488">
        <v>0</v>
      </c>
      <c r="AM323" s="489">
        <v>505000000</v>
      </c>
      <c r="AN323" s="486">
        <v>0</v>
      </c>
      <c r="AO323" s="486">
        <v>605000000</v>
      </c>
      <c r="AP323" s="486">
        <v>0</v>
      </c>
      <c r="AQ323" s="486">
        <v>0</v>
      </c>
      <c r="AR323" s="486">
        <v>0</v>
      </c>
      <c r="AS323" s="486">
        <v>0</v>
      </c>
      <c r="AT323" s="486">
        <v>0</v>
      </c>
      <c r="AU323" s="486">
        <v>0</v>
      </c>
      <c r="AV323" s="487">
        <v>605000000</v>
      </c>
      <c r="AW323" s="486">
        <v>0</v>
      </c>
      <c r="AX323" s="486">
        <v>0</v>
      </c>
      <c r="AY323" s="486">
        <v>0</v>
      </c>
      <c r="AZ323" s="488">
        <v>0</v>
      </c>
      <c r="BA323" s="490">
        <v>605000000</v>
      </c>
      <c r="BB323" s="486">
        <v>0</v>
      </c>
      <c r="BC323" s="486">
        <v>605000000</v>
      </c>
      <c r="BD323" s="486">
        <v>0</v>
      </c>
      <c r="BE323" s="486">
        <v>0</v>
      </c>
      <c r="BF323" s="486">
        <v>0</v>
      </c>
      <c r="BG323" s="486">
        <v>0</v>
      </c>
      <c r="BH323" s="486">
        <v>0</v>
      </c>
      <c r="BI323" s="486">
        <v>0</v>
      </c>
      <c r="BJ323" s="487">
        <v>605000000</v>
      </c>
      <c r="BK323" s="486">
        <v>0</v>
      </c>
      <c r="BL323" s="486">
        <v>0</v>
      </c>
      <c r="BM323" s="486">
        <v>0</v>
      </c>
      <c r="BN323" s="488">
        <v>0</v>
      </c>
      <c r="BO323" s="490">
        <v>605000000</v>
      </c>
      <c r="BP323" s="486">
        <v>0</v>
      </c>
      <c r="BQ323" s="486">
        <v>705000000</v>
      </c>
      <c r="BR323" s="486">
        <v>0</v>
      </c>
      <c r="BS323" s="486">
        <v>0</v>
      </c>
      <c r="BT323" s="486">
        <v>0</v>
      </c>
      <c r="BU323" s="486">
        <v>0</v>
      </c>
      <c r="BV323" s="486">
        <v>0</v>
      </c>
      <c r="BW323" s="486">
        <v>0</v>
      </c>
      <c r="BX323" s="487">
        <v>705000000</v>
      </c>
      <c r="BY323" s="486">
        <v>0</v>
      </c>
      <c r="BZ323" s="486">
        <v>0</v>
      </c>
      <c r="CA323" s="486">
        <v>0</v>
      </c>
      <c r="CB323" s="488">
        <v>0</v>
      </c>
      <c r="CC323" s="491">
        <v>705000000</v>
      </c>
      <c r="CD323" s="492">
        <v>2420000000</v>
      </c>
      <c r="CE323" s="493">
        <f t="shared" si="21"/>
        <v>0</v>
      </c>
      <c r="CF323" s="493">
        <f t="shared" si="21"/>
        <v>2420000000</v>
      </c>
      <c r="CG323" s="493">
        <f t="shared" si="21"/>
        <v>0</v>
      </c>
      <c r="CH323" s="493">
        <f t="shared" si="21"/>
        <v>0</v>
      </c>
      <c r="CI323" s="493">
        <f t="shared" si="21"/>
        <v>0</v>
      </c>
      <c r="CJ323" s="493">
        <f t="shared" si="21"/>
        <v>0</v>
      </c>
      <c r="CK323" s="493">
        <f t="shared" si="21"/>
        <v>0</v>
      </c>
      <c r="CL323" s="493">
        <f t="shared" si="21"/>
        <v>0</v>
      </c>
      <c r="CM323" s="493">
        <f t="shared" si="19"/>
        <v>0</v>
      </c>
      <c r="CN323" s="493">
        <f t="shared" si="19"/>
        <v>0</v>
      </c>
      <c r="CO323" s="493">
        <f t="shared" si="19"/>
        <v>0</v>
      </c>
    </row>
    <row r="324" spans="1:93" ht="30.45" hidden="1" customHeight="1">
      <c r="A324" s="555" t="s">
        <v>4262</v>
      </c>
      <c r="B324" s="479">
        <v>322</v>
      </c>
      <c r="C324" s="480" t="s">
        <v>6369</v>
      </c>
      <c r="D324" s="480" t="s">
        <v>4620</v>
      </c>
      <c r="E324" s="480" t="str">
        <f t="shared" ref="E324:E387" si="22">MID(F324,1,6)</f>
        <v>3.1.4.</v>
      </c>
      <c r="F324" s="480" t="s">
        <v>6377</v>
      </c>
      <c r="G324" s="480" t="s">
        <v>4640</v>
      </c>
      <c r="H324" s="481">
        <v>21</v>
      </c>
      <c r="I324" s="480" t="s">
        <v>4641</v>
      </c>
      <c r="J324" s="495">
        <v>210202100</v>
      </c>
      <c r="K324" s="480" t="s">
        <v>4649</v>
      </c>
      <c r="L324" s="480" t="s">
        <v>4651</v>
      </c>
      <c r="M324" s="480" t="s">
        <v>5922</v>
      </c>
      <c r="N324" s="499">
        <v>1</v>
      </c>
      <c r="O324" s="480" t="s">
        <v>4637</v>
      </c>
      <c r="P324" s="515">
        <v>6</v>
      </c>
      <c r="Q324" s="485">
        <v>30010002</v>
      </c>
      <c r="R324" s="485" t="s">
        <v>5507</v>
      </c>
      <c r="S324" s="485" t="s">
        <v>677</v>
      </c>
      <c r="T324" s="485">
        <v>0.95840000000000003</v>
      </c>
      <c r="U324" s="485" t="s">
        <v>5508</v>
      </c>
      <c r="V324" s="485">
        <v>0.9657</v>
      </c>
      <c r="W324" s="485" t="s">
        <v>5351</v>
      </c>
      <c r="X324" s="485" t="s">
        <v>5509</v>
      </c>
      <c r="Y324" s="485" t="s">
        <v>5510</v>
      </c>
      <c r="Z324" s="486">
        <v>0</v>
      </c>
      <c r="AA324" s="486">
        <v>250000000</v>
      </c>
      <c r="AB324" s="486">
        <v>0</v>
      </c>
      <c r="AC324" s="486">
        <v>0</v>
      </c>
      <c r="AD324" s="486">
        <v>0</v>
      </c>
      <c r="AE324" s="486">
        <v>0</v>
      </c>
      <c r="AF324" s="486">
        <v>0</v>
      </c>
      <c r="AG324" s="486">
        <v>0</v>
      </c>
      <c r="AH324" s="487">
        <v>250000000</v>
      </c>
      <c r="AI324" s="486">
        <v>0</v>
      </c>
      <c r="AJ324" s="486">
        <v>0</v>
      </c>
      <c r="AK324" s="486">
        <v>0</v>
      </c>
      <c r="AL324" s="488">
        <v>0</v>
      </c>
      <c r="AM324" s="489">
        <v>250000000</v>
      </c>
      <c r="AN324" s="486">
        <v>0</v>
      </c>
      <c r="AO324" s="486">
        <v>350000000</v>
      </c>
      <c r="AP324" s="486">
        <v>0</v>
      </c>
      <c r="AQ324" s="486">
        <v>0</v>
      </c>
      <c r="AR324" s="486">
        <v>0</v>
      </c>
      <c r="AS324" s="486">
        <v>0</v>
      </c>
      <c r="AT324" s="486">
        <v>0</v>
      </c>
      <c r="AU324" s="486">
        <v>0</v>
      </c>
      <c r="AV324" s="487">
        <v>350000000</v>
      </c>
      <c r="AW324" s="486">
        <v>0</v>
      </c>
      <c r="AX324" s="486">
        <v>0</v>
      </c>
      <c r="AY324" s="486">
        <v>0</v>
      </c>
      <c r="AZ324" s="488">
        <v>0</v>
      </c>
      <c r="BA324" s="490">
        <v>350000000</v>
      </c>
      <c r="BB324" s="486">
        <v>0</v>
      </c>
      <c r="BC324" s="486">
        <v>350000000</v>
      </c>
      <c r="BD324" s="486">
        <v>0</v>
      </c>
      <c r="BE324" s="486">
        <v>0</v>
      </c>
      <c r="BF324" s="486">
        <v>0</v>
      </c>
      <c r="BG324" s="486">
        <v>0</v>
      </c>
      <c r="BH324" s="486">
        <v>0</v>
      </c>
      <c r="BI324" s="486">
        <v>0</v>
      </c>
      <c r="BJ324" s="487">
        <v>350000000</v>
      </c>
      <c r="BK324" s="486">
        <v>0</v>
      </c>
      <c r="BL324" s="486">
        <v>0</v>
      </c>
      <c r="BM324" s="486">
        <v>0</v>
      </c>
      <c r="BN324" s="488">
        <v>0</v>
      </c>
      <c r="BO324" s="490">
        <v>350000000</v>
      </c>
      <c r="BP324" s="486">
        <v>0</v>
      </c>
      <c r="BQ324" s="486">
        <v>350000000</v>
      </c>
      <c r="BR324" s="486">
        <v>0</v>
      </c>
      <c r="BS324" s="486">
        <v>0</v>
      </c>
      <c r="BT324" s="486">
        <v>0</v>
      </c>
      <c r="BU324" s="486">
        <v>0</v>
      </c>
      <c r="BV324" s="486">
        <v>0</v>
      </c>
      <c r="BW324" s="486">
        <v>0</v>
      </c>
      <c r="BX324" s="487">
        <v>350000000</v>
      </c>
      <c r="BY324" s="486">
        <v>0</v>
      </c>
      <c r="BZ324" s="486">
        <v>0</v>
      </c>
      <c r="CA324" s="486">
        <v>0</v>
      </c>
      <c r="CB324" s="488">
        <v>0</v>
      </c>
      <c r="CC324" s="491">
        <v>350000000</v>
      </c>
      <c r="CD324" s="492">
        <v>1300000000</v>
      </c>
      <c r="CE324" s="493">
        <f t="shared" si="21"/>
        <v>0</v>
      </c>
      <c r="CF324" s="493">
        <f t="shared" si="21"/>
        <v>1300000000</v>
      </c>
      <c r="CG324" s="493">
        <f t="shared" si="21"/>
        <v>0</v>
      </c>
      <c r="CH324" s="493">
        <f t="shared" si="21"/>
        <v>0</v>
      </c>
      <c r="CI324" s="493">
        <f t="shared" si="21"/>
        <v>0</v>
      </c>
      <c r="CJ324" s="493">
        <f t="shared" si="21"/>
        <v>0</v>
      </c>
      <c r="CK324" s="493">
        <f t="shared" si="21"/>
        <v>0</v>
      </c>
      <c r="CL324" s="493">
        <f t="shared" si="21"/>
        <v>0</v>
      </c>
      <c r="CM324" s="493">
        <f t="shared" ref="CM324:CO387" si="23">AI324+AW324+BK324+BY324</f>
        <v>0</v>
      </c>
      <c r="CN324" s="493">
        <f t="shared" si="23"/>
        <v>0</v>
      </c>
      <c r="CO324" s="493">
        <f t="shared" si="23"/>
        <v>0</v>
      </c>
    </row>
    <row r="325" spans="1:93" ht="30.45" hidden="1" customHeight="1">
      <c r="A325" s="555" t="s">
        <v>4262</v>
      </c>
      <c r="B325" s="479">
        <v>323</v>
      </c>
      <c r="C325" s="480" t="s">
        <v>6369</v>
      </c>
      <c r="D325" s="480" t="s">
        <v>4620</v>
      </c>
      <c r="E325" s="480" t="str">
        <f t="shared" si="22"/>
        <v>3.1.4.</v>
      </c>
      <c r="F325" s="480" t="s">
        <v>6377</v>
      </c>
      <c r="G325" s="480" t="s">
        <v>4640</v>
      </c>
      <c r="H325" s="481">
        <v>21</v>
      </c>
      <c r="I325" s="480" t="s">
        <v>4641</v>
      </c>
      <c r="J325" s="495">
        <v>210204500</v>
      </c>
      <c r="K325" s="480" t="s">
        <v>4652</v>
      </c>
      <c r="L325" s="480" t="s">
        <v>4653</v>
      </c>
      <c r="M325" s="480" t="s">
        <v>5923</v>
      </c>
      <c r="N325" s="499">
        <v>719</v>
      </c>
      <c r="O325" s="480" t="s">
        <v>4637</v>
      </c>
      <c r="P325" s="515">
        <v>1519</v>
      </c>
      <c r="Q325" s="485">
        <v>30010002</v>
      </c>
      <c r="R325" s="485" t="s">
        <v>5507</v>
      </c>
      <c r="S325" s="485" t="s">
        <v>677</v>
      </c>
      <c r="T325" s="485">
        <v>0.95840000000000003</v>
      </c>
      <c r="U325" s="485" t="s">
        <v>5508</v>
      </c>
      <c r="V325" s="485">
        <v>0.9657</v>
      </c>
      <c r="W325" s="485" t="s">
        <v>5351</v>
      </c>
      <c r="X325" s="485" t="s">
        <v>5509</v>
      </c>
      <c r="Y325" s="485" t="s">
        <v>5510</v>
      </c>
      <c r="Z325" s="486">
        <v>0</v>
      </c>
      <c r="AA325" s="486">
        <v>1000000000</v>
      </c>
      <c r="AB325" s="486">
        <v>0</v>
      </c>
      <c r="AC325" s="486">
        <v>0</v>
      </c>
      <c r="AD325" s="486">
        <v>0</v>
      </c>
      <c r="AE325" s="486">
        <v>0</v>
      </c>
      <c r="AF325" s="486">
        <v>0</v>
      </c>
      <c r="AG325" s="486">
        <v>0</v>
      </c>
      <c r="AH325" s="487">
        <v>1000000000</v>
      </c>
      <c r="AI325" s="486">
        <v>0</v>
      </c>
      <c r="AJ325" s="486">
        <v>0</v>
      </c>
      <c r="AK325" s="486">
        <v>0</v>
      </c>
      <c r="AL325" s="488">
        <v>0</v>
      </c>
      <c r="AM325" s="489">
        <v>1000000000</v>
      </c>
      <c r="AN325" s="486">
        <v>0</v>
      </c>
      <c r="AO325" s="486">
        <v>1000000000</v>
      </c>
      <c r="AP325" s="486">
        <v>0</v>
      </c>
      <c r="AQ325" s="486">
        <v>0</v>
      </c>
      <c r="AR325" s="486">
        <v>0</v>
      </c>
      <c r="AS325" s="486">
        <v>0</v>
      </c>
      <c r="AT325" s="486">
        <v>0</v>
      </c>
      <c r="AU325" s="486">
        <v>0</v>
      </c>
      <c r="AV325" s="487">
        <v>1000000000</v>
      </c>
      <c r="AW325" s="486">
        <v>0</v>
      </c>
      <c r="AX325" s="486">
        <v>0</v>
      </c>
      <c r="AY325" s="486">
        <v>0</v>
      </c>
      <c r="AZ325" s="488">
        <v>0</v>
      </c>
      <c r="BA325" s="490">
        <v>1000000000</v>
      </c>
      <c r="BB325" s="486">
        <v>0</v>
      </c>
      <c r="BC325" s="486">
        <v>1174608000</v>
      </c>
      <c r="BD325" s="486">
        <v>0</v>
      </c>
      <c r="BE325" s="486">
        <v>0</v>
      </c>
      <c r="BF325" s="486">
        <v>0</v>
      </c>
      <c r="BG325" s="486">
        <v>0</v>
      </c>
      <c r="BH325" s="486">
        <v>0</v>
      </c>
      <c r="BI325" s="486">
        <v>0</v>
      </c>
      <c r="BJ325" s="487">
        <v>1174608000</v>
      </c>
      <c r="BK325" s="486">
        <v>0</v>
      </c>
      <c r="BL325" s="486">
        <v>0</v>
      </c>
      <c r="BM325" s="486">
        <v>0</v>
      </c>
      <c r="BN325" s="488">
        <v>0</v>
      </c>
      <c r="BO325" s="490">
        <v>1174608000</v>
      </c>
      <c r="BP325" s="486">
        <v>0</v>
      </c>
      <c r="BQ325" s="486">
        <v>1174608000</v>
      </c>
      <c r="BR325" s="486">
        <v>0</v>
      </c>
      <c r="BS325" s="486">
        <v>0</v>
      </c>
      <c r="BT325" s="486">
        <v>0</v>
      </c>
      <c r="BU325" s="486">
        <v>0</v>
      </c>
      <c r="BV325" s="486">
        <v>0</v>
      </c>
      <c r="BW325" s="486">
        <v>0</v>
      </c>
      <c r="BX325" s="487">
        <v>1174608000</v>
      </c>
      <c r="BY325" s="486">
        <v>0</v>
      </c>
      <c r="BZ325" s="486">
        <v>0</v>
      </c>
      <c r="CA325" s="486">
        <v>0</v>
      </c>
      <c r="CB325" s="488">
        <v>0</v>
      </c>
      <c r="CC325" s="491">
        <v>1174608000</v>
      </c>
      <c r="CD325" s="492">
        <v>4349216000</v>
      </c>
      <c r="CE325" s="493">
        <f t="shared" si="21"/>
        <v>0</v>
      </c>
      <c r="CF325" s="493">
        <f t="shared" si="21"/>
        <v>4349216000</v>
      </c>
      <c r="CG325" s="493">
        <f t="shared" si="21"/>
        <v>0</v>
      </c>
      <c r="CH325" s="493">
        <f t="shared" si="21"/>
        <v>0</v>
      </c>
      <c r="CI325" s="493">
        <f t="shared" si="21"/>
        <v>0</v>
      </c>
      <c r="CJ325" s="493">
        <f t="shared" si="21"/>
        <v>0</v>
      </c>
      <c r="CK325" s="493">
        <f t="shared" si="21"/>
        <v>0</v>
      </c>
      <c r="CL325" s="493">
        <f t="shared" si="21"/>
        <v>0</v>
      </c>
      <c r="CM325" s="493">
        <f t="shared" si="23"/>
        <v>0</v>
      </c>
      <c r="CN325" s="493">
        <f t="shared" si="23"/>
        <v>0</v>
      </c>
      <c r="CO325" s="493">
        <f t="shared" si="23"/>
        <v>0</v>
      </c>
    </row>
    <row r="326" spans="1:93" ht="30.45" hidden="1" customHeight="1">
      <c r="A326" s="555" t="s">
        <v>4262</v>
      </c>
      <c r="B326" s="479">
        <v>324</v>
      </c>
      <c r="C326" s="480" t="s">
        <v>6369</v>
      </c>
      <c r="D326" s="480" t="s">
        <v>4620</v>
      </c>
      <c r="E326" s="480" t="str">
        <f t="shared" si="22"/>
        <v>3.1.4.</v>
      </c>
      <c r="F326" s="480" t="s">
        <v>6377</v>
      </c>
      <c r="G326" s="480" t="s">
        <v>4640</v>
      </c>
      <c r="H326" s="481">
        <v>21</v>
      </c>
      <c r="I326" s="480" t="s">
        <v>4641</v>
      </c>
      <c r="J326" s="495">
        <v>210205600</v>
      </c>
      <c r="K326" s="480" t="s">
        <v>4315</v>
      </c>
      <c r="L326" s="480" t="s">
        <v>4654</v>
      </c>
      <c r="M326" s="480" t="s">
        <v>5924</v>
      </c>
      <c r="N326" s="499">
        <v>0</v>
      </c>
      <c r="O326" s="480" t="s">
        <v>4637</v>
      </c>
      <c r="P326" s="515">
        <v>300</v>
      </c>
      <c r="Q326" s="485">
        <v>30010002</v>
      </c>
      <c r="R326" s="485" t="s">
        <v>5507</v>
      </c>
      <c r="S326" s="485" t="s">
        <v>677</v>
      </c>
      <c r="T326" s="485">
        <v>0.95840000000000003</v>
      </c>
      <c r="U326" s="485" t="s">
        <v>5508</v>
      </c>
      <c r="V326" s="485">
        <v>0.9657</v>
      </c>
      <c r="W326" s="485" t="s">
        <v>5351</v>
      </c>
      <c r="X326" s="485" t="s">
        <v>5509</v>
      </c>
      <c r="Y326" s="485" t="s">
        <v>5510</v>
      </c>
      <c r="Z326" s="486">
        <v>0</v>
      </c>
      <c r="AA326" s="486">
        <v>250000000</v>
      </c>
      <c r="AB326" s="486">
        <v>0</v>
      </c>
      <c r="AC326" s="486">
        <v>0</v>
      </c>
      <c r="AD326" s="486">
        <v>0</v>
      </c>
      <c r="AE326" s="486">
        <v>0</v>
      </c>
      <c r="AF326" s="486">
        <v>0</v>
      </c>
      <c r="AG326" s="486">
        <v>0</v>
      </c>
      <c r="AH326" s="487">
        <v>250000000</v>
      </c>
      <c r="AI326" s="486">
        <v>0</v>
      </c>
      <c r="AJ326" s="486">
        <v>0</v>
      </c>
      <c r="AK326" s="486">
        <v>0</v>
      </c>
      <c r="AL326" s="488">
        <v>0</v>
      </c>
      <c r="AM326" s="489">
        <v>250000000</v>
      </c>
      <c r="AN326" s="486">
        <v>0</v>
      </c>
      <c r="AO326" s="486">
        <v>250000000</v>
      </c>
      <c r="AP326" s="486">
        <v>0</v>
      </c>
      <c r="AQ326" s="486">
        <v>0</v>
      </c>
      <c r="AR326" s="486">
        <v>0</v>
      </c>
      <c r="AS326" s="486">
        <v>0</v>
      </c>
      <c r="AT326" s="486">
        <v>0</v>
      </c>
      <c r="AU326" s="486">
        <v>0</v>
      </c>
      <c r="AV326" s="487">
        <v>250000000</v>
      </c>
      <c r="AW326" s="486">
        <v>0</v>
      </c>
      <c r="AX326" s="486">
        <v>0</v>
      </c>
      <c r="AY326" s="486">
        <v>0</v>
      </c>
      <c r="AZ326" s="488">
        <v>0</v>
      </c>
      <c r="BA326" s="490">
        <v>250000000</v>
      </c>
      <c r="BB326" s="486">
        <v>0</v>
      </c>
      <c r="BC326" s="486">
        <v>350000000</v>
      </c>
      <c r="BD326" s="486">
        <v>0</v>
      </c>
      <c r="BE326" s="486">
        <v>0</v>
      </c>
      <c r="BF326" s="486">
        <v>0</v>
      </c>
      <c r="BG326" s="486">
        <v>0</v>
      </c>
      <c r="BH326" s="486">
        <v>0</v>
      </c>
      <c r="BI326" s="486">
        <v>0</v>
      </c>
      <c r="BJ326" s="487">
        <v>350000000</v>
      </c>
      <c r="BK326" s="486">
        <v>0</v>
      </c>
      <c r="BL326" s="486">
        <v>0</v>
      </c>
      <c r="BM326" s="486">
        <v>0</v>
      </c>
      <c r="BN326" s="488">
        <v>0</v>
      </c>
      <c r="BO326" s="490">
        <v>350000000</v>
      </c>
      <c r="BP326" s="486">
        <v>0</v>
      </c>
      <c r="BQ326" s="486">
        <v>350000000</v>
      </c>
      <c r="BR326" s="486">
        <v>0</v>
      </c>
      <c r="BS326" s="486">
        <v>0</v>
      </c>
      <c r="BT326" s="486">
        <v>0</v>
      </c>
      <c r="BU326" s="486">
        <v>0</v>
      </c>
      <c r="BV326" s="486">
        <v>0</v>
      </c>
      <c r="BW326" s="486">
        <v>0</v>
      </c>
      <c r="BX326" s="487">
        <v>350000000</v>
      </c>
      <c r="BY326" s="486">
        <v>0</v>
      </c>
      <c r="BZ326" s="486">
        <v>0</v>
      </c>
      <c r="CA326" s="486">
        <v>0</v>
      </c>
      <c r="CB326" s="488">
        <v>0</v>
      </c>
      <c r="CC326" s="491">
        <v>350000000</v>
      </c>
      <c r="CD326" s="492">
        <v>1200000000</v>
      </c>
      <c r="CE326" s="493">
        <f t="shared" si="21"/>
        <v>0</v>
      </c>
      <c r="CF326" s="493">
        <f t="shared" si="21"/>
        <v>1200000000</v>
      </c>
      <c r="CG326" s="493">
        <f t="shared" si="21"/>
        <v>0</v>
      </c>
      <c r="CH326" s="493">
        <f t="shared" si="21"/>
        <v>0</v>
      </c>
      <c r="CI326" s="493">
        <f t="shared" si="21"/>
        <v>0</v>
      </c>
      <c r="CJ326" s="493">
        <f t="shared" si="21"/>
        <v>0</v>
      </c>
      <c r="CK326" s="493">
        <f t="shared" si="21"/>
        <v>0</v>
      </c>
      <c r="CL326" s="493">
        <f t="shared" si="21"/>
        <v>0</v>
      </c>
      <c r="CM326" s="493">
        <f t="shared" si="23"/>
        <v>0</v>
      </c>
      <c r="CN326" s="493">
        <f t="shared" si="23"/>
        <v>0</v>
      </c>
      <c r="CO326" s="493">
        <f t="shared" si="23"/>
        <v>0</v>
      </c>
    </row>
    <row r="327" spans="1:93" ht="30.45" hidden="1" customHeight="1">
      <c r="A327" s="555" t="s">
        <v>4262</v>
      </c>
      <c r="B327" s="479">
        <v>325</v>
      </c>
      <c r="C327" s="480" t="s">
        <v>6369</v>
      </c>
      <c r="D327" s="480" t="s">
        <v>4620</v>
      </c>
      <c r="E327" s="480" t="str">
        <f t="shared" si="22"/>
        <v>3.1.4.</v>
      </c>
      <c r="F327" s="480" t="s">
        <v>6377</v>
      </c>
      <c r="G327" s="480" t="s">
        <v>4640</v>
      </c>
      <c r="H327" s="481">
        <v>21</v>
      </c>
      <c r="I327" s="480" t="s">
        <v>4641</v>
      </c>
      <c r="J327" s="495">
        <v>210205800</v>
      </c>
      <c r="K327" s="480" t="s">
        <v>4315</v>
      </c>
      <c r="L327" s="480" t="s">
        <v>4655</v>
      </c>
      <c r="M327" s="480" t="s">
        <v>5925</v>
      </c>
      <c r="N327" s="499">
        <v>326</v>
      </c>
      <c r="O327" s="480" t="s">
        <v>4637</v>
      </c>
      <c r="P327" s="515">
        <v>826</v>
      </c>
      <c r="Q327" s="485">
        <v>30010002</v>
      </c>
      <c r="R327" s="485" t="s">
        <v>5507</v>
      </c>
      <c r="S327" s="485" t="s">
        <v>677</v>
      </c>
      <c r="T327" s="485">
        <v>0.95840000000000003</v>
      </c>
      <c r="U327" s="485" t="s">
        <v>5508</v>
      </c>
      <c r="V327" s="485">
        <v>0.9657</v>
      </c>
      <c r="W327" s="485" t="s">
        <v>5351</v>
      </c>
      <c r="X327" s="485" t="s">
        <v>5509</v>
      </c>
      <c r="Y327" s="485" t="s">
        <v>5510</v>
      </c>
      <c r="Z327" s="486">
        <v>0</v>
      </c>
      <c r="AA327" s="486">
        <v>3000000000</v>
      </c>
      <c r="AB327" s="486">
        <v>0</v>
      </c>
      <c r="AC327" s="486">
        <v>0</v>
      </c>
      <c r="AD327" s="486">
        <v>0</v>
      </c>
      <c r="AE327" s="486">
        <v>0</v>
      </c>
      <c r="AF327" s="486">
        <v>0</v>
      </c>
      <c r="AG327" s="486">
        <v>0</v>
      </c>
      <c r="AH327" s="487">
        <v>3000000000</v>
      </c>
      <c r="AI327" s="486">
        <v>0</v>
      </c>
      <c r="AJ327" s="486">
        <v>0</v>
      </c>
      <c r="AK327" s="486">
        <v>0</v>
      </c>
      <c r="AL327" s="488">
        <v>0</v>
      </c>
      <c r="AM327" s="489">
        <v>3000000000</v>
      </c>
      <c r="AN327" s="486">
        <v>0</v>
      </c>
      <c r="AO327" s="486">
        <v>3100000000</v>
      </c>
      <c r="AP327" s="486">
        <v>0</v>
      </c>
      <c r="AQ327" s="486">
        <v>0</v>
      </c>
      <c r="AR327" s="486">
        <v>0</v>
      </c>
      <c r="AS327" s="486">
        <v>0</v>
      </c>
      <c r="AT327" s="486">
        <v>0</v>
      </c>
      <c r="AU327" s="486">
        <v>0</v>
      </c>
      <c r="AV327" s="487">
        <v>3100000000</v>
      </c>
      <c r="AW327" s="486">
        <v>0</v>
      </c>
      <c r="AX327" s="486">
        <v>0</v>
      </c>
      <c r="AY327" s="486">
        <v>0</v>
      </c>
      <c r="AZ327" s="488">
        <v>0</v>
      </c>
      <c r="BA327" s="490">
        <v>3100000000</v>
      </c>
      <c r="BB327" s="486">
        <v>0</v>
      </c>
      <c r="BC327" s="486">
        <v>3200000000</v>
      </c>
      <c r="BD327" s="486">
        <v>0</v>
      </c>
      <c r="BE327" s="486">
        <v>0</v>
      </c>
      <c r="BF327" s="486">
        <v>0</v>
      </c>
      <c r="BG327" s="486">
        <v>0</v>
      </c>
      <c r="BH327" s="486">
        <v>0</v>
      </c>
      <c r="BI327" s="486">
        <v>0</v>
      </c>
      <c r="BJ327" s="487">
        <v>3200000000</v>
      </c>
      <c r="BK327" s="486">
        <v>0</v>
      </c>
      <c r="BL327" s="486">
        <v>0</v>
      </c>
      <c r="BM327" s="486">
        <v>0</v>
      </c>
      <c r="BN327" s="488">
        <v>0</v>
      </c>
      <c r="BO327" s="490">
        <v>3200000000</v>
      </c>
      <c r="BP327" s="486">
        <v>0</v>
      </c>
      <c r="BQ327" s="486">
        <v>3284184320</v>
      </c>
      <c r="BR327" s="486">
        <v>0</v>
      </c>
      <c r="BS327" s="486">
        <v>0</v>
      </c>
      <c r="BT327" s="486">
        <v>0</v>
      </c>
      <c r="BU327" s="486">
        <v>0</v>
      </c>
      <c r="BV327" s="486">
        <v>0</v>
      </c>
      <c r="BW327" s="486">
        <v>0</v>
      </c>
      <c r="BX327" s="487">
        <v>3284184320</v>
      </c>
      <c r="BY327" s="486">
        <v>0</v>
      </c>
      <c r="BZ327" s="486">
        <v>0</v>
      </c>
      <c r="CA327" s="486">
        <v>0</v>
      </c>
      <c r="CB327" s="488">
        <v>0</v>
      </c>
      <c r="CC327" s="491">
        <v>3284184320</v>
      </c>
      <c r="CD327" s="492">
        <v>12584184320</v>
      </c>
      <c r="CE327" s="493">
        <f t="shared" si="21"/>
        <v>0</v>
      </c>
      <c r="CF327" s="493">
        <f t="shared" si="21"/>
        <v>12584184320</v>
      </c>
      <c r="CG327" s="493">
        <f t="shared" si="21"/>
        <v>0</v>
      </c>
      <c r="CH327" s="493">
        <f t="shared" si="21"/>
        <v>0</v>
      </c>
      <c r="CI327" s="493">
        <f t="shared" si="21"/>
        <v>0</v>
      </c>
      <c r="CJ327" s="493">
        <f t="shared" si="21"/>
        <v>0</v>
      </c>
      <c r="CK327" s="493">
        <f t="shared" si="21"/>
        <v>0</v>
      </c>
      <c r="CL327" s="493">
        <f t="shared" si="21"/>
        <v>0</v>
      </c>
      <c r="CM327" s="493">
        <f t="shared" si="23"/>
        <v>0</v>
      </c>
      <c r="CN327" s="493">
        <f t="shared" si="23"/>
        <v>0</v>
      </c>
      <c r="CO327" s="493">
        <f t="shared" si="23"/>
        <v>0</v>
      </c>
    </row>
    <row r="328" spans="1:93" ht="30.45" hidden="1" customHeight="1">
      <c r="A328" s="555" t="s">
        <v>4262</v>
      </c>
      <c r="B328" s="479">
        <v>326</v>
      </c>
      <c r="C328" s="480" t="s">
        <v>6369</v>
      </c>
      <c r="D328" s="480" t="s">
        <v>4620</v>
      </c>
      <c r="E328" s="480" t="str">
        <f t="shared" si="22"/>
        <v>3.1.4.</v>
      </c>
      <c r="F328" s="480" t="s">
        <v>6377</v>
      </c>
      <c r="G328" s="480" t="s">
        <v>4640</v>
      </c>
      <c r="H328" s="481">
        <v>21</v>
      </c>
      <c r="I328" s="480" t="s">
        <v>4266</v>
      </c>
      <c r="J328" s="495">
        <v>210501500</v>
      </c>
      <c r="K328" s="480" t="s">
        <v>6138</v>
      </c>
      <c r="L328" s="480" t="s">
        <v>4656</v>
      </c>
      <c r="M328" s="480" t="s">
        <v>5926</v>
      </c>
      <c r="N328" s="499">
        <v>0</v>
      </c>
      <c r="O328" s="480" t="s">
        <v>4637</v>
      </c>
      <c r="P328" s="515">
        <v>1000000000</v>
      </c>
      <c r="Q328" s="485">
        <v>30010002</v>
      </c>
      <c r="R328" s="485" t="s">
        <v>5507</v>
      </c>
      <c r="S328" s="485" t="s">
        <v>677</v>
      </c>
      <c r="T328" s="485">
        <v>0.95840000000000003</v>
      </c>
      <c r="U328" s="485" t="s">
        <v>5508</v>
      </c>
      <c r="V328" s="485">
        <v>0.9657</v>
      </c>
      <c r="W328" s="485" t="s">
        <v>5351</v>
      </c>
      <c r="X328" s="485" t="s">
        <v>5509</v>
      </c>
      <c r="Y328" s="485" t="s">
        <v>5510</v>
      </c>
      <c r="Z328" s="486">
        <v>0</v>
      </c>
      <c r="AA328" s="486">
        <v>0</v>
      </c>
      <c r="AB328" s="486">
        <v>0</v>
      </c>
      <c r="AC328" s="486">
        <v>0</v>
      </c>
      <c r="AD328" s="486">
        <v>0</v>
      </c>
      <c r="AE328" s="486">
        <v>0</v>
      </c>
      <c r="AF328" s="486">
        <v>0</v>
      </c>
      <c r="AG328" s="486">
        <v>0</v>
      </c>
      <c r="AH328" s="487">
        <v>0</v>
      </c>
      <c r="AI328" s="486">
        <v>0</v>
      </c>
      <c r="AJ328" s="486">
        <v>0</v>
      </c>
      <c r="AK328" s="486">
        <v>0</v>
      </c>
      <c r="AL328" s="488">
        <v>0</v>
      </c>
      <c r="AM328" s="489">
        <v>0</v>
      </c>
      <c r="AN328" s="486">
        <v>0</v>
      </c>
      <c r="AO328" s="486">
        <v>0</v>
      </c>
      <c r="AP328" s="486">
        <v>0</v>
      </c>
      <c r="AQ328" s="486">
        <v>0</v>
      </c>
      <c r="AR328" s="486">
        <v>0</v>
      </c>
      <c r="AS328" s="486">
        <v>0</v>
      </c>
      <c r="AT328" s="486">
        <v>0</v>
      </c>
      <c r="AU328" s="486">
        <v>0</v>
      </c>
      <c r="AV328" s="487">
        <v>0</v>
      </c>
      <c r="AW328" s="486">
        <v>300000000</v>
      </c>
      <c r="AX328" s="486">
        <v>0</v>
      </c>
      <c r="AY328" s="486">
        <v>0</v>
      </c>
      <c r="AZ328" s="488">
        <v>300000000</v>
      </c>
      <c r="BA328" s="490">
        <v>300000000</v>
      </c>
      <c r="BB328" s="486">
        <v>0</v>
      </c>
      <c r="BC328" s="486">
        <v>0</v>
      </c>
      <c r="BD328" s="486">
        <v>0</v>
      </c>
      <c r="BE328" s="486">
        <v>0</v>
      </c>
      <c r="BF328" s="486">
        <v>0</v>
      </c>
      <c r="BG328" s="486">
        <v>0</v>
      </c>
      <c r="BH328" s="486">
        <v>0</v>
      </c>
      <c r="BI328" s="486">
        <v>0</v>
      </c>
      <c r="BJ328" s="487">
        <v>0</v>
      </c>
      <c r="BK328" s="486">
        <v>400000000</v>
      </c>
      <c r="BL328" s="486">
        <v>0</v>
      </c>
      <c r="BM328" s="486">
        <v>0</v>
      </c>
      <c r="BN328" s="488">
        <v>400000000</v>
      </c>
      <c r="BO328" s="490">
        <v>400000000</v>
      </c>
      <c r="BP328" s="486">
        <v>0</v>
      </c>
      <c r="BQ328" s="486">
        <v>0</v>
      </c>
      <c r="BR328" s="486">
        <v>0</v>
      </c>
      <c r="BS328" s="486">
        <v>0</v>
      </c>
      <c r="BT328" s="486">
        <v>0</v>
      </c>
      <c r="BU328" s="486">
        <v>0</v>
      </c>
      <c r="BV328" s="486">
        <v>0</v>
      </c>
      <c r="BW328" s="486">
        <v>0</v>
      </c>
      <c r="BX328" s="487">
        <v>0</v>
      </c>
      <c r="BY328" s="486">
        <v>300000000</v>
      </c>
      <c r="BZ328" s="486">
        <v>0</v>
      </c>
      <c r="CA328" s="486">
        <v>0</v>
      </c>
      <c r="CB328" s="488">
        <v>300000000</v>
      </c>
      <c r="CC328" s="491">
        <v>300000000</v>
      </c>
      <c r="CD328" s="492">
        <v>1000000000</v>
      </c>
      <c r="CE328" s="493">
        <f t="shared" si="21"/>
        <v>0</v>
      </c>
      <c r="CF328" s="493">
        <f t="shared" si="21"/>
        <v>0</v>
      </c>
      <c r="CG328" s="493">
        <f t="shared" si="21"/>
        <v>0</v>
      </c>
      <c r="CH328" s="493">
        <f t="shared" si="21"/>
        <v>0</v>
      </c>
      <c r="CI328" s="493">
        <f t="shared" si="21"/>
        <v>0</v>
      </c>
      <c r="CJ328" s="493">
        <f t="shared" si="21"/>
        <v>0</v>
      </c>
      <c r="CK328" s="493">
        <f t="shared" si="21"/>
        <v>0</v>
      </c>
      <c r="CL328" s="493">
        <f t="shared" si="21"/>
        <v>0</v>
      </c>
      <c r="CM328" s="493">
        <f t="shared" si="23"/>
        <v>1000000000</v>
      </c>
      <c r="CN328" s="493">
        <f t="shared" si="23"/>
        <v>0</v>
      </c>
      <c r="CO328" s="493">
        <f t="shared" si="23"/>
        <v>0</v>
      </c>
    </row>
    <row r="329" spans="1:93" ht="30.45" hidden="1" customHeight="1">
      <c r="A329" s="556" t="s">
        <v>4262</v>
      </c>
      <c r="B329" s="479">
        <v>327</v>
      </c>
      <c r="C329" s="480" t="s">
        <v>6369</v>
      </c>
      <c r="D329" s="480" t="s">
        <v>4620</v>
      </c>
      <c r="E329" s="480" t="str">
        <f t="shared" si="22"/>
        <v>3.1.4.</v>
      </c>
      <c r="F329" s="480" t="s">
        <v>6377</v>
      </c>
      <c r="G329" s="480" t="s">
        <v>4640</v>
      </c>
      <c r="H329" s="481">
        <v>21</v>
      </c>
      <c r="I329" s="480" t="s">
        <v>4266</v>
      </c>
      <c r="J329" s="495">
        <v>210501700</v>
      </c>
      <c r="K329" s="510" t="s">
        <v>4657</v>
      </c>
      <c r="L329" s="510" t="s">
        <v>4658</v>
      </c>
      <c r="M329" s="510" t="s">
        <v>6194</v>
      </c>
      <c r="N329" s="499">
        <v>0</v>
      </c>
      <c r="O329" s="510" t="s">
        <v>4637</v>
      </c>
      <c r="P329" s="515">
        <v>1</v>
      </c>
      <c r="Q329" s="485">
        <v>30010002</v>
      </c>
      <c r="R329" s="485" t="s">
        <v>5507</v>
      </c>
      <c r="S329" s="485" t="s">
        <v>677</v>
      </c>
      <c r="T329" s="485">
        <v>0.95840000000000003</v>
      </c>
      <c r="U329" s="485" t="s">
        <v>5508</v>
      </c>
      <c r="V329" s="485">
        <v>0.9657</v>
      </c>
      <c r="W329" s="485" t="s">
        <v>5351</v>
      </c>
      <c r="X329" s="485" t="s">
        <v>5509</v>
      </c>
      <c r="Y329" s="485" t="s">
        <v>5510</v>
      </c>
      <c r="Z329" s="486">
        <v>0</v>
      </c>
      <c r="AA329" s="486">
        <v>100000000</v>
      </c>
      <c r="AB329" s="486">
        <v>0</v>
      </c>
      <c r="AC329" s="486">
        <v>0</v>
      </c>
      <c r="AD329" s="486">
        <v>0</v>
      </c>
      <c r="AE329" s="486">
        <v>0</v>
      </c>
      <c r="AF329" s="486">
        <v>0</v>
      </c>
      <c r="AG329" s="486">
        <v>0</v>
      </c>
      <c r="AH329" s="487">
        <v>100000000</v>
      </c>
      <c r="AI329" s="486">
        <v>0</v>
      </c>
      <c r="AJ329" s="486">
        <v>0</v>
      </c>
      <c r="AK329" s="486">
        <v>0</v>
      </c>
      <c r="AL329" s="488">
        <v>0</v>
      </c>
      <c r="AM329" s="489">
        <v>100000000</v>
      </c>
      <c r="AN329" s="486">
        <v>0</v>
      </c>
      <c r="AO329" s="486">
        <v>200000000</v>
      </c>
      <c r="AP329" s="486">
        <v>0</v>
      </c>
      <c r="AQ329" s="486">
        <v>0</v>
      </c>
      <c r="AR329" s="486">
        <v>0</v>
      </c>
      <c r="AS329" s="486">
        <v>0</v>
      </c>
      <c r="AT329" s="486">
        <v>0</v>
      </c>
      <c r="AU329" s="486">
        <v>0</v>
      </c>
      <c r="AV329" s="487">
        <v>200000000</v>
      </c>
      <c r="AW329" s="486">
        <v>0</v>
      </c>
      <c r="AX329" s="486">
        <v>0</v>
      </c>
      <c r="AY329" s="486">
        <v>0</v>
      </c>
      <c r="AZ329" s="488">
        <v>0</v>
      </c>
      <c r="BA329" s="490">
        <v>200000000</v>
      </c>
      <c r="BB329" s="486">
        <v>0</v>
      </c>
      <c r="BC329" s="486">
        <v>200000000</v>
      </c>
      <c r="BD329" s="486">
        <v>0</v>
      </c>
      <c r="BE329" s="486">
        <v>0</v>
      </c>
      <c r="BF329" s="486">
        <v>0</v>
      </c>
      <c r="BG329" s="486">
        <v>0</v>
      </c>
      <c r="BH329" s="486">
        <v>0</v>
      </c>
      <c r="BI329" s="486">
        <v>0</v>
      </c>
      <c r="BJ329" s="487">
        <v>200000000</v>
      </c>
      <c r="BK329" s="486">
        <v>0</v>
      </c>
      <c r="BL329" s="486">
        <v>0</v>
      </c>
      <c r="BM329" s="486">
        <v>0</v>
      </c>
      <c r="BN329" s="488">
        <v>0</v>
      </c>
      <c r="BO329" s="490">
        <v>200000000</v>
      </c>
      <c r="BP329" s="486">
        <v>0</v>
      </c>
      <c r="BQ329" s="486">
        <v>200000000</v>
      </c>
      <c r="BR329" s="486">
        <v>0</v>
      </c>
      <c r="BS329" s="486">
        <v>0</v>
      </c>
      <c r="BT329" s="486">
        <v>0</v>
      </c>
      <c r="BU329" s="486">
        <v>0</v>
      </c>
      <c r="BV329" s="486">
        <v>0</v>
      </c>
      <c r="BW329" s="486">
        <v>0</v>
      </c>
      <c r="BX329" s="487">
        <v>200000000</v>
      </c>
      <c r="BY329" s="486">
        <v>0</v>
      </c>
      <c r="BZ329" s="486">
        <v>0</v>
      </c>
      <c r="CA329" s="486">
        <v>0</v>
      </c>
      <c r="CB329" s="488">
        <v>0</v>
      </c>
      <c r="CC329" s="491">
        <v>200000000</v>
      </c>
      <c r="CD329" s="492">
        <v>700000000</v>
      </c>
      <c r="CE329" s="493">
        <f t="shared" si="21"/>
        <v>0</v>
      </c>
      <c r="CF329" s="493">
        <f t="shared" si="21"/>
        <v>700000000</v>
      </c>
      <c r="CG329" s="493">
        <f t="shared" si="21"/>
        <v>0</v>
      </c>
      <c r="CH329" s="493">
        <f t="shared" si="21"/>
        <v>0</v>
      </c>
      <c r="CI329" s="493">
        <f t="shared" si="21"/>
        <v>0</v>
      </c>
      <c r="CJ329" s="493">
        <f t="shared" si="21"/>
        <v>0</v>
      </c>
      <c r="CK329" s="493">
        <f t="shared" si="21"/>
        <v>0</v>
      </c>
      <c r="CL329" s="493">
        <f t="shared" si="21"/>
        <v>0</v>
      </c>
      <c r="CM329" s="493">
        <f t="shared" si="23"/>
        <v>0</v>
      </c>
      <c r="CN329" s="493">
        <f t="shared" si="23"/>
        <v>0</v>
      </c>
      <c r="CO329" s="493">
        <f t="shared" si="23"/>
        <v>0</v>
      </c>
    </row>
    <row r="330" spans="1:93" ht="30.45" hidden="1" customHeight="1">
      <c r="A330" s="555" t="s">
        <v>4262</v>
      </c>
      <c r="B330" s="479">
        <v>328</v>
      </c>
      <c r="C330" s="480" t="s">
        <v>6369</v>
      </c>
      <c r="D330" s="480" t="s">
        <v>4620</v>
      </c>
      <c r="E330" s="480" t="str">
        <f t="shared" si="22"/>
        <v>3.1.4.</v>
      </c>
      <c r="F330" s="480" t="s">
        <v>6377</v>
      </c>
      <c r="G330" s="480" t="s">
        <v>4640</v>
      </c>
      <c r="H330" s="481">
        <v>21</v>
      </c>
      <c r="I330" s="480" t="s">
        <v>4641</v>
      </c>
      <c r="J330" s="495">
        <v>210203600</v>
      </c>
      <c r="K330" s="480" t="s">
        <v>4008</v>
      </c>
      <c r="L330" s="480" t="s">
        <v>4099</v>
      </c>
      <c r="M330" s="480" t="s">
        <v>5927</v>
      </c>
      <c r="N330" s="499">
        <v>100</v>
      </c>
      <c r="O330" s="480" t="s">
        <v>4637</v>
      </c>
      <c r="P330" s="515">
        <v>500</v>
      </c>
      <c r="Q330" s="485">
        <v>30010002</v>
      </c>
      <c r="R330" s="485" t="s">
        <v>5507</v>
      </c>
      <c r="S330" s="485" t="s">
        <v>677</v>
      </c>
      <c r="T330" s="485">
        <v>0.95840000000000003</v>
      </c>
      <c r="U330" s="485" t="s">
        <v>5508</v>
      </c>
      <c r="V330" s="485">
        <v>0.9657</v>
      </c>
      <c r="W330" s="485" t="s">
        <v>5351</v>
      </c>
      <c r="X330" s="485" t="s">
        <v>5509</v>
      </c>
      <c r="Y330" s="485" t="s">
        <v>5510</v>
      </c>
      <c r="Z330" s="486">
        <v>0</v>
      </c>
      <c r="AA330" s="486">
        <v>100000000</v>
      </c>
      <c r="AB330" s="486">
        <v>0</v>
      </c>
      <c r="AC330" s="486">
        <v>0</v>
      </c>
      <c r="AD330" s="486">
        <v>0</v>
      </c>
      <c r="AE330" s="486">
        <v>0</v>
      </c>
      <c r="AF330" s="486">
        <v>0</v>
      </c>
      <c r="AG330" s="486">
        <v>0</v>
      </c>
      <c r="AH330" s="487">
        <v>100000000</v>
      </c>
      <c r="AI330" s="486">
        <v>0</v>
      </c>
      <c r="AJ330" s="486">
        <v>0</v>
      </c>
      <c r="AK330" s="486">
        <v>0</v>
      </c>
      <c r="AL330" s="488">
        <v>0</v>
      </c>
      <c r="AM330" s="489">
        <v>100000000</v>
      </c>
      <c r="AN330" s="486">
        <v>0</v>
      </c>
      <c r="AO330" s="486">
        <v>200000000</v>
      </c>
      <c r="AP330" s="486">
        <v>0</v>
      </c>
      <c r="AQ330" s="486">
        <v>0</v>
      </c>
      <c r="AR330" s="486">
        <v>0</v>
      </c>
      <c r="AS330" s="486">
        <v>0</v>
      </c>
      <c r="AT330" s="486">
        <v>0</v>
      </c>
      <c r="AU330" s="486">
        <v>0</v>
      </c>
      <c r="AV330" s="487">
        <v>200000000</v>
      </c>
      <c r="AW330" s="486">
        <v>0</v>
      </c>
      <c r="AX330" s="486">
        <v>0</v>
      </c>
      <c r="AY330" s="486">
        <v>0</v>
      </c>
      <c r="AZ330" s="488">
        <v>0</v>
      </c>
      <c r="BA330" s="490">
        <v>200000000</v>
      </c>
      <c r="BB330" s="486">
        <v>0</v>
      </c>
      <c r="BC330" s="486">
        <v>200000000</v>
      </c>
      <c r="BD330" s="486">
        <v>0</v>
      </c>
      <c r="BE330" s="486">
        <v>0</v>
      </c>
      <c r="BF330" s="486">
        <v>0</v>
      </c>
      <c r="BG330" s="486">
        <v>0</v>
      </c>
      <c r="BH330" s="486">
        <v>0</v>
      </c>
      <c r="BI330" s="486">
        <v>0</v>
      </c>
      <c r="BJ330" s="487">
        <v>200000000</v>
      </c>
      <c r="BK330" s="486">
        <v>0</v>
      </c>
      <c r="BL330" s="486">
        <v>0</v>
      </c>
      <c r="BM330" s="486">
        <v>0</v>
      </c>
      <c r="BN330" s="488">
        <v>0</v>
      </c>
      <c r="BO330" s="490">
        <v>200000000</v>
      </c>
      <c r="BP330" s="486">
        <v>0</v>
      </c>
      <c r="BQ330" s="486">
        <v>200000000</v>
      </c>
      <c r="BR330" s="486">
        <v>0</v>
      </c>
      <c r="BS330" s="486">
        <v>0</v>
      </c>
      <c r="BT330" s="486">
        <v>0</v>
      </c>
      <c r="BU330" s="486">
        <v>0</v>
      </c>
      <c r="BV330" s="486">
        <v>0</v>
      </c>
      <c r="BW330" s="486">
        <v>0</v>
      </c>
      <c r="BX330" s="487">
        <v>200000000</v>
      </c>
      <c r="BY330" s="486">
        <v>0</v>
      </c>
      <c r="BZ330" s="486">
        <v>0</v>
      </c>
      <c r="CA330" s="486">
        <v>0</v>
      </c>
      <c r="CB330" s="488">
        <v>0</v>
      </c>
      <c r="CC330" s="491">
        <v>200000000</v>
      </c>
      <c r="CD330" s="492">
        <v>700000000</v>
      </c>
      <c r="CE330" s="493">
        <f t="shared" si="21"/>
        <v>0</v>
      </c>
      <c r="CF330" s="493">
        <f t="shared" ref="CF330:CL366" si="24">AA330+AO330+BC330+BQ330</f>
        <v>700000000</v>
      </c>
      <c r="CG330" s="493">
        <f t="shared" si="24"/>
        <v>0</v>
      </c>
      <c r="CH330" s="493">
        <f t="shared" si="24"/>
        <v>0</v>
      </c>
      <c r="CI330" s="493">
        <f t="shared" si="24"/>
        <v>0</v>
      </c>
      <c r="CJ330" s="493">
        <f t="shared" si="24"/>
        <v>0</v>
      </c>
      <c r="CK330" s="493">
        <f t="shared" si="24"/>
        <v>0</v>
      </c>
      <c r="CL330" s="493">
        <f t="shared" si="24"/>
        <v>0</v>
      </c>
      <c r="CM330" s="493">
        <f t="shared" si="23"/>
        <v>0</v>
      </c>
      <c r="CN330" s="493">
        <f t="shared" si="23"/>
        <v>0</v>
      </c>
      <c r="CO330" s="493">
        <f t="shared" si="23"/>
        <v>0</v>
      </c>
    </row>
    <row r="331" spans="1:93" ht="30.45" hidden="1" customHeight="1">
      <c r="A331" s="555" t="s">
        <v>4630</v>
      </c>
      <c r="B331" s="479">
        <v>329</v>
      </c>
      <c r="C331" s="480" t="s">
        <v>6369</v>
      </c>
      <c r="D331" s="480" t="s">
        <v>4620</v>
      </c>
      <c r="E331" s="480" t="str">
        <f t="shared" si="22"/>
        <v>3.1.5 </v>
      </c>
      <c r="F331" s="480" t="s">
        <v>6378</v>
      </c>
      <c r="G331" s="480" t="s">
        <v>4659</v>
      </c>
      <c r="H331" s="481">
        <v>45</v>
      </c>
      <c r="I331" s="480" t="s">
        <v>4627</v>
      </c>
      <c r="J331" s="495">
        <v>450302800</v>
      </c>
      <c r="K331" s="480" t="s">
        <v>6562</v>
      </c>
      <c r="L331" s="480" t="s">
        <v>4660</v>
      </c>
      <c r="M331" s="480" t="s">
        <v>5928</v>
      </c>
      <c r="N331" s="499">
        <v>2500</v>
      </c>
      <c r="O331" s="480" t="s">
        <v>4661</v>
      </c>
      <c r="P331" s="515">
        <v>5500</v>
      </c>
      <c r="Q331" s="485" t="s">
        <v>5511</v>
      </c>
      <c r="R331" s="485" t="s">
        <v>5512</v>
      </c>
      <c r="S331" s="485" t="s">
        <v>677</v>
      </c>
      <c r="T331" s="485">
        <v>1</v>
      </c>
      <c r="U331" s="485" t="s">
        <v>4632</v>
      </c>
      <c r="V331" s="485">
        <v>1</v>
      </c>
      <c r="W331" s="485" t="s">
        <v>5351</v>
      </c>
      <c r="X331" s="485">
        <v>11</v>
      </c>
      <c r="Y331" s="485" t="s">
        <v>5513</v>
      </c>
      <c r="Z331" s="486">
        <v>130000000</v>
      </c>
      <c r="AA331" s="486">
        <v>0</v>
      </c>
      <c r="AB331" s="486">
        <v>0</v>
      </c>
      <c r="AC331" s="486">
        <v>0</v>
      </c>
      <c r="AD331" s="486">
        <v>0</v>
      </c>
      <c r="AE331" s="486">
        <v>0</v>
      </c>
      <c r="AF331" s="486">
        <v>0</v>
      </c>
      <c r="AG331" s="486">
        <v>0</v>
      </c>
      <c r="AH331" s="487">
        <v>130000000</v>
      </c>
      <c r="AI331" s="486">
        <v>0</v>
      </c>
      <c r="AJ331" s="486">
        <v>0</v>
      </c>
      <c r="AK331" s="486">
        <v>0</v>
      </c>
      <c r="AL331" s="488">
        <v>0</v>
      </c>
      <c r="AM331" s="489">
        <v>130000000</v>
      </c>
      <c r="AN331" s="486">
        <v>247500000</v>
      </c>
      <c r="AO331" s="486">
        <v>0</v>
      </c>
      <c r="AP331" s="486">
        <v>0</v>
      </c>
      <c r="AQ331" s="486">
        <v>0</v>
      </c>
      <c r="AR331" s="486">
        <v>0</v>
      </c>
      <c r="AS331" s="486">
        <v>0</v>
      </c>
      <c r="AT331" s="486">
        <v>0</v>
      </c>
      <c r="AU331" s="486">
        <v>0</v>
      </c>
      <c r="AV331" s="487">
        <v>247500000</v>
      </c>
      <c r="AW331" s="486">
        <v>0</v>
      </c>
      <c r="AX331" s="486">
        <v>0</v>
      </c>
      <c r="AY331" s="486">
        <v>0</v>
      </c>
      <c r="AZ331" s="488">
        <v>0</v>
      </c>
      <c r="BA331" s="490">
        <v>247500000</v>
      </c>
      <c r="BB331" s="486">
        <v>130000000</v>
      </c>
      <c r="BC331" s="486">
        <v>0</v>
      </c>
      <c r="BD331" s="486">
        <v>0</v>
      </c>
      <c r="BE331" s="486">
        <v>0</v>
      </c>
      <c r="BF331" s="486">
        <v>0</v>
      </c>
      <c r="BG331" s="486">
        <v>0</v>
      </c>
      <c r="BH331" s="486">
        <v>0</v>
      </c>
      <c r="BI331" s="486">
        <v>0</v>
      </c>
      <c r="BJ331" s="487">
        <v>130000000</v>
      </c>
      <c r="BK331" s="486">
        <v>0</v>
      </c>
      <c r="BL331" s="486">
        <v>0</v>
      </c>
      <c r="BM331" s="486">
        <v>0</v>
      </c>
      <c r="BN331" s="488">
        <v>0</v>
      </c>
      <c r="BO331" s="490">
        <v>130000000</v>
      </c>
      <c r="BP331" s="486">
        <v>130000000</v>
      </c>
      <c r="BQ331" s="486">
        <v>0</v>
      </c>
      <c r="BR331" s="486">
        <v>0</v>
      </c>
      <c r="BS331" s="486">
        <v>0</v>
      </c>
      <c r="BT331" s="486">
        <v>0</v>
      </c>
      <c r="BU331" s="486">
        <v>0</v>
      </c>
      <c r="BV331" s="486">
        <v>0</v>
      </c>
      <c r="BW331" s="486">
        <v>0</v>
      </c>
      <c r="BX331" s="487">
        <v>130000000</v>
      </c>
      <c r="BY331" s="486">
        <v>0</v>
      </c>
      <c r="BZ331" s="486">
        <v>0</v>
      </c>
      <c r="CA331" s="486">
        <v>0</v>
      </c>
      <c r="CB331" s="488">
        <v>0</v>
      </c>
      <c r="CC331" s="491">
        <v>130000000</v>
      </c>
      <c r="CD331" s="492">
        <v>637500000</v>
      </c>
      <c r="CE331" s="493">
        <f t="shared" ref="CE331:CH394" si="25">Z331+AN331+BB331+BP331</f>
        <v>637500000</v>
      </c>
      <c r="CF331" s="493">
        <f t="shared" si="24"/>
        <v>0</v>
      </c>
      <c r="CG331" s="493">
        <f t="shared" si="24"/>
        <v>0</v>
      </c>
      <c r="CH331" s="493">
        <f t="shared" si="24"/>
        <v>0</v>
      </c>
      <c r="CI331" s="493">
        <f t="shared" si="24"/>
        <v>0</v>
      </c>
      <c r="CJ331" s="493">
        <f t="shared" si="24"/>
        <v>0</v>
      </c>
      <c r="CK331" s="493">
        <f t="shared" si="24"/>
        <v>0</v>
      </c>
      <c r="CL331" s="493">
        <f t="shared" si="24"/>
        <v>0</v>
      </c>
      <c r="CM331" s="493">
        <f t="shared" si="23"/>
        <v>0</v>
      </c>
      <c r="CN331" s="493">
        <f t="shared" si="23"/>
        <v>0</v>
      </c>
      <c r="CO331" s="493">
        <f t="shared" si="23"/>
        <v>0</v>
      </c>
    </row>
    <row r="332" spans="1:93" ht="30.45" hidden="1" customHeight="1">
      <c r="A332" s="555" t="s">
        <v>4630</v>
      </c>
      <c r="B332" s="479">
        <v>330</v>
      </c>
      <c r="C332" s="480" t="s">
        <v>6369</v>
      </c>
      <c r="D332" s="480" t="s">
        <v>4620</v>
      </c>
      <c r="E332" s="480" t="str">
        <f t="shared" si="22"/>
        <v>3.1.5 </v>
      </c>
      <c r="F332" s="480" t="s">
        <v>6378</v>
      </c>
      <c r="G332" s="480" t="s">
        <v>4659</v>
      </c>
      <c r="H332" s="481">
        <v>45</v>
      </c>
      <c r="I332" s="480" t="s">
        <v>4627</v>
      </c>
      <c r="J332" s="495">
        <v>450302600</v>
      </c>
      <c r="K332" s="480" t="s">
        <v>4332</v>
      </c>
      <c r="L332" s="480" t="s">
        <v>4662</v>
      </c>
      <c r="M332" s="480" t="s">
        <v>5929</v>
      </c>
      <c r="N332" s="499">
        <v>0</v>
      </c>
      <c r="O332" s="480" t="s">
        <v>4661</v>
      </c>
      <c r="P332" s="515">
        <v>1</v>
      </c>
      <c r="Q332" s="485" t="s">
        <v>5511</v>
      </c>
      <c r="R332" s="485" t="s">
        <v>5512</v>
      </c>
      <c r="S332" s="485" t="s">
        <v>677</v>
      </c>
      <c r="T332" s="485">
        <v>1</v>
      </c>
      <c r="U332" s="485" t="s">
        <v>4632</v>
      </c>
      <c r="V332" s="485">
        <v>1</v>
      </c>
      <c r="W332" s="485" t="s">
        <v>5351</v>
      </c>
      <c r="X332" s="485">
        <v>11</v>
      </c>
      <c r="Y332" s="485" t="s">
        <v>5513</v>
      </c>
      <c r="Z332" s="486"/>
      <c r="AA332" s="486">
        <v>0</v>
      </c>
      <c r="AB332" s="486">
        <v>0</v>
      </c>
      <c r="AC332" s="486">
        <v>0</v>
      </c>
      <c r="AD332" s="486">
        <v>0</v>
      </c>
      <c r="AE332" s="486">
        <v>0</v>
      </c>
      <c r="AF332" s="486">
        <v>0</v>
      </c>
      <c r="AG332" s="486">
        <v>0</v>
      </c>
      <c r="AH332" s="487">
        <v>0</v>
      </c>
      <c r="AI332" s="486">
        <v>0</v>
      </c>
      <c r="AJ332" s="486">
        <v>0</v>
      </c>
      <c r="AK332" s="486">
        <v>0</v>
      </c>
      <c r="AL332" s="488">
        <v>0</v>
      </c>
      <c r="AM332" s="489">
        <v>0</v>
      </c>
      <c r="AN332" s="486"/>
      <c r="AO332" s="486">
        <v>0</v>
      </c>
      <c r="AP332" s="486">
        <v>0</v>
      </c>
      <c r="AQ332" s="486">
        <v>0</v>
      </c>
      <c r="AR332" s="486">
        <v>0</v>
      </c>
      <c r="AS332" s="486">
        <v>0</v>
      </c>
      <c r="AT332" s="486">
        <v>0</v>
      </c>
      <c r="AU332" s="486">
        <v>0</v>
      </c>
      <c r="AV332" s="487">
        <v>0</v>
      </c>
      <c r="AW332" s="486">
        <v>0</v>
      </c>
      <c r="AX332" s="486">
        <v>0</v>
      </c>
      <c r="AY332" s="486">
        <v>0</v>
      </c>
      <c r="AZ332" s="488">
        <v>0</v>
      </c>
      <c r="BA332" s="490">
        <v>0</v>
      </c>
      <c r="BB332" s="486">
        <v>500000000</v>
      </c>
      <c r="BC332" s="486">
        <v>0</v>
      </c>
      <c r="BD332" s="486">
        <v>0</v>
      </c>
      <c r="BE332" s="486">
        <v>0</v>
      </c>
      <c r="BF332" s="486">
        <v>0</v>
      </c>
      <c r="BG332" s="486">
        <v>0</v>
      </c>
      <c r="BH332" s="486">
        <v>0</v>
      </c>
      <c r="BI332" s="486">
        <v>0</v>
      </c>
      <c r="BJ332" s="487">
        <v>500000000</v>
      </c>
      <c r="BK332" s="486">
        <v>0</v>
      </c>
      <c r="BL332" s="486">
        <v>0</v>
      </c>
      <c r="BM332" s="486">
        <v>0</v>
      </c>
      <c r="BN332" s="488">
        <v>0</v>
      </c>
      <c r="BO332" s="490">
        <v>500000000</v>
      </c>
      <c r="BP332" s="486">
        <v>500000000</v>
      </c>
      <c r="BQ332" s="486">
        <v>0</v>
      </c>
      <c r="BR332" s="486">
        <v>0</v>
      </c>
      <c r="BS332" s="486">
        <v>0</v>
      </c>
      <c r="BT332" s="486">
        <v>0</v>
      </c>
      <c r="BU332" s="486">
        <v>0</v>
      </c>
      <c r="BV332" s="486">
        <v>0</v>
      </c>
      <c r="BW332" s="486">
        <v>0</v>
      </c>
      <c r="BX332" s="487">
        <v>500000000</v>
      </c>
      <c r="BY332" s="486">
        <v>0</v>
      </c>
      <c r="BZ332" s="486">
        <v>0</v>
      </c>
      <c r="CA332" s="486">
        <v>0</v>
      </c>
      <c r="CB332" s="488">
        <v>0</v>
      </c>
      <c r="CC332" s="491">
        <v>500000000</v>
      </c>
      <c r="CD332" s="492">
        <v>1000000000</v>
      </c>
      <c r="CE332" s="493">
        <f t="shared" si="25"/>
        <v>1000000000</v>
      </c>
      <c r="CF332" s="493">
        <f t="shared" si="24"/>
        <v>0</v>
      </c>
      <c r="CG332" s="493">
        <f t="shared" si="24"/>
        <v>0</v>
      </c>
      <c r="CH332" s="493">
        <f t="shared" si="24"/>
        <v>0</v>
      </c>
      <c r="CI332" s="493">
        <f t="shared" si="24"/>
        <v>0</v>
      </c>
      <c r="CJ332" s="493">
        <f t="shared" si="24"/>
        <v>0</v>
      </c>
      <c r="CK332" s="493">
        <f t="shared" si="24"/>
        <v>0</v>
      </c>
      <c r="CL332" s="493">
        <f t="shared" si="24"/>
        <v>0</v>
      </c>
      <c r="CM332" s="493">
        <f t="shared" si="23"/>
        <v>0</v>
      </c>
      <c r="CN332" s="493">
        <f t="shared" si="23"/>
        <v>0</v>
      </c>
      <c r="CO332" s="493">
        <f t="shared" si="23"/>
        <v>0</v>
      </c>
    </row>
    <row r="333" spans="1:93" ht="30.45" hidden="1" customHeight="1">
      <c r="A333" s="555" t="s">
        <v>4630</v>
      </c>
      <c r="B333" s="479">
        <v>331</v>
      </c>
      <c r="C333" s="480" t="s">
        <v>6369</v>
      </c>
      <c r="D333" s="480" t="s">
        <v>4620</v>
      </c>
      <c r="E333" s="480" t="str">
        <f t="shared" si="22"/>
        <v>3.1.6 </v>
      </c>
      <c r="F333" s="480" t="s">
        <v>4663</v>
      </c>
      <c r="G333" s="480" t="s">
        <v>4664</v>
      </c>
      <c r="H333" s="481">
        <v>45</v>
      </c>
      <c r="I333" s="480" t="s">
        <v>4627</v>
      </c>
      <c r="J333" s="495">
        <v>450301600</v>
      </c>
      <c r="K333" s="480" t="s">
        <v>4665</v>
      </c>
      <c r="L333" s="480" t="s">
        <v>4666</v>
      </c>
      <c r="M333" s="480" t="s">
        <v>5930</v>
      </c>
      <c r="N333" s="499">
        <v>19</v>
      </c>
      <c r="O333" s="480" t="s">
        <v>4629</v>
      </c>
      <c r="P333" s="515">
        <v>65</v>
      </c>
      <c r="Q333" s="485">
        <v>110070007</v>
      </c>
      <c r="R333" s="485" t="s">
        <v>5514</v>
      </c>
      <c r="S333" s="485" t="s">
        <v>5502</v>
      </c>
      <c r="T333" s="485">
        <v>90000000</v>
      </c>
      <c r="U333" s="485" t="s">
        <v>4629</v>
      </c>
      <c r="V333" s="485">
        <v>6160000000</v>
      </c>
      <c r="W333" s="485" t="s">
        <v>5351</v>
      </c>
      <c r="X333" s="485">
        <v>11</v>
      </c>
      <c r="Y333" s="485" t="s">
        <v>5513</v>
      </c>
      <c r="Z333" s="486">
        <v>250000000</v>
      </c>
      <c r="AA333" s="486">
        <v>612000000</v>
      </c>
      <c r="AB333" s="486">
        <v>0</v>
      </c>
      <c r="AC333" s="486">
        <v>0</v>
      </c>
      <c r="AD333" s="486">
        <v>0</v>
      </c>
      <c r="AE333" s="486">
        <v>0</v>
      </c>
      <c r="AF333" s="486">
        <v>0</v>
      </c>
      <c r="AG333" s="486">
        <v>0</v>
      </c>
      <c r="AH333" s="487">
        <v>862000000</v>
      </c>
      <c r="AI333" s="486">
        <v>0</v>
      </c>
      <c r="AJ333" s="486">
        <v>0</v>
      </c>
      <c r="AK333" s="486">
        <v>0</v>
      </c>
      <c r="AL333" s="488">
        <v>0</v>
      </c>
      <c r="AM333" s="489">
        <v>862000000</v>
      </c>
      <c r="AN333" s="486">
        <v>250000000</v>
      </c>
      <c r="AO333" s="486">
        <v>636480000</v>
      </c>
      <c r="AP333" s="486">
        <v>0</v>
      </c>
      <c r="AQ333" s="486">
        <v>0</v>
      </c>
      <c r="AR333" s="486">
        <v>0</v>
      </c>
      <c r="AS333" s="486">
        <v>0</v>
      </c>
      <c r="AT333" s="486">
        <v>0</v>
      </c>
      <c r="AU333" s="486">
        <v>0</v>
      </c>
      <c r="AV333" s="487">
        <v>886480000</v>
      </c>
      <c r="AW333" s="486">
        <v>0</v>
      </c>
      <c r="AX333" s="486">
        <v>0</v>
      </c>
      <c r="AY333" s="486">
        <v>0</v>
      </c>
      <c r="AZ333" s="488">
        <v>0</v>
      </c>
      <c r="BA333" s="490">
        <v>886480000</v>
      </c>
      <c r="BB333" s="486">
        <v>250000000</v>
      </c>
      <c r="BC333" s="486">
        <v>661939200</v>
      </c>
      <c r="BD333" s="486">
        <v>0</v>
      </c>
      <c r="BE333" s="486">
        <v>0</v>
      </c>
      <c r="BF333" s="486">
        <v>0</v>
      </c>
      <c r="BG333" s="486">
        <v>0</v>
      </c>
      <c r="BH333" s="486">
        <v>0</v>
      </c>
      <c r="BI333" s="486">
        <v>0</v>
      </c>
      <c r="BJ333" s="487">
        <v>911939200</v>
      </c>
      <c r="BK333" s="486">
        <v>0</v>
      </c>
      <c r="BL333" s="486">
        <v>0</v>
      </c>
      <c r="BM333" s="486">
        <v>0</v>
      </c>
      <c r="BN333" s="488">
        <v>0</v>
      </c>
      <c r="BO333" s="490">
        <v>911939200</v>
      </c>
      <c r="BP333" s="486">
        <v>405983200</v>
      </c>
      <c r="BQ333" s="486">
        <v>688416768</v>
      </c>
      <c r="BR333" s="486">
        <v>0</v>
      </c>
      <c r="BS333" s="486">
        <v>0</v>
      </c>
      <c r="BT333" s="486">
        <v>0</v>
      </c>
      <c r="BU333" s="486">
        <v>0</v>
      </c>
      <c r="BV333" s="486">
        <v>0</v>
      </c>
      <c r="BW333" s="486">
        <v>0</v>
      </c>
      <c r="BX333" s="487">
        <v>1094399968</v>
      </c>
      <c r="BY333" s="486">
        <v>0</v>
      </c>
      <c r="BZ333" s="486">
        <v>0</v>
      </c>
      <c r="CA333" s="486">
        <v>0</v>
      </c>
      <c r="CB333" s="488">
        <v>0</v>
      </c>
      <c r="CC333" s="491">
        <v>1094399968</v>
      </c>
      <c r="CD333" s="492">
        <v>3754819168</v>
      </c>
      <c r="CE333" s="493">
        <f t="shared" si="25"/>
        <v>1155983200</v>
      </c>
      <c r="CF333" s="493">
        <f t="shared" si="24"/>
        <v>2598835968</v>
      </c>
      <c r="CG333" s="493">
        <f t="shared" si="24"/>
        <v>0</v>
      </c>
      <c r="CH333" s="493">
        <f t="shared" si="24"/>
        <v>0</v>
      </c>
      <c r="CI333" s="493">
        <f t="shared" si="24"/>
        <v>0</v>
      </c>
      <c r="CJ333" s="493">
        <f t="shared" si="24"/>
        <v>0</v>
      </c>
      <c r="CK333" s="493">
        <f t="shared" si="24"/>
        <v>0</v>
      </c>
      <c r="CL333" s="493">
        <f t="shared" si="24"/>
        <v>0</v>
      </c>
      <c r="CM333" s="493">
        <f t="shared" si="23"/>
        <v>0</v>
      </c>
      <c r="CN333" s="493">
        <f t="shared" si="23"/>
        <v>0</v>
      </c>
      <c r="CO333" s="493">
        <f t="shared" si="23"/>
        <v>0</v>
      </c>
    </row>
    <row r="334" spans="1:93" ht="30.45" hidden="1" customHeight="1">
      <c r="A334" s="555" t="s">
        <v>4630</v>
      </c>
      <c r="B334" s="479">
        <v>332</v>
      </c>
      <c r="C334" s="480" t="s">
        <v>6369</v>
      </c>
      <c r="D334" s="480" t="s">
        <v>4620</v>
      </c>
      <c r="E334" s="480" t="str">
        <f t="shared" si="22"/>
        <v>3.1.6 </v>
      </c>
      <c r="F334" s="480" t="s">
        <v>4663</v>
      </c>
      <c r="G334" s="480" t="s">
        <v>4664</v>
      </c>
      <c r="H334" s="481">
        <v>45</v>
      </c>
      <c r="I334" s="480" t="s">
        <v>4627</v>
      </c>
      <c r="J334" s="495">
        <v>450302200</v>
      </c>
      <c r="K334" s="480" t="s">
        <v>6563</v>
      </c>
      <c r="L334" s="480" t="s">
        <v>4667</v>
      </c>
      <c r="M334" s="480" t="s">
        <v>5931</v>
      </c>
      <c r="N334" s="499">
        <v>10</v>
      </c>
      <c r="O334" s="480" t="s">
        <v>4629</v>
      </c>
      <c r="P334" s="515">
        <v>50</v>
      </c>
      <c r="Q334" s="485">
        <v>110070007</v>
      </c>
      <c r="R334" s="485" t="s">
        <v>5514</v>
      </c>
      <c r="S334" s="485" t="s">
        <v>5502</v>
      </c>
      <c r="T334" s="485">
        <v>90000000</v>
      </c>
      <c r="U334" s="485" t="s">
        <v>4629</v>
      </c>
      <c r="V334" s="485">
        <v>6160000000</v>
      </c>
      <c r="W334" s="485" t="s">
        <v>5351</v>
      </c>
      <c r="X334" s="485">
        <v>11</v>
      </c>
      <c r="Y334" s="485" t="s">
        <v>5513</v>
      </c>
      <c r="Z334" s="486">
        <v>315000000</v>
      </c>
      <c r="AA334" s="486">
        <v>0</v>
      </c>
      <c r="AB334" s="486">
        <v>0</v>
      </c>
      <c r="AC334" s="486">
        <v>0</v>
      </c>
      <c r="AD334" s="486">
        <v>0</v>
      </c>
      <c r="AE334" s="486">
        <v>0</v>
      </c>
      <c r="AF334" s="486">
        <v>0</v>
      </c>
      <c r="AG334" s="486">
        <v>0</v>
      </c>
      <c r="AH334" s="487">
        <v>315000000</v>
      </c>
      <c r="AI334" s="486">
        <v>0</v>
      </c>
      <c r="AJ334" s="486">
        <v>0</v>
      </c>
      <c r="AK334" s="486">
        <v>0</v>
      </c>
      <c r="AL334" s="488">
        <v>0</v>
      </c>
      <c r="AM334" s="489">
        <v>315000000</v>
      </c>
      <c r="AN334" s="486">
        <v>757000000</v>
      </c>
      <c r="AO334" s="486">
        <v>0</v>
      </c>
      <c r="AP334" s="486">
        <v>0</v>
      </c>
      <c r="AQ334" s="486">
        <v>0</v>
      </c>
      <c r="AR334" s="486">
        <v>0</v>
      </c>
      <c r="AS334" s="486">
        <v>0</v>
      </c>
      <c r="AT334" s="486">
        <v>0</v>
      </c>
      <c r="AU334" s="486">
        <v>0</v>
      </c>
      <c r="AV334" s="487">
        <v>757000000</v>
      </c>
      <c r="AW334" s="486">
        <v>0</v>
      </c>
      <c r="AX334" s="486">
        <v>0</v>
      </c>
      <c r="AY334" s="486">
        <v>0</v>
      </c>
      <c r="AZ334" s="488">
        <v>0</v>
      </c>
      <c r="BA334" s="490">
        <v>757000000</v>
      </c>
      <c r="BB334" s="486">
        <v>590580000</v>
      </c>
      <c r="BC334" s="486">
        <v>0</v>
      </c>
      <c r="BD334" s="486">
        <v>0</v>
      </c>
      <c r="BE334" s="486">
        <v>0</v>
      </c>
      <c r="BF334" s="486">
        <v>0</v>
      </c>
      <c r="BG334" s="486">
        <v>0</v>
      </c>
      <c r="BH334" s="486">
        <v>0</v>
      </c>
      <c r="BI334" s="486">
        <v>0</v>
      </c>
      <c r="BJ334" s="487">
        <v>590580000</v>
      </c>
      <c r="BK334" s="486">
        <v>0</v>
      </c>
      <c r="BL334" s="486">
        <v>0</v>
      </c>
      <c r="BM334" s="486">
        <v>0</v>
      </c>
      <c r="BN334" s="488">
        <v>0</v>
      </c>
      <c r="BO334" s="490">
        <v>590580000</v>
      </c>
      <c r="BP334" s="486">
        <v>504920000</v>
      </c>
      <c r="BQ334" s="486">
        <v>0</v>
      </c>
      <c r="BR334" s="486">
        <v>0</v>
      </c>
      <c r="BS334" s="486">
        <v>0</v>
      </c>
      <c r="BT334" s="486">
        <v>0</v>
      </c>
      <c r="BU334" s="486">
        <v>0</v>
      </c>
      <c r="BV334" s="486">
        <v>0</v>
      </c>
      <c r="BW334" s="486">
        <v>0</v>
      </c>
      <c r="BX334" s="487">
        <v>504920000</v>
      </c>
      <c r="BY334" s="486">
        <v>0</v>
      </c>
      <c r="BZ334" s="486">
        <v>0</v>
      </c>
      <c r="CA334" s="486">
        <v>0</v>
      </c>
      <c r="CB334" s="488">
        <v>0</v>
      </c>
      <c r="CC334" s="491">
        <v>504920000</v>
      </c>
      <c r="CD334" s="492">
        <v>2167500000</v>
      </c>
      <c r="CE334" s="493">
        <f t="shared" si="25"/>
        <v>2167500000</v>
      </c>
      <c r="CF334" s="493">
        <f t="shared" si="24"/>
        <v>0</v>
      </c>
      <c r="CG334" s="493">
        <f t="shared" si="24"/>
        <v>0</v>
      </c>
      <c r="CH334" s="493">
        <f t="shared" si="24"/>
        <v>0</v>
      </c>
      <c r="CI334" s="493">
        <f t="shared" si="24"/>
        <v>0</v>
      </c>
      <c r="CJ334" s="493">
        <f t="shared" si="24"/>
        <v>0</v>
      </c>
      <c r="CK334" s="493">
        <f t="shared" si="24"/>
        <v>0</v>
      </c>
      <c r="CL334" s="493">
        <f t="shared" si="24"/>
        <v>0</v>
      </c>
      <c r="CM334" s="493">
        <f t="shared" si="23"/>
        <v>0</v>
      </c>
      <c r="CN334" s="493">
        <f t="shared" si="23"/>
        <v>0</v>
      </c>
      <c r="CO334" s="493">
        <f t="shared" si="23"/>
        <v>0</v>
      </c>
    </row>
    <row r="335" spans="1:93" ht="30.45" hidden="1" customHeight="1">
      <c r="A335" s="555" t="s">
        <v>4674</v>
      </c>
      <c r="B335" s="479">
        <v>333</v>
      </c>
      <c r="C335" s="480" t="s">
        <v>6369</v>
      </c>
      <c r="D335" s="480" t="s">
        <v>4668</v>
      </c>
      <c r="E335" s="480" t="str">
        <f t="shared" si="22"/>
        <v xml:space="preserve">3.2.1 </v>
      </c>
      <c r="F335" s="480" t="s">
        <v>6379</v>
      </c>
      <c r="G335" s="480" t="s">
        <v>4669</v>
      </c>
      <c r="H335" s="481">
        <v>32</v>
      </c>
      <c r="I335" s="480" t="s">
        <v>4670</v>
      </c>
      <c r="J335" s="495">
        <v>320201200</v>
      </c>
      <c r="K335" s="480" t="s">
        <v>4671</v>
      </c>
      <c r="L335" s="480" t="s">
        <v>4672</v>
      </c>
      <c r="M335" s="480" t="s">
        <v>5932</v>
      </c>
      <c r="N335" s="532" t="s">
        <v>4407</v>
      </c>
      <c r="O335" s="480" t="s">
        <v>4673</v>
      </c>
      <c r="P335" s="519">
        <v>1000</v>
      </c>
      <c r="Q335" s="485" t="s">
        <v>1634</v>
      </c>
      <c r="R335" s="485" t="s">
        <v>10</v>
      </c>
      <c r="S335" s="485" t="s">
        <v>683</v>
      </c>
      <c r="T335" s="485">
        <v>5</v>
      </c>
      <c r="U335" s="485" t="s">
        <v>4688</v>
      </c>
      <c r="V335" s="485">
        <v>19</v>
      </c>
      <c r="W335" s="485" t="s">
        <v>5515</v>
      </c>
      <c r="X335" s="485">
        <v>15</v>
      </c>
      <c r="Y335" s="485" t="s">
        <v>5516</v>
      </c>
      <c r="Z335" s="486">
        <v>212466000</v>
      </c>
      <c r="AA335" s="486">
        <v>0</v>
      </c>
      <c r="AB335" s="486">
        <v>0</v>
      </c>
      <c r="AC335" s="486">
        <v>0</v>
      </c>
      <c r="AD335" s="486">
        <v>0</v>
      </c>
      <c r="AE335" s="486">
        <v>0</v>
      </c>
      <c r="AF335" s="486">
        <v>0</v>
      </c>
      <c r="AG335" s="486">
        <v>0</v>
      </c>
      <c r="AH335" s="487">
        <v>212466000</v>
      </c>
      <c r="AI335" s="486">
        <v>18000000000</v>
      </c>
      <c r="AJ335" s="486">
        <v>0</v>
      </c>
      <c r="AK335" s="486">
        <v>0</v>
      </c>
      <c r="AL335" s="488">
        <v>18000000000</v>
      </c>
      <c r="AM335" s="489">
        <v>18212466000</v>
      </c>
      <c r="AN335" s="486">
        <v>220964640</v>
      </c>
      <c r="AO335" s="486">
        <v>0</v>
      </c>
      <c r="AP335" s="486">
        <v>0</v>
      </c>
      <c r="AQ335" s="486">
        <v>0</v>
      </c>
      <c r="AR335" s="486">
        <v>0</v>
      </c>
      <c r="AS335" s="486">
        <v>0</v>
      </c>
      <c r="AT335" s="486">
        <v>0</v>
      </c>
      <c r="AU335" s="486">
        <v>0</v>
      </c>
      <c r="AV335" s="487">
        <v>220964640</v>
      </c>
      <c r="AW335" s="486">
        <v>9000000000</v>
      </c>
      <c r="AX335" s="486">
        <v>0</v>
      </c>
      <c r="AY335" s="486">
        <v>0</v>
      </c>
      <c r="AZ335" s="488">
        <v>9000000000</v>
      </c>
      <c r="BA335" s="490">
        <v>9220964640</v>
      </c>
      <c r="BB335" s="486">
        <v>829803225.10000002</v>
      </c>
      <c r="BC335" s="486">
        <v>0</v>
      </c>
      <c r="BD335" s="486">
        <v>0</v>
      </c>
      <c r="BE335" s="486">
        <v>0</v>
      </c>
      <c r="BF335" s="486">
        <v>0</v>
      </c>
      <c r="BG335" s="486">
        <v>0</v>
      </c>
      <c r="BH335" s="486">
        <v>0</v>
      </c>
      <c r="BI335" s="486">
        <v>0</v>
      </c>
      <c r="BJ335" s="487">
        <v>829803225.10000002</v>
      </c>
      <c r="BK335" s="486">
        <v>9000000000</v>
      </c>
      <c r="BL335" s="486">
        <v>0</v>
      </c>
      <c r="BM335" s="486">
        <v>0</v>
      </c>
      <c r="BN335" s="488">
        <v>9000000000</v>
      </c>
      <c r="BO335" s="490">
        <v>9829803225.1000004</v>
      </c>
      <c r="BP335" s="486">
        <v>888995354</v>
      </c>
      <c r="BQ335" s="486">
        <v>0</v>
      </c>
      <c r="BR335" s="486">
        <v>0</v>
      </c>
      <c r="BS335" s="486">
        <v>0</v>
      </c>
      <c r="BT335" s="486">
        <v>0</v>
      </c>
      <c r="BU335" s="486">
        <v>0</v>
      </c>
      <c r="BV335" s="486">
        <v>0</v>
      </c>
      <c r="BW335" s="486">
        <v>0</v>
      </c>
      <c r="BX335" s="487">
        <v>888995354</v>
      </c>
      <c r="BY335" s="486">
        <v>0</v>
      </c>
      <c r="BZ335" s="486">
        <v>0</v>
      </c>
      <c r="CA335" s="486">
        <v>0</v>
      </c>
      <c r="CB335" s="488">
        <v>0</v>
      </c>
      <c r="CC335" s="491">
        <v>888995354</v>
      </c>
      <c r="CD335" s="492">
        <v>38152229219.099998</v>
      </c>
      <c r="CE335" s="493">
        <f t="shared" si="25"/>
        <v>2152229219.0999999</v>
      </c>
      <c r="CF335" s="493">
        <f t="shared" si="24"/>
        <v>0</v>
      </c>
      <c r="CG335" s="493">
        <f t="shared" si="24"/>
        <v>0</v>
      </c>
      <c r="CH335" s="493">
        <f t="shared" si="24"/>
        <v>0</v>
      </c>
      <c r="CI335" s="493">
        <f t="shared" si="24"/>
        <v>0</v>
      </c>
      <c r="CJ335" s="493">
        <f t="shared" si="24"/>
        <v>0</v>
      </c>
      <c r="CK335" s="493">
        <f t="shared" si="24"/>
        <v>0</v>
      </c>
      <c r="CL335" s="493">
        <f t="shared" si="24"/>
        <v>0</v>
      </c>
      <c r="CM335" s="493">
        <f t="shared" si="23"/>
        <v>36000000000</v>
      </c>
      <c r="CN335" s="493">
        <f t="shared" si="23"/>
        <v>0</v>
      </c>
      <c r="CO335" s="493">
        <f t="shared" si="23"/>
        <v>0</v>
      </c>
    </row>
    <row r="336" spans="1:93" ht="30.45" hidden="1" customHeight="1">
      <c r="A336" s="555" t="s">
        <v>4674</v>
      </c>
      <c r="B336" s="479">
        <v>334</v>
      </c>
      <c r="C336" s="480" t="s">
        <v>6369</v>
      </c>
      <c r="D336" s="480" t="s">
        <v>4668</v>
      </c>
      <c r="E336" s="480" t="str">
        <f t="shared" si="22"/>
        <v xml:space="preserve">3.2.1 </v>
      </c>
      <c r="F336" s="480" t="s">
        <v>6379</v>
      </c>
      <c r="G336" s="480" t="s">
        <v>4669</v>
      </c>
      <c r="H336" s="481">
        <v>32</v>
      </c>
      <c r="I336" s="480" t="s">
        <v>4670</v>
      </c>
      <c r="J336" s="495">
        <v>320200100</v>
      </c>
      <c r="K336" s="480" t="s">
        <v>4063</v>
      </c>
      <c r="L336" s="480" t="s">
        <v>4112</v>
      </c>
      <c r="M336" s="480" t="s">
        <v>5933</v>
      </c>
      <c r="N336" s="499">
        <v>5</v>
      </c>
      <c r="O336" s="480" t="s">
        <v>4673</v>
      </c>
      <c r="P336" s="515">
        <v>10</v>
      </c>
      <c r="Q336" s="485" t="s">
        <v>1634</v>
      </c>
      <c r="R336" s="485" t="s">
        <v>10</v>
      </c>
      <c r="S336" s="485" t="s">
        <v>683</v>
      </c>
      <c r="T336" s="485">
        <v>5</v>
      </c>
      <c r="U336" s="485" t="s">
        <v>4688</v>
      </c>
      <c r="V336" s="485">
        <v>19</v>
      </c>
      <c r="W336" s="485" t="s">
        <v>5515</v>
      </c>
      <c r="X336" s="485">
        <v>15</v>
      </c>
      <c r="Y336" s="485" t="s">
        <v>5516</v>
      </c>
      <c r="Z336" s="486">
        <v>215832000</v>
      </c>
      <c r="AA336" s="486">
        <v>0</v>
      </c>
      <c r="AB336" s="486">
        <v>0</v>
      </c>
      <c r="AC336" s="486">
        <v>0</v>
      </c>
      <c r="AD336" s="486">
        <v>0</v>
      </c>
      <c r="AE336" s="486">
        <v>0</v>
      </c>
      <c r="AF336" s="486">
        <v>0</v>
      </c>
      <c r="AG336" s="486">
        <v>0</v>
      </c>
      <c r="AH336" s="487">
        <v>215832000</v>
      </c>
      <c r="AI336" s="486">
        <v>0</v>
      </c>
      <c r="AJ336" s="486">
        <v>0</v>
      </c>
      <c r="AK336" s="486">
        <v>0</v>
      </c>
      <c r="AL336" s="488">
        <v>0</v>
      </c>
      <c r="AM336" s="489">
        <v>215832000</v>
      </c>
      <c r="AN336" s="486">
        <v>224465280</v>
      </c>
      <c r="AO336" s="486"/>
      <c r="AP336" s="486">
        <v>0</v>
      </c>
      <c r="AQ336" s="486">
        <v>0</v>
      </c>
      <c r="AR336" s="486">
        <v>0</v>
      </c>
      <c r="AS336" s="486">
        <v>0</v>
      </c>
      <c r="AT336" s="486">
        <v>0</v>
      </c>
      <c r="AU336" s="486">
        <v>0</v>
      </c>
      <c r="AV336" s="487">
        <v>224465280</v>
      </c>
      <c r="AW336" s="486">
        <v>0</v>
      </c>
      <c r="AX336" s="486">
        <v>0</v>
      </c>
      <c r="AY336" s="486">
        <v>0</v>
      </c>
      <c r="AZ336" s="488">
        <v>0</v>
      </c>
      <c r="BA336" s="490">
        <v>224465280</v>
      </c>
      <c r="BB336" s="486">
        <v>233443891.19999999</v>
      </c>
      <c r="BC336" s="486">
        <v>0</v>
      </c>
      <c r="BD336" s="486">
        <v>0</v>
      </c>
      <c r="BE336" s="486">
        <v>0</v>
      </c>
      <c r="BF336" s="486">
        <v>0</v>
      </c>
      <c r="BG336" s="486">
        <v>0</v>
      </c>
      <c r="BH336" s="486">
        <v>0</v>
      </c>
      <c r="BI336" s="486">
        <v>0</v>
      </c>
      <c r="BJ336" s="487">
        <v>233443891.19999999</v>
      </c>
      <c r="BK336" s="486">
        <v>0</v>
      </c>
      <c r="BL336" s="486">
        <v>0</v>
      </c>
      <c r="BM336" s="486">
        <v>0</v>
      </c>
      <c r="BN336" s="488">
        <v>0</v>
      </c>
      <c r="BO336" s="490">
        <v>233443891.19999999</v>
      </c>
      <c r="BP336" s="486">
        <v>0</v>
      </c>
      <c r="BQ336" s="486">
        <v>0</v>
      </c>
      <c r="BR336" s="486">
        <v>0</v>
      </c>
      <c r="BS336" s="486">
        <v>0</v>
      </c>
      <c r="BT336" s="486">
        <v>0</v>
      </c>
      <c r="BU336" s="486">
        <v>0</v>
      </c>
      <c r="BV336" s="486">
        <v>0</v>
      </c>
      <c r="BW336" s="486">
        <v>0</v>
      </c>
      <c r="BX336" s="487">
        <v>0</v>
      </c>
      <c r="BY336" s="486">
        <v>0</v>
      </c>
      <c r="BZ336" s="486">
        <v>0</v>
      </c>
      <c r="CA336" s="486">
        <v>0</v>
      </c>
      <c r="CB336" s="488">
        <v>0</v>
      </c>
      <c r="CC336" s="491">
        <v>0</v>
      </c>
      <c r="CD336" s="492">
        <v>673741171.20000005</v>
      </c>
      <c r="CE336" s="493">
        <f t="shared" si="25"/>
        <v>673741171.20000005</v>
      </c>
      <c r="CF336" s="493">
        <f t="shared" si="24"/>
        <v>0</v>
      </c>
      <c r="CG336" s="493">
        <f t="shared" si="24"/>
        <v>0</v>
      </c>
      <c r="CH336" s="493">
        <f t="shared" si="24"/>
        <v>0</v>
      </c>
      <c r="CI336" s="493">
        <f t="shared" si="24"/>
        <v>0</v>
      </c>
      <c r="CJ336" s="493">
        <f t="shared" si="24"/>
        <v>0</v>
      </c>
      <c r="CK336" s="493">
        <f t="shared" si="24"/>
        <v>0</v>
      </c>
      <c r="CL336" s="493">
        <f t="shared" si="24"/>
        <v>0</v>
      </c>
      <c r="CM336" s="493">
        <f t="shared" si="23"/>
        <v>0</v>
      </c>
      <c r="CN336" s="493">
        <f t="shared" si="23"/>
        <v>0</v>
      </c>
      <c r="CO336" s="493">
        <f t="shared" si="23"/>
        <v>0</v>
      </c>
    </row>
    <row r="337" spans="1:93" ht="30.45" hidden="1" customHeight="1">
      <c r="A337" s="555" t="s">
        <v>4674</v>
      </c>
      <c r="B337" s="479">
        <v>335</v>
      </c>
      <c r="C337" s="480" t="s">
        <v>6369</v>
      </c>
      <c r="D337" s="480" t="s">
        <v>4668</v>
      </c>
      <c r="E337" s="480" t="str">
        <f t="shared" si="22"/>
        <v xml:space="preserve">3.2.1 </v>
      </c>
      <c r="F337" s="480" t="s">
        <v>6379</v>
      </c>
      <c r="G337" s="480" t="s">
        <v>4669</v>
      </c>
      <c r="H337" s="481">
        <v>32</v>
      </c>
      <c r="I337" s="480" t="s">
        <v>4670</v>
      </c>
      <c r="J337" s="495">
        <v>320204300</v>
      </c>
      <c r="K337" s="480" t="s">
        <v>4671</v>
      </c>
      <c r="L337" s="480" t="s">
        <v>4675</v>
      </c>
      <c r="M337" s="480" t="s">
        <v>5934</v>
      </c>
      <c r="N337" s="499">
        <v>437.8</v>
      </c>
      <c r="O337" s="480" t="s">
        <v>4673</v>
      </c>
      <c r="P337" s="515">
        <v>875.6</v>
      </c>
      <c r="Q337" s="485" t="s">
        <v>1634</v>
      </c>
      <c r="R337" s="485" t="s">
        <v>10</v>
      </c>
      <c r="S337" s="485" t="s">
        <v>683</v>
      </c>
      <c r="T337" s="485">
        <v>5</v>
      </c>
      <c r="U337" s="485" t="s">
        <v>4688</v>
      </c>
      <c r="V337" s="485">
        <v>19</v>
      </c>
      <c r="W337" s="485" t="s">
        <v>5515</v>
      </c>
      <c r="X337" s="485">
        <v>15</v>
      </c>
      <c r="Y337" s="485" t="s">
        <v>5516</v>
      </c>
      <c r="Z337" s="486">
        <v>400000000</v>
      </c>
      <c r="AA337" s="486">
        <v>0</v>
      </c>
      <c r="AB337" s="486">
        <v>0</v>
      </c>
      <c r="AC337" s="486">
        <v>0</v>
      </c>
      <c r="AD337" s="486">
        <v>0</v>
      </c>
      <c r="AE337" s="486">
        <v>0</v>
      </c>
      <c r="AF337" s="486">
        <v>0</v>
      </c>
      <c r="AG337" s="486">
        <v>0</v>
      </c>
      <c r="AH337" s="487">
        <v>400000000</v>
      </c>
      <c r="AI337" s="486">
        <v>0</v>
      </c>
      <c r="AJ337" s="486">
        <v>0</v>
      </c>
      <c r="AK337" s="486">
        <v>0</v>
      </c>
      <c r="AL337" s="488">
        <v>0</v>
      </c>
      <c r="AM337" s="489">
        <v>400000000</v>
      </c>
      <c r="AN337" s="486">
        <v>450000000</v>
      </c>
      <c r="AO337" s="486"/>
      <c r="AP337" s="486">
        <v>0</v>
      </c>
      <c r="AQ337" s="486">
        <v>0</v>
      </c>
      <c r="AR337" s="486">
        <v>0</v>
      </c>
      <c r="AS337" s="486">
        <v>0</v>
      </c>
      <c r="AT337" s="486">
        <v>0</v>
      </c>
      <c r="AU337" s="486">
        <v>0</v>
      </c>
      <c r="AV337" s="487">
        <v>450000000</v>
      </c>
      <c r="AW337" s="486">
        <v>0</v>
      </c>
      <c r="AX337" s="486">
        <v>0</v>
      </c>
      <c r="AY337" s="486">
        <v>0</v>
      </c>
      <c r="AZ337" s="488">
        <v>0</v>
      </c>
      <c r="BA337" s="490">
        <v>450000000</v>
      </c>
      <c r="BB337" s="486">
        <v>500000000</v>
      </c>
      <c r="BC337" s="486">
        <v>0</v>
      </c>
      <c r="BD337" s="486">
        <v>0</v>
      </c>
      <c r="BE337" s="486">
        <v>0</v>
      </c>
      <c r="BF337" s="486">
        <v>0</v>
      </c>
      <c r="BG337" s="486">
        <v>0</v>
      </c>
      <c r="BH337" s="486">
        <v>0</v>
      </c>
      <c r="BI337" s="486">
        <v>0</v>
      </c>
      <c r="BJ337" s="487">
        <v>500000000</v>
      </c>
      <c r="BK337" s="486">
        <v>0</v>
      </c>
      <c r="BL337" s="486">
        <v>0</v>
      </c>
      <c r="BM337" s="486">
        <v>0</v>
      </c>
      <c r="BN337" s="488">
        <v>0</v>
      </c>
      <c r="BO337" s="490">
        <v>500000000</v>
      </c>
      <c r="BP337" s="486">
        <v>0</v>
      </c>
      <c r="BQ337" s="486">
        <v>0</v>
      </c>
      <c r="BR337" s="486">
        <v>0</v>
      </c>
      <c r="BS337" s="486">
        <v>0</v>
      </c>
      <c r="BT337" s="486">
        <v>0</v>
      </c>
      <c r="BU337" s="486">
        <v>0</v>
      </c>
      <c r="BV337" s="486">
        <v>0</v>
      </c>
      <c r="BW337" s="486">
        <v>0</v>
      </c>
      <c r="BX337" s="487">
        <v>0</v>
      </c>
      <c r="BY337" s="486">
        <v>0</v>
      </c>
      <c r="BZ337" s="486">
        <v>0</v>
      </c>
      <c r="CA337" s="486">
        <v>0</v>
      </c>
      <c r="CB337" s="488">
        <v>0</v>
      </c>
      <c r="CC337" s="491">
        <v>0</v>
      </c>
      <c r="CD337" s="492">
        <v>1350000000</v>
      </c>
      <c r="CE337" s="493">
        <f t="shared" si="25"/>
        <v>1350000000</v>
      </c>
      <c r="CF337" s="493">
        <f t="shared" si="24"/>
        <v>0</v>
      </c>
      <c r="CG337" s="493">
        <f t="shared" si="24"/>
        <v>0</v>
      </c>
      <c r="CH337" s="493">
        <f t="shared" si="24"/>
        <v>0</v>
      </c>
      <c r="CI337" s="493">
        <f t="shared" si="24"/>
        <v>0</v>
      </c>
      <c r="CJ337" s="493">
        <f t="shared" si="24"/>
        <v>0</v>
      </c>
      <c r="CK337" s="493">
        <f t="shared" si="24"/>
        <v>0</v>
      </c>
      <c r="CL337" s="493">
        <f t="shared" si="24"/>
        <v>0</v>
      </c>
      <c r="CM337" s="493">
        <f t="shared" si="23"/>
        <v>0</v>
      </c>
      <c r="CN337" s="493">
        <f t="shared" si="23"/>
        <v>0</v>
      </c>
      <c r="CO337" s="493">
        <f t="shared" si="23"/>
        <v>0</v>
      </c>
    </row>
    <row r="338" spans="1:93" ht="30.45" hidden="1" customHeight="1">
      <c r="A338" s="555" t="s">
        <v>4674</v>
      </c>
      <c r="B338" s="479">
        <v>336</v>
      </c>
      <c r="C338" s="480" t="s">
        <v>6369</v>
      </c>
      <c r="D338" s="480" t="s">
        <v>4668</v>
      </c>
      <c r="E338" s="480" t="str">
        <f t="shared" si="22"/>
        <v xml:space="preserve">3.2.1 </v>
      </c>
      <c r="F338" s="480" t="s">
        <v>6379</v>
      </c>
      <c r="G338" s="480" t="s">
        <v>4669</v>
      </c>
      <c r="H338" s="481">
        <v>32</v>
      </c>
      <c r="I338" s="480" t="s">
        <v>4670</v>
      </c>
      <c r="J338" s="495">
        <v>320200200</v>
      </c>
      <c r="K338" s="480" t="s">
        <v>4063</v>
      </c>
      <c r="L338" s="480" t="s">
        <v>4677</v>
      </c>
      <c r="M338" s="480" t="s">
        <v>5935</v>
      </c>
      <c r="N338" s="499">
        <v>0</v>
      </c>
      <c r="O338" s="480" t="s">
        <v>4673</v>
      </c>
      <c r="P338" s="515">
        <v>1</v>
      </c>
      <c r="Q338" s="485" t="s">
        <v>1634</v>
      </c>
      <c r="R338" s="485" t="s">
        <v>10</v>
      </c>
      <c r="S338" s="485" t="s">
        <v>683</v>
      </c>
      <c r="T338" s="485">
        <v>5</v>
      </c>
      <c r="U338" s="485" t="s">
        <v>4688</v>
      </c>
      <c r="V338" s="485">
        <v>19</v>
      </c>
      <c r="W338" s="485" t="s">
        <v>5515</v>
      </c>
      <c r="X338" s="485">
        <v>15</v>
      </c>
      <c r="Y338" s="485" t="s">
        <v>5516</v>
      </c>
      <c r="Z338" s="486">
        <v>143724998.6099999</v>
      </c>
      <c r="AA338" s="486">
        <v>0</v>
      </c>
      <c r="AB338" s="486">
        <v>0</v>
      </c>
      <c r="AC338" s="486">
        <v>0</v>
      </c>
      <c r="AD338" s="486">
        <v>0</v>
      </c>
      <c r="AE338" s="486">
        <v>0</v>
      </c>
      <c r="AF338" s="486">
        <v>0</v>
      </c>
      <c r="AG338" s="486">
        <v>0</v>
      </c>
      <c r="AH338" s="487">
        <v>143724998.6099999</v>
      </c>
      <c r="AI338" s="486">
        <v>0</v>
      </c>
      <c r="AJ338" s="486">
        <v>0</v>
      </c>
      <c r="AK338" s="486">
        <v>0</v>
      </c>
      <c r="AL338" s="488">
        <v>0</v>
      </c>
      <c r="AM338" s="489">
        <v>143724998.6099999</v>
      </c>
      <c r="AN338" s="486">
        <v>0</v>
      </c>
      <c r="AO338" s="486">
        <v>0</v>
      </c>
      <c r="AP338" s="486">
        <v>0</v>
      </c>
      <c r="AQ338" s="486">
        <v>0</v>
      </c>
      <c r="AR338" s="486">
        <v>0</v>
      </c>
      <c r="AS338" s="486">
        <v>0</v>
      </c>
      <c r="AT338" s="486">
        <v>0</v>
      </c>
      <c r="AU338" s="486">
        <v>0</v>
      </c>
      <c r="AV338" s="487">
        <v>0</v>
      </c>
      <c r="AW338" s="486">
        <v>0</v>
      </c>
      <c r="AX338" s="486">
        <v>0</v>
      </c>
      <c r="AY338" s="486">
        <v>0</v>
      </c>
      <c r="AZ338" s="488">
        <v>0</v>
      </c>
      <c r="BA338" s="490">
        <v>0</v>
      </c>
      <c r="BB338" s="486">
        <v>0</v>
      </c>
      <c r="BC338" s="486">
        <v>0</v>
      </c>
      <c r="BD338" s="486">
        <v>0</v>
      </c>
      <c r="BE338" s="486">
        <v>0</v>
      </c>
      <c r="BF338" s="486">
        <v>0</v>
      </c>
      <c r="BG338" s="486">
        <v>0</v>
      </c>
      <c r="BH338" s="486">
        <v>0</v>
      </c>
      <c r="BI338" s="486">
        <v>0</v>
      </c>
      <c r="BJ338" s="487">
        <v>0</v>
      </c>
      <c r="BK338" s="486">
        <v>0</v>
      </c>
      <c r="BL338" s="486">
        <v>0</v>
      </c>
      <c r="BM338" s="486">
        <v>0</v>
      </c>
      <c r="BN338" s="488">
        <v>0</v>
      </c>
      <c r="BO338" s="490">
        <v>0</v>
      </c>
      <c r="BP338" s="486">
        <v>0</v>
      </c>
      <c r="BQ338" s="486">
        <v>0</v>
      </c>
      <c r="BR338" s="486">
        <v>0</v>
      </c>
      <c r="BS338" s="486">
        <v>0</v>
      </c>
      <c r="BT338" s="486">
        <v>0</v>
      </c>
      <c r="BU338" s="486">
        <v>0</v>
      </c>
      <c r="BV338" s="486">
        <v>0</v>
      </c>
      <c r="BW338" s="486">
        <v>0</v>
      </c>
      <c r="BX338" s="487">
        <v>0</v>
      </c>
      <c r="BY338" s="486">
        <v>0</v>
      </c>
      <c r="BZ338" s="486">
        <v>0</v>
      </c>
      <c r="CA338" s="486">
        <v>0</v>
      </c>
      <c r="CB338" s="488">
        <v>0</v>
      </c>
      <c r="CC338" s="491">
        <v>0</v>
      </c>
      <c r="CD338" s="492">
        <v>143724998.6099999</v>
      </c>
      <c r="CE338" s="493">
        <f t="shared" si="25"/>
        <v>143724998.6099999</v>
      </c>
      <c r="CF338" s="493">
        <f t="shared" si="24"/>
        <v>0</v>
      </c>
      <c r="CG338" s="493">
        <f t="shared" si="24"/>
        <v>0</v>
      </c>
      <c r="CH338" s="493">
        <f t="shared" si="24"/>
        <v>0</v>
      </c>
      <c r="CI338" s="493">
        <f t="shared" si="24"/>
        <v>0</v>
      </c>
      <c r="CJ338" s="493">
        <f t="shared" si="24"/>
        <v>0</v>
      </c>
      <c r="CK338" s="493">
        <f t="shared" si="24"/>
        <v>0</v>
      </c>
      <c r="CL338" s="493">
        <f t="shared" si="24"/>
        <v>0</v>
      </c>
      <c r="CM338" s="493">
        <f t="shared" si="23"/>
        <v>0</v>
      </c>
      <c r="CN338" s="493">
        <f t="shared" si="23"/>
        <v>0</v>
      </c>
      <c r="CO338" s="493">
        <f t="shared" si="23"/>
        <v>0</v>
      </c>
    </row>
    <row r="339" spans="1:93" ht="30.45" hidden="1" customHeight="1">
      <c r="A339" s="555" t="s">
        <v>4674</v>
      </c>
      <c r="B339" s="479">
        <v>337</v>
      </c>
      <c r="C339" s="480" t="s">
        <v>6369</v>
      </c>
      <c r="D339" s="480" t="s">
        <v>4668</v>
      </c>
      <c r="E339" s="480" t="str">
        <f t="shared" si="22"/>
        <v xml:space="preserve">3.2.1 </v>
      </c>
      <c r="F339" s="480" t="s">
        <v>6379</v>
      </c>
      <c r="G339" s="480" t="s">
        <v>4669</v>
      </c>
      <c r="H339" s="481">
        <v>32</v>
      </c>
      <c r="I339" s="480" t="s">
        <v>4676</v>
      </c>
      <c r="J339" s="495">
        <v>320100300</v>
      </c>
      <c r="K339" s="480" t="s">
        <v>4678</v>
      </c>
      <c r="L339" s="480" t="s">
        <v>4679</v>
      </c>
      <c r="M339" s="480" t="s">
        <v>5936</v>
      </c>
      <c r="N339" s="499">
        <v>8</v>
      </c>
      <c r="O339" s="480" t="s">
        <v>4673</v>
      </c>
      <c r="P339" s="515">
        <v>20</v>
      </c>
      <c r="Q339" s="485" t="s">
        <v>1634</v>
      </c>
      <c r="R339" s="485" t="s">
        <v>10</v>
      </c>
      <c r="S339" s="485" t="s">
        <v>683</v>
      </c>
      <c r="T339" s="485">
        <v>5</v>
      </c>
      <c r="U339" s="485" t="s">
        <v>4688</v>
      </c>
      <c r="V339" s="485">
        <v>19</v>
      </c>
      <c r="W339" s="485" t="s">
        <v>5515</v>
      </c>
      <c r="X339" s="485">
        <v>15</v>
      </c>
      <c r="Y339" s="485" t="s">
        <v>5516</v>
      </c>
      <c r="Z339" s="486">
        <v>23820000</v>
      </c>
      <c r="AA339" s="486">
        <v>0</v>
      </c>
      <c r="AB339" s="486">
        <v>0</v>
      </c>
      <c r="AC339" s="486">
        <v>0</v>
      </c>
      <c r="AD339" s="486">
        <v>0</v>
      </c>
      <c r="AE339" s="486">
        <v>0</v>
      </c>
      <c r="AF339" s="486">
        <v>0</v>
      </c>
      <c r="AG339" s="486">
        <v>0</v>
      </c>
      <c r="AH339" s="487">
        <v>23820000</v>
      </c>
      <c r="AI339" s="486">
        <v>450000000</v>
      </c>
      <c r="AJ339" s="486">
        <v>0</v>
      </c>
      <c r="AK339" s="486">
        <v>0</v>
      </c>
      <c r="AL339" s="488">
        <v>450000000</v>
      </c>
      <c r="AM339" s="489">
        <v>473820000</v>
      </c>
      <c r="AN339" s="486">
        <v>47209600</v>
      </c>
      <c r="AO339" s="486">
        <v>0</v>
      </c>
      <c r="AP339" s="486">
        <v>0</v>
      </c>
      <c r="AQ339" s="486">
        <v>0</v>
      </c>
      <c r="AR339" s="486">
        <v>0</v>
      </c>
      <c r="AS339" s="486">
        <v>0</v>
      </c>
      <c r="AT339" s="486">
        <v>0</v>
      </c>
      <c r="AU339" s="486">
        <v>0</v>
      </c>
      <c r="AV339" s="487">
        <v>47209600</v>
      </c>
      <c r="AW339" s="486">
        <v>720000000</v>
      </c>
      <c r="AX339" s="486">
        <v>0</v>
      </c>
      <c r="AY339" s="486">
        <v>0</v>
      </c>
      <c r="AZ339" s="488">
        <v>720000000</v>
      </c>
      <c r="BA339" s="490">
        <v>767209600</v>
      </c>
      <c r="BB339" s="486">
        <v>65297984</v>
      </c>
      <c r="BC339" s="486">
        <v>0</v>
      </c>
      <c r="BD339" s="486">
        <v>0</v>
      </c>
      <c r="BE339" s="486">
        <v>0</v>
      </c>
      <c r="BF339" s="486">
        <v>0</v>
      </c>
      <c r="BG339" s="486">
        <v>0</v>
      </c>
      <c r="BH339" s="486">
        <v>0</v>
      </c>
      <c r="BI339" s="486">
        <v>0</v>
      </c>
      <c r="BJ339" s="487">
        <v>65297984</v>
      </c>
      <c r="BK339" s="486">
        <v>840000000</v>
      </c>
      <c r="BL339" s="486">
        <v>0</v>
      </c>
      <c r="BM339" s="486">
        <v>0</v>
      </c>
      <c r="BN339" s="488">
        <v>840000000</v>
      </c>
      <c r="BO339" s="490">
        <v>905297984</v>
      </c>
      <c r="BP339" s="486">
        <v>68509903.359999999</v>
      </c>
      <c r="BQ339" s="486">
        <v>0</v>
      </c>
      <c r="BR339" s="486">
        <v>0</v>
      </c>
      <c r="BS339" s="486">
        <v>0</v>
      </c>
      <c r="BT339" s="486">
        <v>0</v>
      </c>
      <c r="BU339" s="486">
        <v>0</v>
      </c>
      <c r="BV339" s="486">
        <v>0</v>
      </c>
      <c r="BW339" s="486">
        <v>0</v>
      </c>
      <c r="BX339" s="487">
        <v>68509903.359999999</v>
      </c>
      <c r="BY339" s="486">
        <v>630000000</v>
      </c>
      <c r="BZ339" s="486">
        <v>0</v>
      </c>
      <c r="CA339" s="486">
        <v>0</v>
      </c>
      <c r="CB339" s="488">
        <v>630000000</v>
      </c>
      <c r="CC339" s="491">
        <v>698509903.36000001</v>
      </c>
      <c r="CD339" s="492">
        <v>2844837487.3600001</v>
      </c>
      <c r="CE339" s="493">
        <f t="shared" si="25"/>
        <v>204837487.36000001</v>
      </c>
      <c r="CF339" s="493">
        <f t="shared" si="24"/>
        <v>0</v>
      </c>
      <c r="CG339" s="493">
        <f t="shared" si="24"/>
        <v>0</v>
      </c>
      <c r="CH339" s="493">
        <f t="shared" si="24"/>
        <v>0</v>
      </c>
      <c r="CI339" s="493">
        <f t="shared" si="24"/>
        <v>0</v>
      </c>
      <c r="CJ339" s="493">
        <f t="shared" si="24"/>
        <v>0</v>
      </c>
      <c r="CK339" s="493">
        <f t="shared" si="24"/>
        <v>0</v>
      </c>
      <c r="CL339" s="493">
        <f t="shared" si="24"/>
        <v>0</v>
      </c>
      <c r="CM339" s="493">
        <f t="shared" si="23"/>
        <v>2640000000</v>
      </c>
      <c r="CN339" s="493">
        <f t="shared" si="23"/>
        <v>0</v>
      </c>
      <c r="CO339" s="493">
        <f t="shared" si="23"/>
        <v>0</v>
      </c>
    </row>
    <row r="340" spans="1:93" ht="30.45" hidden="1" customHeight="1">
      <c r="A340" s="555" t="s">
        <v>4674</v>
      </c>
      <c r="B340" s="479">
        <v>338</v>
      </c>
      <c r="C340" s="480" t="s">
        <v>6369</v>
      </c>
      <c r="D340" s="480" t="s">
        <v>4668</v>
      </c>
      <c r="E340" s="480" t="str">
        <f t="shared" si="22"/>
        <v xml:space="preserve">3.2.1 </v>
      </c>
      <c r="F340" s="480" t="s">
        <v>6379</v>
      </c>
      <c r="G340" s="480" t="s">
        <v>4669</v>
      </c>
      <c r="H340" s="481">
        <v>32</v>
      </c>
      <c r="I340" s="480" t="s">
        <v>4680</v>
      </c>
      <c r="J340" s="495">
        <v>320800600</v>
      </c>
      <c r="K340" s="480" t="s">
        <v>4681</v>
      </c>
      <c r="L340" s="480" t="s">
        <v>6195</v>
      </c>
      <c r="M340" s="480" t="s">
        <v>5937</v>
      </c>
      <c r="N340" s="499">
        <v>12</v>
      </c>
      <c r="O340" s="480" t="s">
        <v>4673</v>
      </c>
      <c r="P340" s="515">
        <v>25</v>
      </c>
      <c r="Q340" s="485" t="s">
        <v>1634</v>
      </c>
      <c r="R340" s="485" t="s">
        <v>10</v>
      </c>
      <c r="S340" s="485" t="s">
        <v>683</v>
      </c>
      <c r="T340" s="485">
        <v>5</v>
      </c>
      <c r="U340" s="485" t="s">
        <v>4688</v>
      </c>
      <c r="V340" s="485">
        <v>19</v>
      </c>
      <c r="W340" s="485" t="s">
        <v>5515</v>
      </c>
      <c r="X340" s="485">
        <v>15</v>
      </c>
      <c r="Y340" s="485" t="s">
        <v>5516</v>
      </c>
      <c r="Z340" s="486">
        <v>251520000</v>
      </c>
      <c r="AA340" s="486"/>
      <c r="AB340" s="486">
        <v>0</v>
      </c>
      <c r="AC340" s="486">
        <v>0</v>
      </c>
      <c r="AD340" s="486">
        <v>0</v>
      </c>
      <c r="AE340" s="486">
        <v>0</v>
      </c>
      <c r="AF340" s="486">
        <v>0</v>
      </c>
      <c r="AG340" s="486">
        <v>0</v>
      </c>
      <c r="AH340" s="487">
        <v>251520000</v>
      </c>
      <c r="AI340" s="486">
        <v>0</v>
      </c>
      <c r="AJ340" s="486">
        <v>0</v>
      </c>
      <c r="AK340" s="486">
        <v>0</v>
      </c>
      <c r="AL340" s="488">
        <v>0</v>
      </c>
      <c r="AM340" s="489">
        <v>251520000</v>
      </c>
      <c r="AN340" s="486">
        <v>261580800</v>
      </c>
      <c r="AO340" s="486"/>
      <c r="AP340" s="486">
        <v>0</v>
      </c>
      <c r="AQ340" s="486">
        <v>0</v>
      </c>
      <c r="AR340" s="486">
        <v>0</v>
      </c>
      <c r="AS340" s="486">
        <v>0</v>
      </c>
      <c r="AT340" s="486">
        <v>0</v>
      </c>
      <c r="AU340" s="486">
        <v>0</v>
      </c>
      <c r="AV340" s="487">
        <v>261580800</v>
      </c>
      <c r="AW340" s="486">
        <v>0</v>
      </c>
      <c r="AX340" s="486">
        <v>0</v>
      </c>
      <c r="AY340" s="486">
        <v>0</v>
      </c>
      <c r="AZ340" s="488">
        <v>0</v>
      </c>
      <c r="BA340" s="490">
        <v>261580800</v>
      </c>
      <c r="BB340" s="486">
        <v>272044032</v>
      </c>
      <c r="BC340" s="486"/>
      <c r="BD340" s="486">
        <v>0</v>
      </c>
      <c r="BE340" s="486">
        <v>0</v>
      </c>
      <c r="BF340" s="486">
        <v>0</v>
      </c>
      <c r="BG340" s="486">
        <v>0</v>
      </c>
      <c r="BH340" s="486">
        <v>0</v>
      </c>
      <c r="BI340" s="486">
        <v>0</v>
      </c>
      <c r="BJ340" s="487">
        <v>272044032</v>
      </c>
      <c r="BK340" s="486">
        <v>0</v>
      </c>
      <c r="BL340" s="486">
        <v>0</v>
      </c>
      <c r="BM340" s="486">
        <v>0</v>
      </c>
      <c r="BN340" s="488">
        <v>0</v>
      </c>
      <c r="BO340" s="490">
        <v>272044032</v>
      </c>
      <c r="BP340" s="486">
        <v>282925793.27999997</v>
      </c>
      <c r="BQ340" s="486"/>
      <c r="BR340" s="486">
        <v>0</v>
      </c>
      <c r="BS340" s="486">
        <v>0</v>
      </c>
      <c r="BT340" s="486">
        <v>0</v>
      </c>
      <c r="BU340" s="486">
        <v>0</v>
      </c>
      <c r="BV340" s="486">
        <v>0</v>
      </c>
      <c r="BW340" s="486">
        <v>0</v>
      </c>
      <c r="BX340" s="487">
        <v>282925793.27999997</v>
      </c>
      <c r="BY340" s="486">
        <v>0</v>
      </c>
      <c r="BZ340" s="486">
        <v>0</v>
      </c>
      <c r="CA340" s="486">
        <v>0</v>
      </c>
      <c r="CB340" s="488">
        <v>0</v>
      </c>
      <c r="CC340" s="491">
        <v>282925793.27999997</v>
      </c>
      <c r="CD340" s="492">
        <v>1068070625.28</v>
      </c>
      <c r="CE340" s="493">
        <f t="shared" si="25"/>
        <v>1068070625.28</v>
      </c>
      <c r="CF340" s="493">
        <f t="shared" si="24"/>
        <v>0</v>
      </c>
      <c r="CG340" s="493">
        <f t="shared" si="24"/>
        <v>0</v>
      </c>
      <c r="CH340" s="493">
        <f t="shared" si="24"/>
        <v>0</v>
      </c>
      <c r="CI340" s="493">
        <f t="shared" si="24"/>
        <v>0</v>
      </c>
      <c r="CJ340" s="493">
        <f t="shared" si="24"/>
        <v>0</v>
      </c>
      <c r="CK340" s="493">
        <f t="shared" si="24"/>
        <v>0</v>
      </c>
      <c r="CL340" s="493">
        <f t="shared" si="24"/>
        <v>0</v>
      </c>
      <c r="CM340" s="493">
        <f t="shared" si="23"/>
        <v>0</v>
      </c>
      <c r="CN340" s="493">
        <f t="shared" si="23"/>
        <v>0</v>
      </c>
      <c r="CO340" s="493">
        <f t="shared" si="23"/>
        <v>0</v>
      </c>
    </row>
    <row r="341" spans="1:93" ht="30.45" hidden="1" customHeight="1">
      <c r="A341" s="555" t="s">
        <v>4674</v>
      </c>
      <c r="B341" s="479">
        <v>339</v>
      </c>
      <c r="C341" s="480" t="s">
        <v>6369</v>
      </c>
      <c r="D341" s="480" t="s">
        <v>4668</v>
      </c>
      <c r="E341" s="480" t="str">
        <f t="shared" si="22"/>
        <v xml:space="preserve">3.2.1 </v>
      </c>
      <c r="F341" s="480" t="s">
        <v>6379</v>
      </c>
      <c r="G341" s="480" t="s">
        <v>4669</v>
      </c>
      <c r="H341" s="481">
        <v>32</v>
      </c>
      <c r="I341" s="480" t="s">
        <v>4682</v>
      </c>
      <c r="J341" s="495">
        <v>320406200</v>
      </c>
      <c r="K341" s="480" t="s">
        <v>4683</v>
      </c>
      <c r="L341" s="480" t="s">
        <v>4684</v>
      </c>
      <c r="M341" s="480" t="s">
        <v>5938</v>
      </c>
      <c r="N341" s="499">
        <v>1</v>
      </c>
      <c r="O341" s="480" t="s">
        <v>4673</v>
      </c>
      <c r="P341" s="515">
        <v>2</v>
      </c>
      <c r="Q341" s="485" t="s">
        <v>1634</v>
      </c>
      <c r="R341" s="485" t="s">
        <v>10</v>
      </c>
      <c r="S341" s="485" t="s">
        <v>683</v>
      </c>
      <c r="T341" s="485">
        <v>5</v>
      </c>
      <c r="U341" s="485" t="s">
        <v>4688</v>
      </c>
      <c r="V341" s="485">
        <v>19</v>
      </c>
      <c r="W341" s="485" t="s">
        <v>5515</v>
      </c>
      <c r="X341" s="485">
        <v>15</v>
      </c>
      <c r="Y341" s="485" t="s">
        <v>5516</v>
      </c>
      <c r="Z341" s="486">
        <v>0</v>
      </c>
      <c r="AA341" s="486">
        <v>0</v>
      </c>
      <c r="AB341" s="486">
        <v>0</v>
      </c>
      <c r="AC341" s="486">
        <v>0</v>
      </c>
      <c r="AD341" s="486">
        <v>0</v>
      </c>
      <c r="AE341" s="486">
        <v>0</v>
      </c>
      <c r="AF341" s="486">
        <v>0</v>
      </c>
      <c r="AG341" s="486">
        <v>0</v>
      </c>
      <c r="AH341" s="487">
        <v>0</v>
      </c>
      <c r="AI341" s="486">
        <v>0</v>
      </c>
      <c r="AJ341" s="486">
        <v>0</v>
      </c>
      <c r="AK341" s="486">
        <v>0</v>
      </c>
      <c r="AL341" s="488">
        <v>0</v>
      </c>
      <c r="AM341" s="489">
        <v>0</v>
      </c>
      <c r="AN341" s="486">
        <v>0</v>
      </c>
      <c r="AO341" s="486">
        <v>0</v>
      </c>
      <c r="AP341" s="486">
        <v>0</v>
      </c>
      <c r="AQ341" s="486">
        <v>0</v>
      </c>
      <c r="AR341" s="486">
        <v>0</v>
      </c>
      <c r="AS341" s="486">
        <v>0</v>
      </c>
      <c r="AT341" s="486">
        <v>0</v>
      </c>
      <c r="AU341" s="486">
        <v>0</v>
      </c>
      <c r="AV341" s="487">
        <v>0</v>
      </c>
      <c r="AW341" s="486">
        <v>1000000000</v>
      </c>
      <c r="AX341" s="486">
        <v>0</v>
      </c>
      <c r="AY341" s="486">
        <v>0</v>
      </c>
      <c r="AZ341" s="488">
        <v>1000000000</v>
      </c>
      <c r="BA341" s="490">
        <v>1000000000</v>
      </c>
      <c r="BB341" s="486">
        <v>0</v>
      </c>
      <c r="BC341" s="486">
        <v>0</v>
      </c>
      <c r="BD341" s="486">
        <v>0</v>
      </c>
      <c r="BE341" s="486">
        <v>0</v>
      </c>
      <c r="BF341" s="486">
        <v>0</v>
      </c>
      <c r="BG341" s="486">
        <v>0</v>
      </c>
      <c r="BH341" s="486">
        <v>0</v>
      </c>
      <c r="BI341" s="486">
        <v>0</v>
      </c>
      <c r="BJ341" s="487">
        <v>0</v>
      </c>
      <c r="BK341" s="486">
        <v>500000000</v>
      </c>
      <c r="BL341" s="486">
        <v>0</v>
      </c>
      <c r="BM341" s="486">
        <v>0</v>
      </c>
      <c r="BN341" s="488">
        <v>500000000</v>
      </c>
      <c r="BO341" s="490">
        <v>500000000</v>
      </c>
      <c r="BP341" s="486">
        <v>0</v>
      </c>
      <c r="BQ341" s="486">
        <v>0</v>
      </c>
      <c r="BR341" s="486">
        <v>0</v>
      </c>
      <c r="BS341" s="486">
        <v>0</v>
      </c>
      <c r="BT341" s="486">
        <v>0</v>
      </c>
      <c r="BU341" s="486">
        <v>0</v>
      </c>
      <c r="BV341" s="486">
        <v>0</v>
      </c>
      <c r="BW341" s="486">
        <v>0</v>
      </c>
      <c r="BX341" s="487">
        <v>0</v>
      </c>
      <c r="BY341" s="486">
        <v>0</v>
      </c>
      <c r="BZ341" s="486">
        <v>0</v>
      </c>
      <c r="CA341" s="486">
        <v>0</v>
      </c>
      <c r="CB341" s="488">
        <v>0</v>
      </c>
      <c r="CC341" s="491">
        <v>0</v>
      </c>
      <c r="CD341" s="492">
        <v>1500000000</v>
      </c>
      <c r="CE341" s="493">
        <f t="shared" si="25"/>
        <v>0</v>
      </c>
      <c r="CF341" s="493">
        <f t="shared" si="24"/>
        <v>0</v>
      </c>
      <c r="CG341" s="493">
        <f t="shared" si="24"/>
        <v>0</v>
      </c>
      <c r="CH341" s="493">
        <f t="shared" si="24"/>
        <v>0</v>
      </c>
      <c r="CI341" s="493">
        <f t="shared" si="24"/>
        <v>0</v>
      </c>
      <c r="CJ341" s="493">
        <f t="shared" si="24"/>
        <v>0</v>
      </c>
      <c r="CK341" s="493">
        <f t="shared" si="24"/>
        <v>0</v>
      </c>
      <c r="CL341" s="493">
        <f t="shared" si="24"/>
        <v>0</v>
      </c>
      <c r="CM341" s="493">
        <f t="shared" si="23"/>
        <v>1500000000</v>
      </c>
      <c r="CN341" s="493">
        <f t="shared" si="23"/>
        <v>0</v>
      </c>
      <c r="CO341" s="493">
        <f t="shared" si="23"/>
        <v>0</v>
      </c>
    </row>
    <row r="342" spans="1:93" ht="30.45" hidden="1" customHeight="1">
      <c r="A342" s="555" t="s">
        <v>4674</v>
      </c>
      <c r="B342" s="479">
        <v>340</v>
      </c>
      <c r="C342" s="480" t="s">
        <v>6369</v>
      </c>
      <c r="D342" s="480" t="s">
        <v>4668</v>
      </c>
      <c r="E342" s="480" t="str">
        <f t="shared" si="22"/>
        <v xml:space="preserve">3.2.1 </v>
      </c>
      <c r="F342" s="480" t="s">
        <v>6379</v>
      </c>
      <c r="G342" s="480" t="s">
        <v>4669</v>
      </c>
      <c r="H342" s="481">
        <v>32</v>
      </c>
      <c r="I342" s="480" t="s">
        <v>4682</v>
      </c>
      <c r="J342" s="495">
        <v>320400100</v>
      </c>
      <c r="K342" s="480" t="s">
        <v>4063</v>
      </c>
      <c r="L342" s="480" t="s">
        <v>4531</v>
      </c>
      <c r="M342" s="480" t="s">
        <v>5939</v>
      </c>
      <c r="N342" s="499">
        <v>2</v>
      </c>
      <c r="O342" s="480" t="s">
        <v>4673</v>
      </c>
      <c r="P342" s="515">
        <v>5</v>
      </c>
      <c r="Q342" s="485" t="s">
        <v>1634</v>
      </c>
      <c r="R342" s="485" t="s">
        <v>10</v>
      </c>
      <c r="S342" s="485" t="s">
        <v>683</v>
      </c>
      <c r="T342" s="485">
        <v>5</v>
      </c>
      <c r="U342" s="485" t="s">
        <v>4688</v>
      </c>
      <c r="V342" s="485">
        <v>19</v>
      </c>
      <c r="W342" s="485" t="s">
        <v>5515</v>
      </c>
      <c r="X342" s="485">
        <v>15</v>
      </c>
      <c r="Y342" s="485" t="s">
        <v>5516</v>
      </c>
      <c r="Z342" s="486">
        <v>0</v>
      </c>
      <c r="AA342" s="486">
        <v>0</v>
      </c>
      <c r="AB342" s="486">
        <v>0</v>
      </c>
      <c r="AC342" s="486">
        <v>0</v>
      </c>
      <c r="AD342" s="486">
        <v>0</v>
      </c>
      <c r="AE342" s="486">
        <v>0</v>
      </c>
      <c r="AF342" s="486">
        <v>0</v>
      </c>
      <c r="AG342" s="486">
        <v>0</v>
      </c>
      <c r="AH342" s="487">
        <v>0</v>
      </c>
      <c r="AI342" s="486">
        <v>0</v>
      </c>
      <c r="AJ342" s="486">
        <v>0</v>
      </c>
      <c r="AK342" s="486">
        <v>0</v>
      </c>
      <c r="AL342" s="488">
        <v>0</v>
      </c>
      <c r="AM342" s="489">
        <v>0</v>
      </c>
      <c r="AN342" s="486">
        <v>0</v>
      </c>
      <c r="AO342" s="486">
        <v>0</v>
      </c>
      <c r="AP342" s="486">
        <v>0</v>
      </c>
      <c r="AQ342" s="486">
        <v>0</v>
      </c>
      <c r="AR342" s="486">
        <v>0</v>
      </c>
      <c r="AS342" s="486">
        <v>0</v>
      </c>
      <c r="AT342" s="486">
        <v>0</v>
      </c>
      <c r="AU342" s="486">
        <v>0</v>
      </c>
      <c r="AV342" s="487">
        <v>0</v>
      </c>
      <c r="AW342" s="486">
        <v>200000000</v>
      </c>
      <c r="AX342" s="486">
        <v>0</v>
      </c>
      <c r="AY342" s="486">
        <v>0</v>
      </c>
      <c r="AZ342" s="488">
        <v>200000000</v>
      </c>
      <c r="BA342" s="490">
        <v>200000000</v>
      </c>
      <c r="BB342" s="486">
        <v>0</v>
      </c>
      <c r="BC342" s="486">
        <v>0</v>
      </c>
      <c r="BD342" s="486">
        <v>0</v>
      </c>
      <c r="BE342" s="486">
        <v>0</v>
      </c>
      <c r="BF342" s="486">
        <v>0</v>
      </c>
      <c r="BG342" s="486">
        <v>0</v>
      </c>
      <c r="BH342" s="486">
        <v>0</v>
      </c>
      <c r="BI342" s="486">
        <v>0</v>
      </c>
      <c r="BJ342" s="487">
        <v>0</v>
      </c>
      <c r="BK342" s="486">
        <v>200000000</v>
      </c>
      <c r="BL342" s="486">
        <v>0</v>
      </c>
      <c r="BM342" s="486">
        <v>0</v>
      </c>
      <c r="BN342" s="488">
        <v>200000000</v>
      </c>
      <c r="BO342" s="490">
        <v>200000000</v>
      </c>
      <c r="BP342" s="486">
        <v>0</v>
      </c>
      <c r="BQ342" s="486">
        <v>0</v>
      </c>
      <c r="BR342" s="486">
        <v>0</v>
      </c>
      <c r="BS342" s="486">
        <v>0</v>
      </c>
      <c r="BT342" s="486">
        <v>0</v>
      </c>
      <c r="BU342" s="486">
        <v>0</v>
      </c>
      <c r="BV342" s="486">
        <v>0</v>
      </c>
      <c r="BW342" s="486">
        <v>0</v>
      </c>
      <c r="BX342" s="487">
        <v>0</v>
      </c>
      <c r="BY342" s="486">
        <v>200000000</v>
      </c>
      <c r="BZ342" s="486">
        <v>0</v>
      </c>
      <c r="CA342" s="486">
        <v>0</v>
      </c>
      <c r="CB342" s="488">
        <v>200000000</v>
      </c>
      <c r="CC342" s="491">
        <v>200000000</v>
      </c>
      <c r="CD342" s="492">
        <v>600000000</v>
      </c>
      <c r="CE342" s="493">
        <f t="shared" si="25"/>
        <v>0</v>
      </c>
      <c r="CF342" s="493">
        <f t="shared" si="24"/>
        <v>0</v>
      </c>
      <c r="CG342" s="493">
        <f t="shared" si="24"/>
        <v>0</v>
      </c>
      <c r="CH342" s="493">
        <f t="shared" si="24"/>
        <v>0</v>
      </c>
      <c r="CI342" s="493">
        <f t="shared" si="24"/>
        <v>0</v>
      </c>
      <c r="CJ342" s="493">
        <f t="shared" si="24"/>
        <v>0</v>
      </c>
      <c r="CK342" s="493">
        <f t="shared" si="24"/>
        <v>0</v>
      </c>
      <c r="CL342" s="493">
        <f t="shared" si="24"/>
        <v>0</v>
      </c>
      <c r="CM342" s="493">
        <f t="shared" si="23"/>
        <v>600000000</v>
      </c>
      <c r="CN342" s="493">
        <f t="shared" si="23"/>
        <v>0</v>
      </c>
      <c r="CO342" s="493">
        <f t="shared" si="23"/>
        <v>0</v>
      </c>
    </row>
    <row r="343" spans="1:93" ht="30.45" hidden="1" customHeight="1">
      <c r="A343" s="555" t="s">
        <v>4674</v>
      </c>
      <c r="B343" s="479">
        <v>341</v>
      </c>
      <c r="C343" s="480" t="s">
        <v>6369</v>
      </c>
      <c r="D343" s="480" t="s">
        <v>4668</v>
      </c>
      <c r="E343" s="480" t="str">
        <f t="shared" si="22"/>
        <v xml:space="preserve">3.2.1 </v>
      </c>
      <c r="F343" s="480" t="s">
        <v>6379</v>
      </c>
      <c r="G343" s="480" t="s">
        <v>4669</v>
      </c>
      <c r="H343" s="481">
        <v>32</v>
      </c>
      <c r="I343" s="480" t="s">
        <v>4685</v>
      </c>
      <c r="J343" s="495">
        <v>320700900</v>
      </c>
      <c r="K343" s="480" t="s">
        <v>4686</v>
      </c>
      <c r="L343" s="480" t="s">
        <v>4687</v>
      </c>
      <c r="M343" s="480" t="s">
        <v>5940</v>
      </c>
      <c r="N343" s="499">
        <v>0</v>
      </c>
      <c r="O343" s="480" t="s">
        <v>4688</v>
      </c>
      <c r="P343" s="515">
        <v>1</v>
      </c>
      <c r="Q343" s="485" t="s">
        <v>1634</v>
      </c>
      <c r="R343" s="485" t="s">
        <v>10</v>
      </c>
      <c r="S343" s="485" t="s">
        <v>683</v>
      </c>
      <c r="T343" s="485">
        <v>5</v>
      </c>
      <c r="U343" s="485" t="s">
        <v>4688</v>
      </c>
      <c r="V343" s="485">
        <v>19</v>
      </c>
      <c r="W343" s="485" t="s">
        <v>5515</v>
      </c>
      <c r="X343" s="485">
        <v>15</v>
      </c>
      <c r="Y343" s="485" t="s">
        <v>5516</v>
      </c>
      <c r="Z343" s="486">
        <v>0</v>
      </c>
      <c r="AA343" s="486">
        <v>0</v>
      </c>
      <c r="AB343" s="486">
        <v>0</v>
      </c>
      <c r="AC343" s="486">
        <v>0</v>
      </c>
      <c r="AD343" s="486">
        <v>0</v>
      </c>
      <c r="AE343" s="486">
        <v>0</v>
      </c>
      <c r="AF343" s="486">
        <v>0</v>
      </c>
      <c r="AG343" s="486">
        <v>0</v>
      </c>
      <c r="AH343" s="487">
        <v>0</v>
      </c>
      <c r="AI343" s="486">
        <v>0</v>
      </c>
      <c r="AJ343" s="486">
        <v>0</v>
      </c>
      <c r="AK343" s="486">
        <v>0</v>
      </c>
      <c r="AL343" s="488">
        <v>0</v>
      </c>
      <c r="AM343" s="489">
        <v>0</v>
      </c>
      <c r="AN343" s="486">
        <v>0</v>
      </c>
      <c r="AO343" s="486">
        <v>0</v>
      </c>
      <c r="AP343" s="486">
        <v>0</v>
      </c>
      <c r="AQ343" s="486">
        <v>0</v>
      </c>
      <c r="AR343" s="486">
        <v>0</v>
      </c>
      <c r="AS343" s="486">
        <v>0</v>
      </c>
      <c r="AT343" s="486">
        <v>0</v>
      </c>
      <c r="AU343" s="486">
        <v>0</v>
      </c>
      <c r="AV343" s="487">
        <v>0</v>
      </c>
      <c r="AW343" s="486">
        <v>200000000</v>
      </c>
      <c r="AX343" s="486">
        <v>0</v>
      </c>
      <c r="AY343" s="486">
        <v>0</v>
      </c>
      <c r="AZ343" s="488">
        <v>200000000</v>
      </c>
      <c r="BA343" s="490">
        <v>200000000</v>
      </c>
      <c r="BB343" s="486">
        <v>0</v>
      </c>
      <c r="BC343" s="486">
        <v>0</v>
      </c>
      <c r="BD343" s="486">
        <v>0</v>
      </c>
      <c r="BE343" s="486">
        <v>0</v>
      </c>
      <c r="BF343" s="486">
        <v>0</v>
      </c>
      <c r="BG343" s="486">
        <v>0</v>
      </c>
      <c r="BH343" s="486">
        <v>0</v>
      </c>
      <c r="BI343" s="486">
        <v>0</v>
      </c>
      <c r="BJ343" s="487">
        <v>0</v>
      </c>
      <c r="BK343" s="486">
        <v>0</v>
      </c>
      <c r="BL343" s="486">
        <v>0</v>
      </c>
      <c r="BM343" s="486">
        <v>0</v>
      </c>
      <c r="BN343" s="488">
        <v>0</v>
      </c>
      <c r="BO343" s="490">
        <v>0</v>
      </c>
      <c r="BP343" s="486">
        <v>0</v>
      </c>
      <c r="BQ343" s="486">
        <v>0</v>
      </c>
      <c r="BR343" s="486">
        <v>0</v>
      </c>
      <c r="BS343" s="486">
        <v>0</v>
      </c>
      <c r="BT343" s="486">
        <v>0</v>
      </c>
      <c r="BU343" s="486">
        <v>0</v>
      </c>
      <c r="BV343" s="486">
        <v>0</v>
      </c>
      <c r="BW343" s="486">
        <v>0</v>
      </c>
      <c r="BX343" s="487">
        <v>0</v>
      </c>
      <c r="BY343" s="486">
        <v>0</v>
      </c>
      <c r="BZ343" s="486">
        <v>0</v>
      </c>
      <c r="CA343" s="486">
        <v>0</v>
      </c>
      <c r="CB343" s="488">
        <v>0</v>
      </c>
      <c r="CC343" s="491">
        <v>0</v>
      </c>
      <c r="CD343" s="492">
        <v>200000000</v>
      </c>
      <c r="CE343" s="493">
        <f t="shared" si="25"/>
        <v>0</v>
      </c>
      <c r="CF343" s="493">
        <f t="shared" si="24"/>
        <v>0</v>
      </c>
      <c r="CG343" s="493">
        <f t="shared" si="24"/>
        <v>0</v>
      </c>
      <c r="CH343" s="493">
        <f t="shared" si="24"/>
        <v>0</v>
      </c>
      <c r="CI343" s="493">
        <f t="shared" si="24"/>
        <v>0</v>
      </c>
      <c r="CJ343" s="493">
        <f t="shared" si="24"/>
        <v>0</v>
      </c>
      <c r="CK343" s="493">
        <f t="shared" si="24"/>
        <v>0</v>
      </c>
      <c r="CL343" s="493">
        <f t="shared" si="24"/>
        <v>0</v>
      </c>
      <c r="CM343" s="493">
        <f t="shared" si="23"/>
        <v>200000000</v>
      </c>
      <c r="CN343" s="493">
        <f t="shared" si="23"/>
        <v>0</v>
      </c>
      <c r="CO343" s="493">
        <f t="shared" si="23"/>
        <v>0</v>
      </c>
    </row>
    <row r="344" spans="1:93" ht="30.45" hidden="1" customHeight="1">
      <c r="A344" s="555" t="s">
        <v>4674</v>
      </c>
      <c r="B344" s="479">
        <v>342</v>
      </c>
      <c r="C344" s="480" t="s">
        <v>6369</v>
      </c>
      <c r="D344" s="480" t="s">
        <v>4668</v>
      </c>
      <c r="E344" s="480" t="str">
        <f t="shared" si="22"/>
        <v xml:space="preserve">3.2.2 </v>
      </c>
      <c r="F344" s="480" t="s">
        <v>6380</v>
      </c>
      <c r="G344" s="480" t="s">
        <v>6393</v>
      </c>
      <c r="H344" s="481">
        <v>32</v>
      </c>
      <c r="I344" s="480" t="s">
        <v>4676</v>
      </c>
      <c r="J344" s="495">
        <v>320100900</v>
      </c>
      <c r="K344" s="480" t="s">
        <v>4689</v>
      </c>
      <c r="L344" s="480" t="s">
        <v>5941</v>
      </c>
      <c r="M344" s="480" t="s">
        <v>6564</v>
      </c>
      <c r="N344" s="499">
        <v>6</v>
      </c>
      <c r="O344" s="480" t="s">
        <v>4673</v>
      </c>
      <c r="P344" s="515">
        <v>15</v>
      </c>
      <c r="Q344" s="485" t="s">
        <v>5349</v>
      </c>
      <c r="R344" s="485" t="s">
        <v>5345</v>
      </c>
      <c r="S344" s="485" t="s">
        <v>5517</v>
      </c>
      <c r="T344" s="485">
        <v>2200</v>
      </c>
      <c r="U344" s="485" t="s">
        <v>5518</v>
      </c>
      <c r="V344" s="485">
        <v>5150</v>
      </c>
      <c r="W344" s="485" t="s">
        <v>5351</v>
      </c>
      <c r="X344" s="485" t="s">
        <v>5519</v>
      </c>
      <c r="Y344" s="485" t="s">
        <v>5520</v>
      </c>
      <c r="Z344" s="486">
        <v>15980000</v>
      </c>
      <c r="AA344" s="486">
        <v>0</v>
      </c>
      <c r="AB344" s="486">
        <v>0</v>
      </c>
      <c r="AC344" s="486">
        <v>0</v>
      </c>
      <c r="AD344" s="486">
        <v>0</v>
      </c>
      <c r="AE344" s="486">
        <v>0</v>
      </c>
      <c r="AF344" s="486">
        <v>0</v>
      </c>
      <c r="AG344" s="486">
        <v>0</v>
      </c>
      <c r="AH344" s="487">
        <v>15980000</v>
      </c>
      <c r="AI344" s="486">
        <v>0</v>
      </c>
      <c r="AJ344" s="486">
        <v>0</v>
      </c>
      <c r="AK344" s="486">
        <v>0</v>
      </c>
      <c r="AL344" s="488">
        <v>0</v>
      </c>
      <c r="AM344" s="489">
        <v>15980000</v>
      </c>
      <c r="AN344" s="486">
        <v>16619200</v>
      </c>
      <c r="AO344" s="486">
        <v>0</v>
      </c>
      <c r="AP344" s="486">
        <v>0</v>
      </c>
      <c r="AQ344" s="486">
        <v>0</v>
      </c>
      <c r="AR344" s="486">
        <v>0</v>
      </c>
      <c r="AS344" s="486">
        <v>0</v>
      </c>
      <c r="AT344" s="486">
        <v>0</v>
      </c>
      <c r="AU344" s="486">
        <v>0</v>
      </c>
      <c r="AV344" s="487">
        <v>16619200</v>
      </c>
      <c r="AW344" s="486">
        <v>0</v>
      </c>
      <c r="AX344" s="486">
        <v>0</v>
      </c>
      <c r="AY344" s="486">
        <v>0</v>
      </c>
      <c r="AZ344" s="488">
        <v>0</v>
      </c>
      <c r="BA344" s="490">
        <v>16619200</v>
      </c>
      <c r="BB344" s="486">
        <v>17283968</v>
      </c>
      <c r="BC344" s="486">
        <v>0</v>
      </c>
      <c r="BD344" s="486">
        <v>0</v>
      </c>
      <c r="BE344" s="486">
        <v>0</v>
      </c>
      <c r="BF344" s="486">
        <v>0</v>
      </c>
      <c r="BG344" s="486">
        <v>0</v>
      </c>
      <c r="BH344" s="486">
        <v>0</v>
      </c>
      <c r="BI344" s="486">
        <v>0</v>
      </c>
      <c r="BJ344" s="487">
        <v>17283968</v>
      </c>
      <c r="BK344" s="486">
        <v>0</v>
      </c>
      <c r="BL344" s="486">
        <v>0</v>
      </c>
      <c r="BM344" s="486">
        <v>0</v>
      </c>
      <c r="BN344" s="488">
        <v>0</v>
      </c>
      <c r="BO344" s="490">
        <v>17283968</v>
      </c>
      <c r="BP344" s="486">
        <v>17975326.719999999</v>
      </c>
      <c r="BQ344" s="486">
        <v>0</v>
      </c>
      <c r="BR344" s="486">
        <v>0</v>
      </c>
      <c r="BS344" s="486">
        <v>0</v>
      </c>
      <c r="BT344" s="486">
        <v>0</v>
      </c>
      <c r="BU344" s="486">
        <v>0</v>
      </c>
      <c r="BV344" s="486">
        <v>0</v>
      </c>
      <c r="BW344" s="486">
        <v>0</v>
      </c>
      <c r="BX344" s="487">
        <v>17975326.719999999</v>
      </c>
      <c r="BY344" s="486">
        <v>75000000</v>
      </c>
      <c r="BZ344" s="486">
        <v>0</v>
      </c>
      <c r="CA344" s="486">
        <v>0</v>
      </c>
      <c r="CB344" s="488">
        <v>75000000</v>
      </c>
      <c r="CC344" s="491">
        <v>92975326.719999999</v>
      </c>
      <c r="CD344" s="492">
        <v>142858494.72</v>
      </c>
      <c r="CE344" s="493">
        <f t="shared" si="25"/>
        <v>67858494.719999999</v>
      </c>
      <c r="CF344" s="493">
        <f t="shared" si="24"/>
        <v>0</v>
      </c>
      <c r="CG344" s="493">
        <f t="shared" si="24"/>
        <v>0</v>
      </c>
      <c r="CH344" s="493">
        <f t="shared" si="24"/>
        <v>0</v>
      </c>
      <c r="CI344" s="493">
        <f t="shared" si="24"/>
        <v>0</v>
      </c>
      <c r="CJ344" s="493">
        <f t="shared" si="24"/>
        <v>0</v>
      </c>
      <c r="CK344" s="493">
        <f t="shared" si="24"/>
        <v>0</v>
      </c>
      <c r="CL344" s="493">
        <f t="shared" si="24"/>
        <v>0</v>
      </c>
      <c r="CM344" s="493">
        <f t="shared" si="23"/>
        <v>75000000</v>
      </c>
      <c r="CN344" s="493">
        <f t="shared" si="23"/>
        <v>0</v>
      </c>
      <c r="CO344" s="493">
        <f t="shared" si="23"/>
        <v>0</v>
      </c>
    </row>
    <row r="345" spans="1:93" ht="30.45" hidden="1" customHeight="1">
      <c r="A345" s="555" t="s">
        <v>4674</v>
      </c>
      <c r="B345" s="479">
        <v>343</v>
      </c>
      <c r="C345" s="480" t="s">
        <v>6369</v>
      </c>
      <c r="D345" s="480" t="s">
        <v>4668</v>
      </c>
      <c r="E345" s="480" t="str">
        <f t="shared" si="22"/>
        <v xml:space="preserve">3.2.2 </v>
      </c>
      <c r="F345" s="480" t="s">
        <v>6380</v>
      </c>
      <c r="G345" s="480" t="s">
        <v>6393</v>
      </c>
      <c r="H345" s="481">
        <v>32</v>
      </c>
      <c r="I345" s="480" t="s">
        <v>4680</v>
      </c>
      <c r="J345" s="495">
        <v>320800600</v>
      </c>
      <c r="K345" s="480" t="s">
        <v>4347</v>
      </c>
      <c r="L345" s="480" t="s">
        <v>4690</v>
      </c>
      <c r="M345" s="480" t="s">
        <v>5942</v>
      </c>
      <c r="N345" s="499">
        <v>1</v>
      </c>
      <c r="O345" s="480" t="s">
        <v>6565</v>
      </c>
      <c r="P345" s="515">
        <v>14</v>
      </c>
      <c r="Q345" s="485" t="s">
        <v>5349</v>
      </c>
      <c r="R345" s="485" t="s">
        <v>5345</v>
      </c>
      <c r="S345" s="485" t="s">
        <v>5517</v>
      </c>
      <c r="T345" s="485">
        <v>2200</v>
      </c>
      <c r="U345" s="485" t="s">
        <v>5518</v>
      </c>
      <c r="V345" s="485">
        <v>5150</v>
      </c>
      <c r="W345" s="485" t="s">
        <v>5351</v>
      </c>
      <c r="X345" s="485" t="s">
        <v>5519</v>
      </c>
      <c r="Y345" s="485" t="s">
        <v>5520</v>
      </c>
      <c r="Z345" s="486">
        <v>15980000</v>
      </c>
      <c r="AA345" s="486">
        <v>0</v>
      </c>
      <c r="AB345" s="486">
        <v>0</v>
      </c>
      <c r="AC345" s="486">
        <v>0</v>
      </c>
      <c r="AD345" s="486">
        <v>0</v>
      </c>
      <c r="AE345" s="486">
        <v>0</v>
      </c>
      <c r="AF345" s="486">
        <v>0</v>
      </c>
      <c r="AG345" s="486">
        <v>0</v>
      </c>
      <c r="AH345" s="487">
        <v>15980000</v>
      </c>
      <c r="AI345" s="486">
        <v>0</v>
      </c>
      <c r="AJ345" s="486">
        <v>0</v>
      </c>
      <c r="AK345" s="486">
        <v>0</v>
      </c>
      <c r="AL345" s="488">
        <v>0</v>
      </c>
      <c r="AM345" s="489">
        <v>15980000</v>
      </c>
      <c r="AN345" s="486">
        <v>16619200</v>
      </c>
      <c r="AO345" s="486">
        <v>0</v>
      </c>
      <c r="AP345" s="486">
        <v>0</v>
      </c>
      <c r="AQ345" s="486">
        <v>0</v>
      </c>
      <c r="AR345" s="486">
        <v>0</v>
      </c>
      <c r="AS345" s="486">
        <v>0</v>
      </c>
      <c r="AT345" s="486">
        <v>0</v>
      </c>
      <c r="AU345" s="486">
        <v>0</v>
      </c>
      <c r="AV345" s="487">
        <v>16619200</v>
      </c>
      <c r="AW345" s="486">
        <v>0</v>
      </c>
      <c r="AX345" s="486">
        <v>0</v>
      </c>
      <c r="AY345" s="486">
        <v>0</v>
      </c>
      <c r="AZ345" s="488">
        <v>0</v>
      </c>
      <c r="BA345" s="490">
        <v>16619200</v>
      </c>
      <c r="BB345" s="486">
        <v>17283968</v>
      </c>
      <c r="BC345" s="486">
        <v>0</v>
      </c>
      <c r="BD345" s="486">
        <v>0</v>
      </c>
      <c r="BE345" s="486">
        <v>0</v>
      </c>
      <c r="BF345" s="486">
        <v>0</v>
      </c>
      <c r="BG345" s="486">
        <v>0</v>
      </c>
      <c r="BH345" s="486">
        <v>0</v>
      </c>
      <c r="BI345" s="486">
        <v>0</v>
      </c>
      <c r="BJ345" s="487">
        <v>17283968</v>
      </c>
      <c r="BK345" s="486">
        <v>0</v>
      </c>
      <c r="BL345" s="486">
        <v>0</v>
      </c>
      <c r="BM345" s="486">
        <v>0</v>
      </c>
      <c r="BN345" s="488">
        <v>0</v>
      </c>
      <c r="BO345" s="490">
        <v>17283968</v>
      </c>
      <c r="BP345" s="486">
        <v>17975326.719999999</v>
      </c>
      <c r="BQ345" s="486">
        <v>0</v>
      </c>
      <c r="BR345" s="486">
        <v>0</v>
      </c>
      <c r="BS345" s="486">
        <v>0</v>
      </c>
      <c r="BT345" s="486">
        <v>0</v>
      </c>
      <c r="BU345" s="486">
        <v>0</v>
      </c>
      <c r="BV345" s="486">
        <v>0</v>
      </c>
      <c r="BW345" s="486">
        <v>0</v>
      </c>
      <c r="BX345" s="487">
        <v>17975326.719999999</v>
      </c>
      <c r="BY345" s="486">
        <v>350000000</v>
      </c>
      <c r="BZ345" s="486">
        <v>0</v>
      </c>
      <c r="CA345" s="486">
        <v>0</v>
      </c>
      <c r="CB345" s="488">
        <v>350000000</v>
      </c>
      <c r="CC345" s="491">
        <v>367975326.72000003</v>
      </c>
      <c r="CD345" s="492">
        <v>417858494.72000003</v>
      </c>
      <c r="CE345" s="493">
        <f t="shared" si="25"/>
        <v>67858494.719999999</v>
      </c>
      <c r="CF345" s="493">
        <f t="shared" si="24"/>
        <v>0</v>
      </c>
      <c r="CG345" s="493">
        <f t="shared" si="24"/>
        <v>0</v>
      </c>
      <c r="CH345" s="493">
        <f t="shared" si="24"/>
        <v>0</v>
      </c>
      <c r="CI345" s="493">
        <f t="shared" si="24"/>
        <v>0</v>
      </c>
      <c r="CJ345" s="493">
        <f t="shared" si="24"/>
        <v>0</v>
      </c>
      <c r="CK345" s="493">
        <f t="shared" si="24"/>
        <v>0</v>
      </c>
      <c r="CL345" s="493">
        <f t="shared" si="24"/>
        <v>0</v>
      </c>
      <c r="CM345" s="493">
        <f t="shared" si="23"/>
        <v>350000000</v>
      </c>
      <c r="CN345" s="493">
        <f t="shared" si="23"/>
        <v>0</v>
      </c>
      <c r="CO345" s="493">
        <f t="shared" si="23"/>
        <v>0</v>
      </c>
    </row>
    <row r="346" spans="1:93" ht="30.45" hidden="1" customHeight="1">
      <c r="A346" s="555" t="s">
        <v>4674</v>
      </c>
      <c r="B346" s="479">
        <v>344</v>
      </c>
      <c r="C346" s="480" t="s">
        <v>6369</v>
      </c>
      <c r="D346" s="480" t="s">
        <v>4668</v>
      </c>
      <c r="E346" s="480" t="str">
        <f t="shared" si="22"/>
        <v xml:space="preserve">3.2.2 </v>
      </c>
      <c r="F346" s="480" t="s">
        <v>6380</v>
      </c>
      <c r="G346" s="480" t="s">
        <v>6393</v>
      </c>
      <c r="H346" s="481">
        <v>40</v>
      </c>
      <c r="I346" s="480" t="s">
        <v>4250</v>
      </c>
      <c r="J346" s="495">
        <v>400300800</v>
      </c>
      <c r="K346" s="480" t="s">
        <v>4303</v>
      </c>
      <c r="L346" s="480" t="s">
        <v>4691</v>
      </c>
      <c r="M346" s="480" t="s">
        <v>5943</v>
      </c>
      <c r="N346" s="499">
        <v>3</v>
      </c>
      <c r="O346" s="480" t="s">
        <v>4673</v>
      </c>
      <c r="P346" s="515">
        <v>17</v>
      </c>
      <c r="Q346" s="485" t="s">
        <v>5349</v>
      </c>
      <c r="R346" s="485" t="s">
        <v>5345</v>
      </c>
      <c r="S346" s="485" t="s">
        <v>5517</v>
      </c>
      <c r="T346" s="485">
        <v>2200</v>
      </c>
      <c r="U346" s="485" t="s">
        <v>5518</v>
      </c>
      <c r="V346" s="485">
        <v>5150</v>
      </c>
      <c r="W346" s="485" t="s">
        <v>5351</v>
      </c>
      <c r="X346" s="485" t="s">
        <v>5519</v>
      </c>
      <c r="Y346" s="485" t="s">
        <v>5520</v>
      </c>
      <c r="Z346" s="486">
        <v>15980000</v>
      </c>
      <c r="AA346" s="486">
        <v>0</v>
      </c>
      <c r="AB346" s="486">
        <v>0</v>
      </c>
      <c r="AC346" s="486">
        <v>0</v>
      </c>
      <c r="AD346" s="486">
        <v>0</v>
      </c>
      <c r="AE346" s="486">
        <v>0</v>
      </c>
      <c r="AF346" s="486">
        <v>0</v>
      </c>
      <c r="AG346" s="486">
        <v>0</v>
      </c>
      <c r="AH346" s="487">
        <v>15980000</v>
      </c>
      <c r="AI346" s="486">
        <v>0</v>
      </c>
      <c r="AJ346" s="486">
        <v>0</v>
      </c>
      <c r="AK346" s="486">
        <v>0</v>
      </c>
      <c r="AL346" s="488">
        <v>0</v>
      </c>
      <c r="AM346" s="489">
        <v>15980000</v>
      </c>
      <c r="AN346" s="486">
        <v>16619200</v>
      </c>
      <c r="AO346" s="486">
        <v>180000000</v>
      </c>
      <c r="AP346" s="486">
        <v>0</v>
      </c>
      <c r="AQ346" s="486">
        <v>0</v>
      </c>
      <c r="AR346" s="486">
        <v>0</v>
      </c>
      <c r="AS346" s="486">
        <v>0</v>
      </c>
      <c r="AT346" s="486">
        <v>0</v>
      </c>
      <c r="AU346" s="486">
        <v>0</v>
      </c>
      <c r="AV346" s="487">
        <v>196619200</v>
      </c>
      <c r="AW346" s="486">
        <v>240000000</v>
      </c>
      <c r="AX346" s="486">
        <v>0</v>
      </c>
      <c r="AY346" s="486">
        <v>0</v>
      </c>
      <c r="AZ346" s="488">
        <v>240000000</v>
      </c>
      <c r="BA346" s="490">
        <v>436619200</v>
      </c>
      <c r="BB346" s="486">
        <v>17283968</v>
      </c>
      <c r="BC346" s="486">
        <v>150000000</v>
      </c>
      <c r="BD346" s="486">
        <v>0</v>
      </c>
      <c r="BE346" s="486">
        <v>0</v>
      </c>
      <c r="BF346" s="486">
        <v>0</v>
      </c>
      <c r="BG346" s="486">
        <v>0</v>
      </c>
      <c r="BH346" s="486">
        <v>0</v>
      </c>
      <c r="BI346" s="486">
        <v>0</v>
      </c>
      <c r="BJ346" s="487">
        <v>167283968</v>
      </c>
      <c r="BK346" s="486">
        <v>120000000</v>
      </c>
      <c r="BL346" s="486">
        <v>0</v>
      </c>
      <c r="BM346" s="486">
        <v>0</v>
      </c>
      <c r="BN346" s="488">
        <v>120000000</v>
      </c>
      <c r="BO346" s="490">
        <v>287283968</v>
      </c>
      <c r="BP346" s="486">
        <v>17975326.719999999</v>
      </c>
      <c r="BQ346" s="486">
        <v>90000000</v>
      </c>
      <c r="BR346" s="486">
        <v>0</v>
      </c>
      <c r="BS346" s="486">
        <v>0</v>
      </c>
      <c r="BT346" s="486">
        <v>0</v>
      </c>
      <c r="BU346" s="486">
        <v>0</v>
      </c>
      <c r="BV346" s="486">
        <v>0</v>
      </c>
      <c r="BW346" s="486">
        <v>0</v>
      </c>
      <c r="BX346" s="487">
        <v>107975326.72</v>
      </c>
      <c r="BY346" s="486">
        <v>120000000</v>
      </c>
      <c r="BZ346" s="486">
        <v>0</v>
      </c>
      <c r="CA346" s="486">
        <v>0</v>
      </c>
      <c r="CB346" s="488">
        <v>120000000</v>
      </c>
      <c r="CC346" s="491">
        <v>227975326.72</v>
      </c>
      <c r="CD346" s="492">
        <v>967858494.72000003</v>
      </c>
      <c r="CE346" s="493">
        <f t="shared" si="25"/>
        <v>67858494.719999999</v>
      </c>
      <c r="CF346" s="493">
        <f t="shared" si="24"/>
        <v>420000000</v>
      </c>
      <c r="CG346" s="493">
        <f t="shared" si="24"/>
        <v>0</v>
      </c>
      <c r="CH346" s="493">
        <f t="shared" si="24"/>
        <v>0</v>
      </c>
      <c r="CI346" s="493">
        <f t="shared" si="24"/>
        <v>0</v>
      </c>
      <c r="CJ346" s="493">
        <f t="shared" si="24"/>
        <v>0</v>
      </c>
      <c r="CK346" s="493">
        <f t="shared" si="24"/>
        <v>0</v>
      </c>
      <c r="CL346" s="493">
        <f t="shared" si="24"/>
        <v>0</v>
      </c>
      <c r="CM346" s="493">
        <f t="shared" si="23"/>
        <v>480000000</v>
      </c>
      <c r="CN346" s="493">
        <f t="shared" si="23"/>
        <v>0</v>
      </c>
      <c r="CO346" s="493">
        <f t="shared" si="23"/>
        <v>0</v>
      </c>
    </row>
    <row r="347" spans="1:93" ht="30.45" hidden="1" customHeight="1">
      <c r="A347" s="555" t="s">
        <v>4674</v>
      </c>
      <c r="B347" s="479">
        <v>345</v>
      </c>
      <c r="C347" s="480" t="s">
        <v>6369</v>
      </c>
      <c r="D347" s="480" t="s">
        <v>4668</v>
      </c>
      <c r="E347" s="480" t="str">
        <f t="shared" si="22"/>
        <v xml:space="preserve">3.2.3 </v>
      </c>
      <c r="F347" s="480" t="s">
        <v>6381</v>
      </c>
      <c r="G347" s="480" t="s">
        <v>4692</v>
      </c>
      <c r="H347" s="481">
        <v>32</v>
      </c>
      <c r="I347" s="480" t="s">
        <v>4693</v>
      </c>
      <c r="J347" s="495">
        <v>320600500</v>
      </c>
      <c r="K347" s="480" t="s">
        <v>4286</v>
      </c>
      <c r="L347" s="480" t="s">
        <v>4694</v>
      </c>
      <c r="M347" s="480" t="s">
        <v>5944</v>
      </c>
      <c r="N347" s="499">
        <v>50</v>
      </c>
      <c r="O347" s="480" t="s">
        <v>4673</v>
      </c>
      <c r="P347" s="515">
        <v>366</v>
      </c>
      <c r="Q347" s="485" t="s">
        <v>5349</v>
      </c>
      <c r="R347" s="485" t="s">
        <v>5521</v>
      </c>
      <c r="S347" s="485" t="s">
        <v>683</v>
      </c>
      <c r="T347" s="485">
        <v>63</v>
      </c>
      <c r="U347" s="485" t="s">
        <v>5522</v>
      </c>
      <c r="V347" s="485">
        <v>394</v>
      </c>
      <c r="W347" s="485" t="s">
        <v>5331</v>
      </c>
      <c r="X347" s="485" t="s">
        <v>5523</v>
      </c>
      <c r="Y347" s="485" t="s">
        <v>5524</v>
      </c>
      <c r="Z347" s="486">
        <v>25272000</v>
      </c>
      <c r="AA347" s="486">
        <v>0</v>
      </c>
      <c r="AB347" s="486">
        <v>0</v>
      </c>
      <c r="AC347" s="486">
        <v>0</v>
      </c>
      <c r="AD347" s="486">
        <v>0</v>
      </c>
      <c r="AE347" s="486">
        <v>0</v>
      </c>
      <c r="AF347" s="486">
        <v>0</v>
      </c>
      <c r="AG347" s="486">
        <v>0</v>
      </c>
      <c r="AH347" s="487">
        <v>25272000</v>
      </c>
      <c r="AI347" s="486">
        <v>0</v>
      </c>
      <c r="AJ347" s="486">
        <v>0</v>
      </c>
      <c r="AK347" s="486">
        <v>0</v>
      </c>
      <c r="AL347" s="488">
        <v>0</v>
      </c>
      <c r="AM347" s="489">
        <v>25272000</v>
      </c>
      <c r="AN347" s="486">
        <v>526750307.41000003</v>
      </c>
      <c r="AO347" s="486"/>
      <c r="AP347" s="486">
        <v>0</v>
      </c>
      <c r="AQ347" s="486">
        <v>0</v>
      </c>
      <c r="AR347" s="486">
        <v>0</v>
      </c>
      <c r="AS347" s="486">
        <v>0</v>
      </c>
      <c r="AT347" s="486">
        <v>0</v>
      </c>
      <c r="AU347" s="486">
        <v>0</v>
      </c>
      <c r="AV347" s="487">
        <v>526750307.41000003</v>
      </c>
      <c r="AW347" s="486"/>
      <c r="AX347" s="486">
        <v>0</v>
      </c>
      <c r="AY347" s="486">
        <v>0</v>
      </c>
      <c r="AZ347" s="488">
        <v>0</v>
      </c>
      <c r="BA347" s="490">
        <v>526750307.41000003</v>
      </c>
      <c r="BB347" s="486">
        <v>182787155</v>
      </c>
      <c r="BC347" s="486">
        <v>0</v>
      </c>
      <c r="BD347" s="486">
        <v>0</v>
      </c>
      <c r="BE347" s="486">
        <v>0</v>
      </c>
      <c r="BF347" s="486">
        <v>0</v>
      </c>
      <c r="BG347" s="486">
        <v>0</v>
      </c>
      <c r="BH347" s="486">
        <v>0</v>
      </c>
      <c r="BI347" s="486">
        <v>0</v>
      </c>
      <c r="BJ347" s="487">
        <v>182787155</v>
      </c>
      <c r="BK347" s="486"/>
      <c r="BL347" s="486">
        <v>0</v>
      </c>
      <c r="BM347" s="486">
        <v>0</v>
      </c>
      <c r="BN347" s="488">
        <v>0</v>
      </c>
      <c r="BO347" s="490">
        <v>182787155</v>
      </c>
      <c r="BP347" s="486">
        <v>190098641.40799999</v>
      </c>
      <c r="BQ347" s="486">
        <v>0</v>
      </c>
      <c r="BR347" s="486">
        <v>0</v>
      </c>
      <c r="BS347" s="486">
        <v>0</v>
      </c>
      <c r="BT347" s="486">
        <v>0</v>
      </c>
      <c r="BU347" s="486">
        <v>0</v>
      </c>
      <c r="BV347" s="486">
        <v>0</v>
      </c>
      <c r="BW347" s="486">
        <v>0</v>
      </c>
      <c r="BX347" s="487">
        <v>190098641.40799999</v>
      </c>
      <c r="BY347" s="486"/>
      <c r="BZ347" s="486">
        <v>0</v>
      </c>
      <c r="CA347" s="486">
        <v>0</v>
      </c>
      <c r="CB347" s="488">
        <v>0</v>
      </c>
      <c r="CC347" s="491">
        <v>190098641.40799999</v>
      </c>
      <c r="CD347" s="492">
        <v>924908103.81800008</v>
      </c>
      <c r="CE347" s="493">
        <f t="shared" si="25"/>
        <v>924908103.81800008</v>
      </c>
      <c r="CF347" s="493">
        <f t="shared" si="24"/>
        <v>0</v>
      </c>
      <c r="CG347" s="493">
        <f t="shared" si="24"/>
        <v>0</v>
      </c>
      <c r="CH347" s="493">
        <f t="shared" si="24"/>
        <v>0</v>
      </c>
      <c r="CI347" s="493">
        <f t="shared" si="24"/>
        <v>0</v>
      </c>
      <c r="CJ347" s="493">
        <f t="shared" si="24"/>
        <v>0</v>
      </c>
      <c r="CK347" s="493">
        <f t="shared" si="24"/>
        <v>0</v>
      </c>
      <c r="CL347" s="493">
        <f t="shared" si="24"/>
        <v>0</v>
      </c>
      <c r="CM347" s="493">
        <f t="shared" si="23"/>
        <v>0</v>
      </c>
      <c r="CN347" s="493">
        <f t="shared" si="23"/>
        <v>0</v>
      </c>
      <c r="CO347" s="493">
        <f t="shared" si="23"/>
        <v>0</v>
      </c>
    </row>
    <row r="348" spans="1:93" ht="30.45" hidden="1" customHeight="1">
      <c r="A348" s="555" t="s">
        <v>4674</v>
      </c>
      <c r="B348" s="479">
        <v>346</v>
      </c>
      <c r="C348" s="480" t="s">
        <v>6369</v>
      </c>
      <c r="D348" s="480" t="s">
        <v>4668</v>
      </c>
      <c r="E348" s="480" t="str">
        <f t="shared" si="22"/>
        <v xml:space="preserve">3.2.3 </v>
      </c>
      <c r="F348" s="480" t="s">
        <v>6381</v>
      </c>
      <c r="G348" s="480" t="s">
        <v>4692</v>
      </c>
      <c r="H348" s="481">
        <v>32</v>
      </c>
      <c r="I348" s="480" t="s">
        <v>4693</v>
      </c>
      <c r="J348" s="495">
        <v>320600300</v>
      </c>
      <c r="K348" s="480" t="s">
        <v>4695</v>
      </c>
      <c r="L348" s="480" t="s">
        <v>4696</v>
      </c>
      <c r="M348" s="480" t="s">
        <v>5945</v>
      </c>
      <c r="N348" s="499">
        <v>6</v>
      </c>
      <c r="O348" s="480" t="s">
        <v>4673</v>
      </c>
      <c r="P348" s="515">
        <v>10</v>
      </c>
      <c r="Q348" s="485" t="s">
        <v>5349</v>
      </c>
      <c r="R348" s="485" t="s">
        <v>5521</v>
      </c>
      <c r="S348" s="485" t="s">
        <v>683</v>
      </c>
      <c r="T348" s="485">
        <v>63</v>
      </c>
      <c r="U348" s="485" t="s">
        <v>5522</v>
      </c>
      <c r="V348" s="485">
        <v>394</v>
      </c>
      <c r="W348" s="485" t="s">
        <v>5331</v>
      </c>
      <c r="X348" s="485" t="s">
        <v>5523</v>
      </c>
      <c r="Y348" s="485" t="s">
        <v>5524</v>
      </c>
      <c r="Z348" s="486">
        <v>0</v>
      </c>
      <c r="AA348" s="486">
        <v>0</v>
      </c>
      <c r="AB348" s="486">
        <v>0</v>
      </c>
      <c r="AC348" s="486">
        <v>0</v>
      </c>
      <c r="AD348" s="486">
        <v>0</v>
      </c>
      <c r="AE348" s="486">
        <v>0</v>
      </c>
      <c r="AF348" s="486">
        <v>0</v>
      </c>
      <c r="AG348" s="486">
        <v>0</v>
      </c>
      <c r="AH348" s="487">
        <v>0</v>
      </c>
      <c r="AI348" s="486">
        <v>0</v>
      </c>
      <c r="AJ348" s="486">
        <v>0</v>
      </c>
      <c r="AK348" s="486">
        <v>0</v>
      </c>
      <c r="AL348" s="488">
        <v>0</v>
      </c>
      <c r="AM348" s="489">
        <v>0</v>
      </c>
      <c r="AN348" s="486">
        <v>20458300.902799845</v>
      </c>
      <c r="AO348" s="486">
        <v>0</v>
      </c>
      <c r="AP348" s="486">
        <v>0</v>
      </c>
      <c r="AQ348" s="486">
        <v>0</v>
      </c>
      <c r="AR348" s="486">
        <v>0</v>
      </c>
      <c r="AS348" s="486">
        <v>0</v>
      </c>
      <c r="AT348" s="486">
        <v>0</v>
      </c>
      <c r="AU348" s="486">
        <v>0</v>
      </c>
      <c r="AV348" s="487">
        <v>20458300.902799845</v>
      </c>
      <c r="AW348" s="486">
        <v>315536000</v>
      </c>
      <c r="AX348" s="486">
        <v>0</v>
      </c>
      <c r="AY348" s="486">
        <v>0</v>
      </c>
      <c r="AZ348" s="488">
        <v>315536000</v>
      </c>
      <c r="BA348" s="490">
        <v>335994300.90279984</v>
      </c>
      <c r="BB348" s="486">
        <v>21276633</v>
      </c>
      <c r="BC348" s="486">
        <v>0</v>
      </c>
      <c r="BD348" s="486">
        <v>0</v>
      </c>
      <c r="BE348" s="486">
        <v>0</v>
      </c>
      <c r="BF348" s="486">
        <v>0</v>
      </c>
      <c r="BG348" s="486">
        <v>0</v>
      </c>
      <c r="BH348" s="486">
        <v>0</v>
      </c>
      <c r="BI348" s="486">
        <v>0</v>
      </c>
      <c r="BJ348" s="487">
        <v>21276633</v>
      </c>
      <c r="BK348" s="486">
        <v>631072000</v>
      </c>
      <c r="BL348" s="486">
        <v>0</v>
      </c>
      <c r="BM348" s="486">
        <v>0</v>
      </c>
      <c r="BN348" s="488">
        <v>631072000</v>
      </c>
      <c r="BO348" s="490">
        <v>652348633</v>
      </c>
      <c r="BP348" s="486">
        <v>22127698.260788441</v>
      </c>
      <c r="BQ348" s="486">
        <v>0</v>
      </c>
      <c r="BR348" s="486">
        <v>0</v>
      </c>
      <c r="BS348" s="486">
        <v>0</v>
      </c>
      <c r="BT348" s="486">
        <v>0</v>
      </c>
      <c r="BU348" s="486">
        <v>0</v>
      </c>
      <c r="BV348" s="486">
        <v>0</v>
      </c>
      <c r="BW348" s="486">
        <v>0</v>
      </c>
      <c r="BX348" s="487">
        <v>22127698.260788441</v>
      </c>
      <c r="BY348" s="486">
        <v>315392000</v>
      </c>
      <c r="BZ348" s="486">
        <v>0</v>
      </c>
      <c r="CA348" s="486">
        <v>0</v>
      </c>
      <c r="CB348" s="488">
        <v>315392000</v>
      </c>
      <c r="CC348" s="491">
        <v>337519698.26078844</v>
      </c>
      <c r="CD348" s="492">
        <v>1325862632.1635883</v>
      </c>
      <c r="CE348" s="493">
        <f t="shared" si="25"/>
        <v>63862632.163588285</v>
      </c>
      <c r="CF348" s="493">
        <f t="shared" si="24"/>
        <v>0</v>
      </c>
      <c r="CG348" s="493">
        <f t="shared" si="24"/>
        <v>0</v>
      </c>
      <c r="CH348" s="493">
        <f t="shared" si="24"/>
        <v>0</v>
      </c>
      <c r="CI348" s="493">
        <f t="shared" si="24"/>
        <v>0</v>
      </c>
      <c r="CJ348" s="493">
        <f t="shared" si="24"/>
        <v>0</v>
      </c>
      <c r="CK348" s="493">
        <f t="shared" si="24"/>
        <v>0</v>
      </c>
      <c r="CL348" s="493">
        <f t="shared" si="24"/>
        <v>0</v>
      </c>
      <c r="CM348" s="493">
        <f t="shared" si="23"/>
        <v>1262000000</v>
      </c>
      <c r="CN348" s="493">
        <f t="shared" si="23"/>
        <v>0</v>
      </c>
      <c r="CO348" s="493">
        <f t="shared" si="23"/>
        <v>0</v>
      </c>
    </row>
    <row r="349" spans="1:93" ht="30.45" hidden="1" customHeight="1">
      <c r="A349" s="555" t="s">
        <v>4674</v>
      </c>
      <c r="B349" s="479">
        <v>347</v>
      </c>
      <c r="C349" s="480" t="s">
        <v>6369</v>
      </c>
      <c r="D349" s="480" t="s">
        <v>4668</v>
      </c>
      <c r="E349" s="480" t="str">
        <f t="shared" si="22"/>
        <v xml:space="preserve">3.2.3 </v>
      </c>
      <c r="F349" s="480" t="s">
        <v>6381</v>
      </c>
      <c r="G349" s="480" t="s">
        <v>4692</v>
      </c>
      <c r="H349" s="481">
        <v>32</v>
      </c>
      <c r="I349" s="480" t="s">
        <v>4693</v>
      </c>
      <c r="J349" s="495">
        <v>320601400</v>
      </c>
      <c r="K349" s="480" t="s">
        <v>4697</v>
      </c>
      <c r="L349" s="480" t="s">
        <v>4698</v>
      </c>
      <c r="M349" s="480" t="s">
        <v>5946</v>
      </c>
      <c r="N349" s="499">
        <v>200000</v>
      </c>
      <c r="O349" s="480" t="s">
        <v>4673</v>
      </c>
      <c r="P349" s="515">
        <v>700000</v>
      </c>
      <c r="Q349" s="485" t="s">
        <v>5349</v>
      </c>
      <c r="R349" s="485" t="s">
        <v>5521</v>
      </c>
      <c r="S349" s="485" t="s">
        <v>683</v>
      </c>
      <c r="T349" s="485">
        <v>63</v>
      </c>
      <c r="U349" s="485" t="s">
        <v>5522</v>
      </c>
      <c r="V349" s="485">
        <v>394</v>
      </c>
      <c r="W349" s="485" t="s">
        <v>5331</v>
      </c>
      <c r="X349" s="485" t="s">
        <v>5523</v>
      </c>
      <c r="Y349" s="485" t="s">
        <v>5524</v>
      </c>
      <c r="Z349" s="486">
        <v>160022000</v>
      </c>
      <c r="AA349" s="486">
        <v>0</v>
      </c>
      <c r="AB349" s="486">
        <v>0</v>
      </c>
      <c r="AC349" s="486">
        <v>0</v>
      </c>
      <c r="AD349" s="486">
        <v>0</v>
      </c>
      <c r="AE349" s="486">
        <v>0</v>
      </c>
      <c r="AF349" s="486">
        <v>0</v>
      </c>
      <c r="AG349" s="486">
        <v>0</v>
      </c>
      <c r="AH349" s="487">
        <v>160022000</v>
      </c>
      <c r="AI349" s="486">
        <v>130000000</v>
      </c>
      <c r="AJ349" s="486">
        <v>0</v>
      </c>
      <c r="AK349" s="486">
        <v>0</v>
      </c>
      <c r="AL349" s="488">
        <v>130000000</v>
      </c>
      <c r="AM349" s="489">
        <v>290022000</v>
      </c>
      <c r="AN349" s="486">
        <v>166422880</v>
      </c>
      <c r="AO349" s="486">
        <v>0</v>
      </c>
      <c r="AP349" s="486">
        <v>0</v>
      </c>
      <c r="AQ349" s="486">
        <v>0</v>
      </c>
      <c r="AR349" s="486">
        <v>0</v>
      </c>
      <c r="AS349" s="486">
        <v>0</v>
      </c>
      <c r="AT349" s="486">
        <v>0</v>
      </c>
      <c r="AU349" s="486">
        <v>0</v>
      </c>
      <c r="AV349" s="487">
        <v>166422880</v>
      </c>
      <c r="AW349" s="486">
        <v>380000000</v>
      </c>
      <c r="AX349" s="486">
        <v>0</v>
      </c>
      <c r="AY349" s="486">
        <v>0</v>
      </c>
      <c r="AZ349" s="488">
        <v>380000000</v>
      </c>
      <c r="BA349" s="490">
        <v>546422880</v>
      </c>
      <c r="BB349" s="486">
        <v>173079795</v>
      </c>
      <c r="BC349" s="486">
        <v>0</v>
      </c>
      <c r="BD349" s="486">
        <v>0</v>
      </c>
      <c r="BE349" s="486">
        <v>0</v>
      </c>
      <c r="BF349" s="486">
        <v>0</v>
      </c>
      <c r="BG349" s="486">
        <v>0</v>
      </c>
      <c r="BH349" s="486">
        <v>0</v>
      </c>
      <c r="BI349" s="486">
        <v>0</v>
      </c>
      <c r="BJ349" s="487">
        <v>173079795</v>
      </c>
      <c r="BK349" s="486">
        <v>380000000</v>
      </c>
      <c r="BL349" s="486">
        <v>0</v>
      </c>
      <c r="BM349" s="486">
        <v>0</v>
      </c>
      <c r="BN349" s="488">
        <v>380000000</v>
      </c>
      <c r="BO349" s="490">
        <v>553079795</v>
      </c>
      <c r="BP349" s="486">
        <v>180002987.00799999</v>
      </c>
      <c r="BQ349" s="486">
        <v>0</v>
      </c>
      <c r="BR349" s="486">
        <v>0</v>
      </c>
      <c r="BS349" s="486">
        <v>0</v>
      </c>
      <c r="BT349" s="486">
        <v>0</v>
      </c>
      <c r="BU349" s="486">
        <v>0</v>
      </c>
      <c r="BV349" s="486">
        <v>0</v>
      </c>
      <c r="BW349" s="486">
        <v>0</v>
      </c>
      <c r="BX349" s="487">
        <v>180002987.00799999</v>
      </c>
      <c r="BY349" s="486">
        <v>130000000</v>
      </c>
      <c r="BZ349" s="486">
        <v>0</v>
      </c>
      <c r="CA349" s="486">
        <v>0</v>
      </c>
      <c r="CB349" s="488">
        <v>130000000</v>
      </c>
      <c r="CC349" s="491">
        <v>310002987.00800002</v>
      </c>
      <c r="CD349" s="492">
        <v>1699527662.0079999</v>
      </c>
      <c r="CE349" s="493">
        <f t="shared" si="25"/>
        <v>679527662.00800002</v>
      </c>
      <c r="CF349" s="493">
        <f t="shared" si="24"/>
        <v>0</v>
      </c>
      <c r="CG349" s="493">
        <f t="shared" si="24"/>
        <v>0</v>
      </c>
      <c r="CH349" s="493">
        <f t="shared" si="24"/>
        <v>0</v>
      </c>
      <c r="CI349" s="493">
        <f t="shared" si="24"/>
        <v>0</v>
      </c>
      <c r="CJ349" s="493">
        <f t="shared" si="24"/>
        <v>0</v>
      </c>
      <c r="CK349" s="493">
        <f t="shared" si="24"/>
        <v>0</v>
      </c>
      <c r="CL349" s="493">
        <f t="shared" si="24"/>
        <v>0</v>
      </c>
      <c r="CM349" s="493">
        <f t="shared" si="23"/>
        <v>1020000000</v>
      </c>
      <c r="CN349" s="493">
        <f t="shared" si="23"/>
        <v>0</v>
      </c>
      <c r="CO349" s="493">
        <f t="shared" si="23"/>
        <v>0</v>
      </c>
    </row>
    <row r="350" spans="1:93" ht="30.45" hidden="1" customHeight="1">
      <c r="A350" s="555" t="s">
        <v>4674</v>
      </c>
      <c r="B350" s="479">
        <v>348</v>
      </c>
      <c r="C350" s="480" t="s">
        <v>6369</v>
      </c>
      <c r="D350" s="480" t="s">
        <v>4668</v>
      </c>
      <c r="E350" s="480" t="str">
        <f t="shared" si="22"/>
        <v xml:space="preserve">3.2.3 </v>
      </c>
      <c r="F350" s="480" t="s">
        <v>6381</v>
      </c>
      <c r="G350" s="480" t="s">
        <v>4692</v>
      </c>
      <c r="H350" s="481">
        <v>32</v>
      </c>
      <c r="I350" s="480" t="s">
        <v>6566</v>
      </c>
      <c r="J350" s="495">
        <v>320200600</v>
      </c>
      <c r="K350" s="480" t="s">
        <v>4699</v>
      </c>
      <c r="L350" s="480" t="s">
        <v>4700</v>
      </c>
      <c r="M350" s="480" t="s">
        <v>5947</v>
      </c>
      <c r="N350" s="499">
        <v>0</v>
      </c>
      <c r="O350" s="480" t="s">
        <v>4688</v>
      </c>
      <c r="P350" s="515">
        <v>1</v>
      </c>
      <c r="Q350" s="485" t="s">
        <v>5349</v>
      </c>
      <c r="R350" s="485" t="s">
        <v>5521</v>
      </c>
      <c r="S350" s="485" t="s">
        <v>683</v>
      </c>
      <c r="T350" s="485">
        <v>63</v>
      </c>
      <c r="U350" s="485" t="s">
        <v>5522</v>
      </c>
      <c r="V350" s="485">
        <v>394</v>
      </c>
      <c r="W350" s="485" t="s">
        <v>5331</v>
      </c>
      <c r="X350" s="485" t="s">
        <v>5523</v>
      </c>
      <c r="Y350" s="485" t="s">
        <v>5524</v>
      </c>
      <c r="Z350" s="486">
        <v>0</v>
      </c>
      <c r="AA350" s="486">
        <v>0</v>
      </c>
      <c r="AB350" s="486">
        <v>0</v>
      </c>
      <c r="AC350" s="486">
        <v>0</v>
      </c>
      <c r="AD350" s="486">
        <v>0</v>
      </c>
      <c r="AE350" s="486">
        <v>0</v>
      </c>
      <c r="AF350" s="486">
        <v>0</v>
      </c>
      <c r="AG350" s="486">
        <v>0</v>
      </c>
      <c r="AH350" s="487">
        <v>0</v>
      </c>
      <c r="AI350" s="486">
        <v>0</v>
      </c>
      <c r="AJ350" s="486">
        <v>0</v>
      </c>
      <c r="AK350" s="486">
        <v>0</v>
      </c>
      <c r="AL350" s="488">
        <v>0</v>
      </c>
      <c r="AM350" s="489">
        <v>0</v>
      </c>
      <c r="AN350" s="486">
        <v>0</v>
      </c>
      <c r="AO350" s="486">
        <v>0</v>
      </c>
      <c r="AP350" s="486">
        <v>0</v>
      </c>
      <c r="AQ350" s="486">
        <v>0</v>
      </c>
      <c r="AR350" s="486">
        <v>0</v>
      </c>
      <c r="AS350" s="486">
        <v>0</v>
      </c>
      <c r="AT350" s="486">
        <v>0</v>
      </c>
      <c r="AU350" s="486">
        <v>0</v>
      </c>
      <c r="AV350" s="487">
        <v>0</v>
      </c>
      <c r="AW350" s="486">
        <v>100000000</v>
      </c>
      <c r="AX350" s="486">
        <v>0</v>
      </c>
      <c r="AY350" s="486">
        <v>0</v>
      </c>
      <c r="AZ350" s="488">
        <v>100000000</v>
      </c>
      <c r="BA350" s="490">
        <v>100000000</v>
      </c>
      <c r="BB350" s="486">
        <v>0</v>
      </c>
      <c r="BC350" s="486">
        <v>0</v>
      </c>
      <c r="BD350" s="486">
        <v>0</v>
      </c>
      <c r="BE350" s="486">
        <v>0</v>
      </c>
      <c r="BF350" s="486">
        <v>0</v>
      </c>
      <c r="BG350" s="486">
        <v>0</v>
      </c>
      <c r="BH350" s="486">
        <v>0</v>
      </c>
      <c r="BI350" s="486">
        <v>0</v>
      </c>
      <c r="BJ350" s="487">
        <v>0</v>
      </c>
      <c r="BK350" s="486">
        <v>0</v>
      </c>
      <c r="BL350" s="486">
        <v>0</v>
      </c>
      <c r="BM350" s="486">
        <v>0</v>
      </c>
      <c r="BN350" s="488">
        <v>0</v>
      </c>
      <c r="BO350" s="490">
        <v>0</v>
      </c>
      <c r="BP350" s="486">
        <v>0</v>
      </c>
      <c r="BQ350" s="486">
        <v>0</v>
      </c>
      <c r="BR350" s="486">
        <v>0</v>
      </c>
      <c r="BS350" s="486">
        <v>0</v>
      </c>
      <c r="BT350" s="486">
        <v>0</v>
      </c>
      <c r="BU350" s="486">
        <v>0</v>
      </c>
      <c r="BV350" s="486">
        <v>0</v>
      </c>
      <c r="BW350" s="486">
        <v>0</v>
      </c>
      <c r="BX350" s="487">
        <v>0</v>
      </c>
      <c r="BY350" s="486"/>
      <c r="BZ350" s="486">
        <v>0</v>
      </c>
      <c r="CA350" s="486">
        <v>0</v>
      </c>
      <c r="CB350" s="488">
        <v>0</v>
      </c>
      <c r="CC350" s="491">
        <v>0</v>
      </c>
      <c r="CD350" s="492">
        <v>100000000</v>
      </c>
      <c r="CE350" s="493">
        <f t="shared" si="25"/>
        <v>0</v>
      </c>
      <c r="CF350" s="493">
        <f t="shared" si="24"/>
        <v>0</v>
      </c>
      <c r="CG350" s="493">
        <f t="shared" si="24"/>
        <v>0</v>
      </c>
      <c r="CH350" s="493">
        <f t="shared" si="24"/>
        <v>0</v>
      </c>
      <c r="CI350" s="493">
        <f t="shared" si="24"/>
        <v>0</v>
      </c>
      <c r="CJ350" s="493">
        <f t="shared" si="24"/>
        <v>0</v>
      </c>
      <c r="CK350" s="493">
        <f t="shared" si="24"/>
        <v>0</v>
      </c>
      <c r="CL350" s="493">
        <f t="shared" si="24"/>
        <v>0</v>
      </c>
      <c r="CM350" s="493">
        <f t="shared" si="23"/>
        <v>100000000</v>
      </c>
      <c r="CN350" s="493">
        <f t="shared" si="23"/>
        <v>0</v>
      </c>
      <c r="CO350" s="493">
        <f t="shared" si="23"/>
        <v>0</v>
      </c>
    </row>
    <row r="351" spans="1:93" ht="30.45" hidden="1" customHeight="1">
      <c r="A351" s="555" t="s">
        <v>4674</v>
      </c>
      <c r="B351" s="479">
        <v>349</v>
      </c>
      <c r="C351" s="480" t="s">
        <v>6369</v>
      </c>
      <c r="D351" s="480" t="s">
        <v>4668</v>
      </c>
      <c r="E351" s="480" t="str">
        <f t="shared" si="22"/>
        <v xml:space="preserve">3.2.3 </v>
      </c>
      <c r="F351" s="480" t="s">
        <v>6381</v>
      </c>
      <c r="G351" s="480" t="s">
        <v>4692</v>
      </c>
      <c r="H351" s="481">
        <v>24</v>
      </c>
      <c r="I351" s="480" t="s">
        <v>4472</v>
      </c>
      <c r="J351" s="495">
        <v>240906300</v>
      </c>
      <c r="K351" s="480" t="s">
        <v>4347</v>
      </c>
      <c r="L351" s="480" t="s">
        <v>4701</v>
      </c>
      <c r="M351" s="480" t="s">
        <v>5948</v>
      </c>
      <c r="N351" s="499">
        <v>2</v>
      </c>
      <c r="O351" s="480" t="s">
        <v>4673</v>
      </c>
      <c r="P351" s="515">
        <v>4</v>
      </c>
      <c r="Q351" s="485" t="s">
        <v>5349</v>
      </c>
      <c r="R351" s="485" t="s">
        <v>5521</v>
      </c>
      <c r="S351" s="485" t="s">
        <v>683</v>
      </c>
      <c r="T351" s="485">
        <v>63</v>
      </c>
      <c r="U351" s="485" t="s">
        <v>5522</v>
      </c>
      <c r="V351" s="485">
        <v>394</v>
      </c>
      <c r="W351" s="485" t="s">
        <v>5331</v>
      </c>
      <c r="X351" s="485" t="s">
        <v>5523</v>
      </c>
      <c r="Y351" s="485" t="s">
        <v>5524</v>
      </c>
      <c r="Z351" s="486">
        <v>0</v>
      </c>
      <c r="AA351" s="486">
        <v>0</v>
      </c>
      <c r="AB351" s="486">
        <v>0</v>
      </c>
      <c r="AC351" s="486">
        <v>0</v>
      </c>
      <c r="AD351" s="486">
        <v>0</v>
      </c>
      <c r="AE351" s="486">
        <v>0</v>
      </c>
      <c r="AF351" s="486">
        <v>0</v>
      </c>
      <c r="AG351" s="486">
        <v>0</v>
      </c>
      <c r="AH351" s="487">
        <v>0</v>
      </c>
      <c r="AI351" s="486">
        <v>0</v>
      </c>
      <c r="AJ351" s="486">
        <v>0</v>
      </c>
      <c r="AK351" s="486">
        <v>0</v>
      </c>
      <c r="AL351" s="488">
        <v>0</v>
      </c>
      <c r="AM351" s="489">
        <v>0</v>
      </c>
      <c r="AN351" s="486">
        <v>0</v>
      </c>
      <c r="AO351" s="486">
        <v>0</v>
      </c>
      <c r="AP351" s="486">
        <v>0</v>
      </c>
      <c r="AQ351" s="486">
        <v>0</v>
      </c>
      <c r="AR351" s="486">
        <v>0</v>
      </c>
      <c r="AS351" s="486">
        <v>0</v>
      </c>
      <c r="AT351" s="486">
        <v>0</v>
      </c>
      <c r="AU351" s="486">
        <v>0</v>
      </c>
      <c r="AV351" s="487">
        <v>0</v>
      </c>
      <c r="AW351" s="486">
        <v>266000000</v>
      </c>
      <c r="AX351" s="486">
        <v>0</v>
      </c>
      <c r="AY351" s="486">
        <v>0</v>
      </c>
      <c r="AZ351" s="488">
        <v>266000000</v>
      </c>
      <c r="BA351" s="490">
        <v>266000000</v>
      </c>
      <c r="BB351" s="486">
        <v>0</v>
      </c>
      <c r="BC351" s="486">
        <v>0</v>
      </c>
      <c r="BD351" s="486">
        <v>0</v>
      </c>
      <c r="BE351" s="486">
        <v>0</v>
      </c>
      <c r="BF351" s="486">
        <v>0</v>
      </c>
      <c r="BG351" s="486">
        <v>0</v>
      </c>
      <c r="BH351" s="486">
        <v>0</v>
      </c>
      <c r="BI351" s="486">
        <v>0</v>
      </c>
      <c r="BJ351" s="487">
        <v>0</v>
      </c>
      <c r="BK351" s="486">
        <v>266000000</v>
      </c>
      <c r="BL351" s="486">
        <v>0</v>
      </c>
      <c r="BM351" s="486">
        <v>0</v>
      </c>
      <c r="BN351" s="488">
        <v>266000000</v>
      </c>
      <c r="BO351" s="490">
        <v>266000000</v>
      </c>
      <c r="BP351" s="486">
        <v>0</v>
      </c>
      <c r="BQ351" s="486">
        <v>0</v>
      </c>
      <c r="BR351" s="486">
        <v>0</v>
      </c>
      <c r="BS351" s="486">
        <v>0</v>
      </c>
      <c r="BT351" s="486">
        <v>0</v>
      </c>
      <c r="BU351" s="486">
        <v>0</v>
      </c>
      <c r="BV351" s="486">
        <v>0</v>
      </c>
      <c r="BW351" s="486">
        <v>0</v>
      </c>
      <c r="BX351" s="487">
        <v>0</v>
      </c>
      <c r="BY351" s="486">
        <v>0</v>
      </c>
      <c r="BZ351" s="486">
        <v>0</v>
      </c>
      <c r="CA351" s="486">
        <v>0</v>
      </c>
      <c r="CB351" s="488">
        <v>0</v>
      </c>
      <c r="CC351" s="491">
        <v>0</v>
      </c>
      <c r="CD351" s="492">
        <v>532000000</v>
      </c>
      <c r="CE351" s="493">
        <f t="shared" si="25"/>
        <v>0</v>
      </c>
      <c r="CF351" s="493">
        <f t="shared" si="24"/>
        <v>0</v>
      </c>
      <c r="CG351" s="493">
        <f t="shared" si="24"/>
        <v>0</v>
      </c>
      <c r="CH351" s="493">
        <f t="shared" si="24"/>
        <v>0</v>
      </c>
      <c r="CI351" s="493">
        <f t="shared" si="24"/>
        <v>0</v>
      </c>
      <c r="CJ351" s="493">
        <f t="shared" si="24"/>
        <v>0</v>
      </c>
      <c r="CK351" s="493">
        <f t="shared" si="24"/>
        <v>0</v>
      </c>
      <c r="CL351" s="493">
        <f t="shared" si="24"/>
        <v>0</v>
      </c>
      <c r="CM351" s="493">
        <f t="shared" si="23"/>
        <v>532000000</v>
      </c>
      <c r="CN351" s="493">
        <f t="shared" si="23"/>
        <v>0</v>
      </c>
      <c r="CO351" s="493">
        <f t="shared" si="23"/>
        <v>0</v>
      </c>
    </row>
    <row r="352" spans="1:93" ht="30.45" hidden="1" customHeight="1">
      <c r="A352" s="555" t="s">
        <v>4674</v>
      </c>
      <c r="B352" s="479">
        <v>350</v>
      </c>
      <c r="C352" s="480" t="s">
        <v>6369</v>
      </c>
      <c r="D352" s="480" t="s">
        <v>4668</v>
      </c>
      <c r="E352" s="480" t="str">
        <f t="shared" si="22"/>
        <v xml:space="preserve">3.2.4 </v>
      </c>
      <c r="F352" s="480" t="s">
        <v>6382</v>
      </c>
      <c r="G352" s="480" t="s">
        <v>4702</v>
      </c>
      <c r="H352" s="481">
        <v>32</v>
      </c>
      <c r="I352" s="480" t="s">
        <v>4680</v>
      </c>
      <c r="J352" s="495">
        <v>320800600</v>
      </c>
      <c r="K352" s="480" t="s">
        <v>4347</v>
      </c>
      <c r="L352" s="480" t="s">
        <v>4703</v>
      </c>
      <c r="M352" s="480" t="s">
        <v>5949</v>
      </c>
      <c r="N352" s="499">
        <v>2</v>
      </c>
      <c r="O352" s="480" t="s">
        <v>4673</v>
      </c>
      <c r="P352" s="515">
        <v>34</v>
      </c>
      <c r="Q352" s="485" t="s">
        <v>4551</v>
      </c>
      <c r="R352" s="485" t="s">
        <v>5525</v>
      </c>
      <c r="S352" s="485" t="s">
        <v>683</v>
      </c>
      <c r="T352" s="485">
        <v>66</v>
      </c>
      <c r="U352" s="485" t="s">
        <v>5526</v>
      </c>
      <c r="V352" s="485">
        <v>288</v>
      </c>
      <c r="W352" s="485" t="s">
        <v>5357</v>
      </c>
      <c r="X352" s="485" t="s">
        <v>5523</v>
      </c>
      <c r="Y352" s="485" t="s">
        <v>5524</v>
      </c>
      <c r="Z352" s="486">
        <v>97058000</v>
      </c>
      <c r="AA352" s="486">
        <v>0</v>
      </c>
      <c r="AB352" s="486">
        <v>0</v>
      </c>
      <c r="AC352" s="486">
        <v>0</v>
      </c>
      <c r="AD352" s="486">
        <v>0</v>
      </c>
      <c r="AE352" s="486">
        <v>0</v>
      </c>
      <c r="AF352" s="486">
        <v>0</v>
      </c>
      <c r="AG352" s="486">
        <v>0</v>
      </c>
      <c r="AH352" s="487">
        <v>97058000</v>
      </c>
      <c r="AI352" s="486">
        <v>0</v>
      </c>
      <c r="AJ352" s="486">
        <v>0</v>
      </c>
      <c r="AK352" s="486">
        <v>0</v>
      </c>
      <c r="AL352" s="488">
        <v>0</v>
      </c>
      <c r="AM352" s="489">
        <v>97058000</v>
      </c>
      <c r="AN352" s="486">
        <v>78503520</v>
      </c>
      <c r="AO352" s="486">
        <v>0</v>
      </c>
      <c r="AP352" s="486">
        <v>0</v>
      </c>
      <c r="AQ352" s="486">
        <v>0</v>
      </c>
      <c r="AR352" s="486">
        <v>0</v>
      </c>
      <c r="AS352" s="486">
        <v>0</v>
      </c>
      <c r="AT352" s="486">
        <v>0</v>
      </c>
      <c r="AU352" s="486">
        <v>0</v>
      </c>
      <c r="AV352" s="487">
        <v>78503520</v>
      </c>
      <c r="AW352" s="486">
        <v>0</v>
      </c>
      <c r="AX352" s="486">
        <v>0</v>
      </c>
      <c r="AY352" s="486">
        <v>0</v>
      </c>
      <c r="AZ352" s="488">
        <v>0</v>
      </c>
      <c r="BA352" s="490">
        <v>78503520</v>
      </c>
      <c r="BB352" s="486">
        <v>65443661</v>
      </c>
      <c r="BC352" s="486">
        <v>0</v>
      </c>
      <c r="BD352" s="486">
        <v>0</v>
      </c>
      <c r="BE352" s="486">
        <v>0</v>
      </c>
      <c r="BF352" s="486">
        <v>0</v>
      </c>
      <c r="BG352" s="486">
        <v>0</v>
      </c>
      <c r="BH352" s="486">
        <v>0</v>
      </c>
      <c r="BI352" s="486">
        <v>0</v>
      </c>
      <c r="BJ352" s="487">
        <v>65443661</v>
      </c>
      <c r="BK352" s="486">
        <v>0</v>
      </c>
      <c r="BL352" s="486">
        <v>0</v>
      </c>
      <c r="BM352" s="486">
        <v>0</v>
      </c>
      <c r="BN352" s="488">
        <v>0</v>
      </c>
      <c r="BO352" s="490">
        <v>65443661</v>
      </c>
      <c r="BP352" s="486">
        <v>67461407.231999993</v>
      </c>
      <c r="BQ352" s="486">
        <v>0</v>
      </c>
      <c r="BR352" s="486">
        <v>0</v>
      </c>
      <c r="BS352" s="486">
        <v>0</v>
      </c>
      <c r="BT352" s="486">
        <v>0</v>
      </c>
      <c r="BU352" s="486">
        <v>0</v>
      </c>
      <c r="BV352" s="486">
        <v>0</v>
      </c>
      <c r="BW352" s="486">
        <v>0</v>
      </c>
      <c r="BX352" s="487">
        <v>67461407.231999993</v>
      </c>
      <c r="BY352" s="486">
        <v>0</v>
      </c>
      <c r="BZ352" s="486">
        <v>0</v>
      </c>
      <c r="CA352" s="486">
        <v>0</v>
      </c>
      <c r="CB352" s="488">
        <v>0</v>
      </c>
      <c r="CC352" s="491">
        <v>67461407.231999993</v>
      </c>
      <c r="CD352" s="492">
        <v>308466588.23199999</v>
      </c>
      <c r="CE352" s="493">
        <f t="shared" si="25"/>
        <v>308466588.23199999</v>
      </c>
      <c r="CF352" s="493">
        <f t="shared" si="24"/>
        <v>0</v>
      </c>
      <c r="CG352" s="493">
        <f t="shared" si="24"/>
        <v>0</v>
      </c>
      <c r="CH352" s="493">
        <f t="shared" si="24"/>
        <v>0</v>
      </c>
      <c r="CI352" s="493">
        <f t="shared" si="24"/>
        <v>0</v>
      </c>
      <c r="CJ352" s="493">
        <f t="shared" si="24"/>
        <v>0</v>
      </c>
      <c r="CK352" s="493">
        <f t="shared" si="24"/>
        <v>0</v>
      </c>
      <c r="CL352" s="493">
        <f t="shared" si="24"/>
        <v>0</v>
      </c>
      <c r="CM352" s="493">
        <f t="shared" si="23"/>
        <v>0</v>
      </c>
      <c r="CN352" s="493">
        <f t="shared" si="23"/>
        <v>0</v>
      </c>
      <c r="CO352" s="493">
        <f t="shared" si="23"/>
        <v>0</v>
      </c>
    </row>
    <row r="353" spans="1:93" ht="30.45" hidden="1" customHeight="1">
      <c r="A353" s="555" t="s">
        <v>4674</v>
      </c>
      <c r="B353" s="479">
        <v>351</v>
      </c>
      <c r="C353" s="480" t="s">
        <v>6369</v>
      </c>
      <c r="D353" s="480" t="s">
        <v>4668</v>
      </c>
      <c r="E353" s="480" t="str">
        <f t="shared" si="22"/>
        <v xml:space="preserve">3.2.4 </v>
      </c>
      <c r="F353" s="480" t="s">
        <v>6382</v>
      </c>
      <c r="G353" s="480" t="s">
        <v>4702</v>
      </c>
      <c r="H353" s="481">
        <v>32</v>
      </c>
      <c r="I353" s="480" t="s">
        <v>4680</v>
      </c>
      <c r="J353" s="495">
        <v>320800800</v>
      </c>
      <c r="K353" s="480" t="s">
        <v>6567</v>
      </c>
      <c r="L353" s="480" t="s">
        <v>4704</v>
      </c>
      <c r="M353" s="480" t="s">
        <v>5950</v>
      </c>
      <c r="N353" s="499">
        <v>64</v>
      </c>
      <c r="O353" s="480" t="s">
        <v>4673</v>
      </c>
      <c r="P353" s="515">
        <v>254</v>
      </c>
      <c r="Q353" s="485" t="s">
        <v>4551</v>
      </c>
      <c r="R353" s="485" t="s">
        <v>5525</v>
      </c>
      <c r="S353" s="485" t="s">
        <v>683</v>
      </c>
      <c r="T353" s="485">
        <v>66</v>
      </c>
      <c r="U353" s="485" t="s">
        <v>5526</v>
      </c>
      <c r="V353" s="485">
        <v>288</v>
      </c>
      <c r="W353" s="485" t="s">
        <v>5357</v>
      </c>
      <c r="X353" s="485" t="s">
        <v>5523</v>
      </c>
      <c r="Y353" s="485" t="s">
        <v>5524</v>
      </c>
      <c r="Z353" s="486">
        <v>46638000</v>
      </c>
      <c r="AA353" s="486">
        <v>0</v>
      </c>
      <c r="AB353" s="486">
        <v>0</v>
      </c>
      <c r="AC353" s="486">
        <v>0</v>
      </c>
      <c r="AD353" s="486">
        <v>0</v>
      </c>
      <c r="AE353" s="486">
        <v>0</v>
      </c>
      <c r="AF353" s="486">
        <v>0</v>
      </c>
      <c r="AG353" s="486">
        <v>0</v>
      </c>
      <c r="AH353" s="487">
        <v>46638000</v>
      </c>
      <c r="AI353" s="486">
        <v>0</v>
      </c>
      <c r="AJ353" s="486">
        <v>0</v>
      </c>
      <c r="AK353" s="486">
        <v>0</v>
      </c>
      <c r="AL353" s="488">
        <v>0</v>
      </c>
      <c r="AM353" s="489">
        <v>46638000</v>
      </c>
      <c r="AN353" s="486">
        <v>48503520</v>
      </c>
      <c r="AO353" s="486">
        <v>0</v>
      </c>
      <c r="AP353" s="486">
        <v>0</v>
      </c>
      <c r="AQ353" s="486">
        <v>0</v>
      </c>
      <c r="AR353" s="486">
        <v>0</v>
      </c>
      <c r="AS353" s="486">
        <v>0</v>
      </c>
      <c r="AT353" s="486">
        <v>0</v>
      </c>
      <c r="AU353" s="486">
        <v>0</v>
      </c>
      <c r="AV353" s="487">
        <v>48503520</v>
      </c>
      <c r="AW353" s="486">
        <v>0</v>
      </c>
      <c r="AX353" s="486">
        <v>0</v>
      </c>
      <c r="AY353" s="486">
        <v>0</v>
      </c>
      <c r="AZ353" s="488">
        <v>0</v>
      </c>
      <c r="BA353" s="490">
        <v>48503520</v>
      </c>
      <c r="BB353" s="486">
        <v>50443661</v>
      </c>
      <c r="BC353" s="486">
        <v>0</v>
      </c>
      <c r="BD353" s="486">
        <v>0</v>
      </c>
      <c r="BE353" s="486">
        <v>0</v>
      </c>
      <c r="BF353" s="486">
        <v>0</v>
      </c>
      <c r="BG353" s="486">
        <v>0</v>
      </c>
      <c r="BH353" s="486">
        <v>0</v>
      </c>
      <c r="BI353" s="486">
        <v>0</v>
      </c>
      <c r="BJ353" s="487">
        <v>50443661</v>
      </c>
      <c r="BK353" s="486">
        <v>0</v>
      </c>
      <c r="BL353" s="486">
        <v>0</v>
      </c>
      <c r="BM353" s="486">
        <v>0</v>
      </c>
      <c r="BN353" s="488">
        <v>0</v>
      </c>
      <c r="BO353" s="490">
        <v>50443661</v>
      </c>
      <c r="BP353" s="486">
        <v>52461407.231999993</v>
      </c>
      <c r="BQ353" s="486">
        <v>0</v>
      </c>
      <c r="BR353" s="486">
        <v>0</v>
      </c>
      <c r="BS353" s="486">
        <v>0</v>
      </c>
      <c r="BT353" s="486">
        <v>0</v>
      </c>
      <c r="BU353" s="486">
        <v>0</v>
      </c>
      <c r="BV353" s="486">
        <v>0</v>
      </c>
      <c r="BW353" s="486">
        <v>0</v>
      </c>
      <c r="BX353" s="487">
        <v>52461407.231999993</v>
      </c>
      <c r="BY353" s="486">
        <v>0</v>
      </c>
      <c r="BZ353" s="486">
        <v>0</v>
      </c>
      <c r="CA353" s="486">
        <v>0</v>
      </c>
      <c r="CB353" s="488">
        <v>0</v>
      </c>
      <c r="CC353" s="491">
        <v>52461407.231999993</v>
      </c>
      <c r="CD353" s="492">
        <v>198046588.23199999</v>
      </c>
      <c r="CE353" s="493">
        <f t="shared" si="25"/>
        <v>198046588.23199999</v>
      </c>
      <c r="CF353" s="493">
        <f t="shared" si="24"/>
        <v>0</v>
      </c>
      <c r="CG353" s="493">
        <f t="shared" si="24"/>
        <v>0</v>
      </c>
      <c r="CH353" s="493">
        <f t="shared" si="24"/>
        <v>0</v>
      </c>
      <c r="CI353" s="493">
        <f t="shared" si="24"/>
        <v>0</v>
      </c>
      <c r="CJ353" s="493">
        <f t="shared" si="24"/>
        <v>0</v>
      </c>
      <c r="CK353" s="493">
        <f t="shared" si="24"/>
        <v>0</v>
      </c>
      <c r="CL353" s="493">
        <f t="shared" si="24"/>
        <v>0</v>
      </c>
      <c r="CM353" s="493">
        <f t="shared" si="23"/>
        <v>0</v>
      </c>
      <c r="CN353" s="493">
        <f t="shared" si="23"/>
        <v>0</v>
      </c>
      <c r="CO353" s="493">
        <f t="shared" si="23"/>
        <v>0</v>
      </c>
    </row>
    <row r="354" spans="1:93" ht="30.45" hidden="1" customHeight="1">
      <c r="A354" s="555" t="s">
        <v>4674</v>
      </c>
      <c r="B354" s="479">
        <v>352</v>
      </c>
      <c r="C354" s="480" t="s">
        <v>6369</v>
      </c>
      <c r="D354" s="480" t="s">
        <v>4668</v>
      </c>
      <c r="E354" s="480" t="str">
        <f t="shared" si="22"/>
        <v xml:space="preserve">3.2.5 </v>
      </c>
      <c r="F354" s="480" t="s">
        <v>6383</v>
      </c>
      <c r="G354" s="480" t="s">
        <v>4705</v>
      </c>
      <c r="H354" s="481">
        <v>32</v>
      </c>
      <c r="I354" s="480" t="s">
        <v>4680</v>
      </c>
      <c r="J354" s="495">
        <v>320800800</v>
      </c>
      <c r="K354" s="480" t="s">
        <v>6567</v>
      </c>
      <c r="L354" s="480" t="s">
        <v>4706</v>
      </c>
      <c r="M354" s="480" t="s">
        <v>5951</v>
      </c>
      <c r="N354" s="499">
        <v>28</v>
      </c>
      <c r="O354" s="480" t="s">
        <v>4707</v>
      </c>
      <c r="P354" s="515">
        <v>157</v>
      </c>
      <c r="Q354" s="485" t="s">
        <v>5527</v>
      </c>
      <c r="R354" s="485" t="s">
        <v>5528</v>
      </c>
      <c r="S354" s="485" t="s">
        <v>677</v>
      </c>
      <c r="T354" s="485" t="s">
        <v>5529</v>
      </c>
      <c r="U354" s="485" t="s">
        <v>4673</v>
      </c>
      <c r="V354" s="485" t="s">
        <v>5530</v>
      </c>
      <c r="W354" s="485" t="s">
        <v>5357</v>
      </c>
      <c r="X354" s="485" t="s">
        <v>5523</v>
      </c>
      <c r="Y354" s="485" t="s">
        <v>5524</v>
      </c>
      <c r="Z354" s="486">
        <v>74581555.430000007</v>
      </c>
      <c r="AA354" s="486">
        <v>0</v>
      </c>
      <c r="AB354" s="486">
        <v>0</v>
      </c>
      <c r="AC354" s="486">
        <v>0</v>
      </c>
      <c r="AD354" s="486">
        <v>0</v>
      </c>
      <c r="AE354" s="486">
        <v>0</v>
      </c>
      <c r="AF354" s="486">
        <v>0</v>
      </c>
      <c r="AG354" s="486">
        <v>0</v>
      </c>
      <c r="AH354" s="487">
        <v>74581555.430000007</v>
      </c>
      <c r="AI354" s="486">
        <v>0</v>
      </c>
      <c r="AJ354" s="486">
        <v>0</v>
      </c>
      <c r="AK354" s="486">
        <v>0</v>
      </c>
      <c r="AL354" s="488">
        <v>0</v>
      </c>
      <c r="AM354" s="489">
        <v>74581555.430000007</v>
      </c>
      <c r="AN354" s="486">
        <v>77564817.647200018</v>
      </c>
      <c r="AO354" s="486">
        <v>0</v>
      </c>
      <c r="AP354" s="486">
        <v>0</v>
      </c>
      <c r="AQ354" s="486">
        <v>0</v>
      </c>
      <c r="AR354" s="486">
        <v>0</v>
      </c>
      <c r="AS354" s="486">
        <v>0</v>
      </c>
      <c r="AT354" s="486">
        <v>0</v>
      </c>
      <c r="AU354" s="486">
        <v>0</v>
      </c>
      <c r="AV354" s="487">
        <v>77564817.647200018</v>
      </c>
      <c r="AW354" s="486">
        <v>0</v>
      </c>
      <c r="AX354" s="486">
        <v>0</v>
      </c>
      <c r="AY354" s="486">
        <v>0</v>
      </c>
      <c r="AZ354" s="488">
        <v>0</v>
      </c>
      <c r="BA354" s="490">
        <v>77564817.647200018</v>
      </c>
      <c r="BB354" s="486">
        <v>80667410</v>
      </c>
      <c r="BC354" s="486">
        <v>0</v>
      </c>
      <c r="BD354" s="486">
        <v>0</v>
      </c>
      <c r="BE354" s="486">
        <v>0</v>
      </c>
      <c r="BF354" s="486">
        <v>0</v>
      </c>
      <c r="BG354" s="486">
        <v>0</v>
      </c>
      <c r="BH354" s="486">
        <v>0</v>
      </c>
      <c r="BI354" s="486">
        <v>0</v>
      </c>
      <c r="BJ354" s="487">
        <v>80667410</v>
      </c>
      <c r="BK354" s="486">
        <v>0</v>
      </c>
      <c r="BL354" s="486">
        <v>0</v>
      </c>
      <c r="BM354" s="486">
        <v>0</v>
      </c>
      <c r="BN354" s="488">
        <v>0</v>
      </c>
      <c r="BO354" s="490">
        <v>80667410</v>
      </c>
      <c r="BP354" s="486">
        <v>83894106.767211527</v>
      </c>
      <c r="BQ354" s="486">
        <v>0</v>
      </c>
      <c r="BR354" s="486">
        <v>0</v>
      </c>
      <c r="BS354" s="486">
        <v>0</v>
      </c>
      <c r="BT354" s="486">
        <v>0</v>
      </c>
      <c r="BU354" s="486">
        <v>0</v>
      </c>
      <c r="BV354" s="486">
        <v>0</v>
      </c>
      <c r="BW354" s="486">
        <v>0</v>
      </c>
      <c r="BX354" s="487">
        <v>83894106.767211527</v>
      </c>
      <c r="BY354" s="486">
        <v>0</v>
      </c>
      <c r="BZ354" s="486">
        <v>0</v>
      </c>
      <c r="CA354" s="486">
        <v>0</v>
      </c>
      <c r="CB354" s="488">
        <v>0</v>
      </c>
      <c r="CC354" s="491">
        <v>83894106.767211527</v>
      </c>
      <c r="CD354" s="492">
        <v>316707889.84441155</v>
      </c>
      <c r="CE354" s="493">
        <f t="shared" si="25"/>
        <v>316707889.84441155</v>
      </c>
      <c r="CF354" s="493">
        <f t="shared" si="24"/>
        <v>0</v>
      </c>
      <c r="CG354" s="493">
        <f t="shared" si="24"/>
        <v>0</v>
      </c>
      <c r="CH354" s="493">
        <f t="shared" si="24"/>
        <v>0</v>
      </c>
      <c r="CI354" s="493">
        <f t="shared" si="24"/>
        <v>0</v>
      </c>
      <c r="CJ354" s="493">
        <f t="shared" si="24"/>
        <v>0</v>
      </c>
      <c r="CK354" s="493">
        <f t="shared" si="24"/>
        <v>0</v>
      </c>
      <c r="CL354" s="493">
        <f t="shared" si="24"/>
        <v>0</v>
      </c>
      <c r="CM354" s="493">
        <f t="shared" si="23"/>
        <v>0</v>
      </c>
      <c r="CN354" s="493">
        <f t="shared" si="23"/>
        <v>0</v>
      </c>
      <c r="CO354" s="493">
        <f t="shared" si="23"/>
        <v>0</v>
      </c>
    </row>
    <row r="355" spans="1:93" ht="30.45" hidden="1" customHeight="1">
      <c r="A355" s="555" t="s">
        <v>4674</v>
      </c>
      <c r="B355" s="479">
        <v>353</v>
      </c>
      <c r="C355" s="480" t="s">
        <v>6369</v>
      </c>
      <c r="D355" s="480" t="s">
        <v>4668</v>
      </c>
      <c r="E355" s="480" t="str">
        <f t="shared" si="22"/>
        <v xml:space="preserve">3.2.5 </v>
      </c>
      <c r="F355" s="480" t="s">
        <v>6383</v>
      </c>
      <c r="G355" s="480" t="s">
        <v>4705</v>
      </c>
      <c r="H355" s="481">
        <v>32</v>
      </c>
      <c r="I355" s="480" t="s">
        <v>4670</v>
      </c>
      <c r="J355" s="495">
        <v>320200100</v>
      </c>
      <c r="K355" s="480" t="s">
        <v>4063</v>
      </c>
      <c r="L355" s="480" t="s">
        <v>4112</v>
      </c>
      <c r="M355" s="480" t="s">
        <v>5952</v>
      </c>
      <c r="N355" s="499">
        <v>0</v>
      </c>
      <c r="O355" s="480" t="s">
        <v>4688</v>
      </c>
      <c r="P355" s="515">
        <v>1</v>
      </c>
      <c r="Q355" s="485" t="s">
        <v>5527</v>
      </c>
      <c r="R355" s="485" t="s">
        <v>5528</v>
      </c>
      <c r="S355" s="485" t="s">
        <v>677</v>
      </c>
      <c r="T355" s="485" t="s">
        <v>5529</v>
      </c>
      <c r="U355" s="485" t="s">
        <v>4673</v>
      </c>
      <c r="V355" s="485" t="s">
        <v>5530</v>
      </c>
      <c r="W355" s="485" t="s">
        <v>5357</v>
      </c>
      <c r="X355" s="485" t="s">
        <v>5523</v>
      </c>
      <c r="Y355" s="485" t="s">
        <v>5524</v>
      </c>
      <c r="Z355" s="486">
        <v>24736000</v>
      </c>
      <c r="AA355" s="486">
        <v>0</v>
      </c>
      <c r="AB355" s="486">
        <v>0</v>
      </c>
      <c r="AC355" s="486">
        <v>0</v>
      </c>
      <c r="AD355" s="486">
        <v>0</v>
      </c>
      <c r="AE355" s="486">
        <v>0</v>
      </c>
      <c r="AF355" s="486">
        <v>0</v>
      </c>
      <c r="AG355" s="486">
        <v>0</v>
      </c>
      <c r="AH355" s="487">
        <v>24736000</v>
      </c>
      <c r="AI355" s="486">
        <v>0</v>
      </c>
      <c r="AJ355" s="486">
        <v>0</v>
      </c>
      <c r="AK355" s="486">
        <v>0</v>
      </c>
      <c r="AL355" s="488">
        <v>0</v>
      </c>
      <c r="AM355" s="489">
        <v>24736000</v>
      </c>
      <c r="AN355" s="486">
        <v>25725440</v>
      </c>
      <c r="AO355" s="486">
        <v>0</v>
      </c>
      <c r="AP355" s="486">
        <v>0</v>
      </c>
      <c r="AQ355" s="486">
        <v>0</v>
      </c>
      <c r="AR355" s="486">
        <v>0</v>
      </c>
      <c r="AS355" s="486">
        <v>0</v>
      </c>
      <c r="AT355" s="486">
        <v>0</v>
      </c>
      <c r="AU355" s="486">
        <v>0</v>
      </c>
      <c r="AV355" s="487">
        <v>25725440</v>
      </c>
      <c r="AW355" s="486">
        <v>0</v>
      </c>
      <c r="AX355" s="486">
        <v>0</v>
      </c>
      <c r="AY355" s="486">
        <v>0</v>
      </c>
      <c r="AZ355" s="488">
        <v>0</v>
      </c>
      <c r="BA355" s="490">
        <v>25725440</v>
      </c>
      <c r="BB355" s="486">
        <v>26754458</v>
      </c>
      <c r="BC355" s="486">
        <v>0</v>
      </c>
      <c r="BD355" s="486">
        <v>0</v>
      </c>
      <c r="BE355" s="486">
        <v>0</v>
      </c>
      <c r="BF355" s="486">
        <v>0</v>
      </c>
      <c r="BG355" s="486">
        <v>0</v>
      </c>
      <c r="BH355" s="486">
        <v>0</v>
      </c>
      <c r="BI355" s="486">
        <v>0</v>
      </c>
      <c r="BJ355" s="487">
        <v>26754458</v>
      </c>
      <c r="BK355" s="486">
        <v>0</v>
      </c>
      <c r="BL355" s="486">
        <v>0</v>
      </c>
      <c r="BM355" s="486">
        <v>0</v>
      </c>
      <c r="BN355" s="488">
        <v>0</v>
      </c>
      <c r="BO355" s="490">
        <v>26754458</v>
      </c>
      <c r="BP355" s="486">
        <v>27824635.903999999</v>
      </c>
      <c r="BQ355" s="486">
        <v>0</v>
      </c>
      <c r="BR355" s="486">
        <v>0</v>
      </c>
      <c r="BS355" s="486">
        <v>0</v>
      </c>
      <c r="BT355" s="486">
        <v>0</v>
      </c>
      <c r="BU355" s="486">
        <v>0</v>
      </c>
      <c r="BV355" s="486">
        <v>0</v>
      </c>
      <c r="BW355" s="486">
        <v>0</v>
      </c>
      <c r="BX355" s="487">
        <v>27824635.903999999</v>
      </c>
      <c r="BY355" s="486">
        <v>0</v>
      </c>
      <c r="BZ355" s="486">
        <v>0</v>
      </c>
      <c r="CA355" s="486">
        <v>0</v>
      </c>
      <c r="CB355" s="488">
        <v>0</v>
      </c>
      <c r="CC355" s="491">
        <v>27824635.903999999</v>
      </c>
      <c r="CD355" s="492">
        <v>105040533.904</v>
      </c>
      <c r="CE355" s="493">
        <f t="shared" si="25"/>
        <v>105040533.904</v>
      </c>
      <c r="CF355" s="493">
        <f t="shared" si="24"/>
        <v>0</v>
      </c>
      <c r="CG355" s="493">
        <f t="shared" si="24"/>
        <v>0</v>
      </c>
      <c r="CH355" s="493">
        <f t="shared" si="24"/>
        <v>0</v>
      </c>
      <c r="CI355" s="493">
        <f t="shared" si="24"/>
        <v>0</v>
      </c>
      <c r="CJ355" s="493">
        <f t="shared" si="24"/>
        <v>0</v>
      </c>
      <c r="CK355" s="493">
        <f t="shared" si="24"/>
        <v>0</v>
      </c>
      <c r="CL355" s="493">
        <f t="shared" si="24"/>
        <v>0</v>
      </c>
      <c r="CM355" s="493">
        <f t="shared" si="23"/>
        <v>0</v>
      </c>
      <c r="CN355" s="493">
        <f t="shared" si="23"/>
        <v>0</v>
      </c>
      <c r="CO355" s="493">
        <f t="shared" si="23"/>
        <v>0</v>
      </c>
    </row>
    <row r="356" spans="1:93" ht="30.45" hidden="1" customHeight="1">
      <c r="A356" s="555" t="s">
        <v>4674</v>
      </c>
      <c r="B356" s="479">
        <v>354</v>
      </c>
      <c r="C356" s="480" t="s">
        <v>6369</v>
      </c>
      <c r="D356" s="480" t="s">
        <v>4668</v>
      </c>
      <c r="E356" s="480" t="str">
        <f t="shared" si="22"/>
        <v xml:space="preserve">3.2.5 </v>
      </c>
      <c r="F356" s="480" t="s">
        <v>6383</v>
      </c>
      <c r="G356" s="480" t="s">
        <v>4705</v>
      </c>
      <c r="H356" s="481">
        <v>45</v>
      </c>
      <c r="I356" s="480" t="s">
        <v>4209</v>
      </c>
      <c r="J356" s="495">
        <v>450202200</v>
      </c>
      <c r="K356" s="480" t="s">
        <v>6568</v>
      </c>
      <c r="L356" s="480" t="s">
        <v>6569</v>
      </c>
      <c r="M356" s="480" t="s">
        <v>5953</v>
      </c>
      <c r="N356" s="499">
        <v>0</v>
      </c>
      <c r="O356" s="480" t="s">
        <v>4707</v>
      </c>
      <c r="P356" s="515">
        <v>1</v>
      </c>
      <c r="Q356" s="485" t="s">
        <v>5527</v>
      </c>
      <c r="R356" s="485" t="s">
        <v>5528</v>
      </c>
      <c r="S356" s="485" t="s">
        <v>677</v>
      </c>
      <c r="T356" s="485" t="s">
        <v>5529</v>
      </c>
      <c r="U356" s="485" t="s">
        <v>4673</v>
      </c>
      <c r="V356" s="485" t="s">
        <v>5530</v>
      </c>
      <c r="W356" s="485" t="s">
        <v>5357</v>
      </c>
      <c r="X356" s="485" t="s">
        <v>5523</v>
      </c>
      <c r="Y356" s="485" t="s">
        <v>5524</v>
      </c>
      <c r="Z356" s="486">
        <v>24736000</v>
      </c>
      <c r="AA356" s="486">
        <v>0</v>
      </c>
      <c r="AB356" s="486">
        <v>0</v>
      </c>
      <c r="AC356" s="486">
        <v>0</v>
      </c>
      <c r="AD356" s="486">
        <v>0</v>
      </c>
      <c r="AE356" s="486">
        <v>0</v>
      </c>
      <c r="AF356" s="486">
        <v>0</v>
      </c>
      <c r="AG356" s="486">
        <v>0</v>
      </c>
      <c r="AH356" s="487">
        <v>24736000</v>
      </c>
      <c r="AI356" s="486">
        <v>0</v>
      </c>
      <c r="AJ356" s="486">
        <v>0</v>
      </c>
      <c r="AK356" s="486">
        <v>0</v>
      </c>
      <c r="AL356" s="488">
        <v>0</v>
      </c>
      <c r="AM356" s="489">
        <v>24736000</v>
      </c>
      <c r="AN356" s="486">
        <v>25725440</v>
      </c>
      <c r="AO356" s="486">
        <v>0</v>
      </c>
      <c r="AP356" s="486">
        <v>0</v>
      </c>
      <c r="AQ356" s="486">
        <v>0</v>
      </c>
      <c r="AR356" s="486">
        <v>0</v>
      </c>
      <c r="AS356" s="486">
        <v>0</v>
      </c>
      <c r="AT356" s="486">
        <v>0</v>
      </c>
      <c r="AU356" s="486">
        <v>0</v>
      </c>
      <c r="AV356" s="487">
        <v>25725440</v>
      </c>
      <c r="AW356" s="486">
        <v>0</v>
      </c>
      <c r="AX356" s="486">
        <v>0</v>
      </c>
      <c r="AY356" s="486">
        <v>0</v>
      </c>
      <c r="AZ356" s="488">
        <v>0</v>
      </c>
      <c r="BA356" s="490">
        <v>25725440</v>
      </c>
      <c r="BB356" s="486">
        <v>26754458</v>
      </c>
      <c r="BC356" s="486">
        <v>0</v>
      </c>
      <c r="BD356" s="486">
        <v>0</v>
      </c>
      <c r="BE356" s="486">
        <v>0</v>
      </c>
      <c r="BF356" s="486">
        <v>0</v>
      </c>
      <c r="BG356" s="486">
        <v>0</v>
      </c>
      <c r="BH356" s="486">
        <v>0</v>
      </c>
      <c r="BI356" s="486">
        <v>0</v>
      </c>
      <c r="BJ356" s="487">
        <v>26754458</v>
      </c>
      <c r="BK356" s="486">
        <v>0</v>
      </c>
      <c r="BL356" s="486">
        <v>0</v>
      </c>
      <c r="BM356" s="486">
        <v>0</v>
      </c>
      <c r="BN356" s="488">
        <v>0</v>
      </c>
      <c r="BO356" s="490">
        <v>26754458</v>
      </c>
      <c r="BP356" s="486">
        <v>27824635.903999999</v>
      </c>
      <c r="BQ356" s="486">
        <v>0</v>
      </c>
      <c r="BR356" s="486">
        <v>0</v>
      </c>
      <c r="BS356" s="486">
        <v>0</v>
      </c>
      <c r="BT356" s="486">
        <v>0</v>
      </c>
      <c r="BU356" s="486">
        <v>0</v>
      </c>
      <c r="BV356" s="486">
        <v>0</v>
      </c>
      <c r="BW356" s="486">
        <v>0</v>
      </c>
      <c r="BX356" s="487">
        <v>27824635.903999999</v>
      </c>
      <c r="BY356" s="486">
        <v>0</v>
      </c>
      <c r="BZ356" s="486">
        <v>0</v>
      </c>
      <c r="CA356" s="486">
        <v>0</v>
      </c>
      <c r="CB356" s="488">
        <v>0</v>
      </c>
      <c r="CC356" s="491">
        <v>27824635.903999999</v>
      </c>
      <c r="CD356" s="492">
        <v>105040533.904</v>
      </c>
      <c r="CE356" s="493">
        <f t="shared" si="25"/>
        <v>105040533.904</v>
      </c>
      <c r="CF356" s="493">
        <f t="shared" si="24"/>
        <v>0</v>
      </c>
      <c r="CG356" s="493">
        <f t="shared" si="24"/>
        <v>0</v>
      </c>
      <c r="CH356" s="493">
        <f t="shared" si="24"/>
        <v>0</v>
      </c>
      <c r="CI356" s="493">
        <f t="shared" si="24"/>
        <v>0</v>
      </c>
      <c r="CJ356" s="493">
        <f t="shared" si="24"/>
        <v>0</v>
      </c>
      <c r="CK356" s="493">
        <f t="shared" si="24"/>
        <v>0</v>
      </c>
      <c r="CL356" s="493">
        <f t="shared" si="24"/>
        <v>0</v>
      </c>
      <c r="CM356" s="493">
        <f t="shared" si="23"/>
        <v>0</v>
      </c>
      <c r="CN356" s="493">
        <f t="shared" si="23"/>
        <v>0</v>
      </c>
      <c r="CO356" s="493">
        <f t="shared" si="23"/>
        <v>0</v>
      </c>
    </row>
    <row r="357" spans="1:93" ht="30.45" hidden="1" customHeight="1">
      <c r="A357" s="555" t="s">
        <v>4674</v>
      </c>
      <c r="B357" s="479">
        <v>355</v>
      </c>
      <c r="C357" s="480" t="s">
        <v>6369</v>
      </c>
      <c r="D357" s="480" t="s">
        <v>4668</v>
      </c>
      <c r="E357" s="480" t="str">
        <f t="shared" si="22"/>
        <v xml:space="preserve">3.2.5 </v>
      </c>
      <c r="F357" s="480" t="s">
        <v>6383</v>
      </c>
      <c r="G357" s="480" t="s">
        <v>4705</v>
      </c>
      <c r="H357" s="481">
        <v>45</v>
      </c>
      <c r="I357" s="480" t="s">
        <v>6570</v>
      </c>
      <c r="J357" s="495">
        <v>450106100</v>
      </c>
      <c r="K357" s="480" t="s">
        <v>4708</v>
      </c>
      <c r="L357" s="480" t="s">
        <v>4709</v>
      </c>
      <c r="M357" s="480" t="s">
        <v>5954</v>
      </c>
      <c r="N357" s="499">
        <v>5500</v>
      </c>
      <c r="O357" s="480" t="s">
        <v>4710</v>
      </c>
      <c r="P357" s="515">
        <v>27500</v>
      </c>
      <c r="Q357" s="485" t="s">
        <v>5527</v>
      </c>
      <c r="R357" s="485" t="s">
        <v>5528</v>
      </c>
      <c r="S357" s="485" t="s">
        <v>677</v>
      </c>
      <c r="T357" s="485" t="s">
        <v>5529</v>
      </c>
      <c r="U357" s="485" t="s">
        <v>4673</v>
      </c>
      <c r="V357" s="485" t="s">
        <v>5530</v>
      </c>
      <c r="W357" s="485" t="s">
        <v>5357</v>
      </c>
      <c r="X357" s="485" t="s">
        <v>5523</v>
      </c>
      <c r="Y357" s="485" t="s">
        <v>5524</v>
      </c>
      <c r="Z357" s="486">
        <v>0</v>
      </c>
      <c r="AA357" s="486">
        <v>0</v>
      </c>
      <c r="AB357" s="486">
        <v>0</v>
      </c>
      <c r="AC357" s="486">
        <v>0</v>
      </c>
      <c r="AD357" s="486">
        <v>0</v>
      </c>
      <c r="AE357" s="486">
        <v>0</v>
      </c>
      <c r="AF357" s="486">
        <v>0</v>
      </c>
      <c r="AG357" s="486">
        <v>0</v>
      </c>
      <c r="AH357" s="487">
        <v>0</v>
      </c>
      <c r="AI357" s="486">
        <v>0</v>
      </c>
      <c r="AJ357" s="486">
        <v>0</v>
      </c>
      <c r="AK357" s="486">
        <v>0</v>
      </c>
      <c r="AL357" s="488">
        <v>0</v>
      </c>
      <c r="AM357" s="489">
        <v>0</v>
      </c>
      <c r="AN357" s="486">
        <v>0</v>
      </c>
      <c r="AO357" s="486">
        <v>0</v>
      </c>
      <c r="AP357" s="486">
        <v>0</v>
      </c>
      <c r="AQ357" s="486">
        <v>0</v>
      </c>
      <c r="AR357" s="486">
        <v>0</v>
      </c>
      <c r="AS357" s="486">
        <v>0</v>
      </c>
      <c r="AT357" s="486">
        <v>0</v>
      </c>
      <c r="AU357" s="486">
        <v>0</v>
      </c>
      <c r="AV357" s="487">
        <v>0</v>
      </c>
      <c r="AW357" s="486">
        <v>1500000000</v>
      </c>
      <c r="AX357" s="486">
        <v>0</v>
      </c>
      <c r="AY357" s="486">
        <v>0</v>
      </c>
      <c r="AZ357" s="488">
        <v>1500000000</v>
      </c>
      <c r="BA357" s="490">
        <v>1500000000</v>
      </c>
      <c r="BB357" s="486">
        <v>0</v>
      </c>
      <c r="BC357" s="486">
        <v>0</v>
      </c>
      <c r="BD357" s="486">
        <v>0</v>
      </c>
      <c r="BE357" s="486">
        <v>0</v>
      </c>
      <c r="BF357" s="486">
        <v>0</v>
      </c>
      <c r="BG357" s="486">
        <v>0</v>
      </c>
      <c r="BH357" s="486">
        <v>0</v>
      </c>
      <c r="BI357" s="486">
        <v>0</v>
      </c>
      <c r="BJ357" s="487">
        <v>0</v>
      </c>
      <c r="BK357" s="486">
        <v>750000000</v>
      </c>
      <c r="BL357" s="486">
        <v>0</v>
      </c>
      <c r="BM357" s="486">
        <v>0</v>
      </c>
      <c r="BN357" s="488">
        <v>750000000</v>
      </c>
      <c r="BO357" s="490">
        <v>750000000</v>
      </c>
      <c r="BP357" s="486">
        <v>0</v>
      </c>
      <c r="BQ357" s="486">
        <v>0</v>
      </c>
      <c r="BR357" s="486">
        <v>0</v>
      </c>
      <c r="BS357" s="486">
        <v>0</v>
      </c>
      <c r="BT357" s="486">
        <v>0</v>
      </c>
      <c r="BU357" s="486">
        <v>0</v>
      </c>
      <c r="BV357" s="486">
        <v>0</v>
      </c>
      <c r="BW357" s="486">
        <v>0</v>
      </c>
      <c r="BX357" s="487">
        <v>0</v>
      </c>
      <c r="BY357" s="486">
        <v>1050000000</v>
      </c>
      <c r="BZ357" s="486">
        <v>0</v>
      </c>
      <c r="CA357" s="486">
        <v>0</v>
      </c>
      <c r="CB357" s="488">
        <v>1050000000</v>
      </c>
      <c r="CC357" s="491">
        <v>1050000000</v>
      </c>
      <c r="CD357" s="492">
        <v>3300000000</v>
      </c>
      <c r="CE357" s="493">
        <f t="shared" si="25"/>
        <v>0</v>
      </c>
      <c r="CF357" s="493">
        <f t="shared" si="24"/>
        <v>0</v>
      </c>
      <c r="CG357" s="493">
        <f t="shared" si="24"/>
        <v>0</v>
      </c>
      <c r="CH357" s="493">
        <f t="shared" si="24"/>
        <v>0</v>
      </c>
      <c r="CI357" s="493">
        <f t="shared" si="24"/>
        <v>0</v>
      </c>
      <c r="CJ357" s="493">
        <f t="shared" si="24"/>
        <v>0</v>
      </c>
      <c r="CK357" s="493">
        <f t="shared" si="24"/>
        <v>0</v>
      </c>
      <c r="CL357" s="493">
        <f t="shared" si="24"/>
        <v>0</v>
      </c>
      <c r="CM357" s="493">
        <f t="shared" si="23"/>
        <v>3300000000</v>
      </c>
      <c r="CN357" s="493">
        <f t="shared" si="23"/>
        <v>0</v>
      </c>
      <c r="CO357" s="493">
        <f t="shared" si="23"/>
        <v>0</v>
      </c>
    </row>
    <row r="358" spans="1:93" ht="30.45" hidden="1" customHeight="1">
      <c r="A358" s="555" t="s">
        <v>4262</v>
      </c>
      <c r="B358" s="479">
        <v>356</v>
      </c>
      <c r="C358" s="480" t="s">
        <v>6370</v>
      </c>
      <c r="D358" s="480" t="s">
        <v>4711</v>
      </c>
      <c r="E358" s="480" t="str">
        <f t="shared" si="22"/>
        <v xml:space="preserve">4.1.1 </v>
      </c>
      <c r="F358" s="480" t="s">
        <v>4712</v>
      </c>
      <c r="G358" s="480" t="s">
        <v>4713</v>
      </c>
      <c r="H358" s="481">
        <v>21</v>
      </c>
      <c r="I358" s="480" t="s">
        <v>4714</v>
      </c>
      <c r="J358" s="495">
        <v>210101100</v>
      </c>
      <c r="K358" s="480" t="s">
        <v>4592</v>
      </c>
      <c r="L358" s="480" t="s">
        <v>5955</v>
      </c>
      <c r="M358" s="480" t="s">
        <v>4715</v>
      </c>
      <c r="N358" s="517">
        <v>14</v>
      </c>
      <c r="O358" s="480" t="s">
        <v>4637</v>
      </c>
      <c r="P358" s="518">
        <v>26</v>
      </c>
      <c r="Q358" s="485">
        <v>30010030</v>
      </c>
      <c r="R358" s="485" t="s">
        <v>5531</v>
      </c>
      <c r="S358" s="485" t="s">
        <v>5363</v>
      </c>
      <c r="T358" s="485" t="s">
        <v>5532</v>
      </c>
      <c r="U358" s="485" t="s">
        <v>5533</v>
      </c>
      <c r="V358" s="485" t="s">
        <v>5534</v>
      </c>
      <c r="W358" s="485" t="s">
        <v>5351</v>
      </c>
      <c r="X358" s="485">
        <v>7</v>
      </c>
      <c r="Y358" s="485" t="s">
        <v>5535</v>
      </c>
      <c r="Z358" s="486">
        <v>0</v>
      </c>
      <c r="AA358" s="486"/>
      <c r="AB358" s="486">
        <v>0</v>
      </c>
      <c r="AC358" s="486">
        <v>0</v>
      </c>
      <c r="AD358" s="486">
        <v>0</v>
      </c>
      <c r="AE358" s="486">
        <v>0</v>
      </c>
      <c r="AF358" s="486">
        <v>2000000000</v>
      </c>
      <c r="AG358" s="486">
        <v>0</v>
      </c>
      <c r="AH358" s="487">
        <v>2000000000</v>
      </c>
      <c r="AI358" s="486">
        <v>0</v>
      </c>
      <c r="AJ358" s="486">
        <v>0</v>
      </c>
      <c r="AK358" s="486">
        <v>0</v>
      </c>
      <c r="AL358" s="488">
        <v>0</v>
      </c>
      <c r="AM358" s="489">
        <v>2000000000</v>
      </c>
      <c r="AN358" s="486">
        <v>0</v>
      </c>
      <c r="AO358" s="486">
        <v>0</v>
      </c>
      <c r="AP358" s="486">
        <v>0</v>
      </c>
      <c r="AQ358" s="486">
        <v>0</v>
      </c>
      <c r="AR358" s="486">
        <v>0</v>
      </c>
      <c r="AS358" s="486">
        <v>0</v>
      </c>
      <c r="AT358" s="486">
        <v>2000000000</v>
      </c>
      <c r="AU358" s="486">
        <v>0</v>
      </c>
      <c r="AV358" s="487">
        <v>2000000000</v>
      </c>
      <c r="AW358" s="486">
        <v>0</v>
      </c>
      <c r="AX358" s="486">
        <v>0</v>
      </c>
      <c r="AY358" s="486">
        <v>0</v>
      </c>
      <c r="AZ358" s="488">
        <v>0</v>
      </c>
      <c r="BA358" s="490">
        <v>2000000000</v>
      </c>
      <c r="BB358" s="486">
        <v>0</v>
      </c>
      <c r="BC358" s="486"/>
      <c r="BD358" s="486">
        <v>0</v>
      </c>
      <c r="BE358" s="486">
        <v>0</v>
      </c>
      <c r="BF358" s="486">
        <v>0</v>
      </c>
      <c r="BG358" s="486">
        <v>0</v>
      </c>
      <c r="BH358" s="486"/>
      <c r="BI358" s="486">
        <v>0</v>
      </c>
      <c r="BJ358" s="487">
        <v>0</v>
      </c>
      <c r="BK358" s="486">
        <v>0</v>
      </c>
      <c r="BL358" s="486">
        <v>0</v>
      </c>
      <c r="BM358" s="486">
        <v>0</v>
      </c>
      <c r="BN358" s="488">
        <v>0</v>
      </c>
      <c r="BO358" s="490">
        <v>0</v>
      </c>
      <c r="BP358" s="486">
        <v>0</v>
      </c>
      <c r="BQ358" s="486"/>
      <c r="BR358" s="486">
        <v>0</v>
      </c>
      <c r="BS358" s="486">
        <v>0</v>
      </c>
      <c r="BT358" s="486">
        <v>0</v>
      </c>
      <c r="BU358" s="486">
        <v>0</v>
      </c>
      <c r="BV358" s="486"/>
      <c r="BW358" s="486">
        <v>0</v>
      </c>
      <c r="BX358" s="487">
        <v>0</v>
      </c>
      <c r="BY358" s="486">
        <v>0</v>
      </c>
      <c r="BZ358" s="486">
        <v>0</v>
      </c>
      <c r="CA358" s="486">
        <v>0</v>
      </c>
      <c r="CB358" s="488">
        <v>0</v>
      </c>
      <c r="CC358" s="491">
        <v>0</v>
      </c>
      <c r="CD358" s="492">
        <v>4000000000</v>
      </c>
      <c r="CE358" s="493">
        <f t="shared" si="25"/>
        <v>0</v>
      </c>
      <c r="CF358" s="493">
        <f t="shared" si="24"/>
        <v>0</v>
      </c>
      <c r="CG358" s="493">
        <f t="shared" si="24"/>
        <v>0</v>
      </c>
      <c r="CH358" s="493">
        <f t="shared" si="24"/>
        <v>0</v>
      </c>
      <c r="CI358" s="493">
        <f t="shared" si="24"/>
        <v>0</v>
      </c>
      <c r="CJ358" s="493">
        <f t="shared" si="24"/>
        <v>0</v>
      </c>
      <c r="CK358" s="493">
        <f t="shared" si="24"/>
        <v>4000000000</v>
      </c>
      <c r="CL358" s="493">
        <f t="shared" si="24"/>
        <v>0</v>
      </c>
      <c r="CM358" s="493">
        <f t="shared" si="23"/>
        <v>0</v>
      </c>
      <c r="CN358" s="493">
        <f t="shared" si="23"/>
        <v>0</v>
      </c>
      <c r="CO358" s="493">
        <f t="shared" si="23"/>
        <v>0</v>
      </c>
    </row>
    <row r="359" spans="1:93" ht="30.45" hidden="1" customHeight="1">
      <c r="A359" s="556" t="s">
        <v>4262</v>
      </c>
      <c r="B359" s="479">
        <v>357</v>
      </c>
      <c r="C359" s="480" t="s">
        <v>6370</v>
      </c>
      <c r="D359" s="480" t="s">
        <v>4711</v>
      </c>
      <c r="E359" s="480" t="str">
        <f t="shared" si="22"/>
        <v xml:space="preserve">4.1.1 </v>
      </c>
      <c r="F359" s="480" t="s">
        <v>4712</v>
      </c>
      <c r="G359" s="480" t="s">
        <v>4713</v>
      </c>
      <c r="H359" s="480">
        <v>21</v>
      </c>
      <c r="I359" s="480" t="s">
        <v>4714</v>
      </c>
      <c r="J359" s="495">
        <v>210101500</v>
      </c>
      <c r="K359" s="510" t="s">
        <v>4652</v>
      </c>
      <c r="L359" s="510" t="s">
        <v>4716</v>
      </c>
      <c r="M359" s="510" t="s">
        <v>5956</v>
      </c>
      <c r="N359" s="517">
        <v>18478</v>
      </c>
      <c r="O359" s="510" t="s">
        <v>4637</v>
      </c>
      <c r="P359" s="518">
        <v>38478</v>
      </c>
      <c r="Q359" s="485">
        <v>30010030</v>
      </c>
      <c r="R359" s="485" t="s">
        <v>5531</v>
      </c>
      <c r="S359" s="485" t="s">
        <v>5363</v>
      </c>
      <c r="T359" s="485" t="s">
        <v>5532</v>
      </c>
      <c r="U359" s="485" t="s">
        <v>5533</v>
      </c>
      <c r="V359" s="485" t="s">
        <v>5534</v>
      </c>
      <c r="W359" s="485" t="s">
        <v>5351</v>
      </c>
      <c r="X359" s="485">
        <v>7</v>
      </c>
      <c r="Y359" s="485" t="s">
        <v>5535</v>
      </c>
      <c r="Z359" s="486">
        <v>50000000</v>
      </c>
      <c r="AA359" s="486">
        <v>0</v>
      </c>
      <c r="AB359" s="486">
        <v>0</v>
      </c>
      <c r="AC359" s="486">
        <v>0</v>
      </c>
      <c r="AD359" s="486">
        <v>0</v>
      </c>
      <c r="AE359" s="486">
        <v>0</v>
      </c>
      <c r="AF359" s="486">
        <v>9000000000</v>
      </c>
      <c r="AG359" s="486">
        <v>0</v>
      </c>
      <c r="AH359" s="487">
        <v>9050000000</v>
      </c>
      <c r="AI359" s="486">
        <v>0</v>
      </c>
      <c r="AJ359" s="486">
        <v>0</v>
      </c>
      <c r="AK359" s="486">
        <v>0</v>
      </c>
      <c r="AL359" s="488">
        <v>0</v>
      </c>
      <c r="AM359" s="489">
        <v>9050000000</v>
      </c>
      <c r="AN359" s="486">
        <v>0</v>
      </c>
      <c r="AO359" s="486">
        <v>0</v>
      </c>
      <c r="AP359" s="486">
        <v>0</v>
      </c>
      <c r="AQ359" s="486">
        <v>0</v>
      </c>
      <c r="AR359" s="486">
        <v>0</v>
      </c>
      <c r="AS359" s="486">
        <v>0</v>
      </c>
      <c r="AT359" s="486">
        <v>9000000000</v>
      </c>
      <c r="AU359" s="486">
        <v>0</v>
      </c>
      <c r="AV359" s="487">
        <v>9000000000</v>
      </c>
      <c r="AW359" s="486">
        <v>0</v>
      </c>
      <c r="AX359" s="486">
        <v>0</v>
      </c>
      <c r="AY359" s="486">
        <v>0</v>
      </c>
      <c r="AZ359" s="488">
        <v>0</v>
      </c>
      <c r="BA359" s="490">
        <v>9000000000</v>
      </c>
      <c r="BB359" s="486">
        <v>0</v>
      </c>
      <c r="BC359" s="486">
        <v>0</v>
      </c>
      <c r="BD359" s="486">
        <v>0</v>
      </c>
      <c r="BE359" s="486">
        <v>0</v>
      </c>
      <c r="BF359" s="486">
        <v>0</v>
      </c>
      <c r="BG359" s="486">
        <v>0</v>
      </c>
      <c r="BH359" s="486"/>
      <c r="BI359" s="486">
        <v>0</v>
      </c>
      <c r="BJ359" s="487">
        <v>0</v>
      </c>
      <c r="BK359" s="486">
        <v>0</v>
      </c>
      <c r="BL359" s="486">
        <v>0</v>
      </c>
      <c r="BM359" s="486">
        <v>0</v>
      </c>
      <c r="BN359" s="488">
        <v>0</v>
      </c>
      <c r="BO359" s="490">
        <v>0</v>
      </c>
      <c r="BP359" s="486">
        <v>0</v>
      </c>
      <c r="BQ359" s="486">
        <v>0</v>
      </c>
      <c r="BR359" s="486">
        <v>0</v>
      </c>
      <c r="BS359" s="486">
        <v>0</v>
      </c>
      <c r="BT359" s="486">
        <v>0</v>
      </c>
      <c r="BU359" s="486">
        <v>0</v>
      </c>
      <c r="BV359" s="486"/>
      <c r="BW359" s="486">
        <v>0</v>
      </c>
      <c r="BX359" s="487">
        <v>0</v>
      </c>
      <c r="BY359" s="486">
        <v>0</v>
      </c>
      <c r="BZ359" s="486">
        <v>0</v>
      </c>
      <c r="CA359" s="486">
        <v>0</v>
      </c>
      <c r="CB359" s="488">
        <v>0</v>
      </c>
      <c r="CC359" s="491">
        <v>0</v>
      </c>
      <c r="CD359" s="492">
        <v>18050000000</v>
      </c>
      <c r="CE359" s="493">
        <f t="shared" si="25"/>
        <v>50000000</v>
      </c>
      <c r="CF359" s="493">
        <f t="shared" si="24"/>
        <v>0</v>
      </c>
      <c r="CG359" s="493">
        <f t="shared" si="24"/>
        <v>0</v>
      </c>
      <c r="CH359" s="493">
        <f t="shared" si="24"/>
        <v>0</v>
      </c>
      <c r="CI359" s="493">
        <f t="shared" si="24"/>
        <v>0</v>
      </c>
      <c r="CJ359" s="493">
        <f t="shared" si="24"/>
        <v>0</v>
      </c>
      <c r="CK359" s="493">
        <f t="shared" si="24"/>
        <v>18000000000</v>
      </c>
      <c r="CL359" s="493">
        <f t="shared" si="24"/>
        <v>0</v>
      </c>
      <c r="CM359" s="493">
        <f t="shared" si="23"/>
        <v>0</v>
      </c>
      <c r="CN359" s="493">
        <f t="shared" si="23"/>
        <v>0</v>
      </c>
      <c r="CO359" s="493">
        <f t="shared" si="23"/>
        <v>0</v>
      </c>
    </row>
    <row r="360" spans="1:93" ht="30.45" hidden="1" customHeight="1">
      <c r="A360" s="555" t="s">
        <v>4262</v>
      </c>
      <c r="B360" s="479">
        <v>358</v>
      </c>
      <c r="C360" s="480" t="s">
        <v>6370</v>
      </c>
      <c r="D360" s="480" t="s">
        <v>4711</v>
      </c>
      <c r="E360" s="480" t="str">
        <f t="shared" si="22"/>
        <v xml:space="preserve">4.1.1 </v>
      </c>
      <c r="F360" s="480" t="s">
        <v>4712</v>
      </c>
      <c r="G360" s="480" t="s">
        <v>4713</v>
      </c>
      <c r="H360" s="481">
        <v>21</v>
      </c>
      <c r="I360" s="480" t="s">
        <v>4714</v>
      </c>
      <c r="J360" s="495">
        <v>210101600</v>
      </c>
      <c r="K360" s="480" t="s">
        <v>4652</v>
      </c>
      <c r="L360" s="480" t="s">
        <v>6571</v>
      </c>
      <c r="M360" s="480" t="s">
        <v>5957</v>
      </c>
      <c r="N360" s="517">
        <v>18478</v>
      </c>
      <c r="O360" s="480" t="s">
        <v>4637</v>
      </c>
      <c r="P360" s="518">
        <v>38478</v>
      </c>
      <c r="Q360" s="485">
        <v>30010030</v>
      </c>
      <c r="R360" s="485" t="s">
        <v>5531</v>
      </c>
      <c r="S360" s="485" t="s">
        <v>5363</v>
      </c>
      <c r="T360" s="485" t="s">
        <v>5532</v>
      </c>
      <c r="U360" s="485" t="s">
        <v>5533</v>
      </c>
      <c r="V360" s="485" t="s">
        <v>5534</v>
      </c>
      <c r="W360" s="485" t="s">
        <v>5351</v>
      </c>
      <c r="X360" s="485">
        <v>7</v>
      </c>
      <c r="Y360" s="485" t="s">
        <v>5535</v>
      </c>
      <c r="Z360" s="486">
        <v>50000000</v>
      </c>
      <c r="AA360" s="486">
        <v>0</v>
      </c>
      <c r="AB360" s="486">
        <v>0</v>
      </c>
      <c r="AC360" s="486">
        <v>0</v>
      </c>
      <c r="AD360" s="486">
        <v>0</v>
      </c>
      <c r="AE360" s="486">
        <v>0</v>
      </c>
      <c r="AF360" s="486">
        <v>9000000000</v>
      </c>
      <c r="AG360" s="486">
        <v>0</v>
      </c>
      <c r="AH360" s="487">
        <v>9050000000</v>
      </c>
      <c r="AI360" s="486">
        <v>0</v>
      </c>
      <c r="AJ360" s="486">
        <v>0</v>
      </c>
      <c r="AK360" s="486">
        <v>0</v>
      </c>
      <c r="AL360" s="488">
        <v>0</v>
      </c>
      <c r="AM360" s="489">
        <v>9050000000</v>
      </c>
      <c r="AN360" s="486">
        <v>0</v>
      </c>
      <c r="AO360" s="486">
        <v>0</v>
      </c>
      <c r="AP360" s="486">
        <v>0</v>
      </c>
      <c r="AQ360" s="486">
        <v>0</v>
      </c>
      <c r="AR360" s="486">
        <v>0</v>
      </c>
      <c r="AS360" s="486">
        <v>0</v>
      </c>
      <c r="AT360" s="486">
        <v>9000000000</v>
      </c>
      <c r="AU360" s="486">
        <v>0</v>
      </c>
      <c r="AV360" s="487">
        <v>9000000000</v>
      </c>
      <c r="AW360" s="486">
        <v>0</v>
      </c>
      <c r="AX360" s="486">
        <v>0</v>
      </c>
      <c r="AY360" s="486">
        <v>0</v>
      </c>
      <c r="AZ360" s="488">
        <v>0</v>
      </c>
      <c r="BA360" s="490">
        <v>9000000000</v>
      </c>
      <c r="BB360" s="486">
        <v>0</v>
      </c>
      <c r="BC360" s="486">
        <v>0</v>
      </c>
      <c r="BD360" s="486">
        <v>0</v>
      </c>
      <c r="BE360" s="486">
        <v>0</v>
      </c>
      <c r="BF360" s="486">
        <v>0</v>
      </c>
      <c r="BG360" s="486">
        <v>0</v>
      </c>
      <c r="BH360" s="486"/>
      <c r="BI360" s="486">
        <v>0</v>
      </c>
      <c r="BJ360" s="487">
        <v>0</v>
      </c>
      <c r="BK360" s="486">
        <v>0</v>
      </c>
      <c r="BL360" s="486">
        <v>0</v>
      </c>
      <c r="BM360" s="486">
        <v>0</v>
      </c>
      <c r="BN360" s="488">
        <v>0</v>
      </c>
      <c r="BO360" s="490">
        <v>0</v>
      </c>
      <c r="BP360" s="486">
        <v>0</v>
      </c>
      <c r="BQ360" s="486">
        <v>0</v>
      </c>
      <c r="BR360" s="486">
        <v>0</v>
      </c>
      <c r="BS360" s="486">
        <v>0</v>
      </c>
      <c r="BT360" s="486">
        <v>0</v>
      </c>
      <c r="BU360" s="486">
        <v>0</v>
      </c>
      <c r="BV360" s="486"/>
      <c r="BW360" s="486">
        <v>0</v>
      </c>
      <c r="BX360" s="487">
        <v>0</v>
      </c>
      <c r="BY360" s="486">
        <v>0</v>
      </c>
      <c r="BZ360" s="486">
        <v>0</v>
      </c>
      <c r="CA360" s="486">
        <v>0</v>
      </c>
      <c r="CB360" s="488">
        <v>0</v>
      </c>
      <c r="CC360" s="491">
        <v>0</v>
      </c>
      <c r="CD360" s="492">
        <v>18050000000</v>
      </c>
      <c r="CE360" s="493">
        <f t="shared" si="25"/>
        <v>50000000</v>
      </c>
      <c r="CF360" s="493">
        <f t="shared" si="24"/>
        <v>0</v>
      </c>
      <c r="CG360" s="493">
        <f t="shared" si="24"/>
        <v>0</v>
      </c>
      <c r="CH360" s="493">
        <f t="shared" si="24"/>
        <v>0</v>
      </c>
      <c r="CI360" s="493">
        <f t="shared" si="24"/>
        <v>0</v>
      </c>
      <c r="CJ360" s="493">
        <f t="shared" si="24"/>
        <v>0</v>
      </c>
      <c r="CK360" s="493">
        <f t="shared" si="24"/>
        <v>18000000000</v>
      </c>
      <c r="CL360" s="493">
        <f t="shared" si="24"/>
        <v>0</v>
      </c>
      <c r="CM360" s="493">
        <f t="shared" si="23"/>
        <v>0</v>
      </c>
      <c r="CN360" s="493">
        <f t="shared" si="23"/>
        <v>0</v>
      </c>
      <c r="CO360" s="493">
        <f t="shared" si="23"/>
        <v>0</v>
      </c>
    </row>
    <row r="361" spans="1:93" ht="30.45" hidden="1" customHeight="1">
      <c r="A361" s="555" t="s">
        <v>4722</v>
      </c>
      <c r="B361" s="479">
        <v>359</v>
      </c>
      <c r="C361" s="480" t="s">
        <v>6370</v>
      </c>
      <c r="D361" s="480" t="s">
        <v>4711</v>
      </c>
      <c r="E361" s="480" t="str">
        <f t="shared" si="22"/>
        <v>4.1.2.</v>
      </c>
      <c r="F361" s="480" t="s">
        <v>4717</v>
      </c>
      <c r="G361" s="480" t="s">
        <v>4718</v>
      </c>
      <c r="H361" s="481">
        <v>19</v>
      </c>
      <c r="I361" s="480" t="s">
        <v>4726</v>
      </c>
      <c r="J361" s="495">
        <v>190502300</v>
      </c>
      <c r="K361" s="480" t="s">
        <v>4286</v>
      </c>
      <c r="L361" s="480" t="s">
        <v>4720</v>
      </c>
      <c r="M361" s="480" t="s">
        <v>5958</v>
      </c>
      <c r="N361" s="499">
        <v>123</v>
      </c>
      <c r="O361" s="480" t="s">
        <v>4721</v>
      </c>
      <c r="P361" s="515">
        <v>123</v>
      </c>
      <c r="Q361" s="485" t="s">
        <v>5349</v>
      </c>
      <c r="R361" s="485" t="s">
        <v>5536</v>
      </c>
      <c r="S361" s="485" t="s">
        <v>5537</v>
      </c>
      <c r="T361" s="485">
        <v>217.1</v>
      </c>
      <c r="U361" s="485" t="s">
        <v>5538</v>
      </c>
      <c r="V361" s="485">
        <v>209.1</v>
      </c>
      <c r="W361" s="485" t="s">
        <v>5357</v>
      </c>
      <c r="X361" s="485">
        <v>3</v>
      </c>
      <c r="Y361" s="485" t="s">
        <v>2553</v>
      </c>
      <c r="Z361" s="486">
        <v>0</v>
      </c>
      <c r="AA361" s="486">
        <v>84000000</v>
      </c>
      <c r="AB361" s="486"/>
      <c r="AC361" s="486">
        <v>83397600</v>
      </c>
      <c r="AD361" s="486">
        <v>0</v>
      </c>
      <c r="AE361" s="486">
        <v>0</v>
      </c>
      <c r="AF361" s="486">
        <v>0</v>
      </c>
      <c r="AG361" s="486">
        <v>0</v>
      </c>
      <c r="AH361" s="487">
        <v>167397600</v>
      </c>
      <c r="AI361" s="486">
        <v>0</v>
      </c>
      <c r="AJ361" s="486">
        <v>0</v>
      </c>
      <c r="AK361" s="486">
        <v>0</v>
      </c>
      <c r="AL361" s="488">
        <v>0</v>
      </c>
      <c r="AM361" s="489">
        <v>167397600</v>
      </c>
      <c r="AN361" s="486">
        <v>0</v>
      </c>
      <c r="AO361" s="486">
        <v>87360000</v>
      </c>
      <c r="AP361" s="486">
        <v>0</v>
      </c>
      <c r="AQ361" s="486">
        <v>86733504</v>
      </c>
      <c r="AR361" s="486">
        <v>0</v>
      </c>
      <c r="AS361" s="486">
        <v>0</v>
      </c>
      <c r="AT361" s="486">
        <v>0</v>
      </c>
      <c r="AU361" s="486">
        <v>0</v>
      </c>
      <c r="AV361" s="487">
        <v>174093504</v>
      </c>
      <c r="AW361" s="486">
        <v>0</v>
      </c>
      <c r="AX361" s="486">
        <v>0</v>
      </c>
      <c r="AY361" s="486">
        <v>0</v>
      </c>
      <c r="AZ361" s="488">
        <v>0</v>
      </c>
      <c r="BA361" s="490">
        <v>174093504</v>
      </c>
      <c r="BB361" s="486">
        <v>0</v>
      </c>
      <c r="BC361" s="486">
        <v>90854400</v>
      </c>
      <c r="BD361" s="486">
        <v>0</v>
      </c>
      <c r="BE361" s="486">
        <v>90202844.159999996</v>
      </c>
      <c r="BF361" s="486">
        <v>0</v>
      </c>
      <c r="BG361" s="486">
        <v>0</v>
      </c>
      <c r="BH361" s="486">
        <v>0</v>
      </c>
      <c r="BI361" s="486">
        <v>0</v>
      </c>
      <c r="BJ361" s="487">
        <v>181057244.16</v>
      </c>
      <c r="BK361" s="486">
        <v>0</v>
      </c>
      <c r="BL361" s="486">
        <v>0</v>
      </c>
      <c r="BM361" s="486">
        <v>0</v>
      </c>
      <c r="BN361" s="488">
        <v>0</v>
      </c>
      <c r="BO361" s="490">
        <v>181057244.16</v>
      </c>
      <c r="BP361" s="486">
        <v>0</v>
      </c>
      <c r="BQ361" s="486">
        <v>94488576</v>
      </c>
      <c r="BR361" s="486">
        <v>0</v>
      </c>
      <c r="BS361" s="486">
        <v>93810957.930000007</v>
      </c>
      <c r="BT361" s="486">
        <v>0</v>
      </c>
      <c r="BU361" s="486">
        <v>0</v>
      </c>
      <c r="BV361" s="486">
        <v>0</v>
      </c>
      <c r="BW361" s="486">
        <v>0</v>
      </c>
      <c r="BX361" s="487">
        <v>188299533.93000001</v>
      </c>
      <c r="BY361" s="486">
        <v>0</v>
      </c>
      <c r="BZ361" s="486">
        <v>0</v>
      </c>
      <c r="CA361" s="486">
        <v>0</v>
      </c>
      <c r="CB361" s="488">
        <v>0</v>
      </c>
      <c r="CC361" s="491">
        <v>188299533.93000001</v>
      </c>
      <c r="CD361" s="492">
        <v>710847882.09000003</v>
      </c>
      <c r="CE361" s="493">
        <f t="shared" si="25"/>
        <v>0</v>
      </c>
      <c r="CF361" s="493">
        <f t="shared" si="24"/>
        <v>356702976</v>
      </c>
      <c r="CG361" s="493">
        <f t="shared" si="24"/>
        <v>0</v>
      </c>
      <c r="CH361" s="493">
        <f t="shared" si="24"/>
        <v>354144906.09000003</v>
      </c>
      <c r="CI361" s="493">
        <f t="shared" si="24"/>
        <v>0</v>
      </c>
      <c r="CJ361" s="493">
        <f t="shared" si="24"/>
        <v>0</v>
      </c>
      <c r="CK361" s="493">
        <f t="shared" si="24"/>
        <v>0</v>
      </c>
      <c r="CL361" s="493">
        <f t="shared" si="24"/>
        <v>0</v>
      </c>
      <c r="CM361" s="493">
        <f t="shared" si="23"/>
        <v>0</v>
      </c>
      <c r="CN361" s="493">
        <f t="shared" si="23"/>
        <v>0</v>
      </c>
      <c r="CO361" s="493">
        <f t="shared" si="23"/>
        <v>0</v>
      </c>
    </row>
    <row r="362" spans="1:93" ht="30.45" hidden="1" customHeight="1">
      <c r="A362" s="555" t="s">
        <v>4722</v>
      </c>
      <c r="B362" s="479">
        <v>360</v>
      </c>
      <c r="C362" s="480" t="s">
        <v>6370</v>
      </c>
      <c r="D362" s="480" t="s">
        <v>4711</v>
      </c>
      <c r="E362" s="480" t="str">
        <f t="shared" si="22"/>
        <v>4.1.2.</v>
      </c>
      <c r="F362" s="480" t="s">
        <v>4717</v>
      </c>
      <c r="G362" s="480" t="s">
        <v>4718</v>
      </c>
      <c r="H362" s="481">
        <v>19</v>
      </c>
      <c r="I362" s="480" t="s">
        <v>4726</v>
      </c>
      <c r="J362" s="495">
        <v>190502500</v>
      </c>
      <c r="K362" s="480" t="s">
        <v>4286</v>
      </c>
      <c r="L362" s="480" t="s">
        <v>4723</v>
      </c>
      <c r="M362" s="480" t="s">
        <v>5959</v>
      </c>
      <c r="N362" s="533">
        <v>123</v>
      </c>
      <c r="O362" s="480" t="s">
        <v>4721</v>
      </c>
      <c r="P362" s="534">
        <v>123</v>
      </c>
      <c r="Q362" s="485" t="s">
        <v>5349</v>
      </c>
      <c r="R362" s="485" t="s">
        <v>5536</v>
      </c>
      <c r="S362" s="485" t="s">
        <v>5537</v>
      </c>
      <c r="T362" s="485">
        <v>217.1</v>
      </c>
      <c r="U362" s="485" t="s">
        <v>5538</v>
      </c>
      <c r="V362" s="485">
        <v>209.1</v>
      </c>
      <c r="W362" s="485" t="s">
        <v>5357</v>
      </c>
      <c r="X362" s="485">
        <v>3</v>
      </c>
      <c r="Y362" s="485" t="s">
        <v>2553</v>
      </c>
      <c r="Z362" s="486">
        <v>0</v>
      </c>
      <c r="AA362" s="486">
        <v>0</v>
      </c>
      <c r="AB362" s="486">
        <v>0</v>
      </c>
      <c r="AC362" s="486">
        <v>191617300</v>
      </c>
      <c r="AD362" s="486">
        <v>0</v>
      </c>
      <c r="AE362" s="486">
        <v>0</v>
      </c>
      <c r="AF362" s="486">
        <v>0</v>
      </c>
      <c r="AG362" s="486">
        <v>0</v>
      </c>
      <c r="AH362" s="487">
        <v>191617300</v>
      </c>
      <c r="AI362" s="486">
        <v>0</v>
      </c>
      <c r="AJ362" s="486">
        <v>0</v>
      </c>
      <c r="AK362" s="486">
        <v>0</v>
      </c>
      <c r="AL362" s="488">
        <v>0</v>
      </c>
      <c r="AM362" s="489">
        <v>191617300</v>
      </c>
      <c r="AN362" s="486">
        <v>0</v>
      </c>
      <c r="AO362" s="486">
        <v>0</v>
      </c>
      <c r="AP362" s="486">
        <v>0</v>
      </c>
      <c r="AQ362" s="486">
        <v>199281992</v>
      </c>
      <c r="AR362" s="486">
        <v>0</v>
      </c>
      <c r="AS362" s="486">
        <v>0</v>
      </c>
      <c r="AT362" s="486">
        <v>0</v>
      </c>
      <c r="AU362" s="486">
        <v>0</v>
      </c>
      <c r="AV362" s="487">
        <v>199281992</v>
      </c>
      <c r="AW362" s="486">
        <v>0</v>
      </c>
      <c r="AX362" s="486">
        <v>0</v>
      </c>
      <c r="AY362" s="486">
        <v>0</v>
      </c>
      <c r="AZ362" s="488">
        <v>0</v>
      </c>
      <c r="BA362" s="490">
        <v>199281992</v>
      </c>
      <c r="BB362" s="486">
        <v>0</v>
      </c>
      <c r="BC362" s="486">
        <v>0</v>
      </c>
      <c r="BD362" s="486">
        <v>0</v>
      </c>
      <c r="BE362" s="486">
        <v>207253271.68000001</v>
      </c>
      <c r="BF362" s="486">
        <v>0</v>
      </c>
      <c r="BG362" s="486">
        <v>0</v>
      </c>
      <c r="BH362" s="486">
        <v>0</v>
      </c>
      <c r="BI362" s="486">
        <v>0</v>
      </c>
      <c r="BJ362" s="487">
        <v>207253271.68000001</v>
      </c>
      <c r="BK362" s="486">
        <v>0</v>
      </c>
      <c r="BL362" s="486">
        <v>0</v>
      </c>
      <c r="BM362" s="486">
        <v>0</v>
      </c>
      <c r="BN362" s="488">
        <v>0</v>
      </c>
      <c r="BO362" s="490">
        <v>207253271.68000001</v>
      </c>
      <c r="BP362" s="486">
        <v>0</v>
      </c>
      <c r="BQ362" s="486">
        <v>0</v>
      </c>
      <c r="BR362" s="486">
        <v>0</v>
      </c>
      <c r="BS362" s="486">
        <v>215543402.55000001</v>
      </c>
      <c r="BT362" s="486">
        <v>0</v>
      </c>
      <c r="BU362" s="486">
        <v>0</v>
      </c>
      <c r="BV362" s="486">
        <v>0</v>
      </c>
      <c r="BW362" s="486">
        <v>0</v>
      </c>
      <c r="BX362" s="487">
        <v>215543402.55000001</v>
      </c>
      <c r="BY362" s="486">
        <v>0</v>
      </c>
      <c r="BZ362" s="486">
        <v>0</v>
      </c>
      <c r="CA362" s="486">
        <v>0</v>
      </c>
      <c r="CB362" s="488">
        <v>0</v>
      </c>
      <c r="CC362" s="491">
        <v>215543402.55000001</v>
      </c>
      <c r="CD362" s="492">
        <v>813695966.23000002</v>
      </c>
      <c r="CE362" s="493">
        <f t="shared" si="25"/>
        <v>0</v>
      </c>
      <c r="CF362" s="493">
        <f t="shared" si="24"/>
        <v>0</v>
      </c>
      <c r="CG362" s="493">
        <f t="shared" si="24"/>
        <v>0</v>
      </c>
      <c r="CH362" s="493">
        <f t="shared" si="24"/>
        <v>813695966.23000002</v>
      </c>
      <c r="CI362" s="493">
        <f t="shared" si="24"/>
        <v>0</v>
      </c>
      <c r="CJ362" s="493">
        <f t="shared" si="24"/>
        <v>0</v>
      </c>
      <c r="CK362" s="493">
        <f t="shared" si="24"/>
        <v>0</v>
      </c>
      <c r="CL362" s="493">
        <f t="shared" si="24"/>
        <v>0</v>
      </c>
      <c r="CM362" s="493">
        <f t="shared" si="23"/>
        <v>0</v>
      </c>
      <c r="CN362" s="493">
        <f t="shared" si="23"/>
        <v>0</v>
      </c>
      <c r="CO362" s="493">
        <f t="shared" si="23"/>
        <v>0</v>
      </c>
    </row>
    <row r="363" spans="1:93" ht="30.45" hidden="1" customHeight="1">
      <c r="A363" s="555" t="s">
        <v>4722</v>
      </c>
      <c r="B363" s="479">
        <v>361</v>
      </c>
      <c r="C363" s="480" t="s">
        <v>6370</v>
      </c>
      <c r="D363" s="480" t="s">
        <v>4711</v>
      </c>
      <c r="E363" s="480" t="str">
        <f t="shared" si="22"/>
        <v>4.1.2.</v>
      </c>
      <c r="F363" s="480" t="s">
        <v>4717</v>
      </c>
      <c r="G363" s="480" t="s">
        <v>4718</v>
      </c>
      <c r="H363" s="481">
        <v>19</v>
      </c>
      <c r="I363" s="480" t="s">
        <v>4726</v>
      </c>
      <c r="J363" s="495">
        <v>190503100</v>
      </c>
      <c r="K363" s="480" t="s">
        <v>4286</v>
      </c>
      <c r="L363" s="480" t="s">
        <v>6572</v>
      </c>
      <c r="M363" s="480" t="s">
        <v>5960</v>
      </c>
      <c r="N363" s="499">
        <v>123</v>
      </c>
      <c r="O363" s="480" t="s">
        <v>4721</v>
      </c>
      <c r="P363" s="515">
        <v>123</v>
      </c>
      <c r="Q363" s="485" t="s">
        <v>5349</v>
      </c>
      <c r="R363" s="485" t="s">
        <v>5536</v>
      </c>
      <c r="S363" s="485" t="s">
        <v>5537</v>
      </c>
      <c r="T363" s="485">
        <v>217.1</v>
      </c>
      <c r="U363" s="485" t="s">
        <v>5538</v>
      </c>
      <c r="V363" s="485">
        <v>209.1</v>
      </c>
      <c r="W363" s="485" t="s">
        <v>5357</v>
      </c>
      <c r="X363" s="485">
        <v>3</v>
      </c>
      <c r="Y363" s="485" t="s">
        <v>2553</v>
      </c>
      <c r="Z363" s="486">
        <v>0</v>
      </c>
      <c r="AA363" s="486">
        <v>0</v>
      </c>
      <c r="AB363" s="486">
        <v>0</v>
      </c>
      <c r="AC363" s="486">
        <v>85714200</v>
      </c>
      <c r="AD363" s="486">
        <v>0</v>
      </c>
      <c r="AE363" s="486">
        <v>0</v>
      </c>
      <c r="AF363" s="486">
        <v>0</v>
      </c>
      <c r="AG363" s="486">
        <v>0</v>
      </c>
      <c r="AH363" s="487">
        <v>85714200</v>
      </c>
      <c r="AI363" s="486">
        <v>0</v>
      </c>
      <c r="AJ363" s="486">
        <v>0</v>
      </c>
      <c r="AK363" s="486">
        <v>0</v>
      </c>
      <c r="AL363" s="488">
        <v>0</v>
      </c>
      <c r="AM363" s="489">
        <v>85714200</v>
      </c>
      <c r="AN363" s="486">
        <v>0</v>
      </c>
      <c r="AO363" s="486">
        <v>0</v>
      </c>
      <c r="AP363" s="486">
        <v>0</v>
      </c>
      <c r="AQ363" s="486">
        <v>89142768</v>
      </c>
      <c r="AR363" s="486">
        <v>0</v>
      </c>
      <c r="AS363" s="486">
        <v>0</v>
      </c>
      <c r="AT363" s="486">
        <v>0</v>
      </c>
      <c r="AU363" s="486">
        <v>0</v>
      </c>
      <c r="AV363" s="487">
        <v>89142768</v>
      </c>
      <c r="AW363" s="486">
        <v>0</v>
      </c>
      <c r="AX363" s="486">
        <v>0</v>
      </c>
      <c r="AY363" s="486">
        <v>0</v>
      </c>
      <c r="AZ363" s="488">
        <v>0</v>
      </c>
      <c r="BA363" s="490">
        <v>89142768</v>
      </c>
      <c r="BB363" s="486">
        <v>0</v>
      </c>
      <c r="BC363" s="486">
        <v>0</v>
      </c>
      <c r="BD363" s="486">
        <v>0</v>
      </c>
      <c r="BE363" s="486">
        <v>92708478.719999999</v>
      </c>
      <c r="BF363" s="486">
        <v>0</v>
      </c>
      <c r="BG363" s="486">
        <v>0</v>
      </c>
      <c r="BH363" s="486">
        <v>0</v>
      </c>
      <c r="BI363" s="486">
        <v>0</v>
      </c>
      <c r="BJ363" s="487">
        <v>92708478.719999999</v>
      </c>
      <c r="BK363" s="486">
        <v>0</v>
      </c>
      <c r="BL363" s="486">
        <v>0</v>
      </c>
      <c r="BM363" s="486">
        <v>0</v>
      </c>
      <c r="BN363" s="488">
        <v>0</v>
      </c>
      <c r="BO363" s="490">
        <v>92708478.719999999</v>
      </c>
      <c r="BP363" s="486">
        <v>0</v>
      </c>
      <c r="BQ363" s="486">
        <v>0</v>
      </c>
      <c r="BR363" s="486">
        <v>0</v>
      </c>
      <c r="BS363" s="486">
        <v>96416817.870000005</v>
      </c>
      <c r="BT363" s="486">
        <v>0</v>
      </c>
      <c r="BU363" s="486">
        <v>0</v>
      </c>
      <c r="BV363" s="486">
        <v>0</v>
      </c>
      <c r="BW363" s="486">
        <v>0</v>
      </c>
      <c r="BX363" s="487">
        <v>96416817.870000005</v>
      </c>
      <c r="BY363" s="486">
        <v>0</v>
      </c>
      <c r="BZ363" s="486">
        <v>0</v>
      </c>
      <c r="CA363" s="486">
        <v>0</v>
      </c>
      <c r="CB363" s="488">
        <v>0</v>
      </c>
      <c r="CC363" s="491">
        <v>96416817.870000005</v>
      </c>
      <c r="CD363" s="492">
        <v>363982264.59000003</v>
      </c>
      <c r="CE363" s="493">
        <f t="shared" si="25"/>
        <v>0</v>
      </c>
      <c r="CF363" s="493">
        <f t="shared" si="24"/>
        <v>0</v>
      </c>
      <c r="CG363" s="493">
        <f t="shared" si="24"/>
        <v>0</v>
      </c>
      <c r="CH363" s="493">
        <f t="shared" si="24"/>
        <v>363982264.59000003</v>
      </c>
      <c r="CI363" s="493">
        <f t="shared" si="24"/>
        <v>0</v>
      </c>
      <c r="CJ363" s="493">
        <f t="shared" si="24"/>
        <v>0</v>
      </c>
      <c r="CK363" s="493">
        <f t="shared" si="24"/>
        <v>0</v>
      </c>
      <c r="CL363" s="493">
        <f t="shared" si="24"/>
        <v>0</v>
      </c>
      <c r="CM363" s="493">
        <f t="shared" si="23"/>
        <v>0</v>
      </c>
      <c r="CN363" s="493">
        <f t="shared" si="23"/>
        <v>0</v>
      </c>
      <c r="CO363" s="493">
        <f t="shared" si="23"/>
        <v>0</v>
      </c>
    </row>
    <row r="364" spans="1:93" ht="30.45" hidden="1" customHeight="1">
      <c r="A364" s="555" t="s">
        <v>4722</v>
      </c>
      <c r="B364" s="479">
        <v>362</v>
      </c>
      <c r="C364" s="480" t="s">
        <v>6370</v>
      </c>
      <c r="D364" s="480" t="s">
        <v>4711</v>
      </c>
      <c r="E364" s="480" t="str">
        <f t="shared" si="22"/>
        <v>4.1.2.</v>
      </c>
      <c r="F364" s="480" t="s">
        <v>4717</v>
      </c>
      <c r="G364" s="480" t="s">
        <v>4718</v>
      </c>
      <c r="H364" s="481">
        <v>19</v>
      </c>
      <c r="I364" s="480" t="s">
        <v>4726</v>
      </c>
      <c r="J364" s="495">
        <v>190505000</v>
      </c>
      <c r="K364" s="480" t="s">
        <v>4073</v>
      </c>
      <c r="L364" s="480" t="s">
        <v>4104</v>
      </c>
      <c r="M364" s="480" t="s">
        <v>5961</v>
      </c>
      <c r="N364" s="499">
        <v>123</v>
      </c>
      <c r="O364" s="480" t="s">
        <v>4721</v>
      </c>
      <c r="P364" s="515">
        <v>123</v>
      </c>
      <c r="Q364" s="485" t="s">
        <v>5349</v>
      </c>
      <c r="R364" s="485" t="s">
        <v>5536</v>
      </c>
      <c r="S364" s="485" t="s">
        <v>5537</v>
      </c>
      <c r="T364" s="485">
        <v>217.1</v>
      </c>
      <c r="U364" s="485" t="s">
        <v>5538</v>
      </c>
      <c r="V364" s="485">
        <v>209.1</v>
      </c>
      <c r="W364" s="485" t="s">
        <v>5357</v>
      </c>
      <c r="X364" s="485">
        <v>3</v>
      </c>
      <c r="Y364" s="485" t="s">
        <v>2553</v>
      </c>
      <c r="Z364" s="486">
        <v>0</v>
      </c>
      <c r="AA364" s="486">
        <v>16000000</v>
      </c>
      <c r="AB364" s="486">
        <v>0</v>
      </c>
      <c r="AC364" s="486">
        <v>661523750</v>
      </c>
      <c r="AD364" s="486">
        <v>0</v>
      </c>
      <c r="AE364" s="486">
        <v>0</v>
      </c>
      <c r="AF364" s="486">
        <v>0</v>
      </c>
      <c r="AG364" s="486">
        <v>0</v>
      </c>
      <c r="AH364" s="487">
        <v>677523750</v>
      </c>
      <c r="AI364" s="486">
        <v>0</v>
      </c>
      <c r="AJ364" s="486">
        <v>0</v>
      </c>
      <c r="AK364" s="486">
        <v>0</v>
      </c>
      <c r="AL364" s="488">
        <v>0</v>
      </c>
      <c r="AM364" s="489">
        <v>677523750</v>
      </c>
      <c r="AN364" s="486">
        <v>0</v>
      </c>
      <c r="AO364" s="486">
        <v>16640000</v>
      </c>
      <c r="AP364" s="486">
        <v>0</v>
      </c>
      <c r="AQ364" s="486">
        <v>687984700</v>
      </c>
      <c r="AR364" s="486">
        <v>0</v>
      </c>
      <c r="AS364" s="486">
        <v>0</v>
      </c>
      <c r="AT364" s="486">
        <v>0</v>
      </c>
      <c r="AU364" s="486">
        <v>0</v>
      </c>
      <c r="AV364" s="487">
        <v>704624700</v>
      </c>
      <c r="AW364" s="486">
        <v>0</v>
      </c>
      <c r="AX364" s="486">
        <v>0</v>
      </c>
      <c r="AY364" s="486">
        <v>0</v>
      </c>
      <c r="AZ364" s="488">
        <v>0</v>
      </c>
      <c r="BA364" s="490">
        <v>704624700</v>
      </c>
      <c r="BB364" s="486">
        <v>0</v>
      </c>
      <c r="BC364" s="486">
        <v>17305600</v>
      </c>
      <c r="BD364" s="486">
        <v>0</v>
      </c>
      <c r="BE364" s="486">
        <v>715504088</v>
      </c>
      <c r="BF364" s="486">
        <v>0</v>
      </c>
      <c r="BG364" s="486">
        <v>0</v>
      </c>
      <c r="BH364" s="486">
        <v>0</v>
      </c>
      <c r="BI364" s="486">
        <v>0</v>
      </c>
      <c r="BJ364" s="487">
        <v>732809688</v>
      </c>
      <c r="BK364" s="486">
        <v>0</v>
      </c>
      <c r="BL364" s="486">
        <v>0</v>
      </c>
      <c r="BM364" s="486">
        <v>0</v>
      </c>
      <c r="BN364" s="488">
        <v>0</v>
      </c>
      <c r="BO364" s="490">
        <v>732809688</v>
      </c>
      <c r="BP364" s="486">
        <v>0</v>
      </c>
      <c r="BQ364" s="486">
        <v>17997824</v>
      </c>
      <c r="BR364" s="486">
        <v>0</v>
      </c>
      <c r="BS364" s="486">
        <v>744124251.51999998</v>
      </c>
      <c r="BT364" s="486">
        <v>0</v>
      </c>
      <c r="BU364" s="486">
        <v>0</v>
      </c>
      <c r="BV364" s="486">
        <v>0</v>
      </c>
      <c r="BW364" s="486">
        <v>0</v>
      </c>
      <c r="BX364" s="487">
        <v>762122075.51999998</v>
      </c>
      <c r="BY364" s="486">
        <v>0</v>
      </c>
      <c r="BZ364" s="486">
        <v>0</v>
      </c>
      <c r="CA364" s="486">
        <v>0</v>
      </c>
      <c r="CB364" s="488">
        <v>0</v>
      </c>
      <c r="CC364" s="491">
        <v>762122075.51999998</v>
      </c>
      <c r="CD364" s="492">
        <v>2877080213.52</v>
      </c>
      <c r="CE364" s="493">
        <f t="shared" si="25"/>
        <v>0</v>
      </c>
      <c r="CF364" s="493">
        <f t="shared" si="24"/>
        <v>67943424</v>
      </c>
      <c r="CG364" s="493">
        <f t="shared" si="24"/>
        <v>0</v>
      </c>
      <c r="CH364" s="493">
        <f t="shared" si="24"/>
        <v>2809136789.52</v>
      </c>
      <c r="CI364" s="493">
        <f t="shared" si="24"/>
        <v>0</v>
      </c>
      <c r="CJ364" s="493">
        <f t="shared" si="24"/>
        <v>0</v>
      </c>
      <c r="CK364" s="493">
        <f t="shared" si="24"/>
        <v>0</v>
      </c>
      <c r="CL364" s="493">
        <f t="shared" si="24"/>
        <v>0</v>
      </c>
      <c r="CM364" s="493">
        <f t="shared" si="23"/>
        <v>0</v>
      </c>
      <c r="CN364" s="493">
        <f t="shared" si="23"/>
        <v>0</v>
      </c>
      <c r="CO364" s="493">
        <f t="shared" si="23"/>
        <v>0</v>
      </c>
    </row>
    <row r="365" spans="1:93" ht="30.45" hidden="1" customHeight="1">
      <c r="A365" s="555" t="s">
        <v>4722</v>
      </c>
      <c r="B365" s="479">
        <v>363</v>
      </c>
      <c r="C365" s="480" t="s">
        <v>6370</v>
      </c>
      <c r="D365" s="480" t="s">
        <v>4711</v>
      </c>
      <c r="E365" s="480" t="str">
        <f t="shared" si="22"/>
        <v>4.1.3 </v>
      </c>
      <c r="F365" s="480" t="s">
        <v>4724</v>
      </c>
      <c r="G365" s="480" t="s">
        <v>4725</v>
      </c>
      <c r="H365" s="481">
        <v>19</v>
      </c>
      <c r="I365" s="480" t="s">
        <v>4726</v>
      </c>
      <c r="J365" s="495">
        <v>190502800</v>
      </c>
      <c r="K365" s="480" t="s">
        <v>4286</v>
      </c>
      <c r="L365" s="480" t="s">
        <v>4727</v>
      </c>
      <c r="M365" s="480" t="s">
        <v>5962</v>
      </c>
      <c r="N365" s="499">
        <v>123</v>
      </c>
      <c r="O365" s="480" t="s">
        <v>6573</v>
      </c>
      <c r="P365" s="515">
        <v>123</v>
      </c>
      <c r="Q365" s="485" t="s">
        <v>5349</v>
      </c>
      <c r="R365" s="485" t="s">
        <v>5539</v>
      </c>
      <c r="S365" s="485" t="s">
        <v>5540</v>
      </c>
      <c r="T365" s="485">
        <v>1.0900000000000001</v>
      </c>
      <c r="U365" s="485" t="s">
        <v>5541</v>
      </c>
      <c r="V365" s="485">
        <v>1.0900000000000001</v>
      </c>
      <c r="W365" s="485" t="s">
        <v>5357</v>
      </c>
      <c r="X365" s="485">
        <v>3</v>
      </c>
      <c r="Y365" s="485" t="s">
        <v>2534</v>
      </c>
      <c r="Z365" s="486">
        <v>0</v>
      </c>
      <c r="AA365" s="486">
        <v>0</v>
      </c>
      <c r="AB365" s="486">
        <v>0</v>
      </c>
      <c r="AC365" s="486">
        <v>1306180282</v>
      </c>
      <c r="AD365" s="486">
        <v>0</v>
      </c>
      <c r="AE365" s="486">
        <v>0</v>
      </c>
      <c r="AF365" s="486">
        <v>0</v>
      </c>
      <c r="AG365" s="486">
        <v>0</v>
      </c>
      <c r="AH365" s="487">
        <v>1306180282</v>
      </c>
      <c r="AI365" s="486">
        <v>0</v>
      </c>
      <c r="AJ365" s="486">
        <v>0</v>
      </c>
      <c r="AK365" s="486">
        <v>0</v>
      </c>
      <c r="AL365" s="488">
        <v>0</v>
      </c>
      <c r="AM365" s="489">
        <v>1306180282</v>
      </c>
      <c r="AN365" s="486">
        <v>0</v>
      </c>
      <c r="AO365" s="486">
        <v>0</v>
      </c>
      <c r="AP365" s="486">
        <v>0</v>
      </c>
      <c r="AQ365" s="486">
        <v>1358427493.28</v>
      </c>
      <c r="AR365" s="486">
        <v>0</v>
      </c>
      <c r="AS365" s="486">
        <v>0</v>
      </c>
      <c r="AT365" s="486">
        <v>0</v>
      </c>
      <c r="AU365" s="486">
        <v>0</v>
      </c>
      <c r="AV365" s="487">
        <v>1358427493.28</v>
      </c>
      <c r="AW365" s="486">
        <v>0</v>
      </c>
      <c r="AX365" s="486">
        <v>0</v>
      </c>
      <c r="AY365" s="486">
        <v>0</v>
      </c>
      <c r="AZ365" s="488">
        <v>0</v>
      </c>
      <c r="BA365" s="490">
        <v>1358427493.28</v>
      </c>
      <c r="BB365" s="486">
        <v>0</v>
      </c>
      <c r="BC365" s="486">
        <v>0</v>
      </c>
      <c r="BD365" s="486">
        <v>0</v>
      </c>
      <c r="BE365" s="486">
        <v>1412764593.01</v>
      </c>
      <c r="BF365" s="486">
        <v>0</v>
      </c>
      <c r="BG365" s="486">
        <v>0</v>
      </c>
      <c r="BH365" s="486">
        <v>0</v>
      </c>
      <c r="BI365" s="486">
        <v>0</v>
      </c>
      <c r="BJ365" s="487">
        <v>1412764593.01</v>
      </c>
      <c r="BK365" s="486">
        <v>0</v>
      </c>
      <c r="BL365" s="486">
        <v>0</v>
      </c>
      <c r="BM365" s="486">
        <v>0</v>
      </c>
      <c r="BN365" s="488">
        <v>0</v>
      </c>
      <c r="BO365" s="490">
        <v>1412764593.01</v>
      </c>
      <c r="BP365" s="486">
        <v>0</v>
      </c>
      <c r="BQ365" s="486">
        <v>0</v>
      </c>
      <c r="BR365" s="486">
        <v>0</v>
      </c>
      <c r="BS365" s="486">
        <v>1469275176.73</v>
      </c>
      <c r="BT365" s="486">
        <v>0</v>
      </c>
      <c r="BU365" s="486">
        <v>0</v>
      </c>
      <c r="BV365" s="486">
        <v>0</v>
      </c>
      <c r="BW365" s="486">
        <v>0</v>
      </c>
      <c r="BX365" s="487">
        <v>1469275176.73</v>
      </c>
      <c r="BY365" s="486">
        <v>0</v>
      </c>
      <c r="BZ365" s="486">
        <v>0</v>
      </c>
      <c r="CA365" s="486">
        <v>0</v>
      </c>
      <c r="CB365" s="488">
        <v>0</v>
      </c>
      <c r="CC365" s="491">
        <v>1469275176.73</v>
      </c>
      <c r="CD365" s="492">
        <v>5546647545.0199995</v>
      </c>
      <c r="CE365" s="493">
        <f t="shared" si="25"/>
        <v>0</v>
      </c>
      <c r="CF365" s="493">
        <f t="shared" si="24"/>
        <v>0</v>
      </c>
      <c r="CG365" s="493">
        <f t="shared" si="24"/>
        <v>0</v>
      </c>
      <c r="CH365" s="493">
        <f t="shared" si="24"/>
        <v>5546647545.0200005</v>
      </c>
      <c r="CI365" s="493">
        <f t="shared" si="24"/>
        <v>0</v>
      </c>
      <c r="CJ365" s="493">
        <f t="shared" si="24"/>
        <v>0</v>
      </c>
      <c r="CK365" s="493">
        <f t="shared" si="24"/>
        <v>0</v>
      </c>
      <c r="CL365" s="493">
        <f t="shared" si="24"/>
        <v>0</v>
      </c>
      <c r="CM365" s="493">
        <f t="shared" si="23"/>
        <v>0</v>
      </c>
      <c r="CN365" s="493">
        <f t="shared" si="23"/>
        <v>0</v>
      </c>
      <c r="CO365" s="493">
        <f t="shared" si="23"/>
        <v>0</v>
      </c>
    </row>
    <row r="366" spans="1:93" ht="30.45" hidden="1" customHeight="1">
      <c r="A366" s="555" t="s">
        <v>4722</v>
      </c>
      <c r="B366" s="479">
        <v>364</v>
      </c>
      <c r="C366" s="480" t="s">
        <v>6370</v>
      </c>
      <c r="D366" s="480" t="s">
        <v>4711</v>
      </c>
      <c r="E366" s="480" t="str">
        <f t="shared" si="22"/>
        <v>4.1.3 </v>
      </c>
      <c r="F366" s="480" t="s">
        <v>4724</v>
      </c>
      <c r="G366" s="480" t="s">
        <v>4725</v>
      </c>
      <c r="H366" s="481">
        <v>19</v>
      </c>
      <c r="I366" s="480" t="s">
        <v>4726</v>
      </c>
      <c r="J366" s="495">
        <v>190505000</v>
      </c>
      <c r="K366" s="480" t="s">
        <v>4073</v>
      </c>
      <c r="L366" s="480" t="s">
        <v>4104</v>
      </c>
      <c r="M366" s="480" t="s">
        <v>5963</v>
      </c>
      <c r="N366" s="499">
        <v>123</v>
      </c>
      <c r="O366" s="480" t="s">
        <v>4721</v>
      </c>
      <c r="P366" s="515">
        <v>123</v>
      </c>
      <c r="Q366" s="485" t="s">
        <v>5349</v>
      </c>
      <c r="R366" s="485" t="s">
        <v>5539</v>
      </c>
      <c r="S366" s="485" t="s">
        <v>5540</v>
      </c>
      <c r="T366" s="485">
        <v>1.0900000000000001</v>
      </c>
      <c r="U366" s="485" t="s">
        <v>5541</v>
      </c>
      <c r="V366" s="485">
        <v>1.0900000000000001</v>
      </c>
      <c r="W366" s="485" t="s">
        <v>5357</v>
      </c>
      <c r="X366" s="485">
        <v>3</v>
      </c>
      <c r="Y366" s="485" t="s">
        <v>2534</v>
      </c>
      <c r="Z366" s="486">
        <v>0</v>
      </c>
      <c r="AA366" s="486">
        <v>297342000</v>
      </c>
      <c r="AB366" s="486">
        <v>0</v>
      </c>
      <c r="AC366" s="486">
        <v>129696000</v>
      </c>
      <c r="AD366" s="486">
        <v>0</v>
      </c>
      <c r="AE366" s="486">
        <v>0</v>
      </c>
      <c r="AF366" s="486">
        <v>0</v>
      </c>
      <c r="AG366" s="486">
        <v>0</v>
      </c>
      <c r="AH366" s="487">
        <v>427038000</v>
      </c>
      <c r="AI366" s="486">
        <v>0</v>
      </c>
      <c r="AJ366" s="486">
        <v>0</v>
      </c>
      <c r="AK366" s="486">
        <v>0</v>
      </c>
      <c r="AL366" s="488">
        <v>0</v>
      </c>
      <c r="AM366" s="489">
        <v>427038000</v>
      </c>
      <c r="AN366" s="486">
        <v>0</v>
      </c>
      <c r="AO366" s="486">
        <v>309235680</v>
      </c>
      <c r="AP366" s="486">
        <v>0</v>
      </c>
      <c r="AQ366" s="486">
        <v>134883840</v>
      </c>
      <c r="AR366" s="486">
        <v>0</v>
      </c>
      <c r="AS366" s="486">
        <v>0</v>
      </c>
      <c r="AT366" s="486">
        <v>0</v>
      </c>
      <c r="AU366" s="486">
        <v>0</v>
      </c>
      <c r="AV366" s="487">
        <v>444119520</v>
      </c>
      <c r="AW366" s="486">
        <v>0</v>
      </c>
      <c r="AX366" s="486">
        <v>0</v>
      </c>
      <c r="AY366" s="486">
        <v>0</v>
      </c>
      <c r="AZ366" s="488">
        <v>0</v>
      </c>
      <c r="BA366" s="490">
        <v>444119520</v>
      </c>
      <c r="BB366" s="486">
        <v>0</v>
      </c>
      <c r="BC366" s="486">
        <v>321605107.19999999</v>
      </c>
      <c r="BD366" s="486">
        <v>0</v>
      </c>
      <c r="BE366" s="486">
        <v>140279193.59999999</v>
      </c>
      <c r="BF366" s="486">
        <v>0</v>
      </c>
      <c r="BG366" s="486">
        <v>0</v>
      </c>
      <c r="BH366" s="486">
        <v>0</v>
      </c>
      <c r="BI366" s="486">
        <v>0</v>
      </c>
      <c r="BJ366" s="487">
        <v>461884300.79999995</v>
      </c>
      <c r="BK366" s="486">
        <v>0</v>
      </c>
      <c r="BL366" s="486">
        <v>0</v>
      </c>
      <c r="BM366" s="486">
        <v>0</v>
      </c>
      <c r="BN366" s="488">
        <v>0</v>
      </c>
      <c r="BO366" s="490">
        <v>461884300.79999995</v>
      </c>
      <c r="BP366" s="486">
        <v>0</v>
      </c>
      <c r="BQ366" s="486">
        <v>334469311.49000001</v>
      </c>
      <c r="BR366" s="486">
        <v>0</v>
      </c>
      <c r="BS366" s="486">
        <v>145890361.34</v>
      </c>
      <c r="BT366" s="486">
        <v>0</v>
      </c>
      <c r="BU366" s="486">
        <v>0</v>
      </c>
      <c r="BV366" s="486">
        <v>0</v>
      </c>
      <c r="BW366" s="486">
        <v>0</v>
      </c>
      <c r="BX366" s="487">
        <v>480359672.83000004</v>
      </c>
      <c r="BY366" s="486">
        <v>0</v>
      </c>
      <c r="BZ366" s="486">
        <v>0</v>
      </c>
      <c r="CA366" s="486">
        <v>0</v>
      </c>
      <c r="CB366" s="488">
        <v>0</v>
      </c>
      <c r="CC366" s="491">
        <v>480359672.83000004</v>
      </c>
      <c r="CD366" s="492">
        <v>1813401493.6300001</v>
      </c>
      <c r="CE366" s="493">
        <f t="shared" si="25"/>
        <v>0</v>
      </c>
      <c r="CF366" s="493">
        <f t="shared" si="24"/>
        <v>1262652098.6900001</v>
      </c>
      <c r="CG366" s="493">
        <f t="shared" si="24"/>
        <v>0</v>
      </c>
      <c r="CH366" s="493">
        <f t="shared" si="24"/>
        <v>550749394.94000006</v>
      </c>
      <c r="CI366" s="493">
        <f t="shared" ref="CI366:CL429" si="26">AD366+AR366+BF366+BT366</f>
        <v>0</v>
      </c>
      <c r="CJ366" s="493">
        <f t="shared" si="26"/>
        <v>0</v>
      </c>
      <c r="CK366" s="493">
        <f t="shared" si="26"/>
        <v>0</v>
      </c>
      <c r="CL366" s="493">
        <f t="shared" si="26"/>
        <v>0</v>
      </c>
      <c r="CM366" s="493">
        <f t="shared" si="23"/>
        <v>0</v>
      </c>
      <c r="CN366" s="493">
        <f t="shared" si="23"/>
        <v>0</v>
      </c>
      <c r="CO366" s="493">
        <f t="shared" si="23"/>
        <v>0</v>
      </c>
    </row>
    <row r="367" spans="1:93" ht="30.45" hidden="1" customHeight="1">
      <c r="A367" s="555" t="s">
        <v>4722</v>
      </c>
      <c r="B367" s="479">
        <v>365</v>
      </c>
      <c r="C367" s="480" t="s">
        <v>6370</v>
      </c>
      <c r="D367" s="480" t="s">
        <v>4711</v>
      </c>
      <c r="E367" s="480" t="str">
        <f t="shared" si="22"/>
        <v xml:space="preserve">4.1.4 </v>
      </c>
      <c r="F367" s="480" t="s">
        <v>4728</v>
      </c>
      <c r="G367" s="480" t="s">
        <v>4729</v>
      </c>
      <c r="H367" s="481">
        <v>19</v>
      </c>
      <c r="I367" s="480" t="s">
        <v>4726</v>
      </c>
      <c r="J367" s="495">
        <v>190502100</v>
      </c>
      <c r="K367" s="480" t="s">
        <v>4286</v>
      </c>
      <c r="L367" s="480" t="s">
        <v>4730</v>
      </c>
      <c r="M367" s="480" t="s">
        <v>5964</v>
      </c>
      <c r="N367" s="499">
        <v>123</v>
      </c>
      <c r="O367" s="480" t="s">
        <v>4731</v>
      </c>
      <c r="P367" s="515">
        <v>123</v>
      </c>
      <c r="Q367" s="485" t="s">
        <v>5349</v>
      </c>
      <c r="R367" s="485" t="s">
        <v>5542</v>
      </c>
      <c r="S367" s="485" t="s">
        <v>5543</v>
      </c>
      <c r="T367" s="485">
        <v>7.89</v>
      </c>
      <c r="U367" s="485" t="s">
        <v>5544</v>
      </c>
      <c r="V367" s="485">
        <v>6</v>
      </c>
      <c r="W367" s="485" t="s">
        <v>5357</v>
      </c>
      <c r="X367" s="485">
        <v>3</v>
      </c>
      <c r="Y367" s="485" t="s">
        <v>5545</v>
      </c>
      <c r="Z367" s="486">
        <v>0</v>
      </c>
      <c r="AA367" s="486">
        <v>302000000</v>
      </c>
      <c r="AB367" s="486">
        <v>0</v>
      </c>
      <c r="AC367" s="486">
        <v>0</v>
      </c>
      <c r="AD367" s="486">
        <v>0</v>
      </c>
      <c r="AE367" s="486">
        <v>0</v>
      </c>
      <c r="AF367" s="486">
        <v>0</v>
      </c>
      <c r="AG367" s="486">
        <v>0</v>
      </c>
      <c r="AH367" s="487">
        <v>302000000</v>
      </c>
      <c r="AI367" s="486">
        <v>0</v>
      </c>
      <c r="AJ367" s="486">
        <v>0</v>
      </c>
      <c r="AK367" s="486">
        <v>0</v>
      </c>
      <c r="AL367" s="488">
        <v>0</v>
      </c>
      <c r="AM367" s="489">
        <v>302000000</v>
      </c>
      <c r="AN367" s="486">
        <v>0</v>
      </c>
      <c r="AO367" s="486">
        <v>314080000</v>
      </c>
      <c r="AP367" s="486">
        <v>0</v>
      </c>
      <c r="AQ367" s="486">
        <v>0</v>
      </c>
      <c r="AR367" s="486">
        <v>0</v>
      </c>
      <c r="AS367" s="486">
        <v>0</v>
      </c>
      <c r="AT367" s="486">
        <v>0</v>
      </c>
      <c r="AU367" s="486">
        <v>0</v>
      </c>
      <c r="AV367" s="487">
        <v>314080000</v>
      </c>
      <c r="AW367" s="486">
        <v>0</v>
      </c>
      <c r="AX367" s="486">
        <v>0</v>
      </c>
      <c r="AY367" s="486">
        <v>0</v>
      </c>
      <c r="AZ367" s="488">
        <v>0</v>
      </c>
      <c r="BA367" s="490">
        <v>314080000</v>
      </c>
      <c r="BB367" s="486">
        <v>0</v>
      </c>
      <c r="BC367" s="486">
        <v>326643200</v>
      </c>
      <c r="BD367" s="486">
        <v>0</v>
      </c>
      <c r="BE367" s="486">
        <v>0</v>
      </c>
      <c r="BF367" s="486">
        <v>0</v>
      </c>
      <c r="BG367" s="486">
        <v>0</v>
      </c>
      <c r="BH367" s="486">
        <v>0</v>
      </c>
      <c r="BI367" s="486">
        <v>0</v>
      </c>
      <c r="BJ367" s="487">
        <v>326643200</v>
      </c>
      <c r="BK367" s="486">
        <v>0</v>
      </c>
      <c r="BL367" s="486">
        <v>0</v>
      </c>
      <c r="BM367" s="486">
        <v>0</v>
      </c>
      <c r="BN367" s="488">
        <v>0</v>
      </c>
      <c r="BO367" s="490">
        <v>326643200</v>
      </c>
      <c r="BP367" s="486">
        <v>0</v>
      </c>
      <c r="BQ367" s="486">
        <v>339708928</v>
      </c>
      <c r="BR367" s="486">
        <v>0</v>
      </c>
      <c r="BS367" s="486">
        <v>0</v>
      </c>
      <c r="BT367" s="486">
        <v>0</v>
      </c>
      <c r="BU367" s="486">
        <v>0</v>
      </c>
      <c r="BV367" s="486">
        <v>0</v>
      </c>
      <c r="BW367" s="486">
        <v>0</v>
      </c>
      <c r="BX367" s="487">
        <v>339708928</v>
      </c>
      <c r="BY367" s="486">
        <v>0</v>
      </c>
      <c r="BZ367" s="486">
        <v>0</v>
      </c>
      <c r="CA367" s="486">
        <v>0</v>
      </c>
      <c r="CB367" s="488">
        <v>0</v>
      </c>
      <c r="CC367" s="491">
        <v>339708928</v>
      </c>
      <c r="CD367" s="492">
        <v>1282432128</v>
      </c>
      <c r="CE367" s="493">
        <f t="shared" si="25"/>
        <v>0</v>
      </c>
      <c r="CF367" s="493">
        <f t="shared" si="25"/>
        <v>1282432128</v>
      </c>
      <c r="CG367" s="493">
        <f t="shared" si="25"/>
        <v>0</v>
      </c>
      <c r="CH367" s="493">
        <f t="shared" si="25"/>
        <v>0</v>
      </c>
      <c r="CI367" s="493">
        <f t="shared" si="26"/>
        <v>0</v>
      </c>
      <c r="CJ367" s="493">
        <f t="shared" si="26"/>
        <v>0</v>
      </c>
      <c r="CK367" s="493">
        <f t="shared" si="26"/>
        <v>0</v>
      </c>
      <c r="CL367" s="493">
        <f t="shared" si="26"/>
        <v>0</v>
      </c>
      <c r="CM367" s="493">
        <f t="shared" si="23"/>
        <v>0</v>
      </c>
      <c r="CN367" s="493">
        <f t="shared" si="23"/>
        <v>0</v>
      </c>
      <c r="CO367" s="493">
        <f t="shared" si="23"/>
        <v>0</v>
      </c>
    </row>
    <row r="368" spans="1:93" ht="30.45" hidden="1" customHeight="1">
      <c r="A368" s="555" t="s">
        <v>4722</v>
      </c>
      <c r="B368" s="479">
        <v>366</v>
      </c>
      <c r="C368" s="480" t="s">
        <v>6370</v>
      </c>
      <c r="D368" s="480" t="s">
        <v>4711</v>
      </c>
      <c r="E368" s="480" t="str">
        <f t="shared" si="22"/>
        <v xml:space="preserve">4.1.4 </v>
      </c>
      <c r="F368" s="480" t="s">
        <v>4728</v>
      </c>
      <c r="G368" s="480" t="s">
        <v>4729</v>
      </c>
      <c r="H368" s="481">
        <v>19</v>
      </c>
      <c r="I368" s="480" t="s">
        <v>4726</v>
      </c>
      <c r="J368" s="495">
        <v>190505400</v>
      </c>
      <c r="K368" s="480" t="s">
        <v>4347</v>
      </c>
      <c r="L368" s="480" t="s">
        <v>4732</v>
      </c>
      <c r="M368" s="480" t="s">
        <v>5965</v>
      </c>
      <c r="N368" s="499">
        <v>123</v>
      </c>
      <c r="O368" s="480" t="s">
        <v>4731</v>
      </c>
      <c r="P368" s="515">
        <v>123</v>
      </c>
      <c r="Q368" s="485" t="s">
        <v>5349</v>
      </c>
      <c r="R368" s="485" t="s">
        <v>5542</v>
      </c>
      <c r="S368" s="485" t="s">
        <v>5543</v>
      </c>
      <c r="T368" s="485">
        <v>7.89</v>
      </c>
      <c r="U368" s="485" t="s">
        <v>5544</v>
      </c>
      <c r="V368" s="485">
        <v>6</v>
      </c>
      <c r="W368" s="485" t="s">
        <v>5357</v>
      </c>
      <c r="X368" s="485">
        <v>3</v>
      </c>
      <c r="Y368" s="485" t="s">
        <v>5545</v>
      </c>
      <c r="Z368" s="486">
        <v>0</v>
      </c>
      <c r="AA368" s="486">
        <v>0</v>
      </c>
      <c r="AB368" s="486">
        <v>0</v>
      </c>
      <c r="AC368" s="486">
        <v>305472800</v>
      </c>
      <c r="AD368" s="486">
        <v>0</v>
      </c>
      <c r="AE368" s="486">
        <v>0</v>
      </c>
      <c r="AF368" s="486">
        <v>0</v>
      </c>
      <c r="AG368" s="486">
        <v>0</v>
      </c>
      <c r="AH368" s="487">
        <v>305472800</v>
      </c>
      <c r="AI368" s="486">
        <v>0</v>
      </c>
      <c r="AJ368" s="486">
        <v>0</v>
      </c>
      <c r="AK368" s="486">
        <v>0</v>
      </c>
      <c r="AL368" s="488">
        <v>0</v>
      </c>
      <c r="AM368" s="489">
        <v>305472800</v>
      </c>
      <c r="AN368" s="486">
        <v>0</v>
      </c>
      <c r="AO368" s="486">
        <v>0</v>
      </c>
      <c r="AP368" s="486">
        <v>0</v>
      </c>
      <c r="AQ368" s="486">
        <v>317691712</v>
      </c>
      <c r="AR368" s="486">
        <v>0</v>
      </c>
      <c r="AS368" s="486">
        <v>0</v>
      </c>
      <c r="AT368" s="486">
        <v>0</v>
      </c>
      <c r="AU368" s="486">
        <v>0</v>
      </c>
      <c r="AV368" s="487">
        <v>317691712</v>
      </c>
      <c r="AW368" s="486">
        <v>0</v>
      </c>
      <c r="AX368" s="486">
        <v>0</v>
      </c>
      <c r="AY368" s="486">
        <v>0</v>
      </c>
      <c r="AZ368" s="488">
        <v>0</v>
      </c>
      <c r="BA368" s="490">
        <v>317691712</v>
      </c>
      <c r="BB368" s="486">
        <v>0</v>
      </c>
      <c r="BC368" s="486">
        <v>0</v>
      </c>
      <c r="BD368" s="486">
        <v>0</v>
      </c>
      <c r="BE368" s="486">
        <v>330399380.48000002</v>
      </c>
      <c r="BF368" s="486">
        <v>0</v>
      </c>
      <c r="BG368" s="486">
        <v>0</v>
      </c>
      <c r="BH368" s="486">
        <v>0</v>
      </c>
      <c r="BI368" s="486">
        <v>0</v>
      </c>
      <c r="BJ368" s="487">
        <v>330399380.48000002</v>
      </c>
      <c r="BK368" s="486">
        <v>0</v>
      </c>
      <c r="BL368" s="486">
        <v>0</v>
      </c>
      <c r="BM368" s="486">
        <v>0</v>
      </c>
      <c r="BN368" s="488">
        <v>0</v>
      </c>
      <c r="BO368" s="490">
        <v>330399380.48000002</v>
      </c>
      <c r="BP368" s="486">
        <v>0</v>
      </c>
      <c r="BQ368" s="486">
        <v>0</v>
      </c>
      <c r="BR368" s="486">
        <v>0</v>
      </c>
      <c r="BS368" s="486">
        <v>343615355.69999999</v>
      </c>
      <c r="BT368" s="486">
        <v>0</v>
      </c>
      <c r="BU368" s="486">
        <v>0</v>
      </c>
      <c r="BV368" s="486">
        <v>0</v>
      </c>
      <c r="BW368" s="486">
        <v>0</v>
      </c>
      <c r="BX368" s="487">
        <v>343615355.69999999</v>
      </c>
      <c r="BY368" s="486">
        <v>0</v>
      </c>
      <c r="BZ368" s="486">
        <v>0</v>
      </c>
      <c r="CA368" s="486">
        <v>0</v>
      </c>
      <c r="CB368" s="488">
        <v>0</v>
      </c>
      <c r="CC368" s="491">
        <v>343615355.69999999</v>
      </c>
      <c r="CD368" s="492">
        <v>1297179248.1800001</v>
      </c>
      <c r="CE368" s="493">
        <f t="shared" si="25"/>
        <v>0</v>
      </c>
      <c r="CF368" s="493">
        <f t="shared" si="25"/>
        <v>0</v>
      </c>
      <c r="CG368" s="493">
        <f t="shared" si="25"/>
        <v>0</v>
      </c>
      <c r="CH368" s="493">
        <f t="shared" si="25"/>
        <v>1297179248.1800001</v>
      </c>
      <c r="CI368" s="493">
        <f t="shared" si="26"/>
        <v>0</v>
      </c>
      <c r="CJ368" s="493">
        <f t="shared" si="26"/>
        <v>0</v>
      </c>
      <c r="CK368" s="493">
        <f t="shared" si="26"/>
        <v>0</v>
      </c>
      <c r="CL368" s="493">
        <f t="shared" si="26"/>
        <v>0</v>
      </c>
      <c r="CM368" s="493">
        <f t="shared" si="23"/>
        <v>0</v>
      </c>
      <c r="CN368" s="493">
        <f t="shared" si="23"/>
        <v>0</v>
      </c>
      <c r="CO368" s="493">
        <f t="shared" si="23"/>
        <v>0</v>
      </c>
    </row>
    <row r="369" spans="1:93" ht="30.45" hidden="1" customHeight="1">
      <c r="A369" s="555" t="s">
        <v>4722</v>
      </c>
      <c r="B369" s="479">
        <v>367</v>
      </c>
      <c r="C369" s="480" t="s">
        <v>6370</v>
      </c>
      <c r="D369" s="480" t="s">
        <v>4711</v>
      </c>
      <c r="E369" s="480" t="str">
        <f t="shared" si="22"/>
        <v xml:space="preserve">4.1.4 </v>
      </c>
      <c r="F369" s="480" t="s">
        <v>4728</v>
      </c>
      <c r="G369" s="480" t="s">
        <v>4729</v>
      </c>
      <c r="H369" s="481">
        <v>19</v>
      </c>
      <c r="I369" s="480" t="s">
        <v>4733</v>
      </c>
      <c r="J369" s="495">
        <v>190300700</v>
      </c>
      <c r="K369" s="480" t="s">
        <v>1874</v>
      </c>
      <c r="L369" s="480" t="s">
        <v>6574</v>
      </c>
      <c r="M369" s="480" t="s">
        <v>5966</v>
      </c>
      <c r="N369" s="533">
        <v>68324</v>
      </c>
      <c r="O369" s="480" t="s">
        <v>6575</v>
      </c>
      <c r="P369" s="534">
        <v>70000</v>
      </c>
      <c r="Q369" s="485" t="s">
        <v>5349</v>
      </c>
      <c r="R369" s="485" t="s">
        <v>5542</v>
      </c>
      <c r="S369" s="485" t="s">
        <v>5543</v>
      </c>
      <c r="T369" s="485">
        <v>7.89</v>
      </c>
      <c r="U369" s="485" t="s">
        <v>5544</v>
      </c>
      <c r="V369" s="485">
        <v>6</v>
      </c>
      <c r="W369" s="485" t="s">
        <v>5357</v>
      </c>
      <c r="X369" s="485">
        <v>3</v>
      </c>
      <c r="Y369" s="485" t="s">
        <v>5545</v>
      </c>
      <c r="Z369" s="486">
        <v>0</v>
      </c>
      <c r="AA369" s="486">
        <v>1995333858</v>
      </c>
      <c r="AB369" s="486">
        <v>0</v>
      </c>
      <c r="AC369" s="486">
        <v>1081374800</v>
      </c>
      <c r="AD369" s="486">
        <v>0</v>
      </c>
      <c r="AE369" s="486">
        <v>0</v>
      </c>
      <c r="AF369" s="486">
        <v>0</v>
      </c>
      <c r="AG369" s="486">
        <v>0</v>
      </c>
      <c r="AH369" s="487">
        <v>3076708658</v>
      </c>
      <c r="AI369" s="486">
        <v>0</v>
      </c>
      <c r="AJ369" s="486">
        <v>0</v>
      </c>
      <c r="AK369" s="486">
        <v>0</v>
      </c>
      <c r="AL369" s="488">
        <v>0</v>
      </c>
      <c r="AM369" s="489">
        <v>3076708658</v>
      </c>
      <c r="AN369" s="486">
        <v>0</v>
      </c>
      <c r="AO369" s="486">
        <v>2075147212.3199999</v>
      </c>
      <c r="AP369" s="486">
        <v>0</v>
      </c>
      <c r="AQ369" s="486">
        <v>1124629792</v>
      </c>
      <c r="AR369" s="486">
        <v>0</v>
      </c>
      <c r="AS369" s="486">
        <v>0</v>
      </c>
      <c r="AT369" s="486">
        <v>0</v>
      </c>
      <c r="AU369" s="486">
        <v>0</v>
      </c>
      <c r="AV369" s="487">
        <v>3199777004.3199997</v>
      </c>
      <c r="AW369" s="486">
        <v>0</v>
      </c>
      <c r="AX369" s="486">
        <v>0</v>
      </c>
      <c r="AY369" s="486">
        <v>0</v>
      </c>
      <c r="AZ369" s="488">
        <v>0</v>
      </c>
      <c r="BA369" s="490">
        <v>3199777004.3199997</v>
      </c>
      <c r="BB369" s="486">
        <v>0</v>
      </c>
      <c r="BC369" s="486">
        <v>2158153100.8099999</v>
      </c>
      <c r="BD369" s="486">
        <v>0</v>
      </c>
      <c r="BE369" s="486">
        <v>1169614983.6800001</v>
      </c>
      <c r="BF369" s="486">
        <v>0</v>
      </c>
      <c r="BG369" s="486">
        <v>0</v>
      </c>
      <c r="BH369" s="486">
        <v>0</v>
      </c>
      <c r="BI369" s="486">
        <v>0</v>
      </c>
      <c r="BJ369" s="487">
        <v>3327768084.4899998</v>
      </c>
      <c r="BK369" s="486">
        <v>0</v>
      </c>
      <c r="BL369" s="486">
        <v>0</v>
      </c>
      <c r="BM369" s="486">
        <v>0</v>
      </c>
      <c r="BN369" s="488">
        <v>0</v>
      </c>
      <c r="BO369" s="490">
        <v>3327768084.4899998</v>
      </c>
      <c r="BP369" s="486">
        <v>0</v>
      </c>
      <c r="BQ369" s="486">
        <v>2244479224.8400002</v>
      </c>
      <c r="BR369" s="486">
        <v>0</v>
      </c>
      <c r="BS369" s="486">
        <v>1216399583.03</v>
      </c>
      <c r="BT369" s="486">
        <v>0</v>
      </c>
      <c r="BU369" s="486">
        <v>0</v>
      </c>
      <c r="BV369" s="486">
        <v>0</v>
      </c>
      <c r="BW369" s="486">
        <v>0</v>
      </c>
      <c r="BX369" s="487">
        <v>3460878807.8699999</v>
      </c>
      <c r="BY369" s="486">
        <v>0</v>
      </c>
      <c r="BZ369" s="486">
        <v>0</v>
      </c>
      <c r="CA369" s="486">
        <v>0</v>
      </c>
      <c r="CB369" s="488">
        <v>0</v>
      </c>
      <c r="CC369" s="491">
        <v>3460878807.8699999</v>
      </c>
      <c r="CD369" s="492">
        <v>13065132554.68</v>
      </c>
      <c r="CE369" s="493">
        <f t="shared" si="25"/>
        <v>0</v>
      </c>
      <c r="CF369" s="493">
        <f t="shared" si="25"/>
        <v>8473113395.9699993</v>
      </c>
      <c r="CG369" s="493">
        <f t="shared" si="25"/>
        <v>0</v>
      </c>
      <c r="CH369" s="493">
        <f t="shared" si="25"/>
        <v>4592019158.71</v>
      </c>
      <c r="CI369" s="493">
        <f t="shared" si="26"/>
        <v>0</v>
      </c>
      <c r="CJ369" s="493">
        <f t="shared" si="26"/>
        <v>0</v>
      </c>
      <c r="CK369" s="493">
        <f t="shared" si="26"/>
        <v>0</v>
      </c>
      <c r="CL369" s="493">
        <f t="shared" si="26"/>
        <v>0</v>
      </c>
      <c r="CM369" s="493">
        <f t="shared" si="23"/>
        <v>0</v>
      </c>
      <c r="CN369" s="493">
        <f t="shared" si="23"/>
        <v>0</v>
      </c>
      <c r="CO369" s="493">
        <f t="shared" si="23"/>
        <v>0</v>
      </c>
    </row>
    <row r="370" spans="1:93" ht="30.45" hidden="1" customHeight="1">
      <c r="A370" s="555" t="s">
        <v>4722</v>
      </c>
      <c r="B370" s="479">
        <v>368</v>
      </c>
      <c r="C370" s="480" t="s">
        <v>6370</v>
      </c>
      <c r="D370" s="480" t="s">
        <v>4711</v>
      </c>
      <c r="E370" s="480" t="str">
        <f t="shared" si="22"/>
        <v xml:space="preserve">4.1.4 </v>
      </c>
      <c r="F370" s="480" t="s">
        <v>4728</v>
      </c>
      <c r="G370" s="480" t="s">
        <v>4729</v>
      </c>
      <c r="H370" s="481">
        <v>19</v>
      </c>
      <c r="I370" s="480" t="s">
        <v>4733</v>
      </c>
      <c r="J370" s="495">
        <v>190301100</v>
      </c>
      <c r="K370" s="480" t="s">
        <v>4734</v>
      </c>
      <c r="L370" s="480" t="s">
        <v>4735</v>
      </c>
      <c r="M370" s="480" t="s">
        <v>5967</v>
      </c>
      <c r="N370" s="499">
        <v>123</v>
      </c>
      <c r="O370" s="480" t="s">
        <v>4731</v>
      </c>
      <c r="P370" s="515">
        <v>123</v>
      </c>
      <c r="Q370" s="485" t="s">
        <v>5349</v>
      </c>
      <c r="R370" s="485" t="s">
        <v>5542</v>
      </c>
      <c r="S370" s="485" t="s">
        <v>5543</v>
      </c>
      <c r="T370" s="485">
        <v>7.89</v>
      </c>
      <c r="U370" s="485" t="s">
        <v>5544</v>
      </c>
      <c r="V370" s="485">
        <v>6</v>
      </c>
      <c r="W370" s="485" t="s">
        <v>5357</v>
      </c>
      <c r="X370" s="485">
        <v>3</v>
      </c>
      <c r="Y370" s="485" t="s">
        <v>5545</v>
      </c>
      <c r="Z370" s="486">
        <v>364527800</v>
      </c>
      <c r="AA370" s="486">
        <v>2418549934</v>
      </c>
      <c r="AB370" s="486">
        <v>0</v>
      </c>
      <c r="AC370" s="486">
        <v>488645400</v>
      </c>
      <c r="AD370" s="486">
        <v>0</v>
      </c>
      <c r="AE370" s="486">
        <v>0</v>
      </c>
      <c r="AF370" s="486">
        <v>0</v>
      </c>
      <c r="AG370" s="486">
        <v>0</v>
      </c>
      <c r="AH370" s="487">
        <v>3271723134</v>
      </c>
      <c r="AI370" s="486">
        <v>250000000</v>
      </c>
      <c r="AJ370" s="486">
        <v>0</v>
      </c>
      <c r="AK370" s="486">
        <v>0</v>
      </c>
      <c r="AL370" s="488">
        <v>250000000</v>
      </c>
      <c r="AM370" s="489">
        <v>3521723134</v>
      </c>
      <c r="AN370" s="486">
        <v>379108912</v>
      </c>
      <c r="AO370" s="486">
        <v>2515291931.3600001</v>
      </c>
      <c r="AP370" s="486">
        <v>0</v>
      </c>
      <c r="AQ370" s="486">
        <v>508191216</v>
      </c>
      <c r="AR370" s="486">
        <v>0</v>
      </c>
      <c r="AS370" s="486">
        <v>0</v>
      </c>
      <c r="AT370" s="486">
        <v>0</v>
      </c>
      <c r="AU370" s="486">
        <v>0</v>
      </c>
      <c r="AV370" s="487">
        <v>3402592059.3600001</v>
      </c>
      <c r="AW370" s="486">
        <v>260000000</v>
      </c>
      <c r="AX370" s="486">
        <v>0</v>
      </c>
      <c r="AY370" s="486">
        <v>0</v>
      </c>
      <c r="AZ370" s="488">
        <v>260000000</v>
      </c>
      <c r="BA370" s="490">
        <v>3662592059.3600001</v>
      </c>
      <c r="BB370" s="486">
        <v>394273268.48000002</v>
      </c>
      <c r="BC370" s="486">
        <v>2615903608.6100001</v>
      </c>
      <c r="BD370" s="486">
        <v>0</v>
      </c>
      <c r="BE370" s="486">
        <v>528518864.63999999</v>
      </c>
      <c r="BF370" s="486">
        <v>0</v>
      </c>
      <c r="BG370" s="486">
        <v>0</v>
      </c>
      <c r="BH370" s="486">
        <v>0</v>
      </c>
      <c r="BI370" s="486">
        <v>0</v>
      </c>
      <c r="BJ370" s="487">
        <v>3538695741.73</v>
      </c>
      <c r="BK370" s="486">
        <v>270400000</v>
      </c>
      <c r="BL370" s="486">
        <v>0</v>
      </c>
      <c r="BM370" s="486">
        <v>0</v>
      </c>
      <c r="BN370" s="488">
        <v>270400000</v>
      </c>
      <c r="BO370" s="490">
        <v>3809095741.73</v>
      </c>
      <c r="BP370" s="486">
        <v>410044199.22000003</v>
      </c>
      <c r="BQ370" s="486">
        <v>2720539752.9499998</v>
      </c>
      <c r="BR370" s="486">
        <v>0</v>
      </c>
      <c r="BS370" s="486">
        <v>549659619.23000002</v>
      </c>
      <c r="BT370" s="486">
        <v>0</v>
      </c>
      <c r="BU370" s="486">
        <v>0</v>
      </c>
      <c r="BV370" s="486">
        <v>0</v>
      </c>
      <c r="BW370" s="486">
        <v>0</v>
      </c>
      <c r="BX370" s="487">
        <v>3680243571.4000001</v>
      </c>
      <c r="BY370" s="486">
        <v>281216000</v>
      </c>
      <c r="BZ370" s="486">
        <v>0</v>
      </c>
      <c r="CA370" s="486">
        <v>0</v>
      </c>
      <c r="CB370" s="488">
        <v>281216000</v>
      </c>
      <c r="CC370" s="491">
        <v>3961459571.4000001</v>
      </c>
      <c r="CD370" s="492">
        <v>14954870506.49</v>
      </c>
      <c r="CE370" s="493">
        <f t="shared" si="25"/>
        <v>1547954179.7</v>
      </c>
      <c r="CF370" s="493">
        <f t="shared" si="25"/>
        <v>10270285226.920002</v>
      </c>
      <c r="CG370" s="493">
        <f t="shared" si="25"/>
        <v>0</v>
      </c>
      <c r="CH370" s="493">
        <f t="shared" si="25"/>
        <v>2075015099.8699999</v>
      </c>
      <c r="CI370" s="493">
        <f t="shared" si="26"/>
        <v>0</v>
      </c>
      <c r="CJ370" s="493">
        <f t="shared" si="26"/>
        <v>0</v>
      </c>
      <c r="CK370" s="493">
        <f t="shared" si="26"/>
        <v>0</v>
      </c>
      <c r="CL370" s="493">
        <f t="shared" si="26"/>
        <v>0</v>
      </c>
      <c r="CM370" s="493">
        <f t="shared" si="23"/>
        <v>1061616000</v>
      </c>
      <c r="CN370" s="493">
        <f t="shared" si="23"/>
        <v>0</v>
      </c>
      <c r="CO370" s="493">
        <f t="shared" si="23"/>
        <v>0</v>
      </c>
    </row>
    <row r="371" spans="1:93" ht="30.45" hidden="1" customHeight="1">
      <c r="A371" s="555" t="s">
        <v>4722</v>
      </c>
      <c r="B371" s="479">
        <v>369</v>
      </c>
      <c r="C371" s="480" t="s">
        <v>6370</v>
      </c>
      <c r="D371" s="480" t="s">
        <v>4711</v>
      </c>
      <c r="E371" s="480" t="str">
        <f t="shared" si="22"/>
        <v xml:space="preserve">4.1.4 </v>
      </c>
      <c r="F371" s="480" t="s">
        <v>4728</v>
      </c>
      <c r="G371" s="480" t="s">
        <v>4729</v>
      </c>
      <c r="H371" s="481">
        <v>19</v>
      </c>
      <c r="I371" s="480" t="s">
        <v>4733</v>
      </c>
      <c r="J371" s="495">
        <v>190303100</v>
      </c>
      <c r="K371" s="480" t="s">
        <v>4264</v>
      </c>
      <c r="L371" s="480" t="s">
        <v>4736</v>
      </c>
      <c r="M371" s="480" t="s">
        <v>5968</v>
      </c>
      <c r="N371" s="499">
        <v>4</v>
      </c>
      <c r="O371" s="480" t="s">
        <v>4731</v>
      </c>
      <c r="P371" s="515">
        <v>8</v>
      </c>
      <c r="Q371" s="485" t="s">
        <v>5349</v>
      </c>
      <c r="R371" s="485" t="s">
        <v>5542</v>
      </c>
      <c r="S371" s="485" t="s">
        <v>5543</v>
      </c>
      <c r="T371" s="485">
        <v>7.89</v>
      </c>
      <c r="U371" s="485" t="s">
        <v>5544</v>
      </c>
      <c r="V371" s="485">
        <v>6</v>
      </c>
      <c r="W371" s="485" t="s">
        <v>5357</v>
      </c>
      <c r="X371" s="485">
        <v>3</v>
      </c>
      <c r="Y371" s="485" t="s">
        <v>5545</v>
      </c>
      <c r="Z371" s="486">
        <v>0</v>
      </c>
      <c r="AA371" s="486">
        <v>3684556090</v>
      </c>
      <c r="AB371" s="486">
        <v>0</v>
      </c>
      <c r="AC371" s="486">
        <v>708313300</v>
      </c>
      <c r="AD371" s="486">
        <v>0</v>
      </c>
      <c r="AE371" s="486">
        <v>0</v>
      </c>
      <c r="AF371" s="486">
        <v>0</v>
      </c>
      <c r="AG371" s="486">
        <v>0</v>
      </c>
      <c r="AH371" s="487">
        <v>4392869390</v>
      </c>
      <c r="AI371" s="486">
        <v>0</v>
      </c>
      <c r="AJ371" s="486">
        <v>0</v>
      </c>
      <c r="AK371" s="486">
        <v>0</v>
      </c>
      <c r="AL371" s="488">
        <v>0</v>
      </c>
      <c r="AM371" s="489">
        <v>4392869390</v>
      </c>
      <c r="AN371" s="486">
        <v>0</v>
      </c>
      <c r="AO371" s="486">
        <v>3831938333.5999999</v>
      </c>
      <c r="AP371" s="486">
        <v>0</v>
      </c>
      <c r="AQ371" s="486">
        <v>736645832</v>
      </c>
      <c r="AR371" s="486">
        <v>0</v>
      </c>
      <c r="AS371" s="486">
        <v>0</v>
      </c>
      <c r="AT371" s="486">
        <v>0</v>
      </c>
      <c r="AU371" s="486">
        <v>0</v>
      </c>
      <c r="AV371" s="487">
        <v>4568584165.6000004</v>
      </c>
      <c r="AW371" s="486">
        <v>0</v>
      </c>
      <c r="AX371" s="486">
        <v>0</v>
      </c>
      <c r="AY371" s="486">
        <v>0</v>
      </c>
      <c r="AZ371" s="488">
        <v>0</v>
      </c>
      <c r="BA371" s="490">
        <v>4568584165.6000004</v>
      </c>
      <c r="BB371" s="486">
        <v>0</v>
      </c>
      <c r="BC371" s="486">
        <v>3985215866.9400001</v>
      </c>
      <c r="BD371" s="486">
        <v>0</v>
      </c>
      <c r="BE371" s="486">
        <v>766111665.27999997</v>
      </c>
      <c r="BF371" s="486">
        <v>0</v>
      </c>
      <c r="BG371" s="486">
        <v>0</v>
      </c>
      <c r="BH371" s="486">
        <v>0</v>
      </c>
      <c r="BI371" s="486">
        <v>0</v>
      </c>
      <c r="BJ371" s="487">
        <v>4751327532.2200003</v>
      </c>
      <c r="BK371" s="486">
        <v>0</v>
      </c>
      <c r="BL371" s="486">
        <v>0</v>
      </c>
      <c r="BM371" s="486">
        <v>0</v>
      </c>
      <c r="BN371" s="488">
        <v>0</v>
      </c>
      <c r="BO371" s="490">
        <v>4751327532.2200003</v>
      </c>
      <c r="BP371" s="486">
        <v>0</v>
      </c>
      <c r="BQ371" s="486">
        <v>4144624501.6199999</v>
      </c>
      <c r="BR371" s="486">
        <v>0</v>
      </c>
      <c r="BS371" s="486">
        <v>796756131.88999999</v>
      </c>
      <c r="BT371" s="486">
        <v>0</v>
      </c>
      <c r="BU371" s="486">
        <v>0</v>
      </c>
      <c r="BV371" s="486">
        <v>0</v>
      </c>
      <c r="BW371" s="486">
        <v>0</v>
      </c>
      <c r="BX371" s="487">
        <v>4941380633.5100002</v>
      </c>
      <c r="BY371" s="486">
        <v>0</v>
      </c>
      <c r="BZ371" s="486">
        <v>0</v>
      </c>
      <c r="CA371" s="486">
        <v>0</v>
      </c>
      <c r="CB371" s="488">
        <v>0</v>
      </c>
      <c r="CC371" s="491">
        <v>4941380633.5100002</v>
      </c>
      <c r="CD371" s="492">
        <v>18654161721.330002</v>
      </c>
      <c r="CE371" s="493">
        <f t="shared" si="25"/>
        <v>0</v>
      </c>
      <c r="CF371" s="493">
        <f t="shared" si="25"/>
        <v>15646334792.16</v>
      </c>
      <c r="CG371" s="493">
        <f t="shared" si="25"/>
        <v>0</v>
      </c>
      <c r="CH371" s="493">
        <f t="shared" si="25"/>
        <v>3007826929.1699996</v>
      </c>
      <c r="CI371" s="493">
        <f t="shared" si="26"/>
        <v>0</v>
      </c>
      <c r="CJ371" s="493">
        <f t="shared" si="26"/>
        <v>0</v>
      </c>
      <c r="CK371" s="493">
        <f t="shared" si="26"/>
        <v>0</v>
      </c>
      <c r="CL371" s="493">
        <f t="shared" si="26"/>
        <v>0</v>
      </c>
      <c r="CM371" s="493">
        <f t="shared" si="23"/>
        <v>0</v>
      </c>
      <c r="CN371" s="493">
        <f t="shared" si="23"/>
        <v>0</v>
      </c>
      <c r="CO371" s="493">
        <f t="shared" si="23"/>
        <v>0</v>
      </c>
    </row>
    <row r="372" spans="1:93" ht="30.45" hidden="1" customHeight="1">
      <c r="A372" s="555" t="s">
        <v>4722</v>
      </c>
      <c r="B372" s="479">
        <v>370</v>
      </c>
      <c r="C372" s="480" t="s">
        <v>6370</v>
      </c>
      <c r="D372" s="480" t="s">
        <v>4711</v>
      </c>
      <c r="E372" s="480" t="str">
        <f t="shared" si="22"/>
        <v xml:space="preserve">4.1.4 </v>
      </c>
      <c r="F372" s="480" t="s">
        <v>4728</v>
      </c>
      <c r="G372" s="480" t="s">
        <v>4729</v>
      </c>
      <c r="H372" s="481">
        <v>19</v>
      </c>
      <c r="I372" s="480" t="s">
        <v>4733</v>
      </c>
      <c r="J372" s="495">
        <v>190304000</v>
      </c>
      <c r="K372" s="480" t="s">
        <v>6576</v>
      </c>
      <c r="L372" s="480" t="s">
        <v>4737</v>
      </c>
      <c r="M372" s="480" t="s">
        <v>5969</v>
      </c>
      <c r="N372" s="499">
        <v>123</v>
      </c>
      <c r="O372" s="480" t="s">
        <v>4731</v>
      </c>
      <c r="P372" s="515">
        <v>123</v>
      </c>
      <c r="Q372" s="485" t="s">
        <v>5349</v>
      </c>
      <c r="R372" s="485" t="s">
        <v>5542</v>
      </c>
      <c r="S372" s="485" t="s">
        <v>5543</v>
      </c>
      <c r="T372" s="485">
        <v>7.89</v>
      </c>
      <c r="U372" s="485" t="s">
        <v>5544</v>
      </c>
      <c r="V372" s="485">
        <v>6</v>
      </c>
      <c r="W372" s="485" t="s">
        <v>5357</v>
      </c>
      <c r="X372" s="485">
        <v>3</v>
      </c>
      <c r="Y372" s="485" t="s">
        <v>5545</v>
      </c>
      <c r="Z372" s="486">
        <v>0</v>
      </c>
      <c r="AA372" s="486">
        <v>714996969</v>
      </c>
      <c r="AB372" s="486">
        <v>0</v>
      </c>
      <c r="AC372" s="486">
        <v>2107122651</v>
      </c>
      <c r="AD372" s="486">
        <v>0</v>
      </c>
      <c r="AE372" s="486">
        <v>0</v>
      </c>
      <c r="AF372" s="486">
        <v>0</v>
      </c>
      <c r="AG372" s="486">
        <v>0</v>
      </c>
      <c r="AH372" s="487">
        <v>2822119620</v>
      </c>
      <c r="AI372" s="486">
        <v>0</v>
      </c>
      <c r="AJ372" s="486">
        <v>0</v>
      </c>
      <c r="AK372" s="486">
        <v>0</v>
      </c>
      <c r="AL372" s="488">
        <v>0</v>
      </c>
      <c r="AM372" s="489">
        <v>2822119620</v>
      </c>
      <c r="AN372" s="486">
        <v>0</v>
      </c>
      <c r="AO372" s="486">
        <v>743596847.75999999</v>
      </c>
      <c r="AP372" s="486">
        <v>0</v>
      </c>
      <c r="AQ372" s="486">
        <v>2191407557.04</v>
      </c>
      <c r="AR372" s="486">
        <v>0</v>
      </c>
      <c r="AS372" s="486">
        <v>0</v>
      </c>
      <c r="AT372" s="486">
        <v>0</v>
      </c>
      <c r="AU372" s="486">
        <v>0</v>
      </c>
      <c r="AV372" s="487">
        <v>2935004404.8000002</v>
      </c>
      <c r="AW372" s="486">
        <v>0</v>
      </c>
      <c r="AX372" s="486">
        <v>0</v>
      </c>
      <c r="AY372" s="486">
        <v>0</v>
      </c>
      <c r="AZ372" s="488">
        <v>0</v>
      </c>
      <c r="BA372" s="490">
        <v>2935004404.8000002</v>
      </c>
      <c r="BB372" s="486">
        <v>0</v>
      </c>
      <c r="BC372" s="486">
        <v>773340721.66999996</v>
      </c>
      <c r="BD372" s="486">
        <v>0</v>
      </c>
      <c r="BE372" s="486">
        <v>2279063859.3200002</v>
      </c>
      <c r="BF372" s="486">
        <v>0</v>
      </c>
      <c r="BG372" s="486">
        <v>0</v>
      </c>
      <c r="BH372" s="486">
        <v>0</v>
      </c>
      <c r="BI372" s="486">
        <v>0</v>
      </c>
      <c r="BJ372" s="487">
        <v>3052404580.9900002</v>
      </c>
      <c r="BK372" s="486">
        <v>0</v>
      </c>
      <c r="BL372" s="486">
        <v>0</v>
      </c>
      <c r="BM372" s="486">
        <v>0</v>
      </c>
      <c r="BN372" s="488">
        <v>0</v>
      </c>
      <c r="BO372" s="490">
        <v>3052404580.9900002</v>
      </c>
      <c r="BP372" s="486">
        <v>0</v>
      </c>
      <c r="BQ372" s="486">
        <v>804274350.53999996</v>
      </c>
      <c r="BR372" s="486">
        <v>0</v>
      </c>
      <c r="BS372" s="486">
        <v>2370226413.6900001</v>
      </c>
      <c r="BT372" s="486">
        <v>0</v>
      </c>
      <c r="BU372" s="486">
        <v>0</v>
      </c>
      <c r="BV372" s="486">
        <v>0</v>
      </c>
      <c r="BW372" s="486">
        <v>0</v>
      </c>
      <c r="BX372" s="487">
        <v>3174500764.23</v>
      </c>
      <c r="BY372" s="486">
        <v>0</v>
      </c>
      <c r="BZ372" s="486">
        <v>0</v>
      </c>
      <c r="CA372" s="486">
        <v>0</v>
      </c>
      <c r="CB372" s="488">
        <v>0</v>
      </c>
      <c r="CC372" s="491">
        <v>3174500764.23</v>
      </c>
      <c r="CD372" s="492">
        <v>11984029370.02</v>
      </c>
      <c r="CE372" s="493">
        <f t="shared" si="25"/>
        <v>0</v>
      </c>
      <c r="CF372" s="493">
        <f t="shared" si="25"/>
        <v>3036208888.9699998</v>
      </c>
      <c r="CG372" s="493">
        <f t="shared" si="25"/>
        <v>0</v>
      </c>
      <c r="CH372" s="493">
        <f t="shared" si="25"/>
        <v>8947820481.0500011</v>
      </c>
      <c r="CI372" s="493">
        <f t="shared" si="26"/>
        <v>0</v>
      </c>
      <c r="CJ372" s="493">
        <f t="shared" si="26"/>
        <v>0</v>
      </c>
      <c r="CK372" s="493">
        <f t="shared" si="26"/>
        <v>0</v>
      </c>
      <c r="CL372" s="493">
        <f t="shared" si="26"/>
        <v>0</v>
      </c>
      <c r="CM372" s="493">
        <f t="shared" si="23"/>
        <v>0</v>
      </c>
      <c r="CN372" s="493">
        <f t="shared" si="23"/>
        <v>0</v>
      </c>
      <c r="CO372" s="493">
        <f t="shared" si="23"/>
        <v>0</v>
      </c>
    </row>
    <row r="373" spans="1:93" ht="30.45" hidden="1" customHeight="1">
      <c r="A373" s="555" t="s">
        <v>4722</v>
      </c>
      <c r="B373" s="479">
        <v>371</v>
      </c>
      <c r="C373" s="480" t="s">
        <v>6370</v>
      </c>
      <c r="D373" s="480" t="s">
        <v>4711</v>
      </c>
      <c r="E373" s="480" t="str">
        <f t="shared" si="22"/>
        <v xml:space="preserve">4.1.4 </v>
      </c>
      <c r="F373" s="480" t="s">
        <v>4728</v>
      </c>
      <c r="G373" s="480" t="s">
        <v>4729</v>
      </c>
      <c r="H373" s="481">
        <v>19</v>
      </c>
      <c r="I373" s="480" t="s">
        <v>4733</v>
      </c>
      <c r="J373" s="495">
        <v>190305700</v>
      </c>
      <c r="K373" s="480" t="s">
        <v>4023</v>
      </c>
      <c r="L373" s="480" t="s">
        <v>6577</v>
      </c>
      <c r="M373" s="480" t="s">
        <v>5970</v>
      </c>
      <c r="N373" s="499">
        <v>123</v>
      </c>
      <c r="O373" s="480" t="s">
        <v>4731</v>
      </c>
      <c r="P373" s="515">
        <v>123</v>
      </c>
      <c r="Q373" s="485" t="s">
        <v>5349</v>
      </c>
      <c r="R373" s="485" t="s">
        <v>5542</v>
      </c>
      <c r="S373" s="485" t="s">
        <v>5543</v>
      </c>
      <c r="T373" s="485">
        <v>7.89</v>
      </c>
      <c r="U373" s="485" t="s">
        <v>5544</v>
      </c>
      <c r="V373" s="485">
        <v>6</v>
      </c>
      <c r="W373" s="485" t="s">
        <v>5357</v>
      </c>
      <c r="X373" s="485">
        <v>3</v>
      </c>
      <c r="Y373" s="485" t="s">
        <v>5545</v>
      </c>
      <c r="Z373" s="486">
        <v>0</v>
      </c>
      <c r="AA373" s="486">
        <v>99000000</v>
      </c>
      <c r="AB373" s="486">
        <v>0</v>
      </c>
      <c r="AC373" s="486">
        <v>1889003280</v>
      </c>
      <c r="AD373" s="486">
        <v>0</v>
      </c>
      <c r="AE373" s="486">
        <v>0</v>
      </c>
      <c r="AF373" s="486">
        <v>0</v>
      </c>
      <c r="AG373" s="486">
        <v>0</v>
      </c>
      <c r="AH373" s="487">
        <v>1988003280</v>
      </c>
      <c r="AI373" s="486">
        <v>0</v>
      </c>
      <c r="AJ373" s="486">
        <v>0</v>
      </c>
      <c r="AK373" s="486">
        <v>0</v>
      </c>
      <c r="AL373" s="488">
        <v>0</v>
      </c>
      <c r="AM373" s="489">
        <v>1988003280</v>
      </c>
      <c r="AN373" s="486">
        <v>0</v>
      </c>
      <c r="AO373" s="486">
        <v>102960000</v>
      </c>
      <c r="AP373" s="486">
        <v>0</v>
      </c>
      <c r="AQ373" s="486">
        <v>1964563411.2</v>
      </c>
      <c r="AR373" s="486">
        <v>0</v>
      </c>
      <c r="AS373" s="486">
        <v>0</v>
      </c>
      <c r="AT373" s="486">
        <v>0</v>
      </c>
      <c r="AU373" s="486">
        <v>0</v>
      </c>
      <c r="AV373" s="487">
        <v>2067523411.2</v>
      </c>
      <c r="AW373" s="486">
        <v>0</v>
      </c>
      <c r="AX373" s="486">
        <v>0</v>
      </c>
      <c r="AY373" s="486">
        <v>0</v>
      </c>
      <c r="AZ373" s="488">
        <v>0</v>
      </c>
      <c r="BA373" s="490">
        <v>2067523411.2</v>
      </c>
      <c r="BB373" s="486">
        <v>0</v>
      </c>
      <c r="BC373" s="486">
        <v>107078400</v>
      </c>
      <c r="BD373" s="486">
        <v>0</v>
      </c>
      <c r="BE373" s="486">
        <v>2043145947.6500001</v>
      </c>
      <c r="BF373" s="486">
        <v>0</v>
      </c>
      <c r="BG373" s="486">
        <v>0</v>
      </c>
      <c r="BH373" s="486">
        <v>0</v>
      </c>
      <c r="BI373" s="486">
        <v>0</v>
      </c>
      <c r="BJ373" s="487">
        <v>2150224347.6500001</v>
      </c>
      <c r="BK373" s="486">
        <v>0</v>
      </c>
      <c r="BL373" s="486">
        <v>0</v>
      </c>
      <c r="BM373" s="486">
        <v>0</v>
      </c>
      <c r="BN373" s="488">
        <v>0</v>
      </c>
      <c r="BO373" s="490">
        <v>2150224347.6500001</v>
      </c>
      <c r="BP373" s="486">
        <v>0</v>
      </c>
      <c r="BQ373" s="486">
        <v>111361536</v>
      </c>
      <c r="BR373" s="486">
        <v>0</v>
      </c>
      <c r="BS373" s="486">
        <v>2124871785.5599999</v>
      </c>
      <c r="BT373" s="486">
        <v>0</v>
      </c>
      <c r="BU373" s="486">
        <v>0</v>
      </c>
      <c r="BV373" s="486">
        <v>0</v>
      </c>
      <c r="BW373" s="486">
        <v>0</v>
      </c>
      <c r="BX373" s="487">
        <v>2236233321.5599999</v>
      </c>
      <c r="BY373" s="486">
        <v>0</v>
      </c>
      <c r="BZ373" s="486">
        <v>0</v>
      </c>
      <c r="CA373" s="486">
        <v>0</v>
      </c>
      <c r="CB373" s="488">
        <v>0</v>
      </c>
      <c r="CC373" s="491">
        <v>2236233321.5599999</v>
      </c>
      <c r="CD373" s="492">
        <v>8441984360.4099998</v>
      </c>
      <c r="CE373" s="493">
        <f t="shared" si="25"/>
        <v>0</v>
      </c>
      <c r="CF373" s="493">
        <f t="shared" si="25"/>
        <v>420399936</v>
      </c>
      <c r="CG373" s="493">
        <f t="shared" si="25"/>
        <v>0</v>
      </c>
      <c r="CH373" s="493">
        <f t="shared" si="25"/>
        <v>8021584424.4099998</v>
      </c>
      <c r="CI373" s="493">
        <f t="shared" si="26"/>
        <v>0</v>
      </c>
      <c r="CJ373" s="493">
        <f t="shared" si="26"/>
        <v>0</v>
      </c>
      <c r="CK373" s="493">
        <f t="shared" si="26"/>
        <v>0</v>
      </c>
      <c r="CL373" s="493">
        <f t="shared" si="26"/>
        <v>0</v>
      </c>
      <c r="CM373" s="493">
        <f t="shared" si="23"/>
        <v>0</v>
      </c>
      <c r="CN373" s="493">
        <f t="shared" si="23"/>
        <v>0</v>
      </c>
      <c r="CO373" s="493">
        <f t="shared" si="23"/>
        <v>0</v>
      </c>
    </row>
    <row r="374" spans="1:93" ht="30.45" hidden="1" customHeight="1">
      <c r="A374" s="555" t="s">
        <v>4722</v>
      </c>
      <c r="B374" s="479">
        <v>372</v>
      </c>
      <c r="C374" s="480" t="s">
        <v>6370</v>
      </c>
      <c r="D374" s="480" t="s">
        <v>4711</v>
      </c>
      <c r="E374" s="480" t="str">
        <f t="shared" si="22"/>
        <v xml:space="preserve">4.1.4 </v>
      </c>
      <c r="F374" s="480" t="s">
        <v>4728</v>
      </c>
      <c r="G374" s="480" t="s">
        <v>4729</v>
      </c>
      <c r="H374" s="481">
        <v>19</v>
      </c>
      <c r="I374" s="480" t="s">
        <v>4738</v>
      </c>
      <c r="J374" s="495">
        <v>190600100</v>
      </c>
      <c r="K374" s="480" t="s">
        <v>4739</v>
      </c>
      <c r="L374" s="480" t="s">
        <v>4740</v>
      </c>
      <c r="M374" s="480" t="s">
        <v>5971</v>
      </c>
      <c r="N374" s="499">
        <v>13</v>
      </c>
      <c r="O374" s="480" t="s">
        <v>4731</v>
      </c>
      <c r="P374" s="515">
        <v>31</v>
      </c>
      <c r="Q374" s="485" t="s">
        <v>5349</v>
      </c>
      <c r="R374" s="485" t="s">
        <v>5542</v>
      </c>
      <c r="S374" s="485" t="s">
        <v>5543</v>
      </c>
      <c r="T374" s="485">
        <v>7.89</v>
      </c>
      <c r="U374" s="485" t="s">
        <v>5544</v>
      </c>
      <c r="V374" s="485">
        <v>6</v>
      </c>
      <c r="W374" s="485" t="s">
        <v>5357</v>
      </c>
      <c r="X374" s="485">
        <v>3</v>
      </c>
      <c r="Y374" s="485" t="s">
        <v>5545</v>
      </c>
      <c r="Z374" s="486">
        <v>0</v>
      </c>
      <c r="AA374" s="486">
        <v>0</v>
      </c>
      <c r="AB374" s="486">
        <v>0</v>
      </c>
      <c r="AC374" s="486">
        <v>0</v>
      </c>
      <c r="AD374" s="486">
        <v>0</v>
      </c>
      <c r="AE374" s="486">
        <v>0</v>
      </c>
      <c r="AF374" s="486">
        <v>0</v>
      </c>
      <c r="AG374" s="486">
        <v>0</v>
      </c>
      <c r="AH374" s="487">
        <v>0</v>
      </c>
      <c r="AI374" s="486">
        <v>0</v>
      </c>
      <c r="AJ374" s="486">
        <v>4400000000</v>
      </c>
      <c r="AK374" s="486">
        <v>500000000</v>
      </c>
      <c r="AL374" s="488">
        <v>4900000000</v>
      </c>
      <c r="AM374" s="489">
        <v>4900000000</v>
      </c>
      <c r="AN374" s="486">
        <v>0</v>
      </c>
      <c r="AO374" s="486">
        <v>0</v>
      </c>
      <c r="AP374" s="486">
        <v>0</v>
      </c>
      <c r="AQ374" s="486">
        <v>0</v>
      </c>
      <c r="AR374" s="486">
        <v>0</v>
      </c>
      <c r="AS374" s="486">
        <v>0</v>
      </c>
      <c r="AT374" s="486">
        <v>0</v>
      </c>
      <c r="AU374" s="486">
        <v>0</v>
      </c>
      <c r="AV374" s="487">
        <v>0</v>
      </c>
      <c r="AW374" s="486">
        <v>0</v>
      </c>
      <c r="AX374" s="486">
        <v>17000000000</v>
      </c>
      <c r="AY374" s="486">
        <v>0</v>
      </c>
      <c r="AZ374" s="488">
        <v>17000000000</v>
      </c>
      <c r="BA374" s="490">
        <v>17000000000</v>
      </c>
      <c r="BB374" s="486">
        <v>0</v>
      </c>
      <c r="BC374" s="486">
        <v>0</v>
      </c>
      <c r="BD374" s="486">
        <v>0</v>
      </c>
      <c r="BE374" s="486">
        <v>0</v>
      </c>
      <c r="BF374" s="486">
        <v>0</v>
      </c>
      <c r="BG374" s="486">
        <v>0</v>
      </c>
      <c r="BH374" s="486">
        <v>0</v>
      </c>
      <c r="BI374" s="486">
        <v>0</v>
      </c>
      <c r="BJ374" s="487">
        <v>0</v>
      </c>
      <c r="BK374" s="486">
        <v>0</v>
      </c>
      <c r="BL374" s="486">
        <v>5400000000</v>
      </c>
      <c r="BM374" s="486">
        <v>0</v>
      </c>
      <c r="BN374" s="488">
        <v>5400000000</v>
      </c>
      <c r="BO374" s="490">
        <v>5400000000</v>
      </c>
      <c r="BP374" s="486">
        <v>0</v>
      </c>
      <c r="BQ374" s="486">
        <v>0</v>
      </c>
      <c r="BR374" s="486">
        <v>0</v>
      </c>
      <c r="BS374" s="486">
        <v>0</v>
      </c>
      <c r="BT374" s="486">
        <v>0</v>
      </c>
      <c r="BU374" s="486">
        <v>0</v>
      </c>
      <c r="BV374" s="486">
        <v>0</v>
      </c>
      <c r="BW374" s="486">
        <v>0</v>
      </c>
      <c r="BX374" s="487">
        <v>0</v>
      </c>
      <c r="BY374" s="486">
        <v>0</v>
      </c>
      <c r="BZ374" s="486">
        <v>2400000000</v>
      </c>
      <c r="CA374" s="486">
        <v>0</v>
      </c>
      <c r="CB374" s="488">
        <v>2400000000</v>
      </c>
      <c r="CC374" s="491">
        <v>2400000000</v>
      </c>
      <c r="CD374" s="492">
        <v>29700000000</v>
      </c>
      <c r="CE374" s="493">
        <f t="shared" si="25"/>
        <v>0</v>
      </c>
      <c r="CF374" s="493">
        <f t="shared" si="25"/>
        <v>0</v>
      </c>
      <c r="CG374" s="493">
        <f t="shared" si="25"/>
        <v>0</v>
      </c>
      <c r="CH374" s="493">
        <f t="shared" si="25"/>
        <v>0</v>
      </c>
      <c r="CI374" s="493">
        <f t="shared" si="26"/>
        <v>0</v>
      </c>
      <c r="CJ374" s="493">
        <f t="shared" si="26"/>
        <v>0</v>
      </c>
      <c r="CK374" s="493">
        <f t="shared" si="26"/>
        <v>0</v>
      </c>
      <c r="CL374" s="493">
        <f t="shared" si="26"/>
        <v>0</v>
      </c>
      <c r="CM374" s="493">
        <f t="shared" si="23"/>
        <v>0</v>
      </c>
      <c r="CN374" s="493">
        <f t="shared" si="23"/>
        <v>29200000000</v>
      </c>
      <c r="CO374" s="493">
        <f t="shared" si="23"/>
        <v>500000000</v>
      </c>
    </row>
    <row r="375" spans="1:93" ht="30.45" hidden="1" customHeight="1">
      <c r="A375" s="555" t="s">
        <v>4722</v>
      </c>
      <c r="B375" s="479">
        <v>373</v>
      </c>
      <c r="C375" s="480" t="s">
        <v>6370</v>
      </c>
      <c r="D375" s="480" t="s">
        <v>4711</v>
      </c>
      <c r="E375" s="480" t="str">
        <f t="shared" si="22"/>
        <v xml:space="preserve">4.1.4 </v>
      </c>
      <c r="F375" s="480" t="s">
        <v>4728</v>
      </c>
      <c r="G375" s="480" t="s">
        <v>4729</v>
      </c>
      <c r="H375" s="481">
        <v>19</v>
      </c>
      <c r="I375" s="480" t="s">
        <v>4738</v>
      </c>
      <c r="J375" s="495">
        <v>190600500</v>
      </c>
      <c r="K375" s="480" t="s">
        <v>4739</v>
      </c>
      <c r="L375" s="480" t="s">
        <v>4741</v>
      </c>
      <c r="M375" s="480" t="s">
        <v>5972</v>
      </c>
      <c r="N375" s="499">
        <v>20</v>
      </c>
      <c r="O375" s="480" t="s">
        <v>4731</v>
      </c>
      <c r="P375" s="515">
        <v>30</v>
      </c>
      <c r="Q375" s="485" t="s">
        <v>5349</v>
      </c>
      <c r="R375" s="485" t="s">
        <v>5542</v>
      </c>
      <c r="S375" s="485" t="s">
        <v>5543</v>
      </c>
      <c r="T375" s="485">
        <v>7.89</v>
      </c>
      <c r="U375" s="485" t="s">
        <v>5544</v>
      </c>
      <c r="V375" s="485">
        <v>6</v>
      </c>
      <c r="W375" s="485" t="s">
        <v>5357</v>
      </c>
      <c r="X375" s="485">
        <v>3</v>
      </c>
      <c r="Y375" s="485" t="s">
        <v>5545</v>
      </c>
      <c r="Z375" s="486">
        <v>0</v>
      </c>
      <c r="AA375" s="486">
        <v>0</v>
      </c>
      <c r="AB375" s="486">
        <v>0</v>
      </c>
      <c r="AC375" s="486">
        <v>0</v>
      </c>
      <c r="AD375" s="486">
        <v>0</v>
      </c>
      <c r="AE375" s="486">
        <v>0</v>
      </c>
      <c r="AF375" s="486">
        <v>0</v>
      </c>
      <c r="AG375" s="486">
        <v>0</v>
      </c>
      <c r="AH375" s="487">
        <v>0</v>
      </c>
      <c r="AI375" s="486">
        <v>0</v>
      </c>
      <c r="AJ375" s="486">
        <v>2500000000</v>
      </c>
      <c r="AK375" s="486">
        <v>0</v>
      </c>
      <c r="AL375" s="488">
        <v>2500000000</v>
      </c>
      <c r="AM375" s="489">
        <v>2500000000</v>
      </c>
      <c r="AN375" s="486">
        <v>0</v>
      </c>
      <c r="AO375" s="486">
        <v>0</v>
      </c>
      <c r="AP375" s="486">
        <v>0</v>
      </c>
      <c r="AQ375" s="486">
        <v>0</v>
      </c>
      <c r="AR375" s="486">
        <v>0</v>
      </c>
      <c r="AS375" s="486">
        <v>0</v>
      </c>
      <c r="AT375" s="486">
        <v>0</v>
      </c>
      <c r="AU375" s="486">
        <v>0</v>
      </c>
      <c r="AV375" s="487">
        <v>0</v>
      </c>
      <c r="AW375" s="486">
        <v>0</v>
      </c>
      <c r="AX375" s="486">
        <v>2500000000</v>
      </c>
      <c r="AY375" s="486">
        <v>0</v>
      </c>
      <c r="AZ375" s="488">
        <v>2500000000</v>
      </c>
      <c r="BA375" s="490">
        <v>2500000000</v>
      </c>
      <c r="BB375" s="486">
        <v>0</v>
      </c>
      <c r="BC375" s="486">
        <v>0</v>
      </c>
      <c r="BD375" s="486">
        <v>0</v>
      </c>
      <c r="BE375" s="486">
        <v>0</v>
      </c>
      <c r="BF375" s="486">
        <v>0</v>
      </c>
      <c r="BG375" s="486">
        <v>0</v>
      </c>
      <c r="BH375" s="486">
        <v>0</v>
      </c>
      <c r="BI375" s="486">
        <v>0</v>
      </c>
      <c r="BJ375" s="487">
        <v>0</v>
      </c>
      <c r="BK375" s="486">
        <v>0</v>
      </c>
      <c r="BL375" s="486">
        <v>2500000000</v>
      </c>
      <c r="BM375" s="486">
        <v>0</v>
      </c>
      <c r="BN375" s="488">
        <v>2500000000</v>
      </c>
      <c r="BO375" s="490">
        <v>2500000000</v>
      </c>
      <c r="BP375" s="486">
        <v>0</v>
      </c>
      <c r="BQ375" s="486">
        <v>0</v>
      </c>
      <c r="BR375" s="486">
        <v>0</v>
      </c>
      <c r="BS375" s="486">
        <v>0</v>
      </c>
      <c r="BT375" s="486">
        <v>0</v>
      </c>
      <c r="BU375" s="486">
        <v>0</v>
      </c>
      <c r="BV375" s="486">
        <v>0</v>
      </c>
      <c r="BW375" s="486">
        <v>0</v>
      </c>
      <c r="BX375" s="487">
        <v>0</v>
      </c>
      <c r="BY375" s="486">
        <v>0</v>
      </c>
      <c r="BZ375" s="486">
        <v>2500000000</v>
      </c>
      <c r="CA375" s="486">
        <v>0</v>
      </c>
      <c r="CB375" s="488">
        <v>2500000000</v>
      </c>
      <c r="CC375" s="491">
        <v>2500000000</v>
      </c>
      <c r="CD375" s="492">
        <v>10000000000</v>
      </c>
      <c r="CE375" s="493">
        <f t="shared" si="25"/>
        <v>0</v>
      </c>
      <c r="CF375" s="493">
        <f t="shared" si="25"/>
        <v>0</v>
      </c>
      <c r="CG375" s="493">
        <f t="shared" si="25"/>
        <v>0</v>
      </c>
      <c r="CH375" s="493">
        <f t="shared" si="25"/>
        <v>0</v>
      </c>
      <c r="CI375" s="493">
        <f t="shared" si="26"/>
        <v>0</v>
      </c>
      <c r="CJ375" s="493">
        <f t="shared" si="26"/>
        <v>0</v>
      </c>
      <c r="CK375" s="493">
        <f t="shared" si="26"/>
        <v>0</v>
      </c>
      <c r="CL375" s="493">
        <f t="shared" si="26"/>
        <v>0</v>
      </c>
      <c r="CM375" s="493">
        <f t="shared" si="23"/>
        <v>0</v>
      </c>
      <c r="CN375" s="493">
        <f t="shared" si="23"/>
        <v>10000000000</v>
      </c>
      <c r="CO375" s="493">
        <f t="shared" si="23"/>
        <v>0</v>
      </c>
    </row>
    <row r="376" spans="1:93" ht="30.45" hidden="1" customHeight="1">
      <c r="A376" s="555" t="s">
        <v>4722</v>
      </c>
      <c r="B376" s="479">
        <v>374</v>
      </c>
      <c r="C376" s="480" t="s">
        <v>6370</v>
      </c>
      <c r="D376" s="480" t="s">
        <v>4711</v>
      </c>
      <c r="E376" s="480" t="str">
        <f t="shared" si="22"/>
        <v xml:space="preserve">4.1.4 </v>
      </c>
      <c r="F376" s="480" t="s">
        <v>4728</v>
      </c>
      <c r="G376" s="480" t="s">
        <v>4729</v>
      </c>
      <c r="H376" s="481">
        <v>19</v>
      </c>
      <c r="I376" s="480" t="s">
        <v>4738</v>
      </c>
      <c r="J376" s="495">
        <v>190600500</v>
      </c>
      <c r="K376" s="480" t="s">
        <v>4739</v>
      </c>
      <c r="L376" s="480" t="s">
        <v>4742</v>
      </c>
      <c r="M376" s="480" t="s">
        <v>5973</v>
      </c>
      <c r="N376" s="499">
        <v>3</v>
      </c>
      <c r="O376" s="480" t="s">
        <v>4731</v>
      </c>
      <c r="P376" s="515">
        <v>6</v>
      </c>
      <c r="Q376" s="485" t="s">
        <v>5349</v>
      </c>
      <c r="R376" s="485" t="s">
        <v>5542</v>
      </c>
      <c r="S376" s="485" t="s">
        <v>5543</v>
      </c>
      <c r="T376" s="485">
        <v>7.89</v>
      </c>
      <c r="U376" s="485" t="s">
        <v>5544</v>
      </c>
      <c r="V376" s="485">
        <v>6</v>
      </c>
      <c r="W376" s="485" t="s">
        <v>5357</v>
      </c>
      <c r="X376" s="485">
        <v>3</v>
      </c>
      <c r="Y376" s="485" t="s">
        <v>5545</v>
      </c>
      <c r="Z376" s="486">
        <v>0</v>
      </c>
      <c r="AA376" s="486">
        <v>0</v>
      </c>
      <c r="AB376" s="486">
        <v>0</v>
      </c>
      <c r="AC376" s="486">
        <v>0</v>
      </c>
      <c r="AD376" s="486">
        <v>0</v>
      </c>
      <c r="AE376" s="486">
        <v>0</v>
      </c>
      <c r="AF376" s="486">
        <v>0</v>
      </c>
      <c r="AG376" s="486">
        <v>0</v>
      </c>
      <c r="AH376" s="487">
        <v>0</v>
      </c>
      <c r="AI376" s="486">
        <v>0</v>
      </c>
      <c r="AJ376" s="486">
        <v>0</v>
      </c>
      <c r="AK376" s="486">
        <v>0</v>
      </c>
      <c r="AL376" s="488">
        <v>0</v>
      </c>
      <c r="AM376" s="489">
        <v>0</v>
      </c>
      <c r="AN376" s="486">
        <v>0</v>
      </c>
      <c r="AO376" s="486">
        <v>0</v>
      </c>
      <c r="AP376" s="486">
        <v>0</v>
      </c>
      <c r="AQ376" s="486">
        <v>0</v>
      </c>
      <c r="AR376" s="486">
        <v>0</v>
      </c>
      <c r="AS376" s="486">
        <v>0</v>
      </c>
      <c r="AT376" s="486">
        <v>0</v>
      </c>
      <c r="AU376" s="486">
        <v>0</v>
      </c>
      <c r="AV376" s="487">
        <v>0</v>
      </c>
      <c r="AW376" s="486">
        <v>0</v>
      </c>
      <c r="AX376" s="486">
        <v>1500000000</v>
      </c>
      <c r="AY376" s="486">
        <v>0</v>
      </c>
      <c r="AZ376" s="488">
        <v>1500000000</v>
      </c>
      <c r="BA376" s="490">
        <v>1500000000</v>
      </c>
      <c r="BB376" s="486">
        <v>0</v>
      </c>
      <c r="BC376" s="486">
        <v>0</v>
      </c>
      <c r="BD376" s="486">
        <v>0</v>
      </c>
      <c r="BE376" s="486">
        <v>0</v>
      </c>
      <c r="BF376" s="486">
        <v>0</v>
      </c>
      <c r="BG376" s="486">
        <v>0</v>
      </c>
      <c r="BH376" s="486">
        <v>0</v>
      </c>
      <c r="BI376" s="486">
        <v>0</v>
      </c>
      <c r="BJ376" s="487">
        <v>0</v>
      </c>
      <c r="BK376" s="486">
        <v>0</v>
      </c>
      <c r="BL376" s="486">
        <v>0</v>
      </c>
      <c r="BM376" s="486">
        <v>0</v>
      </c>
      <c r="BN376" s="488">
        <v>0</v>
      </c>
      <c r="BO376" s="490">
        <v>0</v>
      </c>
      <c r="BP376" s="486">
        <v>0</v>
      </c>
      <c r="BQ376" s="486">
        <v>0</v>
      </c>
      <c r="BR376" s="486">
        <v>0</v>
      </c>
      <c r="BS376" s="486">
        <v>0</v>
      </c>
      <c r="BT376" s="486">
        <v>0</v>
      </c>
      <c r="BU376" s="486">
        <v>0</v>
      </c>
      <c r="BV376" s="486">
        <v>0</v>
      </c>
      <c r="BW376" s="486">
        <v>0</v>
      </c>
      <c r="BX376" s="487">
        <v>0</v>
      </c>
      <c r="BY376" s="486">
        <v>0</v>
      </c>
      <c r="BZ376" s="486">
        <v>0</v>
      </c>
      <c r="CA376" s="486">
        <v>0</v>
      </c>
      <c r="CB376" s="488">
        <v>0</v>
      </c>
      <c r="CC376" s="491">
        <v>0</v>
      </c>
      <c r="CD376" s="492">
        <v>1500000000</v>
      </c>
      <c r="CE376" s="493">
        <f t="shared" si="25"/>
        <v>0</v>
      </c>
      <c r="CF376" s="493">
        <f t="shared" si="25"/>
        <v>0</v>
      </c>
      <c r="CG376" s="493">
        <f t="shared" si="25"/>
        <v>0</v>
      </c>
      <c r="CH376" s="493">
        <f t="shared" si="25"/>
        <v>0</v>
      </c>
      <c r="CI376" s="493">
        <f t="shared" si="26"/>
        <v>0</v>
      </c>
      <c r="CJ376" s="493">
        <f t="shared" si="26"/>
        <v>0</v>
      </c>
      <c r="CK376" s="493">
        <f t="shared" si="26"/>
        <v>0</v>
      </c>
      <c r="CL376" s="493">
        <f t="shared" si="26"/>
        <v>0</v>
      </c>
      <c r="CM376" s="493">
        <f t="shared" si="23"/>
        <v>0</v>
      </c>
      <c r="CN376" s="493">
        <f t="shared" si="23"/>
        <v>1500000000</v>
      </c>
      <c r="CO376" s="493">
        <f t="shared" si="23"/>
        <v>0</v>
      </c>
    </row>
    <row r="377" spans="1:93" ht="30.45" hidden="1" customHeight="1">
      <c r="A377" s="555" t="s">
        <v>4722</v>
      </c>
      <c r="B377" s="479">
        <v>375</v>
      </c>
      <c r="C377" s="480" t="s">
        <v>6370</v>
      </c>
      <c r="D377" s="480" t="s">
        <v>4711</v>
      </c>
      <c r="E377" s="480" t="str">
        <f t="shared" si="22"/>
        <v xml:space="preserve">4.1.4 </v>
      </c>
      <c r="F377" s="480" t="s">
        <v>4728</v>
      </c>
      <c r="G377" s="480" t="s">
        <v>4729</v>
      </c>
      <c r="H377" s="481">
        <v>19</v>
      </c>
      <c r="I377" s="480" t="s">
        <v>4738</v>
      </c>
      <c r="J377" s="495">
        <v>190600800</v>
      </c>
      <c r="K377" s="480" t="s">
        <v>4739</v>
      </c>
      <c r="L377" s="480" t="s">
        <v>4743</v>
      </c>
      <c r="M377" s="480" t="s">
        <v>5974</v>
      </c>
      <c r="N377" s="499">
        <v>8</v>
      </c>
      <c r="O377" s="480" t="s">
        <v>4731</v>
      </c>
      <c r="P377" s="515">
        <v>12</v>
      </c>
      <c r="Q377" s="485" t="s">
        <v>5349</v>
      </c>
      <c r="R377" s="485" t="s">
        <v>5542</v>
      </c>
      <c r="S377" s="485" t="s">
        <v>5543</v>
      </c>
      <c r="T377" s="485">
        <v>7.89</v>
      </c>
      <c r="U377" s="485" t="s">
        <v>5544</v>
      </c>
      <c r="V377" s="485">
        <v>6</v>
      </c>
      <c r="W377" s="485" t="s">
        <v>5357</v>
      </c>
      <c r="X377" s="485">
        <v>3</v>
      </c>
      <c r="Y377" s="485" t="s">
        <v>5545</v>
      </c>
      <c r="Z377" s="486">
        <v>0</v>
      </c>
      <c r="AA377" s="486">
        <v>0</v>
      </c>
      <c r="AB377" s="486">
        <v>0</v>
      </c>
      <c r="AC377" s="486">
        <v>0</v>
      </c>
      <c r="AD377" s="486">
        <v>0</v>
      </c>
      <c r="AE377" s="486">
        <v>0</v>
      </c>
      <c r="AF377" s="486">
        <v>0</v>
      </c>
      <c r="AG377" s="486">
        <v>0</v>
      </c>
      <c r="AH377" s="487">
        <v>0</v>
      </c>
      <c r="AI377" s="486">
        <v>6000000000</v>
      </c>
      <c r="AJ377" s="486">
        <v>10000000000</v>
      </c>
      <c r="AK377" s="486">
        <v>1000000000</v>
      </c>
      <c r="AL377" s="488">
        <v>17000000000</v>
      </c>
      <c r="AM377" s="489">
        <v>17000000000</v>
      </c>
      <c r="AN377" s="486">
        <v>0</v>
      </c>
      <c r="AO377" s="486">
        <v>0</v>
      </c>
      <c r="AP377" s="486">
        <v>0</v>
      </c>
      <c r="AQ377" s="486">
        <v>0</v>
      </c>
      <c r="AR377" s="486">
        <v>0</v>
      </c>
      <c r="AS377" s="486">
        <v>0</v>
      </c>
      <c r="AT377" s="486">
        <v>0</v>
      </c>
      <c r="AU377" s="486">
        <v>0</v>
      </c>
      <c r="AV377" s="487">
        <v>0</v>
      </c>
      <c r="AW377" s="486">
        <v>6000000000</v>
      </c>
      <c r="AX377" s="486">
        <v>10000000000</v>
      </c>
      <c r="AY377" s="486">
        <v>1000000000</v>
      </c>
      <c r="AZ377" s="488">
        <v>17000000000</v>
      </c>
      <c r="BA377" s="490">
        <v>17000000000</v>
      </c>
      <c r="BB377" s="486">
        <v>0</v>
      </c>
      <c r="BC377" s="486">
        <v>0</v>
      </c>
      <c r="BD377" s="486">
        <v>0</v>
      </c>
      <c r="BE377" s="486">
        <v>0</v>
      </c>
      <c r="BF377" s="486">
        <v>0</v>
      </c>
      <c r="BG377" s="486">
        <v>0</v>
      </c>
      <c r="BH377" s="486">
        <v>0</v>
      </c>
      <c r="BI377" s="486">
        <v>0</v>
      </c>
      <c r="BJ377" s="487">
        <v>0</v>
      </c>
      <c r="BK377" s="486">
        <v>6000000000</v>
      </c>
      <c r="BL377" s="486">
        <v>10000000000</v>
      </c>
      <c r="BM377" s="486">
        <v>1000000000</v>
      </c>
      <c r="BN377" s="488">
        <v>17000000000</v>
      </c>
      <c r="BO377" s="490">
        <v>17000000000</v>
      </c>
      <c r="BP377" s="486">
        <v>0</v>
      </c>
      <c r="BQ377" s="486">
        <v>0</v>
      </c>
      <c r="BR377" s="486">
        <v>0</v>
      </c>
      <c r="BS377" s="486">
        <v>0</v>
      </c>
      <c r="BT377" s="486">
        <v>0</v>
      </c>
      <c r="BU377" s="486">
        <v>0</v>
      </c>
      <c r="BV377" s="486">
        <v>0</v>
      </c>
      <c r="BW377" s="486">
        <v>0</v>
      </c>
      <c r="BX377" s="487">
        <v>0</v>
      </c>
      <c r="BY377" s="486">
        <v>6000000000</v>
      </c>
      <c r="BZ377" s="486">
        <v>10000000000</v>
      </c>
      <c r="CA377" s="486">
        <v>1000000000</v>
      </c>
      <c r="CB377" s="488">
        <v>17000000000</v>
      </c>
      <c r="CC377" s="491">
        <v>17000000000</v>
      </c>
      <c r="CD377" s="492">
        <v>68000000000</v>
      </c>
      <c r="CE377" s="493">
        <f t="shared" si="25"/>
        <v>0</v>
      </c>
      <c r="CF377" s="493">
        <f t="shared" si="25"/>
        <v>0</v>
      </c>
      <c r="CG377" s="493">
        <f t="shared" si="25"/>
        <v>0</v>
      </c>
      <c r="CH377" s="493">
        <f t="shared" si="25"/>
        <v>0</v>
      </c>
      <c r="CI377" s="493">
        <f t="shared" si="26"/>
        <v>0</v>
      </c>
      <c r="CJ377" s="493">
        <f t="shared" si="26"/>
        <v>0</v>
      </c>
      <c r="CK377" s="493">
        <f t="shared" si="26"/>
        <v>0</v>
      </c>
      <c r="CL377" s="493">
        <f t="shared" si="26"/>
        <v>0</v>
      </c>
      <c r="CM377" s="493">
        <f t="shared" si="23"/>
        <v>24000000000</v>
      </c>
      <c r="CN377" s="493">
        <f t="shared" si="23"/>
        <v>40000000000</v>
      </c>
      <c r="CO377" s="493">
        <f t="shared" si="23"/>
        <v>4000000000</v>
      </c>
    </row>
    <row r="378" spans="1:93" ht="30.45" hidden="1" customHeight="1">
      <c r="A378" s="555" t="s">
        <v>4722</v>
      </c>
      <c r="B378" s="479">
        <v>376</v>
      </c>
      <c r="C378" s="480" t="s">
        <v>6370</v>
      </c>
      <c r="D378" s="480" t="s">
        <v>4711</v>
      </c>
      <c r="E378" s="480" t="str">
        <f t="shared" si="22"/>
        <v xml:space="preserve">4.1.4 </v>
      </c>
      <c r="F378" s="480" t="s">
        <v>4728</v>
      </c>
      <c r="G378" s="480" t="s">
        <v>4729</v>
      </c>
      <c r="H378" s="481">
        <v>19</v>
      </c>
      <c r="I378" s="480" t="s">
        <v>4738</v>
      </c>
      <c r="J378" s="495">
        <v>190601200</v>
      </c>
      <c r="K378" s="480" t="s">
        <v>4739</v>
      </c>
      <c r="L378" s="480" t="s">
        <v>4744</v>
      </c>
      <c r="M378" s="480" t="s">
        <v>5975</v>
      </c>
      <c r="N378" s="499">
        <v>8</v>
      </c>
      <c r="O378" s="480" t="s">
        <v>4731</v>
      </c>
      <c r="P378" s="515">
        <v>12</v>
      </c>
      <c r="Q378" s="485" t="s">
        <v>5349</v>
      </c>
      <c r="R378" s="485" t="s">
        <v>5542</v>
      </c>
      <c r="S378" s="485" t="s">
        <v>5543</v>
      </c>
      <c r="T378" s="485">
        <v>7.89</v>
      </c>
      <c r="U378" s="485" t="s">
        <v>5544</v>
      </c>
      <c r="V378" s="485">
        <v>6</v>
      </c>
      <c r="W378" s="485" t="s">
        <v>5357</v>
      </c>
      <c r="X378" s="485">
        <v>3</v>
      </c>
      <c r="Y378" s="485" t="s">
        <v>5545</v>
      </c>
      <c r="Z378" s="486">
        <v>0</v>
      </c>
      <c r="AA378" s="486">
        <v>0</v>
      </c>
      <c r="AB378" s="486">
        <v>0</v>
      </c>
      <c r="AC378" s="486">
        <v>0</v>
      </c>
      <c r="AD378" s="486">
        <v>0</v>
      </c>
      <c r="AE378" s="486">
        <v>0</v>
      </c>
      <c r="AF378" s="486">
        <v>0</v>
      </c>
      <c r="AG378" s="486">
        <v>0</v>
      </c>
      <c r="AH378" s="487">
        <v>0</v>
      </c>
      <c r="AI378" s="486">
        <v>0</v>
      </c>
      <c r="AJ378" s="486">
        <v>1000000000</v>
      </c>
      <c r="AK378" s="486">
        <v>0</v>
      </c>
      <c r="AL378" s="488">
        <v>1000000000</v>
      </c>
      <c r="AM378" s="489">
        <v>1000000000</v>
      </c>
      <c r="AN378" s="486">
        <v>0</v>
      </c>
      <c r="AO378" s="486">
        <v>0</v>
      </c>
      <c r="AP378" s="486">
        <v>0</v>
      </c>
      <c r="AQ378" s="486">
        <v>0</v>
      </c>
      <c r="AR378" s="486">
        <v>0</v>
      </c>
      <c r="AS378" s="486">
        <v>0</v>
      </c>
      <c r="AT378" s="486">
        <v>0</v>
      </c>
      <c r="AU378" s="486">
        <v>0</v>
      </c>
      <c r="AV378" s="487">
        <v>0</v>
      </c>
      <c r="AW378" s="486">
        <v>0</v>
      </c>
      <c r="AX378" s="486">
        <v>5000000000</v>
      </c>
      <c r="AY378" s="486">
        <v>0</v>
      </c>
      <c r="AZ378" s="488">
        <v>5000000000</v>
      </c>
      <c r="BA378" s="490">
        <v>5000000000</v>
      </c>
      <c r="BB378" s="486">
        <v>0</v>
      </c>
      <c r="BC378" s="486">
        <v>0</v>
      </c>
      <c r="BD378" s="486">
        <v>0</v>
      </c>
      <c r="BE378" s="486">
        <v>0</v>
      </c>
      <c r="BF378" s="486">
        <v>0</v>
      </c>
      <c r="BG378" s="486">
        <v>0</v>
      </c>
      <c r="BH378" s="486">
        <v>0</v>
      </c>
      <c r="BI378" s="486">
        <v>0</v>
      </c>
      <c r="BJ378" s="487">
        <v>0</v>
      </c>
      <c r="BK378" s="486">
        <v>0</v>
      </c>
      <c r="BL378" s="486">
        <v>5000000000</v>
      </c>
      <c r="BM378" s="486">
        <v>0</v>
      </c>
      <c r="BN378" s="488">
        <v>5000000000</v>
      </c>
      <c r="BO378" s="490">
        <v>5000000000</v>
      </c>
      <c r="BP378" s="486">
        <v>0</v>
      </c>
      <c r="BQ378" s="486">
        <v>0</v>
      </c>
      <c r="BR378" s="486">
        <v>0</v>
      </c>
      <c r="BS378" s="486">
        <v>0</v>
      </c>
      <c r="BT378" s="486">
        <v>0</v>
      </c>
      <c r="BU378" s="486">
        <v>0</v>
      </c>
      <c r="BV378" s="486">
        <v>0</v>
      </c>
      <c r="BW378" s="486">
        <v>0</v>
      </c>
      <c r="BX378" s="487">
        <v>0</v>
      </c>
      <c r="BY378" s="486">
        <v>0</v>
      </c>
      <c r="BZ378" s="486">
        <v>4000000000</v>
      </c>
      <c r="CA378" s="486">
        <v>0</v>
      </c>
      <c r="CB378" s="488">
        <v>4000000000</v>
      </c>
      <c r="CC378" s="491">
        <v>4000000000</v>
      </c>
      <c r="CD378" s="492">
        <v>15000000000</v>
      </c>
      <c r="CE378" s="493">
        <f t="shared" si="25"/>
        <v>0</v>
      </c>
      <c r="CF378" s="493">
        <f t="shared" si="25"/>
        <v>0</v>
      </c>
      <c r="CG378" s="493">
        <f t="shared" si="25"/>
        <v>0</v>
      </c>
      <c r="CH378" s="493">
        <f t="shared" si="25"/>
        <v>0</v>
      </c>
      <c r="CI378" s="493">
        <f t="shared" si="26"/>
        <v>0</v>
      </c>
      <c r="CJ378" s="493">
        <f t="shared" si="26"/>
        <v>0</v>
      </c>
      <c r="CK378" s="493">
        <f t="shared" si="26"/>
        <v>0</v>
      </c>
      <c r="CL378" s="493">
        <f t="shared" si="26"/>
        <v>0</v>
      </c>
      <c r="CM378" s="493">
        <f t="shared" si="23"/>
        <v>0</v>
      </c>
      <c r="CN378" s="493">
        <f t="shared" si="23"/>
        <v>15000000000</v>
      </c>
      <c r="CO378" s="493">
        <f t="shared" si="23"/>
        <v>0</v>
      </c>
    </row>
    <row r="379" spans="1:93" ht="30.45" hidden="1" customHeight="1">
      <c r="A379" s="555" t="s">
        <v>4722</v>
      </c>
      <c r="B379" s="479">
        <v>377</v>
      </c>
      <c r="C379" s="480" t="s">
        <v>6370</v>
      </c>
      <c r="D379" s="480" t="s">
        <v>4711</v>
      </c>
      <c r="E379" s="480" t="str">
        <f t="shared" si="22"/>
        <v xml:space="preserve">4.1.4 </v>
      </c>
      <c r="F379" s="480" t="s">
        <v>4728</v>
      </c>
      <c r="G379" s="480" t="s">
        <v>4729</v>
      </c>
      <c r="H379" s="481">
        <v>19</v>
      </c>
      <c r="I379" s="480" t="s">
        <v>4738</v>
      </c>
      <c r="J379" s="495">
        <v>190601200</v>
      </c>
      <c r="K379" s="480" t="s">
        <v>4739</v>
      </c>
      <c r="L379" s="480" t="s">
        <v>4745</v>
      </c>
      <c r="M379" s="480" t="s">
        <v>5976</v>
      </c>
      <c r="N379" s="499">
        <v>3</v>
      </c>
      <c r="O379" s="480" t="s">
        <v>4731</v>
      </c>
      <c r="P379" s="515">
        <v>9</v>
      </c>
      <c r="Q379" s="485" t="s">
        <v>5349</v>
      </c>
      <c r="R379" s="485" t="s">
        <v>5542</v>
      </c>
      <c r="S379" s="485" t="s">
        <v>5543</v>
      </c>
      <c r="T379" s="485">
        <v>7.89</v>
      </c>
      <c r="U379" s="485" t="s">
        <v>5544</v>
      </c>
      <c r="V379" s="485">
        <v>6</v>
      </c>
      <c r="W379" s="485" t="s">
        <v>5357</v>
      </c>
      <c r="X379" s="485">
        <v>3</v>
      </c>
      <c r="Y379" s="485" t="s">
        <v>5545</v>
      </c>
      <c r="Z379" s="486">
        <v>0</v>
      </c>
      <c r="AA379" s="486">
        <v>0</v>
      </c>
      <c r="AB379" s="486">
        <v>0</v>
      </c>
      <c r="AC379" s="486">
        <v>0</v>
      </c>
      <c r="AD379" s="486">
        <v>0</v>
      </c>
      <c r="AE379" s="486">
        <v>0</v>
      </c>
      <c r="AF379" s="486">
        <v>0</v>
      </c>
      <c r="AG379" s="486">
        <v>0</v>
      </c>
      <c r="AH379" s="487">
        <v>0</v>
      </c>
      <c r="AI379" s="486">
        <v>0</v>
      </c>
      <c r="AJ379" s="486"/>
      <c r="AK379" s="486">
        <v>0</v>
      </c>
      <c r="AL379" s="488">
        <v>0</v>
      </c>
      <c r="AM379" s="489">
        <v>0</v>
      </c>
      <c r="AN379" s="486">
        <v>0</v>
      </c>
      <c r="AO379" s="486">
        <v>0</v>
      </c>
      <c r="AP379" s="486">
        <v>0</v>
      </c>
      <c r="AQ379" s="486">
        <v>0</v>
      </c>
      <c r="AR379" s="486">
        <v>0</v>
      </c>
      <c r="AS379" s="486">
        <v>0</v>
      </c>
      <c r="AT379" s="486">
        <v>0</v>
      </c>
      <c r="AU379" s="486">
        <v>0</v>
      </c>
      <c r="AV379" s="487">
        <v>0</v>
      </c>
      <c r="AW379" s="486">
        <v>0</v>
      </c>
      <c r="AX379" s="486">
        <v>1500000000</v>
      </c>
      <c r="AY379" s="486">
        <v>0</v>
      </c>
      <c r="AZ379" s="488">
        <v>1500000000</v>
      </c>
      <c r="BA379" s="490">
        <v>1500000000</v>
      </c>
      <c r="BB379" s="486">
        <v>0</v>
      </c>
      <c r="BC379" s="486">
        <v>0</v>
      </c>
      <c r="BD379" s="486">
        <v>0</v>
      </c>
      <c r="BE379" s="486">
        <v>0</v>
      </c>
      <c r="BF379" s="486">
        <v>0</v>
      </c>
      <c r="BG379" s="486">
        <v>0</v>
      </c>
      <c r="BH379" s="486">
        <v>0</v>
      </c>
      <c r="BI379" s="486">
        <v>0</v>
      </c>
      <c r="BJ379" s="487">
        <v>0</v>
      </c>
      <c r="BK379" s="486">
        <v>0</v>
      </c>
      <c r="BL379" s="486">
        <v>0</v>
      </c>
      <c r="BM379" s="486">
        <v>0</v>
      </c>
      <c r="BN379" s="488">
        <v>0</v>
      </c>
      <c r="BO379" s="490">
        <v>0</v>
      </c>
      <c r="BP379" s="486">
        <v>0</v>
      </c>
      <c r="BQ379" s="486">
        <v>0</v>
      </c>
      <c r="BR379" s="486">
        <v>0</v>
      </c>
      <c r="BS379" s="486">
        <v>0</v>
      </c>
      <c r="BT379" s="486">
        <v>0</v>
      </c>
      <c r="BU379" s="486">
        <v>0</v>
      </c>
      <c r="BV379" s="486">
        <v>0</v>
      </c>
      <c r="BW379" s="486">
        <v>0</v>
      </c>
      <c r="BX379" s="487">
        <v>0</v>
      </c>
      <c r="BY379" s="486">
        <v>0</v>
      </c>
      <c r="BZ379" s="486">
        <v>0</v>
      </c>
      <c r="CA379" s="486">
        <v>0</v>
      </c>
      <c r="CB379" s="488">
        <v>0</v>
      </c>
      <c r="CC379" s="491">
        <v>0</v>
      </c>
      <c r="CD379" s="492">
        <v>1500000000</v>
      </c>
      <c r="CE379" s="493">
        <f t="shared" si="25"/>
        <v>0</v>
      </c>
      <c r="CF379" s="493">
        <f t="shared" si="25"/>
        <v>0</v>
      </c>
      <c r="CG379" s="493">
        <f t="shared" si="25"/>
        <v>0</v>
      </c>
      <c r="CH379" s="493">
        <f t="shared" si="25"/>
        <v>0</v>
      </c>
      <c r="CI379" s="493">
        <f t="shared" si="26"/>
        <v>0</v>
      </c>
      <c r="CJ379" s="493">
        <f t="shared" si="26"/>
        <v>0</v>
      </c>
      <c r="CK379" s="493">
        <f t="shared" si="26"/>
        <v>0</v>
      </c>
      <c r="CL379" s="493">
        <f t="shared" si="26"/>
        <v>0</v>
      </c>
      <c r="CM379" s="493">
        <f t="shared" si="23"/>
        <v>0</v>
      </c>
      <c r="CN379" s="493">
        <f t="shared" si="23"/>
        <v>1500000000</v>
      </c>
      <c r="CO379" s="493">
        <f t="shared" si="23"/>
        <v>0</v>
      </c>
    </row>
    <row r="380" spans="1:93" ht="30.45" hidden="1" customHeight="1">
      <c r="A380" s="555" t="s">
        <v>4722</v>
      </c>
      <c r="B380" s="479">
        <v>378</v>
      </c>
      <c r="C380" s="480" t="s">
        <v>6370</v>
      </c>
      <c r="D380" s="480" t="s">
        <v>4711</v>
      </c>
      <c r="E380" s="480" t="str">
        <f t="shared" si="22"/>
        <v xml:space="preserve">4.1.4 </v>
      </c>
      <c r="F380" s="480" t="s">
        <v>4728</v>
      </c>
      <c r="G380" s="480" t="s">
        <v>4729</v>
      </c>
      <c r="H380" s="481">
        <v>19</v>
      </c>
      <c r="I380" s="480" t="s">
        <v>4738</v>
      </c>
      <c r="J380" s="495">
        <v>190601500</v>
      </c>
      <c r="K380" s="480" t="s">
        <v>4746</v>
      </c>
      <c r="L380" s="480" t="s">
        <v>4747</v>
      </c>
      <c r="M380" s="480" t="s">
        <v>5977</v>
      </c>
      <c r="N380" s="499">
        <v>1</v>
      </c>
      <c r="O380" s="480" t="s">
        <v>4731</v>
      </c>
      <c r="P380" s="515">
        <v>1</v>
      </c>
      <c r="Q380" s="485" t="s">
        <v>5349</v>
      </c>
      <c r="R380" s="485" t="s">
        <v>5542</v>
      </c>
      <c r="S380" s="485" t="s">
        <v>5543</v>
      </c>
      <c r="T380" s="485">
        <v>7.89</v>
      </c>
      <c r="U380" s="485" t="s">
        <v>5544</v>
      </c>
      <c r="V380" s="485">
        <v>6</v>
      </c>
      <c r="W380" s="485" t="s">
        <v>5357</v>
      </c>
      <c r="X380" s="485">
        <v>3</v>
      </c>
      <c r="Y380" s="485" t="s">
        <v>5545</v>
      </c>
      <c r="Z380" s="486">
        <v>0</v>
      </c>
      <c r="AA380" s="486">
        <v>0</v>
      </c>
      <c r="AB380" s="486">
        <v>0</v>
      </c>
      <c r="AC380" s="486">
        <v>0</v>
      </c>
      <c r="AD380" s="486">
        <v>0</v>
      </c>
      <c r="AE380" s="486">
        <v>0</v>
      </c>
      <c r="AF380" s="486">
        <v>0</v>
      </c>
      <c r="AG380" s="486">
        <v>0</v>
      </c>
      <c r="AH380" s="487">
        <v>0</v>
      </c>
      <c r="AI380" s="486">
        <v>0</v>
      </c>
      <c r="AJ380" s="486">
        <v>18000000000</v>
      </c>
      <c r="AK380" s="486">
        <v>0</v>
      </c>
      <c r="AL380" s="488">
        <v>18000000000</v>
      </c>
      <c r="AM380" s="489">
        <v>18000000000</v>
      </c>
      <c r="AN380" s="486">
        <v>0</v>
      </c>
      <c r="AO380" s="486">
        <v>0</v>
      </c>
      <c r="AP380" s="486">
        <v>0</v>
      </c>
      <c r="AQ380" s="486">
        <v>0</v>
      </c>
      <c r="AR380" s="486">
        <v>0</v>
      </c>
      <c r="AS380" s="486">
        <v>0</v>
      </c>
      <c r="AT380" s="486">
        <v>0</v>
      </c>
      <c r="AU380" s="486">
        <v>0</v>
      </c>
      <c r="AV380" s="487">
        <v>0</v>
      </c>
      <c r="AW380" s="486">
        <v>0</v>
      </c>
      <c r="AX380" s="486">
        <v>95000000000</v>
      </c>
      <c r="AY380" s="486">
        <v>0</v>
      </c>
      <c r="AZ380" s="488">
        <v>95000000000</v>
      </c>
      <c r="BA380" s="490">
        <v>95000000000</v>
      </c>
      <c r="BB380" s="486">
        <v>0</v>
      </c>
      <c r="BC380" s="486">
        <v>0</v>
      </c>
      <c r="BD380" s="486">
        <v>0</v>
      </c>
      <c r="BE380" s="486">
        <v>0</v>
      </c>
      <c r="BF380" s="486">
        <v>0</v>
      </c>
      <c r="BG380" s="486">
        <v>0</v>
      </c>
      <c r="BH380" s="486">
        <v>0</v>
      </c>
      <c r="BI380" s="486">
        <v>0</v>
      </c>
      <c r="BJ380" s="487">
        <v>0</v>
      </c>
      <c r="BK380" s="486">
        <v>0</v>
      </c>
      <c r="BL380" s="486">
        <v>0</v>
      </c>
      <c r="BM380" s="486">
        <v>0</v>
      </c>
      <c r="BN380" s="488">
        <v>0</v>
      </c>
      <c r="BO380" s="490">
        <v>0</v>
      </c>
      <c r="BP380" s="486">
        <v>0</v>
      </c>
      <c r="BQ380" s="486">
        <v>0</v>
      </c>
      <c r="BR380" s="486">
        <v>0</v>
      </c>
      <c r="BS380" s="486">
        <v>0</v>
      </c>
      <c r="BT380" s="486">
        <v>0</v>
      </c>
      <c r="BU380" s="486">
        <v>0</v>
      </c>
      <c r="BV380" s="486">
        <v>0</v>
      </c>
      <c r="BW380" s="486">
        <v>0</v>
      </c>
      <c r="BX380" s="487">
        <v>0</v>
      </c>
      <c r="BY380" s="486">
        <v>0</v>
      </c>
      <c r="BZ380" s="486">
        <v>0</v>
      </c>
      <c r="CA380" s="486">
        <v>0</v>
      </c>
      <c r="CB380" s="488">
        <v>0</v>
      </c>
      <c r="CC380" s="491">
        <v>0</v>
      </c>
      <c r="CD380" s="492">
        <v>113000000000</v>
      </c>
      <c r="CE380" s="493">
        <f t="shared" si="25"/>
        <v>0</v>
      </c>
      <c r="CF380" s="493">
        <f t="shared" si="25"/>
        <v>0</v>
      </c>
      <c r="CG380" s="493">
        <f t="shared" si="25"/>
        <v>0</v>
      </c>
      <c r="CH380" s="493">
        <f t="shared" si="25"/>
        <v>0</v>
      </c>
      <c r="CI380" s="493">
        <f t="shared" si="26"/>
        <v>0</v>
      </c>
      <c r="CJ380" s="493">
        <f t="shared" si="26"/>
        <v>0</v>
      </c>
      <c r="CK380" s="493">
        <f t="shared" si="26"/>
        <v>0</v>
      </c>
      <c r="CL380" s="493">
        <f t="shared" si="26"/>
        <v>0</v>
      </c>
      <c r="CM380" s="493">
        <f t="shared" si="23"/>
        <v>0</v>
      </c>
      <c r="CN380" s="493">
        <f t="shared" si="23"/>
        <v>113000000000</v>
      </c>
      <c r="CO380" s="493">
        <f t="shared" si="23"/>
        <v>0</v>
      </c>
    </row>
    <row r="381" spans="1:93" ht="30.45" hidden="1" customHeight="1">
      <c r="A381" s="555" t="s">
        <v>4722</v>
      </c>
      <c r="B381" s="479">
        <v>379</v>
      </c>
      <c r="C381" s="480" t="s">
        <v>6370</v>
      </c>
      <c r="D381" s="480" t="s">
        <v>4711</v>
      </c>
      <c r="E381" s="480" t="str">
        <f t="shared" si="22"/>
        <v xml:space="preserve">4.1.4 </v>
      </c>
      <c r="F381" s="480" t="s">
        <v>4728</v>
      </c>
      <c r="G381" s="480" t="s">
        <v>4729</v>
      </c>
      <c r="H381" s="481">
        <v>19</v>
      </c>
      <c r="I381" s="480" t="s">
        <v>4738</v>
      </c>
      <c r="J381" s="495">
        <v>190601900</v>
      </c>
      <c r="K381" s="480" t="s">
        <v>4739</v>
      </c>
      <c r="L381" s="480" t="s">
        <v>4748</v>
      </c>
      <c r="M381" s="480" t="s">
        <v>5978</v>
      </c>
      <c r="N381" s="499">
        <v>1</v>
      </c>
      <c r="O381" s="480" t="s">
        <v>4731</v>
      </c>
      <c r="P381" s="515">
        <v>1</v>
      </c>
      <c r="Q381" s="485" t="s">
        <v>5349</v>
      </c>
      <c r="R381" s="485" t="s">
        <v>5542</v>
      </c>
      <c r="S381" s="485" t="s">
        <v>5543</v>
      </c>
      <c r="T381" s="485">
        <v>7.89</v>
      </c>
      <c r="U381" s="485" t="s">
        <v>5544</v>
      </c>
      <c r="V381" s="485">
        <v>6</v>
      </c>
      <c r="W381" s="485" t="s">
        <v>5357</v>
      </c>
      <c r="X381" s="485">
        <v>3</v>
      </c>
      <c r="Y381" s="485" t="s">
        <v>5545</v>
      </c>
      <c r="Z381" s="486">
        <v>0</v>
      </c>
      <c r="AA381" s="486">
        <v>0</v>
      </c>
      <c r="AB381" s="486">
        <v>0</v>
      </c>
      <c r="AC381" s="486">
        <v>0</v>
      </c>
      <c r="AD381" s="486">
        <v>0</v>
      </c>
      <c r="AE381" s="486">
        <v>0</v>
      </c>
      <c r="AF381" s="486">
        <v>0</v>
      </c>
      <c r="AG381" s="486">
        <v>0</v>
      </c>
      <c r="AH381" s="487">
        <v>0</v>
      </c>
      <c r="AI381" s="486">
        <v>0</v>
      </c>
      <c r="AJ381" s="486">
        <v>2000000000</v>
      </c>
      <c r="AK381" s="486">
        <v>1500000000</v>
      </c>
      <c r="AL381" s="488">
        <v>3500000000</v>
      </c>
      <c r="AM381" s="489">
        <v>3500000000</v>
      </c>
      <c r="AN381" s="486">
        <v>0</v>
      </c>
      <c r="AO381" s="486">
        <v>0</v>
      </c>
      <c r="AP381" s="486">
        <v>0</v>
      </c>
      <c r="AQ381" s="486">
        <v>0</v>
      </c>
      <c r="AR381" s="486">
        <v>0</v>
      </c>
      <c r="AS381" s="486">
        <v>0</v>
      </c>
      <c r="AT381" s="486">
        <v>0</v>
      </c>
      <c r="AU381" s="486">
        <v>0</v>
      </c>
      <c r="AV381" s="487">
        <v>0</v>
      </c>
      <c r="AW381" s="486">
        <v>0</v>
      </c>
      <c r="AX381" s="486">
        <v>4000000000</v>
      </c>
      <c r="AY381" s="486">
        <v>0</v>
      </c>
      <c r="AZ381" s="488">
        <v>4000000000</v>
      </c>
      <c r="BA381" s="490">
        <v>4000000000</v>
      </c>
      <c r="BB381" s="486">
        <v>0</v>
      </c>
      <c r="BC381" s="486">
        <v>0</v>
      </c>
      <c r="BD381" s="486">
        <v>0</v>
      </c>
      <c r="BE381" s="486">
        <v>0</v>
      </c>
      <c r="BF381" s="486">
        <v>0</v>
      </c>
      <c r="BG381" s="486">
        <v>0</v>
      </c>
      <c r="BH381" s="486">
        <v>0</v>
      </c>
      <c r="BI381" s="486">
        <v>0</v>
      </c>
      <c r="BJ381" s="487">
        <v>0</v>
      </c>
      <c r="BK381" s="486">
        <v>0</v>
      </c>
      <c r="BL381" s="486">
        <v>4000000000</v>
      </c>
      <c r="BM381" s="486">
        <v>0</v>
      </c>
      <c r="BN381" s="488">
        <v>4000000000</v>
      </c>
      <c r="BO381" s="490">
        <v>4000000000</v>
      </c>
      <c r="BP381" s="486">
        <v>0</v>
      </c>
      <c r="BQ381" s="486">
        <v>0</v>
      </c>
      <c r="BR381" s="486">
        <v>0</v>
      </c>
      <c r="BS381" s="486">
        <v>0</v>
      </c>
      <c r="BT381" s="486">
        <v>0</v>
      </c>
      <c r="BU381" s="486">
        <v>0</v>
      </c>
      <c r="BV381" s="486">
        <v>0</v>
      </c>
      <c r="BW381" s="486">
        <v>0</v>
      </c>
      <c r="BX381" s="487">
        <v>0</v>
      </c>
      <c r="BY381" s="486">
        <v>0</v>
      </c>
      <c r="BZ381" s="486">
        <v>4000000000</v>
      </c>
      <c r="CA381" s="486">
        <v>0</v>
      </c>
      <c r="CB381" s="488">
        <v>4000000000</v>
      </c>
      <c r="CC381" s="491">
        <v>4000000000</v>
      </c>
      <c r="CD381" s="492">
        <v>15500000000</v>
      </c>
      <c r="CE381" s="493">
        <f t="shared" si="25"/>
        <v>0</v>
      </c>
      <c r="CF381" s="493">
        <f t="shared" si="25"/>
        <v>0</v>
      </c>
      <c r="CG381" s="493">
        <f t="shared" si="25"/>
        <v>0</v>
      </c>
      <c r="CH381" s="493">
        <f t="shared" si="25"/>
        <v>0</v>
      </c>
      <c r="CI381" s="493">
        <f t="shared" si="26"/>
        <v>0</v>
      </c>
      <c r="CJ381" s="493">
        <f t="shared" si="26"/>
        <v>0</v>
      </c>
      <c r="CK381" s="493">
        <f t="shared" si="26"/>
        <v>0</v>
      </c>
      <c r="CL381" s="493">
        <f t="shared" si="26"/>
        <v>0</v>
      </c>
      <c r="CM381" s="493">
        <f t="shared" si="23"/>
        <v>0</v>
      </c>
      <c r="CN381" s="493">
        <f t="shared" si="23"/>
        <v>14000000000</v>
      </c>
      <c r="CO381" s="493">
        <f t="shared" si="23"/>
        <v>1500000000</v>
      </c>
    </row>
    <row r="382" spans="1:93" ht="30.45" hidden="1" customHeight="1">
      <c r="A382" s="555" t="s">
        <v>4722</v>
      </c>
      <c r="B382" s="479">
        <v>380</v>
      </c>
      <c r="C382" s="480" t="s">
        <v>6370</v>
      </c>
      <c r="D382" s="480" t="s">
        <v>4711</v>
      </c>
      <c r="E382" s="480" t="str">
        <f t="shared" si="22"/>
        <v xml:space="preserve">4.1.4 </v>
      </c>
      <c r="F382" s="480" t="s">
        <v>4728</v>
      </c>
      <c r="G382" s="480" t="s">
        <v>4729</v>
      </c>
      <c r="H382" s="481">
        <v>19</v>
      </c>
      <c r="I382" s="480" t="s">
        <v>4738</v>
      </c>
      <c r="J382" s="495">
        <v>190602200</v>
      </c>
      <c r="K382" s="480" t="s">
        <v>4088</v>
      </c>
      <c r="L382" s="480" t="s">
        <v>4749</v>
      </c>
      <c r="M382" s="480" t="s">
        <v>4749</v>
      </c>
      <c r="N382" s="499">
        <v>10</v>
      </c>
      <c r="O382" s="480" t="s">
        <v>4731</v>
      </c>
      <c r="P382" s="515">
        <v>30</v>
      </c>
      <c r="Q382" s="485" t="s">
        <v>5349</v>
      </c>
      <c r="R382" s="485" t="s">
        <v>5542</v>
      </c>
      <c r="S382" s="485" t="s">
        <v>5543</v>
      </c>
      <c r="T382" s="485">
        <v>7.89</v>
      </c>
      <c r="U382" s="485" t="s">
        <v>5544</v>
      </c>
      <c r="V382" s="485">
        <v>6</v>
      </c>
      <c r="W382" s="485" t="s">
        <v>5357</v>
      </c>
      <c r="X382" s="485">
        <v>3</v>
      </c>
      <c r="Y382" s="485" t="s">
        <v>5545</v>
      </c>
      <c r="Z382" s="486">
        <v>0</v>
      </c>
      <c r="AA382" s="486">
        <v>0</v>
      </c>
      <c r="AB382" s="486">
        <v>0</v>
      </c>
      <c r="AC382" s="486">
        <v>0</v>
      </c>
      <c r="AD382" s="486">
        <v>0</v>
      </c>
      <c r="AE382" s="486">
        <v>0</v>
      </c>
      <c r="AF382" s="486">
        <v>0</v>
      </c>
      <c r="AG382" s="486">
        <v>0</v>
      </c>
      <c r="AH382" s="487">
        <v>0</v>
      </c>
      <c r="AI382" s="486">
        <v>0</v>
      </c>
      <c r="AJ382" s="486">
        <v>2000000000</v>
      </c>
      <c r="AK382" s="486">
        <v>0</v>
      </c>
      <c r="AL382" s="488">
        <v>2000000000</v>
      </c>
      <c r="AM382" s="489">
        <v>2000000000</v>
      </c>
      <c r="AN382" s="486">
        <v>0</v>
      </c>
      <c r="AO382" s="486">
        <v>0</v>
      </c>
      <c r="AP382" s="486">
        <v>0</v>
      </c>
      <c r="AQ382" s="486">
        <v>0</v>
      </c>
      <c r="AR382" s="486">
        <v>0</v>
      </c>
      <c r="AS382" s="486">
        <v>0</v>
      </c>
      <c r="AT382" s="486">
        <v>0</v>
      </c>
      <c r="AU382" s="486">
        <v>0</v>
      </c>
      <c r="AV382" s="487">
        <v>0</v>
      </c>
      <c r="AW382" s="486">
        <v>0</v>
      </c>
      <c r="AX382" s="486">
        <v>2000000000</v>
      </c>
      <c r="AY382" s="486">
        <v>0</v>
      </c>
      <c r="AZ382" s="488">
        <v>2000000000</v>
      </c>
      <c r="BA382" s="490">
        <v>2000000000</v>
      </c>
      <c r="BB382" s="486">
        <v>0</v>
      </c>
      <c r="BC382" s="486">
        <v>0</v>
      </c>
      <c r="BD382" s="486">
        <v>0</v>
      </c>
      <c r="BE382" s="486">
        <v>0</v>
      </c>
      <c r="BF382" s="486">
        <v>0</v>
      </c>
      <c r="BG382" s="486">
        <v>0</v>
      </c>
      <c r="BH382" s="486">
        <v>0</v>
      </c>
      <c r="BI382" s="486">
        <v>0</v>
      </c>
      <c r="BJ382" s="487">
        <v>0</v>
      </c>
      <c r="BK382" s="486">
        <v>0</v>
      </c>
      <c r="BL382" s="486">
        <v>2000000000</v>
      </c>
      <c r="BM382" s="486">
        <v>0</v>
      </c>
      <c r="BN382" s="488">
        <v>2000000000</v>
      </c>
      <c r="BO382" s="490">
        <v>2000000000</v>
      </c>
      <c r="BP382" s="486">
        <v>0</v>
      </c>
      <c r="BQ382" s="486">
        <v>0</v>
      </c>
      <c r="BR382" s="486">
        <v>0</v>
      </c>
      <c r="BS382" s="486">
        <v>0</v>
      </c>
      <c r="BT382" s="486">
        <v>0</v>
      </c>
      <c r="BU382" s="486">
        <v>0</v>
      </c>
      <c r="BV382" s="486">
        <v>0</v>
      </c>
      <c r="BW382" s="486">
        <v>0</v>
      </c>
      <c r="BX382" s="487">
        <v>0</v>
      </c>
      <c r="BY382" s="486">
        <v>0</v>
      </c>
      <c r="BZ382" s="486">
        <v>2000000000</v>
      </c>
      <c r="CA382" s="486">
        <v>0</v>
      </c>
      <c r="CB382" s="488">
        <v>2000000000</v>
      </c>
      <c r="CC382" s="491">
        <v>2000000000</v>
      </c>
      <c r="CD382" s="492">
        <v>8000000000</v>
      </c>
      <c r="CE382" s="493">
        <f t="shared" si="25"/>
        <v>0</v>
      </c>
      <c r="CF382" s="493">
        <f t="shared" si="25"/>
        <v>0</v>
      </c>
      <c r="CG382" s="493">
        <f t="shared" si="25"/>
        <v>0</v>
      </c>
      <c r="CH382" s="493">
        <f t="shared" si="25"/>
        <v>0</v>
      </c>
      <c r="CI382" s="493">
        <f t="shared" si="26"/>
        <v>0</v>
      </c>
      <c r="CJ382" s="493">
        <f t="shared" si="26"/>
        <v>0</v>
      </c>
      <c r="CK382" s="493">
        <f t="shared" si="26"/>
        <v>0</v>
      </c>
      <c r="CL382" s="493">
        <f t="shared" si="26"/>
        <v>0</v>
      </c>
      <c r="CM382" s="493">
        <f t="shared" si="23"/>
        <v>0</v>
      </c>
      <c r="CN382" s="493">
        <f t="shared" si="23"/>
        <v>8000000000</v>
      </c>
      <c r="CO382" s="493">
        <f t="shared" si="23"/>
        <v>0</v>
      </c>
    </row>
    <row r="383" spans="1:93" ht="30.45" hidden="1" customHeight="1">
      <c r="A383" s="555" t="s">
        <v>4722</v>
      </c>
      <c r="B383" s="479">
        <v>381</v>
      </c>
      <c r="C383" s="480" t="s">
        <v>6370</v>
      </c>
      <c r="D383" s="480" t="s">
        <v>4711</v>
      </c>
      <c r="E383" s="480" t="str">
        <f t="shared" si="22"/>
        <v xml:space="preserve">4.1.4 </v>
      </c>
      <c r="F383" s="480" t="s">
        <v>4728</v>
      </c>
      <c r="G383" s="480" t="s">
        <v>4729</v>
      </c>
      <c r="H383" s="481">
        <v>19</v>
      </c>
      <c r="I383" s="480" t="s">
        <v>4738</v>
      </c>
      <c r="J383" s="495">
        <v>190603300</v>
      </c>
      <c r="K383" s="480" t="s">
        <v>4750</v>
      </c>
      <c r="L383" s="480" t="s">
        <v>4751</v>
      </c>
      <c r="M383" s="480" t="s">
        <v>4751</v>
      </c>
      <c r="N383" s="499">
        <v>2</v>
      </c>
      <c r="O383" s="480" t="s">
        <v>4731</v>
      </c>
      <c r="P383" s="515">
        <v>5</v>
      </c>
      <c r="Q383" s="485" t="s">
        <v>5349</v>
      </c>
      <c r="R383" s="485" t="s">
        <v>5542</v>
      </c>
      <c r="S383" s="485" t="s">
        <v>5543</v>
      </c>
      <c r="T383" s="485">
        <v>7.89</v>
      </c>
      <c r="U383" s="485" t="s">
        <v>5544</v>
      </c>
      <c r="V383" s="485">
        <v>6</v>
      </c>
      <c r="W383" s="485" t="s">
        <v>5357</v>
      </c>
      <c r="X383" s="485">
        <v>3</v>
      </c>
      <c r="Y383" s="485" t="s">
        <v>5545</v>
      </c>
      <c r="Z383" s="486">
        <v>0</v>
      </c>
      <c r="AA383" s="486">
        <v>0</v>
      </c>
      <c r="AB383" s="486">
        <v>0</v>
      </c>
      <c r="AC383" s="486">
        <v>0</v>
      </c>
      <c r="AD383" s="486">
        <v>0</v>
      </c>
      <c r="AE383" s="486">
        <v>0</v>
      </c>
      <c r="AF383" s="486">
        <v>0</v>
      </c>
      <c r="AG383" s="486">
        <v>0</v>
      </c>
      <c r="AH383" s="487">
        <v>0</v>
      </c>
      <c r="AI383" s="486">
        <v>0</v>
      </c>
      <c r="AJ383" s="486">
        <v>0</v>
      </c>
      <c r="AK383" s="486">
        <v>0</v>
      </c>
      <c r="AL383" s="488">
        <v>0</v>
      </c>
      <c r="AM383" s="489">
        <v>0</v>
      </c>
      <c r="AN383" s="486">
        <v>0</v>
      </c>
      <c r="AO383" s="486">
        <v>0</v>
      </c>
      <c r="AP383" s="486">
        <v>0</v>
      </c>
      <c r="AQ383" s="486">
        <v>0</v>
      </c>
      <c r="AR383" s="486">
        <v>0</v>
      </c>
      <c r="AS383" s="486">
        <v>0</v>
      </c>
      <c r="AT383" s="486">
        <v>0</v>
      </c>
      <c r="AU383" s="486">
        <v>0</v>
      </c>
      <c r="AV383" s="487">
        <v>0</v>
      </c>
      <c r="AW383" s="486">
        <v>0</v>
      </c>
      <c r="AX383" s="486">
        <v>500000000</v>
      </c>
      <c r="AY383" s="486">
        <v>0</v>
      </c>
      <c r="AZ383" s="488">
        <v>500000000</v>
      </c>
      <c r="BA383" s="490">
        <v>500000000</v>
      </c>
      <c r="BB383" s="486">
        <v>0</v>
      </c>
      <c r="BC383" s="486">
        <v>0</v>
      </c>
      <c r="BD383" s="486">
        <v>0</v>
      </c>
      <c r="BE383" s="486">
        <v>0</v>
      </c>
      <c r="BF383" s="486">
        <v>0</v>
      </c>
      <c r="BG383" s="486">
        <v>0</v>
      </c>
      <c r="BH383" s="486">
        <v>0</v>
      </c>
      <c r="BI383" s="486">
        <v>0</v>
      </c>
      <c r="BJ383" s="487">
        <v>0</v>
      </c>
      <c r="BK383" s="486">
        <v>0</v>
      </c>
      <c r="BL383" s="486">
        <v>500000000</v>
      </c>
      <c r="BM383" s="486">
        <v>0</v>
      </c>
      <c r="BN383" s="488">
        <v>500000000</v>
      </c>
      <c r="BO383" s="490">
        <v>500000000</v>
      </c>
      <c r="BP383" s="486">
        <v>0</v>
      </c>
      <c r="BQ383" s="486">
        <v>0</v>
      </c>
      <c r="BR383" s="486">
        <v>0</v>
      </c>
      <c r="BS383" s="486">
        <v>0</v>
      </c>
      <c r="BT383" s="486">
        <v>0</v>
      </c>
      <c r="BU383" s="486">
        <v>0</v>
      </c>
      <c r="BV383" s="486">
        <v>0</v>
      </c>
      <c r="BW383" s="486">
        <v>0</v>
      </c>
      <c r="BX383" s="487">
        <v>0</v>
      </c>
      <c r="BY383" s="486">
        <v>0</v>
      </c>
      <c r="BZ383" s="486">
        <v>500000000</v>
      </c>
      <c r="CA383" s="486">
        <v>0</v>
      </c>
      <c r="CB383" s="488">
        <v>500000000</v>
      </c>
      <c r="CC383" s="491">
        <v>500000000</v>
      </c>
      <c r="CD383" s="492">
        <v>1500000000</v>
      </c>
      <c r="CE383" s="493">
        <f t="shared" si="25"/>
        <v>0</v>
      </c>
      <c r="CF383" s="493">
        <f t="shared" si="25"/>
        <v>0</v>
      </c>
      <c r="CG383" s="493">
        <f t="shared" si="25"/>
        <v>0</v>
      </c>
      <c r="CH383" s="493">
        <f t="shared" si="25"/>
        <v>0</v>
      </c>
      <c r="CI383" s="493">
        <f t="shared" si="26"/>
        <v>0</v>
      </c>
      <c r="CJ383" s="493">
        <f t="shared" si="26"/>
        <v>0</v>
      </c>
      <c r="CK383" s="493">
        <f t="shared" si="26"/>
        <v>0</v>
      </c>
      <c r="CL383" s="493">
        <f t="shared" si="26"/>
        <v>0</v>
      </c>
      <c r="CM383" s="493">
        <f t="shared" si="23"/>
        <v>0</v>
      </c>
      <c r="CN383" s="493">
        <f t="shared" si="23"/>
        <v>1500000000</v>
      </c>
      <c r="CO383" s="493">
        <f t="shared" si="23"/>
        <v>0</v>
      </c>
    </row>
    <row r="384" spans="1:93" ht="30.45" hidden="1" customHeight="1">
      <c r="A384" s="555" t="s">
        <v>4722</v>
      </c>
      <c r="B384" s="479">
        <v>382</v>
      </c>
      <c r="C384" s="480" t="s">
        <v>6370</v>
      </c>
      <c r="D384" s="480" t="s">
        <v>4711</v>
      </c>
      <c r="E384" s="480" t="str">
        <f t="shared" si="22"/>
        <v xml:space="preserve">4.1.4 </v>
      </c>
      <c r="F384" s="480" t="s">
        <v>4728</v>
      </c>
      <c r="G384" s="480" t="s">
        <v>4729</v>
      </c>
      <c r="H384" s="481">
        <v>19</v>
      </c>
      <c r="I384" s="480" t="s">
        <v>4738</v>
      </c>
      <c r="J384" s="495">
        <v>190603500</v>
      </c>
      <c r="K384" s="480" t="s">
        <v>4752</v>
      </c>
      <c r="L384" s="480" t="s">
        <v>4753</v>
      </c>
      <c r="M384" s="480" t="s">
        <v>5979</v>
      </c>
      <c r="N384" s="499">
        <v>97</v>
      </c>
      <c r="O384" s="480" t="s">
        <v>4731</v>
      </c>
      <c r="P384" s="515">
        <v>97</v>
      </c>
      <c r="Q384" s="485" t="s">
        <v>5349</v>
      </c>
      <c r="R384" s="485" t="s">
        <v>5542</v>
      </c>
      <c r="S384" s="485" t="s">
        <v>5543</v>
      </c>
      <c r="T384" s="485">
        <v>7.89</v>
      </c>
      <c r="U384" s="485" t="s">
        <v>5544</v>
      </c>
      <c r="V384" s="485">
        <v>6</v>
      </c>
      <c r="W384" s="485" t="s">
        <v>5357</v>
      </c>
      <c r="X384" s="485">
        <v>3</v>
      </c>
      <c r="Y384" s="485" t="s">
        <v>5545</v>
      </c>
      <c r="Z384" s="486">
        <v>0</v>
      </c>
      <c r="AA384" s="486">
        <v>0</v>
      </c>
      <c r="AB384" s="486">
        <v>0</v>
      </c>
      <c r="AC384" s="486">
        <v>22299777372</v>
      </c>
      <c r="AD384" s="486">
        <v>0</v>
      </c>
      <c r="AE384" s="486">
        <v>0</v>
      </c>
      <c r="AF384" s="486">
        <v>0</v>
      </c>
      <c r="AG384" s="486">
        <v>0</v>
      </c>
      <c r="AH384" s="487">
        <v>22299777372</v>
      </c>
      <c r="AI384" s="486">
        <v>0</v>
      </c>
      <c r="AJ384" s="486">
        <v>0</v>
      </c>
      <c r="AK384" s="486">
        <v>0</v>
      </c>
      <c r="AL384" s="488">
        <v>0</v>
      </c>
      <c r="AM384" s="489">
        <v>22299777372</v>
      </c>
      <c r="AN384" s="486">
        <v>0</v>
      </c>
      <c r="AO384" s="486">
        <v>0</v>
      </c>
      <c r="AP384" s="486">
        <v>0</v>
      </c>
      <c r="AQ384" s="486">
        <v>23191768466.880001</v>
      </c>
      <c r="AR384" s="486">
        <v>0</v>
      </c>
      <c r="AS384" s="486">
        <v>0</v>
      </c>
      <c r="AT384" s="486">
        <v>0</v>
      </c>
      <c r="AU384" s="486">
        <v>0</v>
      </c>
      <c r="AV384" s="487">
        <v>23191768466.880001</v>
      </c>
      <c r="AW384" s="486">
        <v>0</v>
      </c>
      <c r="AX384" s="486">
        <v>0</v>
      </c>
      <c r="AY384" s="486">
        <v>0</v>
      </c>
      <c r="AZ384" s="488">
        <v>0</v>
      </c>
      <c r="BA384" s="490">
        <v>23191768466.880001</v>
      </c>
      <c r="BB384" s="486">
        <v>0</v>
      </c>
      <c r="BC384" s="486">
        <v>0</v>
      </c>
      <c r="BD384" s="486">
        <v>0</v>
      </c>
      <c r="BE384" s="486">
        <v>24119439205.560001</v>
      </c>
      <c r="BF384" s="486">
        <v>0</v>
      </c>
      <c r="BG384" s="486">
        <v>0</v>
      </c>
      <c r="BH384" s="486">
        <v>0</v>
      </c>
      <c r="BI384" s="486">
        <v>0</v>
      </c>
      <c r="BJ384" s="487">
        <v>24119439205.560001</v>
      </c>
      <c r="BK384" s="486">
        <v>0</v>
      </c>
      <c r="BL384" s="486">
        <v>0</v>
      </c>
      <c r="BM384" s="486">
        <v>0</v>
      </c>
      <c r="BN384" s="488">
        <v>0</v>
      </c>
      <c r="BO384" s="490">
        <v>24119439205.560001</v>
      </c>
      <c r="BP384" s="486">
        <v>0</v>
      </c>
      <c r="BQ384" s="486">
        <v>0</v>
      </c>
      <c r="BR384" s="486">
        <v>0</v>
      </c>
      <c r="BS384" s="486">
        <v>25084216773.779999</v>
      </c>
      <c r="BT384" s="486">
        <v>0</v>
      </c>
      <c r="BU384" s="486">
        <v>0</v>
      </c>
      <c r="BV384" s="486">
        <v>0</v>
      </c>
      <c r="BW384" s="486">
        <v>0</v>
      </c>
      <c r="BX384" s="487">
        <v>25084216773.779999</v>
      </c>
      <c r="BY384" s="486">
        <v>0</v>
      </c>
      <c r="BZ384" s="486">
        <v>0</v>
      </c>
      <c r="CA384" s="486">
        <v>0</v>
      </c>
      <c r="CB384" s="488">
        <v>0</v>
      </c>
      <c r="CC384" s="491">
        <v>25084216773.779999</v>
      </c>
      <c r="CD384" s="492">
        <v>94695201818.220001</v>
      </c>
      <c r="CE384" s="493">
        <f t="shared" si="25"/>
        <v>0</v>
      </c>
      <c r="CF384" s="493">
        <f t="shared" si="25"/>
        <v>0</v>
      </c>
      <c r="CG384" s="493">
        <f t="shared" si="25"/>
        <v>0</v>
      </c>
      <c r="CH384" s="493">
        <f t="shared" si="25"/>
        <v>94695201818.220001</v>
      </c>
      <c r="CI384" s="493">
        <f t="shared" si="26"/>
        <v>0</v>
      </c>
      <c r="CJ384" s="493">
        <f t="shared" si="26"/>
        <v>0</v>
      </c>
      <c r="CK384" s="493">
        <f t="shared" si="26"/>
        <v>0</v>
      </c>
      <c r="CL384" s="493">
        <f t="shared" si="26"/>
        <v>0</v>
      </c>
      <c r="CM384" s="493">
        <f t="shared" si="23"/>
        <v>0</v>
      </c>
      <c r="CN384" s="493">
        <f t="shared" si="23"/>
        <v>0</v>
      </c>
      <c r="CO384" s="493">
        <f t="shared" si="23"/>
        <v>0</v>
      </c>
    </row>
    <row r="385" spans="1:93" ht="30.45" hidden="1" customHeight="1">
      <c r="A385" s="555" t="s">
        <v>4722</v>
      </c>
      <c r="B385" s="479">
        <v>383</v>
      </c>
      <c r="C385" s="480" t="s">
        <v>6370</v>
      </c>
      <c r="D385" s="480" t="s">
        <v>4711</v>
      </c>
      <c r="E385" s="480" t="str">
        <f t="shared" si="22"/>
        <v xml:space="preserve">4.1.4 </v>
      </c>
      <c r="F385" s="480" t="s">
        <v>4728</v>
      </c>
      <c r="G385" s="480" t="s">
        <v>4729</v>
      </c>
      <c r="H385" s="481">
        <v>19</v>
      </c>
      <c r="I385" s="480" t="s">
        <v>4738</v>
      </c>
      <c r="J385" s="495">
        <v>190600400</v>
      </c>
      <c r="K385" s="480" t="s">
        <v>4008</v>
      </c>
      <c r="L385" s="480" t="s">
        <v>6578</v>
      </c>
      <c r="M385" s="480" t="s">
        <v>5980</v>
      </c>
      <c r="N385" s="517">
        <v>3413</v>
      </c>
      <c r="O385" s="480" t="s">
        <v>4731</v>
      </c>
      <c r="P385" s="518">
        <v>3413</v>
      </c>
      <c r="Q385" s="485" t="s">
        <v>5349</v>
      </c>
      <c r="R385" s="485" t="s">
        <v>5542</v>
      </c>
      <c r="S385" s="485" t="s">
        <v>5543</v>
      </c>
      <c r="T385" s="485">
        <v>7.89</v>
      </c>
      <c r="U385" s="485" t="s">
        <v>5544</v>
      </c>
      <c r="V385" s="485">
        <v>6</v>
      </c>
      <c r="W385" s="485" t="s">
        <v>5357</v>
      </c>
      <c r="X385" s="485">
        <v>3</v>
      </c>
      <c r="Y385" s="485" t="s">
        <v>5545</v>
      </c>
      <c r="Z385" s="486">
        <v>0</v>
      </c>
      <c r="AA385" s="486">
        <v>10912371134</v>
      </c>
      <c r="AB385" s="486">
        <v>0</v>
      </c>
      <c r="AC385" s="486">
        <v>0</v>
      </c>
      <c r="AD385" s="486">
        <v>0</v>
      </c>
      <c r="AE385" s="486">
        <v>0</v>
      </c>
      <c r="AF385" s="486">
        <v>0</v>
      </c>
      <c r="AG385" s="486">
        <v>0</v>
      </c>
      <c r="AH385" s="487">
        <v>10912371134</v>
      </c>
      <c r="AI385" s="486">
        <v>0</v>
      </c>
      <c r="AJ385" s="486">
        <v>0</v>
      </c>
      <c r="AK385" s="486">
        <v>0</v>
      </c>
      <c r="AL385" s="488">
        <v>0</v>
      </c>
      <c r="AM385" s="489">
        <v>10912371134</v>
      </c>
      <c r="AN385" s="486">
        <v>0</v>
      </c>
      <c r="AO385" s="486">
        <v>11348865979.360001</v>
      </c>
      <c r="AP385" s="486">
        <v>0</v>
      </c>
      <c r="AQ385" s="486">
        <v>0</v>
      </c>
      <c r="AR385" s="486">
        <v>0</v>
      </c>
      <c r="AS385" s="486">
        <v>0</v>
      </c>
      <c r="AT385" s="486">
        <v>0</v>
      </c>
      <c r="AU385" s="486">
        <v>0</v>
      </c>
      <c r="AV385" s="487">
        <v>11348865979.360001</v>
      </c>
      <c r="AW385" s="486">
        <v>0</v>
      </c>
      <c r="AX385" s="486">
        <v>0</v>
      </c>
      <c r="AY385" s="486">
        <v>0</v>
      </c>
      <c r="AZ385" s="488">
        <v>0</v>
      </c>
      <c r="BA385" s="490">
        <v>11348865979.360001</v>
      </c>
      <c r="BB385" s="486">
        <v>0</v>
      </c>
      <c r="BC385" s="486">
        <v>11802820618.530001</v>
      </c>
      <c r="BD385" s="486">
        <v>0</v>
      </c>
      <c r="BE385" s="486">
        <v>0</v>
      </c>
      <c r="BF385" s="486">
        <v>0</v>
      </c>
      <c r="BG385" s="486">
        <v>0</v>
      </c>
      <c r="BH385" s="486">
        <v>0</v>
      </c>
      <c r="BI385" s="486">
        <v>0</v>
      </c>
      <c r="BJ385" s="487">
        <v>11802820618.530001</v>
      </c>
      <c r="BK385" s="486">
        <v>0</v>
      </c>
      <c r="BL385" s="486">
        <v>0</v>
      </c>
      <c r="BM385" s="486">
        <v>0</v>
      </c>
      <c r="BN385" s="488">
        <v>0</v>
      </c>
      <c r="BO385" s="490">
        <v>11802820618.530001</v>
      </c>
      <c r="BP385" s="486">
        <v>0</v>
      </c>
      <c r="BQ385" s="486">
        <v>12274933443.27</v>
      </c>
      <c r="BR385" s="486">
        <v>0</v>
      </c>
      <c r="BS385" s="486">
        <v>0</v>
      </c>
      <c r="BT385" s="486">
        <v>0</v>
      </c>
      <c r="BU385" s="486">
        <v>0</v>
      </c>
      <c r="BV385" s="486">
        <v>0</v>
      </c>
      <c r="BW385" s="486">
        <v>0</v>
      </c>
      <c r="BX385" s="487">
        <v>12274933443.27</v>
      </c>
      <c r="BY385" s="486">
        <v>0</v>
      </c>
      <c r="BZ385" s="486">
        <v>0</v>
      </c>
      <c r="CA385" s="486">
        <v>0</v>
      </c>
      <c r="CB385" s="488">
        <v>0</v>
      </c>
      <c r="CC385" s="491">
        <v>12274933443.27</v>
      </c>
      <c r="CD385" s="492">
        <v>46338991175.160004</v>
      </c>
      <c r="CE385" s="493">
        <f t="shared" si="25"/>
        <v>0</v>
      </c>
      <c r="CF385" s="493">
        <f t="shared" si="25"/>
        <v>46338991175.160004</v>
      </c>
      <c r="CG385" s="493">
        <f t="shared" si="25"/>
        <v>0</v>
      </c>
      <c r="CH385" s="493">
        <f t="shared" si="25"/>
        <v>0</v>
      </c>
      <c r="CI385" s="493">
        <f t="shared" si="26"/>
        <v>0</v>
      </c>
      <c r="CJ385" s="493">
        <f t="shared" si="26"/>
        <v>0</v>
      </c>
      <c r="CK385" s="493">
        <f t="shared" si="26"/>
        <v>0</v>
      </c>
      <c r="CL385" s="493">
        <f t="shared" si="26"/>
        <v>0</v>
      </c>
      <c r="CM385" s="493">
        <f t="shared" si="23"/>
        <v>0</v>
      </c>
      <c r="CN385" s="493">
        <f t="shared" si="23"/>
        <v>0</v>
      </c>
      <c r="CO385" s="493">
        <f t="shared" si="23"/>
        <v>0</v>
      </c>
    </row>
    <row r="386" spans="1:93" ht="30.45" hidden="1" customHeight="1">
      <c r="A386" s="555" t="s">
        <v>4722</v>
      </c>
      <c r="B386" s="479">
        <v>384</v>
      </c>
      <c r="C386" s="480" t="s">
        <v>6370</v>
      </c>
      <c r="D386" s="480" t="s">
        <v>4711</v>
      </c>
      <c r="E386" s="480" t="str">
        <f t="shared" si="22"/>
        <v xml:space="preserve">4.1.4 </v>
      </c>
      <c r="F386" s="480" t="s">
        <v>4728</v>
      </c>
      <c r="G386" s="480" t="s">
        <v>4729</v>
      </c>
      <c r="H386" s="481">
        <v>19</v>
      </c>
      <c r="I386" s="480" t="s">
        <v>4738</v>
      </c>
      <c r="J386" s="495">
        <v>190602900</v>
      </c>
      <c r="K386" s="480" t="s">
        <v>4752</v>
      </c>
      <c r="L386" s="480" t="s">
        <v>4754</v>
      </c>
      <c r="M386" s="480" t="s">
        <v>5981</v>
      </c>
      <c r="N386" s="499">
        <v>240</v>
      </c>
      <c r="O386" s="480" t="s">
        <v>4731</v>
      </c>
      <c r="P386" s="515">
        <v>308</v>
      </c>
      <c r="Q386" s="485" t="s">
        <v>5349</v>
      </c>
      <c r="R386" s="485" t="s">
        <v>5542</v>
      </c>
      <c r="S386" s="485" t="s">
        <v>5543</v>
      </c>
      <c r="T386" s="485">
        <v>7.89</v>
      </c>
      <c r="U386" s="485" t="s">
        <v>5544</v>
      </c>
      <c r="V386" s="485">
        <v>6</v>
      </c>
      <c r="W386" s="485" t="s">
        <v>5357</v>
      </c>
      <c r="X386" s="485">
        <v>3</v>
      </c>
      <c r="Y386" s="485" t="s">
        <v>5545</v>
      </c>
      <c r="Z386" s="486">
        <v>151965235</v>
      </c>
      <c r="AA386" s="486">
        <v>1005840844</v>
      </c>
      <c r="AB386" s="486">
        <v>0</v>
      </c>
      <c r="AC386" s="486">
        <v>0</v>
      </c>
      <c r="AD386" s="486">
        <v>0</v>
      </c>
      <c r="AE386" s="486">
        <v>0</v>
      </c>
      <c r="AF386" s="486">
        <v>0</v>
      </c>
      <c r="AG386" s="486">
        <v>0</v>
      </c>
      <c r="AH386" s="487">
        <v>1157806079</v>
      </c>
      <c r="AI386" s="486">
        <v>0</v>
      </c>
      <c r="AJ386" s="486">
        <v>0</v>
      </c>
      <c r="AK386" s="486">
        <v>0</v>
      </c>
      <c r="AL386" s="488">
        <v>0</v>
      </c>
      <c r="AM386" s="489">
        <v>1157806079</v>
      </c>
      <c r="AN386" s="486">
        <v>158043844.40000001</v>
      </c>
      <c r="AO386" s="486">
        <v>1046074477.76</v>
      </c>
      <c r="AP386" s="486">
        <v>0</v>
      </c>
      <c r="AQ386" s="486">
        <v>0</v>
      </c>
      <c r="AR386" s="486">
        <v>0</v>
      </c>
      <c r="AS386" s="486">
        <v>0</v>
      </c>
      <c r="AT386" s="486">
        <v>0</v>
      </c>
      <c r="AU386" s="486">
        <v>0</v>
      </c>
      <c r="AV386" s="487">
        <v>1204118322.1600001</v>
      </c>
      <c r="AW386" s="486">
        <v>0</v>
      </c>
      <c r="AX386" s="486">
        <v>0</v>
      </c>
      <c r="AY386" s="486">
        <v>0</v>
      </c>
      <c r="AZ386" s="488">
        <v>0</v>
      </c>
      <c r="BA386" s="490">
        <v>1204118322.1600001</v>
      </c>
      <c r="BB386" s="486">
        <v>164365598.18000001</v>
      </c>
      <c r="BC386" s="486">
        <v>1087917456.8699999</v>
      </c>
      <c r="BD386" s="486">
        <v>0</v>
      </c>
      <c r="BE386" s="486">
        <v>0</v>
      </c>
      <c r="BF386" s="486">
        <v>0</v>
      </c>
      <c r="BG386" s="486">
        <v>0</v>
      </c>
      <c r="BH386" s="486">
        <v>0</v>
      </c>
      <c r="BI386" s="486">
        <v>0</v>
      </c>
      <c r="BJ386" s="487">
        <v>1252283055.05</v>
      </c>
      <c r="BK386" s="486">
        <v>0</v>
      </c>
      <c r="BL386" s="486">
        <v>0</v>
      </c>
      <c r="BM386" s="486">
        <v>0</v>
      </c>
      <c r="BN386" s="488">
        <v>0</v>
      </c>
      <c r="BO386" s="490">
        <v>1252283055.05</v>
      </c>
      <c r="BP386" s="486">
        <v>170940222.11000001</v>
      </c>
      <c r="BQ386" s="486">
        <v>1131434155.1400001</v>
      </c>
      <c r="BR386" s="486">
        <v>0</v>
      </c>
      <c r="BS386" s="486">
        <v>0</v>
      </c>
      <c r="BT386" s="486">
        <v>0</v>
      </c>
      <c r="BU386" s="486">
        <v>0</v>
      </c>
      <c r="BV386" s="486">
        <v>0</v>
      </c>
      <c r="BW386" s="486">
        <v>0</v>
      </c>
      <c r="BX386" s="487">
        <v>1302374377.25</v>
      </c>
      <c r="BY386" s="486">
        <v>0</v>
      </c>
      <c r="BZ386" s="486">
        <v>0</v>
      </c>
      <c r="CA386" s="486">
        <v>0</v>
      </c>
      <c r="CB386" s="488">
        <v>0</v>
      </c>
      <c r="CC386" s="491">
        <v>1302374377.25</v>
      </c>
      <c r="CD386" s="492">
        <v>4916581833.46</v>
      </c>
      <c r="CE386" s="493">
        <f t="shared" si="25"/>
        <v>645314899.69000006</v>
      </c>
      <c r="CF386" s="493">
        <f t="shared" si="25"/>
        <v>4271266933.7700005</v>
      </c>
      <c r="CG386" s="493">
        <f t="shared" si="25"/>
        <v>0</v>
      </c>
      <c r="CH386" s="493">
        <f t="shared" si="25"/>
        <v>0</v>
      </c>
      <c r="CI386" s="493">
        <f t="shared" si="26"/>
        <v>0</v>
      </c>
      <c r="CJ386" s="493">
        <f t="shared" si="26"/>
        <v>0</v>
      </c>
      <c r="CK386" s="493">
        <f t="shared" si="26"/>
        <v>0</v>
      </c>
      <c r="CL386" s="493">
        <f t="shared" si="26"/>
        <v>0</v>
      </c>
      <c r="CM386" s="493">
        <f t="shared" si="23"/>
        <v>0</v>
      </c>
      <c r="CN386" s="493">
        <f t="shared" si="23"/>
        <v>0</v>
      </c>
      <c r="CO386" s="493">
        <f t="shared" si="23"/>
        <v>0</v>
      </c>
    </row>
    <row r="387" spans="1:93" ht="30.45" hidden="1" customHeight="1">
      <c r="A387" s="555" t="s">
        <v>4722</v>
      </c>
      <c r="B387" s="479">
        <v>385</v>
      </c>
      <c r="C387" s="480" t="s">
        <v>6370</v>
      </c>
      <c r="D387" s="480" t="s">
        <v>4711</v>
      </c>
      <c r="E387" s="480" t="str">
        <f t="shared" si="22"/>
        <v xml:space="preserve">4.1.4 </v>
      </c>
      <c r="F387" s="480" t="s">
        <v>4728</v>
      </c>
      <c r="G387" s="480" t="s">
        <v>4729</v>
      </c>
      <c r="H387" s="481">
        <v>19</v>
      </c>
      <c r="I387" s="480" t="s">
        <v>4738</v>
      </c>
      <c r="J387" s="495">
        <v>190604400</v>
      </c>
      <c r="K387" s="480" t="s">
        <v>4755</v>
      </c>
      <c r="L387" s="480" t="s">
        <v>4756</v>
      </c>
      <c r="M387" s="480" t="s">
        <v>5982</v>
      </c>
      <c r="N387" s="517">
        <v>681547</v>
      </c>
      <c r="O387" s="480" t="s">
        <v>4731</v>
      </c>
      <c r="P387" s="518">
        <v>681547</v>
      </c>
      <c r="Q387" s="485" t="s">
        <v>5349</v>
      </c>
      <c r="R387" s="485" t="s">
        <v>5542</v>
      </c>
      <c r="S387" s="485" t="s">
        <v>5543</v>
      </c>
      <c r="T387" s="485">
        <v>7.89</v>
      </c>
      <c r="U387" s="485" t="s">
        <v>5544</v>
      </c>
      <c r="V387" s="485">
        <v>6</v>
      </c>
      <c r="W387" s="485" t="s">
        <v>5357</v>
      </c>
      <c r="X387" s="485">
        <v>3</v>
      </c>
      <c r="Y387" s="485" t="s">
        <v>5545</v>
      </c>
      <c r="Z387" s="486">
        <v>0</v>
      </c>
      <c r="AA387" s="486">
        <v>92881989558</v>
      </c>
      <c r="AB387" s="486">
        <v>0</v>
      </c>
      <c r="AC387" s="486">
        <v>0</v>
      </c>
      <c r="AD387" s="486">
        <v>0</v>
      </c>
      <c r="AE387" s="486">
        <v>0</v>
      </c>
      <c r="AF387" s="486">
        <v>0</v>
      </c>
      <c r="AG387" s="486">
        <v>0</v>
      </c>
      <c r="AH387" s="487">
        <v>92881989558</v>
      </c>
      <c r="AI387" s="486">
        <v>225996200</v>
      </c>
      <c r="AJ387" s="486">
        <v>0</v>
      </c>
      <c r="AK387" s="486">
        <v>0</v>
      </c>
      <c r="AL387" s="488">
        <v>225996200</v>
      </c>
      <c r="AM387" s="489">
        <v>93107985758</v>
      </c>
      <c r="AN387" s="486">
        <v>0</v>
      </c>
      <c r="AO387" s="486">
        <v>96597269140.320007</v>
      </c>
      <c r="AP387" s="486">
        <v>0</v>
      </c>
      <c r="AQ387" s="486">
        <v>0</v>
      </c>
      <c r="AR387" s="486">
        <v>0</v>
      </c>
      <c r="AS387" s="486">
        <v>0</v>
      </c>
      <c r="AT387" s="486">
        <v>0</v>
      </c>
      <c r="AU387" s="486">
        <v>0</v>
      </c>
      <c r="AV387" s="487">
        <v>96597269140.320007</v>
      </c>
      <c r="AW387" s="486">
        <v>235036048</v>
      </c>
      <c r="AX387" s="486">
        <v>0</v>
      </c>
      <c r="AY387" s="486">
        <v>0</v>
      </c>
      <c r="AZ387" s="488">
        <v>235036048</v>
      </c>
      <c r="BA387" s="490">
        <v>96832305188.320007</v>
      </c>
      <c r="BB387" s="486">
        <v>0</v>
      </c>
      <c r="BC387" s="486">
        <v>100461159905.92999</v>
      </c>
      <c r="BD387" s="486">
        <v>0</v>
      </c>
      <c r="BE387" s="486">
        <v>0</v>
      </c>
      <c r="BF387" s="486">
        <v>0</v>
      </c>
      <c r="BG387" s="486">
        <v>0</v>
      </c>
      <c r="BH387" s="486">
        <v>0</v>
      </c>
      <c r="BI387" s="486">
        <v>0</v>
      </c>
      <c r="BJ387" s="487">
        <v>100461159905.92999</v>
      </c>
      <c r="BK387" s="486">
        <v>244437489.91999999</v>
      </c>
      <c r="BL387" s="486">
        <v>0</v>
      </c>
      <c r="BM387" s="486">
        <v>0</v>
      </c>
      <c r="BN387" s="488">
        <v>244437489.91999999</v>
      </c>
      <c r="BO387" s="490">
        <v>100705597395.84999</v>
      </c>
      <c r="BP387" s="486">
        <v>0</v>
      </c>
      <c r="BQ387" s="486">
        <v>104479606302.17</v>
      </c>
      <c r="BR387" s="486">
        <v>0</v>
      </c>
      <c r="BS387" s="486">
        <v>0</v>
      </c>
      <c r="BT387" s="486">
        <v>0</v>
      </c>
      <c r="BU387" s="486">
        <v>0</v>
      </c>
      <c r="BV387" s="486">
        <v>0</v>
      </c>
      <c r="BW387" s="486">
        <v>0</v>
      </c>
      <c r="BX387" s="487">
        <v>104479606302.17</v>
      </c>
      <c r="BY387" s="486">
        <v>254214989.52000001</v>
      </c>
      <c r="BZ387" s="486">
        <v>0</v>
      </c>
      <c r="CA387" s="486">
        <v>0</v>
      </c>
      <c r="CB387" s="488">
        <v>254214989.52000001</v>
      </c>
      <c r="CC387" s="491">
        <v>104733821291.69</v>
      </c>
      <c r="CD387" s="492">
        <v>395379709633.85999</v>
      </c>
      <c r="CE387" s="493">
        <f t="shared" si="25"/>
        <v>0</v>
      </c>
      <c r="CF387" s="493">
        <f t="shared" si="25"/>
        <v>394420024906.41998</v>
      </c>
      <c r="CG387" s="493">
        <f t="shared" si="25"/>
        <v>0</v>
      </c>
      <c r="CH387" s="493">
        <f t="shared" si="25"/>
        <v>0</v>
      </c>
      <c r="CI387" s="493">
        <f t="shared" si="26"/>
        <v>0</v>
      </c>
      <c r="CJ387" s="493">
        <f t="shared" si="26"/>
        <v>0</v>
      </c>
      <c r="CK387" s="493">
        <f t="shared" si="26"/>
        <v>0</v>
      </c>
      <c r="CL387" s="493">
        <f t="shared" si="26"/>
        <v>0</v>
      </c>
      <c r="CM387" s="493">
        <f t="shared" si="23"/>
        <v>959684727.43999994</v>
      </c>
      <c r="CN387" s="493">
        <f t="shared" si="23"/>
        <v>0</v>
      </c>
      <c r="CO387" s="493">
        <f t="shared" si="23"/>
        <v>0</v>
      </c>
    </row>
    <row r="388" spans="1:93" ht="30.45" hidden="1" customHeight="1">
      <c r="A388" s="555" t="s">
        <v>4722</v>
      </c>
      <c r="B388" s="479">
        <v>386</v>
      </c>
      <c r="C388" s="480" t="s">
        <v>6370</v>
      </c>
      <c r="D388" s="480" t="s">
        <v>4711</v>
      </c>
      <c r="E388" s="480" t="str">
        <f t="shared" ref="E388:E451" si="27">MID(F388,1,6)</f>
        <v xml:space="preserve">4.1.4 </v>
      </c>
      <c r="F388" s="480" t="s">
        <v>4728</v>
      </c>
      <c r="G388" s="480" t="s">
        <v>4729</v>
      </c>
      <c r="H388" s="481">
        <v>19</v>
      </c>
      <c r="I388" s="480" t="s">
        <v>4738</v>
      </c>
      <c r="J388" s="495">
        <v>190604100</v>
      </c>
      <c r="K388" s="480" t="s">
        <v>4073</v>
      </c>
      <c r="L388" s="480" t="s">
        <v>4104</v>
      </c>
      <c r="M388" s="480" t="s">
        <v>5983</v>
      </c>
      <c r="N388" s="499">
        <v>123</v>
      </c>
      <c r="O388" s="480" t="s">
        <v>4731</v>
      </c>
      <c r="P388" s="515">
        <v>123</v>
      </c>
      <c r="Q388" s="485" t="s">
        <v>5349</v>
      </c>
      <c r="R388" s="485" t="s">
        <v>5542</v>
      </c>
      <c r="S388" s="485" t="s">
        <v>5543</v>
      </c>
      <c r="T388" s="485">
        <v>7.89</v>
      </c>
      <c r="U388" s="485" t="s">
        <v>5544</v>
      </c>
      <c r="V388" s="485">
        <v>6</v>
      </c>
      <c r="W388" s="485" t="s">
        <v>5357</v>
      </c>
      <c r="X388" s="485">
        <v>3</v>
      </c>
      <c r="Y388" s="485" t="s">
        <v>5545</v>
      </c>
      <c r="Z388" s="486">
        <v>239000000</v>
      </c>
      <c r="AA388" s="486">
        <v>1258485100</v>
      </c>
      <c r="AB388" s="486">
        <v>0</v>
      </c>
      <c r="AC388" s="486">
        <v>0</v>
      </c>
      <c r="AD388" s="486">
        <v>0</v>
      </c>
      <c r="AE388" s="486">
        <v>0</v>
      </c>
      <c r="AF388" s="486">
        <v>0</v>
      </c>
      <c r="AG388" s="486">
        <v>0</v>
      </c>
      <c r="AH388" s="487">
        <v>1497485100</v>
      </c>
      <c r="AI388" s="486">
        <v>0</v>
      </c>
      <c r="AJ388" s="486">
        <v>0</v>
      </c>
      <c r="AK388" s="486">
        <v>0</v>
      </c>
      <c r="AL388" s="488">
        <v>0</v>
      </c>
      <c r="AM388" s="489">
        <v>1497485100</v>
      </c>
      <c r="AN388" s="486">
        <v>248560000</v>
      </c>
      <c r="AO388" s="486">
        <v>1308824504</v>
      </c>
      <c r="AP388" s="486">
        <v>0</v>
      </c>
      <c r="AQ388" s="486">
        <v>0</v>
      </c>
      <c r="AR388" s="486">
        <v>0</v>
      </c>
      <c r="AS388" s="486">
        <v>0</v>
      </c>
      <c r="AT388" s="486">
        <v>0</v>
      </c>
      <c r="AU388" s="486">
        <v>0</v>
      </c>
      <c r="AV388" s="487">
        <v>1557384504</v>
      </c>
      <c r="AW388" s="486">
        <v>0</v>
      </c>
      <c r="AX388" s="486">
        <v>0</v>
      </c>
      <c r="AY388" s="486">
        <v>0</v>
      </c>
      <c r="AZ388" s="488">
        <v>0</v>
      </c>
      <c r="BA388" s="490">
        <v>1557384504</v>
      </c>
      <c r="BB388" s="486">
        <v>258502400</v>
      </c>
      <c r="BC388" s="486">
        <v>1361177484.1600001</v>
      </c>
      <c r="BD388" s="486">
        <v>0</v>
      </c>
      <c r="BE388" s="486">
        <v>0</v>
      </c>
      <c r="BF388" s="486">
        <v>0</v>
      </c>
      <c r="BG388" s="486">
        <v>0</v>
      </c>
      <c r="BH388" s="486">
        <v>0</v>
      </c>
      <c r="BI388" s="486">
        <v>0</v>
      </c>
      <c r="BJ388" s="487">
        <v>1619679884.1600001</v>
      </c>
      <c r="BK388" s="486">
        <v>0</v>
      </c>
      <c r="BL388" s="486">
        <v>0</v>
      </c>
      <c r="BM388" s="486">
        <v>0</v>
      </c>
      <c r="BN388" s="488">
        <v>0</v>
      </c>
      <c r="BO388" s="490">
        <v>1619679884.1600001</v>
      </c>
      <c r="BP388" s="486">
        <v>268842496</v>
      </c>
      <c r="BQ388" s="486">
        <v>1415624583.53</v>
      </c>
      <c r="BR388" s="486">
        <v>0</v>
      </c>
      <c r="BS388" s="486">
        <v>0</v>
      </c>
      <c r="BT388" s="486">
        <v>0</v>
      </c>
      <c r="BU388" s="486">
        <v>0</v>
      </c>
      <c r="BV388" s="486">
        <v>0</v>
      </c>
      <c r="BW388" s="486">
        <v>0</v>
      </c>
      <c r="BX388" s="487">
        <v>1684467079.53</v>
      </c>
      <c r="BY388" s="486">
        <v>0</v>
      </c>
      <c r="BZ388" s="486">
        <v>0</v>
      </c>
      <c r="CA388" s="486">
        <v>0</v>
      </c>
      <c r="CB388" s="488">
        <v>0</v>
      </c>
      <c r="CC388" s="491">
        <v>1684467079.53</v>
      </c>
      <c r="CD388" s="492">
        <v>6359016567.6900005</v>
      </c>
      <c r="CE388" s="493">
        <f t="shared" si="25"/>
        <v>1014904896</v>
      </c>
      <c r="CF388" s="493">
        <f t="shared" si="25"/>
        <v>5344111671.6899996</v>
      </c>
      <c r="CG388" s="493">
        <f t="shared" si="25"/>
        <v>0</v>
      </c>
      <c r="CH388" s="493">
        <f t="shared" si="25"/>
        <v>0</v>
      </c>
      <c r="CI388" s="493">
        <f t="shared" si="26"/>
        <v>0</v>
      </c>
      <c r="CJ388" s="493">
        <f t="shared" si="26"/>
        <v>0</v>
      </c>
      <c r="CK388" s="493">
        <f t="shared" si="26"/>
        <v>0</v>
      </c>
      <c r="CL388" s="493">
        <f t="shared" si="26"/>
        <v>0</v>
      </c>
      <c r="CM388" s="493">
        <f t="shared" ref="CM388:CO451" si="28">AI388+AW388+BK388+BY388</f>
        <v>0</v>
      </c>
      <c r="CN388" s="493">
        <f t="shared" si="28"/>
        <v>0</v>
      </c>
      <c r="CO388" s="493">
        <f t="shared" si="28"/>
        <v>0</v>
      </c>
    </row>
    <row r="389" spans="1:93" ht="30.45" hidden="1" customHeight="1">
      <c r="A389" s="555" t="s">
        <v>4722</v>
      </c>
      <c r="B389" s="479">
        <v>387</v>
      </c>
      <c r="C389" s="480" t="s">
        <v>6370</v>
      </c>
      <c r="D389" s="480" t="s">
        <v>4711</v>
      </c>
      <c r="E389" s="480" t="str">
        <f t="shared" si="27"/>
        <v xml:space="preserve">4.1.4 </v>
      </c>
      <c r="F389" s="480" t="s">
        <v>4728</v>
      </c>
      <c r="G389" s="480" t="s">
        <v>4729</v>
      </c>
      <c r="H389" s="481">
        <v>19</v>
      </c>
      <c r="I389" s="480" t="s">
        <v>4738</v>
      </c>
      <c r="J389" s="495">
        <v>190604800</v>
      </c>
      <c r="K389" s="480" t="s">
        <v>4739</v>
      </c>
      <c r="L389" s="480" t="s">
        <v>4757</v>
      </c>
      <c r="M389" s="480" t="s">
        <v>5984</v>
      </c>
      <c r="N389" s="499">
        <v>1</v>
      </c>
      <c r="O389" s="480" t="s">
        <v>4731</v>
      </c>
      <c r="P389" s="515">
        <v>3</v>
      </c>
      <c r="Q389" s="485" t="s">
        <v>5349</v>
      </c>
      <c r="R389" s="485" t="s">
        <v>5542</v>
      </c>
      <c r="S389" s="485" t="s">
        <v>5543</v>
      </c>
      <c r="T389" s="485">
        <v>7.89</v>
      </c>
      <c r="U389" s="485" t="s">
        <v>5544</v>
      </c>
      <c r="V389" s="485">
        <v>6</v>
      </c>
      <c r="W389" s="485" t="s">
        <v>5357</v>
      </c>
      <c r="X389" s="485">
        <v>3</v>
      </c>
      <c r="Y389" s="485" t="s">
        <v>5545</v>
      </c>
      <c r="Z389" s="486">
        <v>0</v>
      </c>
      <c r="AA389" s="486">
        <v>0</v>
      </c>
      <c r="AB389" s="486">
        <v>0</v>
      </c>
      <c r="AC389" s="486">
        <v>0</v>
      </c>
      <c r="AD389" s="486">
        <v>0</v>
      </c>
      <c r="AE389" s="486">
        <v>0</v>
      </c>
      <c r="AF389" s="486">
        <v>0</v>
      </c>
      <c r="AG389" s="486">
        <v>0</v>
      </c>
      <c r="AH389" s="487">
        <v>0</v>
      </c>
      <c r="AI389" s="486">
        <v>0</v>
      </c>
      <c r="AJ389" s="486">
        <v>0</v>
      </c>
      <c r="AK389" s="486">
        <v>0</v>
      </c>
      <c r="AL389" s="488">
        <v>0</v>
      </c>
      <c r="AM389" s="489">
        <v>0</v>
      </c>
      <c r="AN389" s="486">
        <v>0</v>
      </c>
      <c r="AO389" s="486">
        <v>0</v>
      </c>
      <c r="AP389" s="486">
        <v>0</v>
      </c>
      <c r="AQ389" s="486">
        <v>0</v>
      </c>
      <c r="AR389" s="486">
        <v>0</v>
      </c>
      <c r="AS389" s="486">
        <v>0</v>
      </c>
      <c r="AT389" s="486">
        <v>0</v>
      </c>
      <c r="AU389" s="486">
        <v>0</v>
      </c>
      <c r="AV389" s="487">
        <v>0</v>
      </c>
      <c r="AW389" s="486">
        <v>7000000000</v>
      </c>
      <c r="AX389" s="486">
        <v>0</v>
      </c>
      <c r="AY389" s="486">
        <v>0</v>
      </c>
      <c r="AZ389" s="488">
        <v>7000000000</v>
      </c>
      <c r="BA389" s="490">
        <v>7000000000</v>
      </c>
      <c r="BB389" s="486">
        <v>0</v>
      </c>
      <c r="BC389" s="486">
        <v>0</v>
      </c>
      <c r="BD389" s="486">
        <v>0</v>
      </c>
      <c r="BE389" s="486">
        <v>0</v>
      </c>
      <c r="BF389" s="486">
        <v>0</v>
      </c>
      <c r="BG389" s="486">
        <v>0</v>
      </c>
      <c r="BH389" s="486">
        <v>0</v>
      </c>
      <c r="BI389" s="486">
        <v>0</v>
      </c>
      <c r="BJ389" s="487">
        <v>0</v>
      </c>
      <c r="BK389" s="486">
        <v>20000000000</v>
      </c>
      <c r="BL389" s="486">
        <v>0</v>
      </c>
      <c r="BM389" s="486">
        <v>0</v>
      </c>
      <c r="BN389" s="488">
        <v>20000000000</v>
      </c>
      <c r="BO389" s="490">
        <v>20000000000</v>
      </c>
      <c r="BP389" s="486">
        <v>0</v>
      </c>
      <c r="BQ389" s="486">
        <v>0</v>
      </c>
      <c r="BR389" s="486">
        <v>0</v>
      </c>
      <c r="BS389" s="486">
        <v>0</v>
      </c>
      <c r="BT389" s="486">
        <v>0</v>
      </c>
      <c r="BU389" s="486">
        <v>0</v>
      </c>
      <c r="BV389" s="486">
        <v>0</v>
      </c>
      <c r="BW389" s="486">
        <v>0</v>
      </c>
      <c r="BX389" s="487">
        <v>0</v>
      </c>
      <c r="BY389" s="486">
        <v>20000000000</v>
      </c>
      <c r="BZ389" s="486">
        <v>0</v>
      </c>
      <c r="CA389" s="486">
        <v>0</v>
      </c>
      <c r="CB389" s="488">
        <v>20000000000</v>
      </c>
      <c r="CC389" s="491">
        <v>20000000000</v>
      </c>
      <c r="CD389" s="492">
        <v>47000000000</v>
      </c>
      <c r="CE389" s="493">
        <f t="shared" si="25"/>
        <v>0</v>
      </c>
      <c r="CF389" s="493">
        <f t="shared" si="25"/>
        <v>0</v>
      </c>
      <c r="CG389" s="493">
        <f t="shared" si="25"/>
        <v>0</v>
      </c>
      <c r="CH389" s="493">
        <f t="shared" si="25"/>
        <v>0</v>
      </c>
      <c r="CI389" s="493">
        <f t="shared" si="26"/>
        <v>0</v>
      </c>
      <c r="CJ389" s="493">
        <f t="shared" si="26"/>
        <v>0</v>
      </c>
      <c r="CK389" s="493">
        <f t="shared" si="26"/>
        <v>0</v>
      </c>
      <c r="CL389" s="493">
        <f t="shared" si="26"/>
        <v>0</v>
      </c>
      <c r="CM389" s="493">
        <f t="shared" si="28"/>
        <v>47000000000</v>
      </c>
      <c r="CN389" s="493">
        <f t="shared" si="28"/>
        <v>0</v>
      </c>
      <c r="CO389" s="493">
        <f t="shared" si="28"/>
        <v>0</v>
      </c>
    </row>
    <row r="390" spans="1:93" ht="30.45" hidden="1" customHeight="1">
      <c r="A390" s="555" t="s">
        <v>4722</v>
      </c>
      <c r="B390" s="479">
        <v>388</v>
      </c>
      <c r="C390" s="480" t="s">
        <v>6370</v>
      </c>
      <c r="D390" s="480" t="s">
        <v>4711</v>
      </c>
      <c r="E390" s="480" t="str">
        <f t="shared" si="27"/>
        <v xml:space="preserve">4.1.4 </v>
      </c>
      <c r="F390" s="480" t="s">
        <v>4728</v>
      </c>
      <c r="G390" s="480" t="s">
        <v>4729</v>
      </c>
      <c r="H390" s="481">
        <v>19</v>
      </c>
      <c r="I390" s="480" t="s">
        <v>4726</v>
      </c>
      <c r="J390" s="495">
        <v>190501500</v>
      </c>
      <c r="K390" s="480" t="s">
        <v>4063</v>
      </c>
      <c r="L390" s="480" t="s">
        <v>4190</v>
      </c>
      <c r="M390" s="480" t="s">
        <v>5985</v>
      </c>
      <c r="N390" s="499">
        <v>1</v>
      </c>
      <c r="O390" s="480" t="s">
        <v>4731</v>
      </c>
      <c r="P390" s="515">
        <v>2</v>
      </c>
      <c r="Q390" s="485" t="s">
        <v>5349</v>
      </c>
      <c r="R390" s="485" t="s">
        <v>5542</v>
      </c>
      <c r="S390" s="485" t="s">
        <v>5543</v>
      </c>
      <c r="T390" s="485">
        <v>7.89</v>
      </c>
      <c r="U390" s="485" t="s">
        <v>5544</v>
      </c>
      <c r="V390" s="485">
        <v>6</v>
      </c>
      <c r="W390" s="485" t="s">
        <v>5357</v>
      </c>
      <c r="X390" s="485">
        <v>3</v>
      </c>
      <c r="Y390" s="485" t="s">
        <v>5545</v>
      </c>
      <c r="Z390" s="486">
        <v>0</v>
      </c>
      <c r="AA390" s="486">
        <v>862420300</v>
      </c>
      <c r="AB390" s="486">
        <v>0</v>
      </c>
      <c r="AC390" s="486">
        <v>0</v>
      </c>
      <c r="AD390" s="486">
        <v>0</v>
      </c>
      <c r="AE390" s="486">
        <v>0</v>
      </c>
      <c r="AF390" s="486">
        <v>0</v>
      </c>
      <c r="AG390" s="486">
        <v>0</v>
      </c>
      <c r="AH390" s="487">
        <v>862420300</v>
      </c>
      <c r="AI390" s="486">
        <v>30000000</v>
      </c>
      <c r="AJ390" s="486">
        <v>0</v>
      </c>
      <c r="AK390" s="486">
        <v>0</v>
      </c>
      <c r="AL390" s="488">
        <v>30000000</v>
      </c>
      <c r="AM390" s="489">
        <v>892420300</v>
      </c>
      <c r="AN390" s="486">
        <v>0</v>
      </c>
      <c r="AO390" s="486">
        <v>896917112</v>
      </c>
      <c r="AP390" s="486">
        <v>0</v>
      </c>
      <c r="AQ390" s="486">
        <v>0</v>
      </c>
      <c r="AR390" s="486">
        <v>0</v>
      </c>
      <c r="AS390" s="486">
        <v>0</v>
      </c>
      <c r="AT390" s="486">
        <v>0</v>
      </c>
      <c r="AU390" s="486">
        <v>0</v>
      </c>
      <c r="AV390" s="487">
        <v>896917112</v>
      </c>
      <c r="AW390" s="486">
        <v>31200000</v>
      </c>
      <c r="AX390" s="486">
        <v>0</v>
      </c>
      <c r="AY390" s="486">
        <v>0</v>
      </c>
      <c r="AZ390" s="488">
        <v>31200000</v>
      </c>
      <c r="BA390" s="490">
        <v>928117112</v>
      </c>
      <c r="BB390" s="486">
        <v>0</v>
      </c>
      <c r="BC390" s="486">
        <v>932793796.48000002</v>
      </c>
      <c r="BD390" s="486">
        <v>0</v>
      </c>
      <c r="BE390" s="486">
        <v>0</v>
      </c>
      <c r="BF390" s="486">
        <v>0</v>
      </c>
      <c r="BG390" s="486">
        <v>0</v>
      </c>
      <c r="BH390" s="486">
        <v>0</v>
      </c>
      <c r="BI390" s="486">
        <v>0</v>
      </c>
      <c r="BJ390" s="487">
        <v>932793796.48000002</v>
      </c>
      <c r="BK390" s="486">
        <v>32448000</v>
      </c>
      <c r="BL390" s="486">
        <v>0</v>
      </c>
      <c r="BM390" s="486">
        <v>0</v>
      </c>
      <c r="BN390" s="488">
        <v>32448000</v>
      </c>
      <c r="BO390" s="490">
        <v>965241796.48000002</v>
      </c>
      <c r="BP390" s="486">
        <v>0</v>
      </c>
      <c r="BQ390" s="486">
        <v>970105548.34000003</v>
      </c>
      <c r="BR390" s="486">
        <v>0</v>
      </c>
      <c r="BS390" s="486">
        <v>0</v>
      </c>
      <c r="BT390" s="486">
        <v>0</v>
      </c>
      <c r="BU390" s="486">
        <v>0</v>
      </c>
      <c r="BV390" s="486">
        <v>0</v>
      </c>
      <c r="BW390" s="486">
        <v>0</v>
      </c>
      <c r="BX390" s="487">
        <v>970105548.34000003</v>
      </c>
      <c r="BY390" s="486">
        <v>33745920</v>
      </c>
      <c r="BZ390" s="486">
        <v>0</v>
      </c>
      <c r="CA390" s="486">
        <v>0</v>
      </c>
      <c r="CB390" s="488">
        <v>33745920</v>
      </c>
      <c r="CC390" s="491">
        <v>1003851468.34</v>
      </c>
      <c r="CD390" s="492">
        <v>3789630676.8200002</v>
      </c>
      <c r="CE390" s="493">
        <f t="shared" si="25"/>
        <v>0</v>
      </c>
      <c r="CF390" s="493">
        <f t="shared" si="25"/>
        <v>3662236756.8200002</v>
      </c>
      <c r="CG390" s="493">
        <f t="shared" si="25"/>
        <v>0</v>
      </c>
      <c r="CH390" s="493">
        <f t="shared" si="25"/>
        <v>0</v>
      </c>
      <c r="CI390" s="493">
        <f t="shared" si="26"/>
        <v>0</v>
      </c>
      <c r="CJ390" s="493">
        <f t="shared" si="26"/>
        <v>0</v>
      </c>
      <c r="CK390" s="493">
        <f t="shared" si="26"/>
        <v>0</v>
      </c>
      <c r="CL390" s="493">
        <f t="shared" si="26"/>
        <v>0</v>
      </c>
      <c r="CM390" s="493">
        <f t="shared" si="28"/>
        <v>127393920</v>
      </c>
      <c r="CN390" s="493">
        <f t="shared" si="28"/>
        <v>0</v>
      </c>
      <c r="CO390" s="493">
        <f t="shared" si="28"/>
        <v>0</v>
      </c>
    </row>
    <row r="391" spans="1:93" ht="30.45" hidden="1" customHeight="1">
      <c r="A391" s="555" t="s">
        <v>4722</v>
      </c>
      <c r="B391" s="479">
        <v>389</v>
      </c>
      <c r="C391" s="480" t="s">
        <v>6370</v>
      </c>
      <c r="D391" s="480" t="s">
        <v>4711</v>
      </c>
      <c r="E391" s="480" t="str">
        <f t="shared" si="27"/>
        <v xml:space="preserve">4.1.4 </v>
      </c>
      <c r="F391" s="480" t="s">
        <v>4728</v>
      </c>
      <c r="G391" s="480" t="s">
        <v>4729</v>
      </c>
      <c r="H391" s="481">
        <v>19</v>
      </c>
      <c r="I391" s="480" t="s">
        <v>4726</v>
      </c>
      <c r="J391" s="495">
        <v>190501506</v>
      </c>
      <c r="K391" s="480" t="s">
        <v>4063</v>
      </c>
      <c r="L391" s="480" t="s">
        <v>4758</v>
      </c>
      <c r="M391" s="480" t="s">
        <v>5986</v>
      </c>
      <c r="N391" s="499">
        <v>124</v>
      </c>
      <c r="O391" s="480" t="s">
        <v>4731</v>
      </c>
      <c r="P391" s="515">
        <v>124</v>
      </c>
      <c r="Q391" s="485" t="s">
        <v>5349</v>
      </c>
      <c r="R391" s="485" t="s">
        <v>5542</v>
      </c>
      <c r="S391" s="485" t="s">
        <v>5543</v>
      </c>
      <c r="T391" s="485">
        <v>7.89</v>
      </c>
      <c r="U391" s="485" t="s">
        <v>5544</v>
      </c>
      <c r="V391" s="485">
        <v>6</v>
      </c>
      <c r="W391" s="485" t="s">
        <v>5357</v>
      </c>
      <c r="X391" s="485">
        <v>3</v>
      </c>
      <c r="Y391" s="485" t="s">
        <v>5545</v>
      </c>
      <c r="Z391" s="486">
        <v>0</v>
      </c>
      <c r="AA391" s="486">
        <v>14760213403</v>
      </c>
      <c r="AB391" s="486">
        <v>0</v>
      </c>
      <c r="AC391" s="486">
        <v>0</v>
      </c>
      <c r="AD391" s="486">
        <v>0</v>
      </c>
      <c r="AE391" s="486">
        <v>0</v>
      </c>
      <c r="AF391" s="486">
        <v>0</v>
      </c>
      <c r="AG391" s="486">
        <v>0</v>
      </c>
      <c r="AH391" s="487">
        <v>14760213403</v>
      </c>
      <c r="AI391" s="486">
        <v>500000000</v>
      </c>
      <c r="AJ391" s="486">
        <v>0</v>
      </c>
      <c r="AK391" s="486">
        <v>0</v>
      </c>
      <c r="AL391" s="488">
        <v>500000000</v>
      </c>
      <c r="AM391" s="489">
        <v>15260213403</v>
      </c>
      <c r="AN391" s="486">
        <v>0</v>
      </c>
      <c r="AO391" s="486">
        <v>15350621939.120001</v>
      </c>
      <c r="AP391" s="486">
        <v>0</v>
      </c>
      <c r="AQ391" s="486">
        <v>0</v>
      </c>
      <c r="AR391" s="486">
        <v>0</v>
      </c>
      <c r="AS391" s="486">
        <v>0</v>
      </c>
      <c r="AT391" s="486">
        <v>0</v>
      </c>
      <c r="AU391" s="486">
        <v>0</v>
      </c>
      <c r="AV391" s="487">
        <v>15350621939.120001</v>
      </c>
      <c r="AW391" s="486">
        <v>0</v>
      </c>
      <c r="AX391" s="486">
        <v>0</v>
      </c>
      <c r="AY391" s="486">
        <v>0</v>
      </c>
      <c r="AZ391" s="488">
        <v>0</v>
      </c>
      <c r="BA391" s="490">
        <v>15350621939.120001</v>
      </c>
      <c r="BB391" s="486">
        <v>0</v>
      </c>
      <c r="BC391" s="486">
        <v>15964646816.68</v>
      </c>
      <c r="BD391" s="486">
        <v>0</v>
      </c>
      <c r="BE391" s="486">
        <v>0</v>
      </c>
      <c r="BF391" s="486">
        <v>0</v>
      </c>
      <c r="BG391" s="486">
        <v>0</v>
      </c>
      <c r="BH391" s="486">
        <v>0</v>
      </c>
      <c r="BI391" s="486">
        <v>0</v>
      </c>
      <c r="BJ391" s="487">
        <v>15964646816.68</v>
      </c>
      <c r="BK391" s="486">
        <v>0</v>
      </c>
      <c r="BL391" s="486">
        <v>0</v>
      </c>
      <c r="BM391" s="486">
        <v>0</v>
      </c>
      <c r="BN391" s="488">
        <v>0</v>
      </c>
      <c r="BO391" s="490">
        <v>15964646816.68</v>
      </c>
      <c r="BP391" s="486">
        <v>0</v>
      </c>
      <c r="BQ391" s="486">
        <v>16603232689.35</v>
      </c>
      <c r="BR391" s="486">
        <v>0</v>
      </c>
      <c r="BS391" s="486">
        <v>0</v>
      </c>
      <c r="BT391" s="486">
        <v>0</v>
      </c>
      <c r="BU391" s="486">
        <v>0</v>
      </c>
      <c r="BV391" s="486">
        <v>0</v>
      </c>
      <c r="BW391" s="486">
        <v>0</v>
      </c>
      <c r="BX391" s="487">
        <v>16603232689.35</v>
      </c>
      <c r="BY391" s="486">
        <v>0</v>
      </c>
      <c r="BZ391" s="486">
        <v>0</v>
      </c>
      <c r="CA391" s="486">
        <v>0</v>
      </c>
      <c r="CB391" s="488">
        <v>0</v>
      </c>
      <c r="CC391" s="491">
        <v>16603232689.35</v>
      </c>
      <c r="CD391" s="492">
        <v>63178714848.150002</v>
      </c>
      <c r="CE391" s="493">
        <f t="shared" si="25"/>
        <v>0</v>
      </c>
      <c r="CF391" s="493">
        <f t="shared" si="25"/>
        <v>62678714848.150002</v>
      </c>
      <c r="CG391" s="493">
        <f t="shared" si="25"/>
        <v>0</v>
      </c>
      <c r="CH391" s="493">
        <f t="shared" si="25"/>
        <v>0</v>
      </c>
      <c r="CI391" s="493">
        <f t="shared" si="26"/>
        <v>0</v>
      </c>
      <c r="CJ391" s="493">
        <f t="shared" si="26"/>
        <v>0</v>
      </c>
      <c r="CK391" s="493">
        <f t="shared" si="26"/>
        <v>0</v>
      </c>
      <c r="CL391" s="493">
        <f t="shared" si="26"/>
        <v>0</v>
      </c>
      <c r="CM391" s="493">
        <f t="shared" si="28"/>
        <v>500000000</v>
      </c>
      <c r="CN391" s="493">
        <f t="shared" si="28"/>
        <v>0</v>
      </c>
      <c r="CO391" s="493">
        <f t="shared" si="28"/>
        <v>0</v>
      </c>
    </row>
    <row r="392" spans="1:93" ht="30.45" hidden="1" customHeight="1">
      <c r="A392" s="555" t="s">
        <v>4722</v>
      </c>
      <c r="B392" s="479">
        <v>390</v>
      </c>
      <c r="C392" s="480" t="s">
        <v>6370</v>
      </c>
      <c r="D392" s="480" t="s">
        <v>4711</v>
      </c>
      <c r="E392" s="480" t="str">
        <f t="shared" si="27"/>
        <v xml:space="preserve">4.1.4 </v>
      </c>
      <c r="F392" s="480" t="s">
        <v>4728</v>
      </c>
      <c r="G392" s="480" t="s">
        <v>4729</v>
      </c>
      <c r="H392" s="481">
        <v>19</v>
      </c>
      <c r="I392" s="480" t="s">
        <v>4726</v>
      </c>
      <c r="J392" s="495">
        <v>190502000</v>
      </c>
      <c r="K392" s="480" t="s">
        <v>4286</v>
      </c>
      <c r="L392" s="480" t="s">
        <v>4759</v>
      </c>
      <c r="M392" s="480" t="s">
        <v>5987</v>
      </c>
      <c r="N392" s="499">
        <v>123</v>
      </c>
      <c r="O392" s="480" t="s">
        <v>4731</v>
      </c>
      <c r="P392" s="515">
        <v>123</v>
      </c>
      <c r="Q392" s="485" t="s">
        <v>5349</v>
      </c>
      <c r="R392" s="485" t="s">
        <v>5542</v>
      </c>
      <c r="S392" s="485" t="s">
        <v>5543</v>
      </c>
      <c r="T392" s="485">
        <v>7.89</v>
      </c>
      <c r="U392" s="485" t="s">
        <v>5544</v>
      </c>
      <c r="V392" s="485">
        <v>6</v>
      </c>
      <c r="W392" s="485" t="s">
        <v>5357</v>
      </c>
      <c r="X392" s="485">
        <v>3</v>
      </c>
      <c r="Y392" s="485" t="s">
        <v>5545</v>
      </c>
      <c r="Z392" s="486">
        <v>0</v>
      </c>
      <c r="AA392" s="486">
        <v>0</v>
      </c>
      <c r="AB392" s="486">
        <v>0</v>
      </c>
      <c r="AC392" s="486">
        <v>83340480</v>
      </c>
      <c r="AD392" s="486">
        <v>0</v>
      </c>
      <c r="AE392" s="486">
        <v>0</v>
      </c>
      <c r="AF392" s="486">
        <v>0</v>
      </c>
      <c r="AG392" s="486">
        <v>0</v>
      </c>
      <c r="AH392" s="487">
        <v>83340480</v>
      </c>
      <c r="AI392" s="486">
        <v>0</v>
      </c>
      <c r="AJ392" s="486">
        <v>0</v>
      </c>
      <c r="AK392" s="486">
        <v>0</v>
      </c>
      <c r="AL392" s="488">
        <v>0</v>
      </c>
      <c r="AM392" s="489">
        <v>83340480</v>
      </c>
      <c r="AN392" s="486">
        <v>0</v>
      </c>
      <c r="AO392" s="486">
        <v>0</v>
      </c>
      <c r="AP392" s="486">
        <v>0</v>
      </c>
      <c r="AQ392" s="486">
        <v>86674099.200000003</v>
      </c>
      <c r="AR392" s="486">
        <v>0</v>
      </c>
      <c r="AS392" s="486">
        <v>0</v>
      </c>
      <c r="AT392" s="486">
        <v>0</v>
      </c>
      <c r="AU392" s="486">
        <v>0</v>
      </c>
      <c r="AV392" s="487">
        <v>86674099.200000003</v>
      </c>
      <c r="AW392" s="486">
        <v>0</v>
      </c>
      <c r="AX392" s="486">
        <v>0</v>
      </c>
      <c r="AY392" s="486">
        <v>0</v>
      </c>
      <c r="AZ392" s="488">
        <v>0</v>
      </c>
      <c r="BA392" s="490">
        <v>86674099.200000003</v>
      </c>
      <c r="BB392" s="486">
        <v>0</v>
      </c>
      <c r="BC392" s="486">
        <v>0</v>
      </c>
      <c r="BD392" s="486">
        <v>0</v>
      </c>
      <c r="BE392" s="486">
        <v>90141063.170000002</v>
      </c>
      <c r="BF392" s="486">
        <v>0</v>
      </c>
      <c r="BG392" s="486">
        <v>0</v>
      </c>
      <c r="BH392" s="486">
        <v>0</v>
      </c>
      <c r="BI392" s="486">
        <v>0</v>
      </c>
      <c r="BJ392" s="487">
        <v>90141063.170000002</v>
      </c>
      <c r="BK392" s="486">
        <v>0</v>
      </c>
      <c r="BL392" s="486">
        <v>0</v>
      </c>
      <c r="BM392" s="486">
        <v>0</v>
      </c>
      <c r="BN392" s="488">
        <v>0</v>
      </c>
      <c r="BO392" s="490">
        <v>90141063.170000002</v>
      </c>
      <c r="BP392" s="486">
        <v>0</v>
      </c>
      <c r="BQ392" s="486">
        <v>0</v>
      </c>
      <c r="BR392" s="486">
        <v>0</v>
      </c>
      <c r="BS392" s="486">
        <v>93746705.700000003</v>
      </c>
      <c r="BT392" s="486">
        <v>0</v>
      </c>
      <c r="BU392" s="486">
        <v>0</v>
      </c>
      <c r="BV392" s="486">
        <v>0</v>
      </c>
      <c r="BW392" s="486">
        <v>0</v>
      </c>
      <c r="BX392" s="487">
        <v>93746705.700000003</v>
      </c>
      <c r="BY392" s="486">
        <v>0</v>
      </c>
      <c r="BZ392" s="486">
        <v>0</v>
      </c>
      <c r="CA392" s="486">
        <v>0</v>
      </c>
      <c r="CB392" s="488">
        <v>0</v>
      </c>
      <c r="CC392" s="491">
        <v>93746705.700000003</v>
      </c>
      <c r="CD392" s="492">
        <v>353902348.06999999</v>
      </c>
      <c r="CE392" s="493">
        <f t="shared" si="25"/>
        <v>0</v>
      </c>
      <c r="CF392" s="493">
        <f t="shared" si="25"/>
        <v>0</v>
      </c>
      <c r="CG392" s="493">
        <f t="shared" si="25"/>
        <v>0</v>
      </c>
      <c r="CH392" s="493">
        <f t="shared" si="25"/>
        <v>353902348.06999999</v>
      </c>
      <c r="CI392" s="493">
        <f t="shared" si="26"/>
        <v>0</v>
      </c>
      <c r="CJ392" s="493">
        <f t="shared" si="26"/>
        <v>0</v>
      </c>
      <c r="CK392" s="493">
        <f t="shared" si="26"/>
        <v>0</v>
      </c>
      <c r="CL392" s="493">
        <f t="shared" si="26"/>
        <v>0</v>
      </c>
      <c r="CM392" s="493">
        <f t="shared" si="28"/>
        <v>0</v>
      </c>
      <c r="CN392" s="493">
        <f t="shared" si="28"/>
        <v>0</v>
      </c>
      <c r="CO392" s="493">
        <f t="shared" si="28"/>
        <v>0</v>
      </c>
    </row>
    <row r="393" spans="1:93" ht="30.45" hidden="1" customHeight="1">
      <c r="A393" s="555" t="s">
        <v>4722</v>
      </c>
      <c r="B393" s="479">
        <v>391</v>
      </c>
      <c r="C393" s="480" t="s">
        <v>6370</v>
      </c>
      <c r="D393" s="480" t="s">
        <v>4711</v>
      </c>
      <c r="E393" s="480" t="str">
        <f t="shared" si="27"/>
        <v xml:space="preserve">4.1.4 </v>
      </c>
      <c r="F393" s="480" t="s">
        <v>4728</v>
      </c>
      <c r="G393" s="480" t="s">
        <v>4729</v>
      </c>
      <c r="H393" s="481">
        <v>19</v>
      </c>
      <c r="I393" s="480" t="s">
        <v>4719</v>
      </c>
      <c r="J393" s="495">
        <v>190502200</v>
      </c>
      <c r="K393" s="480" t="s">
        <v>4286</v>
      </c>
      <c r="L393" s="480" t="s">
        <v>4760</v>
      </c>
      <c r="M393" s="480" t="s">
        <v>5988</v>
      </c>
      <c r="N393" s="499">
        <v>123</v>
      </c>
      <c r="O393" s="480" t="s">
        <v>4731</v>
      </c>
      <c r="P393" s="515">
        <v>123</v>
      </c>
      <c r="Q393" s="485" t="s">
        <v>5349</v>
      </c>
      <c r="R393" s="485" t="s">
        <v>5542</v>
      </c>
      <c r="S393" s="485" t="s">
        <v>5543</v>
      </c>
      <c r="T393" s="485">
        <v>7.89</v>
      </c>
      <c r="U393" s="485" t="s">
        <v>5544</v>
      </c>
      <c r="V393" s="485">
        <v>6</v>
      </c>
      <c r="W393" s="485" t="s">
        <v>5357</v>
      </c>
      <c r="X393" s="485">
        <v>3</v>
      </c>
      <c r="Y393" s="485" t="s">
        <v>5545</v>
      </c>
      <c r="Z393" s="486">
        <v>0</v>
      </c>
      <c r="AA393" s="486">
        <v>0</v>
      </c>
      <c r="AB393" s="486">
        <v>0</v>
      </c>
      <c r="AC393" s="486">
        <v>283445220</v>
      </c>
      <c r="AD393" s="486">
        <v>0</v>
      </c>
      <c r="AE393" s="486">
        <v>0</v>
      </c>
      <c r="AF393" s="486">
        <v>0</v>
      </c>
      <c r="AG393" s="486">
        <v>0</v>
      </c>
      <c r="AH393" s="487">
        <v>283445220</v>
      </c>
      <c r="AI393" s="486">
        <v>0</v>
      </c>
      <c r="AJ393" s="486">
        <v>0</v>
      </c>
      <c r="AK393" s="486">
        <v>0</v>
      </c>
      <c r="AL393" s="488">
        <v>0</v>
      </c>
      <c r="AM393" s="489">
        <v>283445220</v>
      </c>
      <c r="AN393" s="486">
        <v>0</v>
      </c>
      <c r="AO393" s="486">
        <v>0</v>
      </c>
      <c r="AP393" s="486">
        <v>0</v>
      </c>
      <c r="AQ393" s="486">
        <v>294783028.80000001</v>
      </c>
      <c r="AR393" s="486">
        <v>0</v>
      </c>
      <c r="AS393" s="486">
        <v>0</v>
      </c>
      <c r="AT393" s="486">
        <v>0</v>
      </c>
      <c r="AU393" s="486">
        <v>0</v>
      </c>
      <c r="AV393" s="487">
        <v>294783028.80000001</v>
      </c>
      <c r="AW393" s="486">
        <v>0</v>
      </c>
      <c r="AX393" s="486">
        <v>0</v>
      </c>
      <c r="AY393" s="486">
        <v>0</v>
      </c>
      <c r="AZ393" s="488">
        <v>0</v>
      </c>
      <c r="BA393" s="490">
        <v>294783028.80000001</v>
      </c>
      <c r="BB393" s="486">
        <v>0</v>
      </c>
      <c r="BC393" s="486">
        <v>0</v>
      </c>
      <c r="BD393" s="486">
        <v>0</v>
      </c>
      <c r="BE393" s="486">
        <v>306574349.94999999</v>
      </c>
      <c r="BF393" s="486">
        <v>0</v>
      </c>
      <c r="BG393" s="486">
        <v>0</v>
      </c>
      <c r="BH393" s="486">
        <v>0</v>
      </c>
      <c r="BI393" s="486">
        <v>0</v>
      </c>
      <c r="BJ393" s="487">
        <v>306574349.94999999</v>
      </c>
      <c r="BK393" s="486">
        <v>0</v>
      </c>
      <c r="BL393" s="486">
        <v>0</v>
      </c>
      <c r="BM393" s="486">
        <v>0</v>
      </c>
      <c r="BN393" s="488">
        <v>0</v>
      </c>
      <c r="BO393" s="490">
        <v>306574349.94999999</v>
      </c>
      <c r="BP393" s="486">
        <v>0</v>
      </c>
      <c r="BQ393" s="486">
        <v>0</v>
      </c>
      <c r="BR393" s="486">
        <v>0</v>
      </c>
      <c r="BS393" s="486">
        <v>318837323.94999999</v>
      </c>
      <c r="BT393" s="486">
        <v>0</v>
      </c>
      <c r="BU393" s="486">
        <v>0</v>
      </c>
      <c r="BV393" s="486">
        <v>0</v>
      </c>
      <c r="BW393" s="486">
        <v>0</v>
      </c>
      <c r="BX393" s="487">
        <v>318837323.94999999</v>
      </c>
      <c r="BY393" s="486">
        <v>0</v>
      </c>
      <c r="BZ393" s="486">
        <v>0</v>
      </c>
      <c r="CA393" s="486">
        <v>0</v>
      </c>
      <c r="CB393" s="488">
        <v>0</v>
      </c>
      <c r="CC393" s="491">
        <v>318837323.94999999</v>
      </c>
      <c r="CD393" s="492">
        <v>1203639922.7</v>
      </c>
      <c r="CE393" s="493">
        <f t="shared" si="25"/>
        <v>0</v>
      </c>
      <c r="CF393" s="493">
        <f t="shared" si="25"/>
        <v>0</v>
      </c>
      <c r="CG393" s="493">
        <f t="shared" si="25"/>
        <v>0</v>
      </c>
      <c r="CH393" s="493">
        <f t="shared" si="25"/>
        <v>1203639922.7</v>
      </c>
      <c r="CI393" s="493">
        <f t="shared" si="26"/>
        <v>0</v>
      </c>
      <c r="CJ393" s="493">
        <f t="shared" si="26"/>
        <v>0</v>
      </c>
      <c r="CK393" s="493">
        <f t="shared" si="26"/>
        <v>0</v>
      </c>
      <c r="CL393" s="493">
        <f t="shared" si="26"/>
        <v>0</v>
      </c>
      <c r="CM393" s="493">
        <f t="shared" si="28"/>
        <v>0</v>
      </c>
      <c r="CN393" s="493">
        <f t="shared" si="28"/>
        <v>0</v>
      </c>
      <c r="CO393" s="493">
        <f t="shared" si="28"/>
        <v>0</v>
      </c>
    </row>
    <row r="394" spans="1:93" ht="30.45" hidden="1" customHeight="1">
      <c r="A394" s="555" t="s">
        <v>4722</v>
      </c>
      <c r="B394" s="479">
        <v>392</v>
      </c>
      <c r="C394" s="480" t="s">
        <v>6370</v>
      </c>
      <c r="D394" s="480" t="s">
        <v>4711</v>
      </c>
      <c r="E394" s="480" t="str">
        <f t="shared" si="27"/>
        <v xml:space="preserve">4.1.4 </v>
      </c>
      <c r="F394" s="480" t="s">
        <v>4728</v>
      </c>
      <c r="G394" s="480" t="s">
        <v>4729</v>
      </c>
      <c r="H394" s="481">
        <v>19</v>
      </c>
      <c r="I394" s="480" t="s">
        <v>4719</v>
      </c>
      <c r="J394" s="495">
        <v>190502600</v>
      </c>
      <c r="K394" s="480" t="s">
        <v>4286</v>
      </c>
      <c r="L394" s="480" t="s">
        <v>4761</v>
      </c>
      <c r="M394" s="480" t="s">
        <v>5989</v>
      </c>
      <c r="N394" s="499">
        <v>123</v>
      </c>
      <c r="O394" s="480" t="s">
        <v>4731</v>
      </c>
      <c r="P394" s="515">
        <v>123</v>
      </c>
      <c r="Q394" s="485" t="s">
        <v>5349</v>
      </c>
      <c r="R394" s="485" t="s">
        <v>5542</v>
      </c>
      <c r="S394" s="485" t="s">
        <v>5543</v>
      </c>
      <c r="T394" s="485">
        <v>7.89</v>
      </c>
      <c r="U394" s="485" t="s">
        <v>5544</v>
      </c>
      <c r="V394" s="485">
        <v>6</v>
      </c>
      <c r="W394" s="485" t="s">
        <v>5357</v>
      </c>
      <c r="X394" s="485">
        <v>3</v>
      </c>
      <c r="Y394" s="485" t="s">
        <v>5545</v>
      </c>
      <c r="Z394" s="486">
        <v>0</v>
      </c>
      <c r="AA394" s="486">
        <v>0</v>
      </c>
      <c r="AB394" s="486">
        <v>0</v>
      </c>
      <c r="AC394" s="486">
        <v>381282400</v>
      </c>
      <c r="AD394" s="486">
        <v>0</v>
      </c>
      <c r="AE394" s="486">
        <v>0</v>
      </c>
      <c r="AF394" s="486">
        <v>0</v>
      </c>
      <c r="AG394" s="486">
        <v>0</v>
      </c>
      <c r="AH394" s="487">
        <v>381282400</v>
      </c>
      <c r="AI394" s="486">
        <v>0</v>
      </c>
      <c r="AJ394" s="486">
        <v>0</v>
      </c>
      <c r="AK394" s="486">
        <v>0</v>
      </c>
      <c r="AL394" s="488">
        <v>0</v>
      </c>
      <c r="AM394" s="489">
        <v>381282400</v>
      </c>
      <c r="AN394" s="486">
        <v>0</v>
      </c>
      <c r="AO394" s="486">
        <v>0</v>
      </c>
      <c r="AP394" s="486">
        <v>0</v>
      </c>
      <c r="AQ394" s="486">
        <v>396533696</v>
      </c>
      <c r="AR394" s="486">
        <v>0</v>
      </c>
      <c r="AS394" s="486">
        <v>0</v>
      </c>
      <c r="AT394" s="486">
        <v>0</v>
      </c>
      <c r="AU394" s="486">
        <v>0</v>
      </c>
      <c r="AV394" s="487">
        <v>396533696</v>
      </c>
      <c r="AW394" s="486">
        <v>0</v>
      </c>
      <c r="AX394" s="486">
        <v>0</v>
      </c>
      <c r="AY394" s="486">
        <v>0</v>
      </c>
      <c r="AZ394" s="488">
        <v>0</v>
      </c>
      <c r="BA394" s="490">
        <v>396533696</v>
      </c>
      <c r="BB394" s="486">
        <v>0</v>
      </c>
      <c r="BC394" s="486">
        <v>0</v>
      </c>
      <c r="BD394" s="486">
        <v>0</v>
      </c>
      <c r="BE394" s="486">
        <v>412395043.83999997</v>
      </c>
      <c r="BF394" s="486">
        <v>0</v>
      </c>
      <c r="BG394" s="486">
        <v>0</v>
      </c>
      <c r="BH394" s="486">
        <v>0</v>
      </c>
      <c r="BI394" s="486">
        <v>0</v>
      </c>
      <c r="BJ394" s="487">
        <v>412395043.83999997</v>
      </c>
      <c r="BK394" s="486">
        <v>0</v>
      </c>
      <c r="BL394" s="486">
        <v>0</v>
      </c>
      <c r="BM394" s="486">
        <v>0</v>
      </c>
      <c r="BN394" s="488">
        <v>0</v>
      </c>
      <c r="BO394" s="490">
        <v>412395043.83999997</v>
      </c>
      <c r="BP394" s="486">
        <v>0</v>
      </c>
      <c r="BQ394" s="486">
        <v>0</v>
      </c>
      <c r="BR394" s="486">
        <v>0</v>
      </c>
      <c r="BS394" s="486">
        <v>428890845.58999997</v>
      </c>
      <c r="BT394" s="486">
        <v>0</v>
      </c>
      <c r="BU394" s="486">
        <v>0</v>
      </c>
      <c r="BV394" s="486">
        <v>0</v>
      </c>
      <c r="BW394" s="486">
        <v>0</v>
      </c>
      <c r="BX394" s="487">
        <v>428890845.58999997</v>
      </c>
      <c r="BY394" s="486">
        <v>0</v>
      </c>
      <c r="BZ394" s="486">
        <v>0</v>
      </c>
      <c r="CA394" s="486">
        <v>0</v>
      </c>
      <c r="CB394" s="488">
        <v>0</v>
      </c>
      <c r="CC394" s="491">
        <v>428890845.58999997</v>
      </c>
      <c r="CD394" s="492">
        <v>1619101985.4299998</v>
      </c>
      <c r="CE394" s="493">
        <f t="shared" si="25"/>
        <v>0</v>
      </c>
      <c r="CF394" s="493">
        <f t="shared" si="25"/>
        <v>0</v>
      </c>
      <c r="CG394" s="493">
        <f t="shared" si="25"/>
        <v>0</v>
      </c>
      <c r="CH394" s="493">
        <f t="shared" si="25"/>
        <v>1619101985.4299998</v>
      </c>
      <c r="CI394" s="493">
        <f t="shared" si="26"/>
        <v>0</v>
      </c>
      <c r="CJ394" s="493">
        <f t="shared" si="26"/>
        <v>0</v>
      </c>
      <c r="CK394" s="493">
        <f t="shared" si="26"/>
        <v>0</v>
      </c>
      <c r="CL394" s="493">
        <f t="shared" si="26"/>
        <v>0</v>
      </c>
      <c r="CM394" s="493">
        <f t="shared" si="28"/>
        <v>0</v>
      </c>
      <c r="CN394" s="493">
        <f t="shared" si="28"/>
        <v>0</v>
      </c>
      <c r="CO394" s="493">
        <f t="shared" si="28"/>
        <v>0</v>
      </c>
    </row>
    <row r="395" spans="1:93" ht="30.45" hidden="1" customHeight="1">
      <c r="A395" s="555" t="s">
        <v>4722</v>
      </c>
      <c r="B395" s="479">
        <v>393</v>
      </c>
      <c r="C395" s="480" t="s">
        <v>6370</v>
      </c>
      <c r="D395" s="480" t="s">
        <v>4711</v>
      </c>
      <c r="E395" s="480" t="str">
        <f t="shared" si="27"/>
        <v xml:space="preserve">4.1.4 </v>
      </c>
      <c r="F395" s="480" t="s">
        <v>4728</v>
      </c>
      <c r="G395" s="480" t="s">
        <v>4729</v>
      </c>
      <c r="H395" s="481">
        <v>19</v>
      </c>
      <c r="I395" s="480" t="s">
        <v>4762</v>
      </c>
      <c r="J395" s="495">
        <v>190502700</v>
      </c>
      <c r="K395" s="480" t="s">
        <v>4763</v>
      </c>
      <c r="L395" s="480" t="s">
        <v>4764</v>
      </c>
      <c r="M395" s="480" t="s">
        <v>5990</v>
      </c>
      <c r="N395" s="499">
        <v>123</v>
      </c>
      <c r="O395" s="480" t="s">
        <v>4731</v>
      </c>
      <c r="P395" s="515">
        <v>123</v>
      </c>
      <c r="Q395" s="485" t="s">
        <v>5349</v>
      </c>
      <c r="R395" s="485" t="s">
        <v>5542</v>
      </c>
      <c r="S395" s="485" t="s">
        <v>5543</v>
      </c>
      <c r="T395" s="485">
        <v>7.89</v>
      </c>
      <c r="U395" s="485" t="s">
        <v>5544</v>
      </c>
      <c r="V395" s="485">
        <v>6</v>
      </c>
      <c r="W395" s="485" t="s">
        <v>5357</v>
      </c>
      <c r="X395" s="485">
        <v>3</v>
      </c>
      <c r="Y395" s="485" t="s">
        <v>5545</v>
      </c>
      <c r="Z395" s="486">
        <v>0</v>
      </c>
      <c r="AA395" s="486">
        <v>0</v>
      </c>
      <c r="AB395" s="486">
        <v>0</v>
      </c>
      <c r="AC395" s="486">
        <v>905935100</v>
      </c>
      <c r="AD395" s="486">
        <v>0</v>
      </c>
      <c r="AE395" s="486">
        <v>0</v>
      </c>
      <c r="AF395" s="486">
        <v>0</v>
      </c>
      <c r="AG395" s="486">
        <v>0</v>
      </c>
      <c r="AH395" s="487">
        <v>905935100</v>
      </c>
      <c r="AI395" s="486">
        <v>0</v>
      </c>
      <c r="AJ395" s="486">
        <v>0</v>
      </c>
      <c r="AK395" s="486">
        <v>0</v>
      </c>
      <c r="AL395" s="488">
        <v>0</v>
      </c>
      <c r="AM395" s="489">
        <v>905935100</v>
      </c>
      <c r="AN395" s="486">
        <v>0</v>
      </c>
      <c r="AO395" s="486">
        <v>0</v>
      </c>
      <c r="AP395" s="486">
        <v>0</v>
      </c>
      <c r="AQ395" s="486">
        <v>942172504</v>
      </c>
      <c r="AR395" s="486">
        <v>0</v>
      </c>
      <c r="AS395" s="486">
        <v>0</v>
      </c>
      <c r="AT395" s="486">
        <v>0</v>
      </c>
      <c r="AU395" s="486">
        <v>0</v>
      </c>
      <c r="AV395" s="487">
        <v>942172504</v>
      </c>
      <c r="AW395" s="486">
        <v>0</v>
      </c>
      <c r="AX395" s="486">
        <v>0</v>
      </c>
      <c r="AY395" s="486">
        <v>0</v>
      </c>
      <c r="AZ395" s="488">
        <v>0</v>
      </c>
      <c r="BA395" s="490">
        <v>942172504</v>
      </c>
      <c r="BB395" s="486">
        <v>0</v>
      </c>
      <c r="BC395" s="486">
        <v>0</v>
      </c>
      <c r="BD395" s="486">
        <v>0</v>
      </c>
      <c r="BE395" s="486">
        <v>979859404.15999997</v>
      </c>
      <c r="BF395" s="486">
        <v>0</v>
      </c>
      <c r="BG395" s="486">
        <v>0</v>
      </c>
      <c r="BH395" s="486">
        <v>0</v>
      </c>
      <c r="BI395" s="486">
        <v>0</v>
      </c>
      <c r="BJ395" s="487">
        <v>979859404.15999997</v>
      </c>
      <c r="BK395" s="486">
        <v>0</v>
      </c>
      <c r="BL395" s="486">
        <v>0</v>
      </c>
      <c r="BM395" s="486">
        <v>0</v>
      </c>
      <c r="BN395" s="488">
        <v>0</v>
      </c>
      <c r="BO395" s="490">
        <v>979859404.15999997</v>
      </c>
      <c r="BP395" s="486">
        <v>0</v>
      </c>
      <c r="BQ395" s="486">
        <v>0</v>
      </c>
      <c r="BR395" s="486">
        <v>0</v>
      </c>
      <c r="BS395" s="486">
        <v>1019053780.33</v>
      </c>
      <c r="BT395" s="486">
        <v>0</v>
      </c>
      <c r="BU395" s="486">
        <v>0</v>
      </c>
      <c r="BV395" s="486">
        <v>0</v>
      </c>
      <c r="BW395" s="486">
        <v>0</v>
      </c>
      <c r="BX395" s="487">
        <v>1019053780.33</v>
      </c>
      <c r="BY395" s="486">
        <v>0</v>
      </c>
      <c r="BZ395" s="486">
        <v>0</v>
      </c>
      <c r="CA395" s="486">
        <v>0</v>
      </c>
      <c r="CB395" s="488">
        <v>0</v>
      </c>
      <c r="CC395" s="491">
        <v>1019053780.33</v>
      </c>
      <c r="CD395" s="492">
        <v>3847020788.4899998</v>
      </c>
      <c r="CE395" s="493">
        <f t="shared" ref="CE395:CK446" si="29">Z395+AN395+BB395+BP395</f>
        <v>0</v>
      </c>
      <c r="CF395" s="493">
        <f t="shared" si="29"/>
        <v>0</v>
      </c>
      <c r="CG395" s="493">
        <f t="shared" si="29"/>
        <v>0</v>
      </c>
      <c r="CH395" s="493">
        <f t="shared" si="29"/>
        <v>3847020788.4899998</v>
      </c>
      <c r="CI395" s="493">
        <f t="shared" si="26"/>
        <v>0</v>
      </c>
      <c r="CJ395" s="493">
        <f t="shared" si="26"/>
        <v>0</v>
      </c>
      <c r="CK395" s="493">
        <f t="shared" si="26"/>
        <v>0</v>
      </c>
      <c r="CL395" s="493">
        <f t="shared" si="26"/>
        <v>0</v>
      </c>
      <c r="CM395" s="493">
        <f t="shared" si="28"/>
        <v>0</v>
      </c>
      <c r="CN395" s="493">
        <f t="shared" si="28"/>
        <v>0</v>
      </c>
      <c r="CO395" s="493">
        <f t="shared" si="28"/>
        <v>0</v>
      </c>
    </row>
    <row r="396" spans="1:93" ht="30.45" hidden="1" customHeight="1">
      <c r="A396" s="555" t="s">
        <v>4722</v>
      </c>
      <c r="B396" s="479">
        <v>394</v>
      </c>
      <c r="C396" s="480" t="s">
        <v>6370</v>
      </c>
      <c r="D396" s="480" t="s">
        <v>4711</v>
      </c>
      <c r="E396" s="480" t="str">
        <f t="shared" si="27"/>
        <v xml:space="preserve">4.1.4 </v>
      </c>
      <c r="F396" s="480" t="s">
        <v>4728</v>
      </c>
      <c r="G396" s="480" t="s">
        <v>4729</v>
      </c>
      <c r="H396" s="481">
        <v>19</v>
      </c>
      <c r="I396" s="480" t="s">
        <v>4719</v>
      </c>
      <c r="J396" s="495">
        <v>190504000</v>
      </c>
      <c r="K396" s="480" t="s">
        <v>4008</v>
      </c>
      <c r="L396" s="480" t="s">
        <v>4765</v>
      </c>
      <c r="M396" s="480" t="s">
        <v>5991</v>
      </c>
      <c r="N396" s="517">
        <v>8202</v>
      </c>
      <c r="O396" s="480" t="s">
        <v>4731</v>
      </c>
      <c r="P396" s="518">
        <v>16202</v>
      </c>
      <c r="Q396" s="485" t="s">
        <v>5349</v>
      </c>
      <c r="R396" s="485" t="s">
        <v>5542</v>
      </c>
      <c r="S396" s="485" t="s">
        <v>5543</v>
      </c>
      <c r="T396" s="485">
        <v>7.89</v>
      </c>
      <c r="U396" s="485" t="s">
        <v>5544</v>
      </c>
      <c r="V396" s="485">
        <v>6</v>
      </c>
      <c r="W396" s="485" t="s">
        <v>5357</v>
      </c>
      <c r="X396" s="485">
        <v>3</v>
      </c>
      <c r="Y396" s="485" t="s">
        <v>5545</v>
      </c>
      <c r="Z396" s="486">
        <v>0</v>
      </c>
      <c r="AA396" s="486">
        <v>0</v>
      </c>
      <c r="AB396" s="486">
        <v>0</v>
      </c>
      <c r="AC396" s="486">
        <v>157212000</v>
      </c>
      <c r="AD396" s="486">
        <v>0</v>
      </c>
      <c r="AE396" s="486">
        <v>0</v>
      </c>
      <c r="AF396" s="486">
        <v>0</v>
      </c>
      <c r="AG396" s="486">
        <v>0</v>
      </c>
      <c r="AH396" s="487">
        <v>157212000</v>
      </c>
      <c r="AI396" s="486">
        <v>0</v>
      </c>
      <c r="AJ396" s="486">
        <v>0</v>
      </c>
      <c r="AK396" s="486">
        <v>0</v>
      </c>
      <c r="AL396" s="488">
        <v>0</v>
      </c>
      <c r="AM396" s="489">
        <v>157212000</v>
      </c>
      <c r="AN396" s="486">
        <v>0</v>
      </c>
      <c r="AO396" s="486">
        <v>0</v>
      </c>
      <c r="AP396" s="486">
        <v>0</v>
      </c>
      <c r="AQ396" s="486">
        <v>163500480</v>
      </c>
      <c r="AR396" s="486">
        <v>0</v>
      </c>
      <c r="AS396" s="486">
        <v>0</v>
      </c>
      <c r="AT396" s="486">
        <v>0</v>
      </c>
      <c r="AU396" s="486">
        <v>0</v>
      </c>
      <c r="AV396" s="487">
        <v>163500480</v>
      </c>
      <c r="AW396" s="486">
        <v>0</v>
      </c>
      <c r="AX396" s="486">
        <v>0</v>
      </c>
      <c r="AY396" s="486">
        <v>0</v>
      </c>
      <c r="AZ396" s="488">
        <v>0</v>
      </c>
      <c r="BA396" s="490">
        <v>163500480</v>
      </c>
      <c r="BB396" s="486">
        <v>0</v>
      </c>
      <c r="BC396" s="486">
        <v>0</v>
      </c>
      <c r="BD396" s="486">
        <v>0</v>
      </c>
      <c r="BE396" s="486">
        <v>170040499.19999999</v>
      </c>
      <c r="BF396" s="486">
        <v>0</v>
      </c>
      <c r="BG396" s="486">
        <v>0</v>
      </c>
      <c r="BH396" s="486">
        <v>0</v>
      </c>
      <c r="BI396" s="486">
        <v>0</v>
      </c>
      <c r="BJ396" s="487">
        <v>170040499.19999999</v>
      </c>
      <c r="BK396" s="486">
        <v>0</v>
      </c>
      <c r="BL396" s="486">
        <v>0</v>
      </c>
      <c r="BM396" s="486">
        <v>0</v>
      </c>
      <c r="BN396" s="488">
        <v>0</v>
      </c>
      <c r="BO396" s="490">
        <v>170040499.19999999</v>
      </c>
      <c r="BP396" s="486">
        <v>0</v>
      </c>
      <c r="BQ396" s="486">
        <v>0</v>
      </c>
      <c r="BR396" s="486">
        <v>0</v>
      </c>
      <c r="BS396" s="486">
        <v>176842119.16999999</v>
      </c>
      <c r="BT396" s="486">
        <v>0</v>
      </c>
      <c r="BU396" s="486">
        <v>0</v>
      </c>
      <c r="BV396" s="486">
        <v>0</v>
      </c>
      <c r="BW396" s="486">
        <v>0</v>
      </c>
      <c r="BX396" s="487">
        <v>176842119.16999999</v>
      </c>
      <c r="BY396" s="486">
        <v>0</v>
      </c>
      <c r="BZ396" s="486">
        <v>0</v>
      </c>
      <c r="CA396" s="486">
        <v>0</v>
      </c>
      <c r="CB396" s="488">
        <v>0</v>
      </c>
      <c r="CC396" s="491">
        <v>176842119.16999999</v>
      </c>
      <c r="CD396" s="492">
        <v>667595098.37</v>
      </c>
      <c r="CE396" s="493">
        <f t="shared" si="29"/>
        <v>0</v>
      </c>
      <c r="CF396" s="493">
        <f t="shared" si="29"/>
        <v>0</v>
      </c>
      <c r="CG396" s="493">
        <f t="shared" si="29"/>
        <v>0</v>
      </c>
      <c r="CH396" s="493">
        <f t="shared" si="29"/>
        <v>667595098.37</v>
      </c>
      <c r="CI396" s="493">
        <f t="shared" si="26"/>
        <v>0</v>
      </c>
      <c r="CJ396" s="493">
        <f t="shared" si="26"/>
        <v>0</v>
      </c>
      <c r="CK396" s="493">
        <f t="shared" si="26"/>
        <v>0</v>
      </c>
      <c r="CL396" s="493">
        <f t="shared" si="26"/>
        <v>0</v>
      </c>
      <c r="CM396" s="493">
        <f t="shared" si="28"/>
        <v>0</v>
      </c>
      <c r="CN396" s="493">
        <f t="shared" si="28"/>
        <v>0</v>
      </c>
      <c r="CO396" s="493">
        <f t="shared" si="28"/>
        <v>0</v>
      </c>
    </row>
    <row r="397" spans="1:93" ht="30.45" hidden="1" customHeight="1">
      <c r="A397" s="555" t="s">
        <v>4722</v>
      </c>
      <c r="B397" s="479">
        <v>395</v>
      </c>
      <c r="C397" s="480" t="s">
        <v>6370</v>
      </c>
      <c r="D397" s="480" t="s">
        <v>4711</v>
      </c>
      <c r="E397" s="480" t="str">
        <f t="shared" si="27"/>
        <v xml:space="preserve">4.1.4 </v>
      </c>
      <c r="F397" s="480" t="s">
        <v>4728</v>
      </c>
      <c r="G397" s="480" t="s">
        <v>4729</v>
      </c>
      <c r="H397" s="481">
        <v>19</v>
      </c>
      <c r="I397" s="480" t="s">
        <v>4719</v>
      </c>
      <c r="J397" s="495">
        <v>190504100</v>
      </c>
      <c r="K397" s="480" t="s">
        <v>4008</v>
      </c>
      <c r="L397" s="480" t="s">
        <v>4766</v>
      </c>
      <c r="M397" s="480" t="s">
        <v>5992</v>
      </c>
      <c r="N397" s="517">
        <v>4822</v>
      </c>
      <c r="O397" s="480" t="s">
        <v>4731</v>
      </c>
      <c r="P397" s="518">
        <v>10582</v>
      </c>
      <c r="Q397" s="485" t="s">
        <v>5349</v>
      </c>
      <c r="R397" s="485" t="s">
        <v>5542</v>
      </c>
      <c r="S397" s="485" t="s">
        <v>5543</v>
      </c>
      <c r="T397" s="485">
        <v>7.89</v>
      </c>
      <c r="U397" s="485" t="s">
        <v>5544</v>
      </c>
      <c r="V397" s="485">
        <v>6</v>
      </c>
      <c r="W397" s="485" t="s">
        <v>5357</v>
      </c>
      <c r="X397" s="485">
        <v>3</v>
      </c>
      <c r="Y397" s="485" t="s">
        <v>5545</v>
      </c>
      <c r="Z397" s="486">
        <v>0</v>
      </c>
      <c r="AA397" s="486">
        <v>50000000</v>
      </c>
      <c r="AB397" s="486">
        <v>0</v>
      </c>
      <c r="AC397" s="486">
        <v>230283100</v>
      </c>
      <c r="AD397" s="486">
        <v>0</v>
      </c>
      <c r="AE397" s="486">
        <v>0</v>
      </c>
      <c r="AF397" s="486">
        <v>0</v>
      </c>
      <c r="AG397" s="486">
        <v>0</v>
      </c>
      <c r="AH397" s="487">
        <v>280283100</v>
      </c>
      <c r="AI397" s="486">
        <v>0</v>
      </c>
      <c r="AJ397" s="486">
        <v>0</v>
      </c>
      <c r="AK397" s="486">
        <v>0</v>
      </c>
      <c r="AL397" s="488">
        <v>0</v>
      </c>
      <c r="AM397" s="489">
        <v>280283100</v>
      </c>
      <c r="AN397" s="486">
        <v>0</v>
      </c>
      <c r="AO397" s="486">
        <v>52000000</v>
      </c>
      <c r="AP397" s="486">
        <v>0</v>
      </c>
      <c r="AQ397" s="486">
        <v>239494424</v>
      </c>
      <c r="AR397" s="486">
        <v>0</v>
      </c>
      <c r="AS397" s="486">
        <v>0</v>
      </c>
      <c r="AT397" s="486">
        <v>0</v>
      </c>
      <c r="AU397" s="486">
        <v>0</v>
      </c>
      <c r="AV397" s="487">
        <v>291494424</v>
      </c>
      <c r="AW397" s="486">
        <v>0</v>
      </c>
      <c r="AX397" s="486">
        <v>0</v>
      </c>
      <c r="AY397" s="486">
        <v>0</v>
      </c>
      <c r="AZ397" s="488">
        <v>0</v>
      </c>
      <c r="BA397" s="490">
        <v>291494424</v>
      </c>
      <c r="BB397" s="486">
        <v>0</v>
      </c>
      <c r="BC397" s="486">
        <v>54080000</v>
      </c>
      <c r="BD397" s="486">
        <v>0</v>
      </c>
      <c r="BE397" s="486">
        <v>249074200.96000001</v>
      </c>
      <c r="BF397" s="486">
        <v>0</v>
      </c>
      <c r="BG397" s="486">
        <v>0</v>
      </c>
      <c r="BH397" s="486">
        <v>0</v>
      </c>
      <c r="BI397" s="486">
        <v>0</v>
      </c>
      <c r="BJ397" s="487">
        <v>303154200.96000004</v>
      </c>
      <c r="BK397" s="486">
        <v>0</v>
      </c>
      <c r="BL397" s="486">
        <v>0</v>
      </c>
      <c r="BM397" s="486">
        <v>0</v>
      </c>
      <c r="BN397" s="488">
        <v>0</v>
      </c>
      <c r="BO397" s="490">
        <v>303154200.96000004</v>
      </c>
      <c r="BP397" s="486">
        <v>0</v>
      </c>
      <c r="BQ397" s="486">
        <v>56243200</v>
      </c>
      <c r="BR397" s="486">
        <v>0</v>
      </c>
      <c r="BS397" s="486">
        <v>259037169</v>
      </c>
      <c r="BT397" s="486">
        <v>0</v>
      </c>
      <c r="BU397" s="486">
        <v>0</v>
      </c>
      <c r="BV397" s="486">
        <v>0</v>
      </c>
      <c r="BW397" s="486">
        <v>0</v>
      </c>
      <c r="BX397" s="487">
        <v>315280369</v>
      </c>
      <c r="BY397" s="486">
        <v>0</v>
      </c>
      <c r="BZ397" s="486">
        <v>0</v>
      </c>
      <c r="CA397" s="486">
        <v>0</v>
      </c>
      <c r="CB397" s="488">
        <v>0</v>
      </c>
      <c r="CC397" s="491">
        <v>315280369</v>
      </c>
      <c r="CD397" s="492">
        <v>1190212093.96</v>
      </c>
      <c r="CE397" s="493">
        <f t="shared" si="29"/>
        <v>0</v>
      </c>
      <c r="CF397" s="493">
        <f t="shared" si="29"/>
        <v>212323200</v>
      </c>
      <c r="CG397" s="493">
        <f t="shared" si="29"/>
        <v>0</v>
      </c>
      <c r="CH397" s="493">
        <f t="shared" si="29"/>
        <v>977888893.96000004</v>
      </c>
      <c r="CI397" s="493">
        <f t="shared" si="26"/>
        <v>0</v>
      </c>
      <c r="CJ397" s="493">
        <f t="shared" si="26"/>
        <v>0</v>
      </c>
      <c r="CK397" s="493">
        <f t="shared" si="26"/>
        <v>0</v>
      </c>
      <c r="CL397" s="493">
        <f t="shared" si="26"/>
        <v>0</v>
      </c>
      <c r="CM397" s="493">
        <f t="shared" si="28"/>
        <v>0</v>
      </c>
      <c r="CN397" s="493">
        <f t="shared" si="28"/>
        <v>0</v>
      </c>
      <c r="CO397" s="493">
        <f t="shared" si="28"/>
        <v>0</v>
      </c>
    </row>
    <row r="398" spans="1:93" ht="30.45" hidden="1" customHeight="1">
      <c r="A398" s="555" t="s">
        <v>4722</v>
      </c>
      <c r="B398" s="479">
        <v>396</v>
      </c>
      <c r="C398" s="480" t="s">
        <v>6370</v>
      </c>
      <c r="D398" s="480" t="s">
        <v>4711</v>
      </c>
      <c r="E398" s="480" t="str">
        <f t="shared" si="27"/>
        <v xml:space="preserve">4.1.4 </v>
      </c>
      <c r="F398" s="480" t="s">
        <v>4728</v>
      </c>
      <c r="G398" s="480" t="s">
        <v>4729</v>
      </c>
      <c r="H398" s="481">
        <v>19</v>
      </c>
      <c r="I398" s="480" t="s">
        <v>4726</v>
      </c>
      <c r="J398" s="495">
        <v>190504200</v>
      </c>
      <c r="K398" s="480" t="s">
        <v>4767</v>
      </c>
      <c r="L398" s="480" t="s">
        <v>4768</v>
      </c>
      <c r="M398" s="480" t="s">
        <v>5993</v>
      </c>
      <c r="N398" s="517">
        <v>13531</v>
      </c>
      <c r="O398" s="480" t="s">
        <v>4731</v>
      </c>
      <c r="P398" s="518">
        <v>38520</v>
      </c>
      <c r="Q398" s="485" t="s">
        <v>5349</v>
      </c>
      <c r="R398" s="485" t="s">
        <v>5542</v>
      </c>
      <c r="S398" s="485" t="s">
        <v>5543</v>
      </c>
      <c r="T398" s="485">
        <v>7.89</v>
      </c>
      <c r="U398" s="485" t="s">
        <v>5544</v>
      </c>
      <c r="V398" s="485">
        <v>6</v>
      </c>
      <c r="W398" s="485" t="s">
        <v>5357</v>
      </c>
      <c r="X398" s="485">
        <v>3</v>
      </c>
      <c r="Y398" s="485" t="s">
        <v>5545</v>
      </c>
      <c r="Z398" s="486">
        <v>0</v>
      </c>
      <c r="AA398" s="486">
        <v>833567560</v>
      </c>
      <c r="AB398" s="486">
        <v>0</v>
      </c>
      <c r="AC398" s="486">
        <v>0</v>
      </c>
      <c r="AD398" s="486">
        <v>0</v>
      </c>
      <c r="AE398" s="486">
        <v>0</v>
      </c>
      <c r="AF398" s="486">
        <v>0</v>
      </c>
      <c r="AG398" s="486">
        <v>0</v>
      </c>
      <c r="AH398" s="487">
        <v>833567560</v>
      </c>
      <c r="AI398" s="486">
        <v>0</v>
      </c>
      <c r="AJ398" s="486">
        <v>0</v>
      </c>
      <c r="AK398" s="486">
        <v>0</v>
      </c>
      <c r="AL398" s="488">
        <v>0</v>
      </c>
      <c r="AM398" s="489">
        <v>833567560</v>
      </c>
      <c r="AN398" s="486">
        <v>0</v>
      </c>
      <c r="AO398" s="486">
        <v>866910262.39999998</v>
      </c>
      <c r="AP398" s="486">
        <v>0</v>
      </c>
      <c r="AQ398" s="486">
        <v>0</v>
      </c>
      <c r="AR398" s="486">
        <v>0</v>
      </c>
      <c r="AS398" s="486">
        <v>0</v>
      </c>
      <c r="AT398" s="486">
        <v>0</v>
      </c>
      <c r="AU398" s="486">
        <v>0</v>
      </c>
      <c r="AV398" s="487">
        <v>866910262.39999998</v>
      </c>
      <c r="AW398" s="486">
        <v>0</v>
      </c>
      <c r="AX398" s="486">
        <v>0</v>
      </c>
      <c r="AY398" s="486">
        <v>0</v>
      </c>
      <c r="AZ398" s="488">
        <v>0</v>
      </c>
      <c r="BA398" s="490">
        <v>866910262.39999998</v>
      </c>
      <c r="BB398" s="486">
        <v>0</v>
      </c>
      <c r="BC398" s="486">
        <v>901586672.89999998</v>
      </c>
      <c r="BD398" s="486">
        <v>0</v>
      </c>
      <c r="BE398" s="486">
        <v>0</v>
      </c>
      <c r="BF398" s="486">
        <v>0</v>
      </c>
      <c r="BG398" s="486">
        <v>0</v>
      </c>
      <c r="BH398" s="486">
        <v>0</v>
      </c>
      <c r="BI398" s="486">
        <v>0</v>
      </c>
      <c r="BJ398" s="487">
        <v>901586672.89999998</v>
      </c>
      <c r="BK398" s="486">
        <v>0</v>
      </c>
      <c r="BL398" s="486">
        <v>0</v>
      </c>
      <c r="BM398" s="486">
        <v>0</v>
      </c>
      <c r="BN398" s="488">
        <v>0</v>
      </c>
      <c r="BO398" s="490">
        <v>901586672.89999998</v>
      </c>
      <c r="BP398" s="486">
        <v>0</v>
      </c>
      <c r="BQ398" s="486">
        <v>937650139.82000005</v>
      </c>
      <c r="BR398" s="486">
        <v>0</v>
      </c>
      <c r="BS398" s="486">
        <v>0</v>
      </c>
      <c r="BT398" s="486">
        <v>0</v>
      </c>
      <c r="BU398" s="486">
        <v>0</v>
      </c>
      <c r="BV398" s="486">
        <v>0</v>
      </c>
      <c r="BW398" s="486">
        <v>0</v>
      </c>
      <c r="BX398" s="487">
        <v>937650139.82000005</v>
      </c>
      <c r="BY398" s="486">
        <v>0</v>
      </c>
      <c r="BZ398" s="486">
        <v>0</v>
      </c>
      <c r="CA398" s="486">
        <v>0</v>
      </c>
      <c r="CB398" s="488">
        <v>0</v>
      </c>
      <c r="CC398" s="491">
        <v>937650139.82000005</v>
      </c>
      <c r="CD398" s="492">
        <v>3539714635.1199999</v>
      </c>
      <c r="CE398" s="493">
        <f t="shared" si="29"/>
        <v>0</v>
      </c>
      <c r="CF398" s="493">
        <f t="shared" si="29"/>
        <v>3539714635.1200004</v>
      </c>
      <c r="CG398" s="493">
        <f t="shared" si="29"/>
        <v>0</v>
      </c>
      <c r="CH398" s="493">
        <f t="shared" si="29"/>
        <v>0</v>
      </c>
      <c r="CI398" s="493">
        <f t="shared" si="26"/>
        <v>0</v>
      </c>
      <c r="CJ398" s="493">
        <f t="shared" si="26"/>
        <v>0</v>
      </c>
      <c r="CK398" s="493">
        <f t="shared" si="26"/>
        <v>0</v>
      </c>
      <c r="CL398" s="493">
        <f t="shared" si="26"/>
        <v>0</v>
      </c>
      <c r="CM398" s="493">
        <f t="shared" si="28"/>
        <v>0</v>
      </c>
      <c r="CN398" s="493">
        <f t="shared" si="28"/>
        <v>0</v>
      </c>
      <c r="CO398" s="493">
        <f t="shared" si="28"/>
        <v>0</v>
      </c>
    </row>
    <row r="399" spans="1:93" ht="30.45" hidden="1" customHeight="1">
      <c r="A399" s="555" t="s">
        <v>4722</v>
      </c>
      <c r="B399" s="479">
        <v>397</v>
      </c>
      <c r="C399" s="480" t="s">
        <v>6370</v>
      </c>
      <c r="D399" s="480" t="s">
        <v>4711</v>
      </c>
      <c r="E399" s="480" t="str">
        <f t="shared" si="27"/>
        <v xml:space="preserve">4.1.4 </v>
      </c>
      <c r="F399" s="480" t="s">
        <v>4728</v>
      </c>
      <c r="G399" s="480" t="s">
        <v>4729</v>
      </c>
      <c r="H399" s="481">
        <v>19</v>
      </c>
      <c r="I399" s="480" t="s">
        <v>4719</v>
      </c>
      <c r="J399" s="495">
        <v>190504400</v>
      </c>
      <c r="K399" s="480" t="s">
        <v>4769</v>
      </c>
      <c r="L399" s="480" t="s">
        <v>4770</v>
      </c>
      <c r="M399" s="480" t="s">
        <v>5994</v>
      </c>
      <c r="N399" s="499">
        <v>1</v>
      </c>
      <c r="O399" s="480" t="s">
        <v>4731</v>
      </c>
      <c r="P399" s="515">
        <v>1</v>
      </c>
      <c r="Q399" s="485" t="s">
        <v>5349</v>
      </c>
      <c r="R399" s="485" t="s">
        <v>5542</v>
      </c>
      <c r="S399" s="485" t="s">
        <v>5543</v>
      </c>
      <c r="T399" s="485">
        <v>7.89</v>
      </c>
      <c r="U399" s="485" t="s">
        <v>5544</v>
      </c>
      <c r="V399" s="485">
        <v>6</v>
      </c>
      <c r="W399" s="485" t="s">
        <v>5357</v>
      </c>
      <c r="X399" s="485">
        <v>3</v>
      </c>
      <c r="Y399" s="485" t="s">
        <v>5545</v>
      </c>
      <c r="Z399" s="486">
        <v>0</v>
      </c>
      <c r="AA399" s="486">
        <v>0</v>
      </c>
      <c r="AB399" s="486">
        <v>0</v>
      </c>
      <c r="AC399" s="486">
        <v>0</v>
      </c>
      <c r="AD399" s="486">
        <v>0</v>
      </c>
      <c r="AE399" s="486">
        <v>0</v>
      </c>
      <c r="AF399" s="486">
        <v>0</v>
      </c>
      <c r="AG399" s="486">
        <v>0</v>
      </c>
      <c r="AH399" s="487">
        <v>0</v>
      </c>
      <c r="AI399" s="486">
        <v>0</v>
      </c>
      <c r="AJ399" s="486">
        <v>0</v>
      </c>
      <c r="AK399" s="486">
        <v>0</v>
      </c>
      <c r="AL399" s="488">
        <v>0</v>
      </c>
      <c r="AM399" s="489">
        <v>0</v>
      </c>
      <c r="AN399" s="486">
        <v>0</v>
      </c>
      <c r="AO399" s="486">
        <v>0</v>
      </c>
      <c r="AP399" s="486">
        <v>0</v>
      </c>
      <c r="AQ399" s="486">
        <v>0</v>
      </c>
      <c r="AR399" s="486">
        <v>0</v>
      </c>
      <c r="AS399" s="486">
        <v>0</v>
      </c>
      <c r="AT399" s="486">
        <v>0</v>
      </c>
      <c r="AU399" s="486">
        <v>0</v>
      </c>
      <c r="AV399" s="487">
        <v>0</v>
      </c>
      <c r="AW399" s="486">
        <v>3000000000</v>
      </c>
      <c r="AX399" s="486">
        <v>0</v>
      </c>
      <c r="AY399" s="486">
        <v>0</v>
      </c>
      <c r="AZ399" s="488">
        <v>3000000000</v>
      </c>
      <c r="BA399" s="490">
        <v>3000000000</v>
      </c>
      <c r="BB399" s="486">
        <v>0</v>
      </c>
      <c r="BC399" s="486">
        <v>0</v>
      </c>
      <c r="BD399" s="486">
        <v>0</v>
      </c>
      <c r="BE399" s="486">
        <v>0</v>
      </c>
      <c r="BF399" s="486">
        <v>0</v>
      </c>
      <c r="BG399" s="486">
        <v>0</v>
      </c>
      <c r="BH399" s="486">
        <v>0</v>
      </c>
      <c r="BI399" s="486">
        <v>0</v>
      </c>
      <c r="BJ399" s="487">
        <v>0</v>
      </c>
      <c r="BK399" s="486">
        <v>0</v>
      </c>
      <c r="BL399" s="486">
        <v>0</v>
      </c>
      <c r="BM399" s="486">
        <v>0</v>
      </c>
      <c r="BN399" s="488">
        <v>0</v>
      </c>
      <c r="BO399" s="490">
        <v>0</v>
      </c>
      <c r="BP399" s="486">
        <v>0</v>
      </c>
      <c r="BQ399" s="486">
        <v>0</v>
      </c>
      <c r="BR399" s="486">
        <v>0</v>
      </c>
      <c r="BS399" s="486">
        <v>0</v>
      </c>
      <c r="BT399" s="486">
        <v>0</v>
      </c>
      <c r="BU399" s="486">
        <v>0</v>
      </c>
      <c r="BV399" s="486">
        <v>0</v>
      </c>
      <c r="BW399" s="486">
        <v>0</v>
      </c>
      <c r="BX399" s="487">
        <v>0</v>
      </c>
      <c r="BY399" s="486">
        <v>0</v>
      </c>
      <c r="BZ399" s="486">
        <v>0</v>
      </c>
      <c r="CA399" s="486">
        <v>0</v>
      </c>
      <c r="CB399" s="488">
        <v>0</v>
      </c>
      <c r="CC399" s="491">
        <v>0</v>
      </c>
      <c r="CD399" s="492">
        <v>3000000000</v>
      </c>
      <c r="CE399" s="493">
        <f t="shared" si="29"/>
        <v>0</v>
      </c>
      <c r="CF399" s="493">
        <f t="shared" si="29"/>
        <v>0</v>
      </c>
      <c r="CG399" s="493">
        <f t="shared" si="29"/>
        <v>0</v>
      </c>
      <c r="CH399" s="493">
        <f t="shared" si="29"/>
        <v>0</v>
      </c>
      <c r="CI399" s="493">
        <f t="shared" si="26"/>
        <v>0</v>
      </c>
      <c r="CJ399" s="493">
        <f t="shared" si="26"/>
        <v>0</v>
      </c>
      <c r="CK399" s="493">
        <f t="shared" si="26"/>
        <v>0</v>
      </c>
      <c r="CL399" s="493">
        <f t="shared" si="26"/>
        <v>0</v>
      </c>
      <c r="CM399" s="493">
        <f t="shared" si="28"/>
        <v>3000000000</v>
      </c>
      <c r="CN399" s="493">
        <f t="shared" si="28"/>
        <v>0</v>
      </c>
      <c r="CO399" s="493">
        <f t="shared" si="28"/>
        <v>0</v>
      </c>
    </row>
    <row r="400" spans="1:93" ht="30.45" hidden="1" customHeight="1">
      <c r="A400" s="555" t="s">
        <v>4722</v>
      </c>
      <c r="B400" s="479">
        <v>398</v>
      </c>
      <c r="C400" s="480" t="s">
        <v>6370</v>
      </c>
      <c r="D400" s="480" t="s">
        <v>4711</v>
      </c>
      <c r="E400" s="480" t="str">
        <f t="shared" si="27"/>
        <v xml:space="preserve">4.1.4 </v>
      </c>
      <c r="F400" s="480" t="s">
        <v>4728</v>
      </c>
      <c r="G400" s="480" t="s">
        <v>4729</v>
      </c>
      <c r="H400" s="481">
        <v>19</v>
      </c>
      <c r="I400" s="480" t="s">
        <v>4726</v>
      </c>
      <c r="J400" s="495">
        <v>190504900</v>
      </c>
      <c r="K400" s="480" t="s">
        <v>4347</v>
      </c>
      <c r="L400" s="480" t="s">
        <v>4771</v>
      </c>
      <c r="M400" s="480" t="s">
        <v>6579</v>
      </c>
      <c r="N400" s="499">
        <v>123</v>
      </c>
      <c r="O400" s="480" t="s">
        <v>4731</v>
      </c>
      <c r="P400" s="515">
        <v>123</v>
      </c>
      <c r="Q400" s="485" t="s">
        <v>5349</v>
      </c>
      <c r="R400" s="485" t="s">
        <v>5542</v>
      </c>
      <c r="S400" s="485" t="s">
        <v>5543</v>
      </c>
      <c r="T400" s="485">
        <v>7.89</v>
      </c>
      <c r="U400" s="485" t="s">
        <v>5544</v>
      </c>
      <c r="V400" s="485">
        <v>6</v>
      </c>
      <c r="W400" s="485" t="s">
        <v>5357</v>
      </c>
      <c r="X400" s="485">
        <v>3</v>
      </c>
      <c r="Y400" s="485" t="s">
        <v>5545</v>
      </c>
      <c r="Z400" s="486">
        <v>0</v>
      </c>
      <c r="AA400" s="486">
        <v>0</v>
      </c>
      <c r="AB400" s="486">
        <v>0</v>
      </c>
      <c r="AC400" s="486">
        <v>118415300</v>
      </c>
      <c r="AD400" s="486">
        <v>0</v>
      </c>
      <c r="AE400" s="486">
        <v>0</v>
      </c>
      <c r="AF400" s="486">
        <v>0</v>
      </c>
      <c r="AG400" s="486">
        <v>0</v>
      </c>
      <c r="AH400" s="487">
        <v>118415300</v>
      </c>
      <c r="AI400" s="486">
        <v>0</v>
      </c>
      <c r="AJ400" s="486">
        <v>0</v>
      </c>
      <c r="AK400" s="486">
        <v>0</v>
      </c>
      <c r="AL400" s="488">
        <v>0</v>
      </c>
      <c r="AM400" s="489">
        <v>118415300</v>
      </c>
      <c r="AN400" s="486">
        <v>0</v>
      </c>
      <c r="AO400" s="486">
        <v>0</v>
      </c>
      <c r="AP400" s="486">
        <v>0</v>
      </c>
      <c r="AQ400" s="486">
        <v>123151912</v>
      </c>
      <c r="AR400" s="486">
        <v>0</v>
      </c>
      <c r="AS400" s="486">
        <v>0</v>
      </c>
      <c r="AT400" s="486">
        <v>0</v>
      </c>
      <c r="AU400" s="486">
        <v>0</v>
      </c>
      <c r="AV400" s="487">
        <v>123151912</v>
      </c>
      <c r="AW400" s="486">
        <v>0</v>
      </c>
      <c r="AX400" s="486">
        <v>0</v>
      </c>
      <c r="AY400" s="486">
        <v>0</v>
      </c>
      <c r="AZ400" s="488">
        <v>0</v>
      </c>
      <c r="BA400" s="490">
        <v>123151912</v>
      </c>
      <c r="BB400" s="486">
        <v>0</v>
      </c>
      <c r="BC400" s="486">
        <v>0</v>
      </c>
      <c r="BD400" s="486">
        <v>0</v>
      </c>
      <c r="BE400" s="486">
        <v>128077988.48</v>
      </c>
      <c r="BF400" s="486">
        <v>0</v>
      </c>
      <c r="BG400" s="486">
        <v>0</v>
      </c>
      <c r="BH400" s="486">
        <v>0</v>
      </c>
      <c r="BI400" s="486">
        <v>0</v>
      </c>
      <c r="BJ400" s="487">
        <v>128077988.48</v>
      </c>
      <c r="BK400" s="486">
        <v>0</v>
      </c>
      <c r="BL400" s="486">
        <v>0</v>
      </c>
      <c r="BM400" s="486">
        <v>0</v>
      </c>
      <c r="BN400" s="488">
        <v>0</v>
      </c>
      <c r="BO400" s="490">
        <v>128077988.48</v>
      </c>
      <c r="BP400" s="486">
        <v>0</v>
      </c>
      <c r="BQ400" s="486">
        <v>0</v>
      </c>
      <c r="BR400" s="486">
        <v>0</v>
      </c>
      <c r="BS400" s="486">
        <v>133201108.02</v>
      </c>
      <c r="BT400" s="486">
        <v>0</v>
      </c>
      <c r="BU400" s="486">
        <v>0</v>
      </c>
      <c r="BV400" s="486">
        <v>0</v>
      </c>
      <c r="BW400" s="486">
        <v>0</v>
      </c>
      <c r="BX400" s="487">
        <v>133201108.02</v>
      </c>
      <c r="BY400" s="486">
        <v>0</v>
      </c>
      <c r="BZ400" s="486">
        <v>0</v>
      </c>
      <c r="CA400" s="486">
        <v>0</v>
      </c>
      <c r="CB400" s="488">
        <v>0</v>
      </c>
      <c r="CC400" s="491">
        <v>133201108.02</v>
      </c>
      <c r="CD400" s="492">
        <v>502846308.5</v>
      </c>
      <c r="CE400" s="493">
        <f t="shared" si="29"/>
        <v>0</v>
      </c>
      <c r="CF400" s="493">
        <f t="shared" si="29"/>
        <v>0</v>
      </c>
      <c r="CG400" s="493">
        <f t="shared" si="29"/>
        <v>0</v>
      </c>
      <c r="CH400" s="493">
        <f t="shared" si="29"/>
        <v>502846308.5</v>
      </c>
      <c r="CI400" s="493">
        <f t="shared" si="26"/>
        <v>0</v>
      </c>
      <c r="CJ400" s="493">
        <f t="shared" si="26"/>
        <v>0</v>
      </c>
      <c r="CK400" s="493">
        <f t="shared" si="26"/>
        <v>0</v>
      </c>
      <c r="CL400" s="493">
        <f t="shared" si="26"/>
        <v>0</v>
      </c>
      <c r="CM400" s="493">
        <f t="shared" si="28"/>
        <v>0</v>
      </c>
      <c r="CN400" s="493">
        <f t="shared" si="28"/>
        <v>0</v>
      </c>
      <c r="CO400" s="493">
        <f t="shared" si="28"/>
        <v>0</v>
      </c>
    </row>
    <row r="401" spans="1:93" ht="30.45" hidden="1" customHeight="1">
      <c r="A401" s="555" t="s">
        <v>4722</v>
      </c>
      <c r="B401" s="479">
        <v>399</v>
      </c>
      <c r="C401" s="480" t="s">
        <v>6370</v>
      </c>
      <c r="D401" s="480" t="s">
        <v>4711</v>
      </c>
      <c r="E401" s="480" t="str">
        <f t="shared" si="27"/>
        <v xml:space="preserve">4.1.4 </v>
      </c>
      <c r="F401" s="480" t="s">
        <v>4728</v>
      </c>
      <c r="G401" s="480" t="s">
        <v>4729</v>
      </c>
      <c r="H401" s="481">
        <v>19</v>
      </c>
      <c r="I401" s="480" t="s">
        <v>4719</v>
      </c>
      <c r="J401" s="495">
        <v>190505400</v>
      </c>
      <c r="K401" s="480" t="s">
        <v>4347</v>
      </c>
      <c r="L401" s="480" t="s">
        <v>4772</v>
      </c>
      <c r="M401" s="480" t="s">
        <v>5995</v>
      </c>
      <c r="N401" s="499">
        <v>1</v>
      </c>
      <c r="O401" s="480" t="s">
        <v>4731</v>
      </c>
      <c r="P401" s="515" t="s">
        <v>4183</v>
      </c>
      <c r="Q401" s="485" t="s">
        <v>5349</v>
      </c>
      <c r="R401" s="485" t="s">
        <v>5542</v>
      </c>
      <c r="S401" s="485" t="s">
        <v>5543</v>
      </c>
      <c r="T401" s="485">
        <v>7.89</v>
      </c>
      <c r="U401" s="485" t="s">
        <v>5544</v>
      </c>
      <c r="V401" s="485">
        <v>6</v>
      </c>
      <c r="W401" s="485" t="s">
        <v>5357</v>
      </c>
      <c r="X401" s="485">
        <v>3</v>
      </c>
      <c r="Y401" s="485" t="s">
        <v>5545</v>
      </c>
      <c r="Z401" s="486">
        <v>294506965</v>
      </c>
      <c r="AA401" s="486">
        <v>584296063</v>
      </c>
      <c r="AB401" s="486">
        <v>0</v>
      </c>
      <c r="AC401" s="486">
        <v>8997288350</v>
      </c>
      <c r="AD401" s="486">
        <v>0</v>
      </c>
      <c r="AE401" s="486">
        <v>0</v>
      </c>
      <c r="AF401" s="486">
        <v>0</v>
      </c>
      <c r="AG401" s="486">
        <v>0</v>
      </c>
      <c r="AH401" s="487">
        <v>9876091378</v>
      </c>
      <c r="AI401" s="486">
        <v>0</v>
      </c>
      <c r="AJ401" s="486">
        <v>0</v>
      </c>
      <c r="AK401" s="486">
        <v>0</v>
      </c>
      <c r="AL401" s="488">
        <v>0</v>
      </c>
      <c r="AM401" s="489">
        <v>9876091378</v>
      </c>
      <c r="AN401" s="486">
        <v>306287243.60000002</v>
      </c>
      <c r="AO401" s="486">
        <v>607667905.51999998</v>
      </c>
      <c r="AP401" s="486">
        <v>0</v>
      </c>
      <c r="AQ401" s="486">
        <v>9357179884</v>
      </c>
      <c r="AR401" s="486">
        <v>0</v>
      </c>
      <c r="AS401" s="486">
        <v>0</v>
      </c>
      <c r="AT401" s="486">
        <v>0</v>
      </c>
      <c r="AU401" s="486">
        <v>0</v>
      </c>
      <c r="AV401" s="487">
        <v>10271135033.120001</v>
      </c>
      <c r="AW401" s="486">
        <v>0</v>
      </c>
      <c r="AX401" s="486">
        <v>0</v>
      </c>
      <c r="AY401" s="486">
        <v>0</v>
      </c>
      <c r="AZ401" s="488">
        <v>0</v>
      </c>
      <c r="BA401" s="490">
        <v>10271135033.120001</v>
      </c>
      <c r="BB401" s="486">
        <v>318538733.33999997</v>
      </c>
      <c r="BC401" s="486">
        <v>631974621.74000001</v>
      </c>
      <c r="BD401" s="486">
        <v>0</v>
      </c>
      <c r="BE401" s="486">
        <v>9731467079.3600006</v>
      </c>
      <c r="BF401" s="486">
        <v>0</v>
      </c>
      <c r="BG401" s="486">
        <v>0</v>
      </c>
      <c r="BH401" s="486">
        <v>0</v>
      </c>
      <c r="BI401" s="486">
        <v>0</v>
      </c>
      <c r="BJ401" s="487">
        <v>10681980434.440001</v>
      </c>
      <c r="BK401" s="486">
        <v>0</v>
      </c>
      <c r="BL401" s="486">
        <v>0</v>
      </c>
      <c r="BM401" s="486">
        <v>0</v>
      </c>
      <c r="BN401" s="488">
        <v>0</v>
      </c>
      <c r="BO401" s="490">
        <v>10681980434.440001</v>
      </c>
      <c r="BP401" s="486">
        <v>331280282.67000002</v>
      </c>
      <c r="BQ401" s="486">
        <v>657253606.61000001</v>
      </c>
      <c r="BR401" s="486">
        <v>0</v>
      </c>
      <c r="BS401" s="486">
        <v>10120725762.530001</v>
      </c>
      <c r="BT401" s="486">
        <v>0</v>
      </c>
      <c r="BU401" s="486">
        <v>0</v>
      </c>
      <c r="BV401" s="486">
        <v>0</v>
      </c>
      <c r="BW401" s="486">
        <v>0</v>
      </c>
      <c r="BX401" s="487">
        <v>11109259651.810001</v>
      </c>
      <c r="BY401" s="486">
        <v>0</v>
      </c>
      <c r="BZ401" s="486">
        <v>0</v>
      </c>
      <c r="CA401" s="486">
        <v>0</v>
      </c>
      <c r="CB401" s="488">
        <v>0</v>
      </c>
      <c r="CC401" s="491">
        <v>11109259651.810001</v>
      </c>
      <c r="CD401" s="492">
        <v>41938466497.370003</v>
      </c>
      <c r="CE401" s="493">
        <f t="shared" si="29"/>
        <v>1250613224.6100001</v>
      </c>
      <c r="CF401" s="493">
        <f t="shared" si="29"/>
        <v>2481192196.8699999</v>
      </c>
      <c r="CG401" s="493">
        <f t="shared" si="29"/>
        <v>0</v>
      </c>
      <c r="CH401" s="493">
        <f t="shared" si="29"/>
        <v>38206661075.889999</v>
      </c>
      <c r="CI401" s="493">
        <f t="shared" si="26"/>
        <v>0</v>
      </c>
      <c r="CJ401" s="493">
        <f t="shared" si="26"/>
        <v>0</v>
      </c>
      <c r="CK401" s="493">
        <f t="shared" si="26"/>
        <v>0</v>
      </c>
      <c r="CL401" s="493">
        <f t="shared" si="26"/>
        <v>0</v>
      </c>
      <c r="CM401" s="493">
        <f t="shared" si="28"/>
        <v>0</v>
      </c>
      <c r="CN401" s="493">
        <f t="shared" si="28"/>
        <v>0</v>
      </c>
      <c r="CO401" s="493">
        <f t="shared" si="28"/>
        <v>0</v>
      </c>
    </row>
    <row r="402" spans="1:93" ht="30.45" hidden="1" customHeight="1">
      <c r="A402" s="555" t="s">
        <v>4722</v>
      </c>
      <c r="B402" s="479">
        <v>400</v>
      </c>
      <c r="C402" s="480" t="s">
        <v>6370</v>
      </c>
      <c r="D402" s="480" t="s">
        <v>4711</v>
      </c>
      <c r="E402" s="480" t="str">
        <f t="shared" si="27"/>
        <v xml:space="preserve">4.1.4 </v>
      </c>
      <c r="F402" s="480" t="s">
        <v>4728</v>
      </c>
      <c r="G402" s="480" t="s">
        <v>4729</v>
      </c>
      <c r="H402" s="481">
        <v>45</v>
      </c>
      <c r="I402" s="480" t="s">
        <v>4209</v>
      </c>
      <c r="J402" s="495">
        <v>450203800</v>
      </c>
      <c r="K402" s="480" t="s">
        <v>4347</v>
      </c>
      <c r="L402" s="480" t="s">
        <v>6580</v>
      </c>
      <c r="M402" s="480" t="s">
        <v>5996</v>
      </c>
      <c r="N402" s="499">
        <v>132</v>
      </c>
      <c r="O402" s="480" t="s">
        <v>4731</v>
      </c>
      <c r="P402" s="515">
        <v>320</v>
      </c>
      <c r="Q402" s="485" t="s">
        <v>5349</v>
      </c>
      <c r="R402" s="485" t="s">
        <v>5542</v>
      </c>
      <c r="S402" s="485" t="s">
        <v>5543</v>
      </c>
      <c r="T402" s="485">
        <v>7.89</v>
      </c>
      <c r="U402" s="485" t="s">
        <v>5544</v>
      </c>
      <c r="V402" s="485">
        <v>6</v>
      </c>
      <c r="W402" s="485" t="s">
        <v>5357</v>
      </c>
      <c r="X402" s="485">
        <v>3</v>
      </c>
      <c r="Y402" s="485" t="s">
        <v>5545</v>
      </c>
      <c r="Z402" s="486">
        <v>0</v>
      </c>
      <c r="AA402" s="486">
        <v>0</v>
      </c>
      <c r="AB402" s="486">
        <v>0</v>
      </c>
      <c r="AC402" s="486">
        <v>0</v>
      </c>
      <c r="AD402" s="486">
        <v>0</v>
      </c>
      <c r="AE402" s="486">
        <v>0</v>
      </c>
      <c r="AF402" s="486">
        <v>0</v>
      </c>
      <c r="AG402" s="486">
        <v>0</v>
      </c>
      <c r="AH402" s="487">
        <v>0</v>
      </c>
      <c r="AI402" s="486">
        <v>600000000</v>
      </c>
      <c r="AJ402" s="486">
        <v>0</v>
      </c>
      <c r="AK402" s="486">
        <v>0</v>
      </c>
      <c r="AL402" s="488">
        <v>600000000</v>
      </c>
      <c r="AM402" s="489">
        <v>600000000</v>
      </c>
      <c r="AN402" s="486">
        <v>0</v>
      </c>
      <c r="AO402" s="486">
        <v>0</v>
      </c>
      <c r="AP402" s="486">
        <v>0</v>
      </c>
      <c r="AQ402" s="486">
        <v>0</v>
      </c>
      <c r="AR402" s="486">
        <v>0</v>
      </c>
      <c r="AS402" s="486">
        <v>0</v>
      </c>
      <c r="AT402" s="486">
        <v>0</v>
      </c>
      <c r="AU402" s="486">
        <v>0</v>
      </c>
      <c r="AV402" s="487">
        <v>0</v>
      </c>
      <c r="AW402" s="486">
        <v>600000000</v>
      </c>
      <c r="AX402" s="486">
        <v>0</v>
      </c>
      <c r="AY402" s="486">
        <v>0</v>
      </c>
      <c r="AZ402" s="488">
        <v>600000000</v>
      </c>
      <c r="BA402" s="490">
        <v>600000000</v>
      </c>
      <c r="BB402" s="486">
        <v>0</v>
      </c>
      <c r="BC402" s="486">
        <v>0</v>
      </c>
      <c r="BD402" s="486">
        <v>0</v>
      </c>
      <c r="BE402" s="486">
        <v>0</v>
      </c>
      <c r="BF402" s="486">
        <v>0</v>
      </c>
      <c r="BG402" s="486">
        <v>0</v>
      </c>
      <c r="BH402" s="486">
        <v>0</v>
      </c>
      <c r="BI402" s="486">
        <v>0</v>
      </c>
      <c r="BJ402" s="487">
        <v>0</v>
      </c>
      <c r="BK402" s="486">
        <v>600000000</v>
      </c>
      <c r="BL402" s="486">
        <v>0</v>
      </c>
      <c r="BM402" s="486">
        <v>0</v>
      </c>
      <c r="BN402" s="488">
        <v>600000000</v>
      </c>
      <c r="BO402" s="490">
        <v>600000000</v>
      </c>
      <c r="BP402" s="486">
        <v>0</v>
      </c>
      <c r="BQ402" s="486">
        <v>0</v>
      </c>
      <c r="BR402" s="486">
        <v>0</v>
      </c>
      <c r="BS402" s="486">
        <v>0</v>
      </c>
      <c r="BT402" s="486">
        <v>0</v>
      </c>
      <c r="BU402" s="486">
        <v>0</v>
      </c>
      <c r="BV402" s="486">
        <v>0</v>
      </c>
      <c r="BW402" s="486">
        <v>0</v>
      </c>
      <c r="BX402" s="487">
        <v>0</v>
      </c>
      <c r="BY402" s="486">
        <v>600000000</v>
      </c>
      <c r="BZ402" s="486">
        <v>0</v>
      </c>
      <c r="CA402" s="486">
        <v>0</v>
      </c>
      <c r="CB402" s="488">
        <v>600000000</v>
      </c>
      <c r="CC402" s="491">
        <v>600000000</v>
      </c>
      <c r="CD402" s="492">
        <v>2400000000</v>
      </c>
      <c r="CE402" s="493">
        <f t="shared" si="29"/>
        <v>0</v>
      </c>
      <c r="CF402" s="493">
        <f t="shared" si="29"/>
        <v>0</v>
      </c>
      <c r="CG402" s="493">
        <f t="shared" si="29"/>
        <v>0</v>
      </c>
      <c r="CH402" s="493">
        <f t="shared" si="29"/>
        <v>0</v>
      </c>
      <c r="CI402" s="493">
        <f t="shared" si="26"/>
        <v>0</v>
      </c>
      <c r="CJ402" s="493">
        <f t="shared" si="26"/>
        <v>0</v>
      </c>
      <c r="CK402" s="493">
        <f t="shared" si="26"/>
        <v>0</v>
      </c>
      <c r="CL402" s="493">
        <f t="shared" si="26"/>
        <v>0</v>
      </c>
      <c r="CM402" s="493">
        <f t="shared" si="28"/>
        <v>2400000000</v>
      </c>
      <c r="CN402" s="493">
        <f t="shared" si="28"/>
        <v>0</v>
      </c>
      <c r="CO402" s="493">
        <f t="shared" si="28"/>
        <v>0</v>
      </c>
    </row>
    <row r="403" spans="1:93" ht="30.45" hidden="1" customHeight="1">
      <c r="A403" s="555" t="s">
        <v>2461</v>
      </c>
      <c r="B403" s="479">
        <v>401</v>
      </c>
      <c r="C403" s="480" t="s">
        <v>6370</v>
      </c>
      <c r="D403" s="480" t="s">
        <v>4773</v>
      </c>
      <c r="E403" s="480" t="str">
        <f t="shared" si="27"/>
        <v xml:space="preserve">4.2.1 </v>
      </c>
      <c r="F403" s="480" t="s">
        <v>4774</v>
      </c>
      <c r="G403" s="480" t="s">
        <v>4775</v>
      </c>
      <c r="H403" s="481">
        <v>43</v>
      </c>
      <c r="I403" s="480" t="s">
        <v>4776</v>
      </c>
      <c r="J403" s="495">
        <v>430100700</v>
      </c>
      <c r="K403" s="480" t="s">
        <v>4777</v>
      </c>
      <c r="L403" s="480" t="s">
        <v>4778</v>
      </c>
      <c r="M403" s="480" t="s">
        <v>6196</v>
      </c>
      <c r="N403" s="517">
        <v>13500</v>
      </c>
      <c r="O403" s="480" t="s">
        <v>4779</v>
      </c>
      <c r="P403" s="515" t="s">
        <v>6581</v>
      </c>
      <c r="Q403" s="485" t="s">
        <v>5349</v>
      </c>
      <c r="R403" s="485" t="s">
        <v>5546</v>
      </c>
      <c r="S403" s="485" t="s">
        <v>5547</v>
      </c>
      <c r="T403" s="485">
        <v>10</v>
      </c>
      <c r="U403" s="485" t="s">
        <v>4815</v>
      </c>
      <c r="V403" s="485">
        <v>5</v>
      </c>
      <c r="W403" s="485" t="s">
        <v>5548</v>
      </c>
      <c r="X403" s="485">
        <v>3</v>
      </c>
      <c r="Y403" s="485" t="s">
        <v>2562</v>
      </c>
      <c r="Z403" s="486">
        <v>865200000</v>
      </c>
      <c r="AA403" s="486">
        <v>0</v>
      </c>
      <c r="AB403" s="486">
        <v>0</v>
      </c>
      <c r="AC403" s="486">
        <v>0</v>
      </c>
      <c r="AD403" s="486">
        <v>0</v>
      </c>
      <c r="AE403" s="486">
        <v>300000000</v>
      </c>
      <c r="AF403" s="486">
        <v>0</v>
      </c>
      <c r="AG403" s="486">
        <v>0</v>
      </c>
      <c r="AH403" s="487">
        <v>1165200000</v>
      </c>
      <c r="AI403" s="486">
        <v>1000000000</v>
      </c>
      <c r="AJ403" s="486"/>
      <c r="AK403" s="486"/>
      <c r="AL403" s="488">
        <v>1000000000</v>
      </c>
      <c r="AM403" s="489">
        <v>2165200000</v>
      </c>
      <c r="AN403" s="486">
        <v>899808000</v>
      </c>
      <c r="AO403" s="486">
        <v>0</v>
      </c>
      <c r="AP403" s="486">
        <v>0</v>
      </c>
      <c r="AQ403" s="486">
        <v>0</v>
      </c>
      <c r="AR403" s="486">
        <v>0</v>
      </c>
      <c r="AS403" s="486">
        <v>318000000</v>
      </c>
      <c r="AT403" s="486">
        <v>0</v>
      </c>
      <c r="AU403" s="486">
        <v>0</v>
      </c>
      <c r="AV403" s="487">
        <v>1217808000</v>
      </c>
      <c r="AW403" s="486">
        <v>1000000000</v>
      </c>
      <c r="AX403" s="486"/>
      <c r="AY403" s="486"/>
      <c r="AZ403" s="488">
        <v>1000000000</v>
      </c>
      <c r="BA403" s="490">
        <v>2217808000</v>
      </c>
      <c r="BB403" s="486">
        <v>935800320</v>
      </c>
      <c r="BC403" s="486">
        <v>0</v>
      </c>
      <c r="BD403" s="486">
        <v>0</v>
      </c>
      <c r="BE403" s="486">
        <v>0</v>
      </c>
      <c r="BF403" s="486">
        <v>0</v>
      </c>
      <c r="BG403" s="486">
        <v>337080000</v>
      </c>
      <c r="BH403" s="486">
        <v>0</v>
      </c>
      <c r="BI403" s="486">
        <v>0</v>
      </c>
      <c r="BJ403" s="487">
        <v>1272880320</v>
      </c>
      <c r="BK403" s="486">
        <v>1000000000</v>
      </c>
      <c r="BL403" s="486"/>
      <c r="BM403" s="486"/>
      <c r="BN403" s="488">
        <v>1000000000</v>
      </c>
      <c r="BO403" s="490">
        <v>2272880320</v>
      </c>
      <c r="BP403" s="486">
        <v>973232332.79999995</v>
      </c>
      <c r="BQ403" s="486">
        <v>0</v>
      </c>
      <c r="BR403" s="486">
        <v>0</v>
      </c>
      <c r="BS403" s="486">
        <v>0</v>
      </c>
      <c r="BT403" s="486">
        <v>0</v>
      </c>
      <c r="BU403" s="486">
        <v>357304800</v>
      </c>
      <c r="BV403" s="486">
        <v>0</v>
      </c>
      <c r="BW403" s="486">
        <v>0</v>
      </c>
      <c r="BX403" s="487">
        <v>1330537132.8</v>
      </c>
      <c r="BY403" s="486">
        <v>1000000000</v>
      </c>
      <c r="BZ403" s="486"/>
      <c r="CA403" s="486"/>
      <c r="CB403" s="488">
        <v>1000000000</v>
      </c>
      <c r="CC403" s="491">
        <v>2330537132.8000002</v>
      </c>
      <c r="CD403" s="492">
        <v>8986425452.7999992</v>
      </c>
      <c r="CE403" s="493">
        <f t="shared" si="29"/>
        <v>3674040652.8000002</v>
      </c>
      <c r="CF403" s="493">
        <f t="shared" si="29"/>
        <v>0</v>
      </c>
      <c r="CG403" s="493">
        <f t="shared" si="29"/>
        <v>0</v>
      </c>
      <c r="CH403" s="493">
        <f t="shared" si="29"/>
        <v>0</v>
      </c>
      <c r="CI403" s="493">
        <f t="shared" si="26"/>
        <v>0</v>
      </c>
      <c r="CJ403" s="493">
        <f t="shared" si="26"/>
        <v>1312384800</v>
      </c>
      <c r="CK403" s="493">
        <f t="shared" si="26"/>
        <v>0</v>
      </c>
      <c r="CL403" s="493">
        <f t="shared" si="26"/>
        <v>0</v>
      </c>
      <c r="CM403" s="493">
        <f t="shared" si="28"/>
        <v>4000000000</v>
      </c>
      <c r="CN403" s="493">
        <f t="shared" si="28"/>
        <v>0</v>
      </c>
      <c r="CO403" s="493">
        <f t="shared" si="28"/>
        <v>0</v>
      </c>
    </row>
    <row r="404" spans="1:93" ht="30.45" hidden="1" customHeight="1">
      <c r="A404" s="555" t="s">
        <v>2461</v>
      </c>
      <c r="B404" s="479">
        <v>402</v>
      </c>
      <c r="C404" s="480" t="s">
        <v>6370</v>
      </c>
      <c r="D404" s="480" t="s">
        <v>4773</v>
      </c>
      <c r="E404" s="480" t="str">
        <f t="shared" si="27"/>
        <v xml:space="preserve">4.2.1 </v>
      </c>
      <c r="F404" s="480" t="s">
        <v>4774</v>
      </c>
      <c r="G404" s="480" t="s">
        <v>4775</v>
      </c>
      <c r="H404" s="481">
        <v>43</v>
      </c>
      <c r="I404" s="480" t="s">
        <v>4776</v>
      </c>
      <c r="J404" s="495">
        <v>430103700</v>
      </c>
      <c r="K404" s="480" t="s">
        <v>4008</v>
      </c>
      <c r="L404" s="480" t="s">
        <v>4780</v>
      </c>
      <c r="M404" s="480" t="s">
        <v>6582</v>
      </c>
      <c r="N404" s="517">
        <v>24000</v>
      </c>
      <c r="O404" s="480" t="s">
        <v>4779</v>
      </c>
      <c r="P404" s="518" t="s">
        <v>4781</v>
      </c>
      <c r="Q404" s="485" t="s">
        <v>5349</v>
      </c>
      <c r="R404" s="485" t="s">
        <v>5546</v>
      </c>
      <c r="S404" s="485" t="s">
        <v>5547</v>
      </c>
      <c r="T404" s="485">
        <v>10</v>
      </c>
      <c r="U404" s="485" t="s">
        <v>4815</v>
      </c>
      <c r="V404" s="485">
        <v>5</v>
      </c>
      <c r="W404" s="485" t="s">
        <v>5548</v>
      </c>
      <c r="X404" s="485">
        <v>3</v>
      </c>
      <c r="Y404" s="485" t="s">
        <v>2562</v>
      </c>
      <c r="Z404" s="486">
        <v>561120000</v>
      </c>
      <c r="AA404" s="486">
        <v>0</v>
      </c>
      <c r="AB404" s="486">
        <v>0</v>
      </c>
      <c r="AC404" s="486">
        <v>0</v>
      </c>
      <c r="AD404" s="486">
        <v>0</v>
      </c>
      <c r="AE404" s="486">
        <v>350000000</v>
      </c>
      <c r="AF404" s="486">
        <v>0</v>
      </c>
      <c r="AG404" s="486">
        <v>0</v>
      </c>
      <c r="AH404" s="487">
        <v>911120000</v>
      </c>
      <c r="AI404" s="486">
        <v>2800000000</v>
      </c>
      <c r="AJ404" s="486"/>
      <c r="AK404" s="486"/>
      <c r="AL404" s="488">
        <v>2800000000</v>
      </c>
      <c r="AM404" s="489">
        <v>3711120000</v>
      </c>
      <c r="AN404" s="486">
        <v>583564800</v>
      </c>
      <c r="AO404" s="486">
        <v>0</v>
      </c>
      <c r="AP404" s="486">
        <v>0</v>
      </c>
      <c r="AQ404" s="486">
        <v>0</v>
      </c>
      <c r="AR404" s="486">
        <v>0</v>
      </c>
      <c r="AS404" s="486">
        <v>371000000</v>
      </c>
      <c r="AT404" s="486">
        <v>0</v>
      </c>
      <c r="AU404" s="486">
        <v>0</v>
      </c>
      <c r="AV404" s="487">
        <v>954564800</v>
      </c>
      <c r="AW404" s="486">
        <v>2800000000</v>
      </c>
      <c r="AX404" s="486"/>
      <c r="AY404" s="486"/>
      <c r="AZ404" s="488">
        <v>2800000000</v>
      </c>
      <c r="BA404" s="490">
        <v>3754564800</v>
      </c>
      <c r="BB404" s="486">
        <v>606907392</v>
      </c>
      <c r="BC404" s="486">
        <v>0</v>
      </c>
      <c r="BD404" s="486">
        <v>0</v>
      </c>
      <c r="BE404" s="486">
        <v>0</v>
      </c>
      <c r="BF404" s="486">
        <v>0</v>
      </c>
      <c r="BG404" s="486">
        <v>393260000</v>
      </c>
      <c r="BH404" s="486">
        <v>0</v>
      </c>
      <c r="BI404" s="486">
        <v>0</v>
      </c>
      <c r="BJ404" s="487">
        <v>1000167392</v>
      </c>
      <c r="BK404" s="486">
        <v>2800000000</v>
      </c>
      <c r="BL404" s="486"/>
      <c r="BM404" s="486"/>
      <c r="BN404" s="488">
        <v>2800000000</v>
      </c>
      <c r="BO404" s="490">
        <v>3800167392</v>
      </c>
      <c r="BP404" s="486">
        <v>631183687.67999995</v>
      </c>
      <c r="BQ404" s="486">
        <v>0</v>
      </c>
      <c r="BR404" s="486">
        <v>0</v>
      </c>
      <c r="BS404" s="486">
        <v>0</v>
      </c>
      <c r="BT404" s="486">
        <v>0</v>
      </c>
      <c r="BU404" s="486">
        <v>416855600</v>
      </c>
      <c r="BV404" s="486">
        <v>0</v>
      </c>
      <c r="BW404" s="486">
        <v>0</v>
      </c>
      <c r="BX404" s="487">
        <v>1048039287.6799999</v>
      </c>
      <c r="BY404" s="486">
        <v>2800000000</v>
      </c>
      <c r="BZ404" s="486"/>
      <c r="CA404" s="486"/>
      <c r="CB404" s="488">
        <v>2800000000</v>
      </c>
      <c r="CC404" s="491">
        <v>3848039287.6799998</v>
      </c>
      <c r="CD404" s="492">
        <v>15113891479.68</v>
      </c>
      <c r="CE404" s="493">
        <f t="shared" si="29"/>
        <v>2382775879.6799998</v>
      </c>
      <c r="CF404" s="493">
        <f t="shared" si="29"/>
        <v>0</v>
      </c>
      <c r="CG404" s="493">
        <f t="shared" si="29"/>
        <v>0</v>
      </c>
      <c r="CH404" s="493">
        <f t="shared" si="29"/>
        <v>0</v>
      </c>
      <c r="CI404" s="493">
        <f t="shared" si="26"/>
        <v>0</v>
      </c>
      <c r="CJ404" s="493">
        <f t="shared" si="26"/>
        <v>1531115600</v>
      </c>
      <c r="CK404" s="493">
        <f t="shared" si="26"/>
        <v>0</v>
      </c>
      <c r="CL404" s="493">
        <f t="shared" si="26"/>
        <v>0</v>
      </c>
      <c r="CM404" s="493">
        <f t="shared" si="28"/>
        <v>11200000000</v>
      </c>
      <c r="CN404" s="493">
        <f t="shared" si="28"/>
        <v>0</v>
      </c>
      <c r="CO404" s="493">
        <f t="shared" si="28"/>
        <v>0</v>
      </c>
    </row>
    <row r="405" spans="1:93" ht="30.45" hidden="1" customHeight="1">
      <c r="A405" s="555" t="s">
        <v>2461</v>
      </c>
      <c r="B405" s="479">
        <v>403</v>
      </c>
      <c r="C405" s="480" t="s">
        <v>6370</v>
      </c>
      <c r="D405" s="480" t="s">
        <v>4773</v>
      </c>
      <c r="E405" s="480" t="str">
        <f t="shared" si="27"/>
        <v xml:space="preserve">4.2.1 </v>
      </c>
      <c r="F405" s="480" t="s">
        <v>4774</v>
      </c>
      <c r="G405" s="480" t="s">
        <v>4775</v>
      </c>
      <c r="H405" s="481">
        <v>43</v>
      </c>
      <c r="I405" s="480" t="s">
        <v>4776</v>
      </c>
      <c r="J405" s="495">
        <v>430103701</v>
      </c>
      <c r="K405" s="480" t="s">
        <v>4008</v>
      </c>
      <c r="L405" s="480" t="s">
        <v>4782</v>
      </c>
      <c r="M405" s="480" t="s">
        <v>6583</v>
      </c>
      <c r="N405" s="517">
        <v>24000</v>
      </c>
      <c r="O405" s="480" t="s">
        <v>4779</v>
      </c>
      <c r="P405" s="518" t="s">
        <v>4781</v>
      </c>
      <c r="Q405" s="485" t="s">
        <v>5349</v>
      </c>
      <c r="R405" s="485" t="s">
        <v>5546</v>
      </c>
      <c r="S405" s="485" t="s">
        <v>5547</v>
      </c>
      <c r="T405" s="485">
        <v>10</v>
      </c>
      <c r="U405" s="485" t="s">
        <v>4815</v>
      </c>
      <c r="V405" s="485">
        <v>5</v>
      </c>
      <c r="W405" s="485" t="s">
        <v>5548</v>
      </c>
      <c r="X405" s="485">
        <v>3</v>
      </c>
      <c r="Y405" s="485" t="s">
        <v>2562</v>
      </c>
      <c r="Z405" s="486">
        <v>536560627</v>
      </c>
      <c r="AA405" s="486">
        <v>0</v>
      </c>
      <c r="AB405" s="486">
        <v>0</v>
      </c>
      <c r="AC405" s="486">
        <v>0</v>
      </c>
      <c r="AD405" s="486">
        <v>0</v>
      </c>
      <c r="AE405" s="486">
        <v>300000000</v>
      </c>
      <c r="AF405" s="486">
        <v>0</v>
      </c>
      <c r="AG405" s="486">
        <v>0</v>
      </c>
      <c r="AH405" s="487">
        <v>836560627</v>
      </c>
      <c r="AI405" s="486">
        <v>0</v>
      </c>
      <c r="AJ405" s="486"/>
      <c r="AK405" s="486"/>
      <c r="AL405" s="488">
        <v>0</v>
      </c>
      <c r="AM405" s="489">
        <v>836560627</v>
      </c>
      <c r="AN405" s="486">
        <v>558023052.08000004</v>
      </c>
      <c r="AO405" s="486">
        <v>0</v>
      </c>
      <c r="AP405" s="486">
        <v>0</v>
      </c>
      <c r="AQ405" s="486">
        <v>0</v>
      </c>
      <c r="AR405" s="486">
        <v>0</v>
      </c>
      <c r="AS405" s="486">
        <v>318000000</v>
      </c>
      <c r="AT405" s="486">
        <v>0</v>
      </c>
      <c r="AU405" s="486">
        <v>0</v>
      </c>
      <c r="AV405" s="487">
        <v>876023052.08000004</v>
      </c>
      <c r="AW405" s="486">
        <v>0</v>
      </c>
      <c r="AX405" s="486"/>
      <c r="AY405" s="486"/>
      <c r="AZ405" s="488">
        <v>0</v>
      </c>
      <c r="BA405" s="490">
        <v>876023052.08000004</v>
      </c>
      <c r="BB405" s="486">
        <v>580343974.16320002</v>
      </c>
      <c r="BC405" s="486">
        <v>0</v>
      </c>
      <c r="BD405" s="486">
        <v>0</v>
      </c>
      <c r="BE405" s="486">
        <v>0</v>
      </c>
      <c r="BF405" s="486">
        <v>0</v>
      </c>
      <c r="BG405" s="486">
        <v>337080000</v>
      </c>
      <c r="BH405" s="486">
        <v>0</v>
      </c>
      <c r="BI405" s="486">
        <v>0</v>
      </c>
      <c r="BJ405" s="487">
        <v>917423974.16320002</v>
      </c>
      <c r="BK405" s="486">
        <v>0</v>
      </c>
      <c r="BL405" s="486"/>
      <c r="BM405" s="486"/>
      <c r="BN405" s="488">
        <v>0</v>
      </c>
      <c r="BO405" s="490">
        <v>917423974.16320002</v>
      </c>
      <c r="BP405" s="486">
        <v>603557733.12972808</v>
      </c>
      <c r="BQ405" s="486">
        <v>0</v>
      </c>
      <c r="BR405" s="486">
        <v>0</v>
      </c>
      <c r="BS405" s="486">
        <v>0</v>
      </c>
      <c r="BT405" s="486">
        <v>0</v>
      </c>
      <c r="BU405" s="486">
        <v>357304800</v>
      </c>
      <c r="BV405" s="486">
        <v>0</v>
      </c>
      <c r="BW405" s="486">
        <v>0</v>
      </c>
      <c r="BX405" s="487">
        <v>960862533.12972808</v>
      </c>
      <c r="BY405" s="486">
        <v>0</v>
      </c>
      <c r="BZ405" s="486"/>
      <c r="CA405" s="486"/>
      <c r="CB405" s="488">
        <v>0</v>
      </c>
      <c r="CC405" s="491">
        <v>960862533.12972808</v>
      </c>
      <c r="CD405" s="492">
        <v>3590870186.3729281</v>
      </c>
      <c r="CE405" s="493">
        <f t="shared" si="29"/>
        <v>2278485386.3729277</v>
      </c>
      <c r="CF405" s="493">
        <f t="shared" si="29"/>
        <v>0</v>
      </c>
      <c r="CG405" s="493">
        <f t="shared" si="29"/>
        <v>0</v>
      </c>
      <c r="CH405" s="493">
        <f t="shared" si="29"/>
        <v>0</v>
      </c>
      <c r="CI405" s="493">
        <f t="shared" si="26"/>
        <v>0</v>
      </c>
      <c r="CJ405" s="493">
        <f t="shared" si="26"/>
        <v>1312384800</v>
      </c>
      <c r="CK405" s="493">
        <f t="shared" si="26"/>
        <v>0</v>
      </c>
      <c r="CL405" s="493">
        <f t="shared" si="26"/>
        <v>0</v>
      </c>
      <c r="CM405" s="493">
        <f t="shared" si="28"/>
        <v>0</v>
      </c>
      <c r="CN405" s="493">
        <f t="shared" si="28"/>
        <v>0</v>
      </c>
      <c r="CO405" s="493">
        <f t="shared" si="28"/>
        <v>0</v>
      </c>
    </row>
    <row r="406" spans="1:93" ht="30.45" hidden="1" customHeight="1">
      <c r="A406" s="555" t="s">
        <v>2461</v>
      </c>
      <c r="B406" s="479">
        <v>404</v>
      </c>
      <c r="C406" s="480" t="s">
        <v>6370</v>
      </c>
      <c r="D406" s="480" t="s">
        <v>4773</v>
      </c>
      <c r="E406" s="480" t="str">
        <f t="shared" si="27"/>
        <v xml:space="preserve">4.2.1 </v>
      </c>
      <c r="F406" s="480" t="s">
        <v>4774</v>
      </c>
      <c r="G406" s="480" t="s">
        <v>4775</v>
      </c>
      <c r="H406" s="481">
        <v>43</v>
      </c>
      <c r="I406" s="480" t="s">
        <v>4783</v>
      </c>
      <c r="J406" s="495">
        <v>430206200</v>
      </c>
      <c r="K406" s="480" t="s">
        <v>4151</v>
      </c>
      <c r="L406" s="480" t="s">
        <v>4274</v>
      </c>
      <c r="M406" s="480" t="s">
        <v>5997</v>
      </c>
      <c r="N406" s="499">
        <v>1</v>
      </c>
      <c r="O406" s="480" t="s">
        <v>4779</v>
      </c>
      <c r="P406" s="515">
        <v>9</v>
      </c>
      <c r="Q406" s="485" t="s">
        <v>5349</v>
      </c>
      <c r="R406" s="485" t="s">
        <v>5546</v>
      </c>
      <c r="S406" s="485" t="s">
        <v>5547</v>
      </c>
      <c r="T406" s="485">
        <v>10</v>
      </c>
      <c r="U406" s="485" t="s">
        <v>4815</v>
      </c>
      <c r="V406" s="485">
        <v>5</v>
      </c>
      <c r="W406" s="485" t="s">
        <v>5548</v>
      </c>
      <c r="X406" s="485">
        <v>3</v>
      </c>
      <c r="Y406" s="485" t="s">
        <v>2562</v>
      </c>
      <c r="Z406" s="486">
        <v>25000000</v>
      </c>
      <c r="AA406" s="486">
        <v>0</v>
      </c>
      <c r="AB406" s="486">
        <v>0</v>
      </c>
      <c r="AC406" s="486">
        <v>0</v>
      </c>
      <c r="AD406" s="486">
        <v>0</v>
      </c>
      <c r="AE406" s="486"/>
      <c r="AF406" s="486">
        <v>0</v>
      </c>
      <c r="AG406" s="486">
        <v>0</v>
      </c>
      <c r="AH406" s="487">
        <v>25000000</v>
      </c>
      <c r="AI406" s="486">
        <v>75000000</v>
      </c>
      <c r="AJ406" s="486"/>
      <c r="AK406" s="486"/>
      <c r="AL406" s="488">
        <v>75000000</v>
      </c>
      <c r="AM406" s="489">
        <v>100000000</v>
      </c>
      <c r="AN406" s="486">
        <v>26000000</v>
      </c>
      <c r="AO406" s="486">
        <v>0</v>
      </c>
      <c r="AP406" s="486">
        <v>0</v>
      </c>
      <c r="AQ406" s="486">
        <v>0</v>
      </c>
      <c r="AR406" s="486">
        <v>0</v>
      </c>
      <c r="AS406" s="486">
        <v>0</v>
      </c>
      <c r="AT406" s="486">
        <v>0</v>
      </c>
      <c r="AU406" s="486">
        <v>0</v>
      </c>
      <c r="AV406" s="487">
        <v>26000000</v>
      </c>
      <c r="AW406" s="486">
        <v>75000000</v>
      </c>
      <c r="AX406" s="486"/>
      <c r="AY406" s="486"/>
      <c r="AZ406" s="488">
        <v>75000000</v>
      </c>
      <c r="BA406" s="490">
        <v>101000000</v>
      </c>
      <c r="BB406" s="486">
        <v>27040000</v>
      </c>
      <c r="BC406" s="486">
        <v>0</v>
      </c>
      <c r="BD406" s="486">
        <v>0</v>
      </c>
      <c r="BE406" s="486">
        <v>0</v>
      </c>
      <c r="BF406" s="486">
        <v>0</v>
      </c>
      <c r="BG406" s="486">
        <v>0</v>
      </c>
      <c r="BH406" s="486">
        <v>0</v>
      </c>
      <c r="BI406" s="486">
        <v>0</v>
      </c>
      <c r="BJ406" s="487">
        <v>27040000</v>
      </c>
      <c r="BK406" s="486">
        <v>75000000</v>
      </c>
      <c r="BL406" s="486"/>
      <c r="BM406" s="486"/>
      <c r="BN406" s="488">
        <v>75000000</v>
      </c>
      <c r="BO406" s="490">
        <v>102040000</v>
      </c>
      <c r="BP406" s="486">
        <v>28121600</v>
      </c>
      <c r="BQ406" s="486">
        <v>0</v>
      </c>
      <c r="BR406" s="486">
        <v>0</v>
      </c>
      <c r="BS406" s="486">
        <v>0</v>
      </c>
      <c r="BT406" s="486">
        <v>0</v>
      </c>
      <c r="BU406" s="486">
        <v>0</v>
      </c>
      <c r="BV406" s="486">
        <v>0</v>
      </c>
      <c r="BW406" s="486">
        <v>0</v>
      </c>
      <c r="BX406" s="487">
        <v>28121600</v>
      </c>
      <c r="BY406" s="486">
        <v>75000000</v>
      </c>
      <c r="BZ406" s="486"/>
      <c r="CA406" s="486"/>
      <c r="CB406" s="488">
        <v>75000000</v>
      </c>
      <c r="CC406" s="491">
        <v>103121600</v>
      </c>
      <c r="CD406" s="492">
        <v>406161600</v>
      </c>
      <c r="CE406" s="493">
        <f t="shared" si="29"/>
        <v>106161600</v>
      </c>
      <c r="CF406" s="493">
        <f t="shared" si="29"/>
        <v>0</v>
      </c>
      <c r="CG406" s="493">
        <f t="shared" si="29"/>
        <v>0</v>
      </c>
      <c r="CH406" s="493">
        <f t="shared" si="29"/>
        <v>0</v>
      </c>
      <c r="CI406" s="493">
        <f t="shared" si="26"/>
        <v>0</v>
      </c>
      <c r="CJ406" s="493">
        <f t="shared" si="26"/>
        <v>0</v>
      </c>
      <c r="CK406" s="493">
        <f t="shared" si="26"/>
        <v>0</v>
      </c>
      <c r="CL406" s="493">
        <f t="shared" si="26"/>
        <v>0</v>
      </c>
      <c r="CM406" s="493">
        <f t="shared" si="28"/>
        <v>300000000</v>
      </c>
      <c r="CN406" s="493">
        <f t="shared" si="28"/>
        <v>0</v>
      </c>
      <c r="CO406" s="493">
        <f t="shared" si="28"/>
        <v>0</v>
      </c>
    </row>
    <row r="407" spans="1:93" ht="30.45" hidden="1" customHeight="1">
      <c r="A407" s="555" t="s">
        <v>4223</v>
      </c>
      <c r="B407" s="479">
        <v>405</v>
      </c>
      <c r="C407" s="480" t="s">
        <v>6370</v>
      </c>
      <c r="D407" s="480" t="s">
        <v>4773</v>
      </c>
      <c r="E407" s="480" t="str">
        <f t="shared" si="27"/>
        <v xml:space="preserve">4.2.2 </v>
      </c>
      <c r="F407" s="480" t="s">
        <v>4784</v>
      </c>
      <c r="G407" s="480" t="s">
        <v>4785</v>
      </c>
      <c r="H407" s="481">
        <v>45</v>
      </c>
      <c r="I407" s="480" t="s">
        <v>4202</v>
      </c>
      <c r="J407" s="495">
        <v>450102602</v>
      </c>
      <c r="K407" s="480" t="s">
        <v>6584</v>
      </c>
      <c r="L407" s="480" t="s">
        <v>4786</v>
      </c>
      <c r="M407" s="480" t="s">
        <v>5998</v>
      </c>
      <c r="N407" s="499">
        <v>1</v>
      </c>
      <c r="O407" s="480" t="s">
        <v>6585</v>
      </c>
      <c r="P407" s="515">
        <v>2</v>
      </c>
      <c r="Q407" s="485" t="s">
        <v>5349</v>
      </c>
      <c r="R407" s="485" t="s">
        <v>5549</v>
      </c>
      <c r="S407" s="485" t="s">
        <v>683</v>
      </c>
      <c r="T407" s="485">
        <v>7433</v>
      </c>
      <c r="U407" s="485" t="s">
        <v>5550</v>
      </c>
      <c r="V407" s="485">
        <v>12000</v>
      </c>
      <c r="W407" s="485" t="s">
        <v>5354</v>
      </c>
      <c r="X407" s="485">
        <v>16</v>
      </c>
      <c r="Y407" s="485" t="s">
        <v>954</v>
      </c>
      <c r="Z407" s="486">
        <v>167520000</v>
      </c>
      <c r="AA407" s="486">
        <v>0</v>
      </c>
      <c r="AB407" s="486">
        <v>0</v>
      </c>
      <c r="AC407" s="486">
        <v>0</v>
      </c>
      <c r="AD407" s="486">
        <v>0</v>
      </c>
      <c r="AE407" s="486">
        <v>0</v>
      </c>
      <c r="AF407" s="486">
        <v>0</v>
      </c>
      <c r="AG407" s="486">
        <v>0</v>
      </c>
      <c r="AH407" s="487">
        <v>167520000</v>
      </c>
      <c r="AI407" s="486">
        <v>0</v>
      </c>
      <c r="AJ407" s="486">
        <v>0</v>
      </c>
      <c r="AK407" s="486">
        <v>0</v>
      </c>
      <c r="AL407" s="488">
        <v>0</v>
      </c>
      <c r="AM407" s="489">
        <v>167520000</v>
      </c>
      <c r="AN407" s="486">
        <v>167520000</v>
      </c>
      <c r="AO407" s="486">
        <v>0</v>
      </c>
      <c r="AP407" s="486">
        <v>0</v>
      </c>
      <c r="AQ407" s="486">
        <v>0</v>
      </c>
      <c r="AR407" s="486">
        <v>0</v>
      </c>
      <c r="AS407" s="486">
        <v>0</v>
      </c>
      <c r="AT407" s="486">
        <v>0</v>
      </c>
      <c r="AU407" s="486">
        <v>0</v>
      </c>
      <c r="AV407" s="487">
        <v>167520000</v>
      </c>
      <c r="AW407" s="486">
        <v>0</v>
      </c>
      <c r="AX407" s="486">
        <v>0</v>
      </c>
      <c r="AY407" s="486">
        <v>0</v>
      </c>
      <c r="AZ407" s="488">
        <v>0</v>
      </c>
      <c r="BA407" s="490">
        <v>167520000</v>
      </c>
      <c r="BB407" s="486">
        <v>167520000</v>
      </c>
      <c r="BC407" s="486">
        <v>0</v>
      </c>
      <c r="BD407" s="486">
        <v>0</v>
      </c>
      <c r="BE407" s="486">
        <v>0</v>
      </c>
      <c r="BF407" s="486">
        <v>0</v>
      </c>
      <c r="BG407" s="486">
        <v>0</v>
      </c>
      <c r="BH407" s="486">
        <v>0</v>
      </c>
      <c r="BI407" s="486">
        <v>0</v>
      </c>
      <c r="BJ407" s="487">
        <v>167520000</v>
      </c>
      <c r="BK407" s="486">
        <v>0</v>
      </c>
      <c r="BL407" s="486">
        <v>0</v>
      </c>
      <c r="BM407" s="486">
        <v>0</v>
      </c>
      <c r="BN407" s="488">
        <v>0</v>
      </c>
      <c r="BO407" s="490">
        <v>167520000</v>
      </c>
      <c r="BP407" s="486">
        <v>167520000</v>
      </c>
      <c r="BQ407" s="486">
        <v>0</v>
      </c>
      <c r="BR407" s="486">
        <v>0</v>
      </c>
      <c r="BS407" s="486">
        <v>0</v>
      </c>
      <c r="BT407" s="486">
        <v>0</v>
      </c>
      <c r="BU407" s="486">
        <v>0</v>
      </c>
      <c r="BV407" s="486">
        <v>0</v>
      </c>
      <c r="BW407" s="486">
        <v>0</v>
      </c>
      <c r="BX407" s="487">
        <v>167520000</v>
      </c>
      <c r="BY407" s="486">
        <v>0</v>
      </c>
      <c r="BZ407" s="486">
        <v>0</v>
      </c>
      <c r="CA407" s="486">
        <v>0</v>
      </c>
      <c r="CB407" s="488">
        <v>0</v>
      </c>
      <c r="CC407" s="491">
        <v>167520000</v>
      </c>
      <c r="CD407" s="492">
        <v>670080000</v>
      </c>
      <c r="CE407" s="493">
        <f t="shared" si="29"/>
        <v>670080000</v>
      </c>
      <c r="CF407" s="493">
        <f t="shared" si="29"/>
        <v>0</v>
      </c>
      <c r="CG407" s="493">
        <f t="shared" si="29"/>
        <v>0</v>
      </c>
      <c r="CH407" s="493">
        <f t="shared" si="29"/>
        <v>0</v>
      </c>
      <c r="CI407" s="493">
        <f t="shared" si="26"/>
        <v>0</v>
      </c>
      <c r="CJ407" s="493">
        <f t="shared" si="26"/>
        <v>0</v>
      </c>
      <c r="CK407" s="493">
        <f t="shared" si="26"/>
        <v>0</v>
      </c>
      <c r="CL407" s="493">
        <f t="shared" si="26"/>
        <v>0</v>
      </c>
      <c r="CM407" s="493">
        <f t="shared" si="28"/>
        <v>0</v>
      </c>
      <c r="CN407" s="493">
        <f t="shared" si="28"/>
        <v>0</v>
      </c>
      <c r="CO407" s="493">
        <f t="shared" si="28"/>
        <v>0</v>
      </c>
    </row>
    <row r="408" spans="1:93" ht="30.45" hidden="1" customHeight="1">
      <c r="A408" s="555" t="s">
        <v>4223</v>
      </c>
      <c r="B408" s="479">
        <v>406</v>
      </c>
      <c r="C408" s="480" t="s">
        <v>6370</v>
      </c>
      <c r="D408" s="480" t="s">
        <v>4773</v>
      </c>
      <c r="E408" s="480" t="str">
        <f t="shared" si="27"/>
        <v xml:space="preserve">4.2.2 </v>
      </c>
      <c r="F408" s="480" t="s">
        <v>4784</v>
      </c>
      <c r="G408" s="480" t="s">
        <v>4785</v>
      </c>
      <c r="H408" s="481">
        <v>45</v>
      </c>
      <c r="I408" s="480" t="s">
        <v>4202</v>
      </c>
      <c r="J408" s="495">
        <v>450102601</v>
      </c>
      <c r="K408" s="480" t="s">
        <v>4063</v>
      </c>
      <c r="L408" s="480" t="s">
        <v>4758</v>
      </c>
      <c r="M408" s="480" t="s">
        <v>5999</v>
      </c>
      <c r="N408" s="499">
        <v>2</v>
      </c>
      <c r="O408" s="480" t="s">
        <v>6586</v>
      </c>
      <c r="P408" s="515">
        <v>6</v>
      </c>
      <c r="Q408" s="485" t="s">
        <v>5349</v>
      </c>
      <c r="R408" s="485" t="s">
        <v>5549</v>
      </c>
      <c r="S408" s="485" t="s">
        <v>683</v>
      </c>
      <c r="T408" s="485">
        <v>7433</v>
      </c>
      <c r="U408" s="485" t="s">
        <v>5550</v>
      </c>
      <c r="V408" s="485">
        <v>12000</v>
      </c>
      <c r="W408" s="485" t="s">
        <v>5354</v>
      </c>
      <c r="X408" s="485">
        <v>16</v>
      </c>
      <c r="Y408" s="485" t="s">
        <v>954</v>
      </c>
      <c r="Z408" s="486">
        <v>57744000</v>
      </c>
      <c r="AA408" s="486">
        <v>0</v>
      </c>
      <c r="AB408" s="486">
        <v>0</v>
      </c>
      <c r="AC408" s="486">
        <v>0</v>
      </c>
      <c r="AD408" s="486">
        <v>0</v>
      </c>
      <c r="AE408" s="486">
        <v>0</v>
      </c>
      <c r="AF408" s="486">
        <v>0</v>
      </c>
      <c r="AG408" s="486">
        <v>0</v>
      </c>
      <c r="AH408" s="487">
        <v>57744000</v>
      </c>
      <c r="AI408" s="486">
        <v>0</v>
      </c>
      <c r="AJ408" s="486">
        <v>0</v>
      </c>
      <c r="AK408" s="486">
        <v>0</v>
      </c>
      <c r="AL408" s="488">
        <v>0</v>
      </c>
      <c r="AM408" s="489">
        <v>57744000</v>
      </c>
      <c r="AN408" s="486">
        <v>57744000</v>
      </c>
      <c r="AO408" s="486">
        <v>0</v>
      </c>
      <c r="AP408" s="486">
        <v>0</v>
      </c>
      <c r="AQ408" s="486">
        <v>0</v>
      </c>
      <c r="AR408" s="486">
        <v>0</v>
      </c>
      <c r="AS408" s="486">
        <v>0</v>
      </c>
      <c r="AT408" s="486">
        <v>0</v>
      </c>
      <c r="AU408" s="486">
        <v>0</v>
      </c>
      <c r="AV408" s="487">
        <v>57744000</v>
      </c>
      <c r="AW408" s="486">
        <v>0</v>
      </c>
      <c r="AX408" s="486">
        <v>0</v>
      </c>
      <c r="AY408" s="486">
        <v>0</v>
      </c>
      <c r="AZ408" s="488">
        <v>0</v>
      </c>
      <c r="BA408" s="490">
        <v>57744000</v>
      </c>
      <c r="BB408" s="486">
        <v>57744000</v>
      </c>
      <c r="BC408" s="486">
        <v>0</v>
      </c>
      <c r="BD408" s="486">
        <v>0</v>
      </c>
      <c r="BE408" s="486">
        <v>0</v>
      </c>
      <c r="BF408" s="486">
        <v>0</v>
      </c>
      <c r="BG408" s="486">
        <v>0</v>
      </c>
      <c r="BH408" s="486">
        <v>0</v>
      </c>
      <c r="BI408" s="486">
        <v>0</v>
      </c>
      <c r="BJ408" s="487">
        <v>57744000</v>
      </c>
      <c r="BK408" s="486">
        <v>0</v>
      </c>
      <c r="BL408" s="486">
        <v>0</v>
      </c>
      <c r="BM408" s="486">
        <v>0</v>
      </c>
      <c r="BN408" s="488">
        <v>0</v>
      </c>
      <c r="BO408" s="490">
        <v>57744000</v>
      </c>
      <c r="BP408" s="486">
        <v>57744000</v>
      </c>
      <c r="BQ408" s="486">
        <v>0</v>
      </c>
      <c r="BR408" s="486">
        <v>0</v>
      </c>
      <c r="BS408" s="486">
        <v>0</v>
      </c>
      <c r="BT408" s="486">
        <v>0</v>
      </c>
      <c r="BU408" s="486">
        <v>0</v>
      </c>
      <c r="BV408" s="486">
        <v>0</v>
      </c>
      <c r="BW408" s="486">
        <v>0</v>
      </c>
      <c r="BX408" s="487">
        <v>57744000</v>
      </c>
      <c r="BY408" s="486">
        <v>0</v>
      </c>
      <c r="BZ408" s="486">
        <v>0</v>
      </c>
      <c r="CA408" s="486">
        <v>0</v>
      </c>
      <c r="CB408" s="488">
        <v>0</v>
      </c>
      <c r="CC408" s="491">
        <v>57744000</v>
      </c>
      <c r="CD408" s="492">
        <v>230976000</v>
      </c>
      <c r="CE408" s="493">
        <f t="shared" si="29"/>
        <v>230976000</v>
      </c>
      <c r="CF408" s="493">
        <f t="shared" si="29"/>
        <v>0</v>
      </c>
      <c r="CG408" s="493">
        <f t="shared" si="29"/>
        <v>0</v>
      </c>
      <c r="CH408" s="493">
        <f t="shared" si="29"/>
        <v>0</v>
      </c>
      <c r="CI408" s="493">
        <f t="shared" si="26"/>
        <v>0</v>
      </c>
      <c r="CJ408" s="493">
        <f t="shared" si="26"/>
        <v>0</v>
      </c>
      <c r="CK408" s="493">
        <f t="shared" si="26"/>
        <v>0</v>
      </c>
      <c r="CL408" s="493">
        <f t="shared" si="26"/>
        <v>0</v>
      </c>
      <c r="CM408" s="493">
        <f t="shared" si="28"/>
        <v>0</v>
      </c>
      <c r="CN408" s="493">
        <f t="shared" si="28"/>
        <v>0</v>
      </c>
      <c r="CO408" s="493">
        <f t="shared" si="28"/>
        <v>0</v>
      </c>
    </row>
    <row r="409" spans="1:93" ht="30.45" hidden="1" customHeight="1">
      <c r="A409" s="555" t="s">
        <v>4223</v>
      </c>
      <c r="B409" s="479">
        <v>407</v>
      </c>
      <c r="C409" s="480" t="s">
        <v>6370</v>
      </c>
      <c r="D409" s="480" t="s">
        <v>4773</v>
      </c>
      <c r="E409" s="480" t="str">
        <f t="shared" si="27"/>
        <v xml:space="preserve">4.2.2 </v>
      </c>
      <c r="F409" s="480" t="s">
        <v>4784</v>
      </c>
      <c r="G409" s="480" t="s">
        <v>4785</v>
      </c>
      <c r="H409" s="481">
        <v>45</v>
      </c>
      <c r="I409" s="480" t="s">
        <v>4202</v>
      </c>
      <c r="J409" s="495">
        <v>450100400</v>
      </c>
      <c r="K409" s="480" t="s">
        <v>6587</v>
      </c>
      <c r="L409" s="480" t="s">
        <v>4787</v>
      </c>
      <c r="M409" s="480" t="s">
        <v>6588</v>
      </c>
      <c r="N409" s="499">
        <v>5</v>
      </c>
      <c r="O409" s="480" t="s">
        <v>6586</v>
      </c>
      <c r="P409" s="515">
        <v>5</v>
      </c>
      <c r="Q409" s="485" t="s">
        <v>5349</v>
      </c>
      <c r="R409" s="485" t="s">
        <v>5549</v>
      </c>
      <c r="S409" s="485" t="s">
        <v>683</v>
      </c>
      <c r="T409" s="485">
        <v>7433</v>
      </c>
      <c r="U409" s="485" t="s">
        <v>5550</v>
      </c>
      <c r="V409" s="485">
        <v>12000</v>
      </c>
      <c r="W409" s="485" t="s">
        <v>5354</v>
      </c>
      <c r="X409" s="485">
        <v>16</v>
      </c>
      <c r="Y409" s="485" t="s">
        <v>954</v>
      </c>
      <c r="Z409" s="486">
        <v>115488000</v>
      </c>
      <c r="AA409" s="486">
        <v>0</v>
      </c>
      <c r="AB409" s="486">
        <v>0</v>
      </c>
      <c r="AC409" s="486">
        <v>0</v>
      </c>
      <c r="AD409" s="486">
        <v>0</v>
      </c>
      <c r="AE409" s="486">
        <v>0</v>
      </c>
      <c r="AF409" s="486">
        <v>0</v>
      </c>
      <c r="AG409" s="486">
        <v>0</v>
      </c>
      <c r="AH409" s="487">
        <v>115488000</v>
      </c>
      <c r="AI409" s="486">
        <v>0</v>
      </c>
      <c r="AJ409" s="486">
        <v>0</v>
      </c>
      <c r="AK409" s="486">
        <v>0</v>
      </c>
      <c r="AL409" s="488">
        <v>0</v>
      </c>
      <c r="AM409" s="489">
        <v>115488000</v>
      </c>
      <c r="AN409" s="486">
        <v>115488000</v>
      </c>
      <c r="AO409" s="486">
        <v>0</v>
      </c>
      <c r="AP409" s="486">
        <v>0</v>
      </c>
      <c r="AQ409" s="486">
        <v>0</v>
      </c>
      <c r="AR409" s="486">
        <v>0</v>
      </c>
      <c r="AS409" s="486">
        <v>0</v>
      </c>
      <c r="AT409" s="486">
        <v>0</v>
      </c>
      <c r="AU409" s="486">
        <v>0</v>
      </c>
      <c r="AV409" s="487">
        <v>115488000</v>
      </c>
      <c r="AW409" s="486">
        <v>0</v>
      </c>
      <c r="AX409" s="486">
        <v>0</v>
      </c>
      <c r="AY409" s="486">
        <v>0</v>
      </c>
      <c r="AZ409" s="488">
        <v>0</v>
      </c>
      <c r="BA409" s="490">
        <v>115488000</v>
      </c>
      <c r="BB409" s="486">
        <v>115488000</v>
      </c>
      <c r="BC409" s="486">
        <v>0</v>
      </c>
      <c r="BD409" s="486">
        <v>0</v>
      </c>
      <c r="BE409" s="486">
        <v>0</v>
      </c>
      <c r="BF409" s="486">
        <v>0</v>
      </c>
      <c r="BG409" s="486">
        <v>0</v>
      </c>
      <c r="BH409" s="486">
        <v>0</v>
      </c>
      <c r="BI409" s="486">
        <v>0</v>
      </c>
      <c r="BJ409" s="487">
        <v>115488000</v>
      </c>
      <c r="BK409" s="486">
        <v>0</v>
      </c>
      <c r="BL409" s="486">
        <v>0</v>
      </c>
      <c r="BM409" s="486">
        <v>0</v>
      </c>
      <c r="BN409" s="488">
        <v>0</v>
      </c>
      <c r="BO409" s="490">
        <v>115488000</v>
      </c>
      <c r="BP409" s="486">
        <v>115488000</v>
      </c>
      <c r="BQ409" s="486">
        <v>0</v>
      </c>
      <c r="BR409" s="486">
        <v>0</v>
      </c>
      <c r="BS409" s="486">
        <v>0</v>
      </c>
      <c r="BT409" s="486">
        <v>0</v>
      </c>
      <c r="BU409" s="486">
        <v>0</v>
      </c>
      <c r="BV409" s="486">
        <v>0</v>
      </c>
      <c r="BW409" s="486">
        <v>0</v>
      </c>
      <c r="BX409" s="487">
        <v>115488000</v>
      </c>
      <c r="BY409" s="486">
        <v>0</v>
      </c>
      <c r="BZ409" s="486">
        <v>0</v>
      </c>
      <c r="CA409" s="486">
        <v>0</v>
      </c>
      <c r="CB409" s="488">
        <v>0</v>
      </c>
      <c r="CC409" s="491">
        <v>115488000</v>
      </c>
      <c r="CD409" s="492">
        <v>461952000</v>
      </c>
      <c r="CE409" s="493">
        <f t="shared" si="29"/>
        <v>461952000</v>
      </c>
      <c r="CF409" s="493">
        <f t="shared" si="29"/>
        <v>0</v>
      </c>
      <c r="CG409" s="493">
        <f t="shared" si="29"/>
        <v>0</v>
      </c>
      <c r="CH409" s="493">
        <f t="shared" si="29"/>
        <v>0</v>
      </c>
      <c r="CI409" s="493">
        <f t="shared" si="26"/>
        <v>0</v>
      </c>
      <c r="CJ409" s="493">
        <f t="shared" si="26"/>
        <v>0</v>
      </c>
      <c r="CK409" s="493">
        <f t="shared" si="26"/>
        <v>0</v>
      </c>
      <c r="CL409" s="493">
        <f t="shared" si="26"/>
        <v>0</v>
      </c>
      <c r="CM409" s="493">
        <f t="shared" si="28"/>
        <v>0</v>
      </c>
      <c r="CN409" s="493">
        <f t="shared" si="28"/>
        <v>0</v>
      </c>
      <c r="CO409" s="493">
        <f t="shared" si="28"/>
        <v>0</v>
      </c>
    </row>
    <row r="410" spans="1:93" ht="30.45" hidden="1" customHeight="1">
      <c r="A410" s="555" t="s">
        <v>4223</v>
      </c>
      <c r="B410" s="479">
        <v>408</v>
      </c>
      <c r="C410" s="480" t="s">
        <v>6370</v>
      </c>
      <c r="D410" s="480" t="s">
        <v>4773</v>
      </c>
      <c r="E410" s="480" t="str">
        <f t="shared" si="27"/>
        <v xml:space="preserve">4.2.2 </v>
      </c>
      <c r="F410" s="480" t="s">
        <v>4784</v>
      </c>
      <c r="G410" s="480" t="s">
        <v>4785</v>
      </c>
      <c r="H410" s="481">
        <v>45</v>
      </c>
      <c r="I410" s="480" t="s">
        <v>4202</v>
      </c>
      <c r="J410" s="495">
        <v>450102900</v>
      </c>
      <c r="K410" s="480" t="s">
        <v>4788</v>
      </c>
      <c r="L410" s="480" t="s">
        <v>4789</v>
      </c>
      <c r="M410" s="480" t="s">
        <v>6000</v>
      </c>
      <c r="N410" s="499">
        <v>2</v>
      </c>
      <c r="O410" s="480" t="s">
        <v>4790</v>
      </c>
      <c r="P410" s="515">
        <v>10</v>
      </c>
      <c r="Q410" s="485" t="s">
        <v>5349</v>
      </c>
      <c r="R410" s="485" t="s">
        <v>5549</v>
      </c>
      <c r="S410" s="485" t="s">
        <v>683</v>
      </c>
      <c r="T410" s="485">
        <v>7433</v>
      </c>
      <c r="U410" s="485" t="s">
        <v>5550</v>
      </c>
      <c r="V410" s="485">
        <v>12000</v>
      </c>
      <c r="W410" s="485" t="s">
        <v>5354</v>
      </c>
      <c r="X410" s="485">
        <v>16</v>
      </c>
      <c r="Y410" s="485" t="s">
        <v>954</v>
      </c>
      <c r="Z410" s="486"/>
      <c r="AA410" s="486">
        <v>6500000000</v>
      </c>
      <c r="AB410" s="486">
        <v>0</v>
      </c>
      <c r="AC410" s="486">
        <v>0</v>
      </c>
      <c r="AD410" s="486">
        <v>0</v>
      </c>
      <c r="AE410" s="486">
        <v>0</v>
      </c>
      <c r="AF410" s="486">
        <v>0</v>
      </c>
      <c r="AG410" s="486">
        <v>0</v>
      </c>
      <c r="AH410" s="487">
        <v>6500000000</v>
      </c>
      <c r="AI410" s="486">
        <v>1000000000</v>
      </c>
      <c r="AJ410" s="486">
        <v>0</v>
      </c>
      <c r="AK410" s="486">
        <v>0</v>
      </c>
      <c r="AL410" s="488">
        <v>1000000000</v>
      </c>
      <c r="AM410" s="489">
        <v>7500000000</v>
      </c>
      <c r="AN410" s="486"/>
      <c r="AO410" s="486">
        <v>6760000000</v>
      </c>
      <c r="AP410" s="486">
        <v>0</v>
      </c>
      <c r="AQ410" s="486">
        <v>0</v>
      </c>
      <c r="AR410" s="486">
        <v>0</v>
      </c>
      <c r="AS410" s="486">
        <v>0</v>
      </c>
      <c r="AT410" s="486">
        <v>0</v>
      </c>
      <c r="AU410" s="486">
        <v>0</v>
      </c>
      <c r="AV410" s="487">
        <v>6760000000</v>
      </c>
      <c r="AW410" s="486">
        <v>1000000000</v>
      </c>
      <c r="AX410" s="486">
        <v>0</v>
      </c>
      <c r="AY410" s="486">
        <v>0</v>
      </c>
      <c r="AZ410" s="488">
        <v>1000000000</v>
      </c>
      <c r="BA410" s="490">
        <v>7760000000</v>
      </c>
      <c r="BB410" s="486"/>
      <c r="BC410" s="486">
        <v>7030400000</v>
      </c>
      <c r="BD410" s="486">
        <v>0</v>
      </c>
      <c r="BE410" s="486">
        <v>0</v>
      </c>
      <c r="BF410" s="486">
        <v>0</v>
      </c>
      <c r="BG410" s="486">
        <v>0</v>
      </c>
      <c r="BH410" s="486">
        <v>0</v>
      </c>
      <c r="BI410" s="486">
        <v>0</v>
      </c>
      <c r="BJ410" s="487">
        <v>7030400000</v>
      </c>
      <c r="BK410" s="486">
        <v>1000000000</v>
      </c>
      <c r="BL410" s="486">
        <v>0</v>
      </c>
      <c r="BM410" s="486">
        <v>0</v>
      </c>
      <c r="BN410" s="488">
        <v>1000000000</v>
      </c>
      <c r="BO410" s="490">
        <v>8030400000</v>
      </c>
      <c r="BP410" s="486"/>
      <c r="BQ410" s="486">
        <v>7311616000</v>
      </c>
      <c r="BR410" s="486">
        <v>0</v>
      </c>
      <c r="BS410" s="486">
        <v>0</v>
      </c>
      <c r="BT410" s="486">
        <v>0</v>
      </c>
      <c r="BU410" s="486">
        <v>0</v>
      </c>
      <c r="BV410" s="486">
        <v>0</v>
      </c>
      <c r="BW410" s="486">
        <v>0</v>
      </c>
      <c r="BX410" s="487">
        <v>7311616000</v>
      </c>
      <c r="BY410" s="486">
        <v>1000000000</v>
      </c>
      <c r="BZ410" s="486">
        <v>0</v>
      </c>
      <c r="CA410" s="486">
        <v>0</v>
      </c>
      <c r="CB410" s="488">
        <v>1000000000</v>
      </c>
      <c r="CC410" s="491">
        <v>8311616000</v>
      </c>
      <c r="CD410" s="492">
        <v>31602016000</v>
      </c>
      <c r="CE410" s="493">
        <f t="shared" si="29"/>
        <v>0</v>
      </c>
      <c r="CF410" s="493">
        <f t="shared" si="29"/>
        <v>27602016000</v>
      </c>
      <c r="CG410" s="493">
        <f t="shared" si="29"/>
        <v>0</v>
      </c>
      <c r="CH410" s="493">
        <f t="shared" si="29"/>
        <v>0</v>
      </c>
      <c r="CI410" s="493">
        <f t="shared" si="26"/>
        <v>0</v>
      </c>
      <c r="CJ410" s="493">
        <f t="shared" si="26"/>
        <v>0</v>
      </c>
      <c r="CK410" s="493">
        <f t="shared" si="26"/>
        <v>0</v>
      </c>
      <c r="CL410" s="493">
        <f t="shared" si="26"/>
        <v>0</v>
      </c>
      <c r="CM410" s="493">
        <f t="shared" si="28"/>
        <v>4000000000</v>
      </c>
      <c r="CN410" s="493">
        <f t="shared" si="28"/>
        <v>0</v>
      </c>
      <c r="CO410" s="493">
        <f t="shared" si="28"/>
        <v>0</v>
      </c>
    </row>
    <row r="411" spans="1:93" ht="30.45" hidden="1" customHeight="1">
      <c r="A411" s="555" t="s">
        <v>4223</v>
      </c>
      <c r="B411" s="479">
        <v>409</v>
      </c>
      <c r="C411" s="480" t="s">
        <v>6370</v>
      </c>
      <c r="D411" s="480" t="s">
        <v>4773</v>
      </c>
      <c r="E411" s="480" t="str">
        <f t="shared" si="27"/>
        <v xml:space="preserve">4.2.2 </v>
      </c>
      <c r="F411" s="480" t="s">
        <v>4784</v>
      </c>
      <c r="G411" s="480" t="s">
        <v>4785</v>
      </c>
      <c r="H411" s="481">
        <v>12</v>
      </c>
      <c r="I411" s="480" t="s">
        <v>4791</v>
      </c>
      <c r="J411" s="495">
        <v>120201300</v>
      </c>
      <c r="K411" s="480" t="s">
        <v>6589</v>
      </c>
      <c r="L411" s="480" t="s">
        <v>4792</v>
      </c>
      <c r="M411" s="480" t="s">
        <v>6001</v>
      </c>
      <c r="N411" s="499">
        <v>4</v>
      </c>
      <c r="O411" s="480" t="s">
        <v>6590</v>
      </c>
      <c r="P411" s="515">
        <v>6</v>
      </c>
      <c r="Q411" s="485" t="s">
        <v>5349</v>
      </c>
      <c r="R411" s="485" t="s">
        <v>5549</v>
      </c>
      <c r="S411" s="485" t="s">
        <v>683</v>
      </c>
      <c r="T411" s="485">
        <v>7433</v>
      </c>
      <c r="U411" s="485" t="s">
        <v>5550</v>
      </c>
      <c r="V411" s="485">
        <v>12000</v>
      </c>
      <c r="W411" s="485" t="s">
        <v>5354</v>
      </c>
      <c r="X411" s="485">
        <v>16</v>
      </c>
      <c r="Y411" s="485" t="s">
        <v>954</v>
      </c>
      <c r="Z411" s="486">
        <v>26448000</v>
      </c>
      <c r="AA411" s="486">
        <v>0</v>
      </c>
      <c r="AB411" s="486">
        <v>0</v>
      </c>
      <c r="AC411" s="486">
        <v>0</v>
      </c>
      <c r="AD411" s="486">
        <v>0</v>
      </c>
      <c r="AE411" s="486">
        <v>0</v>
      </c>
      <c r="AF411" s="486">
        <v>0</v>
      </c>
      <c r="AG411" s="486">
        <v>0</v>
      </c>
      <c r="AH411" s="487">
        <v>26448000</v>
      </c>
      <c r="AI411" s="486">
        <v>73552000</v>
      </c>
      <c r="AJ411" s="486">
        <v>0</v>
      </c>
      <c r="AK411" s="486">
        <v>0</v>
      </c>
      <c r="AL411" s="488">
        <v>73552000</v>
      </c>
      <c r="AM411" s="489">
        <v>100000000</v>
      </c>
      <c r="AN411" s="486">
        <v>26448000</v>
      </c>
      <c r="AO411" s="486">
        <v>0</v>
      </c>
      <c r="AP411" s="486">
        <v>0</v>
      </c>
      <c r="AQ411" s="486">
        <v>0</v>
      </c>
      <c r="AR411" s="486">
        <v>0</v>
      </c>
      <c r="AS411" s="486">
        <v>0</v>
      </c>
      <c r="AT411" s="486">
        <v>0</v>
      </c>
      <c r="AU411" s="486">
        <v>0</v>
      </c>
      <c r="AV411" s="487">
        <v>26448000</v>
      </c>
      <c r="AW411" s="486">
        <v>73552000</v>
      </c>
      <c r="AX411" s="486">
        <v>0</v>
      </c>
      <c r="AY411" s="486">
        <v>0</v>
      </c>
      <c r="AZ411" s="488">
        <v>73552000</v>
      </c>
      <c r="BA411" s="490">
        <v>100000000</v>
      </c>
      <c r="BB411" s="486">
        <v>26448000</v>
      </c>
      <c r="BC411" s="486">
        <v>0</v>
      </c>
      <c r="BD411" s="486">
        <v>0</v>
      </c>
      <c r="BE411" s="486">
        <v>0</v>
      </c>
      <c r="BF411" s="486">
        <v>0</v>
      </c>
      <c r="BG411" s="486">
        <v>0</v>
      </c>
      <c r="BH411" s="486">
        <v>0</v>
      </c>
      <c r="BI411" s="486">
        <v>0</v>
      </c>
      <c r="BJ411" s="487">
        <v>26448000</v>
      </c>
      <c r="BK411" s="486">
        <v>73552000</v>
      </c>
      <c r="BL411" s="486">
        <v>0</v>
      </c>
      <c r="BM411" s="486">
        <v>0</v>
      </c>
      <c r="BN411" s="488">
        <v>73552000</v>
      </c>
      <c r="BO411" s="490">
        <v>100000000</v>
      </c>
      <c r="BP411" s="486">
        <v>26448000</v>
      </c>
      <c r="BQ411" s="486">
        <v>0</v>
      </c>
      <c r="BR411" s="486">
        <v>0</v>
      </c>
      <c r="BS411" s="486">
        <v>0</v>
      </c>
      <c r="BT411" s="486">
        <v>0</v>
      </c>
      <c r="BU411" s="486">
        <v>0</v>
      </c>
      <c r="BV411" s="486">
        <v>0</v>
      </c>
      <c r="BW411" s="486">
        <v>0</v>
      </c>
      <c r="BX411" s="487">
        <v>26448000</v>
      </c>
      <c r="BY411" s="486">
        <v>73552000</v>
      </c>
      <c r="BZ411" s="486">
        <v>0</v>
      </c>
      <c r="CA411" s="486">
        <v>0</v>
      </c>
      <c r="CB411" s="488">
        <v>73552000</v>
      </c>
      <c r="CC411" s="491">
        <v>100000000</v>
      </c>
      <c r="CD411" s="492">
        <v>400000000</v>
      </c>
      <c r="CE411" s="493">
        <f t="shared" si="29"/>
        <v>105792000</v>
      </c>
      <c r="CF411" s="493">
        <f t="shared" si="29"/>
        <v>0</v>
      </c>
      <c r="CG411" s="493">
        <f t="shared" si="29"/>
        <v>0</v>
      </c>
      <c r="CH411" s="493">
        <f t="shared" si="29"/>
        <v>0</v>
      </c>
      <c r="CI411" s="493">
        <f t="shared" si="26"/>
        <v>0</v>
      </c>
      <c r="CJ411" s="493">
        <f t="shared" si="26"/>
        <v>0</v>
      </c>
      <c r="CK411" s="493">
        <f t="shared" si="26"/>
        <v>0</v>
      </c>
      <c r="CL411" s="493">
        <f t="shared" si="26"/>
        <v>0</v>
      </c>
      <c r="CM411" s="493">
        <f t="shared" si="28"/>
        <v>294208000</v>
      </c>
      <c r="CN411" s="493">
        <f t="shared" si="28"/>
        <v>0</v>
      </c>
      <c r="CO411" s="493">
        <f t="shared" si="28"/>
        <v>0</v>
      </c>
    </row>
    <row r="412" spans="1:93" ht="30.45" hidden="1" customHeight="1">
      <c r="A412" s="555" t="s">
        <v>4223</v>
      </c>
      <c r="B412" s="479">
        <v>410</v>
      </c>
      <c r="C412" s="480" t="s">
        <v>6370</v>
      </c>
      <c r="D412" s="480" t="s">
        <v>4773</v>
      </c>
      <c r="E412" s="480" t="str">
        <f t="shared" si="27"/>
        <v xml:space="preserve">4.2.3 </v>
      </c>
      <c r="F412" s="480" t="s">
        <v>4793</v>
      </c>
      <c r="G412" s="480" t="s">
        <v>4794</v>
      </c>
      <c r="H412" s="481">
        <v>45</v>
      </c>
      <c r="I412" s="480" t="s">
        <v>4202</v>
      </c>
      <c r="J412" s="495">
        <v>450200100</v>
      </c>
      <c r="K412" s="480" t="s">
        <v>6587</v>
      </c>
      <c r="L412" s="480" t="s">
        <v>4211</v>
      </c>
      <c r="M412" s="480" t="s">
        <v>6591</v>
      </c>
      <c r="N412" s="499">
        <v>6</v>
      </c>
      <c r="O412" s="480" t="s">
        <v>4795</v>
      </c>
      <c r="P412" s="515">
        <v>6</v>
      </c>
      <c r="Q412" s="485" t="s">
        <v>5349</v>
      </c>
      <c r="R412" s="485" t="s">
        <v>5551</v>
      </c>
      <c r="S412" s="485" t="s">
        <v>5552</v>
      </c>
      <c r="T412" s="485">
        <v>95</v>
      </c>
      <c r="U412" s="485" t="s">
        <v>5553</v>
      </c>
      <c r="V412" s="485">
        <v>100</v>
      </c>
      <c r="W412" s="485" t="s">
        <v>5357</v>
      </c>
      <c r="X412" s="485">
        <v>16</v>
      </c>
      <c r="Y412" s="485" t="s">
        <v>5355</v>
      </c>
      <c r="Z412" s="486">
        <v>90672000</v>
      </c>
      <c r="AA412" s="486">
        <v>0</v>
      </c>
      <c r="AB412" s="486">
        <v>0</v>
      </c>
      <c r="AC412" s="486">
        <v>0</v>
      </c>
      <c r="AD412" s="486">
        <v>0</v>
      </c>
      <c r="AE412" s="486">
        <v>0</v>
      </c>
      <c r="AF412" s="486">
        <v>0</v>
      </c>
      <c r="AG412" s="486">
        <v>0</v>
      </c>
      <c r="AH412" s="487">
        <v>90672000</v>
      </c>
      <c r="AI412" s="486">
        <v>0</v>
      </c>
      <c r="AJ412" s="486">
        <v>0</v>
      </c>
      <c r="AK412" s="486">
        <v>0</v>
      </c>
      <c r="AL412" s="488">
        <v>0</v>
      </c>
      <c r="AM412" s="489">
        <v>90672000</v>
      </c>
      <c r="AN412" s="486">
        <v>90672000</v>
      </c>
      <c r="AO412" s="486">
        <v>0</v>
      </c>
      <c r="AP412" s="486">
        <v>0</v>
      </c>
      <c r="AQ412" s="486">
        <v>0</v>
      </c>
      <c r="AR412" s="486">
        <v>0</v>
      </c>
      <c r="AS412" s="486">
        <v>0</v>
      </c>
      <c r="AT412" s="486">
        <v>0</v>
      </c>
      <c r="AU412" s="486">
        <v>0</v>
      </c>
      <c r="AV412" s="487">
        <v>90672000</v>
      </c>
      <c r="AW412" s="486">
        <v>0</v>
      </c>
      <c r="AX412" s="486">
        <v>0</v>
      </c>
      <c r="AY412" s="486">
        <v>0</v>
      </c>
      <c r="AZ412" s="488">
        <v>0</v>
      </c>
      <c r="BA412" s="490">
        <v>90672000</v>
      </c>
      <c r="BB412" s="486">
        <v>90672000</v>
      </c>
      <c r="BC412" s="486">
        <v>0</v>
      </c>
      <c r="BD412" s="486">
        <v>0</v>
      </c>
      <c r="BE412" s="486">
        <v>0</v>
      </c>
      <c r="BF412" s="486">
        <v>0</v>
      </c>
      <c r="BG412" s="486">
        <v>0</v>
      </c>
      <c r="BH412" s="486">
        <v>0</v>
      </c>
      <c r="BI412" s="486">
        <v>0</v>
      </c>
      <c r="BJ412" s="487">
        <v>90672000</v>
      </c>
      <c r="BK412" s="486">
        <v>0</v>
      </c>
      <c r="BL412" s="486">
        <v>0</v>
      </c>
      <c r="BM412" s="486">
        <v>0</v>
      </c>
      <c r="BN412" s="488">
        <v>0</v>
      </c>
      <c r="BO412" s="490">
        <v>90672000</v>
      </c>
      <c r="BP412" s="486">
        <v>90672000</v>
      </c>
      <c r="BQ412" s="486">
        <v>0</v>
      </c>
      <c r="BR412" s="486">
        <v>0</v>
      </c>
      <c r="BS412" s="486">
        <v>0</v>
      </c>
      <c r="BT412" s="486">
        <v>0</v>
      </c>
      <c r="BU412" s="486">
        <v>0</v>
      </c>
      <c r="BV412" s="486">
        <v>0</v>
      </c>
      <c r="BW412" s="486">
        <v>0</v>
      </c>
      <c r="BX412" s="487">
        <v>90672000</v>
      </c>
      <c r="BY412" s="486">
        <v>0</v>
      </c>
      <c r="BZ412" s="486">
        <v>0</v>
      </c>
      <c r="CA412" s="486">
        <v>0</v>
      </c>
      <c r="CB412" s="488">
        <v>0</v>
      </c>
      <c r="CC412" s="491">
        <v>90672000</v>
      </c>
      <c r="CD412" s="492">
        <v>362688000</v>
      </c>
      <c r="CE412" s="493">
        <f t="shared" si="29"/>
        <v>362688000</v>
      </c>
      <c r="CF412" s="493">
        <f t="shared" si="29"/>
        <v>0</v>
      </c>
      <c r="CG412" s="493">
        <f t="shared" si="29"/>
        <v>0</v>
      </c>
      <c r="CH412" s="493">
        <f t="shared" si="29"/>
        <v>0</v>
      </c>
      <c r="CI412" s="493">
        <f t="shared" si="26"/>
        <v>0</v>
      </c>
      <c r="CJ412" s="493">
        <f t="shared" si="26"/>
        <v>0</v>
      </c>
      <c r="CK412" s="493">
        <f t="shared" si="26"/>
        <v>0</v>
      </c>
      <c r="CL412" s="493">
        <f t="shared" si="26"/>
        <v>0</v>
      </c>
      <c r="CM412" s="493">
        <f t="shared" si="28"/>
        <v>0</v>
      </c>
      <c r="CN412" s="493">
        <f t="shared" si="28"/>
        <v>0</v>
      </c>
      <c r="CO412" s="493">
        <f t="shared" si="28"/>
        <v>0</v>
      </c>
    </row>
    <row r="413" spans="1:93" ht="30.45" hidden="1" customHeight="1">
      <c r="A413" s="555" t="s">
        <v>4223</v>
      </c>
      <c r="B413" s="479">
        <v>411</v>
      </c>
      <c r="C413" s="480" t="s">
        <v>6370</v>
      </c>
      <c r="D413" s="480" t="s">
        <v>4773</v>
      </c>
      <c r="E413" s="480" t="str">
        <f t="shared" si="27"/>
        <v xml:space="preserve">4.2.3 </v>
      </c>
      <c r="F413" s="480" t="s">
        <v>4793</v>
      </c>
      <c r="G413" s="480" t="s">
        <v>4794</v>
      </c>
      <c r="H413" s="481" t="s">
        <v>4314</v>
      </c>
      <c r="I413" s="480" t="s">
        <v>4796</v>
      </c>
      <c r="J413" s="495">
        <v>410102511</v>
      </c>
      <c r="K413" s="480" t="s">
        <v>6562</v>
      </c>
      <c r="L413" s="480" t="s">
        <v>4797</v>
      </c>
      <c r="M413" s="480" t="s">
        <v>6002</v>
      </c>
      <c r="N413" s="499">
        <v>32</v>
      </c>
      <c r="O413" s="480" t="s">
        <v>4798</v>
      </c>
      <c r="P413" s="515">
        <v>32</v>
      </c>
      <c r="Q413" s="485" t="s">
        <v>5349</v>
      </c>
      <c r="R413" s="485" t="s">
        <v>5551</v>
      </c>
      <c r="S413" s="485" t="s">
        <v>5552</v>
      </c>
      <c r="T413" s="485">
        <v>95</v>
      </c>
      <c r="U413" s="485" t="s">
        <v>5553</v>
      </c>
      <c r="V413" s="485">
        <v>100</v>
      </c>
      <c r="W413" s="485" t="s">
        <v>5357</v>
      </c>
      <c r="X413" s="485">
        <v>16</v>
      </c>
      <c r="Y413" s="485" t="s">
        <v>5355</v>
      </c>
      <c r="Z413" s="486">
        <v>14000000</v>
      </c>
      <c r="AA413" s="486">
        <v>0</v>
      </c>
      <c r="AB413" s="486">
        <v>0</v>
      </c>
      <c r="AC413" s="486">
        <v>0</v>
      </c>
      <c r="AD413" s="486">
        <v>0</v>
      </c>
      <c r="AE413" s="486">
        <v>0</v>
      </c>
      <c r="AF413" s="486">
        <v>0</v>
      </c>
      <c r="AG413" s="486">
        <v>0</v>
      </c>
      <c r="AH413" s="487">
        <v>14000000</v>
      </c>
      <c r="AI413" s="486">
        <v>0</v>
      </c>
      <c r="AJ413" s="486">
        <v>0</v>
      </c>
      <c r="AK413" s="486">
        <v>0</v>
      </c>
      <c r="AL413" s="488">
        <v>0</v>
      </c>
      <c r="AM413" s="489">
        <v>14000000</v>
      </c>
      <c r="AN413" s="486">
        <v>14000000</v>
      </c>
      <c r="AO413" s="486">
        <v>0</v>
      </c>
      <c r="AP413" s="486">
        <v>0</v>
      </c>
      <c r="AQ413" s="486">
        <v>0</v>
      </c>
      <c r="AR413" s="486">
        <v>0</v>
      </c>
      <c r="AS413" s="486">
        <v>0</v>
      </c>
      <c r="AT413" s="486">
        <v>0</v>
      </c>
      <c r="AU413" s="486">
        <v>0</v>
      </c>
      <c r="AV413" s="487">
        <v>14000000</v>
      </c>
      <c r="AW413" s="486">
        <v>0</v>
      </c>
      <c r="AX413" s="486">
        <v>0</v>
      </c>
      <c r="AY413" s="486">
        <v>0</v>
      </c>
      <c r="AZ413" s="488">
        <v>0</v>
      </c>
      <c r="BA413" s="490">
        <v>14000000</v>
      </c>
      <c r="BB413" s="486">
        <v>14000000</v>
      </c>
      <c r="BC413" s="486">
        <v>0</v>
      </c>
      <c r="BD413" s="486">
        <v>0</v>
      </c>
      <c r="BE413" s="486">
        <v>0</v>
      </c>
      <c r="BF413" s="486">
        <v>0</v>
      </c>
      <c r="BG413" s="486">
        <v>0</v>
      </c>
      <c r="BH413" s="486">
        <v>0</v>
      </c>
      <c r="BI413" s="486">
        <v>0</v>
      </c>
      <c r="BJ413" s="487">
        <v>14000000</v>
      </c>
      <c r="BK413" s="486">
        <v>0</v>
      </c>
      <c r="BL413" s="486">
        <v>0</v>
      </c>
      <c r="BM413" s="486">
        <v>0</v>
      </c>
      <c r="BN413" s="488">
        <v>0</v>
      </c>
      <c r="BO413" s="490">
        <v>14000000</v>
      </c>
      <c r="BP413" s="486">
        <v>14000000</v>
      </c>
      <c r="BQ413" s="486">
        <v>0</v>
      </c>
      <c r="BR413" s="486">
        <v>0</v>
      </c>
      <c r="BS413" s="486">
        <v>0</v>
      </c>
      <c r="BT413" s="486">
        <v>0</v>
      </c>
      <c r="BU413" s="486">
        <v>0</v>
      </c>
      <c r="BV413" s="486">
        <v>0</v>
      </c>
      <c r="BW413" s="486">
        <v>0</v>
      </c>
      <c r="BX413" s="487">
        <v>14000000</v>
      </c>
      <c r="BY413" s="486">
        <v>0</v>
      </c>
      <c r="BZ413" s="486">
        <v>0</v>
      </c>
      <c r="CA413" s="486">
        <v>0</v>
      </c>
      <c r="CB413" s="488">
        <v>0</v>
      </c>
      <c r="CC413" s="491">
        <v>14000000</v>
      </c>
      <c r="CD413" s="492">
        <v>56000000</v>
      </c>
      <c r="CE413" s="493">
        <f t="shared" si="29"/>
        <v>56000000</v>
      </c>
      <c r="CF413" s="493">
        <f t="shared" si="29"/>
        <v>0</v>
      </c>
      <c r="CG413" s="493">
        <f t="shared" si="29"/>
        <v>0</v>
      </c>
      <c r="CH413" s="493">
        <f t="shared" si="29"/>
        <v>0</v>
      </c>
      <c r="CI413" s="493">
        <f t="shared" si="26"/>
        <v>0</v>
      </c>
      <c r="CJ413" s="493">
        <f t="shared" si="26"/>
        <v>0</v>
      </c>
      <c r="CK413" s="493">
        <f t="shared" si="26"/>
        <v>0</v>
      </c>
      <c r="CL413" s="493">
        <f t="shared" si="26"/>
        <v>0</v>
      </c>
      <c r="CM413" s="493">
        <f t="shared" si="28"/>
        <v>0</v>
      </c>
      <c r="CN413" s="493">
        <f t="shared" si="28"/>
        <v>0</v>
      </c>
      <c r="CO413" s="493">
        <f t="shared" si="28"/>
        <v>0</v>
      </c>
    </row>
    <row r="414" spans="1:93" ht="30.45" hidden="1" customHeight="1">
      <c r="A414" s="555" t="s">
        <v>4223</v>
      </c>
      <c r="B414" s="479">
        <v>412</v>
      </c>
      <c r="C414" s="480" t="s">
        <v>6370</v>
      </c>
      <c r="D414" s="480" t="s">
        <v>4773</v>
      </c>
      <c r="E414" s="480" t="str">
        <f t="shared" si="27"/>
        <v xml:space="preserve">4.2.3 </v>
      </c>
      <c r="F414" s="480" t="s">
        <v>4793</v>
      </c>
      <c r="G414" s="480" t="s">
        <v>4794</v>
      </c>
      <c r="H414" s="481">
        <v>41</v>
      </c>
      <c r="I414" s="480" t="s">
        <v>4796</v>
      </c>
      <c r="J414" s="495">
        <v>410103800</v>
      </c>
      <c r="K414" s="480" t="s">
        <v>6592</v>
      </c>
      <c r="L414" s="480" t="s">
        <v>4799</v>
      </c>
      <c r="M414" s="480" t="s">
        <v>6003</v>
      </c>
      <c r="N414" s="499">
        <v>80</v>
      </c>
      <c r="O414" s="480" t="s">
        <v>4795</v>
      </c>
      <c r="P414" s="515">
        <v>80</v>
      </c>
      <c r="Q414" s="485" t="s">
        <v>5349</v>
      </c>
      <c r="R414" s="485" t="s">
        <v>5551</v>
      </c>
      <c r="S414" s="485" t="s">
        <v>5552</v>
      </c>
      <c r="T414" s="485">
        <v>95</v>
      </c>
      <c r="U414" s="485" t="s">
        <v>5553</v>
      </c>
      <c r="V414" s="485">
        <v>100</v>
      </c>
      <c r="W414" s="485" t="s">
        <v>5357</v>
      </c>
      <c r="X414" s="485">
        <v>16</v>
      </c>
      <c r="Y414" s="485" t="s">
        <v>5355</v>
      </c>
      <c r="Z414" s="486">
        <v>181344000</v>
      </c>
      <c r="AA414" s="486">
        <v>0</v>
      </c>
      <c r="AB414" s="486">
        <v>0</v>
      </c>
      <c r="AC414" s="486">
        <v>0</v>
      </c>
      <c r="AD414" s="486">
        <v>0</v>
      </c>
      <c r="AE414" s="486">
        <v>0</v>
      </c>
      <c r="AF414" s="486">
        <v>0</v>
      </c>
      <c r="AG414" s="486">
        <v>0</v>
      </c>
      <c r="AH414" s="487">
        <v>181344000</v>
      </c>
      <c r="AI414" s="486">
        <v>0</v>
      </c>
      <c r="AJ414" s="486">
        <v>0</v>
      </c>
      <c r="AK414" s="486">
        <v>0</v>
      </c>
      <c r="AL414" s="488">
        <v>0</v>
      </c>
      <c r="AM414" s="489">
        <v>181344000</v>
      </c>
      <c r="AN414" s="486">
        <v>181344000</v>
      </c>
      <c r="AO414" s="486">
        <v>0</v>
      </c>
      <c r="AP414" s="486">
        <v>0</v>
      </c>
      <c r="AQ414" s="486">
        <v>0</v>
      </c>
      <c r="AR414" s="486">
        <v>0</v>
      </c>
      <c r="AS414" s="486">
        <v>0</v>
      </c>
      <c r="AT414" s="486">
        <v>0</v>
      </c>
      <c r="AU414" s="486">
        <v>0</v>
      </c>
      <c r="AV414" s="487">
        <v>181344000</v>
      </c>
      <c r="AW414" s="486">
        <v>0</v>
      </c>
      <c r="AX414" s="486">
        <v>0</v>
      </c>
      <c r="AY414" s="486">
        <v>0</v>
      </c>
      <c r="AZ414" s="488">
        <v>0</v>
      </c>
      <c r="BA414" s="490">
        <v>181344000</v>
      </c>
      <c r="BB414" s="486">
        <v>181344000</v>
      </c>
      <c r="BC414" s="486">
        <v>0</v>
      </c>
      <c r="BD414" s="486">
        <v>0</v>
      </c>
      <c r="BE414" s="486">
        <v>0</v>
      </c>
      <c r="BF414" s="486">
        <v>0</v>
      </c>
      <c r="BG414" s="486">
        <v>0</v>
      </c>
      <c r="BH414" s="486">
        <v>0</v>
      </c>
      <c r="BI414" s="486">
        <v>0</v>
      </c>
      <c r="BJ414" s="487">
        <v>181344000</v>
      </c>
      <c r="BK414" s="486">
        <v>0</v>
      </c>
      <c r="BL414" s="486">
        <v>0</v>
      </c>
      <c r="BM414" s="486">
        <v>0</v>
      </c>
      <c r="BN414" s="488">
        <v>0</v>
      </c>
      <c r="BO414" s="490">
        <v>181344000</v>
      </c>
      <c r="BP414" s="486">
        <v>181344000</v>
      </c>
      <c r="BQ414" s="486">
        <v>0</v>
      </c>
      <c r="BR414" s="486">
        <v>0</v>
      </c>
      <c r="BS414" s="486">
        <v>0</v>
      </c>
      <c r="BT414" s="486">
        <v>0</v>
      </c>
      <c r="BU414" s="486">
        <v>0</v>
      </c>
      <c r="BV414" s="486">
        <v>0</v>
      </c>
      <c r="BW414" s="486">
        <v>0</v>
      </c>
      <c r="BX414" s="487">
        <v>181344000</v>
      </c>
      <c r="BY414" s="486">
        <v>0</v>
      </c>
      <c r="BZ414" s="486">
        <v>0</v>
      </c>
      <c r="CA414" s="486">
        <v>0</v>
      </c>
      <c r="CB414" s="488">
        <v>0</v>
      </c>
      <c r="CC414" s="491">
        <v>181344000</v>
      </c>
      <c r="CD414" s="492">
        <v>725376000</v>
      </c>
      <c r="CE414" s="493">
        <f t="shared" si="29"/>
        <v>725376000</v>
      </c>
      <c r="CF414" s="493">
        <f t="shared" si="29"/>
        <v>0</v>
      </c>
      <c r="CG414" s="493">
        <f t="shared" si="29"/>
        <v>0</v>
      </c>
      <c r="CH414" s="493">
        <f t="shared" si="29"/>
        <v>0</v>
      </c>
      <c r="CI414" s="493">
        <f t="shared" si="26"/>
        <v>0</v>
      </c>
      <c r="CJ414" s="493">
        <f t="shared" si="26"/>
        <v>0</v>
      </c>
      <c r="CK414" s="493">
        <f t="shared" si="26"/>
        <v>0</v>
      </c>
      <c r="CL414" s="493">
        <f t="shared" si="26"/>
        <v>0</v>
      </c>
      <c r="CM414" s="493">
        <f t="shared" si="28"/>
        <v>0</v>
      </c>
      <c r="CN414" s="493">
        <f t="shared" si="28"/>
        <v>0</v>
      </c>
      <c r="CO414" s="493">
        <f t="shared" si="28"/>
        <v>0</v>
      </c>
    </row>
    <row r="415" spans="1:93" ht="30.45" hidden="1" customHeight="1">
      <c r="A415" s="555" t="s">
        <v>4223</v>
      </c>
      <c r="B415" s="479">
        <v>413</v>
      </c>
      <c r="C415" s="480" t="s">
        <v>6370</v>
      </c>
      <c r="D415" s="480" t="s">
        <v>4773</v>
      </c>
      <c r="E415" s="480" t="str">
        <f t="shared" si="27"/>
        <v xml:space="preserve">4.2.3 </v>
      </c>
      <c r="F415" s="480" t="s">
        <v>4793</v>
      </c>
      <c r="G415" s="480" t="s">
        <v>4794</v>
      </c>
      <c r="H415" s="481">
        <v>41</v>
      </c>
      <c r="I415" s="480" t="s">
        <v>4796</v>
      </c>
      <c r="J415" s="495">
        <v>410106300</v>
      </c>
      <c r="K415" s="480" t="s">
        <v>6593</v>
      </c>
      <c r="L415" s="480" t="s">
        <v>4800</v>
      </c>
      <c r="M415" s="480" t="s">
        <v>6004</v>
      </c>
      <c r="N415" s="499">
        <v>1</v>
      </c>
      <c r="O415" s="480" t="s">
        <v>4801</v>
      </c>
      <c r="P415" s="515">
        <v>1</v>
      </c>
      <c r="Q415" s="485" t="s">
        <v>5349</v>
      </c>
      <c r="R415" s="485" t="s">
        <v>5551</v>
      </c>
      <c r="S415" s="485" t="s">
        <v>5552</v>
      </c>
      <c r="T415" s="485">
        <v>95</v>
      </c>
      <c r="U415" s="485" t="s">
        <v>5553</v>
      </c>
      <c r="V415" s="485">
        <v>100</v>
      </c>
      <c r="W415" s="485" t="s">
        <v>5357</v>
      </c>
      <c r="X415" s="485">
        <v>16</v>
      </c>
      <c r="Y415" s="485" t="s">
        <v>5355</v>
      </c>
      <c r="Z415" s="486">
        <v>136008000</v>
      </c>
      <c r="AA415" s="486">
        <v>0</v>
      </c>
      <c r="AB415" s="486">
        <v>0</v>
      </c>
      <c r="AC415" s="486">
        <v>0</v>
      </c>
      <c r="AD415" s="486">
        <v>0</v>
      </c>
      <c r="AE415" s="486">
        <v>0</v>
      </c>
      <c r="AF415" s="486">
        <v>0</v>
      </c>
      <c r="AG415" s="486">
        <v>0</v>
      </c>
      <c r="AH415" s="487">
        <v>136008000</v>
      </c>
      <c r="AI415" s="486">
        <v>0</v>
      </c>
      <c r="AJ415" s="486">
        <v>0</v>
      </c>
      <c r="AK415" s="486">
        <v>0</v>
      </c>
      <c r="AL415" s="488">
        <v>0</v>
      </c>
      <c r="AM415" s="489">
        <v>136008000</v>
      </c>
      <c r="AN415" s="486">
        <v>136008000</v>
      </c>
      <c r="AO415" s="486">
        <v>0</v>
      </c>
      <c r="AP415" s="486">
        <v>0</v>
      </c>
      <c r="AQ415" s="486">
        <v>0</v>
      </c>
      <c r="AR415" s="486">
        <v>0</v>
      </c>
      <c r="AS415" s="486">
        <v>0</v>
      </c>
      <c r="AT415" s="486">
        <v>0</v>
      </c>
      <c r="AU415" s="486">
        <v>0</v>
      </c>
      <c r="AV415" s="487">
        <v>136008000</v>
      </c>
      <c r="AW415" s="486">
        <v>0</v>
      </c>
      <c r="AX415" s="486">
        <v>0</v>
      </c>
      <c r="AY415" s="486">
        <v>0</v>
      </c>
      <c r="AZ415" s="488">
        <v>0</v>
      </c>
      <c r="BA415" s="490">
        <v>136008000</v>
      </c>
      <c r="BB415" s="486">
        <v>197155839.97999999</v>
      </c>
      <c r="BC415" s="486">
        <v>0</v>
      </c>
      <c r="BD415" s="486">
        <v>0</v>
      </c>
      <c r="BE415" s="486">
        <v>0</v>
      </c>
      <c r="BF415" s="486">
        <v>0</v>
      </c>
      <c r="BG415" s="486">
        <v>0</v>
      </c>
      <c r="BH415" s="486">
        <v>0</v>
      </c>
      <c r="BI415" s="486">
        <v>0</v>
      </c>
      <c r="BJ415" s="487">
        <v>197155839.97999999</v>
      </c>
      <c r="BK415" s="486">
        <v>0</v>
      </c>
      <c r="BL415" s="486">
        <v>0</v>
      </c>
      <c r="BM415" s="486">
        <v>0</v>
      </c>
      <c r="BN415" s="488">
        <v>0</v>
      </c>
      <c r="BO415" s="490">
        <v>197155839.97999999</v>
      </c>
      <c r="BP415" s="486">
        <v>197155839.97999999</v>
      </c>
      <c r="BQ415" s="486">
        <v>0</v>
      </c>
      <c r="BR415" s="486">
        <v>0</v>
      </c>
      <c r="BS415" s="486">
        <v>0</v>
      </c>
      <c r="BT415" s="486">
        <v>0</v>
      </c>
      <c r="BU415" s="486">
        <v>0</v>
      </c>
      <c r="BV415" s="486">
        <v>0</v>
      </c>
      <c r="BW415" s="486">
        <v>0</v>
      </c>
      <c r="BX415" s="487">
        <v>197155839.97999999</v>
      </c>
      <c r="BY415" s="486">
        <v>0</v>
      </c>
      <c r="BZ415" s="486">
        <v>0</v>
      </c>
      <c r="CA415" s="486">
        <v>0</v>
      </c>
      <c r="CB415" s="488">
        <v>0</v>
      </c>
      <c r="CC415" s="491">
        <v>197155839.97999999</v>
      </c>
      <c r="CD415" s="492">
        <v>666327679.96000004</v>
      </c>
      <c r="CE415" s="493">
        <f t="shared" si="29"/>
        <v>666327679.96000004</v>
      </c>
      <c r="CF415" s="493">
        <f t="shared" si="29"/>
        <v>0</v>
      </c>
      <c r="CG415" s="493">
        <f t="shared" si="29"/>
        <v>0</v>
      </c>
      <c r="CH415" s="493">
        <f t="shared" si="29"/>
        <v>0</v>
      </c>
      <c r="CI415" s="493">
        <f t="shared" si="26"/>
        <v>0</v>
      </c>
      <c r="CJ415" s="493">
        <f t="shared" si="26"/>
        <v>0</v>
      </c>
      <c r="CK415" s="493">
        <f t="shared" si="26"/>
        <v>0</v>
      </c>
      <c r="CL415" s="493">
        <f t="shared" si="26"/>
        <v>0</v>
      </c>
      <c r="CM415" s="493">
        <f t="shared" si="28"/>
        <v>0</v>
      </c>
      <c r="CN415" s="493">
        <f t="shared" si="28"/>
        <v>0</v>
      </c>
      <c r="CO415" s="493">
        <f t="shared" si="28"/>
        <v>0</v>
      </c>
    </row>
    <row r="416" spans="1:93" ht="30.45" hidden="1" customHeight="1">
      <c r="A416" s="555" t="s">
        <v>4254</v>
      </c>
      <c r="B416" s="479">
        <v>414</v>
      </c>
      <c r="C416" s="480" t="s">
        <v>6370</v>
      </c>
      <c r="D416" s="480" t="s">
        <v>4802</v>
      </c>
      <c r="E416" s="480" t="str">
        <f t="shared" si="27"/>
        <v xml:space="preserve">4.3.1 </v>
      </c>
      <c r="F416" s="480" t="s">
        <v>4803</v>
      </c>
      <c r="G416" s="480" t="s">
        <v>4804</v>
      </c>
      <c r="H416" s="481">
        <v>40</v>
      </c>
      <c r="I416" s="480" t="s">
        <v>4250</v>
      </c>
      <c r="J416" s="495">
        <v>400301500</v>
      </c>
      <c r="K416" s="480" t="s">
        <v>6594</v>
      </c>
      <c r="L416" s="480" t="s">
        <v>4805</v>
      </c>
      <c r="M416" s="480" t="s">
        <v>6005</v>
      </c>
      <c r="N416" s="499">
        <v>524</v>
      </c>
      <c r="O416" s="480" t="s">
        <v>4806</v>
      </c>
      <c r="P416" s="515">
        <v>544</v>
      </c>
      <c r="Q416" s="485">
        <v>30010004</v>
      </c>
      <c r="R416" s="485" t="s">
        <v>5554</v>
      </c>
      <c r="S416" s="485" t="s">
        <v>677</v>
      </c>
      <c r="T416" s="485">
        <v>0.79</v>
      </c>
      <c r="U416" s="485" t="s">
        <v>5555</v>
      </c>
      <c r="V416" s="485">
        <v>0.8</v>
      </c>
      <c r="W416" s="485" t="s">
        <v>5357</v>
      </c>
      <c r="X416" s="485" t="s">
        <v>5556</v>
      </c>
      <c r="Y416" s="485" t="s">
        <v>5556</v>
      </c>
      <c r="Z416" s="486">
        <v>0</v>
      </c>
      <c r="AA416" s="486">
        <v>0</v>
      </c>
      <c r="AB416" s="486">
        <v>0</v>
      </c>
      <c r="AC416" s="486">
        <v>0</v>
      </c>
      <c r="AD416" s="486">
        <v>1096954000</v>
      </c>
      <c r="AE416" s="486">
        <v>0</v>
      </c>
      <c r="AF416" s="486">
        <v>0</v>
      </c>
      <c r="AG416" s="486">
        <v>0</v>
      </c>
      <c r="AH416" s="487">
        <v>1096954000</v>
      </c>
      <c r="AI416" s="486">
        <v>1000000000</v>
      </c>
      <c r="AJ416" s="486">
        <v>5000000000</v>
      </c>
      <c r="AK416" s="486"/>
      <c r="AL416" s="488">
        <v>6000000000</v>
      </c>
      <c r="AM416" s="489">
        <v>7096954000</v>
      </c>
      <c r="AN416" s="486">
        <v>0</v>
      </c>
      <c r="AO416" s="486">
        <v>0</v>
      </c>
      <c r="AP416" s="486">
        <v>0</v>
      </c>
      <c r="AQ416" s="486">
        <v>0</v>
      </c>
      <c r="AR416" s="486">
        <v>1000000000</v>
      </c>
      <c r="AS416" s="486">
        <v>0</v>
      </c>
      <c r="AT416" s="486">
        <v>0</v>
      </c>
      <c r="AU416" s="486">
        <v>0</v>
      </c>
      <c r="AV416" s="487">
        <v>1000000000</v>
      </c>
      <c r="AW416" s="486">
        <v>1000000000</v>
      </c>
      <c r="AX416" s="486">
        <v>5000000000</v>
      </c>
      <c r="AY416" s="486"/>
      <c r="AZ416" s="488">
        <v>6000000000</v>
      </c>
      <c r="BA416" s="490">
        <v>7000000000</v>
      </c>
      <c r="BB416" s="486">
        <v>0</v>
      </c>
      <c r="BC416" s="486">
        <v>0</v>
      </c>
      <c r="BD416" s="486">
        <v>0</v>
      </c>
      <c r="BE416" s="486">
        <v>0</v>
      </c>
      <c r="BF416" s="486">
        <v>1000000000</v>
      </c>
      <c r="BG416" s="486">
        <v>0</v>
      </c>
      <c r="BH416" s="486">
        <v>0</v>
      </c>
      <c r="BI416" s="486">
        <v>0</v>
      </c>
      <c r="BJ416" s="487">
        <v>1000000000</v>
      </c>
      <c r="BK416" s="486">
        <v>1000000000</v>
      </c>
      <c r="BL416" s="486">
        <v>5000000000</v>
      </c>
      <c r="BM416" s="486"/>
      <c r="BN416" s="488">
        <v>6000000000</v>
      </c>
      <c r="BO416" s="490">
        <v>7000000000</v>
      </c>
      <c r="BP416" s="486">
        <v>0</v>
      </c>
      <c r="BQ416" s="486">
        <v>0</v>
      </c>
      <c r="BR416" s="486">
        <v>0</v>
      </c>
      <c r="BS416" s="486">
        <v>0</v>
      </c>
      <c r="BT416" s="486">
        <v>1000000000</v>
      </c>
      <c r="BU416" s="486">
        <v>0</v>
      </c>
      <c r="BV416" s="486">
        <v>0</v>
      </c>
      <c r="BW416" s="486">
        <v>0</v>
      </c>
      <c r="BX416" s="487">
        <v>1000000000</v>
      </c>
      <c r="BY416" s="486"/>
      <c r="BZ416" s="486">
        <v>5000000000</v>
      </c>
      <c r="CA416" s="486"/>
      <c r="CB416" s="488">
        <v>5000000000</v>
      </c>
      <c r="CC416" s="491">
        <v>6000000000</v>
      </c>
      <c r="CD416" s="492">
        <v>27096954000</v>
      </c>
      <c r="CE416" s="493">
        <f t="shared" si="29"/>
        <v>0</v>
      </c>
      <c r="CF416" s="493">
        <f t="shared" si="29"/>
        <v>0</v>
      </c>
      <c r="CG416" s="493">
        <f t="shared" si="29"/>
        <v>0</v>
      </c>
      <c r="CH416" s="493">
        <f t="shared" si="29"/>
        <v>0</v>
      </c>
      <c r="CI416" s="493">
        <f t="shared" si="26"/>
        <v>4096954000</v>
      </c>
      <c r="CJ416" s="493">
        <f t="shared" si="26"/>
        <v>0</v>
      </c>
      <c r="CK416" s="493">
        <f t="shared" si="26"/>
        <v>0</v>
      </c>
      <c r="CL416" s="493">
        <f t="shared" si="26"/>
        <v>0</v>
      </c>
      <c r="CM416" s="493">
        <f t="shared" si="28"/>
        <v>3000000000</v>
      </c>
      <c r="CN416" s="493">
        <f t="shared" si="28"/>
        <v>20000000000</v>
      </c>
      <c r="CO416" s="493">
        <f t="shared" si="28"/>
        <v>0</v>
      </c>
    </row>
    <row r="417" spans="1:93" ht="30.45" hidden="1" customHeight="1">
      <c r="A417" s="555" t="s">
        <v>4254</v>
      </c>
      <c r="B417" s="479">
        <v>415</v>
      </c>
      <c r="C417" s="480" t="s">
        <v>6370</v>
      </c>
      <c r="D417" s="480" t="s">
        <v>4802</v>
      </c>
      <c r="E417" s="480" t="str">
        <f t="shared" si="27"/>
        <v xml:space="preserve">4.3.1 </v>
      </c>
      <c r="F417" s="480" t="s">
        <v>4803</v>
      </c>
      <c r="G417" s="480" t="s">
        <v>4804</v>
      </c>
      <c r="H417" s="481">
        <v>40</v>
      </c>
      <c r="I417" s="480" t="s">
        <v>4250</v>
      </c>
      <c r="J417" s="495">
        <v>400301700</v>
      </c>
      <c r="K417" s="480" t="s">
        <v>6594</v>
      </c>
      <c r="L417" s="480" t="s">
        <v>4807</v>
      </c>
      <c r="M417" s="480" t="s">
        <v>6006</v>
      </c>
      <c r="N417" s="499">
        <v>524</v>
      </c>
      <c r="O417" s="480" t="s">
        <v>4808</v>
      </c>
      <c r="P417" s="515">
        <v>554</v>
      </c>
      <c r="Q417" s="485">
        <v>30010004</v>
      </c>
      <c r="R417" s="485" t="s">
        <v>5554</v>
      </c>
      <c r="S417" s="485" t="s">
        <v>677</v>
      </c>
      <c r="T417" s="485">
        <v>0.79</v>
      </c>
      <c r="U417" s="485" t="s">
        <v>5555</v>
      </c>
      <c r="V417" s="485">
        <v>0.8</v>
      </c>
      <c r="W417" s="485" t="s">
        <v>5357</v>
      </c>
      <c r="X417" s="485" t="s">
        <v>5556</v>
      </c>
      <c r="Y417" s="485" t="s">
        <v>5556</v>
      </c>
      <c r="Z417" s="486">
        <v>0</v>
      </c>
      <c r="AA417" s="486">
        <v>0</v>
      </c>
      <c r="AB417" s="486">
        <v>0</v>
      </c>
      <c r="AC417" s="486">
        <v>0</v>
      </c>
      <c r="AD417" s="486">
        <v>1000000000</v>
      </c>
      <c r="AE417" s="486">
        <v>0</v>
      </c>
      <c r="AF417" s="486">
        <v>0</v>
      </c>
      <c r="AG417" s="486">
        <v>0</v>
      </c>
      <c r="AH417" s="487">
        <v>1000000000</v>
      </c>
      <c r="AI417" s="486"/>
      <c r="AJ417" s="486">
        <v>1000000000</v>
      </c>
      <c r="AK417" s="486"/>
      <c r="AL417" s="488">
        <v>1000000000</v>
      </c>
      <c r="AM417" s="489">
        <v>2000000000</v>
      </c>
      <c r="AN417" s="486">
        <v>0</v>
      </c>
      <c r="AO417" s="486">
        <v>0</v>
      </c>
      <c r="AP417" s="486">
        <v>0</v>
      </c>
      <c r="AQ417" s="486">
        <v>0</v>
      </c>
      <c r="AR417" s="486">
        <v>1000000000</v>
      </c>
      <c r="AS417" s="486">
        <v>0</v>
      </c>
      <c r="AT417" s="486">
        <v>0</v>
      </c>
      <c r="AU417" s="486">
        <v>0</v>
      </c>
      <c r="AV417" s="487">
        <v>1000000000</v>
      </c>
      <c r="AW417" s="486"/>
      <c r="AX417" s="486">
        <v>1000000000</v>
      </c>
      <c r="AY417" s="486"/>
      <c r="AZ417" s="488">
        <v>1000000000</v>
      </c>
      <c r="BA417" s="490">
        <v>2000000000</v>
      </c>
      <c r="BB417" s="486">
        <v>0</v>
      </c>
      <c r="BC417" s="486">
        <v>0</v>
      </c>
      <c r="BD417" s="486">
        <v>0</v>
      </c>
      <c r="BE417" s="486">
        <v>0</v>
      </c>
      <c r="BF417" s="486">
        <v>1000000000</v>
      </c>
      <c r="BG417" s="486">
        <v>0</v>
      </c>
      <c r="BH417" s="486">
        <v>0</v>
      </c>
      <c r="BI417" s="486">
        <v>0</v>
      </c>
      <c r="BJ417" s="487">
        <v>1000000000</v>
      </c>
      <c r="BK417" s="486"/>
      <c r="BL417" s="486">
        <v>1000000000</v>
      </c>
      <c r="BM417" s="486"/>
      <c r="BN417" s="488">
        <v>1000000000</v>
      </c>
      <c r="BO417" s="490">
        <v>2000000000</v>
      </c>
      <c r="BP417" s="486">
        <v>0</v>
      </c>
      <c r="BQ417" s="486">
        <v>0</v>
      </c>
      <c r="BR417" s="486">
        <v>0</v>
      </c>
      <c r="BS417" s="486">
        <v>0</v>
      </c>
      <c r="BT417" s="486">
        <v>1084065447</v>
      </c>
      <c r="BU417" s="486">
        <v>0</v>
      </c>
      <c r="BV417" s="486">
        <v>0</v>
      </c>
      <c r="BW417" s="486">
        <v>0</v>
      </c>
      <c r="BX417" s="487">
        <v>1084065447</v>
      </c>
      <c r="BY417" s="486">
        <v>1000000000</v>
      </c>
      <c r="BZ417" s="486">
        <v>1000000000</v>
      </c>
      <c r="CA417" s="486"/>
      <c r="CB417" s="488">
        <v>2000000000</v>
      </c>
      <c r="CC417" s="491">
        <v>3084065447</v>
      </c>
      <c r="CD417" s="492">
        <v>9084065447</v>
      </c>
      <c r="CE417" s="493">
        <f t="shared" si="29"/>
        <v>0</v>
      </c>
      <c r="CF417" s="493">
        <f t="shared" si="29"/>
        <v>0</v>
      </c>
      <c r="CG417" s="493">
        <f t="shared" si="29"/>
        <v>0</v>
      </c>
      <c r="CH417" s="493">
        <f t="shared" si="29"/>
        <v>0</v>
      </c>
      <c r="CI417" s="493">
        <f t="shared" si="26"/>
        <v>4084065447</v>
      </c>
      <c r="CJ417" s="493">
        <f t="shared" si="26"/>
        <v>0</v>
      </c>
      <c r="CK417" s="493">
        <f t="shared" si="26"/>
        <v>0</v>
      </c>
      <c r="CL417" s="493">
        <f t="shared" si="26"/>
        <v>0</v>
      </c>
      <c r="CM417" s="493">
        <f t="shared" si="28"/>
        <v>1000000000</v>
      </c>
      <c r="CN417" s="493">
        <f t="shared" si="28"/>
        <v>4000000000</v>
      </c>
      <c r="CO417" s="493">
        <f t="shared" si="28"/>
        <v>0</v>
      </c>
    </row>
    <row r="418" spans="1:93" ht="30.45" hidden="1" customHeight="1">
      <c r="A418" s="555" t="s">
        <v>4254</v>
      </c>
      <c r="B418" s="479">
        <v>416</v>
      </c>
      <c r="C418" s="480" t="s">
        <v>6370</v>
      </c>
      <c r="D418" s="480" t="s">
        <v>4802</v>
      </c>
      <c r="E418" s="480" t="str">
        <f t="shared" si="27"/>
        <v xml:space="preserve">4.3.1 </v>
      </c>
      <c r="F418" s="480" t="s">
        <v>4803</v>
      </c>
      <c r="G418" s="480" t="s">
        <v>4804</v>
      </c>
      <c r="H418" s="481">
        <v>40</v>
      </c>
      <c r="I418" s="480" t="s">
        <v>4898</v>
      </c>
      <c r="J418" s="495">
        <v>400103000</v>
      </c>
      <c r="K418" s="480" t="s">
        <v>4809</v>
      </c>
      <c r="L418" s="480" t="s">
        <v>4810</v>
      </c>
      <c r="M418" s="480" t="s">
        <v>6007</v>
      </c>
      <c r="N418" s="499">
        <v>20</v>
      </c>
      <c r="O418" s="480" t="s">
        <v>4808</v>
      </c>
      <c r="P418" s="515">
        <v>30</v>
      </c>
      <c r="Q418" s="485">
        <v>30010004</v>
      </c>
      <c r="R418" s="485" t="s">
        <v>5554</v>
      </c>
      <c r="S418" s="485" t="s">
        <v>677</v>
      </c>
      <c r="T418" s="485">
        <v>0.79</v>
      </c>
      <c r="U418" s="485" t="s">
        <v>5555</v>
      </c>
      <c r="V418" s="485">
        <v>0.8</v>
      </c>
      <c r="W418" s="485" t="s">
        <v>5357</v>
      </c>
      <c r="X418" s="485" t="s">
        <v>5556</v>
      </c>
      <c r="Y418" s="485" t="s">
        <v>5556</v>
      </c>
      <c r="Z418" s="486">
        <v>0</v>
      </c>
      <c r="AA418" s="486">
        <v>0</v>
      </c>
      <c r="AB418" s="486">
        <v>0</v>
      </c>
      <c r="AC418" s="486">
        <v>0</v>
      </c>
      <c r="AD418" s="486">
        <v>300000000</v>
      </c>
      <c r="AE418" s="486">
        <v>0</v>
      </c>
      <c r="AF418" s="486">
        <v>0</v>
      </c>
      <c r="AG418" s="486">
        <v>0</v>
      </c>
      <c r="AH418" s="487">
        <v>300000000</v>
      </c>
      <c r="AI418" s="486"/>
      <c r="AJ418" s="486"/>
      <c r="AK418" s="486"/>
      <c r="AL418" s="488">
        <v>0</v>
      </c>
      <c r="AM418" s="489">
        <v>300000000</v>
      </c>
      <c r="AN418" s="486">
        <v>0</v>
      </c>
      <c r="AO418" s="486">
        <v>0</v>
      </c>
      <c r="AP418" s="486">
        <v>0</v>
      </c>
      <c r="AQ418" s="486">
        <v>0</v>
      </c>
      <c r="AR418" s="486">
        <v>500000000</v>
      </c>
      <c r="AS418" s="486">
        <v>0</v>
      </c>
      <c r="AT418" s="486">
        <v>0</v>
      </c>
      <c r="AU418" s="486">
        <v>0</v>
      </c>
      <c r="AV418" s="487">
        <v>500000000</v>
      </c>
      <c r="AW418" s="486"/>
      <c r="AX418" s="486"/>
      <c r="AY418" s="486"/>
      <c r="AZ418" s="488">
        <v>0</v>
      </c>
      <c r="BA418" s="490">
        <v>500000000</v>
      </c>
      <c r="BB418" s="486">
        <v>0</v>
      </c>
      <c r="BC418" s="486">
        <v>0</v>
      </c>
      <c r="BD418" s="486">
        <v>0</v>
      </c>
      <c r="BE418" s="486">
        <v>0</v>
      </c>
      <c r="BF418" s="486">
        <v>500000000</v>
      </c>
      <c r="BG418" s="486">
        <v>0</v>
      </c>
      <c r="BH418" s="486">
        <v>0</v>
      </c>
      <c r="BI418" s="486">
        <v>0</v>
      </c>
      <c r="BJ418" s="487">
        <v>500000000</v>
      </c>
      <c r="BK418" s="486"/>
      <c r="BL418" s="486"/>
      <c r="BM418" s="486"/>
      <c r="BN418" s="488">
        <v>0</v>
      </c>
      <c r="BO418" s="490">
        <v>500000000</v>
      </c>
      <c r="BP418" s="486">
        <v>0</v>
      </c>
      <c r="BQ418" s="486">
        <v>0</v>
      </c>
      <c r="BR418" s="486">
        <v>0</v>
      </c>
      <c r="BS418" s="486">
        <v>0</v>
      </c>
      <c r="BT418" s="486">
        <v>500000000</v>
      </c>
      <c r="BU418" s="486">
        <v>0</v>
      </c>
      <c r="BV418" s="486">
        <v>0</v>
      </c>
      <c r="BW418" s="486">
        <v>0</v>
      </c>
      <c r="BX418" s="487">
        <v>500000000</v>
      </c>
      <c r="BY418" s="486"/>
      <c r="BZ418" s="486"/>
      <c r="CA418" s="486"/>
      <c r="CB418" s="488">
        <v>0</v>
      </c>
      <c r="CC418" s="491">
        <v>500000000</v>
      </c>
      <c r="CD418" s="492">
        <v>1800000000</v>
      </c>
      <c r="CE418" s="493">
        <f t="shared" si="29"/>
        <v>0</v>
      </c>
      <c r="CF418" s="493">
        <f t="shared" si="29"/>
        <v>0</v>
      </c>
      <c r="CG418" s="493">
        <f t="shared" si="29"/>
        <v>0</v>
      </c>
      <c r="CH418" s="493">
        <f t="shared" si="29"/>
        <v>0</v>
      </c>
      <c r="CI418" s="493">
        <f t="shared" si="26"/>
        <v>1800000000</v>
      </c>
      <c r="CJ418" s="493">
        <f t="shared" si="26"/>
        <v>0</v>
      </c>
      <c r="CK418" s="493">
        <f t="shared" si="26"/>
        <v>0</v>
      </c>
      <c r="CL418" s="493">
        <f t="shared" si="26"/>
        <v>0</v>
      </c>
      <c r="CM418" s="493">
        <f t="shared" si="28"/>
        <v>0</v>
      </c>
      <c r="CN418" s="493">
        <f t="shared" si="28"/>
        <v>0</v>
      </c>
      <c r="CO418" s="493">
        <f t="shared" si="28"/>
        <v>0</v>
      </c>
    </row>
    <row r="419" spans="1:93" ht="30.45" hidden="1" customHeight="1">
      <c r="A419" s="555" t="s">
        <v>2461</v>
      </c>
      <c r="B419" s="479">
        <v>417</v>
      </c>
      <c r="C419" s="480" t="s">
        <v>6370</v>
      </c>
      <c r="D419" s="480" t="s">
        <v>4802</v>
      </c>
      <c r="E419" s="480" t="str">
        <f t="shared" si="27"/>
        <v xml:space="preserve">4.3.2 </v>
      </c>
      <c r="F419" s="480" t="s">
        <v>4811</v>
      </c>
      <c r="G419" s="480" t="s">
        <v>4812</v>
      </c>
      <c r="H419" s="481">
        <v>43</v>
      </c>
      <c r="I419" s="480" t="s">
        <v>4776</v>
      </c>
      <c r="J419" s="495">
        <v>430100400</v>
      </c>
      <c r="K419" s="480" t="s">
        <v>4813</v>
      </c>
      <c r="L419" s="480" t="s">
        <v>4814</v>
      </c>
      <c r="M419" s="480" t="s">
        <v>6008</v>
      </c>
      <c r="N419" s="499">
        <v>8</v>
      </c>
      <c r="O419" s="480" t="s">
        <v>4815</v>
      </c>
      <c r="P419" s="515" t="s">
        <v>6595</v>
      </c>
      <c r="Q419" s="485" t="s">
        <v>5349</v>
      </c>
      <c r="R419" s="485" t="s">
        <v>5557</v>
      </c>
      <c r="S419" s="485" t="s">
        <v>5558</v>
      </c>
      <c r="T419" s="485">
        <v>8</v>
      </c>
      <c r="U419" s="485" t="s">
        <v>4815</v>
      </c>
      <c r="V419" s="485">
        <v>9</v>
      </c>
      <c r="W419" s="485" t="s">
        <v>5548</v>
      </c>
      <c r="X419" s="485">
        <v>11</v>
      </c>
      <c r="Y419" s="485" t="s">
        <v>5559</v>
      </c>
      <c r="Z419" s="486">
        <v>2060000000</v>
      </c>
      <c r="AA419" s="486">
        <v>0</v>
      </c>
      <c r="AB419" s="486">
        <v>0</v>
      </c>
      <c r="AC419" s="486">
        <v>0</v>
      </c>
      <c r="AD419" s="486">
        <v>0</v>
      </c>
      <c r="AE419" s="486">
        <v>250000000</v>
      </c>
      <c r="AF419" s="486"/>
      <c r="AG419" s="486">
        <v>0</v>
      </c>
      <c r="AH419" s="487">
        <v>2310000000</v>
      </c>
      <c r="AI419" s="486"/>
      <c r="AJ419" s="486"/>
      <c r="AK419" s="486"/>
      <c r="AL419" s="488">
        <v>0</v>
      </c>
      <c r="AM419" s="489">
        <v>2310000000</v>
      </c>
      <c r="AN419" s="486">
        <v>2142400000</v>
      </c>
      <c r="AO419" s="486">
        <v>0</v>
      </c>
      <c r="AP419" s="486">
        <v>0</v>
      </c>
      <c r="AQ419" s="486">
        <v>0</v>
      </c>
      <c r="AR419" s="486">
        <v>0</v>
      </c>
      <c r="AS419" s="486">
        <v>260000000</v>
      </c>
      <c r="AT419" s="486"/>
      <c r="AU419" s="486">
        <v>0</v>
      </c>
      <c r="AV419" s="487">
        <v>2402400000</v>
      </c>
      <c r="AW419" s="486">
        <v>29300000000</v>
      </c>
      <c r="AX419" s="486"/>
      <c r="AY419" s="486"/>
      <c r="AZ419" s="488">
        <v>29300000000</v>
      </c>
      <c r="BA419" s="490">
        <v>31702400000</v>
      </c>
      <c r="BB419" s="486">
        <v>2228096000</v>
      </c>
      <c r="BC419" s="486">
        <v>0</v>
      </c>
      <c r="BD419" s="486">
        <v>0</v>
      </c>
      <c r="BE419" s="486">
        <v>0</v>
      </c>
      <c r="BF419" s="486">
        <v>0</v>
      </c>
      <c r="BG419" s="486">
        <v>280900000</v>
      </c>
      <c r="BH419" s="486"/>
      <c r="BI419" s="486">
        <v>0</v>
      </c>
      <c r="BJ419" s="487">
        <v>2508996000</v>
      </c>
      <c r="BK419" s="486"/>
      <c r="BL419" s="486"/>
      <c r="BM419" s="486">
        <v>4000000000</v>
      </c>
      <c r="BN419" s="488">
        <v>4000000000</v>
      </c>
      <c r="BO419" s="490">
        <v>6508996000</v>
      </c>
      <c r="BP419" s="486">
        <v>2317219840</v>
      </c>
      <c r="BQ419" s="486">
        <v>0</v>
      </c>
      <c r="BR419" s="486">
        <v>0</v>
      </c>
      <c r="BS419" s="486">
        <v>0</v>
      </c>
      <c r="BT419" s="486">
        <v>0</v>
      </c>
      <c r="BU419" s="486">
        <v>297754000</v>
      </c>
      <c r="BV419" s="486">
        <v>0</v>
      </c>
      <c r="BW419" s="486">
        <v>0</v>
      </c>
      <c r="BX419" s="487">
        <v>2614973840</v>
      </c>
      <c r="BY419" s="486"/>
      <c r="BZ419" s="486"/>
      <c r="CA419" s="486"/>
      <c r="CB419" s="488">
        <v>0</v>
      </c>
      <c r="CC419" s="491">
        <v>2614973840</v>
      </c>
      <c r="CD419" s="492">
        <v>43136369840</v>
      </c>
      <c r="CE419" s="493">
        <f t="shared" si="29"/>
        <v>8747715840</v>
      </c>
      <c r="CF419" s="493">
        <f t="shared" si="29"/>
        <v>0</v>
      </c>
      <c r="CG419" s="493">
        <f t="shared" si="29"/>
        <v>0</v>
      </c>
      <c r="CH419" s="493">
        <f t="shared" si="29"/>
        <v>0</v>
      </c>
      <c r="CI419" s="493">
        <f t="shared" si="26"/>
        <v>0</v>
      </c>
      <c r="CJ419" s="493">
        <f t="shared" si="26"/>
        <v>1088654000</v>
      </c>
      <c r="CK419" s="493">
        <f t="shared" si="26"/>
        <v>0</v>
      </c>
      <c r="CL419" s="493">
        <f t="shared" si="26"/>
        <v>0</v>
      </c>
      <c r="CM419" s="493">
        <f t="shared" si="28"/>
        <v>29300000000</v>
      </c>
      <c r="CN419" s="493">
        <f t="shared" si="28"/>
        <v>0</v>
      </c>
      <c r="CO419" s="493">
        <f t="shared" si="28"/>
        <v>4000000000</v>
      </c>
    </row>
    <row r="420" spans="1:93" ht="30.45" hidden="1" customHeight="1">
      <c r="A420" s="555" t="s">
        <v>2461</v>
      </c>
      <c r="B420" s="479">
        <v>418</v>
      </c>
      <c r="C420" s="480" t="s">
        <v>6370</v>
      </c>
      <c r="D420" s="480" t="s">
        <v>4802</v>
      </c>
      <c r="E420" s="480" t="str">
        <f t="shared" si="27"/>
        <v xml:space="preserve">4.3.2 </v>
      </c>
      <c r="F420" s="480" t="s">
        <v>4811</v>
      </c>
      <c r="G420" s="480" t="s">
        <v>4812</v>
      </c>
      <c r="H420" s="481">
        <v>43</v>
      </c>
      <c r="I420" s="480" t="s">
        <v>4776</v>
      </c>
      <c r="J420" s="495">
        <v>430101400</v>
      </c>
      <c r="K420" s="480" t="s">
        <v>4816</v>
      </c>
      <c r="L420" s="480" t="s">
        <v>4817</v>
      </c>
      <c r="M420" s="480" t="s">
        <v>6009</v>
      </c>
      <c r="N420" s="499">
        <v>40</v>
      </c>
      <c r="O420" s="480" t="s">
        <v>4818</v>
      </c>
      <c r="P420" s="515">
        <v>70</v>
      </c>
      <c r="Q420" s="485" t="s">
        <v>5349</v>
      </c>
      <c r="R420" s="485" t="s">
        <v>5557</v>
      </c>
      <c r="S420" s="485" t="s">
        <v>5558</v>
      </c>
      <c r="T420" s="485">
        <v>8</v>
      </c>
      <c r="U420" s="485" t="s">
        <v>4815</v>
      </c>
      <c r="V420" s="485">
        <v>9</v>
      </c>
      <c r="W420" s="485" t="s">
        <v>5548</v>
      </c>
      <c r="X420" s="485">
        <v>11</v>
      </c>
      <c r="Y420" s="485" t="s">
        <v>5559</v>
      </c>
      <c r="Z420" s="486">
        <v>0</v>
      </c>
      <c r="AA420" s="486">
        <v>0</v>
      </c>
      <c r="AB420" s="486">
        <v>0</v>
      </c>
      <c r="AC420" s="486">
        <v>0</v>
      </c>
      <c r="AD420" s="486">
        <v>0</v>
      </c>
      <c r="AE420" s="486">
        <v>0</v>
      </c>
      <c r="AF420" s="486"/>
      <c r="AG420" s="486">
        <v>0</v>
      </c>
      <c r="AH420" s="487">
        <v>0</v>
      </c>
      <c r="AI420" s="486"/>
      <c r="AJ420" s="486"/>
      <c r="AK420" s="486"/>
      <c r="AL420" s="488">
        <v>0</v>
      </c>
      <c r="AM420" s="489">
        <v>0</v>
      </c>
      <c r="AN420" s="486">
        <v>0</v>
      </c>
      <c r="AO420" s="486">
        <v>0</v>
      </c>
      <c r="AP420" s="486">
        <v>0</v>
      </c>
      <c r="AQ420" s="486">
        <v>0</v>
      </c>
      <c r="AR420" s="486">
        <v>0</v>
      </c>
      <c r="AS420" s="486">
        <v>0</v>
      </c>
      <c r="AT420" s="486">
        <v>5000000000</v>
      </c>
      <c r="AU420" s="486">
        <v>0</v>
      </c>
      <c r="AV420" s="487">
        <v>5000000000</v>
      </c>
      <c r="AW420" s="486">
        <v>7300000000</v>
      </c>
      <c r="AX420" s="486"/>
      <c r="AY420" s="486"/>
      <c r="AZ420" s="488">
        <v>7300000000</v>
      </c>
      <c r="BA420" s="490">
        <v>12300000000</v>
      </c>
      <c r="BB420" s="486">
        <v>0</v>
      </c>
      <c r="BC420" s="486">
        <v>0</v>
      </c>
      <c r="BD420" s="486">
        <v>0</v>
      </c>
      <c r="BE420" s="486">
        <v>0</v>
      </c>
      <c r="BF420" s="486">
        <v>0</v>
      </c>
      <c r="BG420" s="486">
        <v>0</v>
      </c>
      <c r="BH420" s="486">
        <v>5000000000</v>
      </c>
      <c r="BI420" s="486">
        <v>0</v>
      </c>
      <c r="BJ420" s="487">
        <v>5000000000</v>
      </c>
      <c r="BK420" s="486">
        <v>24300000000</v>
      </c>
      <c r="BL420" s="486"/>
      <c r="BM420" s="486"/>
      <c r="BN420" s="488">
        <v>24300000000</v>
      </c>
      <c r="BO420" s="490">
        <v>29300000000</v>
      </c>
      <c r="BP420" s="486">
        <v>0</v>
      </c>
      <c r="BQ420" s="486">
        <v>0</v>
      </c>
      <c r="BR420" s="486">
        <v>0</v>
      </c>
      <c r="BS420" s="486">
        <v>0</v>
      </c>
      <c r="BT420" s="486">
        <v>0</v>
      </c>
      <c r="BU420" s="486">
        <v>0</v>
      </c>
      <c r="BV420" s="486">
        <v>0</v>
      </c>
      <c r="BW420" s="486">
        <v>0</v>
      </c>
      <c r="BX420" s="487">
        <v>0</v>
      </c>
      <c r="BY420" s="486">
        <v>16400000000</v>
      </c>
      <c r="BZ420" s="486"/>
      <c r="CA420" s="486"/>
      <c r="CB420" s="488">
        <v>16400000000</v>
      </c>
      <c r="CC420" s="491">
        <v>16400000000</v>
      </c>
      <c r="CD420" s="492">
        <v>58000000000</v>
      </c>
      <c r="CE420" s="493">
        <f t="shared" si="29"/>
        <v>0</v>
      </c>
      <c r="CF420" s="493">
        <f t="shared" si="29"/>
        <v>0</v>
      </c>
      <c r="CG420" s="493">
        <f t="shared" si="29"/>
        <v>0</v>
      </c>
      <c r="CH420" s="493">
        <f t="shared" si="29"/>
        <v>0</v>
      </c>
      <c r="CI420" s="493">
        <f t="shared" si="26"/>
        <v>0</v>
      </c>
      <c r="CJ420" s="493">
        <f t="shared" si="26"/>
        <v>0</v>
      </c>
      <c r="CK420" s="493">
        <f t="shared" si="26"/>
        <v>10000000000</v>
      </c>
      <c r="CL420" s="493">
        <f t="shared" si="26"/>
        <v>0</v>
      </c>
      <c r="CM420" s="493">
        <f t="shared" si="28"/>
        <v>48000000000</v>
      </c>
      <c r="CN420" s="493">
        <f t="shared" si="28"/>
        <v>0</v>
      </c>
      <c r="CO420" s="493">
        <f t="shared" si="28"/>
        <v>0</v>
      </c>
    </row>
    <row r="421" spans="1:93" ht="30.45" hidden="1" customHeight="1">
      <c r="A421" s="555" t="s">
        <v>2461</v>
      </c>
      <c r="B421" s="479">
        <v>419</v>
      </c>
      <c r="C421" s="480" t="s">
        <v>6370</v>
      </c>
      <c r="D421" s="480" t="s">
        <v>4802</v>
      </c>
      <c r="E421" s="480" t="str">
        <f t="shared" si="27"/>
        <v xml:space="preserve">4.3.2 </v>
      </c>
      <c r="F421" s="480" t="s">
        <v>4811</v>
      </c>
      <c r="G421" s="480" t="s">
        <v>4812</v>
      </c>
      <c r="H421" s="481">
        <v>43</v>
      </c>
      <c r="I421" s="480" t="s">
        <v>4776</v>
      </c>
      <c r="J421" s="495">
        <v>430101600</v>
      </c>
      <c r="K421" s="480" t="s">
        <v>4816</v>
      </c>
      <c r="L421" s="480" t="s">
        <v>4819</v>
      </c>
      <c r="M421" s="480" t="s">
        <v>6010</v>
      </c>
      <c r="N421" s="499">
        <v>40</v>
      </c>
      <c r="O421" s="480" t="s">
        <v>4818</v>
      </c>
      <c r="P421" s="515">
        <v>60</v>
      </c>
      <c r="Q421" s="485" t="s">
        <v>5349</v>
      </c>
      <c r="R421" s="485" t="s">
        <v>5557</v>
      </c>
      <c r="S421" s="485" t="s">
        <v>5558</v>
      </c>
      <c r="T421" s="485">
        <v>8</v>
      </c>
      <c r="U421" s="485" t="s">
        <v>4815</v>
      </c>
      <c r="V421" s="485">
        <v>9</v>
      </c>
      <c r="W421" s="485" t="s">
        <v>5548</v>
      </c>
      <c r="X421" s="485">
        <v>11</v>
      </c>
      <c r="Y421" s="485" t="s">
        <v>5559</v>
      </c>
      <c r="Z421" s="486">
        <v>0</v>
      </c>
      <c r="AA421" s="486">
        <v>0</v>
      </c>
      <c r="AB421" s="486">
        <v>0</v>
      </c>
      <c r="AC421" s="486">
        <v>0</v>
      </c>
      <c r="AD421" s="486">
        <v>0</v>
      </c>
      <c r="AE421" s="486">
        <v>0</v>
      </c>
      <c r="AF421" s="486"/>
      <c r="AG421" s="486">
        <v>0</v>
      </c>
      <c r="AH421" s="487">
        <v>0</v>
      </c>
      <c r="AI421" s="486">
        <v>600000000</v>
      </c>
      <c r="AJ421" s="486"/>
      <c r="AK421" s="486"/>
      <c r="AL421" s="488">
        <v>600000000</v>
      </c>
      <c r="AM421" s="489">
        <v>600000000</v>
      </c>
      <c r="AN421" s="486">
        <v>0</v>
      </c>
      <c r="AO421" s="486">
        <v>0</v>
      </c>
      <c r="AP421" s="486">
        <v>0</v>
      </c>
      <c r="AQ421" s="486">
        <v>0</v>
      </c>
      <c r="AR421" s="486">
        <v>0</v>
      </c>
      <c r="AS421" s="486">
        <v>0</v>
      </c>
      <c r="AT421" s="486">
        <v>1500000000</v>
      </c>
      <c r="AU421" s="486">
        <v>0</v>
      </c>
      <c r="AV421" s="487">
        <v>1500000000</v>
      </c>
      <c r="AW421" s="486"/>
      <c r="AX421" s="486"/>
      <c r="AY421" s="486"/>
      <c r="AZ421" s="488">
        <v>0</v>
      </c>
      <c r="BA421" s="490">
        <v>1500000000</v>
      </c>
      <c r="BB421" s="486">
        <v>0</v>
      </c>
      <c r="BC421" s="486">
        <v>0</v>
      </c>
      <c r="BD421" s="486">
        <v>0</v>
      </c>
      <c r="BE421" s="486">
        <v>0</v>
      </c>
      <c r="BF421" s="486">
        <v>0</v>
      </c>
      <c r="BG421" s="486">
        <v>0</v>
      </c>
      <c r="BH421" s="486">
        <v>2100000000</v>
      </c>
      <c r="BI421" s="486">
        <v>0</v>
      </c>
      <c r="BJ421" s="487">
        <v>2100000000</v>
      </c>
      <c r="BK421" s="486">
        <v>6500000000</v>
      </c>
      <c r="BL421" s="486"/>
      <c r="BM421" s="486"/>
      <c r="BN421" s="488">
        <v>6500000000</v>
      </c>
      <c r="BO421" s="490">
        <v>8600000000</v>
      </c>
      <c r="BP421" s="486">
        <v>0</v>
      </c>
      <c r="BQ421" s="486">
        <v>0</v>
      </c>
      <c r="BR421" s="486">
        <v>0</v>
      </c>
      <c r="BS421" s="486">
        <v>0</v>
      </c>
      <c r="BT421" s="486">
        <v>0</v>
      </c>
      <c r="BU421" s="486">
        <v>0</v>
      </c>
      <c r="BV421" s="486">
        <v>0</v>
      </c>
      <c r="BW421" s="486">
        <v>0</v>
      </c>
      <c r="BX421" s="487">
        <v>0</v>
      </c>
      <c r="BY421" s="486">
        <v>2000000000</v>
      </c>
      <c r="BZ421" s="486"/>
      <c r="CA421" s="486"/>
      <c r="CB421" s="488">
        <v>2000000000</v>
      </c>
      <c r="CC421" s="491">
        <v>2000000000</v>
      </c>
      <c r="CD421" s="492">
        <v>12700000000</v>
      </c>
      <c r="CE421" s="493">
        <f t="shared" si="29"/>
        <v>0</v>
      </c>
      <c r="CF421" s="493">
        <f t="shared" si="29"/>
        <v>0</v>
      </c>
      <c r="CG421" s="493">
        <f t="shared" si="29"/>
        <v>0</v>
      </c>
      <c r="CH421" s="493">
        <f t="shared" si="29"/>
        <v>0</v>
      </c>
      <c r="CI421" s="493">
        <f t="shared" si="26"/>
        <v>0</v>
      </c>
      <c r="CJ421" s="493">
        <f t="shared" si="26"/>
        <v>0</v>
      </c>
      <c r="CK421" s="493">
        <f t="shared" si="26"/>
        <v>3600000000</v>
      </c>
      <c r="CL421" s="493">
        <f t="shared" si="26"/>
        <v>0</v>
      </c>
      <c r="CM421" s="493">
        <f t="shared" si="28"/>
        <v>9100000000</v>
      </c>
      <c r="CN421" s="493">
        <f t="shared" si="28"/>
        <v>0</v>
      </c>
      <c r="CO421" s="493">
        <f t="shared" si="28"/>
        <v>0</v>
      </c>
    </row>
    <row r="422" spans="1:93" ht="30.45" hidden="1" customHeight="1">
      <c r="A422" s="555" t="s">
        <v>2461</v>
      </c>
      <c r="B422" s="479">
        <v>420</v>
      </c>
      <c r="C422" s="480" t="s">
        <v>6370</v>
      </c>
      <c r="D422" s="480" t="s">
        <v>4802</v>
      </c>
      <c r="E422" s="480" t="str">
        <f t="shared" si="27"/>
        <v xml:space="preserve">4.3.2 </v>
      </c>
      <c r="F422" s="480" t="s">
        <v>4811</v>
      </c>
      <c r="G422" s="480" t="s">
        <v>4812</v>
      </c>
      <c r="H422" s="481">
        <v>43</v>
      </c>
      <c r="I422" s="480" t="s">
        <v>4776</v>
      </c>
      <c r="J422" s="495">
        <v>430103100</v>
      </c>
      <c r="K422" s="480" t="s">
        <v>4809</v>
      </c>
      <c r="L422" s="480" t="s">
        <v>4133</v>
      </c>
      <c r="M422" s="480" t="s">
        <v>6011</v>
      </c>
      <c r="N422" s="499">
        <v>0</v>
      </c>
      <c r="O422" s="480" t="s">
        <v>4818</v>
      </c>
      <c r="P422" s="515">
        <v>2</v>
      </c>
      <c r="Q422" s="485" t="s">
        <v>5349</v>
      </c>
      <c r="R422" s="485" t="s">
        <v>5557</v>
      </c>
      <c r="S422" s="485" t="s">
        <v>5558</v>
      </c>
      <c r="T422" s="485">
        <v>8</v>
      </c>
      <c r="U422" s="485" t="s">
        <v>4815</v>
      </c>
      <c r="V422" s="485">
        <v>9</v>
      </c>
      <c r="W422" s="485" t="s">
        <v>5548</v>
      </c>
      <c r="X422" s="485">
        <v>11</v>
      </c>
      <c r="Y422" s="485" t="s">
        <v>5559</v>
      </c>
      <c r="Z422" s="486">
        <v>0</v>
      </c>
      <c r="AA422" s="486">
        <v>0</v>
      </c>
      <c r="AB422" s="486">
        <v>0</v>
      </c>
      <c r="AC422" s="486">
        <v>0</v>
      </c>
      <c r="AD422" s="486">
        <v>0</v>
      </c>
      <c r="AE422" s="486">
        <v>0</v>
      </c>
      <c r="AF422" s="486"/>
      <c r="AG422" s="486">
        <v>0</v>
      </c>
      <c r="AH422" s="487">
        <v>0</v>
      </c>
      <c r="AI422" s="486">
        <v>500000000</v>
      </c>
      <c r="AJ422" s="486"/>
      <c r="AK422" s="486"/>
      <c r="AL422" s="488">
        <v>500000000</v>
      </c>
      <c r="AM422" s="489">
        <v>500000000</v>
      </c>
      <c r="AN422" s="486">
        <v>0</v>
      </c>
      <c r="AO422" s="486">
        <v>0</v>
      </c>
      <c r="AP422" s="486">
        <v>0</v>
      </c>
      <c r="AQ422" s="486">
        <v>0</v>
      </c>
      <c r="AR422" s="486">
        <v>0</v>
      </c>
      <c r="AS422" s="486">
        <v>0</v>
      </c>
      <c r="AT422" s="486"/>
      <c r="AU422" s="486">
        <v>0</v>
      </c>
      <c r="AV422" s="487">
        <v>0</v>
      </c>
      <c r="AW422" s="486"/>
      <c r="AX422" s="486"/>
      <c r="AY422" s="486">
        <v>900000000</v>
      </c>
      <c r="AZ422" s="488">
        <v>900000000</v>
      </c>
      <c r="BA422" s="490">
        <v>900000000</v>
      </c>
      <c r="BB422" s="486">
        <v>0</v>
      </c>
      <c r="BC422" s="486">
        <v>0</v>
      </c>
      <c r="BD422" s="486">
        <v>0</v>
      </c>
      <c r="BE422" s="486">
        <v>0</v>
      </c>
      <c r="BF422" s="486">
        <v>0</v>
      </c>
      <c r="BG422" s="486">
        <v>0</v>
      </c>
      <c r="BH422" s="486">
        <v>400000000</v>
      </c>
      <c r="BI422" s="486">
        <v>0</v>
      </c>
      <c r="BJ422" s="487">
        <v>400000000</v>
      </c>
      <c r="BK422" s="486">
        <v>50000000</v>
      </c>
      <c r="BL422" s="486"/>
      <c r="BM422" s="486"/>
      <c r="BN422" s="488">
        <v>50000000</v>
      </c>
      <c r="BO422" s="490">
        <v>450000000</v>
      </c>
      <c r="BP422" s="486">
        <v>0</v>
      </c>
      <c r="BQ422" s="486">
        <v>0</v>
      </c>
      <c r="BR422" s="486">
        <v>0</v>
      </c>
      <c r="BS422" s="486">
        <v>0</v>
      </c>
      <c r="BT422" s="486">
        <v>0</v>
      </c>
      <c r="BU422" s="486">
        <v>0</v>
      </c>
      <c r="BV422" s="486">
        <v>0</v>
      </c>
      <c r="BW422" s="486">
        <v>0</v>
      </c>
      <c r="BX422" s="487">
        <v>0</v>
      </c>
      <c r="BY422" s="486"/>
      <c r="BZ422" s="486"/>
      <c r="CA422" s="486"/>
      <c r="CB422" s="488">
        <v>0</v>
      </c>
      <c r="CC422" s="491">
        <v>0</v>
      </c>
      <c r="CD422" s="492">
        <v>1850000000</v>
      </c>
      <c r="CE422" s="493">
        <f t="shared" si="29"/>
        <v>0</v>
      </c>
      <c r="CF422" s="493">
        <f t="shared" si="29"/>
        <v>0</v>
      </c>
      <c r="CG422" s="493">
        <f t="shared" si="29"/>
        <v>0</v>
      </c>
      <c r="CH422" s="493">
        <f t="shared" si="29"/>
        <v>0</v>
      </c>
      <c r="CI422" s="493">
        <f t="shared" si="26"/>
        <v>0</v>
      </c>
      <c r="CJ422" s="493">
        <f t="shared" si="26"/>
        <v>0</v>
      </c>
      <c r="CK422" s="493">
        <f t="shared" si="26"/>
        <v>400000000</v>
      </c>
      <c r="CL422" s="493">
        <f t="shared" si="26"/>
        <v>0</v>
      </c>
      <c r="CM422" s="493">
        <f t="shared" si="28"/>
        <v>550000000</v>
      </c>
      <c r="CN422" s="493">
        <f t="shared" si="28"/>
        <v>0</v>
      </c>
      <c r="CO422" s="493">
        <f t="shared" si="28"/>
        <v>900000000</v>
      </c>
    </row>
    <row r="423" spans="1:93" ht="30.45" hidden="1" customHeight="1">
      <c r="A423" s="555" t="s">
        <v>2461</v>
      </c>
      <c r="B423" s="479">
        <v>421</v>
      </c>
      <c r="C423" s="480" t="s">
        <v>6370</v>
      </c>
      <c r="D423" s="480" t="s">
        <v>4802</v>
      </c>
      <c r="E423" s="480" t="str">
        <f t="shared" si="27"/>
        <v xml:space="preserve">4.3.2 </v>
      </c>
      <c r="F423" s="480" t="s">
        <v>4811</v>
      </c>
      <c r="G423" s="480" t="s">
        <v>4812</v>
      </c>
      <c r="H423" s="481">
        <v>43</v>
      </c>
      <c r="I423" s="480" t="s">
        <v>4776</v>
      </c>
      <c r="J423" s="495">
        <v>430207200</v>
      </c>
      <c r="K423" s="480" t="s">
        <v>4032</v>
      </c>
      <c r="L423" s="480" t="s">
        <v>4133</v>
      </c>
      <c r="M423" s="480" t="s">
        <v>6012</v>
      </c>
      <c r="N423" s="499">
        <v>1</v>
      </c>
      <c r="O423" s="480" t="s">
        <v>4818</v>
      </c>
      <c r="P423" s="515">
        <v>2</v>
      </c>
      <c r="Q423" s="485" t="s">
        <v>5349</v>
      </c>
      <c r="R423" s="485" t="s">
        <v>5557</v>
      </c>
      <c r="S423" s="485" t="s">
        <v>5558</v>
      </c>
      <c r="T423" s="485">
        <v>8</v>
      </c>
      <c r="U423" s="485" t="s">
        <v>4815</v>
      </c>
      <c r="V423" s="485">
        <v>9</v>
      </c>
      <c r="W423" s="485" t="s">
        <v>5548</v>
      </c>
      <c r="X423" s="485">
        <v>11</v>
      </c>
      <c r="Y423" s="485" t="s">
        <v>5559</v>
      </c>
      <c r="Z423" s="486">
        <v>0</v>
      </c>
      <c r="AA423" s="486">
        <v>0</v>
      </c>
      <c r="AB423" s="486">
        <v>0</v>
      </c>
      <c r="AC423" s="486">
        <v>0</v>
      </c>
      <c r="AD423" s="486">
        <v>0</v>
      </c>
      <c r="AE423" s="486">
        <v>0</v>
      </c>
      <c r="AF423" s="486"/>
      <c r="AG423" s="486">
        <v>0</v>
      </c>
      <c r="AH423" s="487">
        <v>0</v>
      </c>
      <c r="AI423" s="486"/>
      <c r="AJ423" s="486"/>
      <c r="AK423" s="486">
        <v>2360000000</v>
      </c>
      <c r="AL423" s="488">
        <v>2360000000</v>
      </c>
      <c r="AM423" s="489">
        <v>2360000000</v>
      </c>
      <c r="AN423" s="486">
        <v>0</v>
      </c>
      <c r="AO423" s="486">
        <v>0</v>
      </c>
      <c r="AP423" s="486">
        <v>0</v>
      </c>
      <c r="AQ423" s="486">
        <v>0</v>
      </c>
      <c r="AR423" s="486">
        <v>0</v>
      </c>
      <c r="AS423" s="486">
        <v>0</v>
      </c>
      <c r="AT423" s="486"/>
      <c r="AU423" s="486">
        <v>0</v>
      </c>
      <c r="AV423" s="487">
        <v>0</v>
      </c>
      <c r="AW423" s="486"/>
      <c r="AX423" s="486"/>
      <c r="AY423" s="486"/>
      <c r="AZ423" s="488">
        <v>0</v>
      </c>
      <c r="BA423" s="490">
        <v>0</v>
      </c>
      <c r="BB423" s="486">
        <v>0</v>
      </c>
      <c r="BC423" s="486">
        <v>0</v>
      </c>
      <c r="BD423" s="486">
        <v>0</v>
      </c>
      <c r="BE423" s="486">
        <v>0</v>
      </c>
      <c r="BF423" s="486">
        <v>0</v>
      </c>
      <c r="BG423" s="486">
        <v>0</v>
      </c>
      <c r="BH423" s="486"/>
      <c r="BI423" s="486">
        <v>0</v>
      </c>
      <c r="BJ423" s="487">
        <v>0</v>
      </c>
      <c r="BK423" s="486"/>
      <c r="BL423" s="486"/>
      <c r="BM423" s="486"/>
      <c r="BN423" s="488">
        <v>0</v>
      </c>
      <c r="BO423" s="490">
        <v>0</v>
      </c>
      <c r="BP423" s="486">
        <v>0</v>
      </c>
      <c r="BQ423" s="486">
        <v>0</v>
      </c>
      <c r="BR423" s="486">
        <v>0</v>
      </c>
      <c r="BS423" s="486">
        <v>0</v>
      </c>
      <c r="BT423" s="486">
        <v>0</v>
      </c>
      <c r="BU423" s="486">
        <v>0</v>
      </c>
      <c r="BV423" s="486"/>
      <c r="BW423" s="486">
        <v>0</v>
      </c>
      <c r="BX423" s="487">
        <v>0</v>
      </c>
      <c r="BY423" s="486"/>
      <c r="BZ423" s="486"/>
      <c r="CA423" s="486"/>
      <c r="CB423" s="488">
        <v>0</v>
      </c>
      <c r="CC423" s="491">
        <v>0</v>
      </c>
      <c r="CD423" s="492">
        <v>2360000000</v>
      </c>
      <c r="CE423" s="493">
        <f t="shared" si="29"/>
        <v>0</v>
      </c>
      <c r="CF423" s="493">
        <f t="shared" si="29"/>
        <v>0</v>
      </c>
      <c r="CG423" s="493">
        <f t="shared" si="29"/>
        <v>0</v>
      </c>
      <c r="CH423" s="493">
        <f t="shared" si="29"/>
        <v>0</v>
      </c>
      <c r="CI423" s="493">
        <f t="shared" si="26"/>
        <v>0</v>
      </c>
      <c r="CJ423" s="493">
        <f t="shared" si="26"/>
        <v>0</v>
      </c>
      <c r="CK423" s="493">
        <f t="shared" si="26"/>
        <v>0</v>
      </c>
      <c r="CL423" s="493">
        <f t="shared" si="26"/>
        <v>0</v>
      </c>
      <c r="CM423" s="493">
        <f t="shared" si="28"/>
        <v>0</v>
      </c>
      <c r="CN423" s="493">
        <f t="shared" si="28"/>
        <v>0</v>
      </c>
      <c r="CO423" s="493">
        <f t="shared" si="28"/>
        <v>2360000000</v>
      </c>
    </row>
    <row r="424" spans="1:93" ht="30.45" hidden="1" customHeight="1">
      <c r="A424" s="555" t="s">
        <v>2461</v>
      </c>
      <c r="B424" s="479">
        <v>422</v>
      </c>
      <c r="C424" s="480" t="s">
        <v>6370</v>
      </c>
      <c r="D424" s="480" t="s">
        <v>4802</v>
      </c>
      <c r="E424" s="480" t="str">
        <f t="shared" si="27"/>
        <v xml:space="preserve">4.3.2 </v>
      </c>
      <c r="F424" s="480" t="s">
        <v>4811</v>
      </c>
      <c r="G424" s="480" t="s">
        <v>4812</v>
      </c>
      <c r="H424" s="481">
        <v>43</v>
      </c>
      <c r="I424" s="480" t="s">
        <v>4776</v>
      </c>
      <c r="J424" s="495">
        <v>430103600</v>
      </c>
      <c r="K424" s="480" t="s">
        <v>4820</v>
      </c>
      <c r="L424" s="480" t="s">
        <v>4821</v>
      </c>
      <c r="M424" s="480" t="s">
        <v>6013</v>
      </c>
      <c r="N424" s="499">
        <v>0</v>
      </c>
      <c r="O424" s="480" t="s">
        <v>4407</v>
      </c>
      <c r="P424" s="515">
        <v>1</v>
      </c>
      <c r="Q424" s="485" t="s">
        <v>5349</v>
      </c>
      <c r="R424" s="485" t="s">
        <v>5557</v>
      </c>
      <c r="S424" s="485" t="s">
        <v>5558</v>
      </c>
      <c r="T424" s="485">
        <v>8</v>
      </c>
      <c r="U424" s="485" t="s">
        <v>4815</v>
      </c>
      <c r="V424" s="485">
        <v>9</v>
      </c>
      <c r="W424" s="485" t="s">
        <v>5548</v>
      </c>
      <c r="X424" s="485">
        <v>11</v>
      </c>
      <c r="Y424" s="485" t="s">
        <v>5559</v>
      </c>
      <c r="Z424" s="486">
        <v>0</v>
      </c>
      <c r="AA424" s="486">
        <v>0</v>
      </c>
      <c r="AB424" s="486">
        <v>0</v>
      </c>
      <c r="AC424" s="486">
        <v>0</v>
      </c>
      <c r="AD424" s="486">
        <v>0</v>
      </c>
      <c r="AE424" s="486">
        <v>0</v>
      </c>
      <c r="AF424" s="486">
        <v>0</v>
      </c>
      <c r="AG424" s="486">
        <v>0</v>
      </c>
      <c r="AH424" s="487">
        <v>0</v>
      </c>
      <c r="AI424" s="486"/>
      <c r="AJ424" s="486"/>
      <c r="AK424" s="486"/>
      <c r="AL424" s="488">
        <v>0</v>
      </c>
      <c r="AM424" s="489">
        <v>0</v>
      </c>
      <c r="AN424" s="486">
        <v>0</v>
      </c>
      <c r="AO424" s="486">
        <v>0</v>
      </c>
      <c r="AP424" s="486">
        <v>0</v>
      </c>
      <c r="AQ424" s="486">
        <v>0</v>
      </c>
      <c r="AR424" s="486">
        <v>0</v>
      </c>
      <c r="AS424" s="486">
        <v>0</v>
      </c>
      <c r="AT424" s="486">
        <v>0</v>
      </c>
      <c r="AU424" s="486">
        <v>0</v>
      </c>
      <c r="AV424" s="487">
        <v>0</v>
      </c>
      <c r="AW424" s="486"/>
      <c r="AX424" s="486"/>
      <c r="AY424" s="486"/>
      <c r="AZ424" s="488">
        <v>0</v>
      </c>
      <c r="BA424" s="490">
        <v>0</v>
      </c>
      <c r="BB424" s="486">
        <v>0</v>
      </c>
      <c r="BC424" s="486">
        <v>0</v>
      </c>
      <c r="BD424" s="486">
        <v>0</v>
      </c>
      <c r="BE424" s="486">
        <v>0</v>
      </c>
      <c r="BF424" s="486">
        <v>0</v>
      </c>
      <c r="BG424" s="486">
        <v>0</v>
      </c>
      <c r="BH424" s="486"/>
      <c r="BI424" s="486">
        <v>0</v>
      </c>
      <c r="BJ424" s="487">
        <v>0</v>
      </c>
      <c r="BK424" s="486"/>
      <c r="BL424" s="486"/>
      <c r="BM424" s="486"/>
      <c r="BN424" s="488">
        <v>0</v>
      </c>
      <c r="BO424" s="490">
        <v>0</v>
      </c>
      <c r="BP424" s="486">
        <v>0</v>
      </c>
      <c r="BQ424" s="486">
        <v>0</v>
      </c>
      <c r="BR424" s="486">
        <v>0</v>
      </c>
      <c r="BS424" s="486">
        <v>0</v>
      </c>
      <c r="BT424" s="486">
        <v>0</v>
      </c>
      <c r="BU424" s="486">
        <v>0</v>
      </c>
      <c r="BV424" s="486">
        <v>0</v>
      </c>
      <c r="BW424" s="486">
        <v>0</v>
      </c>
      <c r="BX424" s="487">
        <v>0</v>
      </c>
      <c r="BY424" s="486"/>
      <c r="BZ424" s="486"/>
      <c r="CA424" s="486">
        <v>200000000000</v>
      </c>
      <c r="CB424" s="488">
        <v>200000000000</v>
      </c>
      <c r="CC424" s="491">
        <v>200000000000</v>
      </c>
      <c r="CD424" s="492">
        <v>200000000000</v>
      </c>
      <c r="CE424" s="493">
        <f t="shared" si="29"/>
        <v>0</v>
      </c>
      <c r="CF424" s="493">
        <f t="shared" si="29"/>
        <v>0</v>
      </c>
      <c r="CG424" s="493">
        <f t="shared" si="29"/>
        <v>0</v>
      </c>
      <c r="CH424" s="493">
        <f t="shared" si="29"/>
        <v>0</v>
      </c>
      <c r="CI424" s="493">
        <f t="shared" si="26"/>
        <v>0</v>
      </c>
      <c r="CJ424" s="493">
        <f t="shared" si="26"/>
        <v>0</v>
      </c>
      <c r="CK424" s="493">
        <f t="shared" si="26"/>
        <v>0</v>
      </c>
      <c r="CL424" s="493">
        <f t="shared" si="26"/>
        <v>0</v>
      </c>
      <c r="CM424" s="493">
        <f t="shared" si="28"/>
        <v>0</v>
      </c>
      <c r="CN424" s="493">
        <f t="shared" si="28"/>
        <v>0</v>
      </c>
      <c r="CO424" s="493">
        <f t="shared" si="28"/>
        <v>200000000000</v>
      </c>
    </row>
    <row r="425" spans="1:93" ht="30.45" hidden="1" customHeight="1">
      <c r="A425" s="555" t="s">
        <v>2461</v>
      </c>
      <c r="B425" s="479">
        <v>423</v>
      </c>
      <c r="C425" s="480" t="s">
        <v>6370</v>
      </c>
      <c r="D425" s="480" t="s">
        <v>4802</v>
      </c>
      <c r="E425" s="480" t="str">
        <f t="shared" si="27"/>
        <v xml:space="preserve">4.3.2 </v>
      </c>
      <c r="F425" s="480" t="s">
        <v>4811</v>
      </c>
      <c r="G425" s="480" t="s">
        <v>4812</v>
      </c>
      <c r="H425" s="481">
        <v>43</v>
      </c>
      <c r="I425" s="480" t="s">
        <v>4783</v>
      </c>
      <c r="J425" s="495">
        <v>430201000</v>
      </c>
      <c r="K425" s="480" t="s">
        <v>4822</v>
      </c>
      <c r="L425" s="480" t="s">
        <v>4823</v>
      </c>
      <c r="M425" s="480" t="s">
        <v>6014</v>
      </c>
      <c r="N425" s="499">
        <v>0.34</v>
      </c>
      <c r="O425" s="480" t="s">
        <v>4818</v>
      </c>
      <c r="P425" s="515">
        <v>1</v>
      </c>
      <c r="Q425" s="485" t="s">
        <v>5349</v>
      </c>
      <c r="R425" s="485" t="s">
        <v>5557</v>
      </c>
      <c r="S425" s="485" t="s">
        <v>5558</v>
      </c>
      <c r="T425" s="485">
        <v>8</v>
      </c>
      <c r="U425" s="485" t="s">
        <v>4815</v>
      </c>
      <c r="V425" s="485">
        <v>9</v>
      </c>
      <c r="W425" s="485" t="s">
        <v>5548</v>
      </c>
      <c r="X425" s="485">
        <v>11</v>
      </c>
      <c r="Y425" s="485" t="s">
        <v>5559</v>
      </c>
      <c r="Z425" s="486">
        <v>0</v>
      </c>
      <c r="AA425" s="486">
        <v>0</v>
      </c>
      <c r="AB425" s="486">
        <v>0</v>
      </c>
      <c r="AC425" s="486">
        <v>0</v>
      </c>
      <c r="AD425" s="486">
        <v>0</v>
      </c>
      <c r="AE425" s="486">
        <v>0</v>
      </c>
      <c r="AF425" s="486">
        <v>10000000000</v>
      </c>
      <c r="AG425" s="486">
        <v>0</v>
      </c>
      <c r="AH425" s="487">
        <v>10000000000</v>
      </c>
      <c r="AI425" s="486"/>
      <c r="AJ425" s="486"/>
      <c r="AK425" s="486">
        <v>9000000000</v>
      </c>
      <c r="AL425" s="488">
        <v>9000000000</v>
      </c>
      <c r="AM425" s="489">
        <v>19000000000</v>
      </c>
      <c r="AN425" s="486">
        <v>0</v>
      </c>
      <c r="AO425" s="486">
        <v>0</v>
      </c>
      <c r="AP425" s="486">
        <v>0</v>
      </c>
      <c r="AQ425" s="486">
        <v>0</v>
      </c>
      <c r="AR425" s="486">
        <v>0</v>
      </c>
      <c r="AS425" s="486">
        <v>0</v>
      </c>
      <c r="AT425" s="486"/>
      <c r="AU425" s="486">
        <v>0</v>
      </c>
      <c r="AV425" s="487">
        <v>0</v>
      </c>
      <c r="AW425" s="486"/>
      <c r="AX425" s="486"/>
      <c r="AY425" s="486"/>
      <c r="AZ425" s="488">
        <v>0</v>
      </c>
      <c r="BA425" s="490">
        <v>0</v>
      </c>
      <c r="BB425" s="486">
        <v>0</v>
      </c>
      <c r="BC425" s="486">
        <v>0</v>
      </c>
      <c r="BD425" s="486">
        <v>0</v>
      </c>
      <c r="BE425" s="486">
        <v>0</v>
      </c>
      <c r="BF425" s="486">
        <v>0</v>
      </c>
      <c r="BG425" s="486">
        <v>0</v>
      </c>
      <c r="BH425" s="486"/>
      <c r="BI425" s="486">
        <v>0</v>
      </c>
      <c r="BJ425" s="487">
        <v>0</v>
      </c>
      <c r="BK425" s="486"/>
      <c r="BL425" s="486"/>
      <c r="BM425" s="486"/>
      <c r="BN425" s="488">
        <v>0</v>
      </c>
      <c r="BO425" s="490">
        <v>0</v>
      </c>
      <c r="BP425" s="486">
        <v>0</v>
      </c>
      <c r="BQ425" s="486">
        <v>0</v>
      </c>
      <c r="BR425" s="486">
        <v>0</v>
      </c>
      <c r="BS425" s="486">
        <v>0</v>
      </c>
      <c r="BT425" s="486">
        <v>0</v>
      </c>
      <c r="BU425" s="486">
        <v>0</v>
      </c>
      <c r="BV425" s="486">
        <v>0</v>
      </c>
      <c r="BW425" s="486">
        <v>0</v>
      </c>
      <c r="BX425" s="487">
        <v>0</v>
      </c>
      <c r="BY425" s="486"/>
      <c r="BZ425" s="486"/>
      <c r="CA425" s="486"/>
      <c r="CB425" s="488">
        <v>0</v>
      </c>
      <c r="CC425" s="491">
        <v>0</v>
      </c>
      <c r="CD425" s="492">
        <v>19000000000</v>
      </c>
      <c r="CE425" s="493">
        <f t="shared" si="29"/>
        <v>0</v>
      </c>
      <c r="CF425" s="493">
        <f t="shared" si="29"/>
        <v>0</v>
      </c>
      <c r="CG425" s="493">
        <f t="shared" si="29"/>
        <v>0</v>
      </c>
      <c r="CH425" s="493">
        <f t="shared" si="29"/>
        <v>0</v>
      </c>
      <c r="CI425" s="493">
        <f t="shared" si="26"/>
        <v>0</v>
      </c>
      <c r="CJ425" s="493">
        <f t="shared" si="26"/>
        <v>0</v>
      </c>
      <c r="CK425" s="493">
        <f t="shared" si="26"/>
        <v>10000000000</v>
      </c>
      <c r="CL425" s="493">
        <f t="shared" si="26"/>
        <v>0</v>
      </c>
      <c r="CM425" s="493">
        <f t="shared" si="28"/>
        <v>0</v>
      </c>
      <c r="CN425" s="493">
        <f t="shared" si="28"/>
        <v>0</v>
      </c>
      <c r="CO425" s="493">
        <f t="shared" si="28"/>
        <v>9000000000</v>
      </c>
    </row>
    <row r="426" spans="1:93" ht="30.45" hidden="1" customHeight="1">
      <c r="A426" s="555" t="s">
        <v>2461</v>
      </c>
      <c r="B426" s="479">
        <v>424</v>
      </c>
      <c r="C426" s="480" t="s">
        <v>6370</v>
      </c>
      <c r="D426" s="480" t="s">
        <v>4802</v>
      </c>
      <c r="E426" s="480" t="str">
        <f t="shared" si="27"/>
        <v xml:space="preserve">4.3.2 </v>
      </c>
      <c r="F426" s="480" t="s">
        <v>4811</v>
      </c>
      <c r="G426" s="480" t="s">
        <v>4812</v>
      </c>
      <c r="H426" s="481">
        <v>43</v>
      </c>
      <c r="I426" s="480" t="s">
        <v>4783</v>
      </c>
      <c r="J426" s="495">
        <v>430201800</v>
      </c>
      <c r="K426" s="480" t="s">
        <v>4824</v>
      </c>
      <c r="L426" s="480" t="s">
        <v>4825</v>
      </c>
      <c r="M426" s="480" t="s">
        <v>6015</v>
      </c>
      <c r="N426" s="499">
        <v>0</v>
      </c>
      <c r="O426" s="480" t="s">
        <v>4407</v>
      </c>
      <c r="P426" s="515">
        <v>1</v>
      </c>
      <c r="Q426" s="485" t="s">
        <v>5349</v>
      </c>
      <c r="R426" s="485" t="s">
        <v>5557</v>
      </c>
      <c r="S426" s="485" t="s">
        <v>5558</v>
      </c>
      <c r="T426" s="485">
        <v>8</v>
      </c>
      <c r="U426" s="485" t="s">
        <v>4815</v>
      </c>
      <c r="V426" s="485">
        <v>9</v>
      </c>
      <c r="W426" s="485" t="s">
        <v>5548</v>
      </c>
      <c r="X426" s="485">
        <v>11</v>
      </c>
      <c r="Y426" s="485" t="s">
        <v>5559</v>
      </c>
      <c r="Z426" s="486">
        <v>0</v>
      </c>
      <c r="AA426" s="486">
        <v>0</v>
      </c>
      <c r="AB426" s="486">
        <v>0</v>
      </c>
      <c r="AC426" s="486">
        <v>0</v>
      </c>
      <c r="AD426" s="486">
        <v>0</v>
      </c>
      <c r="AE426" s="486">
        <v>0</v>
      </c>
      <c r="AF426" s="486">
        <v>0</v>
      </c>
      <c r="AG426" s="486">
        <v>0</v>
      </c>
      <c r="AH426" s="487">
        <v>0</v>
      </c>
      <c r="AI426" s="486"/>
      <c r="AJ426" s="486"/>
      <c r="AK426" s="486"/>
      <c r="AL426" s="488">
        <v>0</v>
      </c>
      <c r="AM426" s="489">
        <v>0</v>
      </c>
      <c r="AN426" s="486">
        <v>0</v>
      </c>
      <c r="AO426" s="486">
        <v>0</v>
      </c>
      <c r="AP426" s="486">
        <v>0</v>
      </c>
      <c r="AQ426" s="486">
        <v>0</v>
      </c>
      <c r="AR426" s="486">
        <v>0</v>
      </c>
      <c r="AS426" s="486">
        <v>0</v>
      </c>
      <c r="AT426" s="486">
        <v>0</v>
      </c>
      <c r="AU426" s="486">
        <v>0</v>
      </c>
      <c r="AV426" s="487">
        <v>0</v>
      </c>
      <c r="AW426" s="486">
        <v>2500000000</v>
      </c>
      <c r="AX426" s="486"/>
      <c r="AY426" s="486"/>
      <c r="AZ426" s="488">
        <v>2500000000</v>
      </c>
      <c r="BA426" s="490">
        <v>2500000000</v>
      </c>
      <c r="BB426" s="486">
        <v>0</v>
      </c>
      <c r="BC426" s="486">
        <v>0</v>
      </c>
      <c r="BD426" s="486">
        <v>0</v>
      </c>
      <c r="BE426" s="486">
        <v>0</v>
      </c>
      <c r="BF426" s="486">
        <v>0</v>
      </c>
      <c r="BG426" s="486">
        <v>0</v>
      </c>
      <c r="BH426" s="486"/>
      <c r="BI426" s="486">
        <v>0</v>
      </c>
      <c r="BJ426" s="487">
        <v>0</v>
      </c>
      <c r="BK426" s="486"/>
      <c r="BL426" s="486"/>
      <c r="BM426" s="486">
        <v>10000000000</v>
      </c>
      <c r="BN426" s="488">
        <v>10000000000</v>
      </c>
      <c r="BO426" s="490">
        <v>10000000000</v>
      </c>
      <c r="BP426" s="486">
        <v>0</v>
      </c>
      <c r="BQ426" s="486">
        <v>0</v>
      </c>
      <c r="BR426" s="486">
        <v>0</v>
      </c>
      <c r="BS426" s="486">
        <v>0</v>
      </c>
      <c r="BT426" s="486">
        <v>0</v>
      </c>
      <c r="BU426" s="486">
        <v>0</v>
      </c>
      <c r="BV426" s="486">
        <v>0</v>
      </c>
      <c r="BW426" s="486">
        <v>0</v>
      </c>
      <c r="BX426" s="487">
        <v>0</v>
      </c>
      <c r="BY426" s="486"/>
      <c r="BZ426" s="486"/>
      <c r="CA426" s="486"/>
      <c r="CB426" s="488">
        <v>0</v>
      </c>
      <c r="CC426" s="491">
        <v>0</v>
      </c>
      <c r="CD426" s="492">
        <v>12500000000</v>
      </c>
      <c r="CE426" s="493">
        <f t="shared" si="29"/>
        <v>0</v>
      </c>
      <c r="CF426" s="493">
        <f t="shared" si="29"/>
        <v>0</v>
      </c>
      <c r="CG426" s="493">
        <f t="shared" si="29"/>
        <v>0</v>
      </c>
      <c r="CH426" s="493">
        <f t="shared" si="29"/>
        <v>0</v>
      </c>
      <c r="CI426" s="493">
        <f t="shared" si="26"/>
        <v>0</v>
      </c>
      <c r="CJ426" s="493">
        <f t="shared" si="26"/>
        <v>0</v>
      </c>
      <c r="CK426" s="493">
        <f t="shared" si="26"/>
        <v>0</v>
      </c>
      <c r="CL426" s="493">
        <f t="shared" si="26"/>
        <v>0</v>
      </c>
      <c r="CM426" s="493">
        <f t="shared" si="28"/>
        <v>2500000000</v>
      </c>
      <c r="CN426" s="493">
        <f t="shared" si="28"/>
        <v>0</v>
      </c>
      <c r="CO426" s="493">
        <f t="shared" si="28"/>
        <v>10000000000</v>
      </c>
    </row>
    <row r="427" spans="1:93" ht="30.45" hidden="1" customHeight="1">
      <c r="A427" s="555" t="s">
        <v>2461</v>
      </c>
      <c r="B427" s="479">
        <v>425</v>
      </c>
      <c r="C427" s="480" t="s">
        <v>6370</v>
      </c>
      <c r="D427" s="480" t="s">
        <v>4802</v>
      </c>
      <c r="E427" s="480" t="str">
        <f t="shared" si="27"/>
        <v xml:space="preserve">4.3.2 </v>
      </c>
      <c r="F427" s="480" t="s">
        <v>4811</v>
      </c>
      <c r="G427" s="480" t="s">
        <v>4812</v>
      </c>
      <c r="H427" s="481">
        <v>43</v>
      </c>
      <c r="I427" s="480" t="s">
        <v>4783</v>
      </c>
      <c r="J427" s="495">
        <v>430202300</v>
      </c>
      <c r="K427" s="480" t="s">
        <v>4826</v>
      </c>
      <c r="L427" s="480" t="s">
        <v>4827</v>
      </c>
      <c r="M427" s="480" t="s">
        <v>6016</v>
      </c>
      <c r="N427" s="499">
        <v>1</v>
      </c>
      <c r="O427" s="480" t="s">
        <v>4818</v>
      </c>
      <c r="P427" s="515">
        <v>3</v>
      </c>
      <c r="Q427" s="485" t="s">
        <v>5349</v>
      </c>
      <c r="R427" s="485" t="s">
        <v>5557</v>
      </c>
      <c r="S427" s="485" t="s">
        <v>5558</v>
      </c>
      <c r="T427" s="485">
        <v>8</v>
      </c>
      <c r="U427" s="485" t="s">
        <v>4815</v>
      </c>
      <c r="V427" s="485">
        <v>9</v>
      </c>
      <c r="W427" s="485" t="s">
        <v>5548</v>
      </c>
      <c r="X427" s="485">
        <v>11</v>
      </c>
      <c r="Y427" s="485" t="s">
        <v>5559</v>
      </c>
      <c r="Z427" s="486">
        <v>0</v>
      </c>
      <c r="AA427" s="486">
        <v>0</v>
      </c>
      <c r="AB427" s="486">
        <v>0</v>
      </c>
      <c r="AC427" s="486">
        <v>0</v>
      </c>
      <c r="AD427" s="486">
        <v>0</v>
      </c>
      <c r="AE427" s="486">
        <v>0</v>
      </c>
      <c r="AF427" s="486">
        <v>0</v>
      </c>
      <c r="AG427" s="486">
        <v>0</v>
      </c>
      <c r="AH427" s="487">
        <v>0</v>
      </c>
      <c r="AI427" s="486"/>
      <c r="AJ427" s="486"/>
      <c r="AK427" s="486"/>
      <c r="AL427" s="488">
        <v>0</v>
      </c>
      <c r="AM427" s="489">
        <v>0</v>
      </c>
      <c r="AN427" s="486">
        <v>0</v>
      </c>
      <c r="AO427" s="486">
        <v>0</v>
      </c>
      <c r="AP427" s="486">
        <v>0</v>
      </c>
      <c r="AQ427" s="486">
        <v>0</v>
      </c>
      <c r="AR427" s="486">
        <v>0</v>
      </c>
      <c r="AS427" s="486">
        <v>0</v>
      </c>
      <c r="AT427" s="486">
        <v>1000000000</v>
      </c>
      <c r="AU427" s="486">
        <v>0</v>
      </c>
      <c r="AV427" s="487">
        <v>1000000000</v>
      </c>
      <c r="AW427" s="486">
        <v>1000000000</v>
      </c>
      <c r="AX427" s="486"/>
      <c r="AY427" s="486"/>
      <c r="AZ427" s="488">
        <v>1000000000</v>
      </c>
      <c r="BA427" s="490">
        <v>2000000000</v>
      </c>
      <c r="BB427" s="486">
        <v>0</v>
      </c>
      <c r="BC427" s="486">
        <v>0</v>
      </c>
      <c r="BD427" s="486">
        <v>0</v>
      </c>
      <c r="BE427" s="486">
        <v>0</v>
      </c>
      <c r="BF427" s="486">
        <v>0</v>
      </c>
      <c r="BG427" s="486">
        <v>0</v>
      </c>
      <c r="BH427" s="486"/>
      <c r="BI427" s="486">
        <v>0</v>
      </c>
      <c r="BJ427" s="487">
        <v>0</v>
      </c>
      <c r="BK427" s="486">
        <v>1500000000</v>
      </c>
      <c r="BL427" s="486"/>
      <c r="BM427" s="486"/>
      <c r="BN427" s="488">
        <v>1500000000</v>
      </c>
      <c r="BO427" s="490">
        <v>1500000000</v>
      </c>
      <c r="BP427" s="486">
        <v>0</v>
      </c>
      <c r="BQ427" s="486">
        <v>0</v>
      </c>
      <c r="BR427" s="486">
        <v>0</v>
      </c>
      <c r="BS427" s="486">
        <v>0</v>
      </c>
      <c r="BT427" s="486">
        <v>0</v>
      </c>
      <c r="BU427" s="486">
        <v>0</v>
      </c>
      <c r="BV427" s="486">
        <v>0</v>
      </c>
      <c r="BW427" s="486">
        <v>0</v>
      </c>
      <c r="BX427" s="487">
        <v>0</v>
      </c>
      <c r="BY427" s="486"/>
      <c r="BZ427" s="486"/>
      <c r="CA427" s="486"/>
      <c r="CB427" s="488">
        <v>0</v>
      </c>
      <c r="CC427" s="491">
        <v>0</v>
      </c>
      <c r="CD427" s="492">
        <v>3500000000</v>
      </c>
      <c r="CE427" s="493">
        <f t="shared" si="29"/>
        <v>0</v>
      </c>
      <c r="CF427" s="493">
        <f t="shared" si="29"/>
        <v>0</v>
      </c>
      <c r="CG427" s="493">
        <f t="shared" si="29"/>
        <v>0</v>
      </c>
      <c r="CH427" s="493">
        <f t="shared" si="29"/>
        <v>0</v>
      </c>
      <c r="CI427" s="493">
        <f t="shared" si="26"/>
        <v>0</v>
      </c>
      <c r="CJ427" s="493">
        <f t="shared" si="26"/>
        <v>0</v>
      </c>
      <c r="CK427" s="493">
        <f t="shared" si="26"/>
        <v>1000000000</v>
      </c>
      <c r="CL427" s="493">
        <f t="shared" si="26"/>
        <v>0</v>
      </c>
      <c r="CM427" s="493">
        <f t="shared" si="28"/>
        <v>2500000000</v>
      </c>
      <c r="CN427" s="493">
        <f t="shared" si="28"/>
        <v>0</v>
      </c>
      <c r="CO427" s="493">
        <f t="shared" si="28"/>
        <v>0</v>
      </c>
    </row>
    <row r="428" spans="1:93" ht="30.45" hidden="1" customHeight="1">
      <c r="A428" s="555" t="s">
        <v>2461</v>
      </c>
      <c r="B428" s="479">
        <v>426</v>
      </c>
      <c r="C428" s="480" t="s">
        <v>6370</v>
      </c>
      <c r="D428" s="480" t="s">
        <v>4802</v>
      </c>
      <c r="E428" s="480" t="str">
        <f t="shared" si="27"/>
        <v xml:space="preserve">4.3.2 </v>
      </c>
      <c r="F428" s="480" t="s">
        <v>4811</v>
      </c>
      <c r="G428" s="480" t="s">
        <v>4812</v>
      </c>
      <c r="H428" s="481">
        <v>43</v>
      </c>
      <c r="I428" s="480" t="s">
        <v>4783</v>
      </c>
      <c r="J428" s="495">
        <v>430202700</v>
      </c>
      <c r="K428" s="480" t="s">
        <v>4828</v>
      </c>
      <c r="L428" s="480" t="s">
        <v>4829</v>
      </c>
      <c r="M428" s="480" t="s">
        <v>6017</v>
      </c>
      <c r="N428" s="499">
        <v>1</v>
      </c>
      <c r="O428" s="480" t="s">
        <v>4818</v>
      </c>
      <c r="P428" s="515" t="s">
        <v>6596</v>
      </c>
      <c r="Q428" s="485" t="s">
        <v>5349</v>
      </c>
      <c r="R428" s="485" t="s">
        <v>5557</v>
      </c>
      <c r="S428" s="485" t="s">
        <v>5558</v>
      </c>
      <c r="T428" s="485">
        <v>8</v>
      </c>
      <c r="U428" s="485" t="s">
        <v>4815</v>
      </c>
      <c r="V428" s="485">
        <v>9</v>
      </c>
      <c r="W428" s="485" t="s">
        <v>5548</v>
      </c>
      <c r="X428" s="485">
        <v>11</v>
      </c>
      <c r="Y428" s="485" t="s">
        <v>5559</v>
      </c>
      <c r="Z428" s="486">
        <v>0</v>
      </c>
      <c r="AA428" s="486">
        <v>0</v>
      </c>
      <c r="AB428" s="486">
        <v>0</v>
      </c>
      <c r="AC428" s="486">
        <v>0</v>
      </c>
      <c r="AD428" s="486">
        <v>0</v>
      </c>
      <c r="AE428" s="486">
        <v>0</v>
      </c>
      <c r="AF428" s="486"/>
      <c r="AG428" s="486">
        <v>0</v>
      </c>
      <c r="AH428" s="487">
        <v>0</v>
      </c>
      <c r="AI428" s="486"/>
      <c r="AJ428" s="486"/>
      <c r="AK428" s="486"/>
      <c r="AL428" s="488">
        <v>0</v>
      </c>
      <c r="AM428" s="489">
        <v>0</v>
      </c>
      <c r="AN428" s="486">
        <v>0</v>
      </c>
      <c r="AO428" s="486">
        <v>0</v>
      </c>
      <c r="AP428" s="486">
        <v>0</v>
      </c>
      <c r="AQ428" s="486">
        <v>0</v>
      </c>
      <c r="AR428" s="486">
        <v>0</v>
      </c>
      <c r="AS428" s="486">
        <v>0</v>
      </c>
      <c r="AT428" s="486">
        <v>1000000000</v>
      </c>
      <c r="AU428" s="486">
        <v>0</v>
      </c>
      <c r="AV428" s="487">
        <v>1000000000</v>
      </c>
      <c r="AW428" s="486">
        <v>500000000</v>
      </c>
      <c r="AX428" s="486"/>
      <c r="AY428" s="486"/>
      <c r="AZ428" s="488">
        <v>500000000</v>
      </c>
      <c r="BA428" s="490">
        <v>1500000000</v>
      </c>
      <c r="BB428" s="486">
        <v>0</v>
      </c>
      <c r="BC428" s="486">
        <v>0</v>
      </c>
      <c r="BD428" s="486">
        <v>0</v>
      </c>
      <c r="BE428" s="486">
        <v>0</v>
      </c>
      <c r="BF428" s="486">
        <v>0</v>
      </c>
      <c r="BG428" s="486">
        <v>0</v>
      </c>
      <c r="BH428" s="486">
        <v>1000000000</v>
      </c>
      <c r="BI428" s="486">
        <v>0</v>
      </c>
      <c r="BJ428" s="487">
        <v>1000000000</v>
      </c>
      <c r="BK428" s="486">
        <v>5000000000</v>
      </c>
      <c r="BL428" s="486"/>
      <c r="BM428" s="486"/>
      <c r="BN428" s="488">
        <v>5000000000</v>
      </c>
      <c r="BO428" s="490">
        <v>6000000000</v>
      </c>
      <c r="BP428" s="486">
        <v>0</v>
      </c>
      <c r="BQ428" s="486">
        <v>0</v>
      </c>
      <c r="BR428" s="486">
        <v>0</v>
      </c>
      <c r="BS428" s="486">
        <v>0</v>
      </c>
      <c r="BT428" s="486">
        <v>0</v>
      </c>
      <c r="BU428" s="486">
        <v>0</v>
      </c>
      <c r="BV428" s="486">
        <v>0</v>
      </c>
      <c r="BW428" s="486">
        <v>0</v>
      </c>
      <c r="BX428" s="487">
        <v>0</v>
      </c>
      <c r="BY428" s="486">
        <v>1000000000</v>
      </c>
      <c r="BZ428" s="486"/>
      <c r="CA428" s="486"/>
      <c r="CB428" s="488">
        <v>1000000000</v>
      </c>
      <c r="CC428" s="491">
        <v>1000000000</v>
      </c>
      <c r="CD428" s="492">
        <v>8500000000</v>
      </c>
      <c r="CE428" s="493">
        <f t="shared" si="29"/>
        <v>0</v>
      </c>
      <c r="CF428" s="493">
        <f t="shared" si="29"/>
        <v>0</v>
      </c>
      <c r="CG428" s="493">
        <f t="shared" si="29"/>
        <v>0</v>
      </c>
      <c r="CH428" s="493">
        <f t="shared" si="29"/>
        <v>0</v>
      </c>
      <c r="CI428" s="493">
        <f t="shared" si="26"/>
        <v>0</v>
      </c>
      <c r="CJ428" s="493">
        <f t="shared" si="26"/>
        <v>0</v>
      </c>
      <c r="CK428" s="493">
        <f t="shared" si="26"/>
        <v>2000000000</v>
      </c>
      <c r="CL428" s="493">
        <f t="shared" si="26"/>
        <v>0</v>
      </c>
      <c r="CM428" s="493">
        <f t="shared" si="28"/>
        <v>6500000000</v>
      </c>
      <c r="CN428" s="493">
        <f t="shared" si="28"/>
        <v>0</v>
      </c>
      <c r="CO428" s="493">
        <f t="shared" si="28"/>
        <v>0</v>
      </c>
    </row>
    <row r="429" spans="1:93" ht="30.45" hidden="1" customHeight="1">
      <c r="A429" s="555" t="s">
        <v>2461</v>
      </c>
      <c r="B429" s="479">
        <v>427</v>
      </c>
      <c r="C429" s="480" t="s">
        <v>6370</v>
      </c>
      <c r="D429" s="480" t="s">
        <v>4802</v>
      </c>
      <c r="E429" s="480" t="str">
        <f t="shared" si="27"/>
        <v xml:space="preserve">4.3.2 </v>
      </c>
      <c r="F429" s="480" t="s">
        <v>4811</v>
      </c>
      <c r="G429" s="480" t="s">
        <v>4812</v>
      </c>
      <c r="H429" s="481">
        <v>43</v>
      </c>
      <c r="I429" s="480" t="s">
        <v>4783</v>
      </c>
      <c r="J429" s="495">
        <v>430206900</v>
      </c>
      <c r="K429" s="480" t="s">
        <v>4830</v>
      </c>
      <c r="L429" s="480" t="s">
        <v>4831</v>
      </c>
      <c r="M429" s="480" t="s">
        <v>6018</v>
      </c>
      <c r="N429" s="499">
        <v>7</v>
      </c>
      <c r="O429" s="480" t="s">
        <v>4818</v>
      </c>
      <c r="P429" s="515">
        <v>10</v>
      </c>
      <c r="Q429" s="485" t="s">
        <v>5349</v>
      </c>
      <c r="R429" s="485" t="s">
        <v>5557</v>
      </c>
      <c r="S429" s="485" t="s">
        <v>5558</v>
      </c>
      <c r="T429" s="485">
        <v>8</v>
      </c>
      <c r="U429" s="485" t="s">
        <v>4815</v>
      </c>
      <c r="V429" s="485">
        <v>9</v>
      </c>
      <c r="W429" s="485" t="s">
        <v>5548</v>
      </c>
      <c r="X429" s="485">
        <v>11</v>
      </c>
      <c r="Y429" s="485" t="s">
        <v>5559</v>
      </c>
      <c r="Z429" s="486">
        <v>0</v>
      </c>
      <c r="AA429" s="486">
        <v>0</v>
      </c>
      <c r="AB429" s="486">
        <v>0</v>
      </c>
      <c r="AC429" s="486">
        <v>0</v>
      </c>
      <c r="AD429" s="486">
        <v>0</v>
      </c>
      <c r="AE429" s="486">
        <v>0</v>
      </c>
      <c r="AF429" s="486">
        <v>0</v>
      </c>
      <c r="AG429" s="486">
        <v>0</v>
      </c>
      <c r="AH429" s="487">
        <v>0</v>
      </c>
      <c r="AI429" s="486"/>
      <c r="AJ429" s="486"/>
      <c r="AK429" s="486"/>
      <c r="AL429" s="488">
        <v>0</v>
      </c>
      <c r="AM429" s="489">
        <v>0</v>
      </c>
      <c r="AN429" s="486">
        <v>0</v>
      </c>
      <c r="AO429" s="486">
        <v>0</v>
      </c>
      <c r="AP429" s="486">
        <v>0</v>
      </c>
      <c r="AQ429" s="486">
        <v>0</v>
      </c>
      <c r="AR429" s="486">
        <v>0</v>
      </c>
      <c r="AS429" s="486">
        <v>0</v>
      </c>
      <c r="AT429" s="486">
        <v>1500000000</v>
      </c>
      <c r="AU429" s="486">
        <v>0</v>
      </c>
      <c r="AV429" s="487">
        <v>1500000000</v>
      </c>
      <c r="AW429" s="486">
        <v>0</v>
      </c>
      <c r="AX429" s="486"/>
      <c r="AY429" s="486"/>
      <c r="AZ429" s="488">
        <v>0</v>
      </c>
      <c r="BA429" s="490">
        <v>1500000000</v>
      </c>
      <c r="BB429" s="486">
        <v>0</v>
      </c>
      <c r="BC429" s="486">
        <v>0</v>
      </c>
      <c r="BD429" s="486">
        <v>0</v>
      </c>
      <c r="BE429" s="486">
        <v>0</v>
      </c>
      <c r="BF429" s="486">
        <v>0</v>
      </c>
      <c r="BG429" s="486">
        <v>0</v>
      </c>
      <c r="BH429" s="486">
        <v>1500000000</v>
      </c>
      <c r="BI429" s="486">
        <v>0</v>
      </c>
      <c r="BJ429" s="487">
        <v>1500000000</v>
      </c>
      <c r="BK429" s="486">
        <v>500000000</v>
      </c>
      <c r="BL429" s="486"/>
      <c r="BM429" s="486"/>
      <c r="BN429" s="488">
        <v>500000000</v>
      </c>
      <c r="BO429" s="490">
        <v>2000000000</v>
      </c>
      <c r="BP429" s="486">
        <v>0</v>
      </c>
      <c r="BQ429" s="486">
        <v>0</v>
      </c>
      <c r="BR429" s="486">
        <v>0</v>
      </c>
      <c r="BS429" s="486">
        <v>0</v>
      </c>
      <c r="BT429" s="486">
        <v>0</v>
      </c>
      <c r="BU429" s="486">
        <v>0</v>
      </c>
      <c r="BV429" s="486">
        <v>0</v>
      </c>
      <c r="BW429" s="486">
        <v>0</v>
      </c>
      <c r="BX429" s="487">
        <v>0</v>
      </c>
      <c r="BY429" s="486">
        <v>2000000000</v>
      </c>
      <c r="BZ429" s="486"/>
      <c r="CA429" s="486"/>
      <c r="CB429" s="488">
        <v>2000000000</v>
      </c>
      <c r="CC429" s="491">
        <v>2000000000</v>
      </c>
      <c r="CD429" s="492">
        <v>5500000000</v>
      </c>
      <c r="CE429" s="493">
        <f t="shared" si="29"/>
        <v>0</v>
      </c>
      <c r="CF429" s="493">
        <f t="shared" si="29"/>
        <v>0</v>
      </c>
      <c r="CG429" s="493">
        <f t="shared" si="29"/>
        <v>0</v>
      </c>
      <c r="CH429" s="493">
        <f t="shared" si="29"/>
        <v>0</v>
      </c>
      <c r="CI429" s="493">
        <f t="shared" si="26"/>
        <v>0</v>
      </c>
      <c r="CJ429" s="493">
        <f t="shared" si="26"/>
        <v>0</v>
      </c>
      <c r="CK429" s="493">
        <f t="shared" si="26"/>
        <v>3000000000</v>
      </c>
      <c r="CL429" s="493">
        <f t="shared" ref="CL429:CL492" si="30">AG429+AU429+BI429+BW429</f>
        <v>0</v>
      </c>
      <c r="CM429" s="493">
        <f t="shared" si="28"/>
        <v>2500000000</v>
      </c>
      <c r="CN429" s="493">
        <f t="shared" si="28"/>
        <v>0</v>
      </c>
      <c r="CO429" s="493">
        <f t="shared" si="28"/>
        <v>0</v>
      </c>
    </row>
    <row r="430" spans="1:93" ht="30.45" hidden="1" customHeight="1">
      <c r="A430" s="555" t="s">
        <v>2461</v>
      </c>
      <c r="B430" s="479">
        <v>428</v>
      </c>
      <c r="C430" s="480" t="s">
        <v>6370</v>
      </c>
      <c r="D430" s="480" t="s">
        <v>4802</v>
      </c>
      <c r="E430" s="480" t="str">
        <f t="shared" si="27"/>
        <v xml:space="preserve">4.3.2 </v>
      </c>
      <c r="F430" s="480" t="s">
        <v>4811</v>
      </c>
      <c r="G430" s="480" t="s">
        <v>4812</v>
      </c>
      <c r="H430" s="481">
        <v>43</v>
      </c>
      <c r="I430" s="480" t="s">
        <v>4783</v>
      </c>
      <c r="J430" s="495">
        <v>430100600</v>
      </c>
      <c r="K430" s="480" t="s">
        <v>6523</v>
      </c>
      <c r="L430" s="480" t="s">
        <v>4113</v>
      </c>
      <c r="M430" s="480" t="s">
        <v>6019</v>
      </c>
      <c r="N430" s="499">
        <v>0</v>
      </c>
      <c r="O430" s="480" t="s">
        <v>4407</v>
      </c>
      <c r="P430" s="515">
        <v>1</v>
      </c>
      <c r="Q430" s="485" t="s">
        <v>5349</v>
      </c>
      <c r="R430" s="485" t="s">
        <v>5557</v>
      </c>
      <c r="S430" s="485" t="s">
        <v>5558</v>
      </c>
      <c r="T430" s="485">
        <v>8</v>
      </c>
      <c r="U430" s="485" t="s">
        <v>4815</v>
      </c>
      <c r="V430" s="485">
        <v>9</v>
      </c>
      <c r="W430" s="485" t="s">
        <v>5548</v>
      </c>
      <c r="X430" s="485">
        <v>11</v>
      </c>
      <c r="Y430" s="485" t="s">
        <v>5559</v>
      </c>
      <c r="Z430" s="486">
        <v>0</v>
      </c>
      <c r="AA430" s="486">
        <v>0</v>
      </c>
      <c r="AB430" s="486">
        <v>0</v>
      </c>
      <c r="AC430" s="486">
        <v>0</v>
      </c>
      <c r="AD430" s="486">
        <v>0</v>
      </c>
      <c r="AE430" s="486">
        <v>0</v>
      </c>
      <c r="AF430" s="486">
        <v>0</v>
      </c>
      <c r="AG430" s="486">
        <v>0</v>
      </c>
      <c r="AH430" s="487">
        <v>0</v>
      </c>
      <c r="AI430" s="486"/>
      <c r="AJ430" s="486"/>
      <c r="AK430" s="486"/>
      <c r="AL430" s="488">
        <v>0</v>
      </c>
      <c r="AM430" s="489">
        <v>0</v>
      </c>
      <c r="AN430" s="486">
        <v>0</v>
      </c>
      <c r="AO430" s="486">
        <v>0</v>
      </c>
      <c r="AP430" s="486">
        <v>0</v>
      </c>
      <c r="AQ430" s="486">
        <v>0</v>
      </c>
      <c r="AR430" s="486">
        <v>0</v>
      </c>
      <c r="AS430" s="486">
        <v>5000000</v>
      </c>
      <c r="AT430" s="486"/>
      <c r="AU430" s="486">
        <v>0</v>
      </c>
      <c r="AV430" s="487">
        <v>5000000</v>
      </c>
      <c r="AW430" s="486">
        <v>0</v>
      </c>
      <c r="AX430" s="486">
        <v>0</v>
      </c>
      <c r="AY430" s="486">
        <v>0</v>
      </c>
      <c r="AZ430" s="488">
        <v>0</v>
      </c>
      <c r="BA430" s="490">
        <v>5000000</v>
      </c>
      <c r="BB430" s="486">
        <v>0</v>
      </c>
      <c r="BC430" s="486">
        <v>0</v>
      </c>
      <c r="BD430" s="486">
        <v>0</v>
      </c>
      <c r="BE430" s="486">
        <v>0</v>
      </c>
      <c r="BF430" s="486">
        <v>0</v>
      </c>
      <c r="BG430" s="486">
        <v>0</v>
      </c>
      <c r="BH430" s="486"/>
      <c r="BI430" s="486">
        <v>0</v>
      </c>
      <c r="BJ430" s="487">
        <v>0</v>
      </c>
      <c r="BK430" s="486"/>
      <c r="BL430" s="486"/>
      <c r="BM430" s="486"/>
      <c r="BN430" s="488">
        <v>0</v>
      </c>
      <c r="BO430" s="490">
        <v>0</v>
      </c>
      <c r="BP430" s="486">
        <v>0</v>
      </c>
      <c r="BQ430" s="486">
        <v>0</v>
      </c>
      <c r="BR430" s="486">
        <v>0</v>
      </c>
      <c r="BS430" s="486">
        <v>0</v>
      </c>
      <c r="BT430" s="486">
        <v>0</v>
      </c>
      <c r="BU430" s="486">
        <v>0</v>
      </c>
      <c r="BV430" s="486">
        <v>0</v>
      </c>
      <c r="BW430" s="486">
        <v>0</v>
      </c>
      <c r="BX430" s="487">
        <v>0</v>
      </c>
      <c r="BY430" s="486"/>
      <c r="BZ430" s="486"/>
      <c r="CA430" s="486"/>
      <c r="CB430" s="488">
        <v>0</v>
      </c>
      <c r="CC430" s="491">
        <v>0</v>
      </c>
      <c r="CD430" s="492">
        <v>5000000</v>
      </c>
      <c r="CE430" s="493">
        <f t="shared" si="29"/>
        <v>0</v>
      </c>
      <c r="CF430" s="493">
        <f t="shared" si="29"/>
        <v>0</v>
      </c>
      <c r="CG430" s="493">
        <f t="shared" si="29"/>
        <v>0</v>
      </c>
      <c r="CH430" s="493">
        <f t="shared" si="29"/>
        <v>0</v>
      </c>
      <c r="CI430" s="493">
        <f t="shared" si="29"/>
        <v>0</v>
      </c>
      <c r="CJ430" s="493">
        <f t="shared" si="29"/>
        <v>5000000</v>
      </c>
      <c r="CK430" s="493">
        <f t="shared" si="29"/>
        <v>0</v>
      </c>
      <c r="CL430" s="493">
        <f t="shared" si="30"/>
        <v>0</v>
      </c>
      <c r="CM430" s="493">
        <f t="shared" si="28"/>
        <v>0</v>
      </c>
      <c r="CN430" s="493">
        <f t="shared" si="28"/>
        <v>0</v>
      </c>
      <c r="CO430" s="493">
        <f t="shared" si="28"/>
        <v>0</v>
      </c>
    </row>
    <row r="431" spans="1:93" ht="30.45" hidden="1" customHeight="1">
      <c r="A431" s="555" t="s">
        <v>4674</v>
      </c>
      <c r="B431" s="479">
        <v>429</v>
      </c>
      <c r="C431" s="480" t="s">
        <v>6370</v>
      </c>
      <c r="D431" s="480" t="s">
        <v>4802</v>
      </c>
      <c r="E431" s="480" t="str">
        <f t="shared" si="27"/>
        <v xml:space="preserve">4.3.3 </v>
      </c>
      <c r="F431" s="480" t="s">
        <v>4832</v>
      </c>
      <c r="G431" s="480" t="s">
        <v>4833</v>
      </c>
      <c r="H431" s="481">
        <v>32</v>
      </c>
      <c r="I431" s="480" t="s">
        <v>4398</v>
      </c>
      <c r="J431" s="495">
        <v>320303400</v>
      </c>
      <c r="K431" s="480" t="s">
        <v>4303</v>
      </c>
      <c r="L431" s="480" t="s">
        <v>4834</v>
      </c>
      <c r="M431" s="480" t="s">
        <v>6020</v>
      </c>
      <c r="N431" s="499">
        <v>3</v>
      </c>
      <c r="O431" s="480" t="s">
        <v>4673</v>
      </c>
      <c r="P431" s="515">
        <v>23</v>
      </c>
      <c r="Q431" s="485" t="s">
        <v>1634</v>
      </c>
      <c r="R431" s="485" t="s">
        <v>5560</v>
      </c>
      <c r="S431" s="485" t="s">
        <v>677</v>
      </c>
      <c r="T431" s="485">
        <v>75</v>
      </c>
      <c r="U431" s="485" t="s">
        <v>4673</v>
      </c>
      <c r="V431" s="485">
        <v>85</v>
      </c>
      <c r="W431" s="485" t="s">
        <v>5328</v>
      </c>
      <c r="X431" s="485">
        <v>6</v>
      </c>
      <c r="Y431" s="485" t="s">
        <v>5561</v>
      </c>
      <c r="Z431" s="486">
        <v>1256883816.8</v>
      </c>
      <c r="AA431" s="486"/>
      <c r="AB431" s="486">
        <v>0</v>
      </c>
      <c r="AC431" s="486">
        <v>0</v>
      </c>
      <c r="AD431" s="486">
        <v>0</v>
      </c>
      <c r="AE431" s="486">
        <v>0</v>
      </c>
      <c r="AF431" s="486">
        <v>0</v>
      </c>
      <c r="AG431" s="486">
        <v>0</v>
      </c>
      <c r="AH431" s="487">
        <v>1256883816.8</v>
      </c>
      <c r="AI431" s="486">
        <v>0</v>
      </c>
      <c r="AJ431" s="486">
        <v>0</v>
      </c>
      <c r="AK431" s="486">
        <v>0</v>
      </c>
      <c r="AL431" s="488">
        <v>0</v>
      </c>
      <c r="AM431" s="489">
        <v>1256883816.8</v>
      </c>
      <c r="AN431" s="486">
        <v>140000000</v>
      </c>
      <c r="AO431" s="486">
        <v>0</v>
      </c>
      <c r="AP431" s="486">
        <v>0</v>
      </c>
      <c r="AQ431" s="486">
        <v>0</v>
      </c>
      <c r="AR431" s="486">
        <v>0</v>
      </c>
      <c r="AS431" s="486">
        <v>0</v>
      </c>
      <c r="AT431" s="486">
        <v>0</v>
      </c>
      <c r="AU431" s="486">
        <v>0</v>
      </c>
      <c r="AV431" s="487">
        <v>140000000</v>
      </c>
      <c r="AW431" s="486">
        <v>0</v>
      </c>
      <c r="AX431" s="486">
        <v>0</v>
      </c>
      <c r="AY431" s="486">
        <v>0</v>
      </c>
      <c r="AZ431" s="488">
        <v>0</v>
      </c>
      <c r="BA431" s="490">
        <v>140000000</v>
      </c>
      <c r="BB431" s="486">
        <v>700000000</v>
      </c>
      <c r="BC431" s="486"/>
      <c r="BD431" s="486">
        <v>0</v>
      </c>
      <c r="BE431" s="486">
        <v>0</v>
      </c>
      <c r="BF431" s="486">
        <v>0</v>
      </c>
      <c r="BG431" s="486">
        <v>0</v>
      </c>
      <c r="BH431" s="486">
        <v>0</v>
      </c>
      <c r="BI431" s="486">
        <v>0</v>
      </c>
      <c r="BJ431" s="487">
        <v>700000000</v>
      </c>
      <c r="BK431" s="486">
        <v>0</v>
      </c>
      <c r="BL431" s="486">
        <v>0</v>
      </c>
      <c r="BM431" s="486">
        <v>0</v>
      </c>
      <c r="BN431" s="488">
        <v>0</v>
      </c>
      <c r="BO431" s="490">
        <v>700000000</v>
      </c>
      <c r="BP431" s="486">
        <v>1000000000</v>
      </c>
      <c r="BQ431" s="486"/>
      <c r="BR431" s="486">
        <v>0</v>
      </c>
      <c r="BS431" s="486">
        <v>0</v>
      </c>
      <c r="BT431" s="486">
        <v>0</v>
      </c>
      <c r="BU431" s="486">
        <v>0</v>
      </c>
      <c r="BV431" s="486">
        <v>0</v>
      </c>
      <c r="BW431" s="486">
        <v>0</v>
      </c>
      <c r="BX431" s="487">
        <v>1000000000</v>
      </c>
      <c r="BY431" s="486">
        <v>0</v>
      </c>
      <c r="BZ431" s="486">
        <v>0</v>
      </c>
      <c r="CA431" s="486">
        <v>0</v>
      </c>
      <c r="CB431" s="488">
        <v>0</v>
      </c>
      <c r="CC431" s="491">
        <v>1000000000</v>
      </c>
      <c r="CD431" s="492">
        <v>3096883816.8000002</v>
      </c>
      <c r="CE431" s="493">
        <f t="shared" si="29"/>
        <v>3096883816.8000002</v>
      </c>
      <c r="CF431" s="493">
        <f t="shared" si="29"/>
        <v>0</v>
      </c>
      <c r="CG431" s="493">
        <f t="shared" si="29"/>
        <v>0</v>
      </c>
      <c r="CH431" s="493">
        <f t="shared" si="29"/>
        <v>0</v>
      </c>
      <c r="CI431" s="493">
        <f t="shared" si="29"/>
        <v>0</v>
      </c>
      <c r="CJ431" s="493">
        <f t="shared" si="29"/>
        <v>0</v>
      </c>
      <c r="CK431" s="493">
        <f t="shared" si="29"/>
        <v>0</v>
      </c>
      <c r="CL431" s="493">
        <f t="shared" si="30"/>
        <v>0</v>
      </c>
      <c r="CM431" s="493">
        <f t="shared" si="28"/>
        <v>0</v>
      </c>
      <c r="CN431" s="493">
        <f t="shared" si="28"/>
        <v>0</v>
      </c>
      <c r="CO431" s="493">
        <f t="shared" si="28"/>
        <v>0</v>
      </c>
    </row>
    <row r="432" spans="1:93" ht="30.45" hidden="1" customHeight="1">
      <c r="A432" s="555" t="s">
        <v>4674</v>
      </c>
      <c r="B432" s="479">
        <v>430</v>
      </c>
      <c r="C432" s="480" t="s">
        <v>6370</v>
      </c>
      <c r="D432" s="480" t="s">
        <v>4802</v>
      </c>
      <c r="E432" s="480" t="str">
        <f t="shared" si="27"/>
        <v xml:space="preserve">4.3.3 </v>
      </c>
      <c r="F432" s="480" t="s">
        <v>4832</v>
      </c>
      <c r="G432" s="480" t="s">
        <v>4833</v>
      </c>
      <c r="H432" s="481">
        <v>32</v>
      </c>
      <c r="I432" s="480" t="s">
        <v>4398</v>
      </c>
      <c r="J432" s="495">
        <v>320303400</v>
      </c>
      <c r="K432" s="480" t="s">
        <v>4303</v>
      </c>
      <c r="L432" s="480" t="s">
        <v>4835</v>
      </c>
      <c r="M432" s="480" t="s">
        <v>6021</v>
      </c>
      <c r="N432" s="499">
        <v>0</v>
      </c>
      <c r="O432" s="480" t="s">
        <v>4673</v>
      </c>
      <c r="P432" s="515">
        <v>4</v>
      </c>
      <c r="Q432" s="485" t="s">
        <v>1634</v>
      </c>
      <c r="R432" s="485" t="s">
        <v>5560</v>
      </c>
      <c r="S432" s="485" t="s">
        <v>677</v>
      </c>
      <c r="T432" s="485">
        <v>75</v>
      </c>
      <c r="U432" s="485" t="s">
        <v>4673</v>
      </c>
      <c r="V432" s="485">
        <v>85</v>
      </c>
      <c r="W432" s="485" t="s">
        <v>5328</v>
      </c>
      <c r="X432" s="485">
        <v>6</v>
      </c>
      <c r="Y432" s="485" t="s">
        <v>5561</v>
      </c>
      <c r="Z432" s="486">
        <v>0</v>
      </c>
      <c r="AA432" s="486">
        <v>1153688964</v>
      </c>
      <c r="AB432" s="486">
        <v>0</v>
      </c>
      <c r="AC432" s="486">
        <v>0</v>
      </c>
      <c r="AD432" s="486">
        <v>0</v>
      </c>
      <c r="AE432" s="486">
        <v>0</v>
      </c>
      <c r="AF432" s="486">
        <v>0</v>
      </c>
      <c r="AG432" s="486">
        <v>0</v>
      </c>
      <c r="AH432" s="487">
        <v>1153688964</v>
      </c>
      <c r="AI432" s="486">
        <v>0</v>
      </c>
      <c r="AJ432" s="486">
        <v>0</v>
      </c>
      <c r="AK432" s="486">
        <v>0</v>
      </c>
      <c r="AL432" s="488">
        <v>0</v>
      </c>
      <c r="AM432" s="489">
        <v>1153688964</v>
      </c>
      <c r="AN432" s="486">
        <v>0</v>
      </c>
      <c r="AO432" s="486">
        <v>0</v>
      </c>
      <c r="AP432" s="486">
        <v>0</v>
      </c>
      <c r="AQ432" s="486">
        <v>0</v>
      </c>
      <c r="AR432" s="486">
        <v>0</v>
      </c>
      <c r="AS432" s="486">
        <v>0</v>
      </c>
      <c r="AT432" s="486">
        <v>0</v>
      </c>
      <c r="AU432" s="486">
        <v>0</v>
      </c>
      <c r="AV432" s="487">
        <v>0</v>
      </c>
      <c r="AW432" s="486">
        <v>500000000</v>
      </c>
      <c r="AX432" s="486">
        <v>0</v>
      </c>
      <c r="AY432" s="486">
        <v>0</v>
      </c>
      <c r="AZ432" s="488">
        <v>500000000</v>
      </c>
      <c r="BA432" s="490">
        <v>500000000</v>
      </c>
      <c r="BB432" s="486">
        <v>0</v>
      </c>
      <c r="BC432" s="486">
        <v>0</v>
      </c>
      <c r="BD432" s="486">
        <v>0</v>
      </c>
      <c r="BE432" s="486">
        <v>0</v>
      </c>
      <c r="BF432" s="486">
        <v>0</v>
      </c>
      <c r="BG432" s="486">
        <v>0</v>
      </c>
      <c r="BH432" s="486">
        <v>0</v>
      </c>
      <c r="BI432" s="486">
        <v>0</v>
      </c>
      <c r="BJ432" s="487">
        <v>0</v>
      </c>
      <c r="BK432" s="486">
        <v>1000000000</v>
      </c>
      <c r="BL432" s="486">
        <v>0</v>
      </c>
      <c r="BM432" s="486">
        <v>0</v>
      </c>
      <c r="BN432" s="488">
        <v>1000000000</v>
      </c>
      <c r="BO432" s="490">
        <v>1000000000</v>
      </c>
      <c r="BP432" s="486">
        <v>0</v>
      </c>
      <c r="BQ432" s="486">
        <v>0</v>
      </c>
      <c r="BR432" s="486">
        <v>0</v>
      </c>
      <c r="BS432" s="486">
        <v>0</v>
      </c>
      <c r="BT432" s="486">
        <v>0</v>
      </c>
      <c r="BU432" s="486">
        <v>0</v>
      </c>
      <c r="BV432" s="486">
        <v>0</v>
      </c>
      <c r="BW432" s="486">
        <v>0</v>
      </c>
      <c r="BX432" s="487">
        <v>0</v>
      </c>
      <c r="BY432" s="486">
        <v>500000000</v>
      </c>
      <c r="BZ432" s="486">
        <v>0</v>
      </c>
      <c r="CA432" s="486">
        <v>0</v>
      </c>
      <c r="CB432" s="488">
        <v>500000000</v>
      </c>
      <c r="CC432" s="491">
        <v>500000000</v>
      </c>
      <c r="CD432" s="492">
        <v>3153688964</v>
      </c>
      <c r="CE432" s="493">
        <f t="shared" si="29"/>
        <v>0</v>
      </c>
      <c r="CF432" s="493">
        <f t="shared" si="29"/>
        <v>1153688964</v>
      </c>
      <c r="CG432" s="493">
        <f t="shared" si="29"/>
        <v>0</v>
      </c>
      <c r="CH432" s="493">
        <f t="shared" si="29"/>
        <v>0</v>
      </c>
      <c r="CI432" s="493">
        <f t="shared" si="29"/>
        <v>0</v>
      </c>
      <c r="CJ432" s="493">
        <f t="shared" si="29"/>
        <v>0</v>
      </c>
      <c r="CK432" s="493">
        <f t="shared" si="29"/>
        <v>0</v>
      </c>
      <c r="CL432" s="493">
        <f t="shared" si="30"/>
        <v>0</v>
      </c>
      <c r="CM432" s="493">
        <f t="shared" si="28"/>
        <v>2000000000</v>
      </c>
      <c r="CN432" s="493">
        <f t="shared" si="28"/>
        <v>0</v>
      </c>
      <c r="CO432" s="493">
        <f t="shared" si="28"/>
        <v>0</v>
      </c>
    </row>
    <row r="433" spans="1:93" ht="30.45" hidden="1" customHeight="1">
      <c r="A433" s="555" t="s">
        <v>4674</v>
      </c>
      <c r="B433" s="479">
        <v>431</v>
      </c>
      <c r="C433" s="480" t="s">
        <v>6370</v>
      </c>
      <c r="D433" s="480" t="s">
        <v>4802</v>
      </c>
      <c r="E433" s="480" t="str">
        <f t="shared" si="27"/>
        <v xml:space="preserve">4.3.3 </v>
      </c>
      <c r="F433" s="480" t="s">
        <v>4832</v>
      </c>
      <c r="G433" s="480" t="s">
        <v>4833</v>
      </c>
      <c r="H433" s="481">
        <v>32</v>
      </c>
      <c r="I433" s="480" t="s">
        <v>4398</v>
      </c>
      <c r="J433" s="495">
        <v>320305000</v>
      </c>
      <c r="K433" s="480" t="s">
        <v>4836</v>
      </c>
      <c r="L433" s="480" t="s">
        <v>6597</v>
      </c>
      <c r="M433" s="480" t="s">
        <v>6022</v>
      </c>
      <c r="N433" s="499">
        <v>11553</v>
      </c>
      <c r="O433" s="480" t="s">
        <v>4837</v>
      </c>
      <c r="P433" s="515">
        <v>13553</v>
      </c>
      <c r="Q433" s="485" t="s">
        <v>1634</v>
      </c>
      <c r="R433" s="485" t="s">
        <v>5560</v>
      </c>
      <c r="S433" s="485" t="s">
        <v>677</v>
      </c>
      <c r="T433" s="485">
        <v>75</v>
      </c>
      <c r="U433" s="485" t="s">
        <v>4673</v>
      </c>
      <c r="V433" s="485">
        <v>85</v>
      </c>
      <c r="W433" s="485" t="s">
        <v>5328</v>
      </c>
      <c r="X433" s="485">
        <v>6</v>
      </c>
      <c r="Y433" s="485" t="s">
        <v>5561</v>
      </c>
      <c r="Z433" s="486">
        <v>903076308.59000003</v>
      </c>
      <c r="AA433" s="486"/>
      <c r="AB433" s="486">
        <v>0</v>
      </c>
      <c r="AC433" s="486">
        <v>0</v>
      </c>
      <c r="AD433" s="486">
        <v>0</v>
      </c>
      <c r="AE433" s="486">
        <v>0</v>
      </c>
      <c r="AF433" s="486">
        <v>0</v>
      </c>
      <c r="AG433" s="486">
        <v>0</v>
      </c>
      <c r="AH433" s="487">
        <v>903076308.59000003</v>
      </c>
      <c r="AI433" s="486">
        <v>0</v>
      </c>
      <c r="AJ433" s="486">
        <v>0</v>
      </c>
      <c r="AK433" s="486">
        <v>0</v>
      </c>
      <c r="AL433" s="488">
        <v>0</v>
      </c>
      <c r="AM433" s="489">
        <v>903076308.59000003</v>
      </c>
      <c r="AN433" s="486">
        <v>1721365103</v>
      </c>
      <c r="AO433" s="486">
        <v>0</v>
      </c>
      <c r="AP433" s="486">
        <v>0</v>
      </c>
      <c r="AQ433" s="486">
        <v>0</v>
      </c>
      <c r="AR433" s="486">
        <v>0</v>
      </c>
      <c r="AS433" s="486">
        <v>0</v>
      </c>
      <c r="AT433" s="486">
        <v>0</v>
      </c>
      <c r="AU433" s="486">
        <v>0</v>
      </c>
      <c r="AV433" s="487">
        <v>1721365103</v>
      </c>
      <c r="AW433" s="486">
        <v>0</v>
      </c>
      <c r="AX433" s="486">
        <v>0</v>
      </c>
      <c r="AY433" s="486">
        <v>0</v>
      </c>
      <c r="AZ433" s="488">
        <v>0</v>
      </c>
      <c r="BA433" s="490">
        <v>1721365103</v>
      </c>
      <c r="BB433" s="486">
        <v>968852871.62</v>
      </c>
      <c r="BC433" s="486"/>
      <c r="BD433" s="486">
        <v>0</v>
      </c>
      <c r="BE433" s="486">
        <v>0</v>
      </c>
      <c r="BF433" s="486">
        <v>0</v>
      </c>
      <c r="BG433" s="486">
        <v>0</v>
      </c>
      <c r="BH433" s="486">
        <v>0</v>
      </c>
      <c r="BI433" s="486">
        <v>0</v>
      </c>
      <c r="BJ433" s="487">
        <v>968852871.62</v>
      </c>
      <c r="BK433" s="486">
        <v>0</v>
      </c>
      <c r="BL433" s="486">
        <v>0</v>
      </c>
      <c r="BM433" s="486">
        <v>0</v>
      </c>
      <c r="BN433" s="488">
        <v>0</v>
      </c>
      <c r="BO433" s="490">
        <v>968852871.62</v>
      </c>
      <c r="BP433" s="486">
        <v>1472388633.3299999</v>
      </c>
      <c r="BQ433" s="486"/>
      <c r="BR433" s="486">
        <v>0</v>
      </c>
      <c r="BS433" s="486">
        <v>0</v>
      </c>
      <c r="BT433" s="486">
        <v>0</v>
      </c>
      <c r="BU433" s="486">
        <v>0</v>
      </c>
      <c r="BV433" s="486">
        <v>0</v>
      </c>
      <c r="BW433" s="486">
        <v>0</v>
      </c>
      <c r="BX433" s="487">
        <v>1472388633.3299999</v>
      </c>
      <c r="BY433" s="486">
        <v>0</v>
      </c>
      <c r="BZ433" s="486">
        <v>0</v>
      </c>
      <c r="CA433" s="486">
        <v>0</v>
      </c>
      <c r="CB433" s="488">
        <v>0</v>
      </c>
      <c r="CC433" s="491">
        <v>1472388633.3299999</v>
      </c>
      <c r="CD433" s="492">
        <v>5065682916.54</v>
      </c>
      <c r="CE433" s="493">
        <f t="shared" si="29"/>
        <v>5065682916.54</v>
      </c>
      <c r="CF433" s="493">
        <f t="shared" si="29"/>
        <v>0</v>
      </c>
      <c r="CG433" s="493">
        <f t="shared" si="29"/>
        <v>0</v>
      </c>
      <c r="CH433" s="493">
        <f t="shared" si="29"/>
        <v>0</v>
      </c>
      <c r="CI433" s="493">
        <f t="shared" si="29"/>
        <v>0</v>
      </c>
      <c r="CJ433" s="493">
        <f t="shared" si="29"/>
        <v>0</v>
      </c>
      <c r="CK433" s="493">
        <f t="shared" si="29"/>
        <v>0</v>
      </c>
      <c r="CL433" s="493">
        <f t="shared" si="30"/>
        <v>0</v>
      </c>
      <c r="CM433" s="493">
        <f t="shared" si="28"/>
        <v>0</v>
      </c>
      <c r="CN433" s="493">
        <f t="shared" si="28"/>
        <v>0</v>
      </c>
      <c r="CO433" s="493">
        <f t="shared" si="28"/>
        <v>0</v>
      </c>
    </row>
    <row r="434" spans="1:93" ht="30.45" hidden="1" customHeight="1">
      <c r="A434" s="555" t="s">
        <v>4674</v>
      </c>
      <c r="B434" s="479">
        <v>432</v>
      </c>
      <c r="C434" s="480" t="s">
        <v>6370</v>
      </c>
      <c r="D434" s="480" t="s">
        <v>4802</v>
      </c>
      <c r="E434" s="480" t="str">
        <f t="shared" si="27"/>
        <v xml:space="preserve">4.3.3 </v>
      </c>
      <c r="F434" s="480" t="s">
        <v>4832</v>
      </c>
      <c r="G434" s="480" t="s">
        <v>4833</v>
      </c>
      <c r="H434" s="481">
        <v>32</v>
      </c>
      <c r="I434" s="480" t="s">
        <v>4398</v>
      </c>
      <c r="J434" s="495">
        <v>320400400</v>
      </c>
      <c r="K434" s="480" t="s">
        <v>6523</v>
      </c>
      <c r="L434" s="480" t="s">
        <v>4838</v>
      </c>
      <c r="M434" s="480" t="s">
        <v>6598</v>
      </c>
      <c r="N434" s="499">
        <v>3</v>
      </c>
      <c r="O434" s="480" t="s">
        <v>4837</v>
      </c>
      <c r="P434" s="515">
        <v>7</v>
      </c>
      <c r="Q434" s="485" t="s">
        <v>1634</v>
      </c>
      <c r="R434" s="485" t="s">
        <v>5560</v>
      </c>
      <c r="S434" s="485" t="s">
        <v>677</v>
      </c>
      <c r="T434" s="485">
        <v>75</v>
      </c>
      <c r="U434" s="485" t="s">
        <v>4673</v>
      </c>
      <c r="V434" s="485">
        <v>85</v>
      </c>
      <c r="W434" s="485" t="s">
        <v>5328</v>
      </c>
      <c r="X434" s="485">
        <v>6</v>
      </c>
      <c r="Y434" s="485" t="s">
        <v>5561</v>
      </c>
      <c r="Z434" s="486">
        <v>0</v>
      </c>
      <c r="AA434" s="486">
        <v>0</v>
      </c>
      <c r="AB434" s="486">
        <v>0</v>
      </c>
      <c r="AC434" s="486">
        <v>0</v>
      </c>
      <c r="AD434" s="486">
        <v>0</v>
      </c>
      <c r="AE434" s="486">
        <v>0</v>
      </c>
      <c r="AF434" s="486">
        <v>0</v>
      </c>
      <c r="AG434" s="486">
        <v>0</v>
      </c>
      <c r="AH434" s="487">
        <v>0</v>
      </c>
      <c r="AI434" s="486">
        <v>0</v>
      </c>
      <c r="AJ434" s="486">
        <v>0</v>
      </c>
      <c r="AK434" s="486">
        <v>0</v>
      </c>
      <c r="AL434" s="488">
        <v>0</v>
      </c>
      <c r="AM434" s="489">
        <v>0</v>
      </c>
      <c r="AN434" s="486">
        <v>53781000</v>
      </c>
      <c r="AO434" s="486">
        <v>0</v>
      </c>
      <c r="AP434" s="486">
        <v>0</v>
      </c>
      <c r="AQ434" s="486">
        <v>0</v>
      </c>
      <c r="AR434" s="486">
        <v>0</v>
      </c>
      <c r="AS434" s="486">
        <v>0</v>
      </c>
      <c r="AT434" s="486">
        <v>0</v>
      </c>
      <c r="AU434" s="486">
        <v>0</v>
      </c>
      <c r="AV434" s="487">
        <v>53781000</v>
      </c>
      <c r="AW434" s="486">
        <v>0</v>
      </c>
      <c r="AX434" s="486">
        <v>0</v>
      </c>
      <c r="AY434" s="486">
        <v>0</v>
      </c>
      <c r="AZ434" s="488">
        <v>0</v>
      </c>
      <c r="BA434" s="490">
        <v>53781000</v>
      </c>
      <c r="BB434" s="486">
        <v>55932240</v>
      </c>
      <c r="BC434" s="486">
        <v>0</v>
      </c>
      <c r="BD434" s="486">
        <v>0</v>
      </c>
      <c r="BE434" s="486">
        <v>0</v>
      </c>
      <c r="BF434" s="486">
        <v>0</v>
      </c>
      <c r="BG434" s="486">
        <v>0</v>
      </c>
      <c r="BH434" s="486">
        <v>0</v>
      </c>
      <c r="BI434" s="486">
        <v>0</v>
      </c>
      <c r="BJ434" s="487">
        <v>55932240</v>
      </c>
      <c r="BK434" s="486">
        <v>0</v>
      </c>
      <c r="BL434" s="486">
        <v>0</v>
      </c>
      <c r="BM434" s="486">
        <v>0</v>
      </c>
      <c r="BN434" s="488">
        <v>0</v>
      </c>
      <c r="BO434" s="490">
        <v>55932240</v>
      </c>
      <c r="BP434" s="486">
        <v>58169529.600000001</v>
      </c>
      <c r="BQ434" s="486">
        <v>0</v>
      </c>
      <c r="BR434" s="486">
        <v>0</v>
      </c>
      <c r="BS434" s="486">
        <v>0</v>
      </c>
      <c r="BT434" s="486">
        <v>0</v>
      </c>
      <c r="BU434" s="486">
        <v>0</v>
      </c>
      <c r="BV434" s="486">
        <v>0</v>
      </c>
      <c r="BW434" s="486">
        <v>0</v>
      </c>
      <c r="BX434" s="487">
        <v>58169529.600000001</v>
      </c>
      <c r="BY434" s="486">
        <v>0</v>
      </c>
      <c r="BZ434" s="486">
        <v>0</v>
      </c>
      <c r="CA434" s="486">
        <v>0</v>
      </c>
      <c r="CB434" s="488">
        <v>0</v>
      </c>
      <c r="CC434" s="491">
        <v>58169529.600000001</v>
      </c>
      <c r="CD434" s="492">
        <v>167882769.59999999</v>
      </c>
      <c r="CE434" s="493">
        <f t="shared" si="29"/>
        <v>167882769.59999999</v>
      </c>
      <c r="CF434" s="493">
        <f t="shared" si="29"/>
        <v>0</v>
      </c>
      <c r="CG434" s="493">
        <f t="shared" si="29"/>
        <v>0</v>
      </c>
      <c r="CH434" s="493">
        <f t="shared" si="29"/>
        <v>0</v>
      </c>
      <c r="CI434" s="493">
        <f t="shared" si="29"/>
        <v>0</v>
      </c>
      <c r="CJ434" s="493">
        <f t="shared" si="29"/>
        <v>0</v>
      </c>
      <c r="CK434" s="493">
        <f t="shared" si="29"/>
        <v>0</v>
      </c>
      <c r="CL434" s="493">
        <f t="shared" si="30"/>
        <v>0</v>
      </c>
      <c r="CM434" s="493">
        <f t="shared" si="28"/>
        <v>0</v>
      </c>
      <c r="CN434" s="493">
        <f t="shared" si="28"/>
        <v>0</v>
      </c>
      <c r="CO434" s="493">
        <f t="shared" si="28"/>
        <v>0</v>
      </c>
    </row>
    <row r="435" spans="1:93" ht="30.45" hidden="1" customHeight="1">
      <c r="A435" s="555" t="s">
        <v>4674</v>
      </c>
      <c r="B435" s="479">
        <v>433</v>
      </c>
      <c r="C435" s="480" t="s">
        <v>6370</v>
      </c>
      <c r="D435" s="480" t="s">
        <v>4802</v>
      </c>
      <c r="E435" s="480" t="str">
        <f t="shared" si="27"/>
        <v xml:space="preserve">4.3.3 </v>
      </c>
      <c r="F435" s="480" t="s">
        <v>4832</v>
      </c>
      <c r="G435" s="480" t="s">
        <v>4833</v>
      </c>
      <c r="H435" s="481">
        <v>40</v>
      </c>
      <c r="I435" s="480" t="s">
        <v>4250</v>
      </c>
      <c r="J435" s="495">
        <v>400305500</v>
      </c>
      <c r="K435" s="480" t="s">
        <v>4175</v>
      </c>
      <c r="L435" s="480" t="s">
        <v>6599</v>
      </c>
      <c r="M435" s="480" t="s">
        <v>6023</v>
      </c>
      <c r="N435" s="499">
        <v>121</v>
      </c>
      <c r="O435" s="480" t="s">
        <v>4673</v>
      </c>
      <c r="P435" s="515">
        <v>281</v>
      </c>
      <c r="Q435" s="485" t="s">
        <v>1634</v>
      </c>
      <c r="R435" s="485" t="s">
        <v>5560</v>
      </c>
      <c r="S435" s="485" t="s">
        <v>677</v>
      </c>
      <c r="T435" s="485">
        <v>75</v>
      </c>
      <c r="U435" s="485" t="s">
        <v>4673</v>
      </c>
      <c r="V435" s="485">
        <v>85</v>
      </c>
      <c r="W435" s="485" t="s">
        <v>5328</v>
      </c>
      <c r="X435" s="485">
        <v>6</v>
      </c>
      <c r="Y435" s="485" t="s">
        <v>5561</v>
      </c>
      <c r="Z435" s="486">
        <v>68950000</v>
      </c>
      <c r="AA435" s="486">
        <v>0</v>
      </c>
      <c r="AB435" s="486">
        <v>0</v>
      </c>
      <c r="AC435" s="486">
        <v>0</v>
      </c>
      <c r="AD435" s="486">
        <v>0</v>
      </c>
      <c r="AE435" s="486">
        <v>0</v>
      </c>
      <c r="AF435" s="486">
        <v>0</v>
      </c>
      <c r="AG435" s="486">
        <v>0</v>
      </c>
      <c r="AH435" s="487">
        <v>68950000</v>
      </c>
      <c r="AI435" s="486">
        <v>0</v>
      </c>
      <c r="AJ435" s="486">
        <v>0</v>
      </c>
      <c r="AK435" s="486">
        <v>0</v>
      </c>
      <c r="AL435" s="488">
        <v>0</v>
      </c>
      <c r="AM435" s="489">
        <v>68950000</v>
      </c>
      <c r="AN435" s="486">
        <v>53781000</v>
      </c>
      <c r="AO435" s="486">
        <v>0</v>
      </c>
      <c r="AP435" s="486">
        <v>0</v>
      </c>
      <c r="AQ435" s="486">
        <v>0</v>
      </c>
      <c r="AR435" s="486">
        <v>0</v>
      </c>
      <c r="AS435" s="486">
        <v>0</v>
      </c>
      <c r="AT435" s="486">
        <v>0</v>
      </c>
      <c r="AU435" s="486">
        <v>0</v>
      </c>
      <c r="AV435" s="487">
        <v>53781000</v>
      </c>
      <c r="AW435" s="486"/>
      <c r="AX435" s="486">
        <v>0</v>
      </c>
      <c r="AY435" s="486">
        <v>0</v>
      </c>
      <c r="AZ435" s="488">
        <v>0</v>
      </c>
      <c r="BA435" s="490">
        <v>53781000</v>
      </c>
      <c r="BB435" s="486">
        <v>55932240</v>
      </c>
      <c r="BC435" s="486">
        <v>0</v>
      </c>
      <c r="BD435" s="486">
        <v>0</v>
      </c>
      <c r="BE435" s="486">
        <v>0</v>
      </c>
      <c r="BF435" s="486">
        <v>0</v>
      </c>
      <c r="BG435" s="486">
        <v>0</v>
      </c>
      <c r="BH435" s="486">
        <v>0</v>
      </c>
      <c r="BI435" s="486">
        <v>0</v>
      </c>
      <c r="BJ435" s="487">
        <v>55932240</v>
      </c>
      <c r="BK435" s="486">
        <v>0</v>
      </c>
      <c r="BL435" s="486">
        <v>0</v>
      </c>
      <c r="BM435" s="486">
        <v>0</v>
      </c>
      <c r="BN435" s="488">
        <v>0</v>
      </c>
      <c r="BO435" s="490">
        <v>55932240</v>
      </c>
      <c r="BP435" s="486">
        <v>58169529.600000001</v>
      </c>
      <c r="BQ435" s="486">
        <v>0</v>
      </c>
      <c r="BR435" s="486">
        <v>0</v>
      </c>
      <c r="BS435" s="486">
        <v>0</v>
      </c>
      <c r="BT435" s="486">
        <v>0</v>
      </c>
      <c r="BU435" s="486">
        <v>0</v>
      </c>
      <c r="BV435" s="486">
        <v>0</v>
      </c>
      <c r="BW435" s="486">
        <v>0</v>
      </c>
      <c r="BX435" s="487">
        <v>58169529.600000001</v>
      </c>
      <c r="BY435" s="486">
        <v>0</v>
      </c>
      <c r="BZ435" s="486">
        <v>0</v>
      </c>
      <c r="CA435" s="486">
        <v>0</v>
      </c>
      <c r="CB435" s="488">
        <v>0</v>
      </c>
      <c r="CC435" s="491">
        <v>58169529.600000001</v>
      </c>
      <c r="CD435" s="492">
        <v>236832769.59999999</v>
      </c>
      <c r="CE435" s="493">
        <f t="shared" si="29"/>
        <v>236832769.59999999</v>
      </c>
      <c r="CF435" s="493">
        <f t="shared" si="29"/>
        <v>0</v>
      </c>
      <c r="CG435" s="493">
        <f t="shared" si="29"/>
        <v>0</v>
      </c>
      <c r="CH435" s="493">
        <f t="shared" si="29"/>
        <v>0</v>
      </c>
      <c r="CI435" s="493">
        <f t="shared" si="29"/>
        <v>0</v>
      </c>
      <c r="CJ435" s="493">
        <f t="shared" si="29"/>
        <v>0</v>
      </c>
      <c r="CK435" s="493">
        <f t="shared" si="29"/>
        <v>0</v>
      </c>
      <c r="CL435" s="493">
        <f t="shared" si="30"/>
        <v>0</v>
      </c>
      <c r="CM435" s="493">
        <f t="shared" si="28"/>
        <v>0</v>
      </c>
      <c r="CN435" s="493">
        <f t="shared" si="28"/>
        <v>0</v>
      </c>
      <c r="CO435" s="493">
        <f t="shared" si="28"/>
        <v>0</v>
      </c>
    </row>
    <row r="436" spans="1:93" ht="30.45" hidden="1" customHeight="1">
      <c r="A436" s="555" t="s">
        <v>4674</v>
      </c>
      <c r="B436" s="479">
        <v>434</v>
      </c>
      <c r="C436" s="480" t="s">
        <v>6370</v>
      </c>
      <c r="D436" s="480" t="s">
        <v>4802</v>
      </c>
      <c r="E436" s="480" t="str">
        <f t="shared" si="27"/>
        <v xml:space="preserve">4.3.3 </v>
      </c>
      <c r="F436" s="480" t="s">
        <v>4832</v>
      </c>
      <c r="G436" s="480" t="s">
        <v>4833</v>
      </c>
      <c r="H436" s="481">
        <v>40</v>
      </c>
      <c r="I436" s="480" t="s">
        <v>4250</v>
      </c>
      <c r="J436" s="495">
        <v>400304200</v>
      </c>
      <c r="K436" s="480" t="s">
        <v>4809</v>
      </c>
      <c r="L436" s="480" t="s">
        <v>6600</v>
      </c>
      <c r="M436" s="480" t="s">
        <v>6024</v>
      </c>
      <c r="N436" s="499">
        <v>35</v>
      </c>
      <c r="O436" s="480" t="s">
        <v>4673</v>
      </c>
      <c r="P436" s="515">
        <v>70</v>
      </c>
      <c r="Q436" s="485" t="s">
        <v>1634</v>
      </c>
      <c r="R436" s="485" t="s">
        <v>5560</v>
      </c>
      <c r="S436" s="485" t="s">
        <v>677</v>
      </c>
      <c r="T436" s="485">
        <v>75</v>
      </c>
      <c r="U436" s="485" t="s">
        <v>4673</v>
      </c>
      <c r="V436" s="485">
        <v>85</v>
      </c>
      <c r="W436" s="485" t="s">
        <v>5328</v>
      </c>
      <c r="X436" s="485">
        <v>6</v>
      </c>
      <c r="Y436" s="485" t="s">
        <v>5561</v>
      </c>
      <c r="Z436" s="486">
        <v>68950000</v>
      </c>
      <c r="AA436" s="486">
        <v>0</v>
      </c>
      <c r="AB436" s="486">
        <v>0</v>
      </c>
      <c r="AC436" s="486">
        <v>0</v>
      </c>
      <c r="AD436" s="486">
        <v>0</v>
      </c>
      <c r="AE436" s="486">
        <v>0</v>
      </c>
      <c r="AF436" s="486">
        <v>0</v>
      </c>
      <c r="AG436" s="486">
        <v>0</v>
      </c>
      <c r="AH436" s="487">
        <v>68950000</v>
      </c>
      <c r="AI436" s="486">
        <v>0</v>
      </c>
      <c r="AJ436" s="486">
        <v>0</v>
      </c>
      <c r="AK436" s="486">
        <v>0</v>
      </c>
      <c r="AL436" s="488">
        <v>0</v>
      </c>
      <c r="AM436" s="489">
        <v>68950000</v>
      </c>
      <c r="AN436" s="486">
        <v>53781000</v>
      </c>
      <c r="AO436" s="486">
        <v>0</v>
      </c>
      <c r="AP436" s="486">
        <v>0</v>
      </c>
      <c r="AQ436" s="486">
        <v>0</v>
      </c>
      <c r="AR436" s="486">
        <v>0</v>
      </c>
      <c r="AS436" s="486">
        <v>0</v>
      </c>
      <c r="AT436" s="486">
        <v>0</v>
      </c>
      <c r="AU436" s="486">
        <v>0</v>
      </c>
      <c r="AV436" s="487">
        <v>53781000</v>
      </c>
      <c r="AW436" s="486">
        <v>0</v>
      </c>
      <c r="AX436" s="486">
        <v>0</v>
      </c>
      <c r="AY436" s="486">
        <v>0</v>
      </c>
      <c r="AZ436" s="488">
        <v>0</v>
      </c>
      <c r="BA436" s="490">
        <v>53781000</v>
      </c>
      <c r="BB436" s="486">
        <v>55932240</v>
      </c>
      <c r="BC436" s="486">
        <v>0</v>
      </c>
      <c r="BD436" s="486">
        <v>0</v>
      </c>
      <c r="BE436" s="486">
        <v>0</v>
      </c>
      <c r="BF436" s="486">
        <v>0</v>
      </c>
      <c r="BG436" s="486">
        <v>0</v>
      </c>
      <c r="BH436" s="486">
        <v>0</v>
      </c>
      <c r="BI436" s="486">
        <v>0</v>
      </c>
      <c r="BJ436" s="487">
        <v>55932240</v>
      </c>
      <c r="BK436" s="486">
        <v>0</v>
      </c>
      <c r="BL436" s="486">
        <v>0</v>
      </c>
      <c r="BM436" s="486">
        <v>0</v>
      </c>
      <c r="BN436" s="488">
        <v>0</v>
      </c>
      <c r="BO436" s="490">
        <v>55932240</v>
      </c>
      <c r="BP436" s="486">
        <v>58169529.600000001</v>
      </c>
      <c r="BQ436" s="486">
        <v>0</v>
      </c>
      <c r="BR436" s="486">
        <v>0</v>
      </c>
      <c r="BS436" s="486">
        <v>0</v>
      </c>
      <c r="BT436" s="486">
        <v>0</v>
      </c>
      <c r="BU436" s="486">
        <v>0</v>
      </c>
      <c r="BV436" s="486">
        <v>0</v>
      </c>
      <c r="BW436" s="486">
        <v>0</v>
      </c>
      <c r="BX436" s="487">
        <v>58169529.600000001</v>
      </c>
      <c r="BY436" s="486">
        <v>0</v>
      </c>
      <c r="BZ436" s="486">
        <v>0</v>
      </c>
      <c r="CA436" s="486">
        <v>0</v>
      </c>
      <c r="CB436" s="488">
        <v>0</v>
      </c>
      <c r="CC436" s="491">
        <v>58169529.600000001</v>
      </c>
      <c r="CD436" s="492">
        <v>236832769.59999999</v>
      </c>
      <c r="CE436" s="493">
        <f t="shared" si="29"/>
        <v>236832769.59999999</v>
      </c>
      <c r="CF436" s="493">
        <f t="shared" si="29"/>
        <v>0</v>
      </c>
      <c r="CG436" s="493">
        <f t="shared" si="29"/>
        <v>0</v>
      </c>
      <c r="CH436" s="493">
        <f t="shared" si="29"/>
        <v>0</v>
      </c>
      <c r="CI436" s="493">
        <f t="shared" si="29"/>
        <v>0</v>
      </c>
      <c r="CJ436" s="493">
        <f t="shared" si="29"/>
        <v>0</v>
      </c>
      <c r="CK436" s="493">
        <f t="shared" si="29"/>
        <v>0</v>
      </c>
      <c r="CL436" s="493">
        <f t="shared" si="30"/>
        <v>0</v>
      </c>
      <c r="CM436" s="493">
        <f t="shared" si="28"/>
        <v>0</v>
      </c>
      <c r="CN436" s="493">
        <f t="shared" si="28"/>
        <v>0</v>
      </c>
      <c r="CO436" s="493">
        <f t="shared" si="28"/>
        <v>0</v>
      </c>
    </row>
    <row r="437" spans="1:93" ht="30.45" hidden="1" customHeight="1">
      <c r="A437" s="555" t="s">
        <v>4674</v>
      </c>
      <c r="B437" s="479">
        <v>435</v>
      </c>
      <c r="C437" s="480" t="s">
        <v>6370</v>
      </c>
      <c r="D437" s="480" t="s">
        <v>4802</v>
      </c>
      <c r="E437" s="480" t="str">
        <f t="shared" si="27"/>
        <v xml:space="preserve">4.3.3 </v>
      </c>
      <c r="F437" s="480" t="s">
        <v>4832</v>
      </c>
      <c r="G437" s="480" t="s">
        <v>4833</v>
      </c>
      <c r="H437" s="481">
        <v>40</v>
      </c>
      <c r="I437" s="480" t="s">
        <v>4250</v>
      </c>
      <c r="J437" s="495">
        <v>400305500</v>
      </c>
      <c r="K437" s="480" t="s">
        <v>4175</v>
      </c>
      <c r="L437" s="480" t="s">
        <v>6601</v>
      </c>
      <c r="M437" s="480" t="s">
        <v>6025</v>
      </c>
      <c r="N437" s="499">
        <v>145</v>
      </c>
      <c r="O437" s="480" t="s">
        <v>4673</v>
      </c>
      <c r="P437" s="515">
        <v>305</v>
      </c>
      <c r="Q437" s="485" t="s">
        <v>1634</v>
      </c>
      <c r="R437" s="485" t="s">
        <v>5560</v>
      </c>
      <c r="S437" s="485" t="s">
        <v>677</v>
      </c>
      <c r="T437" s="485">
        <v>75</v>
      </c>
      <c r="U437" s="485" t="s">
        <v>4673</v>
      </c>
      <c r="V437" s="485">
        <v>85</v>
      </c>
      <c r="W437" s="485" t="s">
        <v>5328</v>
      </c>
      <c r="X437" s="485">
        <v>6</v>
      </c>
      <c r="Y437" s="485" t="s">
        <v>5561</v>
      </c>
      <c r="Z437" s="486">
        <v>68950000</v>
      </c>
      <c r="AA437" s="486">
        <v>0</v>
      </c>
      <c r="AB437" s="486">
        <v>0</v>
      </c>
      <c r="AC437" s="486">
        <v>0</v>
      </c>
      <c r="AD437" s="486">
        <v>0</v>
      </c>
      <c r="AE437" s="486">
        <v>0</v>
      </c>
      <c r="AF437" s="486">
        <v>0</v>
      </c>
      <c r="AG437" s="486">
        <v>0</v>
      </c>
      <c r="AH437" s="487">
        <v>68950000</v>
      </c>
      <c r="AI437" s="486">
        <v>0</v>
      </c>
      <c r="AJ437" s="486">
        <v>0</v>
      </c>
      <c r="AK437" s="486">
        <v>0</v>
      </c>
      <c r="AL437" s="488">
        <v>0</v>
      </c>
      <c r="AM437" s="489">
        <v>68950000</v>
      </c>
      <c r="AN437" s="486">
        <v>53781000</v>
      </c>
      <c r="AO437" s="486">
        <v>0</v>
      </c>
      <c r="AP437" s="486">
        <v>0</v>
      </c>
      <c r="AQ437" s="486">
        <v>0</v>
      </c>
      <c r="AR437" s="486">
        <v>0</v>
      </c>
      <c r="AS437" s="486">
        <v>0</v>
      </c>
      <c r="AT437" s="486">
        <v>0</v>
      </c>
      <c r="AU437" s="486">
        <v>0</v>
      </c>
      <c r="AV437" s="487">
        <v>53781000</v>
      </c>
      <c r="AW437" s="486">
        <v>0</v>
      </c>
      <c r="AX437" s="486">
        <v>0</v>
      </c>
      <c r="AY437" s="486">
        <v>0</v>
      </c>
      <c r="AZ437" s="488">
        <v>0</v>
      </c>
      <c r="BA437" s="490">
        <v>53781000</v>
      </c>
      <c r="BB437" s="486">
        <v>55932240</v>
      </c>
      <c r="BC437" s="486">
        <v>0</v>
      </c>
      <c r="BD437" s="486">
        <v>0</v>
      </c>
      <c r="BE437" s="486">
        <v>0</v>
      </c>
      <c r="BF437" s="486">
        <v>0</v>
      </c>
      <c r="BG437" s="486">
        <v>0</v>
      </c>
      <c r="BH437" s="486">
        <v>0</v>
      </c>
      <c r="BI437" s="486">
        <v>0</v>
      </c>
      <c r="BJ437" s="487">
        <v>55932240</v>
      </c>
      <c r="BK437" s="486">
        <v>0</v>
      </c>
      <c r="BL437" s="486">
        <v>0</v>
      </c>
      <c r="BM437" s="486">
        <v>0</v>
      </c>
      <c r="BN437" s="488">
        <v>0</v>
      </c>
      <c r="BO437" s="490">
        <v>55932240</v>
      </c>
      <c r="BP437" s="486">
        <v>58169529.600000001</v>
      </c>
      <c r="BQ437" s="486">
        <v>0</v>
      </c>
      <c r="BR437" s="486">
        <v>0</v>
      </c>
      <c r="BS437" s="486">
        <v>0</v>
      </c>
      <c r="BT437" s="486">
        <v>0</v>
      </c>
      <c r="BU437" s="486">
        <v>0</v>
      </c>
      <c r="BV437" s="486">
        <v>0</v>
      </c>
      <c r="BW437" s="486">
        <v>0</v>
      </c>
      <c r="BX437" s="487">
        <v>58169529.600000001</v>
      </c>
      <c r="BY437" s="486">
        <v>0</v>
      </c>
      <c r="BZ437" s="486">
        <v>0</v>
      </c>
      <c r="CA437" s="486">
        <v>0</v>
      </c>
      <c r="CB437" s="488">
        <v>0</v>
      </c>
      <c r="CC437" s="491">
        <v>58169529.600000001</v>
      </c>
      <c r="CD437" s="492">
        <v>236832769.59999999</v>
      </c>
      <c r="CE437" s="493">
        <f t="shared" si="29"/>
        <v>236832769.59999999</v>
      </c>
      <c r="CF437" s="493">
        <f t="shared" si="29"/>
        <v>0</v>
      </c>
      <c r="CG437" s="493">
        <f t="shared" si="29"/>
        <v>0</v>
      </c>
      <c r="CH437" s="493">
        <f t="shared" si="29"/>
        <v>0</v>
      </c>
      <c r="CI437" s="493">
        <f t="shared" si="29"/>
        <v>0</v>
      </c>
      <c r="CJ437" s="493">
        <f t="shared" si="29"/>
        <v>0</v>
      </c>
      <c r="CK437" s="493">
        <f t="shared" si="29"/>
        <v>0</v>
      </c>
      <c r="CL437" s="493">
        <f t="shared" si="30"/>
        <v>0</v>
      </c>
      <c r="CM437" s="493">
        <f t="shared" si="28"/>
        <v>0</v>
      </c>
      <c r="CN437" s="493">
        <f t="shared" si="28"/>
        <v>0</v>
      </c>
      <c r="CO437" s="493">
        <f t="shared" si="28"/>
        <v>0</v>
      </c>
    </row>
    <row r="438" spans="1:93" ht="30.45" hidden="1" customHeight="1">
      <c r="A438" s="555" t="s">
        <v>4674</v>
      </c>
      <c r="B438" s="479">
        <v>436</v>
      </c>
      <c r="C438" s="480" t="s">
        <v>6370</v>
      </c>
      <c r="D438" s="480" t="s">
        <v>4802</v>
      </c>
      <c r="E438" s="480" t="str">
        <f t="shared" si="27"/>
        <v xml:space="preserve">4.3.3 </v>
      </c>
      <c r="F438" s="480" t="s">
        <v>4832</v>
      </c>
      <c r="G438" s="480" t="s">
        <v>4833</v>
      </c>
      <c r="H438" s="481">
        <v>40</v>
      </c>
      <c r="I438" s="480" t="s">
        <v>4250</v>
      </c>
      <c r="J438" s="495">
        <v>400301700</v>
      </c>
      <c r="K438" s="480" t="s">
        <v>4839</v>
      </c>
      <c r="L438" s="480" t="s">
        <v>6602</v>
      </c>
      <c r="M438" s="480" t="s">
        <v>6026</v>
      </c>
      <c r="N438" s="499">
        <v>4</v>
      </c>
      <c r="O438" s="480" t="s">
        <v>4673</v>
      </c>
      <c r="P438" s="515">
        <v>16</v>
      </c>
      <c r="Q438" s="485" t="s">
        <v>1634</v>
      </c>
      <c r="R438" s="485" t="s">
        <v>5560</v>
      </c>
      <c r="S438" s="485" t="s">
        <v>677</v>
      </c>
      <c r="T438" s="485">
        <v>75</v>
      </c>
      <c r="U438" s="485" t="s">
        <v>4673</v>
      </c>
      <c r="V438" s="485">
        <v>85</v>
      </c>
      <c r="W438" s="485" t="s">
        <v>5328</v>
      </c>
      <c r="X438" s="485">
        <v>6</v>
      </c>
      <c r="Y438" s="485" t="s">
        <v>5561</v>
      </c>
      <c r="Z438" s="486">
        <v>0</v>
      </c>
      <c r="AA438" s="486">
        <v>0</v>
      </c>
      <c r="AB438" s="486">
        <v>0</v>
      </c>
      <c r="AC438" s="486">
        <v>0</v>
      </c>
      <c r="AD438" s="486">
        <v>0</v>
      </c>
      <c r="AE438" s="486">
        <v>0</v>
      </c>
      <c r="AF438" s="486">
        <v>1600000000</v>
      </c>
      <c r="AG438" s="486">
        <v>0</v>
      </c>
      <c r="AH438" s="487">
        <v>1600000000</v>
      </c>
      <c r="AI438" s="486">
        <v>0</v>
      </c>
      <c r="AJ438" s="486">
        <v>0</v>
      </c>
      <c r="AK438" s="486">
        <v>0</v>
      </c>
      <c r="AL438" s="488">
        <v>0</v>
      </c>
      <c r="AM438" s="489">
        <v>1600000000</v>
      </c>
      <c r="AN438" s="486">
        <v>0</v>
      </c>
      <c r="AO438" s="486">
        <v>776820344</v>
      </c>
      <c r="AP438" s="486">
        <v>0</v>
      </c>
      <c r="AQ438" s="486">
        <v>0</v>
      </c>
      <c r="AR438" s="486">
        <v>0</v>
      </c>
      <c r="AS438" s="486">
        <v>0</v>
      </c>
      <c r="AT438" s="486">
        <v>0</v>
      </c>
      <c r="AU438" s="486">
        <v>0</v>
      </c>
      <c r="AV438" s="487">
        <v>776820344</v>
      </c>
      <c r="AW438" s="486">
        <v>1800000000</v>
      </c>
      <c r="AX438" s="486">
        <v>0</v>
      </c>
      <c r="AY438" s="486">
        <v>0</v>
      </c>
      <c r="AZ438" s="488">
        <v>1800000000</v>
      </c>
      <c r="BA438" s="490">
        <v>2576820344</v>
      </c>
      <c r="BB438" s="486">
        <v>0</v>
      </c>
      <c r="BC438" s="486">
        <v>826493157.75999999</v>
      </c>
      <c r="BD438" s="486">
        <v>0</v>
      </c>
      <c r="BE438" s="486">
        <v>0</v>
      </c>
      <c r="BF438" s="486">
        <v>0</v>
      </c>
      <c r="BG438" s="486">
        <v>0</v>
      </c>
      <c r="BH438" s="486">
        <v>0</v>
      </c>
      <c r="BI438" s="486">
        <v>0</v>
      </c>
      <c r="BJ438" s="487">
        <v>826493157.75999999</v>
      </c>
      <c r="BK438" s="486">
        <v>2400000000</v>
      </c>
      <c r="BL438" s="486">
        <v>0</v>
      </c>
      <c r="BM438" s="486">
        <v>0</v>
      </c>
      <c r="BN438" s="488">
        <v>2400000000</v>
      </c>
      <c r="BO438" s="490">
        <v>3226493157.7600002</v>
      </c>
      <c r="BP438" s="486">
        <v>0</v>
      </c>
      <c r="BQ438" s="486">
        <v>892552884.07000005</v>
      </c>
      <c r="BR438" s="486">
        <v>0</v>
      </c>
      <c r="BS438" s="486">
        <v>0</v>
      </c>
      <c r="BT438" s="486">
        <v>0</v>
      </c>
      <c r="BU438" s="486">
        <v>0</v>
      </c>
      <c r="BV438" s="486">
        <v>0</v>
      </c>
      <c r="BW438" s="486">
        <v>0</v>
      </c>
      <c r="BX438" s="487">
        <v>892552884.07000005</v>
      </c>
      <c r="BY438" s="486">
        <v>2400000000</v>
      </c>
      <c r="BZ438" s="486">
        <v>0</v>
      </c>
      <c r="CA438" s="486">
        <v>0</v>
      </c>
      <c r="CB438" s="488">
        <v>2400000000</v>
      </c>
      <c r="CC438" s="491">
        <v>3292552884.0700002</v>
      </c>
      <c r="CD438" s="492">
        <v>10695866385.83</v>
      </c>
      <c r="CE438" s="493">
        <f t="shared" si="29"/>
        <v>0</v>
      </c>
      <c r="CF438" s="493">
        <f t="shared" si="29"/>
        <v>2495866385.8299999</v>
      </c>
      <c r="CG438" s="493">
        <f t="shared" si="29"/>
        <v>0</v>
      </c>
      <c r="CH438" s="493">
        <f t="shared" si="29"/>
        <v>0</v>
      </c>
      <c r="CI438" s="493">
        <f t="shared" si="29"/>
        <v>0</v>
      </c>
      <c r="CJ438" s="493">
        <f t="shared" si="29"/>
        <v>0</v>
      </c>
      <c r="CK438" s="493">
        <f t="shared" si="29"/>
        <v>1600000000</v>
      </c>
      <c r="CL438" s="493">
        <f t="shared" si="30"/>
        <v>0</v>
      </c>
      <c r="CM438" s="493">
        <f t="shared" si="28"/>
        <v>6600000000</v>
      </c>
      <c r="CN438" s="493">
        <f t="shared" si="28"/>
        <v>0</v>
      </c>
      <c r="CO438" s="493">
        <f t="shared" si="28"/>
        <v>0</v>
      </c>
    </row>
    <row r="439" spans="1:93" ht="30.45" hidden="1" customHeight="1">
      <c r="A439" s="555" t="s">
        <v>4674</v>
      </c>
      <c r="B439" s="479">
        <v>437</v>
      </c>
      <c r="C439" s="480" t="s">
        <v>6370</v>
      </c>
      <c r="D439" s="480" t="s">
        <v>4802</v>
      </c>
      <c r="E439" s="480" t="str">
        <f t="shared" si="27"/>
        <v xml:space="preserve">4.3.3 </v>
      </c>
      <c r="F439" s="480" t="s">
        <v>4832</v>
      </c>
      <c r="G439" s="480" t="s">
        <v>4833</v>
      </c>
      <c r="H439" s="481">
        <v>40</v>
      </c>
      <c r="I439" s="480" t="s">
        <v>4250</v>
      </c>
      <c r="J439" s="495">
        <v>400301702</v>
      </c>
      <c r="K439" s="480" t="s">
        <v>4839</v>
      </c>
      <c r="L439" s="480" t="s">
        <v>6603</v>
      </c>
      <c r="M439" s="480" t="s">
        <v>6027</v>
      </c>
      <c r="N439" s="499">
        <v>3</v>
      </c>
      <c r="O439" s="480" t="s">
        <v>4673</v>
      </c>
      <c r="P439" s="515">
        <v>7</v>
      </c>
      <c r="Q439" s="485" t="s">
        <v>1634</v>
      </c>
      <c r="R439" s="485" t="s">
        <v>5560</v>
      </c>
      <c r="S439" s="485" t="s">
        <v>677</v>
      </c>
      <c r="T439" s="485">
        <v>75</v>
      </c>
      <c r="U439" s="485" t="s">
        <v>4673</v>
      </c>
      <c r="V439" s="485">
        <v>85</v>
      </c>
      <c r="W439" s="485" t="s">
        <v>5328</v>
      </c>
      <c r="X439" s="485">
        <v>6</v>
      </c>
      <c r="Y439" s="485" t="s">
        <v>5561</v>
      </c>
      <c r="Z439" s="486">
        <v>0</v>
      </c>
      <c r="AA439" s="486">
        <v>0</v>
      </c>
      <c r="AB439" s="486">
        <v>0</v>
      </c>
      <c r="AC439" s="486">
        <v>0</v>
      </c>
      <c r="AD439" s="486">
        <v>0</v>
      </c>
      <c r="AE439" s="486">
        <v>0</v>
      </c>
      <c r="AF439" s="486">
        <v>0</v>
      </c>
      <c r="AG439" s="486">
        <v>0</v>
      </c>
      <c r="AH439" s="487">
        <v>0</v>
      </c>
      <c r="AI439" s="486">
        <v>0</v>
      </c>
      <c r="AJ439" s="486">
        <v>0</v>
      </c>
      <c r="AK439" s="486">
        <v>0</v>
      </c>
      <c r="AL439" s="488">
        <v>0</v>
      </c>
      <c r="AM439" s="489">
        <v>0</v>
      </c>
      <c r="AN439" s="486">
        <v>0</v>
      </c>
      <c r="AO439" s="486">
        <v>790587656</v>
      </c>
      <c r="AP439" s="486">
        <v>0</v>
      </c>
      <c r="AQ439" s="486">
        <v>0</v>
      </c>
      <c r="AR439" s="486">
        <v>0</v>
      </c>
      <c r="AS439" s="486">
        <v>0</v>
      </c>
      <c r="AT439" s="486">
        <v>0</v>
      </c>
      <c r="AU439" s="486">
        <v>0</v>
      </c>
      <c r="AV439" s="487">
        <v>790587656</v>
      </c>
      <c r="AW439" s="486">
        <v>0</v>
      </c>
      <c r="AX439" s="486">
        <v>0</v>
      </c>
      <c r="AY439" s="486">
        <v>0</v>
      </c>
      <c r="AZ439" s="488">
        <v>0</v>
      </c>
      <c r="BA439" s="490">
        <v>790587656</v>
      </c>
      <c r="BB439" s="486">
        <v>0</v>
      </c>
      <c r="BC439" s="486">
        <v>840811162.24000001</v>
      </c>
      <c r="BD439" s="486">
        <v>0</v>
      </c>
      <c r="BE439" s="486">
        <v>0</v>
      </c>
      <c r="BF439" s="486">
        <v>0</v>
      </c>
      <c r="BG439" s="486">
        <v>0</v>
      </c>
      <c r="BH439" s="486">
        <v>0</v>
      </c>
      <c r="BI439" s="486">
        <v>0</v>
      </c>
      <c r="BJ439" s="487">
        <v>840811162.24000001</v>
      </c>
      <c r="BK439" s="486">
        <v>0</v>
      </c>
      <c r="BL439" s="486">
        <v>0</v>
      </c>
      <c r="BM439" s="486">
        <v>0</v>
      </c>
      <c r="BN439" s="488">
        <v>0</v>
      </c>
      <c r="BO439" s="490">
        <v>840811162.24000001</v>
      </c>
      <c r="BP439" s="486">
        <v>0</v>
      </c>
      <c r="BQ439" s="486">
        <v>907443608.73000002</v>
      </c>
      <c r="BR439" s="486">
        <v>0</v>
      </c>
      <c r="BS439" s="486">
        <v>0</v>
      </c>
      <c r="BT439" s="486">
        <v>0</v>
      </c>
      <c r="BU439" s="486">
        <v>0</v>
      </c>
      <c r="BV439" s="486">
        <v>0</v>
      </c>
      <c r="BW439" s="486">
        <v>0</v>
      </c>
      <c r="BX439" s="487">
        <v>907443608.73000002</v>
      </c>
      <c r="BY439" s="486"/>
      <c r="BZ439" s="486">
        <v>0</v>
      </c>
      <c r="CA439" s="486">
        <v>0</v>
      </c>
      <c r="CB439" s="488">
        <v>0</v>
      </c>
      <c r="CC439" s="491">
        <v>907443608.73000002</v>
      </c>
      <c r="CD439" s="492">
        <v>2538842426.9700003</v>
      </c>
      <c r="CE439" s="493">
        <f t="shared" si="29"/>
        <v>0</v>
      </c>
      <c r="CF439" s="493">
        <f t="shared" si="29"/>
        <v>2538842426.9700003</v>
      </c>
      <c r="CG439" s="493">
        <f t="shared" si="29"/>
        <v>0</v>
      </c>
      <c r="CH439" s="493">
        <f t="shared" si="29"/>
        <v>0</v>
      </c>
      <c r="CI439" s="493">
        <f t="shared" si="29"/>
        <v>0</v>
      </c>
      <c r="CJ439" s="493">
        <f t="shared" si="29"/>
        <v>0</v>
      </c>
      <c r="CK439" s="493">
        <f t="shared" si="29"/>
        <v>0</v>
      </c>
      <c r="CL439" s="493">
        <f t="shared" si="30"/>
        <v>0</v>
      </c>
      <c r="CM439" s="493">
        <f t="shared" si="28"/>
        <v>0</v>
      </c>
      <c r="CN439" s="493">
        <f t="shared" si="28"/>
        <v>0</v>
      </c>
      <c r="CO439" s="493">
        <f t="shared" si="28"/>
        <v>0</v>
      </c>
    </row>
    <row r="440" spans="1:93" ht="30.45" hidden="1" customHeight="1">
      <c r="A440" s="555" t="s">
        <v>4674</v>
      </c>
      <c r="B440" s="479">
        <v>438</v>
      </c>
      <c r="C440" s="480" t="s">
        <v>6370</v>
      </c>
      <c r="D440" s="480" t="s">
        <v>4802</v>
      </c>
      <c r="E440" s="480" t="str">
        <f t="shared" si="27"/>
        <v xml:space="preserve">4.3.3 </v>
      </c>
      <c r="F440" s="480" t="s">
        <v>4832</v>
      </c>
      <c r="G440" s="480" t="s">
        <v>4833</v>
      </c>
      <c r="H440" s="481">
        <v>40</v>
      </c>
      <c r="I440" s="480" t="s">
        <v>4250</v>
      </c>
      <c r="J440" s="495">
        <v>400304400</v>
      </c>
      <c r="K440" s="480" t="s">
        <v>4652</v>
      </c>
      <c r="L440" s="480" t="s">
        <v>4840</v>
      </c>
      <c r="M440" s="480" t="s">
        <v>6028</v>
      </c>
      <c r="N440" s="499">
        <v>7111</v>
      </c>
      <c r="O440" s="480" t="s">
        <v>4673</v>
      </c>
      <c r="P440" s="515">
        <v>8000</v>
      </c>
      <c r="Q440" s="485" t="s">
        <v>1634</v>
      </c>
      <c r="R440" s="485" t="s">
        <v>5560</v>
      </c>
      <c r="S440" s="485" t="s">
        <v>677</v>
      </c>
      <c r="T440" s="485">
        <v>75</v>
      </c>
      <c r="U440" s="485" t="s">
        <v>4673</v>
      </c>
      <c r="V440" s="485">
        <v>85</v>
      </c>
      <c r="W440" s="485" t="s">
        <v>5328</v>
      </c>
      <c r="X440" s="485">
        <v>6</v>
      </c>
      <c r="Y440" s="485" t="s">
        <v>5561</v>
      </c>
      <c r="Z440" s="486">
        <v>19671444.57</v>
      </c>
      <c r="AA440" s="486">
        <v>23469290</v>
      </c>
      <c r="AB440" s="486">
        <v>0</v>
      </c>
      <c r="AC440" s="486">
        <v>0</v>
      </c>
      <c r="AD440" s="486">
        <v>0</v>
      </c>
      <c r="AE440" s="486">
        <v>0</v>
      </c>
      <c r="AF440" s="486">
        <v>0</v>
      </c>
      <c r="AG440" s="486">
        <v>0</v>
      </c>
      <c r="AH440" s="487">
        <v>43140734.57</v>
      </c>
      <c r="AI440" s="486">
        <v>0</v>
      </c>
      <c r="AJ440" s="486">
        <v>0</v>
      </c>
      <c r="AK440" s="486">
        <v>0</v>
      </c>
      <c r="AL440" s="488">
        <v>0</v>
      </c>
      <c r="AM440" s="489">
        <v>43140734.57</v>
      </c>
      <c r="AN440" s="486">
        <v>0</v>
      </c>
      <c r="AO440" s="486">
        <v>0</v>
      </c>
      <c r="AP440" s="486">
        <v>0</v>
      </c>
      <c r="AQ440" s="486">
        <v>0</v>
      </c>
      <c r="AR440" s="486">
        <v>0</v>
      </c>
      <c r="AS440" s="486">
        <v>0</v>
      </c>
      <c r="AT440" s="486"/>
      <c r="AU440" s="486">
        <v>0</v>
      </c>
      <c r="AV440" s="487">
        <v>0</v>
      </c>
      <c r="AW440" s="486">
        <v>5100000000</v>
      </c>
      <c r="AX440" s="486">
        <v>0</v>
      </c>
      <c r="AY440" s="486">
        <v>0</v>
      </c>
      <c r="AZ440" s="488">
        <v>5100000000</v>
      </c>
      <c r="BA440" s="490">
        <v>5100000000</v>
      </c>
      <c r="BB440" s="486">
        <v>0</v>
      </c>
      <c r="BC440" s="486">
        <v>0</v>
      </c>
      <c r="BD440" s="486">
        <v>0</v>
      </c>
      <c r="BE440" s="486">
        <v>0</v>
      </c>
      <c r="BF440" s="486">
        <v>0</v>
      </c>
      <c r="BG440" s="486">
        <v>0</v>
      </c>
      <c r="BH440" s="486">
        <v>0</v>
      </c>
      <c r="BI440" s="486">
        <v>0</v>
      </c>
      <c r="BJ440" s="487">
        <v>0</v>
      </c>
      <c r="BK440" s="486">
        <v>6800000000</v>
      </c>
      <c r="BL440" s="486">
        <v>0</v>
      </c>
      <c r="BM440" s="486">
        <v>0</v>
      </c>
      <c r="BN440" s="488">
        <v>6800000000</v>
      </c>
      <c r="BO440" s="490">
        <v>6800000000</v>
      </c>
      <c r="BP440" s="486">
        <v>0</v>
      </c>
      <c r="BQ440" s="486">
        <v>0</v>
      </c>
      <c r="BR440" s="486">
        <v>0</v>
      </c>
      <c r="BS440" s="486">
        <v>0</v>
      </c>
      <c r="BT440" s="486">
        <v>0</v>
      </c>
      <c r="BU440" s="486">
        <v>0</v>
      </c>
      <c r="BV440" s="486">
        <v>0</v>
      </c>
      <c r="BW440" s="486">
        <v>0</v>
      </c>
      <c r="BX440" s="487">
        <v>0</v>
      </c>
      <c r="BY440" s="486">
        <v>3213000000</v>
      </c>
      <c r="BZ440" s="486">
        <v>0</v>
      </c>
      <c r="CA440" s="486">
        <v>0</v>
      </c>
      <c r="CB440" s="488">
        <v>3213000000</v>
      </c>
      <c r="CC440" s="491">
        <v>3213000000</v>
      </c>
      <c r="CD440" s="492">
        <v>15156140734.57</v>
      </c>
      <c r="CE440" s="493">
        <f t="shared" si="29"/>
        <v>19671444.57</v>
      </c>
      <c r="CF440" s="493">
        <f t="shared" si="29"/>
        <v>23469290</v>
      </c>
      <c r="CG440" s="493">
        <f t="shared" si="29"/>
        <v>0</v>
      </c>
      <c r="CH440" s="493">
        <f t="shared" si="29"/>
        <v>0</v>
      </c>
      <c r="CI440" s="493">
        <f t="shared" si="29"/>
        <v>0</v>
      </c>
      <c r="CJ440" s="493">
        <f t="shared" si="29"/>
        <v>0</v>
      </c>
      <c r="CK440" s="493">
        <f t="shared" si="29"/>
        <v>0</v>
      </c>
      <c r="CL440" s="493">
        <f t="shared" si="30"/>
        <v>0</v>
      </c>
      <c r="CM440" s="493">
        <f t="shared" si="28"/>
        <v>15113000000</v>
      </c>
      <c r="CN440" s="493">
        <f t="shared" si="28"/>
        <v>0</v>
      </c>
      <c r="CO440" s="493">
        <f t="shared" si="28"/>
        <v>0</v>
      </c>
    </row>
    <row r="441" spans="1:93" ht="30.45" hidden="1" customHeight="1">
      <c r="A441" s="555" t="s">
        <v>4674</v>
      </c>
      <c r="B441" s="479">
        <v>439</v>
      </c>
      <c r="C441" s="480" t="s">
        <v>6370</v>
      </c>
      <c r="D441" s="480" t="s">
        <v>4802</v>
      </c>
      <c r="E441" s="480" t="str">
        <f t="shared" si="27"/>
        <v xml:space="preserve">4.3.3 </v>
      </c>
      <c r="F441" s="480" t="s">
        <v>4832</v>
      </c>
      <c r="G441" s="480" t="s">
        <v>4833</v>
      </c>
      <c r="H441" s="481">
        <v>40</v>
      </c>
      <c r="I441" s="480" t="s">
        <v>4250</v>
      </c>
      <c r="J441" s="495">
        <v>400301700</v>
      </c>
      <c r="K441" s="480" t="s">
        <v>4839</v>
      </c>
      <c r="L441" s="480" t="s">
        <v>6029</v>
      </c>
      <c r="M441" s="480" t="s">
        <v>6030</v>
      </c>
      <c r="N441" s="499">
        <v>2</v>
      </c>
      <c r="O441" s="480" t="s">
        <v>4673</v>
      </c>
      <c r="P441" s="515">
        <v>10</v>
      </c>
      <c r="Q441" s="485" t="s">
        <v>1634</v>
      </c>
      <c r="R441" s="485" t="s">
        <v>5560</v>
      </c>
      <c r="S441" s="485" t="s">
        <v>677</v>
      </c>
      <c r="T441" s="485">
        <v>75</v>
      </c>
      <c r="U441" s="485" t="s">
        <v>4673</v>
      </c>
      <c r="V441" s="485">
        <v>85</v>
      </c>
      <c r="W441" s="485" t="s">
        <v>5328</v>
      </c>
      <c r="X441" s="485">
        <v>6</v>
      </c>
      <c r="Y441" s="485" t="s">
        <v>5561</v>
      </c>
      <c r="Z441" s="486">
        <v>0</v>
      </c>
      <c r="AA441" s="486">
        <v>503041746</v>
      </c>
      <c r="AB441" s="486">
        <v>0</v>
      </c>
      <c r="AC441" s="486">
        <v>0</v>
      </c>
      <c r="AD441" s="486">
        <v>0</v>
      </c>
      <c r="AE441" s="486">
        <v>0</v>
      </c>
      <c r="AF441" s="486">
        <v>0</v>
      </c>
      <c r="AG441" s="486">
        <v>0</v>
      </c>
      <c r="AH441" s="487">
        <v>503041746</v>
      </c>
      <c r="AI441" s="486">
        <v>0</v>
      </c>
      <c r="AJ441" s="486">
        <v>0</v>
      </c>
      <c r="AK441" s="486">
        <v>0</v>
      </c>
      <c r="AL441" s="488">
        <v>0</v>
      </c>
      <c r="AM441" s="489">
        <v>503041746</v>
      </c>
      <c r="AN441" s="486">
        <v>0</v>
      </c>
      <c r="AO441" s="486">
        <v>0</v>
      </c>
      <c r="AP441" s="486">
        <v>0</v>
      </c>
      <c r="AQ441" s="486">
        <v>0</v>
      </c>
      <c r="AR441" s="486">
        <v>0</v>
      </c>
      <c r="AS441" s="486">
        <v>0</v>
      </c>
      <c r="AT441" s="486">
        <v>0</v>
      </c>
      <c r="AU441" s="486">
        <v>0</v>
      </c>
      <c r="AV441" s="487">
        <v>0</v>
      </c>
      <c r="AW441" s="486">
        <v>400000000</v>
      </c>
      <c r="AX441" s="486">
        <v>0</v>
      </c>
      <c r="AY441" s="486">
        <v>0</v>
      </c>
      <c r="AZ441" s="488">
        <v>400000000</v>
      </c>
      <c r="BA441" s="490">
        <v>400000000</v>
      </c>
      <c r="BB441" s="486">
        <v>0</v>
      </c>
      <c r="BC441" s="486">
        <v>0</v>
      </c>
      <c r="BD441" s="486">
        <v>0</v>
      </c>
      <c r="BE441" s="486">
        <v>0</v>
      </c>
      <c r="BF441" s="486">
        <v>0</v>
      </c>
      <c r="BG441" s="486">
        <v>0</v>
      </c>
      <c r="BH441" s="486">
        <v>0</v>
      </c>
      <c r="BI441" s="486">
        <v>0</v>
      </c>
      <c r="BJ441" s="487">
        <v>0</v>
      </c>
      <c r="BK441" s="486">
        <v>4000000000</v>
      </c>
      <c r="BL441" s="486">
        <v>0</v>
      </c>
      <c r="BM441" s="486">
        <v>0</v>
      </c>
      <c r="BN441" s="488">
        <v>4000000000</v>
      </c>
      <c r="BO441" s="490">
        <v>4000000000</v>
      </c>
      <c r="BP441" s="486">
        <v>0</v>
      </c>
      <c r="BQ441" s="486">
        <v>0</v>
      </c>
      <c r="BR441" s="486">
        <v>0</v>
      </c>
      <c r="BS441" s="486">
        <v>0</v>
      </c>
      <c r="BT441" s="486">
        <v>0</v>
      </c>
      <c r="BU441" s="486">
        <v>0</v>
      </c>
      <c r="BV441" s="486">
        <v>0</v>
      </c>
      <c r="BW441" s="486">
        <v>0</v>
      </c>
      <c r="BX441" s="487">
        <v>0</v>
      </c>
      <c r="BY441" s="486">
        <v>1800000000</v>
      </c>
      <c r="BZ441" s="486">
        <v>0</v>
      </c>
      <c r="CA441" s="486">
        <v>0</v>
      </c>
      <c r="CB441" s="488">
        <v>1800000000</v>
      </c>
      <c r="CC441" s="491">
        <v>1800000000</v>
      </c>
      <c r="CD441" s="492">
        <v>6703041746</v>
      </c>
      <c r="CE441" s="493">
        <f t="shared" si="29"/>
        <v>0</v>
      </c>
      <c r="CF441" s="493">
        <f t="shared" si="29"/>
        <v>503041746</v>
      </c>
      <c r="CG441" s="493">
        <f t="shared" si="29"/>
        <v>0</v>
      </c>
      <c r="CH441" s="493">
        <f t="shared" si="29"/>
        <v>0</v>
      </c>
      <c r="CI441" s="493">
        <f t="shared" si="29"/>
        <v>0</v>
      </c>
      <c r="CJ441" s="493">
        <f t="shared" si="29"/>
        <v>0</v>
      </c>
      <c r="CK441" s="493">
        <f t="shared" si="29"/>
        <v>0</v>
      </c>
      <c r="CL441" s="493">
        <f t="shared" si="30"/>
        <v>0</v>
      </c>
      <c r="CM441" s="493">
        <f t="shared" si="28"/>
        <v>6200000000</v>
      </c>
      <c r="CN441" s="493">
        <f t="shared" si="28"/>
        <v>0</v>
      </c>
      <c r="CO441" s="493">
        <f t="shared" si="28"/>
        <v>0</v>
      </c>
    </row>
    <row r="442" spans="1:93" ht="30.45" hidden="1" customHeight="1">
      <c r="A442" s="555" t="s">
        <v>4254</v>
      </c>
      <c r="B442" s="479">
        <v>440</v>
      </c>
      <c r="C442" s="480" t="s">
        <v>6370</v>
      </c>
      <c r="D442" s="480" t="s">
        <v>4802</v>
      </c>
      <c r="E442" s="480" t="str">
        <f t="shared" si="27"/>
        <v xml:space="preserve">4.3.4 </v>
      </c>
      <c r="F442" s="480" t="s">
        <v>4841</v>
      </c>
      <c r="G442" s="480" t="s">
        <v>4842</v>
      </c>
      <c r="H442" s="481">
        <v>40</v>
      </c>
      <c r="I442" s="480" t="s">
        <v>4250</v>
      </c>
      <c r="J442" s="495">
        <v>400301000</v>
      </c>
      <c r="K442" s="480" t="s">
        <v>6604</v>
      </c>
      <c r="L442" s="480" t="s">
        <v>6605</v>
      </c>
      <c r="M442" s="480" t="s">
        <v>6031</v>
      </c>
      <c r="N442" s="517">
        <v>125000</v>
      </c>
      <c r="O442" s="480" t="s">
        <v>4843</v>
      </c>
      <c r="P442" s="518">
        <v>150000</v>
      </c>
      <c r="Q442" s="485">
        <v>30010018</v>
      </c>
      <c r="R442" s="485" t="s">
        <v>5562</v>
      </c>
      <c r="S442" s="485" t="s">
        <v>677</v>
      </c>
      <c r="T442" s="485">
        <v>0.56999999999999995</v>
      </c>
      <c r="U442" s="485" t="s">
        <v>5555</v>
      </c>
      <c r="V442" s="485">
        <v>0.57999999999999996</v>
      </c>
      <c r="W442" s="485" t="s">
        <v>5328</v>
      </c>
      <c r="X442" s="485" t="s">
        <v>5563</v>
      </c>
      <c r="Y442" s="485" t="s">
        <v>5563</v>
      </c>
      <c r="Z442" s="486">
        <v>0</v>
      </c>
      <c r="AA442" s="486">
        <v>0</v>
      </c>
      <c r="AB442" s="486">
        <v>0</v>
      </c>
      <c r="AC442" s="486">
        <v>0</v>
      </c>
      <c r="AD442" s="486">
        <v>1000000000</v>
      </c>
      <c r="AE442" s="486">
        <v>0</v>
      </c>
      <c r="AF442" s="486">
        <v>0</v>
      </c>
      <c r="AG442" s="486">
        <v>0</v>
      </c>
      <c r="AH442" s="487">
        <v>1000000000</v>
      </c>
      <c r="AI442" s="486"/>
      <c r="AJ442" s="486">
        <v>1000000000</v>
      </c>
      <c r="AK442" s="486"/>
      <c r="AL442" s="488">
        <v>1000000000</v>
      </c>
      <c r="AM442" s="489">
        <v>2000000000</v>
      </c>
      <c r="AN442" s="486">
        <v>0</v>
      </c>
      <c r="AO442" s="486">
        <v>0</v>
      </c>
      <c r="AP442" s="486">
        <v>0</v>
      </c>
      <c r="AQ442" s="486">
        <v>0</v>
      </c>
      <c r="AR442" s="486">
        <v>1000000000</v>
      </c>
      <c r="AS442" s="486">
        <v>0</v>
      </c>
      <c r="AT442" s="486">
        <v>0</v>
      </c>
      <c r="AU442" s="486">
        <v>0</v>
      </c>
      <c r="AV442" s="487">
        <v>1000000000</v>
      </c>
      <c r="AW442" s="486">
        <v>0</v>
      </c>
      <c r="AX442" s="486">
        <v>1000000000</v>
      </c>
      <c r="AY442" s="486">
        <v>0</v>
      </c>
      <c r="AZ442" s="488">
        <v>1000000000</v>
      </c>
      <c r="BA442" s="490">
        <v>2000000000</v>
      </c>
      <c r="BB442" s="486">
        <v>0</v>
      </c>
      <c r="BC442" s="486">
        <v>0</v>
      </c>
      <c r="BD442" s="486">
        <v>0</v>
      </c>
      <c r="BE442" s="486">
        <v>0</v>
      </c>
      <c r="BF442" s="486">
        <v>1000000000</v>
      </c>
      <c r="BG442" s="486">
        <v>0</v>
      </c>
      <c r="BH442" s="486">
        <v>0</v>
      </c>
      <c r="BI442" s="486">
        <v>0</v>
      </c>
      <c r="BJ442" s="487">
        <v>1000000000</v>
      </c>
      <c r="BK442" s="486">
        <v>0</v>
      </c>
      <c r="BL442" s="486">
        <v>1000000000</v>
      </c>
      <c r="BM442" s="486">
        <v>0</v>
      </c>
      <c r="BN442" s="488">
        <v>1000000000</v>
      </c>
      <c r="BO442" s="490">
        <v>2000000000</v>
      </c>
      <c r="BP442" s="486">
        <v>0</v>
      </c>
      <c r="BQ442" s="486">
        <v>0</v>
      </c>
      <c r="BR442" s="486">
        <v>0</v>
      </c>
      <c r="BS442" s="486">
        <v>0</v>
      </c>
      <c r="BT442" s="486">
        <v>1000000000</v>
      </c>
      <c r="BU442" s="486">
        <v>0</v>
      </c>
      <c r="BV442" s="486">
        <v>0</v>
      </c>
      <c r="BW442" s="486">
        <v>0</v>
      </c>
      <c r="BX442" s="487">
        <v>1000000000</v>
      </c>
      <c r="BY442" s="486">
        <v>1000000000</v>
      </c>
      <c r="BZ442" s="486">
        <v>1000000000</v>
      </c>
      <c r="CA442" s="486"/>
      <c r="CB442" s="488">
        <v>2000000000</v>
      </c>
      <c r="CC442" s="491">
        <v>3000000000</v>
      </c>
      <c r="CD442" s="492">
        <v>9000000000</v>
      </c>
      <c r="CE442" s="493">
        <f t="shared" si="29"/>
        <v>0</v>
      </c>
      <c r="CF442" s="493">
        <f t="shared" si="29"/>
        <v>0</v>
      </c>
      <c r="CG442" s="493">
        <f t="shared" si="29"/>
        <v>0</v>
      </c>
      <c r="CH442" s="493">
        <f t="shared" si="29"/>
        <v>0</v>
      </c>
      <c r="CI442" s="493">
        <f t="shared" si="29"/>
        <v>4000000000</v>
      </c>
      <c r="CJ442" s="493">
        <f t="shared" si="29"/>
        <v>0</v>
      </c>
      <c r="CK442" s="493">
        <f t="shared" si="29"/>
        <v>0</v>
      </c>
      <c r="CL442" s="493">
        <f t="shared" si="30"/>
        <v>0</v>
      </c>
      <c r="CM442" s="493">
        <f t="shared" si="28"/>
        <v>1000000000</v>
      </c>
      <c r="CN442" s="493">
        <f t="shared" si="28"/>
        <v>4000000000</v>
      </c>
      <c r="CO442" s="493">
        <f t="shared" si="28"/>
        <v>0</v>
      </c>
    </row>
    <row r="443" spans="1:93" ht="30.45" hidden="1" customHeight="1">
      <c r="A443" s="555" t="s">
        <v>4254</v>
      </c>
      <c r="B443" s="479">
        <v>441</v>
      </c>
      <c r="C443" s="480" t="s">
        <v>6370</v>
      </c>
      <c r="D443" s="480" t="s">
        <v>4802</v>
      </c>
      <c r="E443" s="480" t="str">
        <f t="shared" si="27"/>
        <v xml:space="preserve">4.3.4 </v>
      </c>
      <c r="F443" s="480" t="s">
        <v>4841</v>
      </c>
      <c r="G443" s="480" t="s">
        <v>4842</v>
      </c>
      <c r="H443" s="481">
        <v>40</v>
      </c>
      <c r="I443" s="480" t="s">
        <v>4250</v>
      </c>
      <c r="J443" s="495">
        <v>400302100</v>
      </c>
      <c r="K443" s="480" t="s">
        <v>4008</v>
      </c>
      <c r="L443" s="480" t="s">
        <v>4111</v>
      </c>
      <c r="M443" s="480" t="s">
        <v>6032</v>
      </c>
      <c r="N443" s="499">
        <v>3</v>
      </c>
      <c r="O443" s="480" t="s">
        <v>4843</v>
      </c>
      <c r="P443" s="515">
        <v>16</v>
      </c>
      <c r="Q443" s="485">
        <v>30010018</v>
      </c>
      <c r="R443" s="485" t="s">
        <v>5562</v>
      </c>
      <c r="S443" s="485" t="s">
        <v>677</v>
      </c>
      <c r="T443" s="485">
        <v>0.56999999999999995</v>
      </c>
      <c r="U443" s="485" t="s">
        <v>5555</v>
      </c>
      <c r="V443" s="485">
        <v>0.57999999999999996</v>
      </c>
      <c r="W443" s="485" t="s">
        <v>5328</v>
      </c>
      <c r="X443" s="485" t="s">
        <v>5563</v>
      </c>
      <c r="Y443" s="485" t="s">
        <v>5563</v>
      </c>
      <c r="Z443" s="486">
        <v>0</v>
      </c>
      <c r="AA443" s="486">
        <v>0</v>
      </c>
      <c r="AB443" s="486">
        <v>0</v>
      </c>
      <c r="AC443" s="486">
        <v>0</v>
      </c>
      <c r="AD443" s="486">
        <v>1000000000</v>
      </c>
      <c r="AE443" s="486">
        <v>0</v>
      </c>
      <c r="AF443" s="486">
        <v>0</v>
      </c>
      <c r="AG443" s="486">
        <v>0</v>
      </c>
      <c r="AH443" s="487">
        <v>1000000000</v>
      </c>
      <c r="AI443" s="486"/>
      <c r="AJ443" s="486">
        <v>1000000000</v>
      </c>
      <c r="AK443" s="486"/>
      <c r="AL443" s="488">
        <v>1000000000</v>
      </c>
      <c r="AM443" s="489">
        <v>2000000000</v>
      </c>
      <c r="AN443" s="486">
        <v>0</v>
      </c>
      <c r="AO443" s="486">
        <v>0</v>
      </c>
      <c r="AP443" s="486">
        <v>0</v>
      </c>
      <c r="AQ443" s="486">
        <v>0</v>
      </c>
      <c r="AR443" s="486">
        <v>1000000000</v>
      </c>
      <c r="AS443" s="486">
        <v>0</v>
      </c>
      <c r="AT443" s="486">
        <v>0</v>
      </c>
      <c r="AU443" s="486">
        <v>0</v>
      </c>
      <c r="AV443" s="487">
        <v>1000000000</v>
      </c>
      <c r="AW443" s="486">
        <v>0</v>
      </c>
      <c r="AX443" s="486">
        <v>1000000000</v>
      </c>
      <c r="AY443" s="486">
        <v>0</v>
      </c>
      <c r="AZ443" s="488">
        <v>1000000000</v>
      </c>
      <c r="BA443" s="490">
        <v>2000000000</v>
      </c>
      <c r="BB443" s="486">
        <v>0</v>
      </c>
      <c r="BC443" s="486">
        <v>0</v>
      </c>
      <c r="BD443" s="486">
        <v>0</v>
      </c>
      <c r="BE443" s="486">
        <v>0</v>
      </c>
      <c r="BF443" s="486">
        <v>1000000000</v>
      </c>
      <c r="BG443" s="486">
        <v>0</v>
      </c>
      <c r="BH443" s="486">
        <v>0</v>
      </c>
      <c r="BI443" s="486">
        <v>0</v>
      </c>
      <c r="BJ443" s="487">
        <v>1000000000</v>
      </c>
      <c r="BK443" s="486">
        <v>0</v>
      </c>
      <c r="BL443" s="486">
        <v>1000000000</v>
      </c>
      <c r="BM443" s="486">
        <v>0</v>
      </c>
      <c r="BN443" s="488">
        <v>1000000000</v>
      </c>
      <c r="BO443" s="490">
        <v>2000000000</v>
      </c>
      <c r="BP443" s="486">
        <v>0</v>
      </c>
      <c r="BQ443" s="486">
        <v>0</v>
      </c>
      <c r="BR443" s="486">
        <v>0</v>
      </c>
      <c r="BS443" s="486">
        <v>0</v>
      </c>
      <c r="BT443" s="486">
        <v>1000000000</v>
      </c>
      <c r="BU443" s="486">
        <v>0</v>
      </c>
      <c r="BV443" s="486">
        <v>0</v>
      </c>
      <c r="BW443" s="486">
        <v>0</v>
      </c>
      <c r="BX443" s="487">
        <v>1000000000</v>
      </c>
      <c r="BY443" s="486"/>
      <c r="BZ443" s="486">
        <v>1000000000</v>
      </c>
      <c r="CA443" s="486"/>
      <c r="CB443" s="488">
        <v>1000000000</v>
      </c>
      <c r="CC443" s="491">
        <v>2000000000</v>
      </c>
      <c r="CD443" s="492">
        <v>8000000000</v>
      </c>
      <c r="CE443" s="493">
        <f t="shared" si="29"/>
        <v>0</v>
      </c>
      <c r="CF443" s="493">
        <f t="shared" si="29"/>
        <v>0</v>
      </c>
      <c r="CG443" s="493">
        <f t="shared" si="29"/>
        <v>0</v>
      </c>
      <c r="CH443" s="493">
        <f t="shared" si="29"/>
        <v>0</v>
      </c>
      <c r="CI443" s="493">
        <f t="shared" si="29"/>
        <v>4000000000</v>
      </c>
      <c r="CJ443" s="493">
        <f t="shared" si="29"/>
        <v>0</v>
      </c>
      <c r="CK443" s="493">
        <f t="shared" si="29"/>
        <v>0</v>
      </c>
      <c r="CL443" s="493">
        <f t="shared" si="30"/>
        <v>0</v>
      </c>
      <c r="CM443" s="493">
        <f t="shared" si="28"/>
        <v>0</v>
      </c>
      <c r="CN443" s="493">
        <f t="shared" si="28"/>
        <v>4000000000</v>
      </c>
      <c r="CO443" s="493">
        <f t="shared" si="28"/>
        <v>0</v>
      </c>
    </row>
    <row r="444" spans="1:93" ht="30.45" hidden="1" customHeight="1">
      <c r="A444" s="555" t="s">
        <v>4431</v>
      </c>
      <c r="B444" s="479">
        <v>442</v>
      </c>
      <c r="C444" s="480" t="s">
        <v>6370</v>
      </c>
      <c r="D444" s="480" t="s">
        <v>4802</v>
      </c>
      <c r="E444" s="480" t="str">
        <f t="shared" si="27"/>
        <v xml:space="preserve">4.3.5 </v>
      </c>
      <c r="F444" s="480" t="s">
        <v>4844</v>
      </c>
      <c r="G444" s="480" t="s">
        <v>4845</v>
      </c>
      <c r="H444" s="481">
        <v>41</v>
      </c>
      <c r="I444" s="480" t="s">
        <v>4242</v>
      </c>
      <c r="J444" s="495">
        <v>410200400</v>
      </c>
      <c r="K444" s="480" t="s">
        <v>4846</v>
      </c>
      <c r="L444" s="480" t="s">
        <v>4847</v>
      </c>
      <c r="M444" s="480" t="s">
        <v>6033</v>
      </c>
      <c r="N444" s="499">
        <v>2</v>
      </c>
      <c r="O444" s="480" t="s">
        <v>6606</v>
      </c>
      <c r="P444" s="515">
        <v>5</v>
      </c>
      <c r="Q444" s="485" t="s">
        <v>5349</v>
      </c>
      <c r="R444" s="485" t="s">
        <v>5564</v>
      </c>
      <c r="S444" s="485" t="s">
        <v>683</v>
      </c>
      <c r="T444" s="485">
        <v>86085</v>
      </c>
      <c r="U444" s="485" t="s">
        <v>4848</v>
      </c>
      <c r="V444" s="485">
        <v>94653</v>
      </c>
      <c r="W444" s="485" t="s">
        <v>5351</v>
      </c>
      <c r="X444" s="485" t="s">
        <v>5565</v>
      </c>
      <c r="Y444" s="485" t="s">
        <v>5433</v>
      </c>
      <c r="Z444" s="486"/>
      <c r="AA444" s="486">
        <v>0</v>
      </c>
      <c r="AB444" s="486">
        <v>0</v>
      </c>
      <c r="AC444" s="486">
        <v>0</v>
      </c>
      <c r="AD444" s="486">
        <v>0</v>
      </c>
      <c r="AE444" s="486"/>
      <c r="AF444" s="486">
        <v>0</v>
      </c>
      <c r="AG444" s="486">
        <v>0</v>
      </c>
      <c r="AH444" s="487">
        <v>0</v>
      </c>
      <c r="AI444" s="486">
        <v>0</v>
      </c>
      <c r="AJ444" s="486">
        <v>0</v>
      </c>
      <c r="AK444" s="486">
        <v>0</v>
      </c>
      <c r="AL444" s="488">
        <v>0</v>
      </c>
      <c r="AM444" s="489">
        <v>0</v>
      </c>
      <c r="AN444" s="486"/>
      <c r="AO444" s="486">
        <v>0</v>
      </c>
      <c r="AP444" s="486">
        <v>0</v>
      </c>
      <c r="AQ444" s="486">
        <v>0</v>
      </c>
      <c r="AR444" s="486">
        <v>0</v>
      </c>
      <c r="AS444" s="486"/>
      <c r="AT444" s="486">
        <v>0</v>
      </c>
      <c r="AU444" s="486">
        <v>0</v>
      </c>
      <c r="AV444" s="487">
        <v>0</v>
      </c>
      <c r="AW444" s="486">
        <v>0</v>
      </c>
      <c r="AX444" s="486">
        <v>0</v>
      </c>
      <c r="AY444" s="486">
        <v>0</v>
      </c>
      <c r="AZ444" s="488">
        <v>0</v>
      </c>
      <c r="BA444" s="490">
        <v>0</v>
      </c>
      <c r="BB444" s="486"/>
      <c r="BC444" s="486">
        <v>0</v>
      </c>
      <c r="BD444" s="486">
        <v>0</v>
      </c>
      <c r="BE444" s="486">
        <v>0</v>
      </c>
      <c r="BF444" s="486">
        <v>0</v>
      </c>
      <c r="BG444" s="486"/>
      <c r="BH444" s="486">
        <v>1000000000</v>
      </c>
      <c r="BI444" s="486">
        <v>0</v>
      </c>
      <c r="BJ444" s="487">
        <v>1000000000</v>
      </c>
      <c r="BK444" s="486">
        <v>4000000000</v>
      </c>
      <c r="BL444" s="486">
        <v>0</v>
      </c>
      <c r="BM444" s="486">
        <v>0</v>
      </c>
      <c r="BN444" s="488">
        <v>4000000000</v>
      </c>
      <c r="BO444" s="490">
        <v>5000000000</v>
      </c>
      <c r="BP444" s="486"/>
      <c r="BQ444" s="486">
        <v>0</v>
      </c>
      <c r="BR444" s="486">
        <v>0</v>
      </c>
      <c r="BS444" s="486">
        <v>0</v>
      </c>
      <c r="BT444" s="486">
        <v>0</v>
      </c>
      <c r="BU444" s="486"/>
      <c r="BV444" s="486"/>
      <c r="BW444" s="486">
        <v>0</v>
      </c>
      <c r="BX444" s="487">
        <v>0</v>
      </c>
      <c r="BY444" s="486">
        <v>4500000000</v>
      </c>
      <c r="BZ444" s="486">
        <v>0</v>
      </c>
      <c r="CA444" s="486">
        <v>0</v>
      </c>
      <c r="CB444" s="488">
        <v>4500000000</v>
      </c>
      <c r="CC444" s="491">
        <v>4500000000</v>
      </c>
      <c r="CD444" s="492">
        <v>9500000000</v>
      </c>
      <c r="CE444" s="493">
        <f t="shared" si="29"/>
        <v>0</v>
      </c>
      <c r="CF444" s="493">
        <f t="shared" si="29"/>
        <v>0</v>
      </c>
      <c r="CG444" s="493">
        <f t="shared" si="29"/>
        <v>0</v>
      </c>
      <c r="CH444" s="493">
        <f t="shared" si="29"/>
        <v>0</v>
      </c>
      <c r="CI444" s="493">
        <f t="shared" si="29"/>
        <v>0</v>
      </c>
      <c r="CJ444" s="493">
        <f t="shared" si="29"/>
        <v>0</v>
      </c>
      <c r="CK444" s="493">
        <f t="shared" si="29"/>
        <v>1000000000</v>
      </c>
      <c r="CL444" s="493">
        <f t="shared" si="30"/>
        <v>0</v>
      </c>
      <c r="CM444" s="493">
        <f t="shared" si="28"/>
        <v>8500000000</v>
      </c>
      <c r="CN444" s="493">
        <f t="shared" si="28"/>
        <v>0</v>
      </c>
      <c r="CO444" s="493">
        <f t="shared" si="28"/>
        <v>0</v>
      </c>
    </row>
    <row r="445" spans="1:93" ht="30.45" hidden="1" customHeight="1">
      <c r="A445" s="555" t="s">
        <v>4431</v>
      </c>
      <c r="B445" s="479">
        <v>443</v>
      </c>
      <c r="C445" s="480" t="s">
        <v>6370</v>
      </c>
      <c r="D445" s="480" t="s">
        <v>4802</v>
      </c>
      <c r="E445" s="480" t="str">
        <f t="shared" si="27"/>
        <v xml:space="preserve">4.3.5 </v>
      </c>
      <c r="F445" s="480" t="s">
        <v>4844</v>
      </c>
      <c r="G445" s="480" t="s">
        <v>4845</v>
      </c>
      <c r="H445" s="481">
        <v>41</v>
      </c>
      <c r="I445" s="480" t="s">
        <v>4242</v>
      </c>
      <c r="J445" s="495">
        <v>410204800</v>
      </c>
      <c r="K445" s="480" t="s">
        <v>4846</v>
      </c>
      <c r="L445" s="480" t="s">
        <v>4849</v>
      </c>
      <c r="M445" s="480" t="s">
        <v>6034</v>
      </c>
      <c r="N445" s="499" t="s">
        <v>4448</v>
      </c>
      <c r="O445" s="480" t="s">
        <v>6607</v>
      </c>
      <c r="P445" s="515">
        <v>1</v>
      </c>
      <c r="Q445" s="485" t="s">
        <v>5349</v>
      </c>
      <c r="R445" s="485" t="s">
        <v>5564</v>
      </c>
      <c r="S445" s="485" t="s">
        <v>683</v>
      </c>
      <c r="T445" s="485">
        <v>86085</v>
      </c>
      <c r="U445" s="485" t="s">
        <v>4848</v>
      </c>
      <c r="V445" s="485">
        <v>94653</v>
      </c>
      <c r="W445" s="485" t="s">
        <v>5351</v>
      </c>
      <c r="X445" s="485" t="s">
        <v>5565</v>
      </c>
      <c r="Y445" s="485" t="s">
        <v>5433</v>
      </c>
      <c r="Z445" s="486"/>
      <c r="AA445" s="486">
        <v>0</v>
      </c>
      <c r="AB445" s="486">
        <v>0</v>
      </c>
      <c r="AC445" s="486">
        <v>0</v>
      </c>
      <c r="AD445" s="486">
        <v>0</v>
      </c>
      <c r="AE445" s="486"/>
      <c r="AF445" s="486">
        <v>0</v>
      </c>
      <c r="AG445" s="486">
        <v>0</v>
      </c>
      <c r="AH445" s="487">
        <v>0</v>
      </c>
      <c r="AI445" s="486">
        <v>0</v>
      </c>
      <c r="AJ445" s="486">
        <v>0</v>
      </c>
      <c r="AK445" s="486">
        <v>0</v>
      </c>
      <c r="AL445" s="488">
        <v>0</v>
      </c>
      <c r="AM445" s="489">
        <v>0</v>
      </c>
      <c r="AN445" s="486"/>
      <c r="AO445" s="486">
        <v>0</v>
      </c>
      <c r="AP445" s="486">
        <v>0</v>
      </c>
      <c r="AQ445" s="486">
        <v>0</v>
      </c>
      <c r="AR445" s="486">
        <v>0</v>
      </c>
      <c r="AS445" s="486"/>
      <c r="AT445" s="486">
        <v>0</v>
      </c>
      <c r="AU445" s="486">
        <v>0</v>
      </c>
      <c r="AV445" s="487">
        <v>0</v>
      </c>
      <c r="AW445" s="486">
        <v>0</v>
      </c>
      <c r="AX445" s="486">
        <v>0</v>
      </c>
      <c r="AY445" s="486">
        <v>0</v>
      </c>
      <c r="AZ445" s="488">
        <v>0</v>
      </c>
      <c r="BA445" s="490">
        <v>0</v>
      </c>
      <c r="BB445" s="486"/>
      <c r="BC445" s="486">
        <v>0</v>
      </c>
      <c r="BD445" s="486">
        <v>0</v>
      </c>
      <c r="BE445" s="486">
        <v>0</v>
      </c>
      <c r="BF445" s="486">
        <v>0</v>
      </c>
      <c r="BG445" s="486"/>
      <c r="BH445" s="486">
        <v>1000000000</v>
      </c>
      <c r="BI445" s="486">
        <v>0</v>
      </c>
      <c r="BJ445" s="487">
        <v>1000000000</v>
      </c>
      <c r="BK445" s="486">
        <v>4000000000</v>
      </c>
      <c r="BL445" s="486">
        <v>0</v>
      </c>
      <c r="BM445" s="486">
        <v>0</v>
      </c>
      <c r="BN445" s="488">
        <v>4000000000</v>
      </c>
      <c r="BO445" s="490">
        <v>5000000000</v>
      </c>
      <c r="BP445" s="486"/>
      <c r="BQ445" s="486">
        <v>0</v>
      </c>
      <c r="BR445" s="486">
        <v>0</v>
      </c>
      <c r="BS445" s="486">
        <v>0</v>
      </c>
      <c r="BT445" s="486">
        <v>0</v>
      </c>
      <c r="BU445" s="486"/>
      <c r="BV445" s="486"/>
      <c r="BW445" s="486">
        <v>0</v>
      </c>
      <c r="BX445" s="487">
        <v>0</v>
      </c>
      <c r="BY445" s="486">
        <v>4500000000</v>
      </c>
      <c r="BZ445" s="486">
        <v>0</v>
      </c>
      <c r="CA445" s="486">
        <v>0</v>
      </c>
      <c r="CB445" s="488">
        <v>4500000000</v>
      </c>
      <c r="CC445" s="491">
        <v>4500000000</v>
      </c>
      <c r="CD445" s="492">
        <v>9500000000</v>
      </c>
      <c r="CE445" s="493">
        <f t="shared" si="29"/>
        <v>0</v>
      </c>
      <c r="CF445" s="493">
        <f t="shared" si="29"/>
        <v>0</v>
      </c>
      <c r="CG445" s="493">
        <f t="shared" si="29"/>
        <v>0</v>
      </c>
      <c r="CH445" s="493">
        <f t="shared" si="29"/>
        <v>0</v>
      </c>
      <c r="CI445" s="493">
        <f t="shared" si="29"/>
        <v>0</v>
      </c>
      <c r="CJ445" s="493">
        <f t="shared" si="29"/>
        <v>0</v>
      </c>
      <c r="CK445" s="493">
        <f t="shared" si="29"/>
        <v>1000000000</v>
      </c>
      <c r="CL445" s="493">
        <f t="shared" si="30"/>
        <v>0</v>
      </c>
      <c r="CM445" s="493">
        <f t="shared" si="28"/>
        <v>8500000000</v>
      </c>
      <c r="CN445" s="493">
        <f t="shared" si="28"/>
        <v>0</v>
      </c>
      <c r="CO445" s="493">
        <f t="shared" si="28"/>
        <v>0</v>
      </c>
    </row>
    <row r="446" spans="1:93" ht="30.45" hidden="1" customHeight="1">
      <c r="A446" s="555" t="s">
        <v>4431</v>
      </c>
      <c r="B446" s="479">
        <v>444</v>
      </c>
      <c r="C446" s="480" t="s">
        <v>6370</v>
      </c>
      <c r="D446" s="480" t="s">
        <v>4802</v>
      </c>
      <c r="E446" s="480" t="str">
        <f t="shared" si="27"/>
        <v xml:space="preserve">4.3.5 </v>
      </c>
      <c r="F446" s="480" t="s">
        <v>4844</v>
      </c>
      <c r="G446" s="480" t="s">
        <v>4845</v>
      </c>
      <c r="H446" s="481">
        <v>41</v>
      </c>
      <c r="I446" s="480" t="s">
        <v>4312</v>
      </c>
      <c r="J446" s="495">
        <v>410302500</v>
      </c>
      <c r="K446" s="480" t="s">
        <v>4850</v>
      </c>
      <c r="L446" s="480" t="s">
        <v>4851</v>
      </c>
      <c r="M446" s="480" t="s">
        <v>6035</v>
      </c>
      <c r="N446" s="499">
        <v>2.5</v>
      </c>
      <c r="O446" s="480" t="s">
        <v>4848</v>
      </c>
      <c r="P446" s="515">
        <v>3</v>
      </c>
      <c r="Q446" s="485" t="s">
        <v>5349</v>
      </c>
      <c r="R446" s="485" t="s">
        <v>5564</v>
      </c>
      <c r="S446" s="485" t="s">
        <v>683</v>
      </c>
      <c r="T446" s="485">
        <v>86085</v>
      </c>
      <c r="U446" s="485" t="s">
        <v>4848</v>
      </c>
      <c r="V446" s="485">
        <v>94653</v>
      </c>
      <c r="W446" s="485" t="s">
        <v>5351</v>
      </c>
      <c r="X446" s="485" t="s">
        <v>5565</v>
      </c>
      <c r="Y446" s="485" t="s">
        <v>5433</v>
      </c>
      <c r="Z446" s="486">
        <v>108000000</v>
      </c>
      <c r="AA446" s="486">
        <v>0</v>
      </c>
      <c r="AB446" s="486">
        <v>0</v>
      </c>
      <c r="AC446" s="486">
        <v>0</v>
      </c>
      <c r="AD446" s="486">
        <v>0</v>
      </c>
      <c r="AE446" s="486"/>
      <c r="AF446" s="486">
        <v>4700000000</v>
      </c>
      <c r="AG446" s="486">
        <v>0</v>
      </c>
      <c r="AH446" s="487">
        <v>4808000000</v>
      </c>
      <c r="AI446" s="486">
        <v>3800000000</v>
      </c>
      <c r="AJ446" s="486">
        <v>0</v>
      </c>
      <c r="AK446" s="486">
        <v>0</v>
      </c>
      <c r="AL446" s="488">
        <v>3800000000</v>
      </c>
      <c r="AM446" s="489">
        <v>8608000000</v>
      </c>
      <c r="AN446" s="486">
        <v>108000000</v>
      </c>
      <c r="AO446" s="486">
        <v>0</v>
      </c>
      <c r="AP446" s="486">
        <v>0</v>
      </c>
      <c r="AQ446" s="486">
        <v>0</v>
      </c>
      <c r="AR446" s="486">
        <v>0</v>
      </c>
      <c r="AS446" s="486"/>
      <c r="AT446" s="486">
        <v>0</v>
      </c>
      <c r="AU446" s="486">
        <v>0</v>
      </c>
      <c r="AV446" s="487">
        <v>108000000</v>
      </c>
      <c r="AW446" s="486">
        <v>0</v>
      </c>
      <c r="AX446" s="486">
        <v>0</v>
      </c>
      <c r="AY446" s="486">
        <v>0</v>
      </c>
      <c r="AZ446" s="488">
        <v>0</v>
      </c>
      <c r="BA446" s="490">
        <v>108000000</v>
      </c>
      <c r="BB446" s="486">
        <v>108000000</v>
      </c>
      <c r="BC446" s="486">
        <v>0</v>
      </c>
      <c r="BD446" s="486">
        <v>0</v>
      </c>
      <c r="BE446" s="486">
        <v>0</v>
      </c>
      <c r="BF446" s="486">
        <v>0</v>
      </c>
      <c r="BG446" s="486"/>
      <c r="BH446" s="486">
        <v>0</v>
      </c>
      <c r="BI446" s="486">
        <v>0</v>
      </c>
      <c r="BJ446" s="487">
        <v>108000000</v>
      </c>
      <c r="BK446" s="486">
        <v>0</v>
      </c>
      <c r="BL446" s="486">
        <v>0</v>
      </c>
      <c r="BM446" s="486">
        <v>0</v>
      </c>
      <c r="BN446" s="488">
        <v>0</v>
      </c>
      <c r="BO446" s="490">
        <v>108000000</v>
      </c>
      <c r="BP446" s="486">
        <v>108000000</v>
      </c>
      <c r="BQ446" s="486">
        <v>0</v>
      </c>
      <c r="BR446" s="486">
        <v>0</v>
      </c>
      <c r="BS446" s="486">
        <v>0</v>
      </c>
      <c r="BT446" s="486">
        <v>0</v>
      </c>
      <c r="BU446" s="486"/>
      <c r="BV446" s="486"/>
      <c r="BW446" s="486">
        <v>0</v>
      </c>
      <c r="BX446" s="487">
        <v>108000000</v>
      </c>
      <c r="BY446" s="486">
        <v>0</v>
      </c>
      <c r="BZ446" s="486">
        <v>0</v>
      </c>
      <c r="CA446" s="486">
        <v>0</v>
      </c>
      <c r="CB446" s="488">
        <v>0</v>
      </c>
      <c r="CC446" s="491">
        <v>108000000</v>
      </c>
      <c r="CD446" s="492">
        <v>8932000000</v>
      </c>
      <c r="CE446" s="493">
        <f t="shared" si="29"/>
        <v>432000000</v>
      </c>
      <c r="CF446" s="493">
        <f t="shared" si="29"/>
        <v>0</v>
      </c>
      <c r="CG446" s="493">
        <f t="shared" si="29"/>
        <v>0</v>
      </c>
      <c r="CH446" s="493">
        <f t="shared" ref="CH446:CL506" si="31">AC446+AQ446+BE446+BS446</f>
        <v>0</v>
      </c>
      <c r="CI446" s="493">
        <f t="shared" si="31"/>
        <v>0</v>
      </c>
      <c r="CJ446" s="493">
        <f t="shared" si="31"/>
        <v>0</v>
      </c>
      <c r="CK446" s="493">
        <f t="shared" si="31"/>
        <v>4700000000</v>
      </c>
      <c r="CL446" s="493">
        <f t="shared" si="30"/>
        <v>0</v>
      </c>
      <c r="CM446" s="493">
        <f t="shared" si="28"/>
        <v>3800000000</v>
      </c>
      <c r="CN446" s="493">
        <f t="shared" si="28"/>
        <v>0</v>
      </c>
      <c r="CO446" s="493">
        <f t="shared" si="28"/>
        <v>0</v>
      </c>
    </row>
    <row r="447" spans="1:93" ht="30.45" hidden="1" customHeight="1">
      <c r="A447" s="555" t="s">
        <v>4431</v>
      </c>
      <c r="B447" s="479">
        <v>445</v>
      </c>
      <c r="C447" s="480" t="s">
        <v>6370</v>
      </c>
      <c r="D447" s="480" t="s">
        <v>4802</v>
      </c>
      <c r="E447" s="480" t="str">
        <f t="shared" si="27"/>
        <v xml:space="preserve">4.3.5 </v>
      </c>
      <c r="F447" s="480" t="s">
        <v>4844</v>
      </c>
      <c r="G447" s="480" t="s">
        <v>4845</v>
      </c>
      <c r="H447" s="481">
        <v>41</v>
      </c>
      <c r="I447" s="480" t="s">
        <v>4312</v>
      </c>
      <c r="J447" s="495">
        <v>410302700</v>
      </c>
      <c r="K447" s="480" t="s">
        <v>4850</v>
      </c>
      <c r="L447" s="480" t="s">
        <v>4852</v>
      </c>
      <c r="M447" s="480" t="s">
        <v>6036</v>
      </c>
      <c r="N447" s="499">
        <v>0</v>
      </c>
      <c r="O447" s="480" t="s">
        <v>6608</v>
      </c>
      <c r="P447" s="515">
        <v>17</v>
      </c>
      <c r="Q447" s="485" t="s">
        <v>5349</v>
      </c>
      <c r="R447" s="485" t="s">
        <v>5564</v>
      </c>
      <c r="S447" s="485" t="s">
        <v>683</v>
      </c>
      <c r="T447" s="485">
        <v>86085</v>
      </c>
      <c r="U447" s="485" t="s">
        <v>4848</v>
      </c>
      <c r="V447" s="485">
        <v>94653</v>
      </c>
      <c r="W447" s="485" t="s">
        <v>5351</v>
      </c>
      <c r="X447" s="485" t="s">
        <v>5565</v>
      </c>
      <c r="Y447" s="485" t="s">
        <v>5433</v>
      </c>
      <c r="Z447" s="486">
        <v>108000000</v>
      </c>
      <c r="AA447" s="486">
        <v>0</v>
      </c>
      <c r="AB447" s="486">
        <v>0</v>
      </c>
      <c r="AC447" s="486">
        <v>0</v>
      </c>
      <c r="AD447" s="486">
        <v>0</v>
      </c>
      <c r="AE447" s="486"/>
      <c r="AF447" s="486"/>
      <c r="AG447" s="486">
        <v>0</v>
      </c>
      <c r="AH447" s="487">
        <v>108000000</v>
      </c>
      <c r="AI447" s="486">
        <v>1950000000</v>
      </c>
      <c r="AJ447" s="486">
        <v>0</v>
      </c>
      <c r="AK447" s="486">
        <v>0</v>
      </c>
      <c r="AL447" s="488">
        <v>1950000000</v>
      </c>
      <c r="AM447" s="489">
        <v>2058000000</v>
      </c>
      <c r="AN447" s="486">
        <v>108000000</v>
      </c>
      <c r="AO447" s="486">
        <v>0</v>
      </c>
      <c r="AP447" s="486">
        <v>0</v>
      </c>
      <c r="AQ447" s="486">
        <v>0</v>
      </c>
      <c r="AR447" s="486">
        <v>0</v>
      </c>
      <c r="AS447" s="486"/>
      <c r="AT447" s="486">
        <v>2600000000</v>
      </c>
      <c r="AU447" s="486">
        <v>0</v>
      </c>
      <c r="AV447" s="487">
        <v>2708000000</v>
      </c>
      <c r="AW447" s="486">
        <v>0</v>
      </c>
      <c r="AX447" s="486">
        <v>0</v>
      </c>
      <c r="AY447" s="486">
        <v>0</v>
      </c>
      <c r="AZ447" s="488">
        <v>0</v>
      </c>
      <c r="BA447" s="490">
        <v>2708000000</v>
      </c>
      <c r="BB447" s="486">
        <v>108000000</v>
      </c>
      <c r="BC447" s="486">
        <v>0</v>
      </c>
      <c r="BD447" s="486">
        <v>0</v>
      </c>
      <c r="BE447" s="486">
        <v>0</v>
      </c>
      <c r="BF447" s="486">
        <v>0</v>
      </c>
      <c r="BG447" s="486"/>
      <c r="BH447" s="486"/>
      <c r="BI447" s="486">
        <v>0</v>
      </c>
      <c r="BJ447" s="487">
        <v>108000000</v>
      </c>
      <c r="BK447" s="486">
        <v>2600000000</v>
      </c>
      <c r="BL447" s="486">
        <v>0</v>
      </c>
      <c r="BM447" s="486">
        <v>0</v>
      </c>
      <c r="BN447" s="488">
        <v>2600000000</v>
      </c>
      <c r="BO447" s="490">
        <v>2708000000</v>
      </c>
      <c r="BP447" s="486">
        <v>108000000</v>
      </c>
      <c r="BQ447" s="486">
        <v>0</v>
      </c>
      <c r="BR447" s="486">
        <v>0</v>
      </c>
      <c r="BS447" s="486">
        <v>0</v>
      </c>
      <c r="BT447" s="486">
        <v>0</v>
      </c>
      <c r="BU447" s="486"/>
      <c r="BV447" s="486"/>
      <c r="BW447" s="486">
        <v>0</v>
      </c>
      <c r="BX447" s="487">
        <v>108000000</v>
      </c>
      <c r="BY447" s="486">
        <v>3900000000</v>
      </c>
      <c r="BZ447" s="486">
        <v>0</v>
      </c>
      <c r="CA447" s="486">
        <v>0</v>
      </c>
      <c r="CB447" s="488">
        <v>3900000000</v>
      </c>
      <c r="CC447" s="491">
        <v>4008000000</v>
      </c>
      <c r="CD447" s="492">
        <v>11482000000</v>
      </c>
      <c r="CE447" s="493">
        <f t="shared" ref="CE447:CI510" si="32">Z447+AN447+BB447+BP447</f>
        <v>432000000</v>
      </c>
      <c r="CF447" s="493">
        <f t="shared" si="32"/>
        <v>0</v>
      </c>
      <c r="CG447" s="493">
        <f t="shared" si="32"/>
        <v>0</v>
      </c>
      <c r="CH447" s="493">
        <f t="shared" si="31"/>
        <v>0</v>
      </c>
      <c r="CI447" s="493">
        <f t="shared" si="31"/>
        <v>0</v>
      </c>
      <c r="CJ447" s="493">
        <f t="shared" si="31"/>
        <v>0</v>
      </c>
      <c r="CK447" s="493">
        <f t="shared" si="31"/>
        <v>2600000000</v>
      </c>
      <c r="CL447" s="493">
        <f t="shared" si="30"/>
        <v>0</v>
      </c>
      <c r="CM447" s="493">
        <f t="shared" si="28"/>
        <v>8450000000</v>
      </c>
      <c r="CN447" s="493">
        <f t="shared" si="28"/>
        <v>0</v>
      </c>
      <c r="CO447" s="493">
        <f t="shared" si="28"/>
        <v>0</v>
      </c>
    </row>
    <row r="448" spans="1:93" ht="30.45" hidden="1" customHeight="1">
      <c r="A448" s="555" t="s">
        <v>4431</v>
      </c>
      <c r="B448" s="479">
        <v>446</v>
      </c>
      <c r="C448" s="480" t="s">
        <v>6370</v>
      </c>
      <c r="D448" s="480" t="s">
        <v>4802</v>
      </c>
      <c r="E448" s="480" t="str">
        <f t="shared" si="27"/>
        <v xml:space="preserve">4.3.5 </v>
      </c>
      <c r="F448" s="480" t="s">
        <v>4844</v>
      </c>
      <c r="G448" s="480" t="s">
        <v>4845</v>
      </c>
      <c r="H448" s="481">
        <v>41</v>
      </c>
      <c r="I448" s="480" t="s">
        <v>4853</v>
      </c>
      <c r="J448" s="495">
        <v>410400600</v>
      </c>
      <c r="K448" s="480" t="s">
        <v>4850</v>
      </c>
      <c r="L448" s="480" t="s">
        <v>4854</v>
      </c>
      <c r="M448" s="480" t="s">
        <v>6037</v>
      </c>
      <c r="N448" s="499">
        <v>2</v>
      </c>
      <c r="O448" s="480" t="s">
        <v>4848</v>
      </c>
      <c r="P448" s="515">
        <v>3</v>
      </c>
      <c r="Q448" s="485" t="s">
        <v>5349</v>
      </c>
      <c r="R448" s="485" t="s">
        <v>5564</v>
      </c>
      <c r="S448" s="485" t="s">
        <v>683</v>
      </c>
      <c r="T448" s="485">
        <v>86085</v>
      </c>
      <c r="U448" s="485" t="s">
        <v>4848</v>
      </c>
      <c r="V448" s="485">
        <v>94653</v>
      </c>
      <c r="W448" s="485" t="s">
        <v>5351</v>
      </c>
      <c r="X448" s="485" t="s">
        <v>5565</v>
      </c>
      <c r="Y448" s="485" t="s">
        <v>5433</v>
      </c>
      <c r="Z448" s="486"/>
      <c r="AA448" s="486">
        <v>0</v>
      </c>
      <c r="AB448" s="486">
        <v>0</v>
      </c>
      <c r="AC448" s="486">
        <v>0</v>
      </c>
      <c r="AD448" s="486">
        <v>0</v>
      </c>
      <c r="AE448" s="486"/>
      <c r="AF448" s="486"/>
      <c r="AG448" s="486">
        <v>0</v>
      </c>
      <c r="AH448" s="487">
        <v>0</v>
      </c>
      <c r="AI448" s="486">
        <v>0</v>
      </c>
      <c r="AJ448" s="486">
        <v>0</v>
      </c>
      <c r="AK448" s="486">
        <v>0</v>
      </c>
      <c r="AL448" s="488">
        <v>0</v>
      </c>
      <c r="AM448" s="489">
        <v>0</v>
      </c>
      <c r="AN448" s="486"/>
      <c r="AO448" s="486">
        <v>0</v>
      </c>
      <c r="AP448" s="486">
        <v>0</v>
      </c>
      <c r="AQ448" s="486">
        <v>0</v>
      </c>
      <c r="AR448" s="486">
        <v>0</v>
      </c>
      <c r="AS448" s="486"/>
      <c r="AT448" s="486">
        <v>2500000000</v>
      </c>
      <c r="AU448" s="486">
        <v>0</v>
      </c>
      <c r="AV448" s="487">
        <v>2500000000</v>
      </c>
      <c r="AW448" s="486">
        <v>0</v>
      </c>
      <c r="AX448" s="486">
        <v>0</v>
      </c>
      <c r="AY448" s="486">
        <v>0</v>
      </c>
      <c r="AZ448" s="488">
        <v>0</v>
      </c>
      <c r="BA448" s="490">
        <v>2500000000</v>
      </c>
      <c r="BB448" s="486"/>
      <c r="BC448" s="486">
        <v>0</v>
      </c>
      <c r="BD448" s="486">
        <v>0</v>
      </c>
      <c r="BE448" s="486">
        <v>0</v>
      </c>
      <c r="BF448" s="486">
        <v>0</v>
      </c>
      <c r="BG448" s="486"/>
      <c r="BH448" s="486"/>
      <c r="BI448" s="486">
        <v>0</v>
      </c>
      <c r="BJ448" s="487">
        <v>0</v>
      </c>
      <c r="BK448" s="486">
        <v>2500000000</v>
      </c>
      <c r="BL448" s="486">
        <v>0</v>
      </c>
      <c r="BM448" s="486">
        <v>0</v>
      </c>
      <c r="BN448" s="488">
        <v>2500000000</v>
      </c>
      <c r="BO448" s="490">
        <v>2500000000</v>
      </c>
      <c r="BP448" s="486"/>
      <c r="BQ448" s="486">
        <v>0</v>
      </c>
      <c r="BR448" s="486">
        <v>0</v>
      </c>
      <c r="BS448" s="486">
        <v>0</v>
      </c>
      <c r="BT448" s="486">
        <v>0</v>
      </c>
      <c r="BU448" s="486"/>
      <c r="BV448" s="486"/>
      <c r="BW448" s="486">
        <v>0</v>
      </c>
      <c r="BX448" s="487">
        <v>0</v>
      </c>
      <c r="BY448" s="486">
        <v>5200000000</v>
      </c>
      <c r="BZ448" s="486">
        <v>0</v>
      </c>
      <c r="CA448" s="486">
        <v>0</v>
      </c>
      <c r="CB448" s="488">
        <v>5200000000</v>
      </c>
      <c r="CC448" s="491">
        <v>5200000000</v>
      </c>
      <c r="CD448" s="492">
        <v>10200000000</v>
      </c>
      <c r="CE448" s="493">
        <f t="shared" si="32"/>
        <v>0</v>
      </c>
      <c r="CF448" s="493">
        <f t="shared" si="32"/>
        <v>0</v>
      </c>
      <c r="CG448" s="493">
        <f t="shared" si="32"/>
        <v>0</v>
      </c>
      <c r="CH448" s="493">
        <f t="shared" si="31"/>
        <v>0</v>
      </c>
      <c r="CI448" s="493">
        <f t="shared" si="31"/>
        <v>0</v>
      </c>
      <c r="CJ448" s="493">
        <f t="shared" si="31"/>
        <v>0</v>
      </c>
      <c r="CK448" s="493">
        <f t="shared" si="31"/>
        <v>2500000000</v>
      </c>
      <c r="CL448" s="493">
        <f t="shared" si="30"/>
        <v>0</v>
      </c>
      <c r="CM448" s="493">
        <f t="shared" si="28"/>
        <v>7700000000</v>
      </c>
      <c r="CN448" s="493">
        <f t="shared" si="28"/>
        <v>0</v>
      </c>
      <c r="CO448" s="493">
        <f t="shared" si="28"/>
        <v>0</v>
      </c>
    </row>
    <row r="449" spans="1:93" ht="30.45" hidden="1" customHeight="1">
      <c r="A449" s="555" t="s">
        <v>4431</v>
      </c>
      <c r="B449" s="479">
        <v>447</v>
      </c>
      <c r="C449" s="480" t="s">
        <v>6370</v>
      </c>
      <c r="D449" s="480" t="s">
        <v>4802</v>
      </c>
      <c r="E449" s="480" t="str">
        <f t="shared" si="27"/>
        <v xml:space="preserve">4.3.5 </v>
      </c>
      <c r="F449" s="480" t="s">
        <v>4844</v>
      </c>
      <c r="G449" s="480" t="s">
        <v>4845</v>
      </c>
      <c r="H449" s="481">
        <v>41</v>
      </c>
      <c r="I449" s="480" t="s">
        <v>4853</v>
      </c>
      <c r="J449" s="495">
        <v>410400900</v>
      </c>
      <c r="K449" s="480" t="s">
        <v>4850</v>
      </c>
      <c r="L449" s="480" t="s">
        <v>6609</v>
      </c>
      <c r="M449" s="480" t="s">
        <v>6038</v>
      </c>
      <c r="N449" s="499">
        <v>0</v>
      </c>
      <c r="O449" s="480" t="s">
        <v>6608</v>
      </c>
      <c r="P449" s="515">
        <v>1</v>
      </c>
      <c r="Q449" s="485" t="s">
        <v>5349</v>
      </c>
      <c r="R449" s="485" t="s">
        <v>5564</v>
      </c>
      <c r="S449" s="485" t="s">
        <v>683</v>
      </c>
      <c r="T449" s="485">
        <v>86085</v>
      </c>
      <c r="U449" s="485" t="s">
        <v>4848</v>
      </c>
      <c r="V449" s="485">
        <v>94653</v>
      </c>
      <c r="W449" s="485" t="s">
        <v>5351</v>
      </c>
      <c r="X449" s="485" t="s">
        <v>5565</v>
      </c>
      <c r="Y449" s="485" t="s">
        <v>5433</v>
      </c>
      <c r="Z449" s="486"/>
      <c r="AA449" s="486">
        <v>0</v>
      </c>
      <c r="AB449" s="486">
        <v>0</v>
      </c>
      <c r="AC449" s="486">
        <v>0</v>
      </c>
      <c r="AD449" s="486">
        <v>0</v>
      </c>
      <c r="AE449" s="486"/>
      <c r="AF449" s="486"/>
      <c r="AG449" s="486">
        <v>0</v>
      </c>
      <c r="AH449" s="487">
        <v>0</v>
      </c>
      <c r="AI449" s="486">
        <v>0</v>
      </c>
      <c r="AJ449" s="486">
        <v>0</v>
      </c>
      <c r="AK449" s="486">
        <v>0</v>
      </c>
      <c r="AL449" s="488">
        <v>0</v>
      </c>
      <c r="AM449" s="489">
        <v>0</v>
      </c>
      <c r="AN449" s="486"/>
      <c r="AO449" s="486">
        <v>0</v>
      </c>
      <c r="AP449" s="486">
        <v>0</v>
      </c>
      <c r="AQ449" s="486">
        <v>0</v>
      </c>
      <c r="AR449" s="486">
        <v>0</v>
      </c>
      <c r="AS449" s="486"/>
      <c r="AT449" s="486"/>
      <c r="AU449" s="486">
        <v>0</v>
      </c>
      <c r="AV449" s="487">
        <v>0</v>
      </c>
      <c r="AW449" s="486">
        <v>0</v>
      </c>
      <c r="AX449" s="486">
        <v>0</v>
      </c>
      <c r="AY449" s="486">
        <v>0</v>
      </c>
      <c r="AZ449" s="488">
        <v>0</v>
      </c>
      <c r="BA449" s="490">
        <v>0</v>
      </c>
      <c r="BB449" s="486"/>
      <c r="BC449" s="486">
        <v>0</v>
      </c>
      <c r="BD449" s="486">
        <v>0</v>
      </c>
      <c r="BE449" s="486">
        <v>0</v>
      </c>
      <c r="BF449" s="486">
        <v>0</v>
      </c>
      <c r="BG449" s="486"/>
      <c r="BH449" s="486"/>
      <c r="BI449" s="486">
        <v>0</v>
      </c>
      <c r="BJ449" s="487">
        <v>0</v>
      </c>
      <c r="BK449" s="486">
        <v>3500000000</v>
      </c>
      <c r="BL449" s="486">
        <v>0</v>
      </c>
      <c r="BM449" s="486">
        <v>0</v>
      </c>
      <c r="BN449" s="488">
        <v>3500000000</v>
      </c>
      <c r="BO449" s="490">
        <v>3500000000</v>
      </c>
      <c r="BP449" s="486"/>
      <c r="BQ449" s="486">
        <v>0</v>
      </c>
      <c r="BR449" s="486">
        <v>0</v>
      </c>
      <c r="BS449" s="486">
        <v>0</v>
      </c>
      <c r="BT449" s="486">
        <v>0</v>
      </c>
      <c r="BU449" s="486"/>
      <c r="BV449" s="486"/>
      <c r="BW449" s="486">
        <v>0</v>
      </c>
      <c r="BX449" s="487">
        <v>0</v>
      </c>
      <c r="BY449" s="486">
        <v>0</v>
      </c>
      <c r="BZ449" s="486">
        <v>0</v>
      </c>
      <c r="CA449" s="486">
        <v>0</v>
      </c>
      <c r="CB449" s="488">
        <v>0</v>
      </c>
      <c r="CC449" s="491">
        <v>0</v>
      </c>
      <c r="CD449" s="492">
        <v>3500000000</v>
      </c>
      <c r="CE449" s="493">
        <f t="shared" si="32"/>
        <v>0</v>
      </c>
      <c r="CF449" s="493">
        <f t="shared" si="32"/>
        <v>0</v>
      </c>
      <c r="CG449" s="493">
        <f t="shared" si="32"/>
        <v>0</v>
      </c>
      <c r="CH449" s="493">
        <f t="shared" si="31"/>
        <v>0</v>
      </c>
      <c r="CI449" s="493">
        <f t="shared" si="31"/>
        <v>0</v>
      </c>
      <c r="CJ449" s="493">
        <f t="shared" si="31"/>
        <v>0</v>
      </c>
      <c r="CK449" s="493">
        <f t="shared" si="31"/>
        <v>0</v>
      </c>
      <c r="CL449" s="493">
        <f t="shared" si="30"/>
        <v>0</v>
      </c>
      <c r="CM449" s="493">
        <f t="shared" si="28"/>
        <v>3500000000</v>
      </c>
      <c r="CN449" s="493">
        <f t="shared" si="28"/>
        <v>0</v>
      </c>
      <c r="CO449" s="493">
        <f t="shared" si="28"/>
        <v>0</v>
      </c>
    </row>
    <row r="450" spans="1:93" ht="30.45" hidden="1" customHeight="1">
      <c r="A450" s="557" t="s">
        <v>4431</v>
      </c>
      <c r="B450" s="479">
        <v>448</v>
      </c>
      <c r="C450" s="480" t="s">
        <v>6370</v>
      </c>
      <c r="D450" s="480" t="s">
        <v>4802</v>
      </c>
      <c r="E450" s="480" t="str">
        <f t="shared" si="27"/>
        <v xml:space="preserve">4.3.5 </v>
      </c>
      <c r="F450" s="480" t="s">
        <v>4844</v>
      </c>
      <c r="G450" s="480" t="s">
        <v>4845</v>
      </c>
      <c r="H450" s="481">
        <v>41</v>
      </c>
      <c r="I450" s="480" t="s">
        <v>4853</v>
      </c>
      <c r="J450" s="535">
        <v>410404100</v>
      </c>
      <c r="K450" s="536" t="s">
        <v>4850</v>
      </c>
      <c r="L450" s="536" t="s">
        <v>4855</v>
      </c>
      <c r="M450" s="536" t="s">
        <v>6039</v>
      </c>
      <c r="N450" s="499" t="s">
        <v>4448</v>
      </c>
      <c r="O450" s="536" t="s">
        <v>6607</v>
      </c>
      <c r="P450" s="515">
        <v>1</v>
      </c>
      <c r="Q450" s="485" t="s">
        <v>5349</v>
      </c>
      <c r="R450" s="485" t="s">
        <v>5564</v>
      </c>
      <c r="S450" s="485" t="s">
        <v>683</v>
      </c>
      <c r="T450" s="485">
        <v>86085</v>
      </c>
      <c r="U450" s="485" t="s">
        <v>4848</v>
      </c>
      <c r="V450" s="485">
        <v>94653</v>
      </c>
      <c r="W450" s="485" t="s">
        <v>5351</v>
      </c>
      <c r="X450" s="485" t="s">
        <v>5565</v>
      </c>
      <c r="Y450" s="485" t="s">
        <v>5433</v>
      </c>
      <c r="Z450" s="537"/>
      <c r="AA450" s="537">
        <v>0</v>
      </c>
      <c r="AB450" s="537">
        <v>0</v>
      </c>
      <c r="AC450" s="537">
        <v>0</v>
      </c>
      <c r="AD450" s="537">
        <v>0</v>
      </c>
      <c r="AE450" s="537"/>
      <c r="AF450" s="537">
        <v>0</v>
      </c>
      <c r="AG450" s="537">
        <v>0</v>
      </c>
      <c r="AH450" s="487">
        <v>0</v>
      </c>
      <c r="AI450" s="537">
        <v>0</v>
      </c>
      <c r="AJ450" s="537">
        <v>0</v>
      </c>
      <c r="AK450" s="537">
        <v>0</v>
      </c>
      <c r="AL450" s="488">
        <v>0</v>
      </c>
      <c r="AM450" s="489">
        <v>0</v>
      </c>
      <c r="AN450" s="537"/>
      <c r="AO450" s="537">
        <v>0</v>
      </c>
      <c r="AP450" s="537">
        <v>0</v>
      </c>
      <c r="AQ450" s="537">
        <v>0</v>
      </c>
      <c r="AR450" s="537">
        <v>0</v>
      </c>
      <c r="AS450" s="537"/>
      <c r="AT450" s="537">
        <v>2100000000</v>
      </c>
      <c r="AU450" s="537">
        <v>0</v>
      </c>
      <c r="AV450" s="487">
        <v>2100000000</v>
      </c>
      <c r="AW450" s="537">
        <v>3000000000</v>
      </c>
      <c r="AX450" s="537">
        <v>0</v>
      </c>
      <c r="AY450" s="537">
        <v>0</v>
      </c>
      <c r="AZ450" s="488">
        <v>3000000000</v>
      </c>
      <c r="BA450" s="490">
        <v>5100000000</v>
      </c>
      <c r="BB450" s="537"/>
      <c r="BC450" s="537">
        <v>0</v>
      </c>
      <c r="BD450" s="537">
        <v>0</v>
      </c>
      <c r="BE450" s="537">
        <v>0</v>
      </c>
      <c r="BF450" s="537">
        <v>0</v>
      </c>
      <c r="BG450" s="537"/>
      <c r="BH450" s="537"/>
      <c r="BI450" s="537">
        <v>0</v>
      </c>
      <c r="BJ450" s="487">
        <v>0</v>
      </c>
      <c r="BK450" s="537">
        <v>5100000000</v>
      </c>
      <c r="BL450" s="537">
        <v>0</v>
      </c>
      <c r="BM450" s="537">
        <v>0</v>
      </c>
      <c r="BN450" s="488">
        <v>5100000000</v>
      </c>
      <c r="BO450" s="490">
        <v>5100000000</v>
      </c>
      <c r="BP450" s="537"/>
      <c r="BQ450" s="537">
        <v>0</v>
      </c>
      <c r="BR450" s="537">
        <v>0</v>
      </c>
      <c r="BS450" s="537">
        <v>0</v>
      </c>
      <c r="BT450" s="537">
        <v>0</v>
      </c>
      <c r="BU450" s="537"/>
      <c r="BV450" s="537"/>
      <c r="BW450" s="537">
        <v>0</v>
      </c>
      <c r="BX450" s="487">
        <v>0</v>
      </c>
      <c r="BY450" s="537">
        <v>0</v>
      </c>
      <c r="BZ450" s="537">
        <v>0</v>
      </c>
      <c r="CA450" s="537">
        <v>0</v>
      </c>
      <c r="CB450" s="488">
        <v>0</v>
      </c>
      <c r="CC450" s="491">
        <v>0</v>
      </c>
      <c r="CD450" s="492">
        <v>10200000000</v>
      </c>
      <c r="CE450" s="493">
        <f t="shared" si="32"/>
        <v>0</v>
      </c>
      <c r="CF450" s="493">
        <f t="shared" si="32"/>
        <v>0</v>
      </c>
      <c r="CG450" s="493">
        <f t="shared" si="32"/>
        <v>0</v>
      </c>
      <c r="CH450" s="493">
        <f t="shared" si="31"/>
        <v>0</v>
      </c>
      <c r="CI450" s="493">
        <f t="shared" si="31"/>
        <v>0</v>
      </c>
      <c r="CJ450" s="493">
        <f t="shared" si="31"/>
        <v>0</v>
      </c>
      <c r="CK450" s="493">
        <f t="shared" si="31"/>
        <v>2100000000</v>
      </c>
      <c r="CL450" s="493">
        <f t="shared" si="30"/>
        <v>0</v>
      </c>
      <c r="CM450" s="493">
        <f t="shared" si="28"/>
        <v>8100000000</v>
      </c>
      <c r="CN450" s="493">
        <f t="shared" si="28"/>
        <v>0</v>
      </c>
      <c r="CO450" s="493">
        <f t="shared" si="28"/>
        <v>0</v>
      </c>
    </row>
    <row r="451" spans="1:93" ht="30.45" hidden="1" customHeight="1">
      <c r="A451" s="558" t="s">
        <v>4431</v>
      </c>
      <c r="B451" s="479">
        <v>449</v>
      </c>
      <c r="C451" s="480" t="s">
        <v>6370</v>
      </c>
      <c r="D451" s="480" t="s">
        <v>4802</v>
      </c>
      <c r="E451" s="480" t="str">
        <f t="shared" si="27"/>
        <v xml:space="preserve">4.3.5 </v>
      </c>
      <c r="F451" s="480" t="s">
        <v>4844</v>
      </c>
      <c r="G451" s="538" t="s">
        <v>4167</v>
      </c>
      <c r="H451" s="481">
        <v>39</v>
      </c>
      <c r="I451" s="480" t="s">
        <v>4171</v>
      </c>
      <c r="J451" s="481">
        <v>390601800</v>
      </c>
      <c r="K451" s="480" t="s">
        <v>4856</v>
      </c>
      <c r="L451" s="480" t="s">
        <v>4857</v>
      </c>
      <c r="M451" s="480" t="s">
        <v>6040</v>
      </c>
      <c r="N451" s="499">
        <v>1</v>
      </c>
      <c r="O451" s="480"/>
      <c r="P451" s="500">
        <v>3</v>
      </c>
      <c r="Q451" s="485" t="s">
        <v>5349</v>
      </c>
      <c r="R451" s="485" t="s">
        <v>5564</v>
      </c>
      <c r="S451" s="485" t="s">
        <v>683</v>
      </c>
      <c r="T451" s="485">
        <v>86085</v>
      </c>
      <c r="U451" s="485" t="s">
        <v>4848</v>
      </c>
      <c r="V451" s="485">
        <v>94653</v>
      </c>
      <c r="W451" s="485" t="s">
        <v>5351</v>
      </c>
      <c r="X451" s="485" t="s">
        <v>5565</v>
      </c>
      <c r="Y451" s="485" t="s">
        <v>5433</v>
      </c>
      <c r="Z451" s="539">
        <v>0</v>
      </c>
      <c r="AA451" s="539">
        <v>0</v>
      </c>
      <c r="AB451" s="530">
        <v>0</v>
      </c>
      <c r="AC451" s="530">
        <v>0</v>
      </c>
      <c r="AD451" s="530">
        <v>0</v>
      </c>
      <c r="AE451" s="530">
        <v>0</v>
      </c>
      <c r="AF451" s="530">
        <v>11260000000</v>
      </c>
      <c r="AG451" s="530">
        <v>0</v>
      </c>
      <c r="AH451" s="487">
        <v>11260000000</v>
      </c>
      <c r="AI451" s="530">
        <v>0</v>
      </c>
      <c r="AJ451" s="530">
        <v>0</v>
      </c>
      <c r="AK451" s="530">
        <v>0</v>
      </c>
      <c r="AL451" s="488">
        <v>0</v>
      </c>
      <c r="AM451" s="489">
        <v>11260000000</v>
      </c>
      <c r="AN451" s="530">
        <v>0</v>
      </c>
      <c r="AO451" s="528">
        <v>0</v>
      </c>
      <c r="AP451" s="528">
        <v>0</v>
      </c>
      <c r="AQ451" s="528">
        <v>0</v>
      </c>
      <c r="AR451" s="528">
        <v>0</v>
      </c>
      <c r="AS451" s="528">
        <v>0</v>
      </c>
      <c r="AT451" s="528">
        <v>0</v>
      </c>
      <c r="AU451" s="528">
        <v>0</v>
      </c>
      <c r="AV451" s="487">
        <v>0</v>
      </c>
      <c r="AW451" s="528">
        <v>0</v>
      </c>
      <c r="AX451" s="528">
        <v>0</v>
      </c>
      <c r="AY451" s="528">
        <v>0</v>
      </c>
      <c r="AZ451" s="488">
        <v>0</v>
      </c>
      <c r="BA451" s="490">
        <v>0</v>
      </c>
      <c r="BB451" s="528">
        <v>0</v>
      </c>
      <c r="BC451" s="528">
        <v>0</v>
      </c>
      <c r="BD451" s="528">
        <v>0</v>
      </c>
      <c r="BE451" s="528">
        <v>0</v>
      </c>
      <c r="BF451" s="528">
        <v>0</v>
      </c>
      <c r="BG451" s="528">
        <v>0</v>
      </c>
      <c r="BH451" s="528">
        <v>0</v>
      </c>
      <c r="BI451" s="528">
        <v>0</v>
      </c>
      <c r="BJ451" s="487">
        <v>0</v>
      </c>
      <c r="BK451" s="528">
        <v>0</v>
      </c>
      <c r="BL451" s="528">
        <v>0</v>
      </c>
      <c r="BM451" s="528">
        <v>100000000000</v>
      </c>
      <c r="BN451" s="488">
        <v>100000000000</v>
      </c>
      <c r="BO451" s="490">
        <v>100000000000</v>
      </c>
      <c r="BP451" s="528">
        <v>0</v>
      </c>
      <c r="BQ451" s="528">
        <v>0</v>
      </c>
      <c r="BR451" s="528">
        <v>0</v>
      </c>
      <c r="BS451" s="528">
        <v>0</v>
      </c>
      <c r="BT451" s="528">
        <v>0</v>
      </c>
      <c r="BU451" s="528">
        <v>0</v>
      </c>
      <c r="BV451" s="528">
        <v>0</v>
      </c>
      <c r="BW451" s="528">
        <v>0</v>
      </c>
      <c r="BX451" s="487">
        <v>0</v>
      </c>
      <c r="BY451" s="528">
        <v>0</v>
      </c>
      <c r="BZ451" s="528">
        <v>0</v>
      </c>
      <c r="CA451" s="528">
        <v>100000000000</v>
      </c>
      <c r="CB451" s="488">
        <v>100000000000</v>
      </c>
      <c r="CC451" s="491">
        <v>100000000000</v>
      </c>
      <c r="CD451" s="492">
        <v>211260000000</v>
      </c>
      <c r="CE451" s="493">
        <f t="shared" si="32"/>
        <v>0</v>
      </c>
      <c r="CF451" s="493">
        <f t="shared" si="32"/>
        <v>0</v>
      </c>
      <c r="CG451" s="493">
        <f t="shared" si="32"/>
        <v>0</v>
      </c>
      <c r="CH451" s="493">
        <f t="shared" si="31"/>
        <v>0</v>
      </c>
      <c r="CI451" s="493">
        <f t="shared" si="31"/>
        <v>0</v>
      </c>
      <c r="CJ451" s="493">
        <f t="shared" si="31"/>
        <v>0</v>
      </c>
      <c r="CK451" s="493">
        <f t="shared" si="31"/>
        <v>11260000000</v>
      </c>
      <c r="CL451" s="493">
        <f t="shared" si="30"/>
        <v>0</v>
      </c>
      <c r="CM451" s="493">
        <f t="shared" si="28"/>
        <v>0</v>
      </c>
      <c r="CN451" s="493">
        <f t="shared" si="28"/>
        <v>0</v>
      </c>
      <c r="CO451" s="493">
        <f t="shared" si="28"/>
        <v>200000000000</v>
      </c>
    </row>
    <row r="452" spans="1:93" ht="30.45" hidden="1" customHeight="1">
      <c r="A452" s="554" t="s">
        <v>4431</v>
      </c>
      <c r="B452" s="479">
        <v>450</v>
      </c>
      <c r="C452" s="480" t="s">
        <v>6370</v>
      </c>
      <c r="D452" s="480" t="s">
        <v>4802</v>
      </c>
      <c r="E452" s="480" t="str">
        <f t="shared" ref="E452:E515" si="33">MID(F452,1,6)</f>
        <v xml:space="preserve">4.3.5 </v>
      </c>
      <c r="F452" s="480" t="s">
        <v>4844</v>
      </c>
      <c r="G452" s="480" t="s">
        <v>4845</v>
      </c>
      <c r="H452" s="481">
        <v>33</v>
      </c>
      <c r="I452" s="480" t="s">
        <v>4858</v>
      </c>
      <c r="J452" s="482">
        <v>330109400</v>
      </c>
      <c r="K452" s="483" t="s">
        <v>4032</v>
      </c>
      <c r="L452" s="483" t="s">
        <v>4133</v>
      </c>
      <c r="M452" s="483" t="s">
        <v>6041</v>
      </c>
      <c r="N452" s="499" t="s">
        <v>4448</v>
      </c>
      <c r="O452" s="483" t="s">
        <v>4859</v>
      </c>
      <c r="P452" s="515">
        <v>1</v>
      </c>
      <c r="Q452" s="485" t="s">
        <v>5349</v>
      </c>
      <c r="R452" s="485" t="s">
        <v>5564</v>
      </c>
      <c r="S452" s="485" t="s">
        <v>683</v>
      </c>
      <c r="T452" s="485">
        <v>86085</v>
      </c>
      <c r="U452" s="485" t="s">
        <v>4848</v>
      </c>
      <c r="V452" s="485">
        <v>94653</v>
      </c>
      <c r="W452" s="485" t="s">
        <v>5351</v>
      </c>
      <c r="X452" s="485" t="s">
        <v>5565</v>
      </c>
      <c r="Y452" s="485" t="s">
        <v>5433</v>
      </c>
      <c r="Z452" s="540"/>
      <c r="AA452" s="540">
        <v>0</v>
      </c>
      <c r="AB452" s="540">
        <v>0</v>
      </c>
      <c r="AC452" s="540">
        <v>0</v>
      </c>
      <c r="AD452" s="540">
        <v>0</v>
      </c>
      <c r="AE452" s="540"/>
      <c r="AF452" s="540"/>
      <c r="AG452" s="540">
        <v>0</v>
      </c>
      <c r="AH452" s="487">
        <v>0</v>
      </c>
      <c r="AI452" s="540">
        <v>0</v>
      </c>
      <c r="AJ452" s="540">
        <v>0</v>
      </c>
      <c r="AK452" s="540">
        <v>0</v>
      </c>
      <c r="AL452" s="488">
        <v>0</v>
      </c>
      <c r="AM452" s="489">
        <v>0</v>
      </c>
      <c r="AN452" s="540"/>
      <c r="AO452" s="540">
        <v>0</v>
      </c>
      <c r="AP452" s="540">
        <v>0</v>
      </c>
      <c r="AQ452" s="540">
        <v>0</v>
      </c>
      <c r="AR452" s="540">
        <v>0</v>
      </c>
      <c r="AS452" s="540"/>
      <c r="AT452" s="540">
        <v>1000000000</v>
      </c>
      <c r="AU452" s="540">
        <v>0</v>
      </c>
      <c r="AV452" s="487">
        <v>1000000000</v>
      </c>
      <c r="AW452" s="540">
        <v>0</v>
      </c>
      <c r="AX452" s="540">
        <v>0</v>
      </c>
      <c r="AY452" s="540">
        <v>0</v>
      </c>
      <c r="AZ452" s="488">
        <v>0</v>
      </c>
      <c r="BA452" s="490">
        <v>1000000000</v>
      </c>
      <c r="BB452" s="540"/>
      <c r="BC452" s="540">
        <v>0</v>
      </c>
      <c r="BD452" s="540">
        <v>0</v>
      </c>
      <c r="BE452" s="540">
        <v>0</v>
      </c>
      <c r="BF452" s="540">
        <v>0</v>
      </c>
      <c r="BG452" s="540"/>
      <c r="BH452" s="540">
        <v>0</v>
      </c>
      <c r="BI452" s="540">
        <v>0</v>
      </c>
      <c r="BJ452" s="487">
        <v>0</v>
      </c>
      <c r="BK452" s="540">
        <v>0</v>
      </c>
      <c r="BL452" s="540">
        <v>0</v>
      </c>
      <c r="BM452" s="540">
        <v>0</v>
      </c>
      <c r="BN452" s="488">
        <v>0</v>
      </c>
      <c r="BO452" s="490">
        <v>0</v>
      </c>
      <c r="BP452" s="540"/>
      <c r="BQ452" s="540">
        <v>0</v>
      </c>
      <c r="BR452" s="540">
        <v>0</v>
      </c>
      <c r="BS452" s="540">
        <v>0</v>
      </c>
      <c r="BT452" s="540">
        <v>0</v>
      </c>
      <c r="BU452" s="540"/>
      <c r="BV452" s="540"/>
      <c r="BW452" s="540">
        <v>0</v>
      </c>
      <c r="BX452" s="487">
        <v>0</v>
      </c>
      <c r="BY452" s="540">
        <v>0</v>
      </c>
      <c r="BZ452" s="540">
        <v>0</v>
      </c>
      <c r="CA452" s="540">
        <v>0</v>
      </c>
      <c r="CB452" s="488">
        <v>0</v>
      </c>
      <c r="CC452" s="491">
        <v>0</v>
      </c>
      <c r="CD452" s="492">
        <v>1000000000</v>
      </c>
      <c r="CE452" s="493">
        <f t="shared" si="32"/>
        <v>0</v>
      </c>
      <c r="CF452" s="493">
        <f t="shared" si="32"/>
        <v>0</v>
      </c>
      <c r="CG452" s="493">
        <f t="shared" si="32"/>
        <v>0</v>
      </c>
      <c r="CH452" s="493">
        <f t="shared" si="31"/>
        <v>0</v>
      </c>
      <c r="CI452" s="493">
        <f t="shared" si="31"/>
        <v>0</v>
      </c>
      <c r="CJ452" s="493">
        <f t="shared" si="31"/>
        <v>0</v>
      </c>
      <c r="CK452" s="493">
        <f t="shared" si="31"/>
        <v>1000000000</v>
      </c>
      <c r="CL452" s="493">
        <f t="shared" si="30"/>
        <v>0</v>
      </c>
      <c r="CM452" s="493">
        <f t="shared" ref="CM452:CO515" si="34">AI452+AW452+BK452+BY452</f>
        <v>0</v>
      </c>
      <c r="CN452" s="493">
        <f t="shared" si="34"/>
        <v>0</v>
      </c>
      <c r="CO452" s="493">
        <f t="shared" si="34"/>
        <v>0</v>
      </c>
    </row>
    <row r="453" spans="1:93" ht="30.45" hidden="1" customHeight="1">
      <c r="A453" s="555" t="s">
        <v>4431</v>
      </c>
      <c r="B453" s="479">
        <v>451</v>
      </c>
      <c r="C453" s="480" t="s">
        <v>6370</v>
      </c>
      <c r="D453" s="480" t="s">
        <v>4802</v>
      </c>
      <c r="E453" s="480" t="str">
        <f t="shared" si="33"/>
        <v xml:space="preserve">4.3.5 </v>
      </c>
      <c r="F453" s="480" t="s">
        <v>4844</v>
      </c>
      <c r="G453" s="480" t="s">
        <v>4845</v>
      </c>
      <c r="H453" s="481">
        <v>33</v>
      </c>
      <c r="I453" s="480" t="s">
        <v>4132</v>
      </c>
      <c r="J453" s="495">
        <v>330204300</v>
      </c>
      <c r="K453" s="480" t="s">
        <v>4860</v>
      </c>
      <c r="L453" s="480" t="s">
        <v>4861</v>
      </c>
      <c r="M453" s="480" t="s">
        <v>6042</v>
      </c>
      <c r="N453" s="499" t="s">
        <v>4448</v>
      </c>
      <c r="O453" s="480" t="s">
        <v>6610</v>
      </c>
      <c r="P453" s="515">
        <v>1</v>
      </c>
      <c r="Q453" s="485" t="s">
        <v>5349</v>
      </c>
      <c r="R453" s="485" t="s">
        <v>5564</v>
      </c>
      <c r="S453" s="485" t="s">
        <v>683</v>
      </c>
      <c r="T453" s="485">
        <v>86085</v>
      </c>
      <c r="U453" s="485" t="s">
        <v>4848</v>
      </c>
      <c r="V453" s="485">
        <v>94653</v>
      </c>
      <c r="W453" s="485" t="s">
        <v>5351</v>
      </c>
      <c r="X453" s="485" t="s">
        <v>5565</v>
      </c>
      <c r="Y453" s="485" t="s">
        <v>5433</v>
      </c>
      <c r="Z453" s="486"/>
      <c r="AA453" s="486">
        <v>0</v>
      </c>
      <c r="AB453" s="486">
        <v>0</v>
      </c>
      <c r="AC453" s="486">
        <v>0</v>
      </c>
      <c r="AD453" s="486">
        <v>0</v>
      </c>
      <c r="AE453" s="486"/>
      <c r="AF453" s="486">
        <v>0</v>
      </c>
      <c r="AG453" s="486">
        <v>0</v>
      </c>
      <c r="AH453" s="487">
        <v>0</v>
      </c>
      <c r="AI453" s="486">
        <v>0</v>
      </c>
      <c r="AJ453" s="486">
        <v>0</v>
      </c>
      <c r="AK453" s="486">
        <v>0</v>
      </c>
      <c r="AL453" s="488">
        <v>0</v>
      </c>
      <c r="AM453" s="489">
        <v>0</v>
      </c>
      <c r="AN453" s="486"/>
      <c r="AO453" s="486">
        <v>0</v>
      </c>
      <c r="AP453" s="486">
        <v>0</v>
      </c>
      <c r="AQ453" s="486">
        <v>0</v>
      </c>
      <c r="AR453" s="486">
        <v>0</v>
      </c>
      <c r="AS453" s="486"/>
      <c r="AT453" s="486">
        <v>0</v>
      </c>
      <c r="AU453" s="486">
        <v>0</v>
      </c>
      <c r="AV453" s="487">
        <v>0</v>
      </c>
      <c r="AW453" s="486">
        <v>0</v>
      </c>
      <c r="AX453" s="486">
        <v>0</v>
      </c>
      <c r="AY453" s="486">
        <v>0</v>
      </c>
      <c r="AZ453" s="488">
        <v>0</v>
      </c>
      <c r="BA453" s="490">
        <v>0</v>
      </c>
      <c r="BB453" s="486"/>
      <c r="BC453" s="486">
        <v>0</v>
      </c>
      <c r="BD453" s="486">
        <v>0</v>
      </c>
      <c r="BE453" s="486">
        <v>0</v>
      </c>
      <c r="BF453" s="486">
        <v>0</v>
      </c>
      <c r="BG453" s="486"/>
      <c r="BH453" s="486"/>
      <c r="BI453" s="486">
        <v>0</v>
      </c>
      <c r="BJ453" s="487">
        <v>0</v>
      </c>
      <c r="BK453" s="486">
        <v>35000000000</v>
      </c>
      <c r="BL453" s="486">
        <v>0</v>
      </c>
      <c r="BM453" s="486">
        <v>0</v>
      </c>
      <c r="BN453" s="488">
        <v>35000000000</v>
      </c>
      <c r="BO453" s="490">
        <v>35000000000</v>
      </c>
      <c r="BP453" s="486"/>
      <c r="BQ453" s="486">
        <v>0</v>
      </c>
      <c r="BR453" s="486">
        <v>0</v>
      </c>
      <c r="BS453" s="486">
        <v>0</v>
      </c>
      <c r="BT453" s="486">
        <v>0</v>
      </c>
      <c r="BU453" s="486"/>
      <c r="BV453" s="486"/>
      <c r="BW453" s="486">
        <v>0</v>
      </c>
      <c r="BX453" s="487">
        <v>0</v>
      </c>
      <c r="BY453" s="486">
        <v>42000000000</v>
      </c>
      <c r="BZ453" s="486">
        <v>0</v>
      </c>
      <c r="CA453" s="486">
        <v>0</v>
      </c>
      <c r="CB453" s="488">
        <v>42000000000</v>
      </c>
      <c r="CC453" s="491">
        <v>42000000000</v>
      </c>
      <c r="CD453" s="492">
        <v>77000000000</v>
      </c>
      <c r="CE453" s="493">
        <f t="shared" si="32"/>
        <v>0</v>
      </c>
      <c r="CF453" s="493">
        <f t="shared" si="32"/>
        <v>0</v>
      </c>
      <c r="CG453" s="493">
        <f t="shared" si="32"/>
        <v>0</v>
      </c>
      <c r="CH453" s="493">
        <f t="shared" si="31"/>
        <v>0</v>
      </c>
      <c r="CI453" s="493">
        <f t="shared" si="31"/>
        <v>0</v>
      </c>
      <c r="CJ453" s="493">
        <f t="shared" si="31"/>
        <v>0</v>
      </c>
      <c r="CK453" s="493">
        <f t="shared" si="31"/>
        <v>0</v>
      </c>
      <c r="CL453" s="493">
        <f t="shared" si="30"/>
        <v>0</v>
      </c>
      <c r="CM453" s="493">
        <f t="shared" si="34"/>
        <v>77000000000</v>
      </c>
      <c r="CN453" s="493">
        <f t="shared" si="34"/>
        <v>0</v>
      </c>
      <c r="CO453" s="493">
        <f t="shared" si="34"/>
        <v>0</v>
      </c>
    </row>
    <row r="454" spans="1:93" ht="30.45" hidden="1" customHeight="1">
      <c r="A454" s="555" t="s">
        <v>4431</v>
      </c>
      <c r="B454" s="479">
        <v>452</v>
      </c>
      <c r="C454" s="480" t="s">
        <v>6370</v>
      </c>
      <c r="D454" s="480" t="s">
        <v>4802</v>
      </c>
      <c r="E454" s="480" t="str">
        <f t="shared" si="33"/>
        <v xml:space="preserve">4.3.5 </v>
      </c>
      <c r="F454" s="480" t="s">
        <v>4844</v>
      </c>
      <c r="G454" s="480" t="s">
        <v>4845</v>
      </c>
      <c r="H454" s="481">
        <v>33</v>
      </c>
      <c r="I454" s="480" t="s">
        <v>4098</v>
      </c>
      <c r="J454" s="495">
        <v>330100100</v>
      </c>
      <c r="K454" s="480" t="s">
        <v>4862</v>
      </c>
      <c r="L454" s="480" t="s">
        <v>4863</v>
      </c>
      <c r="M454" s="480" t="s">
        <v>6043</v>
      </c>
      <c r="N454" s="499">
        <v>1</v>
      </c>
      <c r="O454" s="480" t="s">
        <v>4848</v>
      </c>
      <c r="P454" s="515">
        <v>3</v>
      </c>
      <c r="Q454" s="485" t="s">
        <v>5349</v>
      </c>
      <c r="R454" s="485" t="s">
        <v>5564</v>
      </c>
      <c r="S454" s="485" t="s">
        <v>683</v>
      </c>
      <c r="T454" s="485">
        <v>86085</v>
      </c>
      <c r="U454" s="485" t="s">
        <v>4848</v>
      </c>
      <c r="V454" s="485">
        <v>94653</v>
      </c>
      <c r="W454" s="485" t="s">
        <v>5351</v>
      </c>
      <c r="X454" s="485" t="s">
        <v>5565</v>
      </c>
      <c r="Y454" s="485" t="s">
        <v>5433</v>
      </c>
      <c r="Z454" s="486">
        <v>108000000</v>
      </c>
      <c r="AA454" s="486">
        <v>0</v>
      </c>
      <c r="AB454" s="486">
        <v>0</v>
      </c>
      <c r="AC454" s="486">
        <v>0</v>
      </c>
      <c r="AD454" s="486">
        <v>0</v>
      </c>
      <c r="AE454" s="486"/>
      <c r="AF454" s="486">
        <v>0</v>
      </c>
      <c r="AG454" s="486">
        <v>0</v>
      </c>
      <c r="AH454" s="487">
        <v>108000000</v>
      </c>
      <c r="AI454" s="486">
        <v>0</v>
      </c>
      <c r="AJ454" s="486">
        <v>0</v>
      </c>
      <c r="AK454" s="486">
        <v>0</v>
      </c>
      <c r="AL454" s="488">
        <v>0</v>
      </c>
      <c r="AM454" s="489">
        <v>108000000</v>
      </c>
      <c r="AN454" s="486">
        <v>108000000</v>
      </c>
      <c r="AO454" s="486">
        <v>0</v>
      </c>
      <c r="AP454" s="486">
        <v>0</v>
      </c>
      <c r="AQ454" s="486">
        <v>0</v>
      </c>
      <c r="AR454" s="486">
        <v>0</v>
      </c>
      <c r="AS454" s="486"/>
      <c r="AT454" s="486">
        <v>0</v>
      </c>
      <c r="AU454" s="486">
        <v>0</v>
      </c>
      <c r="AV454" s="487">
        <v>108000000</v>
      </c>
      <c r="AW454" s="486">
        <v>0</v>
      </c>
      <c r="AX454" s="486">
        <v>0</v>
      </c>
      <c r="AY454" s="486">
        <v>0</v>
      </c>
      <c r="AZ454" s="488">
        <v>0</v>
      </c>
      <c r="BA454" s="490">
        <v>108000000</v>
      </c>
      <c r="BB454" s="486">
        <v>108000000</v>
      </c>
      <c r="BC454" s="486">
        <v>0</v>
      </c>
      <c r="BD454" s="486">
        <v>0</v>
      </c>
      <c r="BE454" s="486">
        <v>0</v>
      </c>
      <c r="BF454" s="486">
        <v>0</v>
      </c>
      <c r="BG454" s="486"/>
      <c r="BH454" s="486"/>
      <c r="BI454" s="486">
        <v>0</v>
      </c>
      <c r="BJ454" s="487">
        <v>108000000</v>
      </c>
      <c r="BK454" s="486">
        <v>10000000000</v>
      </c>
      <c r="BL454" s="486">
        <v>0</v>
      </c>
      <c r="BM454" s="486">
        <v>0</v>
      </c>
      <c r="BN454" s="488">
        <v>10000000000</v>
      </c>
      <c r="BO454" s="490">
        <v>10108000000</v>
      </c>
      <c r="BP454" s="486">
        <v>108000000</v>
      </c>
      <c r="BQ454" s="486">
        <v>0</v>
      </c>
      <c r="BR454" s="486">
        <v>0</v>
      </c>
      <c r="BS454" s="486">
        <v>0</v>
      </c>
      <c r="BT454" s="486">
        <v>0</v>
      </c>
      <c r="BU454" s="486"/>
      <c r="BV454" s="486"/>
      <c r="BW454" s="486">
        <v>0</v>
      </c>
      <c r="BX454" s="487">
        <v>108000000</v>
      </c>
      <c r="BY454" s="486"/>
      <c r="BZ454" s="486">
        <v>0</v>
      </c>
      <c r="CA454" s="486">
        <v>0</v>
      </c>
      <c r="CB454" s="488">
        <v>0</v>
      </c>
      <c r="CC454" s="491">
        <v>108000000</v>
      </c>
      <c r="CD454" s="492">
        <v>10432000000</v>
      </c>
      <c r="CE454" s="493">
        <f t="shared" si="32"/>
        <v>432000000</v>
      </c>
      <c r="CF454" s="493">
        <f t="shared" si="32"/>
        <v>0</v>
      </c>
      <c r="CG454" s="493">
        <f t="shared" si="32"/>
        <v>0</v>
      </c>
      <c r="CH454" s="493">
        <f t="shared" si="31"/>
        <v>0</v>
      </c>
      <c r="CI454" s="493">
        <f t="shared" si="31"/>
        <v>0</v>
      </c>
      <c r="CJ454" s="493">
        <f t="shared" si="31"/>
        <v>0</v>
      </c>
      <c r="CK454" s="493">
        <f t="shared" si="31"/>
        <v>0</v>
      </c>
      <c r="CL454" s="493">
        <f t="shared" si="30"/>
        <v>0</v>
      </c>
      <c r="CM454" s="493">
        <f t="shared" si="34"/>
        <v>10000000000</v>
      </c>
      <c r="CN454" s="493">
        <f t="shared" si="34"/>
        <v>0</v>
      </c>
      <c r="CO454" s="493">
        <f t="shared" si="34"/>
        <v>0</v>
      </c>
    </row>
    <row r="455" spans="1:93" ht="30.45" hidden="1" customHeight="1">
      <c r="A455" s="555" t="s">
        <v>4431</v>
      </c>
      <c r="B455" s="479">
        <v>453</v>
      </c>
      <c r="C455" s="480" t="s">
        <v>6370</v>
      </c>
      <c r="D455" s="480" t="s">
        <v>4802</v>
      </c>
      <c r="E455" s="480" t="str">
        <f t="shared" si="33"/>
        <v xml:space="preserve">4.3.5 </v>
      </c>
      <c r="F455" s="480" t="s">
        <v>4844</v>
      </c>
      <c r="G455" s="480" t="s">
        <v>4845</v>
      </c>
      <c r="H455" s="481">
        <v>33</v>
      </c>
      <c r="I455" s="480" t="s">
        <v>4098</v>
      </c>
      <c r="J455" s="495">
        <v>330100400</v>
      </c>
      <c r="K455" s="480" t="s">
        <v>4862</v>
      </c>
      <c r="L455" s="480" t="s">
        <v>4864</v>
      </c>
      <c r="M455" s="480" t="s">
        <v>6044</v>
      </c>
      <c r="N455" s="499" t="s">
        <v>4448</v>
      </c>
      <c r="O455" s="480" t="s">
        <v>4448</v>
      </c>
      <c r="P455" s="515">
        <v>1</v>
      </c>
      <c r="Q455" s="485" t="s">
        <v>5349</v>
      </c>
      <c r="R455" s="485" t="s">
        <v>5564</v>
      </c>
      <c r="S455" s="485" t="s">
        <v>683</v>
      </c>
      <c r="T455" s="485">
        <v>86085</v>
      </c>
      <c r="U455" s="485" t="s">
        <v>4848</v>
      </c>
      <c r="V455" s="485">
        <v>94653</v>
      </c>
      <c r="W455" s="485" t="s">
        <v>5351</v>
      </c>
      <c r="X455" s="485" t="s">
        <v>5565</v>
      </c>
      <c r="Y455" s="485" t="s">
        <v>5433</v>
      </c>
      <c r="Z455" s="486"/>
      <c r="AA455" s="486">
        <v>0</v>
      </c>
      <c r="AB455" s="486">
        <v>0</v>
      </c>
      <c r="AC455" s="486">
        <v>0</v>
      </c>
      <c r="AD455" s="486">
        <v>0</v>
      </c>
      <c r="AE455" s="486"/>
      <c r="AF455" s="486">
        <v>0</v>
      </c>
      <c r="AG455" s="486">
        <v>0</v>
      </c>
      <c r="AH455" s="487">
        <v>0</v>
      </c>
      <c r="AI455" s="486">
        <v>0</v>
      </c>
      <c r="AJ455" s="486">
        <v>0</v>
      </c>
      <c r="AK455" s="486">
        <v>0</v>
      </c>
      <c r="AL455" s="488">
        <v>0</v>
      </c>
      <c r="AM455" s="489">
        <v>0</v>
      </c>
      <c r="AN455" s="486"/>
      <c r="AO455" s="486">
        <v>0</v>
      </c>
      <c r="AP455" s="486">
        <v>0</v>
      </c>
      <c r="AQ455" s="486">
        <v>0</v>
      </c>
      <c r="AR455" s="486">
        <v>0</v>
      </c>
      <c r="AS455" s="486"/>
      <c r="AT455" s="486">
        <v>0</v>
      </c>
      <c r="AU455" s="486">
        <v>0</v>
      </c>
      <c r="AV455" s="487">
        <v>0</v>
      </c>
      <c r="AW455" s="486">
        <v>0</v>
      </c>
      <c r="AX455" s="486">
        <v>0</v>
      </c>
      <c r="AY455" s="486">
        <v>0</v>
      </c>
      <c r="AZ455" s="488">
        <v>0</v>
      </c>
      <c r="BA455" s="490">
        <v>0</v>
      </c>
      <c r="BB455" s="486"/>
      <c r="BC455" s="486">
        <v>0</v>
      </c>
      <c r="BD455" s="486">
        <v>0</v>
      </c>
      <c r="BE455" s="486">
        <v>0</v>
      </c>
      <c r="BF455" s="486">
        <v>0</v>
      </c>
      <c r="BG455" s="486"/>
      <c r="BH455" s="486"/>
      <c r="BI455" s="486">
        <v>0</v>
      </c>
      <c r="BJ455" s="487">
        <v>0</v>
      </c>
      <c r="BK455" s="486">
        <v>4500000000</v>
      </c>
      <c r="BL455" s="486">
        <v>0</v>
      </c>
      <c r="BM455" s="486">
        <v>0</v>
      </c>
      <c r="BN455" s="488">
        <v>4500000000</v>
      </c>
      <c r="BO455" s="490">
        <v>4500000000</v>
      </c>
      <c r="BP455" s="486"/>
      <c r="BQ455" s="486">
        <v>0</v>
      </c>
      <c r="BR455" s="486">
        <v>0</v>
      </c>
      <c r="BS455" s="486">
        <v>0</v>
      </c>
      <c r="BT455" s="486">
        <v>0</v>
      </c>
      <c r="BU455" s="486"/>
      <c r="BV455" s="486"/>
      <c r="BW455" s="486">
        <v>0</v>
      </c>
      <c r="BX455" s="487">
        <v>0</v>
      </c>
      <c r="BY455" s="486">
        <v>0</v>
      </c>
      <c r="BZ455" s="486">
        <v>0</v>
      </c>
      <c r="CA455" s="486">
        <v>0</v>
      </c>
      <c r="CB455" s="488">
        <v>0</v>
      </c>
      <c r="CC455" s="491">
        <v>0</v>
      </c>
      <c r="CD455" s="492">
        <v>4500000000</v>
      </c>
      <c r="CE455" s="493">
        <f t="shared" si="32"/>
        <v>0</v>
      </c>
      <c r="CF455" s="493">
        <f t="shared" si="32"/>
        <v>0</v>
      </c>
      <c r="CG455" s="493">
        <f t="shared" si="32"/>
        <v>0</v>
      </c>
      <c r="CH455" s="493">
        <f t="shared" si="31"/>
        <v>0</v>
      </c>
      <c r="CI455" s="493">
        <f t="shared" si="31"/>
        <v>0</v>
      </c>
      <c r="CJ455" s="493">
        <f t="shared" si="31"/>
        <v>0</v>
      </c>
      <c r="CK455" s="493">
        <f t="shared" si="31"/>
        <v>0</v>
      </c>
      <c r="CL455" s="493">
        <f t="shared" si="30"/>
        <v>0</v>
      </c>
      <c r="CM455" s="493">
        <f t="shared" si="34"/>
        <v>4500000000</v>
      </c>
      <c r="CN455" s="493">
        <f t="shared" si="34"/>
        <v>0</v>
      </c>
      <c r="CO455" s="493">
        <f t="shared" si="34"/>
        <v>0</v>
      </c>
    </row>
    <row r="456" spans="1:93" ht="30.45" hidden="1" customHeight="1">
      <c r="A456" s="555" t="s">
        <v>4431</v>
      </c>
      <c r="B456" s="479">
        <v>454</v>
      </c>
      <c r="C456" s="480" t="s">
        <v>6370</v>
      </c>
      <c r="D456" s="480" t="s">
        <v>4802</v>
      </c>
      <c r="E456" s="480" t="str">
        <f t="shared" si="33"/>
        <v xml:space="preserve">4.3.5 </v>
      </c>
      <c r="F456" s="480" t="s">
        <v>4844</v>
      </c>
      <c r="G456" s="480" t="s">
        <v>4845</v>
      </c>
      <c r="H456" s="481">
        <v>33</v>
      </c>
      <c r="I456" s="480" t="s">
        <v>4098</v>
      </c>
      <c r="J456" s="495">
        <v>450200700</v>
      </c>
      <c r="K456" s="480" t="s">
        <v>6197</v>
      </c>
      <c r="L456" s="480" t="s">
        <v>6198</v>
      </c>
      <c r="M456" s="480" t="s">
        <v>6611</v>
      </c>
      <c r="N456" s="499" t="s">
        <v>1616</v>
      </c>
      <c r="O456" s="480" t="s">
        <v>4448</v>
      </c>
      <c r="P456" s="515">
        <v>15</v>
      </c>
      <c r="Q456" s="485" t="s">
        <v>5349</v>
      </c>
      <c r="R456" s="485" t="s">
        <v>5564</v>
      </c>
      <c r="S456" s="485" t="s">
        <v>683</v>
      </c>
      <c r="T456" s="485">
        <v>86085</v>
      </c>
      <c r="U456" s="485" t="s">
        <v>4848</v>
      </c>
      <c r="V456" s="485">
        <v>94653</v>
      </c>
      <c r="W456" s="485" t="s">
        <v>5351</v>
      </c>
      <c r="X456" s="485" t="s">
        <v>5565</v>
      </c>
      <c r="Y456" s="485" t="s">
        <v>5433</v>
      </c>
      <c r="Z456" s="486"/>
      <c r="AA456" s="486">
        <v>0</v>
      </c>
      <c r="AB456" s="486">
        <v>0</v>
      </c>
      <c r="AC456" s="486">
        <v>0</v>
      </c>
      <c r="AD456" s="486">
        <v>0</v>
      </c>
      <c r="AE456" s="486"/>
      <c r="AF456" s="486">
        <v>0</v>
      </c>
      <c r="AG456" s="486">
        <v>0</v>
      </c>
      <c r="AH456" s="487">
        <v>0</v>
      </c>
      <c r="AI456" s="486">
        <v>0</v>
      </c>
      <c r="AJ456" s="486">
        <v>0</v>
      </c>
      <c r="AK456" s="486">
        <v>0</v>
      </c>
      <c r="AL456" s="488">
        <v>0</v>
      </c>
      <c r="AM456" s="489">
        <v>0</v>
      </c>
      <c r="AN456" s="486"/>
      <c r="AO456" s="486">
        <v>0</v>
      </c>
      <c r="AP456" s="486">
        <v>0</v>
      </c>
      <c r="AQ456" s="486">
        <v>0</v>
      </c>
      <c r="AR456" s="486">
        <v>0</v>
      </c>
      <c r="AS456" s="486"/>
      <c r="AT456" s="486">
        <v>0</v>
      </c>
      <c r="AU456" s="486">
        <v>0</v>
      </c>
      <c r="AV456" s="487">
        <v>0</v>
      </c>
      <c r="AW456" s="486">
        <v>0</v>
      </c>
      <c r="AX456" s="486">
        <v>0</v>
      </c>
      <c r="AY456" s="486">
        <v>0</v>
      </c>
      <c r="AZ456" s="488">
        <v>0</v>
      </c>
      <c r="BA456" s="490">
        <v>0</v>
      </c>
      <c r="BB456" s="486"/>
      <c r="BC456" s="486">
        <v>0</v>
      </c>
      <c r="BD456" s="486">
        <v>0</v>
      </c>
      <c r="BE456" s="486">
        <v>0</v>
      </c>
      <c r="BF456" s="486">
        <v>0</v>
      </c>
      <c r="BG456" s="486"/>
      <c r="BH456" s="486"/>
      <c r="BI456" s="486">
        <v>0</v>
      </c>
      <c r="BJ456" s="487">
        <v>0</v>
      </c>
      <c r="BK456" s="486">
        <v>12500000000</v>
      </c>
      <c r="BL456" s="486">
        <v>0</v>
      </c>
      <c r="BM456" s="486">
        <v>0</v>
      </c>
      <c r="BN456" s="488">
        <v>12500000000</v>
      </c>
      <c r="BO456" s="490">
        <v>12500000000</v>
      </c>
      <c r="BP456" s="486"/>
      <c r="BQ456" s="486">
        <v>0</v>
      </c>
      <c r="BR456" s="486">
        <v>0</v>
      </c>
      <c r="BS456" s="486">
        <v>0</v>
      </c>
      <c r="BT456" s="486">
        <v>0</v>
      </c>
      <c r="BU456" s="486"/>
      <c r="BV456" s="486"/>
      <c r="BW456" s="486">
        <v>0</v>
      </c>
      <c r="BX456" s="487">
        <v>0</v>
      </c>
      <c r="BY456" s="486">
        <v>12500000000</v>
      </c>
      <c r="BZ456" s="486">
        <v>0</v>
      </c>
      <c r="CA456" s="486">
        <v>0</v>
      </c>
      <c r="CB456" s="488">
        <v>12500000000</v>
      </c>
      <c r="CC456" s="491">
        <v>12500000000</v>
      </c>
      <c r="CD456" s="492">
        <v>25000000000</v>
      </c>
      <c r="CE456" s="493">
        <f t="shared" si="32"/>
        <v>0</v>
      </c>
      <c r="CF456" s="493">
        <f t="shared" si="32"/>
        <v>0</v>
      </c>
      <c r="CG456" s="493">
        <f t="shared" si="32"/>
        <v>0</v>
      </c>
      <c r="CH456" s="493">
        <f t="shared" si="31"/>
        <v>0</v>
      </c>
      <c r="CI456" s="493">
        <f t="shared" si="31"/>
        <v>0</v>
      </c>
      <c r="CJ456" s="493">
        <f t="shared" si="31"/>
        <v>0</v>
      </c>
      <c r="CK456" s="493">
        <f t="shared" si="31"/>
        <v>0</v>
      </c>
      <c r="CL456" s="493">
        <f t="shared" si="30"/>
        <v>0</v>
      </c>
      <c r="CM456" s="493">
        <f t="shared" si="34"/>
        <v>25000000000</v>
      </c>
      <c r="CN456" s="493">
        <f t="shared" si="34"/>
        <v>0</v>
      </c>
      <c r="CO456" s="493">
        <f t="shared" si="34"/>
        <v>0</v>
      </c>
    </row>
    <row r="457" spans="1:93" ht="30.45" hidden="1" customHeight="1">
      <c r="A457" s="555" t="s">
        <v>4431</v>
      </c>
      <c r="B457" s="479">
        <v>455</v>
      </c>
      <c r="C457" s="480" t="s">
        <v>6370</v>
      </c>
      <c r="D457" s="480" t="s">
        <v>4802</v>
      </c>
      <c r="E457" s="480" t="str">
        <f t="shared" si="33"/>
        <v xml:space="preserve">4.3.5 </v>
      </c>
      <c r="F457" s="480" t="s">
        <v>4844</v>
      </c>
      <c r="G457" s="480" t="s">
        <v>4845</v>
      </c>
      <c r="H457" s="481">
        <v>33</v>
      </c>
      <c r="I457" s="480" t="s">
        <v>4098</v>
      </c>
      <c r="J457" s="495">
        <v>330109100</v>
      </c>
      <c r="K457" s="480" t="s">
        <v>4129</v>
      </c>
      <c r="L457" s="480" t="s">
        <v>4865</v>
      </c>
      <c r="M457" s="480" t="s">
        <v>6045</v>
      </c>
      <c r="N457" s="499" t="s">
        <v>4448</v>
      </c>
      <c r="O457" s="480" t="s">
        <v>4448</v>
      </c>
      <c r="P457" s="515">
        <v>1</v>
      </c>
      <c r="Q457" s="485" t="s">
        <v>5349</v>
      </c>
      <c r="R457" s="485" t="s">
        <v>5564</v>
      </c>
      <c r="S457" s="485" t="s">
        <v>683</v>
      </c>
      <c r="T457" s="485">
        <v>86085</v>
      </c>
      <c r="U457" s="485" t="s">
        <v>4848</v>
      </c>
      <c r="V457" s="485">
        <v>94653</v>
      </c>
      <c r="W457" s="485" t="s">
        <v>5351</v>
      </c>
      <c r="X457" s="485" t="s">
        <v>5565</v>
      </c>
      <c r="Y457" s="485" t="s">
        <v>5433</v>
      </c>
      <c r="Z457" s="486"/>
      <c r="AA457" s="486">
        <v>0</v>
      </c>
      <c r="AB457" s="486">
        <v>0</v>
      </c>
      <c r="AC457" s="486">
        <v>0</v>
      </c>
      <c r="AD457" s="486">
        <v>0</v>
      </c>
      <c r="AE457" s="486"/>
      <c r="AF457" s="486">
        <v>0</v>
      </c>
      <c r="AG457" s="486">
        <v>0</v>
      </c>
      <c r="AH457" s="487">
        <v>0</v>
      </c>
      <c r="AI457" s="486">
        <v>0</v>
      </c>
      <c r="AJ457" s="486">
        <v>0</v>
      </c>
      <c r="AK457" s="486">
        <v>0</v>
      </c>
      <c r="AL457" s="488">
        <v>0</v>
      </c>
      <c r="AM457" s="489">
        <v>0</v>
      </c>
      <c r="AN457" s="486"/>
      <c r="AO457" s="486">
        <v>0</v>
      </c>
      <c r="AP457" s="486">
        <v>0</v>
      </c>
      <c r="AQ457" s="486">
        <v>0</v>
      </c>
      <c r="AR457" s="486">
        <v>0</v>
      </c>
      <c r="AS457" s="486"/>
      <c r="AT457" s="486">
        <v>0</v>
      </c>
      <c r="AU457" s="486">
        <v>0</v>
      </c>
      <c r="AV457" s="487">
        <v>0</v>
      </c>
      <c r="AW457" s="486">
        <v>0</v>
      </c>
      <c r="AX457" s="486">
        <v>0</v>
      </c>
      <c r="AY457" s="486">
        <v>0</v>
      </c>
      <c r="AZ457" s="488">
        <v>0</v>
      </c>
      <c r="BA457" s="490">
        <v>0</v>
      </c>
      <c r="BB457" s="486"/>
      <c r="BC457" s="486">
        <v>0</v>
      </c>
      <c r="BD457" s="486">
        <v>0</v>
      </c>
      <c r="BE457" s="486">
        <v>0</v>
      </c>
      <c r="BF457" s="486">
        <v>0</v>
      </c>
      <c r="BG457" s="486"/>
      <c r="BH457" s="486">
        <v>0</v>
      </c>
      <c r="BI457" s="486">
        <v>0</v>
      </c>
      <c r="BJ457" s="487">
        <v>0</v>
      </c>
      <c r="BK457" s="486">
        <v>0</v>
      </c>
      <c r="BL457" s="486">
        <v>0</v>
      </c>
      <c r="BM457" s="486">
        <v>0</v>
      </c>
      <c r="BN457" s="488">
        <v>0</v>
      </c>
      <c r="BO457" s="490">
        <v>0</v>
      </c>
      <c r="BP457" s="486"/>
      <c r="BQ457" s="486">
        <v>0</v>
      </c>
      <c r="BR457" s="486">
        <v>0</v>
      </c>
      <c r="BS457" s="486">
        <v>0</v>
      </c>
      <c r="BT457" s="486">
        <v>0</v>
      </c>
      <c r="BU457" s="486"/>
      <c r="BV457" s="486"/>
      <c r="BW457" s="486">
        <v>0</v>
      </c>
      <c r="BX457" s="487">
        <v>0</v>
      </c>
      <c r="BY457" s="486">
        <v>6500000000</v>
      </c>
      <c r="BZ457" s="486">
        <v>0</v>
      </c>
      <c r="CA457" s="486">
        <v>0</v>
      </c>
      <c r="CB457" s="488">
        <v>6500000000</v>
      </c>
      <c r="CC457" s="491">
        <v>6500000000</v>
      </c>
      <c r="CD457" s="492">
        <v>6500000000</v>
      </c>
      <c r="CE457" s="493">
        <f t="shared" si="32"/>
        <v>0</v>
      </c>
      <c r="CF457" s="493">
        <f t="shared" si="32"/>
        <v>0</v>
      </c>
      <c r="CG457" s="493">
        <f t="shared" si="32"/>
        <v>0</v>
      </c>
      <c r="CH457" s="493">
        <f t="shared" si="31"/>
        <v>0</v>
      </c>
      <c r="CI457" s="493">
        <f t="shared" si="31"/>
        <v>0</v>
      </c>
      <c r="CJ457" s="493">
        <f t="shared" si="31"/>
        <v>0</v>
      </c>
      <c r="CK457" s="493">
        <f t="shared" si="31"/>
        <v>0</v>
      </c>
      <c r="CL457" s="493">
        <f t="shared" si="30"/>
        <v>0</v>
      </c>
      <c r="CM457" s="493">
        <f t="shared" si="34"/>
        <v>6500000000</v>
      </c>
      <c r="CN457" s="493">
        <f t="shared" si="34"/>
        <v>0</v>
      </c>
      <c r="CO457" s="493">
        <f t="shared" si="34"/>
        <v>0</v>
      </c>
    </row>
    <row r="458" spans="1:93" ht="30.45" hidden="1" customHeight="1">
      <c r="A458" s="555" t="s">
        <v>4431</v>
      </c>
      <c r="B458" s="479">
        <v>456</v>
      </c>
      <c r="C458" s="480" t="s">
        <v>6370</v>
      </c>
      <c r="D458" s="480" t="s">
        <v>4802</v>
      </c>
      <c r="E458" s="480" t="str">
        <f t="shared" si="33"/>
        <v xml:space="preserve">4.3.5 </v>
      </c>
      <c r="F458" s="480" t="s">
        <v>4844</v>
      </c>
      <c r="G458" s="480" t="s">
        <v>4845</v>
      </c>
      <c r="H458" s="481">
        <v>33</v>
      </c>
      <c r="I458" s="480" t="s">
        <v>4132</v>
      </c>
      <c r="J458" s="495">
        <v>330207300</v>
      </c>
      <c r="K458" s="480" t="s">
        <v>4164</v>
      </c>
      <c r="L458" s="480" t="s">
        <v>4866</v>
      </c>
      <c r="M458" s="480" t="s">
        <v>6046</v>
      </c>
      <c r="N458" s="499" t="s">
        <v>4448</v>
      </c>
      <c r="O458" s="480" t="s">
        <v>4448</v>
      </c>
      <c r="P458" s="515">
        <v>1</v>
      </c>
      <c r="Q458" s="485" t="s">
        <v>5349</v>
      </c>
      <c r="R458" s="485" t="s">
        <v>5564</v>
      </c>
      <c r="S458" s="485" t="s">
        <v>683</v>
      </c>
      <c r="T458" s="485">
        <v>86085</v>
      </c>
      <c r="U458" s="485" t="s">
        <v>4848</v>
      </c>
      <c r="V458" s="485">
        <v>94653</v>
      </c>
      <c r="W458" s="485" t="s">
        <v>5351</v>
      </c>
      <c r="X458" s="485" t="s">
        <v>5565</v>
      </c>
      <c r="Y458" s="485" t="s">
        <v>5433</v>
      </c>
      <c r="Z458" s="486"/>
      <c r="AA458" s="486">
        <v>0</v>
      </c>
      <c r="AB458" s="486">
        <v>0</v>
      </c>
      <c r="AC458" s="486">
        <v>0</v>
      </c>
      <c r="AD458" s="486">
        <v>0</v>
      </c>
      <c r="AE458" s="486"/>
      <c r="AF458" s="486">
        <v>0</v>
      </c>
      <c r="AG458" s="486">
        <v>0</v>
      </c>
      <c r="AH458" s="487">
        <v>0</v>
      </c>
      <c r="AI458" s="486">
        <v>0</v>
      </c>
      <c r="AJ458" s="486">
        <v>0</v>
      </c>
      <c r="AK458" s="486">
        <v>0</v>
      </c>
      <c r="AL458" s="488">
        <v>0</v>
      </c>
      <c r="AM458" s="489">
        <v>0</v>
      </c>
      <c r="AN458" s="486"/>
      <c r="AO458" s="486">
        <v>0</v>
      </c>
      <c r="AP458" s="486">
        <v>0</v>
      </c>
      <c r="AQ458" s="486">
        <v>0</v>
      </c>
      <c r="AR458" s="486">
        <v>0</v>
      </c>
      <c r="AS458" s="486"/>
      <c r="AT458" s="486">
        <v>0</v>
      </c>
      <c r="AU458" s="486">
        <v>0</v>
      </c>
      <c r="AV458" s="487">
        <v>0</v>
      </c>
      <c r="AW458" s="486">
        <v>0</v>
      </c>
      <c r="AX458" s="486">
        <v>0</v>
      </c>
      <c r="AY458" s="486">
        <v>0</v>
      </c>
      <c r="AZ458" s="488">
        <v>0</v>
      </c>
      <c r="BA458" s="490">
        <v>0</v>
      </c>
      <c r="BB458" s="486"/>
      <c r="BC458" s="486">
        <v>0</v>
      </c>
      <c r="BD458" s="486">
        <v>0</v>
      </c>
      <c r="BE458" s="486">
        <v>0</v>
      </c>
      <c r="BF458" s="486">
        <v>0</v>
      </c>
      <c r="BG458" s="486"/>
      <c r="BH458" s="486">
        <v>0</v>
      </c>
      <c r="BI458" s="486">
        <v>0</v>
      </c>
      <c r="BJ458" s="487">
        <v>0</v>
      </c>
      <c r="BK458" s="486">
        <v>0</v>
      </c>
      <c r="BL458" s="486">
        <v>0</v>
      </c>
      <c r="BM458" s="486">
        <v>0</v>
      </c>
      <c r="BN458" s="488">
        <v>0</v>
      </c>
      <c r="BO458" s="490">
        <v>0</v>
      </c>
      <c r="BP458" s="486"/>
      <c r="BQ458" s="486">
        <v>0</v>
      </c>
      <c r="BR458" s="486">
        <v>0</v>
      </c>
      <c r="BS458" s="486">
        <v>0</v>
      </c>
      <c r="BT458" s="486">
        <v>0</v>
      </c>
      <c r="BU458" s="486"/>
      <c r="BV458" s="486"/>
      <c r="BW458" s="486">
        <v>0</v>
      </c>
      <c r="BX458" s="487">
        <v>0</v>
      </c>
      <c r="BY458" s="486">
        <v>4500000000</v>
      </c>
      <c r="BZ458" s="486">
        <v>0</v>
      </c>
      <c r="CA458" s="486">
        <v>0</v>
      </c>
      <c r="CB458" s="488">
        <v>4500000000</v>
      </c>
      <c r="CC458" s="491">
        <v>4500000000</v>
      </c>
      <c r="CD458" s="492">
        <v>4500000000</v>
      </c>
      <c r="CE458" s="493">
        <f t="shared" si="32"/>
        <v>0</v>
      </c>
      <c r="CF458" s="493">
        <f t="shared" si="32"/>
        <v>0</v>
      </c>
      <c r="CG458" s="493">
        <f t="shared" si="32"/>
        <v>0</v>
      </c>
      <c r="CH458" s="493">
        <f t="shared" si="31"/>
        <v>0</v>
      </c>
      <c r="CI458" s="493">
        <f t="shared" si="31"/>
        <v>0</v>
      </c>
      <c r="CJ458" s="493">
        <f t="shared" si="31"/>
        <v>0</v>
      </c>
      <c r="CK458" s="493">
        <f t="shared" si="31"/>
        <v>0</v>
      </c>
      <c r="CL458" s="493">
        <f t="shared" si="30"/>
        <v>0</v>
      </c>
      <c r="CM458" s="493">
        <f t="shared" si="34"/>
        <v>4500000000</v>
      </c>
      <c r="CN458" s="493">
        <f t="shared" si="34"/>
        <v>0</v>
      </c>
      <c r="CO458" s="493">
        <f t="shared" si="34"/>
        <v>0</v>
      </c>
    </row>
    <row r="459" spans="1:93" ht="30.45" hidden="1" customHeight="1">
      <c r="A459" s="555" t="s">
        <v>4431</v>
      </c>
      <c r="B459" s="479">
        <v>457</v>
      </c>
      <c r="C459" s="480" t="s">
        <v>6370</v>
      </c>
      <c r="D459" s="480" t="s">
        <v>4802</v>
      </c>
      <c r="E459" s="480" t="str">
        <f t="shared" si="33"/>
        <v xml:space="preserve">4.3.5 </v>
      </c>
      <c r="F459" s="480" t="s">
        <v>4844</v>
      </c>
      <c r="G459" s="480" t="s">
        <v>4845</v>
      </c>
      <c r="H459" s="481">
        <v>33</v>
      </c>
      <c r="I459" s="480" t="s">
        <v>4132</v>
      </c>
      <c r="J459" s="495">
        <v>330203700</v>
      </c>
      <c r="K459" s="480" t="s">
        <v>4155</v>
      </c>
      <c r="L459" s="480" t="s">
        <v>6612</v>
      </c>
      <c r="M459" s="480" t="s">
        <v>6047</v>
      </c>
      <c r="N459" s="499">
        <v>0</v>
      </c>
      <c r="O459" s="480"/>
      <c r="P459" s="515">
        <v>1</v>
      </c>
      <c r="Q459" s="485" t="s">
        <v>5349</v>
      </c>
      <c r="R459" s="485" t="s">
        <v>5564</v>
      </c>
      <c r="S459" s="485" t="s">
        <v>683</v>
      </c>
      <c r="T459" s="485">
        <v>86085</v>
      </c>
      <c r="U459" s="485" t="s">
        <v>4848</v>
      </c>
      <c r="V459" s="485">
        <v>94653</v>
      </c>
      <c r="W459" s="485" t="s">
        <v>5351</v>
      </c>
      <c r="X459" s="485" t="s">
        <v>5565</v>
      </c>
      <c r="Y459" s="485" t="s">
        <v>5433</v>
      </c>
      <c r="Z459" s="486"/>
      <c r="AA459" s="486">
        <v>0</v>
      </c>
      <c r="AB459" s="486">
        <v>0</v>
      </c>
      <c r="AC459" s="486">
        <v>0</v>
      </c>
      <c r="AD459" s="486">
        <v>0</v>
      </c>
      <c r="AE459" s="486"/>
      <c r="AF459" s="486">
        <v>0</v>
      </c>
      <c r="AG459" s="486">
        <v>0</v>
      </c>
      <c r="AH459" s="487">
        <v>0</v>
      </c>
      <c r="AI459" s="486">
        <v>0</v>
      </c>
      <c r="AJ459" s="486">
        <v>0</v>
      </c>
      <c r="AK459" s="486">
        <v>0</v>
      </c>
      <c r="AL459" s="488">
        <v>0</v>
      </c>
      <c r="AM459" s="489">
        <v>0</v>
      </c>
      <c r="AN459" s="486"/>
      <c r="AO459" s="486">
        <v>0</v>
      </c>
      <c r="AP459" s="486">
        <v>0</v>
      </c>
      <c r="AQ459" s="486">
        <v>0</v>
      </c>
      <c r="AR459" s="486">
        <v>0</v>
      </c>
      <c r="AS459" s="486"/>
      <c r="AT459" s="486">
        <v>0</v>
      </c>
      <c r="AU459" s="486">
        <v>0</v>
      </c>
      <c r="AV459" s="487">
        <v>0</v>
      </c>
      <c r="AW459" s="486">
        <v>0</v>
      </c>
      <c r="AX459" s="486">
        <v>0</v>
      </c>
      <c r="AY459" s="486">
        <v>0</v>
      </c>
      <c r="AZ459" s="488">
        <v>0</v>
      </c>
      <c r="BA459" s="490">
        <v>0</v>
      </c>
      <c r="BB459" s="486"/>
      <c r="BC459" s="486">
        <v>0</v>
      </c>
      <c r="BD459" s="486">
        <v>0</v>
      </c>
      <c r="BE459" s="486">
        <v>0</v>
      </c>
      <c r="BF459" s="486">
        <v>0</v>
      </c>
      <c r="BG459" s="486"/>
      <c r="BH459" s="486"/>
      <c r="BI459" s="486">
        <v>0</v>
      </c>
      <c r="BJ459" s="487">
        <v>0</v>
      </c>
      <c r="BK459" s="486">
        <v>4000000000</v>
      </c>
      <c r="BL459" s="486">
        <v>0</v>
      </c>
      <c r="BM459" s="486">
        <v>0</v>
      </c>
      <c r="BN459" s="488">
        <v>4000000000</v>
      </c>
      <c r="BO459" s="490">
        <v>4000000000</v>
      </c>
      <c r="BP459" s="486"/>
      <c r="BQ459" s="486">
        <v>0</v>
      </c>
      <c r="BR459" s="486">
        <v>0</v>
      </c>
      <c r="BS459" s="486">
        <v>0</v>
      </c>
      <c r="BT459" s="486">
        <v>0</v>
      </c>
      <c r="BU459" s="486"/>
      <c r="BV459" s="486"/>
      <c r="BW459" s="486">
        <v>0</v>
      </c>
      <c r="BX459" s="487">
        <v>0</v>
      </c>
      <c r="BY459" s="486">
        <v>4500000000</v>
      </c>
      <c r="BZ459" s="486">
        <v>0</v>
      </c>
      <c r="CA459" s="486">
        <v>0</v>
      </c>
      <c r="CB459" s="488">
        <v>4500000000</v>
      </c>
      <c r="CC459" s="491">
        <v>4500000000</v>
      </c>
      <c r="CD459" s="492">
        <v>8500000000</v>
      </c>
      <c r="CE459" s="493">
        <f t="shared" si="32"/>
        <v>0</v>
      </c>
      <c r="CF459" s="493">
        <f t="shared" si="32"/>
        <v>0</v>
      </c>
      <c r="CG459" s="493">
        <f t="shared" si="32"/>
        <v>0</v>
      </c>
      <c r="CH459" s="493">
        <f t="shared" si="31"/>
        <v>0</v>
      </c>
      <c r="CI459" s="493">
        <f t="shared" si="31"/>
        <v>0</v>
      </c>
      <c r="CJ459" s="493">
        <f t="shared" si="31"/>
        <v>0</v>
      </c>
      <c r="CK459" s="493">
        <f t="shared" si="31"/>
        <v>0</v>
      </c>
      <c r="CL459" s="493">
        <f t="shared" si="30"/>
        <v>0</v>
      </c>
      <c r="CM459" s="493">
        <f t="shared" si="34"/>
        <v>8500000000</v>
      </c>
      <c r="CN459" s="493">
        <f t="shared" si="34"/>
        <v>0</v>
      </c>
      <c r="CO459" s="493">
        <f t="shared" si="34"/>
        <v>0</v>
      </c>
    </row>
    <row r="460" spans="1:93" ht="30.45" hidden="1" customHeight="1">
      <c r="A460" s="555" t="s">
        <v>4431</v>
      </c>
      <c r="B460" s="479">
        <v>458</v>
      </c>
      <c r="C460" s="480" t="s">
        <v>6370</v>
      </c>
      <c r="D460" s="480" t="s">
        <v>4802</v>
      </c>
      <c r="E460" s="480" t="str">
        <f t="shared" si="33"/>
        <v xml:space="preserve">4.3.5 </v>
      </c>
      <c r="F460" s="480" t="s">
        <v>4844</v>
      </c>
      <c r="G460" s="480" t="s">
        <v>4845</v>
      </c>
      <c r="H460" s="481">
        <v>17</v>
      </c>
      <c r="I460" s="480" t="s">
        <v>4319</v>
      </c>
      <c r="J460" s="495">
        <v>170901700</v>
      </c>
      <c r="K460" s="480" t="s">
        <v>4366</v>
      </c>
      <c r="L460" s="480" t="s">
        <v>4867</v>
      </c>
      <c r="M460" s="480" t="s">
        <v>6613</v>
      </c>
      <c r="N460" s="499">
        <v>1</v>
      </c>
      <c r="O460" s="480" t="s">
        <v>4868</v>
      </c>
      <c r="P460" s="515">
        <v>2</v>
      </c>
      <c r="Q460" s="485" t="s">
        <v>5349</v>
      </c>
      <c r="R460" s="485" t="s">
        <v>5564</v>
      </c>
      <c r="S460" s="485" t="s">
        <v>683</v>
      </c>
      <c r="T460" s="485">
        <v>86085</v>
      </c>
      <c r="U460" s="485" t="s">
        <v>4848</v>
      </c>
      <c r="V460" s="485">
        <v>94653</v>
      </c>
      <c r="W460" s="485" t="s">
        <v>5351</v>
      </c>
      <c r="X460" s="485" t="s">
        <v>5565</v>
      </c>
      <c r="Y460" s="485" t="s">
        <v>5433</v>
      </c>
      <c r="Z460" s="486"/>
      <c r="AA460" s="486">
        <v>0</v>
      </c>
      <c r="AB460" s="486">
        <v>0</v>
      </c>
      <c r="AC460" s="486">
        <v>0</v>
      </c>
      <c r="AD460" s="486">
        <v>0</v>
      </c>
      <c r="AE460" s="486"/>
      <c r="AF460" s="486">
        <v>0</v>
      </c>
      <c r="AG460" s="486">
        <v>0</v>
      </c>
      <c r="AH460" s="487">
        <v>0</v>
      </c>
      <c r="AI460" s="486">
        <v>0</v>
      </c>
      <c r="AJ460" s="486">
        <v>0</v>
      </c>
      <c r="AK460" s="486">
        <v>0</v>
      </c>
      <c r="AL460" s="488">
        <v>0</v>
      </c>
      <c r="AM460" s="489">
        <v>0</v>
      </c>
      <c r="AN460" s="486"/>
      <c r="AO460" s="486">
        <v>0</v>
      </c>
      <c r="AP460" s="486">
        <v>0</v>
      </c>
      <c r="AQ460" s="486">
        <v>0</v>
      </c>
      <c r="AR460" s="486">
        <v>0</v>
      </c>
      <c r="AS460" s="486"/>
      <c r="AT460" s="486">
        <v>0</v>
      </c>
      <c r="AU460" s="486">
        <v>0</v>
      </c>
      <c r="AV460" s="487">
        <v>0</v>
      </c>
      <c r="AW460" s="486">
        <v>0</v>
      </c>
      <c r="AX460" s="486">
        <v>0</v>
      </c>
      <c r="AY460" s="486">
        <v>0</v>
      </c>
      <c r="AZ460" s="488">
        <v>0</v>
      </c>
      <c r="BA460" s="490">
        <v>0</v>
      </c>
      <c r="BB460" s="486"/>
      <c r="BC460" s="486">
        <v>0</v>
      </c>
      <c r="BD460" s="486">
        <v>0</v>
      </c>
      <c r="BE460" s="486">
        <v>0</v>
      </c>
      <c r="BF460" s="486">
        <v>0</v>
      </c>
      <c r="BG460" s="486"/>
      <c r="BH460" s="486"/>
      <c r="BI460" s="486">
        <v>0</v>
      </c>
      <c r="BJ460" s="487">
        <v>0</v>
      </c>
      <c r="BK460" s="486">
        <v>25000000000</v>
      </c>
      <c r="BL460" s="486">
        <v>0</v>
      </c>
      <c r="BM460" s="486">
        <v>0</v>
      </c>
      <c r="BN460" s="488">
        <v>25000000000</v>
      </c>
      <c r="BO460" s="490">
        <v>25000000000</v>
      </c>
      <c r="BP460" s="486"/>
      <c r="BQ460" s="486">
        <v>0</v>
      </c>
      <c r="BR460" s="486">
        <v>0</v>
      </c>
      <c r="BS460" s="486">
        <v>0</v>
      </c>
      <c r="BT460" s="486">
        <v>0</v>
      </c>
      <c r="BU460" s="486"/>
      <c r="BV460" s="486"/>
      <c r="BW460" s="486">
        <v>0</v>
      </c>
      <c r="BX460" s="487">
        <v>0</v>
      </c>
      <c r="BY460" s="486">
        <v>0</v>
      </c>
      <c r="BZ460" s="486">
        <v>0</v>
      </c>
      <c r="CA460" s="486">
        <v>0</v>
      </c>
      <c r="CB460" s="488">
        <v>0</v>
      </c>
      <c r="CC460" s="491">
        <v>0</v>
      </c>
      <c r="CD460" s="492">
        <v>25000000000</v>
      </c>
      <c r="CE460" s="493">
        <f t="shared" si="32"/>
        <v>0</v>
      </c>
      <c r="CF460" s="493">
        <f t="shared" si="32"/>
        <v>0</v>
      </c>
      <c r="CG460" s="493">
        <f t="shared" si="32"/>
        <v>0</v>
      </c>
      <c r="CH460" s="493">
        <f t="shared" si="31"/>
        <v>0</v>
      </c>
      <c r="CI460" s="493">
        <f t="shared" si="31"/>
        <v>0</v>
      </c>
      <c r="CJ460" s="493">
        <f t="shared" si="31"/>
        <v>0</v>
      </c>
      <c r="CK460" s="493">
        <f t="shared" si="31"/>
        <v>0</v>
      </c>
      <c r="CL460" s="493">
        <f t="shared" si="30"/>
        <v>0</v>
      </c>
      <c r="CM460" s="493">
        <f t="shared" si="34"/>
        <v>25000000000</v>
      </c>
      <c r="CN460" s="493">
        <f t="shared" si="34"/>
        <v>0</v>
      </c>
      <c r="CO460" s="493">
        <f t="shared" si="34"/>
        <v>0</v>
      </c>
    </row>
    <row r="461" spans="1:93" ht="30.45" hidden="1" customHeight="1">
      <c r="A461" s="555" t="s">
        <v>4431</v>
      </c>
      <c r="B461" s="479">
        <v>459</v>
      </c>
      <c r="C461" s="480" t="s">
        <v>6370</v>
      </c>
      <c r="D461" s="480" t="s">
        <v>4802</v>
      </c>
      <c r="E461" s="480" t="str">
        <f t="shared" si="33"/>
        <v xml:space="preserve">4.3.5 </v>
      </c>
      <c r="F461" s="480" t="s">
        <v>4844</v>
      </c>
      <c r="G461" s="480" t="s">
        <v>4845</v>
      </c>
      <c r="H461" s="481">
        <v>17</v>
      </c>
      <c r="I461" s="480" t="s">
        <v>4319</v>
      </c>
      <c r="J461" s="495">
        <v>170902300</v>
      </c>
      <c r="K461" s="480" t="s">
        <v>4332</v>
      </c>
      <c r="L461" s="480" t="s">
        <v>4869</v>
      </c>
      <c r="M461" s="480" t="s">
        <v>6048</v>
      </c>
      <c r="N461" s="499">
        <v>0</v>
      </c>
      <c r="O461" s="480" t="s">
        <v>4868</v>
      </c>
      <c r="P461" s="515">
        <v>1</v>
      </c>
      <c r="Q461" s="485" t="s">
        <v>5349</v>
      </c>
      <c r="R461" s="485" t="s">
        <v>5564</v>
      </c>
      <c r="S461" s="485" t="s">
        <v>683</v>
      </c>
      <c r="T461" s="485">
        <v>86085</v>
      </c>
      <c r="U461" s="485" t="s">
        <v>4848</v>
      </c>
      <c r="V461" s="485">
        <v>94653</v>
      </c>
      <c r="W461" s="485" t="s">
        <v>5351</v>
      </c>
      <c r="X461" s="485" t="s">
        <v>5565</v>
      </c>
      <c r="Y461" s="485" t="s">
        <v>5433</v>
      </c>
      <c r="Z461" s="486"/>
      <c r="AA461" s="486">
        <v>0</v>
      </c>
      <c r="AB461" s="486">
        <v>0</v>
      </c>
      <c r="AC461" s="486">
        <v>0</v>
      </c>
      <c r="AD461" s="486">
        <v>0</v>
      </c>
      <c r="AE461" s="486"/>
      <c r="AF461" s="486">
        <v>0</v>
      </c>
      <c r="AG461" s="486">
        <v>0</v>
      </c>
      <c r="AH461" s="487">
        <v>0</v>
      </c>
      <c r="AI461" s="486">
        <v>0</v>
      </c>
      <c r="AJ461" s="486">
        <v>0</v>
      </c>
      <c r="AK461" s="486">
        <v>0</v>
      </c>
      <c r="AL461" s="488">
        <v>0</v>
      </c>
      <c r="AM461" s="489">
        <v>0</v>
      </c>
      <c r="AN461" s="486"/>
      <c r="AO461" s="486">
        <v>0</v>
      </c>
      <c r="AP461" s="486">
        <v>0</v>
      </c>
      <c r="AQ461" s="486">
        <v>0</v>
      </c>
      <c r="AR461" s="486">
        <v>0</v>
      </c>
      <c r="AS461" s="486"/>
      <c r="AT461" s="486">
        <v>0</v>
      </c>
      <c r="AU461" s="486">
        <v>0</v>
      </c>
      <c r="AV461" s="487">
        <v>0</v>
      </c>
      <c r="AW461" s="486">
        <v>0</v>
      </c>
      <c r="AX461" s="486">
        <v>0</v>
      </c>
      <c r="AY461" s="486">
        <v>0</v>
      </c>
      <c r="AZ461" s="488">
        <v>0</v>
      </c>
      <c r="BA461" s="490">
        <v>0</v>
      </c>
      <c r="BB461" s="486"/>
      <c r="BC461" s="486">
        <v>0</v>
      </c>
      <c r="BD461" s="486">
        <v>0</v>
      </c>
      <c r="BE461" s="486">
        <v>0</v>
      </c>
      <c r="BF461" s="486">
        <v>0</v>
      </c>
      <c r="BG461" s="486"/>
      <c r="BH461" s="486"/>
      <c r="BI461" s="486">
        <v>0</v>
      </c>
      <c r="BJ461" s="487">
        <v>0</v>
      </c>
      <c r="BK461" s="486">
        <v>15000000000</v>
      </c>
      <c r="BL461" s="486">
        <v>0</v>
      </c>
      <c r="BM461" s="486">
        <v>0</v>
      </c>
      <c r="BN461" s="488">
        <v>15000000000</v>
      </c>
      <c r="BO461" s="490">
        <v>15000000000</v>
      </c>
      <c r="BP461" s="486"/>
      <c r="BQ461" s="486">
        <v>0</v>
      </c>
      <c r="BR461" s="486">
        <v>0</v>
      </c>
      <c r="BS461" s="486">
        <v>0</v>
      </c>
      <c r="BT461" s="486">
        <v>0</v>
      </c>
      <c r="BU461" s="486"/>
      <c r="BV461" s="486"/>
      <c r="BW461" s="486">
        <v>0</v>
      </c>
      <c r="BX461" s="487">
        <v>0</v>
      </c>
      <c r="BY461" s="486">
        <v>0</v>
      </c>
      <c r="BZ461" s="486">
        <v>0</v>
      </c>
      <c r="CA461" s="486">
        <v>0</v>
      </c>
      <c r="CB461" s="488">
        <v>0</v>
      </c>
      <c r="CC461" s="491">
        <v>0</v>
      </c>
      <c r="CD461" s="492">
        <v>15000000000</v>
      </c>
      <c r="CE461" s="493">
        <f t="shared" si="32"/>
        <v>0</v>
      </c>
      <c r="CF461" s="493">
        <f t="shared" si="32"/>
        <v>0</v>
      </c>
      <c r="CG461" s="493">
        <f t="shared" si="32"/>
        <v>0</v>
      </c>
      <c r="CH461" s="493">
        <f t="shared" si="31"/>
        <v>0</v>
      </c>
      <c r="CI461" s="493">
        <f t="shared" si="31"/>
        <v>0</v>
      </c>
      <c r="CJ461" s="493">
        <f t="shared" si="31"/>
        <v>0</v>
      </c>
      <c r="CK461" s="493">
        <f t="shared" si="31"/>
        <v>0</v>
      </c>
      <c r="CL461" s="493">
        <f t="shared" si="30"/>
        <v>0</v>
      </c>
      <c r="CM461" s="493">
        <f t="shared" si="34"/>
        <v>15000000000</v>
      </c>
      <c r="CN461" s="493">
        <f t="shared" si="34"/>
        <v>0</v>
      </c>
      <c r="CO461" s="493">
        <f t="shared" si="34"/>
        <v>0</v>
      </c>
    </row>
    <row r="462" spans="1:93" ht="30.45" hidden="1" customHeight="1">
      <c r="A462" s="555" t="s">
        <v>4431</v>
      </c>
      <c r="B462" s="479">
        <v>460</v>
      </c>
      <c r="C462" s="480" t="s">
        <v>6370</v>
      </c>
      <c r="D462" s="480" t="s">
        <v>4802</v>
      </c>
      <c r="E462" s="480" t="str">
        <f t="shared" si="33"/>
        <v xml:space="preserve">4.3.5 </v>
      </c>
      <c r="F462" s="480" t="s">
        <v>4844</v>
      </c>
      <c r="G462" s="480" t="s">
        <v>4845</v>
      </c>
      <c r="H462" s="481">
        <v>17</v>
      </c>
      <c r="I462" s="480" t="s">
        <v>4319</v>
      </c>
      <c r="J462" s="495">
        <v>170902200</v>
      </c>
      <c r="K462" s="480" t="s">
        <v>4332</v>
      </c>
      <c r="L462" s="480" t="s">
        <v>4870</v>
      </c>
      <c r="M462" s="480" t="s">
        <v>6049</v>
      </c>
      <c r="N462" s="499">
        <v>0</v>
      </c>
      <c r="O462" s="480" t="s">
        <v>4871</v>
      </c>
      <c r="P462" s="515">
        <v>1</v>
      </c>
      <c r="Q462" s="485" t="s">
        <v>5349</v>
      </c>
      <c r="R462" s="485" t="s">
        <v>5564</v>
      </c>
      <c r="S462" s="485" t="s">
        <v>683</v>
      </c>
      <c r="T462" s="485">
        <v>86085</v>
      </c>
      <c r="U462" s="485" t="s">
        <v>4848</v>
      </c>
      <c r="V462" s="485">
        <v>94653</v>
      </c>
      <c r="W462" s="485" t="s">
        <v>5351</v>
      </c>
      <c r="X462" s="485" t="s">
        <v>5565</v>
      </c>
      <c r="Y462" s="485" t="s">
        <v>5433</v>
      </c>
      <c r="Z462" s="486"/>
      <c r="AA462" s="486">
        <v>0</v>
      </c>
      <c r="AB462" s="486">
        <v>0</v>
      </c>
      <c r="AC462" s="486">
        <v>0</v>
      </c>
      <c r="AD462" s="486">
        <v>0</v>
      </c>
      <c r="AE462" s="486"/>
      <c r="AF462" s="486">
        <v>0</v>
      </c>
      <c r="AG462" s="486">
        <v>0</v>
      </c>
      <c r="AH462" s="487">
        <v>0</v>
      </c>
      <c r="AI462" s="486">
        <v>0</v>
      </c>
      <c r="AJ462" s="486">
        <v>0</v>
      </c>
      <c r="AK462" s="486">
        <v>0</v>
      </c>
      <c r="AL462" s="488">
        <v>0</v>
      </c>
      <c r="AM462" s="489">
        <v>0</v>
      </c>
      <c r="AN462" s="486"/>
      <c r="AO462" s="486">
        <v>0</v>
      </c>
      <c r="AP462" s="486">
        <v>0</v>
      </c>
      <c r="AQ462" s="486">
        <v>0</v>
      </c>
      <c r="AR462" s="486">
        <v>0</v>
      </c>
      <c r="AS462" s="486"/>
      <c r="AT462" s="486">
        <v>0</v>
      </c>
      <c r="AU462" s="486">
        <v>0</v>
      </c>
      <c r="AV462" s="487">
        <v>0</v>
      </c>
      <c r="AW462" s="486">
        <v>0</v>
      </c>
      <c r="AX462" s="486">
        <v>0</v>
      </c>
      <c r="AY462" s="486">
        <v>0</v>
      </c>
      <c r="AZ462" s="488">
        <v>0</v>
      </c>
      <c r="BA462" s="490">
        <v>0</v>
      </c>
      <c r="BB462" s="486"/>
      <c r="BC462" s="486">
        <v>0</v>
      </c>
      <c r="BD462" s="486">
        <v>0</v>
      </c>
      <c r="BE462" s="486">
        <v>0</v>
      </c>
      <c r="BF462" s="486">
        <v>0</v>
      </c>
      <c r="BG462" s="486"/>
      <c r="BH462" s="486"/>
      <c r="BI462" s="486">
        <v>0</v>
      </c>
      <c r="BJ462" s="487">
        <v>0</v>
      </c>
      <c r="BK462" s="486">
        <v>30000000000</v>
      </c>
      <c r="BL462" s="486">
        <v>0</v>
      </c>
      <c r="BM462" s="486">
        <v>0</v>
      </c>
      <c r="BN462" s="488">
        <v>30000000000</v>
      </c>
      <c r="BO462" s="490">
        <v>30000000000</v>
      </c>
      <c r="BP462" s="486"/>
      <c r="BQ462" s="486">
        <v>0</v>
      </c>
      <c r="BR462" s="486">
        <v>0</v>
      </c>
      <c r="BS462" s="486">
        <v>0</v>
      </c>
      <c r="BT462" s="486">
        <v>0</v>
      </c>
      <c r="BU462" s="486"/>
      <c r="BV462" s="486"/>
      <c r="BW462" s="486">
        <v>0</v>
      </c>
      <c r="BX462" s="487">
        <v>0</v>
      </c>
      <c r="BY462" s="486">
        <v>30000000000</v>
      </c>
      <c r="BZ462" s="486">
        <v>0</v>
      </c>
      <c r="CA462" s="486">
        <v>0</v>
      </c>
      <c r="CB462" s="488">
        <v>30000000000</v>
      </c>
      <c r="CC462" s="491">
        <v>30000000000</v>
      </c>
      <c r="CD462" s="492">
        <v>60000000000</v>
      </c>
      <c r="CE462" s="493">
        <f t="shared" si="32"/>
        <v>0</v>
      </c>
      <c r="CF462" s="493">
        <f t="shared" si="32"/>
        <v>0</v>
      </c>
      <c r="CG462" s="493">
        <f t="shared" si="32"/>
        <v>0</v>
      </c>
      <c r="CH462" s="493">
        <f t="shared" si="31"/>
        <v>0</v>
      </c>
      <c r="CI462" s="493">
        <f t="shared" si="31"/>
        <v>0</v>
      </c>
      <c r="CJ462" s="493">
        <f t="shared" si="31"/>
        <v>0</v>
      </c>
      <c r="CK462" s="493">
        <f t="shared" si="31"/>
        <v>0</v>
      </c>
      <c r="CL462" s="493">
        <f t="shared" si="30"/>
        <v>0</v>
      </c>
      <c r="CM462" s="493">
        <f t="shared" si="34"/>
        <v>60000000000</v>
      </c>
      <c r="CN462" s="493">
        <f t="shared" si="34"/>
        <v>0</v>
      </c>
      <c r="CO462" s="493">
        <f t="shared" si="34"/>
        <v>0</v>
      </c>
    </row>
    <row r="463" spans="1:93" ht="30.45" hidden="1" customHeight="1">
      <c r="A463" s="555" t="s">
        <v>4431</v>
      </c>
      <c r="B463" s="479">
        <v>461</v>
      </c>
      <c r="C463" s="480" t="s">
        <v>6370</v>
      </c>
      <c r="D463" s="480" t="s">
        <v>4802</v>
      </c>
      <c r="E463" s="480" t="str">
        <f t="shared" si="33"/>
        <v xml:space="preserve">4.3.5 </v>
      </c>
      <c r="F463" s="480" t="s">
        <v>4844</v>
      </c>
      <c r="G463" s="480" t="s">
        <v>4845</v>
      </c>
      <c r="H463" s="481">
        <v>17</v>
      </c>
      <c r="I463" s="480" t="s">
        <v>4319</v>
      </c>
      <c r="J463" s="495">
        <v>170906600</v>
      </c>
      <c r="K463" s="480" t="s">
        <v>4320</v>
      </c>
      <c r="L463" s="480" t="s">
        <v>4872</v>
      </c>
      <c r="M463" s="480" t="s">
        <v>6050</v>
      </c>
      <c r="N463" s="499">
        <v>0</v>
      </c>
      <c r="O463" s="480" t="s">
        <v>4873</v>
      </c>
      <c r="P463" s="515">
        <v>3</v>
      </c>
      <c r="Q463" s="485" t="s">
        <v>5349</v>
      </c>
      <c r="R463" s="485" t="s">
        <v>5564</v>
      </c>
      <c r="S463" s="485" t="s">
        <v>683</v>
      </c>
      <c r="T463" s="485">
        <v>86085</v>
      </c>
      <c r="U463" s="485" t="s">
        <v>4848</v>
      </c>
      <c r="V463" s="485">
        <v>94653</v>
      </c>
      <c r="W463" s="485" t="s">
        <v>5351</v>
      </c>
      <c r="X463" s="485" t="s">
        <v>5565</v>
      </c>
      <c r="Y463" s="485" t="s">
        <v>5433</v>
      </c>
      <c r="Z463" s="486"/>
      <c r="AA463" s="486">
        <v>0</v>
      </c>
      <c r="AB463" s="486">
        <v>0</v>
      </c>
      <c r="AC463" s="486">
        <v>0</v>
      </c>
      <c r="AD463" s="486">
        <v>0</v>
      </c>
      <c r="AE463" s="486"/>
      <c r="AF463" s="486">
        <v>0</v>
      </c>
      <c r="AG463" s="486">
        <v>0</v>
      </c>
      <c r="AH463" s="487">
        <v>0</v>
      </c>
      <c r="AI463" s="486">
        <v>0</v>
      </c>
      <c r="AJ463" s="486">
        <v>0</v>
      </c>
      <c r="AK463" s="486">
        <v>0</v>
      </c>
      <c r="AL463" s="488">
        <v>0</v>
      </c>
      <c r="AM463" s="489">
        <v>0</v>
      </c>
      <c r="AN463" s="486"/>
      <c r="AO463" s="486">
        <v>0</v>
      </c>
      <c r="AP463" s="486">
        <v>0</v>
      </c>
      <c r="AQ463" s="486">
        <v>0</v>
      </c>
      <c r="AR463" s="486">
        <v>0</v>
      </c>
      <c r="AS463" s="486"/>
      <c r="AT463" s="486">
        <v>0</v>
      </c>
      <c r="AU463" s="486">
        <v>0</v>
      </c>
      <c r="AV463" s="487">
        <v>0</v>
      </c>
      <c r="AW463" s="486">
        <v>0</v>
      </c>
      <c r="AX463" s="486">
        <v>0</v>
      </c>
      <c r="AY463" s="486">
        <v>0</v>
      </c>
      <c r="AZ463" s="488">
        <v>0</v>
      </c>
      <c r="BA463" s="490">
        <v>0</v>
      </c>
      <c r="BB463" s="486"/>
      <c r="BC463" s="486">
        <v>0</v>
      </c>
      <c r="BD463" s="486">
        <v>0</v>
      </c>
      <c r="BE463" s="486">
        <v>0</v>
      </c>
      <c r="BF463" s="486">
        <v>0</v>
      </c>
      <c r="BG463" s="486"/>
      <c r="BH463" s="486"/>
      <c r="BI463" s="486">
        <v>0</v>
      </c>
      <c r="BJ463" s="487">
        <v>0</v>
      </c>
      <c r="BK463" s="486">
        <v>4500000000</v>
      </c>
      <c r="BL463" s="486">
        <v>0</v>
      </c>
      <c r="BM463" s="486">
        <v>0</v>
      </c>
      <c r="BN463" s="488">
        <v>4500000000</v>
      </c>
      <c r="BO463" s="490">
        <v>4500000000</v>
      </c>
      <c r="BP463" s="486"/>
      <c r="BQ463" s="486">
        <v>0</v>
      </c>
      <c r="BR463" s="486">
        <v>0</v>
      </c>
      <c r="BS463" s="486">
        <v>0</v>
      </c>
      <c r="BT463" s="486">
        <v>0</v>
      </c>
      <c r="BU463" s="486"/>
      <c r="BV463" s="486"/>
      <c r="BW463" s="486">
        <v>0</v>
      </c>
      <c r="BX463" s="487">
        <v>0</v>
      </c>
      <c r="BY463" s="486">
        <v>0</v>
      </c>
      <c r="BZ463" s="486">
        <v>0</v>
      </c>
      <c r="CA463" s="486">
        <v>0</v>
      </c>
      <c r="CB463" s="488">
        <v>0</v>
      </c>
      <c r="CC463" s="491">
        <v>0</v>
      </c>
      <c r="CD463" s="492">
        <v>4500000000</v>
      </c>
      <c r="CE463" s="493">
        <f t="shared" si="32"/>
        <v>0</v>
      </c>
      <c r="CF463" s="493">
        <f t="shared" si="32"/>
        <v>0</v>
      </c>
      <c r="CG463" s="493">
        <f t="shared" si="32"/>
        <v>0</v>
      </c>
      <c r="CH463" s="493">
        <f t="shared" si="31"/>
        <v>0</v>
      </c>
      <c r="CI463" s="493">
        <f t="shared" si="31"/>
        <v>0</v>
      </c>
      <c r="CJ463" s="493">
        <f t="shared" si="31"/>
        <v>0</v>
      </c>
      <c r="CK463" s="493">
        <f t="shared" si="31"/>
        <v>0</v>
      </c>
      <c r="CL463" s="493">
        <f t="shared" si="30"/>
        <v>0</v>
      </c>
      <c r="CM463" s="493">
        <f t="shared" si="34"/>
        <v>4500000000</v>
      </c>
      <c r="CN463" s="493">
        <f t="shared" si="34"/>
        <v>0</v>
      </c>
      <c r="CO463" s="493">
        <f t="shared" si="34"/>
        <v>0</v>
      </c>
    </row>
    <row r="464" spans="1:93" ht="30.45" hidden="1" customHeight="1">
      <c r="A464" s="555" t="s">
        <v>4431</v>
      </c>
      <c r="B464" s="479">
        <v>462</v>
      </c>
      <c r="C464" s="480" t="s">
        <v>6370</v>
      </c>
      <c r="D464" s="480" t="s">
        <v>4802</v>
      </c>
      <c r="E464" s="480" t="str">
        <f t="shared" si="33"/>
        <v xml:space="preserve">4.3.5 </v>
      </c>
      <c r="F464" s="480" t="s">
        <v>4844</v>
      </c>
      <c r="G464" s="480" t="s">
        <v>4845</v>
      </c>
      <c r="H464" s="481">
        <v>17</v>
      </c>
      <c r="I464" s="480" t="s">
        <v>4319</v>
      </c>
      <c r="J464" s="495">
        <v>170906800</v>
      </c>
      <c r="K464" s="480" t="s">
        <v>4320</v>
      </c>
      <c r="L464" s="480" t="s">
        <v>4874</v>
      </c>
      <c r="M464" s="480" t="s">
        <v>6051</v>
      </c>
      <c r="N464" s="499">
        <v>17</v>
      </c>
      <c r="O464" s="480" t="s">
        <v>4873</v>
      </c>
      <c r="P464" s="515">
        <v>20</v>
      </c>
      <c r="Q464" s="485" t="s">
        <v>5349</v>
      </c>
      <c r="R464" s="485" t="s">
        <v>5564</v>
      </c>
      <c r="S464" s="485" t="s">
        <v>683</v>
      </c>
      <c r="T464" s="485">
        <v>86085</v>
      </c>
      <c r="U464" s="485" t="s">
        <v>4848</v>
      </c>
      <c r="V464" s="485">
        <v>94653</v>
      </c>
      <c r="W464" s="485" t="s">
        <v>5351</v>
      </c>
      <c r="X464" s="485" t="s">
        <v>5565</v>
      </c>
      <c r="Y464" s="485" t="s">
        <v>5433</v>
      </c>
      <c r="Z464" s="486"/>
      <c r="AA464" s="486">
        <v>0</v>
      </c>
      <c r="AB464" s="486">
        <v>0</v>
      </c>
      <c r="AC464" s="486">
        <v>0</v>
      </c>
      <c r="AD464" s="486">
        <v>0</v>
      </c>
      <c r="AE464" s="486"/>
      <c r="AF464" s="486">
        <v>0</v>
      </c>
      <c r="AG464" s="486">
        <v>0</v>
      </c>
      <c r="AH464" s="487">
        <v>0</v>
      </c>
      <c r="AI464" s="486">
        <v>0</v>
      </c>
      <c r="AJ464" s="486">
        <v>0</v>
      </c>
      <c r="AK464" s="486">
        <v>0</v>
      </c>
      <c r="AL464" s="488">
        <v>0</v>
      </c>
      <c r="AM464" s="489">
        <v>0</v>
      </c>
      <c r="AN464" s="486"/>
      <c r="AO464" s="486">
        <v>0</v>
      </c>
      <c r="AP464" s="486">
        <v>0</v>
      </c>
      <c r="AQ464" s="486">
        <v>0</v>
      </c>
      <c r="AR464" s="486">
        <v>0</v>
      </c>
      <c r="AS464" s="486"/>
      <c r="AT464" s="486">
        <v>0</v>
      </c>
      <c r="AU464" s="486">
        <v>0</v>
      </c>
      <c r="AV464" s="487">
        <v>0</v>
      </c>
      <c r="AW464" s="486">
        <v>0</v>
      </c>
      <c r="AX464" s="486">
        <v>0</v>
      </c>
      <c r="AY464" s="486">
        <v>0</v>
      </c>
      <c r="AZ464" s="488">
        <v>0</v>
      </c>
      <c r="BA464" s="490">
        <v>0</v>
      </c>
      <c r="BB464" s="486"/>
      <c r="BC464" s="486">
        <v>0</v>
      </c>
      <c r="BD464" s="486">
        <v>0</v>
      </c>
      <c r="BE464" s="486">
        <v>0</v>
      </c>
      <c r="BF464" s="486">
        <v>0</v>
      </c>
      <c r="BG464" s="486"/>
      <c r="BH464" s="486"/>
      <c r="BI464" s="486">
        <v>0</v>
      </c>
      <c r="BJ464" s="487">
        <v>0</v>
      </c>
      <c r="BK464" s="486">
        <v>14000000000</v>
      </c>
      <c r="BL464" s="486">
        <v>0</v>
      </c>
      <c r="BM464" s="486">
        <v>0</v>
      </c>
      <c r="BN464" s="488">
        <v>14000000000</v>
      </c>
      <c r="BO464" s="490">
        <v>14000000000</v>
      </c>
      <c r="BP464" s="486"/>
      <c r="BQ464" s="486">
        <v>0</v>
      </c>
      <c r="BR464" s="486">
        <v>0</v>
      </c>
      <c r="BS464" s="486">
        <v>0</v>
      </c>
      <c r="BT464" s="486">
        <v>0</v>
      </c>
      <c r="BU464" s="486"/>
      <c r="BV464" s="486"/>
      <c r="BW464" s="486">
        <v>0</v>
      </c>
      <c r="BX464" s="487">
        <v>0</v>
      </c>
      <c r="BY464" s="486">
        <v>14500000000</v>
      </c>
      <c r="BZ464" s="486">
        <v>0</v>
      </c>
      <c r="CA464" s="486">
        <v>0</v>
      </c>
      <c r="CB464" s="488">
        <v>14500000000</v>
      </c>
      <c r="CC464" s="491">
        <v>14500000000</v>
      </c>
      <c r="CD464" s="492">
        <v>28500000000</v>
      </c>
      <c r="CE464" s="493">
        <f t="shared" si="32"/>
        <v>0</v>
      </c>
      <c r="CF464" s="493">
        <f t="shared" si="32"/>
        <v>0</v>
      </c>
      <c r="CG464" s="493">
        <f t="shared" si="32"/>
        <v>0</v>
      </c>
      <c r="CH464" s="493">
        <f t="shared" si="31"/>
        <v>0</v>
      </c>
      <c r="CI464" s="493">
        <f t="shared" si="31"/>
        <v>0</v>
      </c>
      <c r="CJ464" s="493">
        <f t="shared" si="31"/>
        <v>0</v>
      </c>
      <c r="CK464" s="493">
        <f t="shared" si="31"/>
        <v>0</v>
      </c>
      <c r="CL464" s="493">
        <f t="shared" si="30"/>
        <v>0</v>
      </c>
      <c r="CM464" s="493">
        <f t="shared" si="34"/>
        <v>28500000000</v>
      </c>
      <c r="CN464" s="493">
        <f t="shared" si="34"/>
        <v>0</v>
      </c>
      <c r="CO464" s="493">
        <f t="shared" si="34"/>
        <v>0</v>
      </c>
    </row>
    <row r="465" spans="1:93" ht="30.45" hidden="1" customHeight="1">
      <c r="A465" s="555" t="s">
        <v>4431</v>
      </c>
      <c r="B465" s="479">
        <v>463</v>
      </c>
      <c r="C465" s="480" t="s">
        <v>6370</v>
      </c>
      <c r="D465" s="480" t="s">
        <v>4802</v>
      </c>
      <c r="E465" s="480" t="str">
        <f t="shared" si="33"/>
        <v xml:space="preserve">4.3.5 </v>
      </c>
      <c r="F465" s="480" t="s">
        <v>4844</v>
      </c>
      <c r="G465" s="480" t="s">
        <v>4845</v>
      </c>
      <c r="H465" s="481">
        <v>17</v>
      </c>
      <c r="I465" s="480" t="s">
        <v>4319</v>
      </c>
      <c r="J465" s="495">
        <v>170908100</v>
      </c>
      <c r="K465" s="480" t="s">
        <v>4324</v>
      </c>
      <c r="L465" s="480" t="s">
        <v>4875</v>
      </c>
      <c r="M465" s="480" t="s">
        <v>6052</v>
      </c>
      <c r="N465" s="499">
        <v>15</v>
      </c>
      <c r="O465" s="480" t="s">
        <v>4848</v>
      </c>
      <c r="P465" s="515">
        <v>22</v>
      </c>
      <c r="Q465" s="485" t="s">
        <v>5349</v>
      </c>
      <c r="R465" s="485" t="s">
        <v>5564</v>
      </c>
      <c r="S465" s="485" t="s">
        <v>683</v>
      </c>
      <c r="T465" s="485">
        <v>86085</v>
      </c>
      <c r="U465" s="485" t="s">
        <v>4848</v>
      </c>
      <c r="V465" s="485">
        <v>94653</v>
      </c>
      <c r="W465" s="485" t="s">
        <v>5351</v>
      </c>
      <c r="X465" s="485" t="s">
        <v>5565</v>
      </c>
      <c r="Y465" s="485" t="s">
        <v>5433</v>
      </c>
      <c r="Z465" s="486">
        <v>108000000</v>
      </c>
      <c r="AA465" s="486">
        <v>0</v>
      </c>
      <c r="AB465" s="486">
        <v>0</v>
      </c>
      <c r="AC465" s="486">
        <v>0</v>
      </c>
      <c r="AD465" s="486">
        <v>0</v>
      </c>
      <c r="AE465" s="486"/>
      <c r="AF465" s="486">
        <v>0</v>
      </c>
      <c r="AG465" s="486">
        <v>0</v>
      </c>
      <c r="AH465" s="487">
        <v>108000000</v>
      </c>
      <c r="AI465" s="486">
        <v>0</v>
      </c>
      <c r="AJ465" s="486">
        <v>0</v>
      </c>
      <c r="AK465" s="486">
        <v>0</v>
      </c>
      <c r="AL465" s="488">
        <v>0</v>
      </c>
      <c r="AM465" s="489">
        <v>108000000</v>
      </c>
      <c r="AN465" s="486">
        <v>108000000</v>
      </c>
      <c r="AO465" s="486">
        <v>0</v>
      </c>
      <c r="AP465" s="486">
        <v>0</v>
      </c>
      <c r="AQ465" s="486">
        <v>0</v>
      </c>
      <c r="AR465" s="486">
        <v>0</v>
      </c>
      <c r="AS465" s="486"/>
      <c r="AT465" s="486">
        <v>0</v>
      </c>
      <c r="AU465" s="486">
        <v>0</v>
      </c>
      <c r="AV465" s="487">
        <v>108000000</v>
      </c>
      <c r="AW465" s="486">
        <v>0</v>
      </c>
      <c r="AX465" s="486">
        <v>0</v>
      </c>
      <c r="AY465" s="486">
        <v>0</v>
      </c>
      <c r="AZ465" s="488">
        <v>0</v>
      </c>
      <c r="BA465" s="490">
        <v>108000000</v>
      </c>
      <c r="BB465" s="486">
        <v>108000000</v>
      </c>
      <c r="BC465" s="486">
        <v>0</v>
      </c>
      <c r="BD465" s="486">
        <v>0</v>
      </c>
      <c r="BE465" s="486">
        <v>0</v>
      </c>
      <c r="BF465" s="486">
        <v>0</v>
      </c>
      <c r="BG465" s="486"/>
      <c r="BH465" s="486"/>
      <c r="BI465" s="486">
        <v>0</v>
      </c>
      <c r="BJ465" s="487">
        <v>108000000</v>
      </c>
      <c r="BK465" s="486">
        <v>75000000000</v>
      </c>
      <c r="BL465" s="486">
        <v>0</v>
      </c>
      <c r="BM465" s="486">
        <v>0</v>
      </c>
      <c r="BN465" s="488">
        <v>75000000000</v>
      </c>
      <c r="BO465" s="490">
        <v>75108000000</v>
      </c>
      <c r="BP465" s="486">
        <v>108000000</v>
      </c>
      <c r="BQ465" s="486">
        <v>0</v>
      </c>
      <c r="BR465" s="486">
        <v>0</v>
      </c>
      <c r="BS465" s="486">
        <v>0</v>
      </c>
      <c r="BT465" s="486">
        <v>0</v>
      </c>
      <c r="BU465" s="486"/>
      <c r="BV465" s="486"/>
      <c r="BW465" s="486">
        <v>0</v>
      </c>
      <c r="BX465" s="487">
        <v>108000000</v>
      </c>
      <c r="BY465" s="486">
        <v>100000000000</v>
      </c>
      <c r="BZ465" s="486">
        <v>0</v>
      </c>
      <c r="CA465" s="486">
        <v>0</v>
      </c>
      <c r="CB465" s="488">
        <v>100000000000</v>
      </c>
      <c r="CC465" s="491">
        <v>100108000000</v>
      </c>
      <c r="CD465" s="492">
        <v>175432000000</v>
      </c>
      <c r="CE465" s="493">
        <f t="shared" si="32"/>
        <v>432000000</v>
      </c>
      <c r="CF465" s="493">
        <f t="shared" si="32"/>
        <v>0</v>
      </c>
      <c r="CG465" s="493">
        <f t="shared" si="32"/>
        <v>0</v>
      </c>
      <c r="CH465" s="493">
        <f t="shared" si="31"/>
        <v>0</v>
      </c>
      <c r="CI465" s="493">
        <f t="shared" si="31"/>
        <v>0</v>
      </c>
      <c r="CJ465" s="493">
        <f t="shared" si="31"/>
        <v>0</v>
      </c>
      <c r="CK465" s="493">
        <f t="shared" si="31"/>
        <v>0</v>
      </c>
      <c r="CL465" s="493">
        <f t="shared" si="30"/>
        <v>0</v>
      </c>
      <c r="CM465" s="493">
        <f t="shared" si="34"/>
        <v>175000000000</v>
      </c>
      <c r="CN465" s="493">
        <f t="shared" si="34"/>
        <v>0</v>
      </c>
      <c r="CO465" s="493">
        <f t="shared" si="34"/>
        <v>0</v>
      </c>
    </row>
    <row r="466" spans="1:93" ht="30.45" hidden="1" customHeight="1">
      <c r="A466" s="555" t="s">
        <v>4431</v>
      </c>
      <c r="B466" s="479">
        <v>464</v>
      </c>
      <c r="C466" s="480" t="s">
        <v>6370</v>
      </c>
      <c r="D466" s="480" t="s">
        <v>4802</v>
      </c>
      <c r="E466" s="480" t="str">
        <f t="shared" si="33"/>
        <v xml:space="preserve">4.3.5 </v>
      </c>
      <c r="F466" s="480" t="s">
        <v>4844</v>
      </c>
      <c r="G466" s="480" t="s">
        <v>4845</v>
      </c>
      <c r="H466" s="481">
        <v>17</v>
      </c>
      <c r="I466" s="480" t="s">
        <v>4319</v>
      </c>
      <c r="J466" s="495">
        <v>170908200</v>
      </c>
      <c r="K466" s="480" t="s">
        <v>4324</v>
      </c>
      <c r="L466" s="480" t="s">
        <v>4876</v>
      </c>
      <c r="M466" s="480" t="s">
        <v>6053</v>
      </c>
      <c r="N466" s="499">
        <v>0</v>
      </c>
      <c r="O466" s="480" t="s">
        <v>4848</v>
      </c>
      <c r="P466" s="515">
        <v>5</v>
      </c>
      <c r="Q466" s="485" t="s">
        <v>5349</v>
      </c>
      <c r="R466" s="485" t="s">
        <v>5564</v>
      </c>
      <c r="S466" s="485" t="s">
        <v>683</v>
      </c>
      <c r="T466" s="485">
        <v>86085</v>
      </c>
      <c r="U466" s="485" t="s">
        <v>4848</v>
      </c>
      <c r="V466" s="485">
        <v>94653</v>
      </c>
      <c r="W466" s="485" t="s">
        <v>5351</v>
      </c>
      <c r="X466" s="485" t="s">
        <v>5565</v>
      </c>
      <c r="Y466" s="485" t="s">
        <v>5433</v>
      </c>
      <c r="Z466" s="486">
        <v>108000000</v>
      </c>
      <c r="AA466" s="486">
        <v>0</v>
      </c>
      <c r="AB466" s="486">
        <v>0</v>
      </c>
      <c r="AC466" s="486">
        <v>0</v>
      </c>
      <c r="AD466" s="486">
        <v>0</v>
      </c>
      <c r="AE466" s="486"/>
      <c r="AF466" s="486">
        <v>0</v>
      </c>
      <c r="AG466" s="486">
        <v>0</v>
      </c>
      <c r="AH466" s="487">
        <v>108000000</v>
      </c>
      <c r="AI466" s="486">
        <v>0</v>
      </c>
      <c r="AJ466" s="486">
        <v>0</v>
      </c>
      <c r="AK466" s="486">
        <v>0</v>
      </c>
      <c r="AL466" s="488">
        <v>0</v>
      </c>
      <c r="AM466" s="489">
        <v>108000000</v>
      </c>
      <c r="AN466" s="486">
        <v>108000000</v>
      </c>
      <c r="AO466" s="486">
        <v>0</v>
      </c>
      <c r="AP466" s="486">
        <v>0</v>
      </c>
      <c r="AQ466" s="486">
        <v>0</v>
      </c>
      <c r="AR466" s="486">
        <v>0</v>
      </c>
      <c r="AS466" s="486"/>
      <c r="AT466" s="486">
        <v>0</v>
      </c>
      <c r="AU466" s="486">
        <v>0</v>
      </c>
      <c r="AV466" s="487">
        <v>108000000</v>
      </c>
      <c r="AW466" s="486">
        <v>0</v>
      </c>
      <c r="AX466" s="486">
        <v>0</v>
      </c>
      <c r="AY466" s="486">
        <v>0</v>
      </c>
      <c r="AZ466" s="488">
        <v>0</v>
      </c>
      <c r="BA466" s="490">
        <v>108000000</v>
      </c>
      <c r="BB466" s="486">
        <v>108000000</v>
      </c>
      <c r="BC466" s="486">
        <v>0</v>
      </c>
      <c r="BD466" s="486">
        <v>0</v>
      </c>
      <c r="BE466" s="486">
        <v>0</v>
      </c>
      <c r="BF466" s="486">
        <v>0</v>
      </c>
      <c r="BG466" s="486"/>
      <c r="BH466" s="486"/>
      <c r="BI466" s="486">
        <v>0</v>
      </c>
      <c r="BJ466" s="487">
        <v>108000000</v>
      </c>
      <c r="BK466" s="486">
        <v>50000000000</v>
      </c>
      <c r="BL466" s="486">
        <v>0</v>
      </c>
      <c r="BM466" s="486">
        <v>0</v>
      </c>
      <c r="BN466" s="488">
        <v>50000000000</v>
      </c>
      <c r="BO466" s="490">
        <v>50108000000</v>
      </c>
      <c r="BP466" s="486">
        <v>108000000</v>
      </c>
      <c r="BQ466" s="486">
        <v>0</v>
      </c>
      <c r="BR466" s="486">
        <v>0</v>
      </c>
      <c r="BS466" s="486">
        <v>0</v>
      </c>
      <c r="BT466" s="486">
        <v>0</v>
      </c>
      <c r="BU466" s="486"/>
      <c r="BV466" s="486"/>
      <c r="BW466" s="486">
        <v>0</v>
      </c>
      <c r="BX466" s="487">
        <v>108000000</v>
      </c>
      <c r="BY466" s="486">
        <v>75000000000</v>
      </c>
      <c r="BZ466" s="486">
        <v>0</v>
      </c>
      <c r="CA466" s="486">
        <v>0</v>
      </c>
      <c r="CB466" s="488">
        <v>75000000000</v>
      </c>
      <c r="CC466" s="491">
        <v>75108000000</v>
      </c>
      <c r="CD466" s="492">
        <v>125432000000</v>
      </c>
      <c r="CE466" s="493">
        <f t="shared" si="32"/>
        <v>432000000</v>
      </c>
      <c r="CF466" s="493">
        <f t="shared" si="32"/>
        <v>0</v>
      </c>
      <c r="CG466" s="493">
        <f t="shared" si="32"/>
        <v>0</v>
      </c>
      <c r="CH466" s="493">
        <f t="shared" si="31"/>
        <v>0</v>
      </c>
      <c r="CI466" s="493">
        <f t="shared" si="31"/>
        <v>0</v>
      </c>
      <c r="CJ466" s="493">
        <f t="shared" si="31"/>
        <v>0</v>
      </c>
      <c r="CK466" s="493">
        <f t="shared" si="31"/>
        <v>0</v>
      </c>
      <c r="CL466" s="493">
        <f t="shared" si="30"/>
        <v>0</v>
      </c>
      <c r="CM466" s="493">
        <f t="shared" si="34"/>
        <v>125000000000</v>
      </c>
      <c r="CN466" s="493">
        <f t="shared" si="34"/>
        <v>0</v>
      </c>
      <c r="CO466" s="493">
        <f t="shared" si="34"/>
        <v>0</v>
      </c>
    </row>
    <row r="467" spans="1:93" ht="30.45" hidden="1" customHeight="1">
      <c r="A467" s="555" t="s">
        <v>4431</v>
      </c>
      <c r="B467" s="479">
        <v>465</v>
      </c>
      <c r="C467" s="480" t="s">
        <v>6370</v>
      </c>
      <c r="D467" s="480" t="s">
        <v>4802</v>
      </c>
      <c r="E467" s="480" t="str">
        <f t="shared" si="33"/>
        <v xml:space="preserve">4.3.5 </v>
      </c>
      <c r="F467" s="480" t="s">
        <v>4844</v>
      </c>
      <c r="G467" s="480" t="s">
        <v>4845</v>
      </c>
      <c r="H467" s="481">
        <v>17</v>
      </c>
      <c r="I467" s="480" t="s">
        <v>4319</v>
      </c>
      <c r="J467" s="495">
        <v>170905500</v>
      </c>
      <c r="K467" s="480" t="s">
        <v>4877</v>
      </c>
      <c r="L467" s="480" t="s">
        <v>4878</v>
      </c>
      <c r="M467" s="480" t="s">
        <v>6054</v>
      </c>
      <c r="N467" s="499">
        <v>0</v>
      </c>
      <c r="O467" s="480" t="s">
        <v>4868</v>
      </c>
      <c r="P467" s="515">
        <v>1</v>
      </c>
      <c r="Q467" s="485" t="s">
        <v>5349</v>
      </c>
      <c r="R467" s="485" t="s">
        <v>5564</v>
      </c>
      <c r="S467" s="485" t="s">
        <v>683</v>
      </c>
      <c r="T467" s="485">
        <v>86085</v>
      </c>
      <c r="U467" s="485" t="s">
        <v>4848</v>
      </c>
      <c r="V467" s="485">
        <v>94653</v>
      </c>
      <c r="W467" s="485" t="s">
        <v>5351</v>
      </c>
      <c r="X467" s="485" t="s">
        <v>5565</v>
      </c>
      <c r="Y467" s="485" t="s">
        <v>5433</v>
      </c>
      <c r="Z467" s="486"/>
      <c r="AA467" s="486">
        <v>0</v>
      </c>
      <c r="AB467" s="486">
        <v>0</v>
      </c>
      <c r="AC467" s="486">
        <v>0</v>
      </c>
      <c r="AD467" s="486">
        <v>0</v>
      </c>
      <c r="AE467" s="486"/>
      <c r="AF467" s="486">
        <v>0</v>
      </c>
      <c r="AG467" s="486">
        <v>0</v>
      </c>
      <c r="AH467" s="487">
        <v>0</v>
      </c>
      <c r="AI467" s="486">
        <v>0</v>
      </c>
      <c r="AJ467" s="486">
        <v>0</v>
      </c>
      <c r="AK467" s="486">
        <v>0</v>
      </c>
      <c r="AL467" s="488">
        <v>0</v>
      </c>
      <c r="AM467" s="489">
        <v>0</v>
      </c>
      <c r="AN467" s="486"/>
      <c r="AO467" s="486">
        <v>0</v>
      </c>
      <c r="AP467" s="486">
        <v>0</v>
      </c>
      <c r="AQ467" s="486">
        <v>0</v>
      </c>
      <c r="AR467" s="486">
        <v>0</v>
      </c>
      <c r="AS467" s="486"/>
      <c r="AT467" s="486">
        <v>0</v>
      </c>
      <c r="AU467" s="486">
        <v>0</v>
      </c>
      <c r="AV467" s="487">
        <v>0</v>
      </c>
      <c r="AW467" s="486">
        <v>0</v>
      </c>
      <c r="AX467" s="486">
        <v>0</v>
      </c>
      <c r="AY467" s="486">
        <v>0</v>
      </c>
      <c r="AZ467" s="488">
        <v>0</v>
      </c>
      <c r="BA467" s="490">
        <v>0</v>
      </c>
      <c r="BB467" s="486">
        <v>36000000</v>
      </c>
      <c r="BC467" s="486">
        <v>0</v>
      </c>
      <c r="BD467" s="486">
        <v>0</v>
      </c>
      <c r="BE467" s="486">
        <v>0</v>
      </c>
      <c r="BF467" s="486">
        <v>0</v>
      </c>
      <c r="BG467" s="486"/>
      <c r="BH467" s="486"/>
      <c r="BI467" s="486">
        <v>0</v>
      </c>
      <c r="BJ467" s="487">
        <v>36000000</v>
      </c>
      <c r="BK467" s="486">
        <v>25000000000</v>
      </c>
      <c r="BL467" s="486">
        <v>0</v>
      </c>
      <c r="BM467" s="486">
        <v>0</v>
      </c>
      <c r="BN467" s="488">
        <v>25000000000</v>
      </c>
      <c r="BO467" s="490">
        <v>25036000000</v>
      </c>
      <c r="BP467" s="486">
        <v>36000000</v>
      </c>
      <c r="BQ467" s="486">
        <v>0</v>
      </c>
      <c r="BR467" s="486">
        <v>0</v>
      </c>
      <c r="BS467" s="486">
        <v>0</v>
      </c>
      <c r="BT467" s="486">
        <v>0</v>
      </c>
      <c r="BU467" s="486"/>
      <c r="BV467" s="486"/>
      <c r="BW467" s="486">
        <v>0</v>
      </c>
      <c r="BX467" s="487">
        <v>36000000</v>
      </c>
      <c r="BY467" s="486">
        <v>25000000000</v>
      </c>
      <c r="BZ467" s="486">
        <v>0</v>
      </c>
      <c r="CA467" s="486">
        <v>0</v>
      </c>
      <c r="CB467" s="488">
        <v>25000000000</v>
      </c>
      <c r="CC467" s="491">
        <v>25036000000</v>
      </c>
      <c r="CD467" s="492">
        <v>50072000000</v>
      </c>
      <c r="CE467" s="493">
        <f t="shared" si="32"/>
        <v>72000000</v>
      </c>
      <c r="CF467" s="493">
        <f t="shared" si="32"/>
        <v>0</v>
      </c>
      <c r="CG467" s="493">
        <f t="shared" si="32"/>
        <v>0</v>
      </c>
      <c r="CH467" s="493">
        <f t="shared" si="31"/>
        <v>0</v>
      </c>
      <c r="CI467" s="493">
        <f t="shared" si="31"/>
        <v>0</v>
      </c>
      <c r="CJ467" s="493">
        <f t="shared" si="31"/>
        <v>0</v>
      </c>
      <c r="CK467" s="493">
        <f t="shared" si="31"/>
        <v>0</v>
      </c>
      <c r="CL467" s="493">
        <f t="shared" si="30"/>
        <v>0</v>
      </c>
      <c r="CM467" s="493">
        <f t="shared" si="34"/>
        <v>50000000000</v>
      </c>
      <c r="CN467" s="493">
        <f t="shared" si="34"/>
        <v>0</v>
      </c>
      <c r="CO467" s="493">
        <f t="shared" si="34"/>
        <v>0</v>
      </c>
    </row>
    <row r="468" spans="1:93" ht="30.45" hidden="1" customHeight="1">
      <c r="A468" s="555" t="s">
        <v>4431</v>
      </c>
      <c r="B468" s="479">
        <v>466</v>
      </c>
      <c r="C468" s="480" t="s">
        <v>6370</v>
      </c>
      <c r="D468" s="480" t="s">
        <v>4802</v>
      </c>
      <c r="E468" s="480" t="str">
        <f t="shared" si="33"/>
        <v xml:space="preserve">4.3.5 </v>
      </c>
      <c r="F468" s="480" t="s">
        <v>4844</v>
      </c>
      <c r="G468" s="480" t="s">
        <v>4845</v>
      </c>
      <c r="H468" s="481">
        <v>17</v>
      </c>
      <c r="I468" s="480" t="s">
        <v>4319</v>
      </c>
      <c r="J468" s="495">
        <v>170909600</v>
      </c>
      <c r="K468" s="480" t="s">
        <v>6614</v>
      </c>
      <c r="L468" s="480" t="s">
        <v>4459</v>
      </c>
      <c r="M468" s="480" t="s">
        <v>6055</v>
      </c>
      <c r="N468" s="499">
        <v>0</v>
      </c>
      <c r="O468" s="480"/>
      <c r="P468" s="515">
        <v>1</v>
      </c>
      <c r="Q468" s="485" t="s">
        <v>5349</v>
      </c>
      <c r="R468" s="485" t="s">
        <v>5564</v>
      </c>
      <c r="S468" s="485" t="s">
        <v>683</v>
      </c>
      <c r="T468" s="485">
        <v>86085</v>
      </c>
      <c r="U468" s="485" t="s">
        <v>4848</v>
      </c>
      <c r="V468" s="485">
        <v>94653</v>
      </c>
      <c r="W468" s="485" t="s">
        <v>5351</v>
      </c>
      <c r="X468" s="485" t="s">
        <v>5565</v>
      </c>
      <c r="Y468" s="485" t="s">
        <v>5433</v>
      </c>
      <c r="Z468" s="486"/>
      <c r="AA468" s="486">
        <v>0</v>
      </c>
      <c r="AB468" s="486">
        <v>0</v>
      </c>
      <c r="AC468" s="486">
        <v>0</v>
      </c>
      <c r="AD468" s="486">
        <v>0</v>
      </c>
      <c r="AE468" s="486"/>
      <c r="AF468" s="486">
        <v>500000000</v>
      </c>
      <c r="AG468" s="486">
        <v>0</v>
      </c>
      <c r="AH468" s="487">
        <v>500000000</v>
      </c>
      <c r="AI468" s="486">
        <v>0</v>
      </c>
      <c r="AJ468" s="486">
        <v>0</v>
      </c>
      <c r="AK468" s="486">
        <v>0</v>
      </c>
      <c r="AL468" s="488">
        <v>0</v>
      </c>
      <c r="AM468" s="489">
        <v>500000000</v>
      </c>
      <c r="AN468" s="486"/>
      <c r="AO468" s="486">
        <v>0</v>
      </c>
      <c r="AP468" s="486">
        <v>0</v>
      </c>
      <c r="AQ468" s="486">
        <v>0</v>
      </c>
      <c r="AR468" s="486">
        <v>0</v>
      </c>
      <c r="AS468" s="486"/>
      <c r="AT468" s="486">
        <v>0</v>
      </c>
      <c r="AU468" s="486">
        <v>0</v>
      </c>
      <c r="AV468" s="487">
        <v>0</v>
      </c>
      <c r="AW468" s="486">
        <v>0</v>
      </c>
      <c r="AX468" s="486">
        <v>0</v>
      </c>
      <c r="AY468" s="486">
        <v>0</v>
      </c>
      <c r="AZ468" s="488">
        <v>0</v>
      </c>
      <c r="BA468" s="490">
        <v>0</v>
      </c>
      <c r="BB468" s="486"/>
      <c r="BC468" s="486">
        <v>0</v>
      </c>
      <c r="BD468" s="486">
        <v>0</v>
      </c>
      <c r="BE468" s="486">
        <v>0</v>
      </c>
      <c r="BF468" s="486">
        <v>0</v>
      </c>
      <c r="BG468" s="486"/>
      <c r="BH468" s="486">
        <v>0</v>
      </c>
      <c r="BI468" s="486">
        <v>0</v>
      </c>
      <c r="BJ468" s="487">
        <v>0</v>
      </c>
      <c r="BK468" s="486">
        <v>0</v>
      </c>
      <c r="BL468" s="486">
        <v>0</v>
      </c>
      <c r="BM468" s="486">
        <v>0</v>
      </c>
      <c r="BN468" s="488">
        <v>0</v>
      </c>
      <c r="BO468" s="490">
        <v>0</v>
      </c>
      <c r="BP468" s="486"/>
      <c r="BQ468" s="486">
        <v>0</v>
      </c>
      <c r="BR468" s="486">
        <v>0</v>
      </c>
      <c r="BS468" s="486">
        <v>0</v>
      </c>
      <c r="BT468" s="486">
        <v>0</v>
      </c>
      <c r="BU468" s="486"/>
      <c r="BV468" s="486"/>
      <c r="BW468" s="486">
        <v>0</v>
      </c>
      <c r="BX468" s="487">
        <v>0</v>
      </c>
      <c r="BY468" s="486">
        <v>0</v>
      </c>
      <c r="BZ468" s="486">
        <v>0</v>
      </c>
      <c r="CA468" s="486">
        <v>0</v>
      </c>
      <c r="CB468" s="488">
        <v>0</v>
      </c>
      <c r="CC468" s="491">
        <v>0</v>
      </c>
      <c r="CD468" s="492">
        <v>500000000</v>
      </c>
      <c r="CE468" s="493">
        <f t="shared" si="32"/>
        <v>0</v>
      </c>
      <c r="CF468" s="493">
        <f t="shared" si="32"/>
        <v>0</v>
      </c>
      <c r="CG468" s="493">
        <f t="shared" si="32"/>
        <v>0</v>
      </c>
      <c r="CH468" s="493">
        <f t="shared" si="31"/>
        <v>0</v>
      </c>
      <c r="CI468" s="493">
        <f t="shared" si="31"/>
        <v>0</v>
      </c>
      <c r="CJ468" s="493">
        <f t="shared" si="31"/>
        <v>0</v>
      </c>
      <c r="CK468" s="493">
        <f t="shared" si="31"/>
        <v>500000000</v>
      </c>
      <c r="CL468" s="493">
        <f t="shared" si="30"/>
        <v>0</v>
      </c>
      <c r="CM468" s="493">
        <f t="shared" si="34"/>
        <v>0</v>
      </c>
      <c r="CN468" s="493">
        <f t="shared" si="34"/>
        <v>0</v>
      </c>
      <c r="CO468" s="493">
        <f t="shared" si="34"/>
        <v>0</v>
      </c>
    </row>
    <row r="469" spans="1:93" ht="30.45" hidden="1" customHeight="1">
      <c r="A469" s="555" t="s">
        <v>4431</v>
      </c>
      <c r="B469" s="479">
        <v>467</v>
      </c>
      <c r="C469" s="480" t="s">
        <v>6370</v>
      </c>
      <c r="D469" s="480" t="s">
        <v>4802</v>
      </c>
      <c r="E469" s="480" t="str">
        <f t="shared" si="33"/>
        <v xml:space="preserve">4.3.5 </v>
      </c>
      <c r="F469" s="480" t="s">
        <v>4844</v>
      </c>
      <c r="G469" s="480" t="s">
        <v>4845</v>
      </c>
      <c r="H469" s="481">
        <v>17</v>
      </c>
      <c r="I469" s="480" t="s">
        <v>4277</v>
      </c>
      <c r="J469" s="495">
        <v>350203906</v>
      </c>
      <c r="K469" s="480" t="s">
        <v>4251</v>
      </c>
      <c r="L469" s="480" t="s">
        <v>4879</v>
      </c>
      <c r="M469" s="480" t="s">
        <v>6056</v>
      </c>
      <c r="N469" s="499" t="s">
        <v>4448</v>
      </c>
      <c r="O469" s="480" t="s">
        <v>4448</v>
      </c>
      <c r="P469" s="515">
        <v>1</v>
      </c>
      <c r="Q469" s="485" t="s">
        <v>5349</v>
      </c>
      <c r="R469" s="485" t="s">
        <v>5564</v>
      </c>
      <c r="S469" s="485" t="s">
        <v>683</v>
      </c>
      <c r="T469" s="485">
        <v>86085</v>
      </c>
      <c r="U469" s="485" t="s">
        <v>4848</v>
      </c>
      <c r="V469" s="485">
        <v>94653</v>
      </c>
      <c r="W469" s="485" t="s">
        <v>5351</v>
      </c>
      <c r="X469" s="485" t="s">
        <v>5565</v>
      </c>
      <c r="Y469" s="485" t="s">
        <v>5433</v>
      </c>
      <c r="Z469" s="486"/>
      <c r="AA469" s="486">
        <v>0</v>
      </c>
      <c r="AB469" s="486">
        <v>0</v>
      </c>
      <c r="AC469" s="486">
        <v>0</v>
      </c>
      <c r="AD469" s="486">
        <v>0</v>
      </c>
      <c r="AE469" s="486"/>
      <c r="AF469" s="486">
        <v>500000000</v>
      </c>
      <c r="AG469" s="486">
        <v>0</v>
      </c>
      <c r="AH469" s="487">
        <v>500000000</v>
      </c>
      <c r="AI469" s="486">
        <v>0</v>
      </c>
      <c r="AJ469" s="486">
        <v>0</v>
      </c>
      <c r="AK469" s="486">
        <v>0</v>
      </c>
      <c r="AL469" s="488">
        <v>0</v>
      </c>
      <c r="AM469" s="489">
        <v>500000000</v>
      </c>
      <c r="AN469" s="486"/>
      <c r="AO469" s="486">
        <v>0</v>
      </c>
      <c r="AP469" s="486">
        <v>0</v>
      </c>
      <c r="AQ469" s="486">
        <v>0</v>
      </c>
      <c r="AR469" s="486">
        <v>0</v>
      </c>
      <c r="AS469" s="486"/>
      <c r="AT469" s="486">
        <v>500000000</v>
      </c>
      <c r="AU469" s="486">
        <v>0</v>
      </c>
      <c r="AV469" s="487">
        <v>500000000</v>
      </c>
      <c r="AW469" s="486">
        <v>0</v>
      </c>
      <c r="AX469" s="486">
        <v>0</v>
      </c>
      <c r="AY469" s="486">
        <v>0</v>
      </c>
      <c r="AZ469" s="488">
        <v>0</v>
      </c>
      <c r="BA469" s="490">
        <v>500000000</v>
      </c>
      <c r="BB469" s="486"/>
      <c r="BC469" s="486">
        <v>0</v>
      </c>
      <c r="BD469" s="486">
        <v>0</v>
      </c>
      <c r="BE469" s="486">
        <v>0</v>
      </c>
      <c r="BF469" s="486">
        <v>0</v>
      </c>
      <c r="BG469" s="486"/>
      <c r="BH469" s="486"/>
      <c r="BI469" s="486">
        <v>0</v>
      </c>
      <c r="BJ469" s="487">
        <v>0</v>
      </c>
      <c r="BK469" s="486">
        <v>0</v>
      </c>
      <c r="BL469" s="486">
        <v>0</v>
      </c>
      <c r="BM469" s="486">
        <v>0</v>
      </c>
      <c r="BN469" s="488">
        <v>0</v>
      </c>
      <c r="BO469" s="490">
        <v>0</v>
      </c>
      <c r="BP469" s="486"/>
      <c r="BQ469" s="486">
        <v>0</v>
      </c>
      <c r="BR469" s="486">
        <v>0</v>
      </c>
      <c r="BS469" s="486">
        <v>0</v>
      </c>
      <c r="BT469" s="486">
        <v>0</v>
      </c>
      <c r="BU469" s="486"/>
      <c r="BV469" s="486"/>
      <c r="BW469" s="486">
        <v>0</v>
      </c>
      <c r="BX469" s="487">
        <v>0</v>
      </c>
      <c r="BY469" s="486">
        <v>0</v>
      </c>
      <c r="BZ469" s="486">
        <v>0</v>
      </c>
      <c r="CA469" s="486">
        <v>0</v>
      </c>
      <c r="CB469" s="488">
        <v>0</v>
      </c>
      <c r="CC469" s="491">
        <v>0</v>
      </c>
      <c r="CD469" s="492">
        <v>1000000000</v>
      </c>
      <c r="CE469" s="493">
        <f t="shared" si="32"/>
        <v>0</v>
      </c>
      <c r="CF469" s="493">
        <f t="shared" si="32"/>
        <v>0</v>
      </c>
      <c r="CG469" s="493">
        <f t="shared" si="32"/>
        <v>0</v>
      </c>
      <c r="CH469" s="493">
        <f t="shared" si="31"/>
        <v>0</v>
      </c>
      <c r="CI469" s="493">
        <f t="shared" si="31"/>
        <v>0</v>
      </c>
      <c r="CJ469" s="493">
        <f t="shared" si="31"/>
        <v>0</v>
      </c>
      <c r="CK469" s="493">
        <f t="shared" si="31"/>
        <v>1000000000</v>
      </c>
      <c r="CL469" s="493">
        <f t="shared" si="30"/>
        <v>0</v>
      </c>
      <c r="CM469" s="493">
        <f t="shared" si="34"/>
        <v>0</v>
      </c>
      <c r="CN469" s="493">
        <f t="shared" si="34"/>
        <v>0</v>
      </c>
      <c r="CO469" s="493">
        <f t="shared" si="34"/>
        <v>0</v>
      </c>
    </row>
    <row r="470" spans="1:93" ht="30.45" hidden="1" customHeight="1">
      <c r="A470" s="555" t="s">
        <v>4431</v>
      </c>
      <c r="B470" s="479">
        <v>468</v>
      </c>
      <c r="C470" s="480" t="s">
        <v>6370</v>
      </c>
      <c r="D470" s="480" t="s">
        <v>4802</v>
      </c>
      <c r="E470" s="480" t="str">
        <f t="shared" si="33"/>
        <v xml:space="preserve">4.3.5 </v>
      </c>
      <c r="F470" s="480" t="s">
        <v>4844</v>
      </c>
      <c r="G470" s="480" t="s">
        <v>4845</v>
      </c>
      <c r="H470" s="481">
        <v>17</v>
      </c>
      <c r="I470" s="480" t="s">
        <v>4277</v>
      </c>
      <c r="J470" s="495">
        <v>350203910</v>
      </c>
      <c r="K470" s="480" t="s">
        <v>4251</v>
      </c>
      <c r="L470" s="480" t="s">
        <v>4880</v>
      </c>
      <c r="M470" s="480" t="s">
        <v>6057</v>
      </c>
      <c r="N470" s="499" t="s">
        <v>4448</v>
      </c>
      <c r="O470" s="480" t="s">
        <v>4448</v>
      </c>
      <c r="P470" s="515">
        <v>1</v>
      </c>
      <c r="Q470" s="485" t="s">
        <v>5349</v>
      </c>
      <c r="R470" s="485" t="s">
        <v>5564</v>
      </c>
      <c r="S470" s="485" t="s">
        <v>683</v>
      </c>
      <c r="T470" s="485">
        <v>86085</v>
      </c>
      <c r="U470" s="485" t="s">
        <v>4848</v>
      </c>
      <c r="V470" s="485">
        <v>94653</v>
      </c>
      <c r="W470" s="485" t="s">
        <v>5351</v>
      </c>
      <c r="X470" s="485" t="s">
        <v>5565</v>
      </c>
      <c r="Y470" s="485" t="s">
        <v>5433</v>
      </c>
      <c r="Z470" s="486"/>
      <c r="AA470" s="486">
        <v>0</v>
      </c>
      <c r="AB470" s="486">
        <v>0</v>
      </c>
      <c r="AC470" s="486">
        <v>0</v>
      </c>
      <c r="AD470" s="486">
        <v>0</v>
      </c>
      <c r="AE470" s="486"/>
      <c r="AF470" s="486">
        <v>0</v>
      </c>
      <c r="AG470" s="486">
        <v>0</v>
      </c>
      <c r="AH470" s="487">
        <v>0</v>
      </c>
      <c r="AI470" s="486">
        <v>0</v>
      </c>
      <c r="AJ470" s="486">
        <v>0</v>
      </c>
      <c r="AK470" s="486">
        <v>0</v>
      </c>
      <c r="AL470" s="488">
        <v>0</v>
      </c>
      <c r="AM470" s="489">
        <v>0</v>
      </c>
      <c r="AN470" s="486"/>
      <c r="AO470" s="486">
        <v>0</v>
      </c>
      <c r="AP470" s="486">
        <v>0</v>
      </c>
      <c r="AQ470" s="486">
        <v>0</v>
      </c>
      <c r="AR470" s="486">
        <v>0</v>
      </c>
      <c r="AS470" s="486"/>
      <c r="AT470" s="486">
        <v>0</v>
      </c>
      <c r="AU470" s="486">
        <v>0</v>
      </c>
      <c r="AV470" s="487">
        <v>0</v>
      </c>
      <c r="AW470" s="486">
        <v>0</v>
      </c>
      <c r="AX470" s="486">
        <v>0</v>
      </c>
      <c r="AY470" s="486">
        <v>0</v>
      </c>
      <c r="AZ470" s="488">
        <v>0</v>
      </c>
      <c r="BA470" s="490">
        <v>0</v>
      </c>
      <c r="BB470" s="486"/>
      <c r="BC470" s="486">
        <v>0</v>
      </c>
      <c r="BD470" s="486">
        <v>0</v>
      </c>
      <c r="BE470" s="486">
        <v>0</v>
      </c>
      <c r="BF470" s="486">
        <v>0</v>
      </c>
      <c r="BG470" s="486"/>
      <c r="BH470" s="486"/>
      <c r="BI470" s="486">
        <v>0</v>
      </c>
      <c r="BJ470" s="487">
        <v>0</v>
      </c>
      <c r="BK470" s="486">
        <v>5000000000</v>
      </c>
      <c r="BL470" s="486">
        <v>0</v>
      </c>
      <c r="BM470" s="486">
        <v>0</v>
      </c>
      <c r="BN470" s="488">
        <v>5000000000</v>
      </c>
      <c r="BO470" s="490">
        <v>5000000000</v>
      </c>
      <c r="BP470" s="486"/>
      <c r="BQ470" s="486">
        <v>0</v>
      </c>
      <c r="BR470" s="486">
        <v>0</v>
      </c>
      <c r="BS470" s="486">
        <v>0</v>
      </c>
      <c r="BT470" s="486">
        <v>0</v>
      </c>
      <c r="BU470" s="486"/>
      <c r="BV470" s="486"/>
      <c r="BW470" s="486">
        <v>0</v>
      </c>
      <c r="BX470" s="487">
        <v>0</v>
      </c>
      <c r="BY470" s="486">
        <v>5000000000</v>
      </c>
      <c r="BZ470" s="486">
        <v>0</v>
      </c>
      <c r="CA470" s="486">
        <v>0</v>
      </c>
      <c r="CB470" s="488">
        <v>5000000000</v>
      </c>
      <c r="CC470" s="491">
        <v>5000000000</v>
      </c>
      <c r="CD470" s="492">
        <v>10000000000</v>
      </c>
      <c r="CE470" s="493">
        <f t="shared" si="32"/>
        <v>0</v>
      </c>
      <c r="CF470" s="493">
        <f t="shared" si="32"/>
        <v>0</v>
      </c>
      <c r="CG470" s="493">
        <f t="shared" si="32"/>
        <v>0</v>
      </c>
      <c r="CH470" s="493">
        <f t="shared" si="31"/>
        <v>0</v>
      </c>
      <c r="CI470" s="493">
        <f t="shared" si="31"/>
        <v>0</v>
      </c>
      <c r="CJ470" s="493">
        <f t="shared" si="31"/>
        <v>0</v>
      </c>
      <c r="CK470" s="493">
        <f t="shared" si="31"/>
        <v>0</v>
      </c>
      <c r="CL470" s="493">
        <f t="shared" si="30"/>
        <v>0</v>
      </c>
      <c r="CM470" s="493">
        <f t="shared" si="34"/>
        <v>10000000000</v>
      </c>
      <c r="CN470" s="493">
        <f t="shared" si="34"/>
        <v>0</v>
      </c>
      <c r="CO470" s="493">
        <f t="shared" si="34"/>
        <v>0</v>
      </c>
    </row>
    <row r="471" spans="1:93" ht="30.45" hidden="1" customHeight="1">
      <c r="A471" s="555" t="s">
        <v>4431</v>
      </c>
      <c r="B471" s="479">
        <v>469</v>
      </c>
      <c r="C471" s="480" t="s">
        <v>6370</v>
      </c>
      <c r="D471" s="480" t="s">
        <v>4802</v>
      </c>
      <c r="E471" s="480" t="str">
        <f t="shared" si="33"/>
        <v xml:space="preserve">4.3.5 </v>
      </c>
      <c r="F471" s="480" t="s">
        <v>4844</v>
      </c>
      <c r="G471" s="480" t="s">
        <v>4845</v>
      </c>
      <c r="H471" s="481">
        <v>17</v>
      </c>
      <c r="I471" s="480" t="s">
        <v>4277</v>
      </c>
      <c r="J471" s="495">
        <v>350211000</v>
      </c>
      <c r="K471" s="480" t="s">
        <v>4458</v>
      </c>
      <c r="L471" s="480" t="s">
        <v>4459</v>
      </c>
      <c r="M471" s="480" t="s">
        <v>6058</v>
      </c>
      <c r="N471" s="499">
        <v>0</v>
      </c>
      <c r="O471" s="480"/>
      <c r="P471" s="515">
        <v>1</v>
      </c>
      <c r="Q471" s="485" t="s">
        <v>5349</v>
      </c>
      <c r="R471" s="485" t="s">
        <v>5564</v>
      </c>
      <c r="S471" s="485" t="s">
        <v>683</v>
      </c>
      <c r="T471" s="485">
        <v>86085</v>
      </c>
      <c r="U471" s="485" t="s">
        <v>4848</v>
      </c>
      <c r="V471" s="485">
        <v>94653</v>
      </c>
      <c r="W471" s="485" t="s">
        <v>5351</v>
      </c>
      <c r="X471" s="485" t="s">
        <v>5565</v>
      </c>
      <c r="Y471" s="485" t="s">
        <v>5433</v>
      </c>
      <c r="Z471" s="486"/>
      <c r="AA471" s="486">
        <v>0</v>
      </c>
      <c r="AB471" s="486">
        <v>0</v>
      </c>
      <c r="AC471" s="486">
        <v>0</v>
      </c>
      <c r="AD471" s="486">
        <v>0</v>
      </c>
      <c r="AE471" s="486"/>
      <c r="AF471" s="486">
        <v>500000000</v>
      </c>
      <c r="AG471" s="486">
        <v>0</v>
      </c>
      <c r="AH471" s="487">
        <v>500000000</v>
      </c>
      <c r="AI471" s="486">
        <v>0</v>
      </c>
      <c r="AJ471" s="486">
        <v>0</v>
      </c>
      <c r="AK471" s="486">
        <v>0</v>
      </c>
      <c r="AL471" s="488">
        <v>0</v>
      </c>
      <c r="AM471" s="489">
        <v>500000000</v>
      </c>
      <c r="AN471" s="486"/>
      <c r="AO471" s="486">
        <v>0</v>
      </c>
      <c r="AP471" s="486">
        <v>0</v>
      </c>
      <c r="AQ471" s="486">
        <v>0</v>
      </c>
      <c r="AR471" s="486">
        <v>0</v>
      </c>
      <c r="AS471" s="486"/>
      <c r="AT471" s="486">
        <v>0</v>
      </c>
      <c r="AU471" s="486">
        <v>0</v>
      </c>
      <c r="AV471" s="487">
        <v>0</v>
      </c>
      <c r="AW471" s="486">
        <v>0</v>
      </c>
      <c r="AX471" s="486">
        <v>0</v>
      </c>
      <c r="AY471" s="486">
        <v>0</v>
      </c>
      <c r="AZ471" s="488">
        <v>0</v>
      </c>
      <c r="BA471" s="490">
        <v>0</v>
      </c>
      <c r="BB471" s="486"/>
      <c r="BC471" s="486">
        <v>0</v>
      </c>
      <c r="BD471" s="486">
        <v>0</v>
      </c>
      <c r="BE471" s="486">
        <v>0</v>
      </c>
      <c r="BF471" s="486">
        <v>0</v>
      </c>
      <c r="BG471" s="486"/>
      <c r="BH471" s="486">
        <v>0</v>
      </c>
      <c r="BI471" s="486">
        <v>0</v>
      </c>
      <c r="BJ471" s="487">
        <v>0</v>
      </c>
      <c r="BK471" s="486">
        <v>0</v>
      </c>
      <c r="BL471" s="486">
        <v>0</v>
      </c>
      <c r="BM471" s="486">
        <v>0</v>
      </c>
      <c r="BN471" s="488">
        <v>0</v>
      </c>
      <c r="BO471" s="490">
        <v>0</v>
      </c>
      <c r="BP471" s="486"/>
      <c r="BQ471" s="486">
        <v>0</v>
      </c>
      <c r="BR471" s="486">
        <v>0</v>
      </c>
      <c r="BS471" s="486">
        <v>0</v>
      </c>
      <c r="BT471" s="486">
        <v>0</v>
      </c>
      <c r="BU471" s="486"/>
      <c r="BV471" s="486"/>
      <c r="BW471" s="486">
        <v>0</v>
      </c>
      <c r="BX471" s="487">
        <v>0</v>
      </c>
      <c r="BY471" s="486">
        <v>0</v>
      </c>
      <c r="BZ471" s="486">
        <v>0</v>
      </c>
      <c r="CA471" s="486">
        <v>0</v>
      </c>
      <c r="CB471" s="488">
        <v>0</v>
      </c>
      <c r="CC471" s="491">
        <v>0</v>
      </c>
      <c r="CD471" s="492">
        <v>500000000</v>
      </c>
      <c r="CE471" s="493">
        <f t="shared" si="32"/>
        <v>0</v>
      </c>
      <c r="CF471" s="493">
        <f t="shared" si="32"/>
        <v>0</v>
      </c>
      <c r="CG471" s="493">
        <f t="shared" si="32"/>
        <v>0</v>
      </c>
      <c r="CH471" s="493">
        <f t="shared" si="31"/>
        <v>0</v>
      </c>
      <c r="CI471" s="493">
        <f t="shared" si="31"/>
        <v>0</v>
      </c>
      <c r="CJ471" s="493">
        <f t="shared" si="31"/>
        <v>0</v>
      </c>
      <c r="CK471" s="493">
        <f t="shared" si="31"/>
        <v>500000000</v>
      </c>
      <c r="CL471" s="493">
        <f t="shared" si="30"/>
        <v>0</v>
      </c>
      <c r="CM471" s="493">
        <f t="shared" si="34"/>
        <v>0</v>
      </c>
      <c r="CN471" s="493">
        <f t="shared" si="34"/>
        <v>0</v>
      </c>
      <c r="CO471" s="493">
        <f t="shared" si="34"/>
        <v>0</v>
      </c>
    </row>
    <row r="472" spans="1:93" ht="30.45" hidden="1" customHeight="1">
      <c r="A472" s="555" t="s">
        <v>4431</v>
      </c>
      <c r="B472" s="479">
        <v>470</v>
      </c>
      <c r="C472" s="480" t="s">
        <v>6370</v>
      </c>
      <c r="D472" s="480" t="s">
        <v>4802</v>
      </c>
      <c r="E472" s="480" t="str">
        <f t="shared" si="33"/>
        <v xml:space="preserve">4.3.5 </v>
      </c>
      <c r="F472" s="480" t="s">
        <v>4844</v>
      </c>
      <c r="G472" s="480" t="s">
        <v>4845</v>
      </c>
      <c r="H472" s="481">
        <v>24</v>
      </c>
      <c r="I472" s="480" t="s">
        <v>4432</v>
      </c>
      <c r="J472" s="495">
        <v>240211000</v>
      </c>
      <c r="K472" s="480" t="s">
        <v>4881</v>
      </c>
      <c r="L472" s="480" t="s">
        <v>4882</v>
      </c>
      <c r="M472" s="480" t="s">
        <v>6059</v>
      </c>
      <c r="N472" s="499">
        <v>1</v>
      </c>
      <c r="O472" s="480" t="s">
        <v>4448</v>
      </c>
      <c r="P472" s="515">
        <v>2</v>
      </c>
      <c r="Q472" s="485" t="s">
        <v>5349</v>
      </c>
      <c r="R472" s="485" t="s">
        <v>5564</v>
      </c>
      <c r="S472" s="485" t="s">
        <v>683</v>
      </c>
      <c r="T472" s="485">
        <v>86085</v>
      </c>
      <c r="U472" s="485" t="s">
        <v>4848</v>
      </c>
      <c r="V472" s="485">
        <v>94653</v>
      </c>
      <c r="W472" s="485" t="s">
        <v>5351</v>
      </c>
      <c r="X472" s="485" t="s">
        <v>5565</v>
      </c>
      <c r="Y472" s="485" t="s">
        <v>5433</v>
      </c>
      <c r="Z472" s="486"/>
      <c r="AA472" s="486">
        <v>0</v>
      </c>
      <c r="AB472" s="486">
        <v>0</v>
      </c>
      <c r="AC472" s="486">
        <v>0</v>
      </c>
      <c r="AD472" s="486">
        <v>0</v>
      </c>
      <c r="AE472" s="486"/>
      <c r="AF472" s="486">
        <v>0</v>
      </c>
      <c r="AG472" s="486">
        <v>0</v>
      </c>
      <c r="AH472" s="487">
        <v>0</v>
      </c>
      <c r="AI472" s="486">
        <v>0</v>
      </c>
      <c r="AJ472" s="486">
        <v>0</v>
      </c>
      <c r="AK472" s="486">
        <v>0</v>
      </c>
      <c r="AL472" s="488">
        <v>0</v>
      </c>
      <c r="AM472" s="489">
        <v>0</v>
      </c>
      <c r="AN472" s="486"/>
      <c r="AO472" s="486">
        <v>0</v>
      </c>
      <c r="AP472" s="486">
        <v>0</v>
      </c>
      <c r="AQ472" s="486">
        <v>0</v>
      </c>
      <c r="AR472" s="486">
        <v>0</v>
      </c>
      <c r="AS472" s="486"/>
      <c r="AT472" s="486">
        <v>0</v>
      </c>
      <c r="AU472" s="486">
        <v>0</v>
      </c>
      <c r="AV472" s="487">
        <v>0</v>
      </c>
      <c r="AW472" s="486">
        <v>0</v>
      </c>
      <c r="AX472" s="486">
        <v>0</v>
      </c>
      <c r="AY472" s="486">
        <v>0</v>
      </c>
      <c r="AZ472" s="488">
        <v>0</v>
      </c>
      <c r="BA472" s="490">
        <v>0</v>
      </c>
      <c r="BB472" s="486"/>
      <c r="BC472" s="486">
        <v>0</v>
      </c>
      <c r="BD472" s="486">
        <v>0</v>
      </c>
      <c r="BE472" s="486">
        <v>0</v>
      </c>
      <c r="BF472" s="486">
        <v>0</v>
      </c>
      <c r="BG472" s="486"/>
      <c r="BH472" s="486"/>
      <c r="BI472" s="486">
        <v>0</v>
      </c>
      <c r="BJ472" s="487">
        <v>0</v>
      </c>
      <c r="BK472" s="486">
        <v>25000000000</v>
      </c>
      <c r="BL472" s="486">
        <v>0</v>
      </c>
      <c r="BM472" s="486">
        <v>0</v>
      </c>
      <c r="BN472" s="488">
        <v>25000000000</v>
      </c>
      <c r="BO472" s="490">
        <v>25000000000</v>
      </c>
      <c r="BP472" s="486"/>
      <c r="BQ472" s="486">
        <v>0</v>
      </c>
      <c r="BR472" s="486">
        <v>0</v>
      </c>
      <c r="BS472" s="486">
        <v>0</v>
      </c>
      <c r="BT472" s="486">
        <v>0</v>
      </c>
      <c r="BU472" s="486"/>
      <c r="BV472" s="486"/>
      <c r="BW472" s="486">
        <v>0</v>
      </c>
      <c r="BX472" s="487">
        <v>0</v>
      </c>
      <c r="BY472" s="486">
        <v>0</v>
      </c>
      <c r="BZ472" s="486">
        <v>0</v>
      </c>
      <c r="CA472" s="486">
        <v>0</v>
      </c>
      <c r="CB472" s="488">
        <v>0</v>
      </c>
      <c r="CC472" s="491">
        <v>0</v>
      </c>
      <c r="CD472" s="492">
        <v>25000000000</v>
      </c>
      <c r="CE472" s="493">
        <f t="shared" si="32"/>
        <v>0</v>
      </c>
      <c r="CF472" s="493">
        <f t="shared" si="32"/>
        <v>0</v>
      </c>
      <c r="CG472" s="493">
        <f t="shared" si="32"/>
        <v>0</v>
      </c>
      <c r="CH472" s="493">
        <f t="shared" si="31"/>
        <v>0</v>
      </c>
      <c r="CI472" s="493">
        <f t="shared" si="31"/>
        <v>0</v>
      </c>
      <c r="CJ472" s="493">
        <f t="shared" si="31"/>
        <v>0</v>
      </c>
      <c r="CK472" s="493">
        <f t="shared" si="31"/>
        <v>0</v>
      </c>
      <c r="CL472" s="493">
        <f t="shared" si="30"/>
        <v>0</v>
      </c>
      <c r="CM472" s="493">
        <f t="shared" si="34"/>
        <v>25000000000</v>
      </c>
      <c r="CN472" s="493">
        <f t="shared" si="34"/>
        <v>0</v>
      </c>
      <c r="CO472" s="493">
        <f t="shared" si="34"/>
        <v>0</v>
      </c>
    </row>
    <row r="473" spans="1:93" ht="30.45" hidden="1" customHeight="1">
      <c r="A473" s="555" t="s">
        <v>4431</v>
      </c>
      <c r="B473" s="479">
        <v>471</v>
      </c>
      <c r="C473" s="480" t="s">
        <v>6370</v>
      </c>
      <c r="D473" s="480" t="s">
        <v>4802</v>
      </c>
      <c r="E473" s="480" t="str">
        <f t="shared" si="33"/>
        <v xml:space="preserve">4.3.5 </v>
      </c>
      <c r="F473" s="480" t="s">
        <v>4844</v>
      </c>
      <c r="G473" s="480" t="s">
        <v>4845</v>
      </c>
      <c r="H473" s="481">
        <v>24</v>
      </c>
      <c r="I473" s="480" t="s">
        <v>4432</v>
      </c>
      <c r="J473" s="495">
        <v>240308400</v>
      </c>
      <c r="K473" s="480" t="s">
        <v>4458</v>
      </c>
      <c r="L473" s="480" t="s">
        <v>4459</v>
      </c>
      <c r="M473" s="480" t="s">
        <v>6060</v>
      </c>
      <c r="N473" s="499">
        <v>0</v>
      </c>
      <c r="O473" s="480" t="s">
        <v>4883</v>
      </c>
      <c r="P473" s="515">
        <v>1</v>
      </c>
      <c r="Q473" s="485" t="s">
        <v>5349</v>
      </c>
      <c r="R473" s="485" t="s">
        <v>5564</v>
      </c>
      <c r="S473" s="485" t="s">
        <v>683</v>
      </c>
      <c r="T473" s="485">
        <v>86085</v>
      </c>
      <c r="U473" s="485" t="s">
        <v>4848</v>
      </c>
      <c r="V473" s="485">
        <v>94653</v>
      </c>
      <c r="W473" s="485" t="s">
        <v>5351</v>
      </c>
      <c r="X473" s="485" t="s">
        <v>5565</v>
      </c>
      <c r="Y473" s="485" t="s">
        <v>5433</v>
      </c>
      <c r="Z473" s="486"/>
      <c r="AA473" s="486">
        <v>0</v>
      </c>
      <c r="AB473" s="486">
        <v>0</v>
      </c>
      <c r="AC473" s="486">
        <v>0</v>
      </c>
      <c r="AD473" s="486">
        <v>0</v>
      </c>
      <c r="AE473" s="486"/>
      <c r="AF473" s="486">
        <v>500000000</v>
      </c>
      <c r="AG473" s="486">
        <v>0</v>
      </c>
      <c r="AH473" s="487">
        <v>500000000</v>
      </c>
      <c r="AI473" s="486">
        <v>0</v>
      </c>
      <c r="AJ473" s="486">
        <v>0</v>
      </c>
      <c r="AK473" s="486">
        <v>0</v>
      </c>
      <c r="AL473" s="488">
        <v>0</v>
      </c>
      <c r="AM473" s="489">
        <v>500000000</v>
      </c>
      <c r="AN473" s="486"/>
      <c r="AO473" s="486">
        <v>0</v>
      </c>
      <c r="AP473" s="486">
        <v>0</v>
      </c>
      <c r="AQ473" s="486">
        <v>0</v>
      </c>
      <c r="AR473" s="486">
        <v>0</v>
      </c>
      <c r="AS473" s="486"/>
      <c r="AT473" s="486">
        <v>500000000</v>
      </c>
      <c r="AU473" s="486">
        <v>0</v>
      </c>
      <c r="AV473" s="487">
        <v>500000000</v>
      </c>
      <c r="AW473" s="486">
        <v>0</v>
      </c>
      <c r="AX473" s="486">
        <v>0</v>
      </c>
      <c r="AY473" s="486">
        <v>0</v>
      </c>
      <c r="AZ473" s="488">
        <v>0</v>
      </c>
      <c r="BA473" s="490">
        <v>500000000</v>
      </c>
      <c r="BB473" s="486"/>
      <c r="BC473" s="486">
        <v>0</v>
      </c>
      <c r="BD473" s="486">
        <v>0</v>
      </c>
      <c r="BE473" s="486">
        <v>0</v>
      </c>
      <c r="BF473" s="486">
        <v>0</v>
      </c>
      <c r="BG473" s="486"/>
      <c r="BH473" s="486">
        <v>0</v>
      </c>
      <c r="BI473" s="486">
        <v>0</v>
      </c>
      <c r="BJ473" s="487">
        <v>0</v>
      </c>
      <c r="BK473" s="486">
        <v>0</v>
      </c>
      <c r="BL473" s="486">
        <v>0</v>
      </c>
      <c r="BM473" s="486">
        <v>0</v>
      </c>
      <c r="BN473" s="488">
        <v>0</v>
      </c>
      <c r="BO473" s="490">
        <v>0</v>
      </c>
      <c r="BP473" s="486"/>
      <c r="BQ473" s="486">
        <v>0</v>
      </c>
      <c r="BR473" s="486">
        <v>0</v>
      </c>
      <c r="BS473" s="486">
        <v>0</v>
      </c>
      <c r="BT473" s="486">
        <v>0</v>
      </c>
      <c r="BU473" s="486"/>
      <c r="BV473" s="486"/>
      <c r="BW473" s="486">
        <v>0</v>
      </c>
      <c r="BX473" s="487">
        <v>0</v>
      </c>
      <c r="BY473" s="486">
        <v>0</v>
      </c>
      <c r="BZ473" s="486">
        <v>0</v>
      </c>
      <c r="CA473" s="486">
        <v>0</v>
      </c>
      <c r="CB473" s="488">
        <v>0</v>
      </c>
      <c r="CC473" s="491">
        <v>0</v>
      </c>
      <c r="CD473" s="492">
        <v>1000000000</v>
      </c>
      <c r="CE473" s="493">
        <f t="shared" si="32"/>
        <v>0</v>
      </c>
      <c r="CF473" s="493">
        <f t="shared" si="32"/>
        <v>0</v>
      </c>
      <c r="CG473" s="493">
        <f t="shared" si="32"/>
        <v>0</v>
      </c>
      <c r="CH473" s="493">
        <f t="shared" si="31"/>
        <v>0</v>
      </c>
      <c r="CI473" s="493">
        <f t="shared" si="31"/>
        <v>0</v>
      </c>
      <c r="CJ473" s="493">
        <f t="shared" si="31"/>
        <v>0</v>
      </c>
      <c r="CK473" s="493">
        <f t="shared" si="31"/>
        <v>1000000000</v>
      </c>
      <c r="CL473" s="493">
        <f t="shared" si="30"/>
        <v>0</v>
      </c>
      <c r="CM473" s="493">
        <f t="shared" si="34"/>
        <v>0</v>
      </c>
      <c r="CN473" s="493">
        <f t="shared" si="34"/>
        <v>0</v>
      </c>
      <c r="CO473" s="493">
        <f t="shared" si="34"/>
        <v>0</v>
      </c>
    </row>
    <row r="474" spans="1:93" ht="30.45" hidden="1" customHeight="1">
      <c r="A474" s="555" t="s">
        <v>4431</v>
      </c>
      <c r="B474" s="479">
        <v>472</v>
      </c>
      <c r="C474" s="480" t="s">
        <v>6370</v>
      </c>
      <c r="D474" s="480" t="s">
        <v>4802</v>
      </c>
      <c r="E474" s="480" t="str">
        <f t="shared" si="33"/>
        <v xml:space="preserve">4.3.6 </v>
      </c>
      <c r="F474" s="480" t="s">
        <v>4884</v>
      </c>
      <c r="G474" s="480" t="s">
        <v>4885</v>
      </c>
      <c r="H474" s="481">
        <v>40</v>
      </c>
      <c r="I474" s="480" t="s">
        <v>4886</v>
      </c>
      <c r="J474" s="495">
        <v>400201900</v>
      </c>
      <c r="K474" s="480" t="s">
        <v>4887</v>
      </c>
      <c r="L474" s="480" t="s">
        <v>4888</v>
      </c>
      <c r="M474" s="480" t="s">
        <v>6061</v>
      </c>
      <c r="N474" s="520">
        <v>15369.33</v>
      </c>
      <c r="O474" s="480" t="s">
        <v>4848</v>
      </c>
      <c r="P474" s="515">
        <v>25369.33</v>
      </c>
      <c r="Q474" s="485" t="s">
        <v>5349</v>
      </c>
      <c r="R474" s="485" t="s">
        <v>5566</v>
      </c>
      <c r="S474" s="485" t="s">
        <v>5567</v>
      </c>
      <c r="T474" s="485">
        <v>65143.21</v>
      </c>
      <c r="U474" s="485" t="s">
        <v>4848</v>
      </c>
      <c r="V474" s="485">
        <v>140644.21</v>
      </c>
      <c r="W474" s="485" t="s">
        <v>5351</v>
      </c>
      <c r="X474" s="485" t="s">
        <v>5565</v>
      </c>
      <c r="Y474" s="485" t="s">
        <v>5433</v>
      </c>
      <c r="Z474" s="486"/>
      <c r="AA474" s="486">
        <v>0</v>
      </c>
      <c r="AB474" s="486">
        <v>0</v>
      </c>
      <c r="AC474" s="486">
        <v>0</v>
      </c>
      <c r="AD474" s="486">
        <v>0</v>
      </c>
      <c r="AE474" s="486"/>
      <c r="AF474" s="486">
        <v>0</v>
      </c>
      <c r="AG474" s="486">
        <v>0</v>
      </c>
      <c r="AH474" s="487">
        <v>0</v>
      </c>
      <c r="AI474" s="486">
        <v>0</v>
      </c>
      <c r="AJ474" s="486">
        <v>0</v>
      </c>
      <c r="AK474" s="486">
        <v>0</v>
      </c>
      <c r="AL474" s="488">
        <v>0</v>
      </c>
      <c r="AM474" s="489">
        <v>0</v>
      </c>
      <c r="AN474" s="486"/>
      <c r="AO474" s="486">
        <v>0</v>
      </c>
      <c r="AP474" s="486">
        <v>0</v>
      </c>
      <c r="AQ474" s="486">
        <v>0</v>
      </c>
      <c r="AR474" s="486">
        <v>0</v>
      </c>
      <c r="AS474" s="486"/>
      <c r="AT474" s="486"/>
      <c r="AU474" s="486">
        <v>0</v>
      </c>
      <c r="AV474" s="487">
        <v>0</v>
      </c>
      <c r="AW474" s="486">
        <v>0</v>
      </c>
      <c r="AX474" s="486">
        <v>0</v>
      </c>
      <c r="AY474" s="486">
        <v>0</v>
      </c>
      <c r="AZ474" s="488">
        <v>0</v>
      </c>
      <c r="BA474" s="490">
        <v>0</v>
      </c>
      <c r="BB474" s="486"/>
      <c r="BC474" s="486">
        <v>0</v>
      </c>
      <c r="BD474" s="486">
        <v>0</v>
      </c>
      <c r="BE474" s="486">
        <v>0</v>
      </c>
      <c r="BF474" s="486">
        <v>0</v>
      </c>
      <c r="BG474" s="486"/>
      <c r="BH474" s="486"/>
      <c r="BI474" s="486">
        <v>0</v>
      </c>
      <c r="BJ474" s="487">
        <v>0</v>
      </c>
      <c r="BK474" s="486">
        <v>8000000000</v>
      </c>
      <c r="BL474" s="486">
        <v>0</v>
      </c>
      <c r="BM474" s="486">
        <v>0</v>
      </c>
      <c r="BN474" s="488">
        <v>8000000000</v>
      </c>
      <c r="BO474" s="490">
        <v>8000000000</v>
      </c>
      <c r="BP474" s="486"/>
      <c r="BQ474" s="486">
        <v>0</v>
      </c>
      <c r="BR474" s="486">
        <v>0</v>
      </c>
      <c r="BS474" s="486">
        <v>0</v>
      </c>
      <c r="BT474" s="486">
        <v>0</v>
      </c>
      <c r="BU474" s="486"/>
      <c r="BV474" s="486"/>
      <c r="BW474" s="486">
        <v>0</v>
      </c>
      <c r="BX474" s="487">
        <v>0</v>
      </c>
      <c r="BY474" s="486">
        <v>8000000000</v>
      </c>
      <c r="BZ474" s="486">
        <v>0</v>
      </c>
      <c r="CA474" s="486">
        <v>0</v>
      </c>
      <c r="CB474" s="488">
        <v>8000000000</v>
      </c>
      <c r="CC474" s="491">
        <v>8000000000</v>
      </c>
      <c r="CD474" s="492">
        <v>16000000000</v>
      </c>
      <c r="CE474" s="493">
        <f t="shared" si="32"/>
        <v>0</v>
      </c>
      <c r="CF474" s="493">
        <f t="shared" si="32"/>
        <v>0</v>
      </c>
      <c r="CG474" s="493">
        <f t="shared" si="32"/>
        <v>0</v>
      </c>
      <c r="CH474" s="493">
        <f t="shared" si="31"/>
        <v>0</v>
      </c>
      <c r="CI474" s="493">
        <f t="shared" si="31"/>
        <v>0</v>
      </c>
      <c r="CJ474" s="493">
        <f t="shared" si="31"/>
        <v>0</v>
      </c>
      <c r="CK474" s="493">
        <f t="shared" si="31"/>
        <v>0</v>
      </c>
      <c r="CL474" s="493">
        <f t="shared" si="30"/>
        <v>0</v>
      </c>
      <c r="CM474" s="493">
        <f t="shared" si="34"/>
        <v>16000000000</v>
      </c>
      <c r="CN474" s="493">
        <f t="shared" si="34"/>
        <v>0</v>
      </c>
      <c r="CO474" s="493">
        <f t="shared" si="34"/>
        <v>0</v>
      </c>
    </row>
    <row r="475" spans="1:93" ht="30.45" hidden="1" customHeight="1">
      <c r="A475" s="555" t="s">
        <v>4431</v>
      </c>
      <c r="B475" s="479">
        <v>473</v>
      </c>
      <c r="C475" s="480" t="s">
        <v>6370</v>
      </c>
      <c r="D475" s="480" t="s">
        <v>4802</v>
      </c>
      <c r="E475" s="480" t="str">
        <f t="shared" si="33"/>
        <v xml:space="preserve">4.3.6 </v>
      </c>
      <c r="F475" s="480" t="s">
        <v>4884</v>
      </c>
      <c r="G475" s="480" t="s">
        <v>4885</v>
      </c>
      <c r="H475" s="481">
        <v>40</v>
      </c>
      <c r="I475" s="480" t="s">
        <v>4886</v>
      </c>
      <c r="J475" s="495">
        <v>400202000</v>
      </c>
      <c r="K475" s="480" t="s">
        <v>4887</v>
      </c>
      <c r="L475" s="480" t="s">
        <v>4889</v>
      </c>
      <c r="M475" s="480" t="s">
        <v>6062</v>
      </c>
      <c r="N475" s="499" t="s">
        <v>4448</v>
      </c>
      <c r="O475" s="480" t="s">
        <v>4448</v>
      </c>
      <c r="P475" s="515">
        <v>1000</v>
      </c>
      <c r="Q475" s="485" t="s">
        <v>5349</v>
      </c>
      <c r="R475" s="485" t="s">
        <v>5566</v>
      </c>
      <c r="S475" s="485" t="s">
        <v>5567</v>
      </c>
      <c r="T475" s="485">
        <v>65143.21</v>
      </c>
      <c r="U475" s="485" t="s">
        <v>4848</v>
      </c>
      <c r="V475" s="485">
        <v>140644.21</v>
      </c>
      <c r="W475" s="485" t="s">
        <v>5351</v>
      </c>
      <c r="X475" s="485" t="s">
        <v>5565</v>
      </c>
      <c r="Y475" s="485" t="s">
        <v>5433</v>
      </c>
      <c r="Z475" s="486">
        <v>72000000</v>
      </c>
      <c r="AA475" s="486">
        <v>0</v>
      </c>
      <c r="AB475" s="486">
        <v>0</v>
      </c>
      <c r="AC475" s="486">
        <v>0</v>
      </c>
      <c r="AD475" s="486">
        <v>0</v>
      </c>
      <c r="AE475" s="486"/>
      <c r="AF475" s="486">
        <v>0</v>
      </c>
      <c r="AG475" s="486">
        <v>0</v>
      </c>
      <c r="AH475" s="487">
        <v>72000000</v>
      </c>
      <c r="AI475" s="486">
        <v>0</v>
      </c>
      <c r="AJ475" s="486">
        <v>0</v>
      </c>
      <c r="AK475" s="486">
        <v>0</v>
      </c>
      <c r="AL475" s="488">
        <v>0</v>
      </c>
      <c r="AM475" s="489">
        <v>72000000</v>
      </c>
      <c r="AN475" s="486">
        <v>72000000</v>
      </c>
      <c r="AO475" s="486">
        <v>0</v>
      </c>
      <c r="AP475" s="486">
        <v>0</v>
      </c>
      <c r="AQ475" s="486">
        <v>0</v>
      </c>
      <c r="AR475" s="486">
        <v>0</v>
      </c>
      <c r="AS475" s="486"/>
      <c r="AT475" s="486"/>
      <c r="AU475" s="486">
        <v>0</v>
      </c>
      <c r="AV475" s="487">
        <v>72000000</v>
      </c>
      <c r="AW475" s="486">
        <v>0</v>
      </c>
      <c r="AX475" s="486">
        <v>0</v>
      </c>
      <c r="AY475" s="486">
        <v>0</v>
      </c>
      <c r="AZ475" s="488">
        <v>0</v>
      </c>
      <c r="BA475" s="490">
        <v>72000000</v>
      </c>
      <c r="BB475" s="486">
        <v>72000000</v>
      </c>
      <c r="BC475" s="486">
        <v>0</v>
      </c>
      <c r="BD475" s="486">
        <v>0</v>
      </c>
      <c r="BE475" s="486">
        <v>0</v>
      </c>
      <c r="BF475" s="486">
        <v>0</v>
      </c>
      <c r="BG475" s="486"/>
      <c r="BH475" s="486"/>
      <c r="BI475" s="486">
        <v>0</v>
      </c>
      <c r="BJ475" s="487">
        <v>72000000</v>
      </c>
      <c r="BK475" s="486">
        <v>900000000</v>
      </c>
      <c r="BL475" s="486">
        <v>0</v>
      </c>
      <c r="BM475" s="486">
        <v>0</v>
      </c>
      <c r="BN475" s="488">
        <v>900000000</v>
      </c>
      <c r="BO475" s="490">
        <v>972000000</v>
      </c>
      <c r="BP475" s="486">
        <v>72000000</v>
      </c>
      <c r="BQ475" s="486">
        <v>0</v>
      </c>
      <c r="BR475" s="486">
        <v>0</v>
      </c>
      <c r="BS475" s="486">
        <v>0</v>
      </c>
      <c r="BT475" s="486">
        <v>0</v>
      </c>
      <c r="BU475" s="486"/>
      <c r="BV475" s="486"/>
      <c r="BW475" s="486">
        <v>0</v>
      </c>
      <c r="BX475" s="487">
        <v>72000000</v>
      </c>
      <c r="BY475" s="486">
        <v>900000000</v>
      </c>
      <c r="BZ475" s="486">
        <v>0</v>
      </c>
      <c r="CA475" s="486">
        <v>0</v>
      </c>
      <c r="CB475" s="488">
        <v>900000000</v>
      </c>
      <c r="CC475" s="491">
        <v>972000000</v>
      </c>
      <c r="CD475" s="492">
        <v>2088000000</v>
      </c>
      <c r="CE475" s="493">
        <f t="shared" si="32"/>
        <v>288000000</v>
      </c>
      <c r="CF475" s="493">
        <f t="shared" si="32"/>
        <v>0</v>
      </c>
      <c r="CG475" s="493">
        <f t="shared" si="32"/>
        <v>0</v>
      </c>
      <c r="CH475" s="493">
        <f t="shared" si="31"/>
        <v>0</v>
      </c>
      <c r="CI475" s="493">
        <f t="shared" si="31"/>
        <v>0</v>
      </c>
      <c r="CJ475" s="493">
        <f t="shared" si="31"/>
        <v>0</v>
      </c>
      <c r="CK475" s="493">
        <f t="shared" si="31"/>
        <v>0</v>
      </c>
      <c r="CL475" s="493">
        <f t="shared" si="30"/>
        <v>0</v>
      </c>
      <c r="CM475" s="493">
        <f t="shared" si="34"/>
        <v>1800000000</v>
      </c>
      <c r="CN475" s="493">
        <f t="shared" si="34"/>
        <v>0</v>
      </c>
      <c r="CO475" s="493">
        <f t="shared" si="34"/>
        <v>0</v>
      </c>
    </row>
    <row r="476" spans="1:93" ht="30.45" hidden="1" customHeight="1">
      <c r="A476" s="555" t="s">
        <v>4431</v>
      </c>
      <c r="B476" s="479">
        <v>474</v>
      </c>
      <c r="C476" s="480" t="s">
        <v>6370</v>
      </c>
      <c r="D476" s="480" t="s">
        <v>4802</v>
      </c>
      <c r="E476" s="480" t="str">
        <f t="shared" si="33"/>
        <v xml:space="preserve">4.3.6 </v>
      </c>
      <c r="F476" s="480" t="s">
        <v>4884</v>
      </c>
      <c r="G476" s="480" t="s">
        <v>4885</v>
      </c>
      <c r="H476" s="481">
        <v>40</v>
      </c>
      <c r="I476" s="480" t="s">
        <v>4886</v>
      </c>
      <c r="J476" s="495">
        <v>400202100</v>
      </c>
      <c r="K476" s="480" t="s">
        <v>4887</v>
      </c>
      <c r="L476" s="480" t="s">
        <v>4890</v>
      </c>
      <c r="M476" s="480" t="s">
        <v>6063</v>
      </c>
      <c r="N476" s="517">
        <v>8301</v>
      </c>
      <c r="O476" s="480" t="s">
        <v>4848</v>
      </c>
      <c r="P476" s="515">
        <v>48301</v>
      </c>
      <c r="Q476" s="485" t="s">
        <v>5349</v>
      </c>
      <c r="R476" s="485" t="s">
        <v>5566</v>
      </c>
      <c r="S476" s="485" t="s">
        <v>5567</v>
      </c>
      <c r="T476" s="485">
        <v>65143.21</v>
      </c>
      <c r="U476" s="485" t="s">
        <v>4848</v>
      </c>
      <c r="V476" s="485">
        <v>140644.21</v>
      </c>
      <c r="W476" s="485" t="s">
        <v>5351</v>
      </c>
      <c r="X476" s="485" t="s">
        <v>5565</v>
      </c>
      <c r="Y476" s="485" t="s">
        <v>5433</v>
      </c>
      <c r="Z476" s="486">
        <v>108000000</v>
      </c>
      <c r="AA476" s="486">
        <v>0</v>
      </c>
      <c r="AB476" s="486">
        <v>0</v>
      </c>
      <c r="AC476" s="486">
        <v>0</v>
      </c>
      <c r="AD476" s="486">
        <v>0</v>
      </c>
      <c r="AE476" s="486"/>
      <c r="AF476" s="486">
        <v>0</v>
      </c>
      <c r="AG476" s="486">
        <v>0</v>
      </c>
      <c r="AH476" s="487">
        <v>108000000</v>
      </c>
      <c r="AI476" s="486">
        <v>0</v>
      </c>
      <c r="AJ476" s="486">
        <v>0</v>
      </c>
      <c r="AK476" s="486">
        <v>0</v>
      </c>
      <c r="AL476" s="488">
        <v>0</v>
      </c>
      <c r="AM476" s="489">
        <v>108000000</v>
      </c>
      <c r="AN476" s="486">
        <v>108000000</v>
      </c>
      <c r="AO476" s="486">
        <v>0</v>
      </c>
      <c r="AP476" s="486">
        <v>0</v>
      </c>
      <c r="AQ476" s="486">
        <v>0</v>
      </c>
      <c r="AR476" s="486">
        <v>0</v>
      </c>
      <c r="AS476" s="486"/>
      <c r="AT476" s="486"/>
      <c r="AU476" s="486">
        <v>0</v>
      </c>
      <c r="AV476" s="487">
        <v>108000000</v>
      </c>
      <c r="AW476" s="486">
        <v>0</v>
      </c>
      <c r="AX476" s="486">
        <v>0</v>
      </c>
      <c r="AY476" s="486">
        <v>0</v>
      </c>
      <c r="AZ476" s="488">
        <v>0</v>
      </c>
      <c r="BA476" s="490">
        <v>108000000</v>
      </c>
      <c r="BB476" s="486">
        <v>108000000</v>
      </c>
      <c r="BC476" s="486">
        <v>0</v>
      </c>
      <c r="BD476" s="486">
        <v>0</v>
      </c>
      <c r="BE476" s="486">
        <v>0</v>
      </c>
      <c r="BF476" s="486">
        <v>0</v>
      </c>
      <c r="BG476" s="486"/>
      <c r="BH476" s="486"/>
      <c r="BI476" s="486">
        <v>0</v>
      </c>
      <c r="BJ476" s="487">
        <v>108000000</v>
      </c>
      <c r="BK476" s="486">
        <v>42000000000</v>
      </c>
      <c r="BL476" s="486">
        <v>0</v>
      </c>
      <c r="BM476" s="486">
        <v>0</v>
      </c>
      <c r="BN476" s="488">
        <v>42000000000</v>
      </c>
      <c r="BO476" s="490">
        <v>42108000000</v>
      </c>
      <c r="BP476" s="486">
        <v>108000000</v>
      </c>
      <c r="BQ476" s="486">
        <v>0</v>
      </c>
      <c r="BR476" s="486">
        <v>0</v>
      </c>
      <c r="BS476" s="486">
        <v>0</v>
      </c>
      <c r="BT476" s="486">
        <v>0</v>
      </c>
      <c r="BU476" s="486"/>
      <c r="BV476" s="486"/>
      <c r="BW476" s="486">
        <v>0</v>
      </c>
      <c r="BX476" s="487">
        <v>108000000</v>
      </c>
      <c r="BY476" s="486">
        <v>42000000000</v>
      </c>
      <c r="BZ476" s="486">
        <v>0</v>
      </c>
      <c r="CA476" s="486">
        <v>0</v>
      </c>
      <c r="CB476" s="488">
        <v>42000000000</v>
      </c>
      <c r="CC476" s="491">
        <v>42108000000</v>
      </c>
      <c r="CD476" s="492">
        <v>84432000000</v>
      </c>
      <c r="CE476" s="493">
        <f t="shared" si="32"/>
        <v>432000000</v>
      </c>
      <c r="CF476" s="493">
        <f t="shared" si="32"/>
        <v>0</v>
      </c>
      <c r="CG476" s="493">
        <f t="shared" si="32"/>
        <v>0</v>
      </c>
      <c r="CH476" s="493">
        <f t="shared" si="31"/>
        <v>0</v>
      </c>
      <c r="CI476" s="493">
        <f t="shared" si="31"/>
        <v>0</v>
      </c>
      <c r="CJ476" s="493">
        <f t="shared" si="31"/>
        <v>0</v>
      </c>
      <c r="CK476" s="493">
        <f t="shared" si="31"/>
        <v>0</v>
      </c>
      <c r="CL476" s="493">
        <f t="shared" si="30"/>
        <v>0</v>
      </c>
      <c r="CM476" s="493">
        <f t="shared" si="34"/>
        <v>84000000000</v>
      </c>
      <c r="CN476" s="493">
        <f t="shared" si="34"/>
        <v>0</v>
      </c>
      <c r="CO476" s="493">
        <f t="shared" si="34"/>
        <v>0</v>
      </c>
    </row>
    <row r="477" spans="1:93" ht="30.45" hidden="1" customHeight="1">
      <c r="A477" s="555" t="s">
        <v>4431</v>
      </c>
      <c r="B477" s="479">
        <v>475</v>
      </c>
      <c r="C477" s="480" t="s">
        <v>6370</v>
      </c>
      <c r="D477" s="480" t="s">
        <v>4802</v>
      </c>
      <c r="E477" s="480" t="str">
        <f t="shared" si="33"/>
        <v xml:space="preserve">4.3.6 </v>
      </c>
      <c r="F477" s="480" t="s">
        <v>4884</v>
      </c>
      <c r="G477" s="480" t="s">
        <v>4885</v>
      </c>
      <c r="H477" s="481">
        <v>40</v>
      </c>
      <c r="I477" s="480" t="s">
        <v>4886</v>
      </c>
      <c r="J477" s="495">
        <v>400202300</v>
      </c>
      <c r="K477" s="480" t="s">
        <v>4891</v>
      </c>
      <c r="L477" s="480" t="s">
        <v>4892</v>
      </c>
      <c r="M477" s="480" t="s">
        <v>6064</v>
      </c>
      <c r="N477" s="520">
        <v>39217.980000000003</v>
      </c>
      <c r="O477" s="480" t="s">
        <v>4848</v>
      </c>
      <c r="P477" s="515">
        <v>79217.98</v>
      </c>
      <c r="Q477" s="485" t="s">
        <v>5349</v>
      </c>
      <c r="R477" s="485" t="s">
        <v>5566</v>
      </c>
      <c r="S477" s="485" t="s">
        <v>5567</v>
      </c>
      <c r="T477" s="485">
        <v>65143.21</v>
      </c>
      <c r="U477" s="485" t="s">
        <v>4848</v>
      </c>
      <c r="V477" s="485">
        <v>140644.21</v>
      </c>
      <c r="W477" s="485" t="s">
        <v>5351</v>
      </c>
      <c r="X477" s="485" t="s">
        <v>5565</v>
      </c>
      <c r="Y477" s="485" t="s">
        <v>5433</v>
      </c>
      <c r="Z477" s="486">
        <v>72000000</v>
      </c>
      <c r="AA477" s="486">
        <v>0</v>
      </c>
      <c r="AB477" s="486">
        <v>0</v>
      </c>
      <c r="AC477" s="486">
        <v>0</v>
      </c>
      <c r="AD477" s="486">
        <v>0</v>
      </c>
      <c r="AE477" s="486"/>
      <c r="AF477" s="486">
        <v>2290000000</v>
      </c>
      <c r="AG477" s="486">
        <v>0</v>
      </c>
      <c r="AH477" s="487">
        <v>2362000000</v>
      </c>
      <c r="AI477" s="486">
        <v>0</v>
      </c>
      <c r="AJ477" s="486">
        <v>0</v>
      </c>
      <c r="AK477" s="486">
        <v>0</v>
      </c>
      <c r="AL477" s="488">
        <v>0</v>
      </c>
      <c r="AM477" s="489">
        <v>2362000000</v>
      </c>
      <c r="AN477" s="486">
        <v>72000000</v>
      </c>
      <c r="AO477" s="486">
        <v>0</v>
      </c>
      <c r="AP477" s="486">
        <v>0</v>
      </c>
      <c r="AQ477" s="486">
        <v>0</v>
      </c>
      <c r="AR477" s="486">
        <v>0</v>
      </c>
      <c r="AS477" s="486"/>
      <c r="AT477" s="486"/>
      <c r="AU477" s="486">
        <v>0</v>
      </c>
      <c r="AV477" s="487">
        <v>72000000</v>
      </c>
      <c r="AW477" s="486">
        <v>0</v>
      </c>
      <c r="AX477" s="486">
        <v>0</v>
      </c>
      <c r="AY477" s="486">
        <v>0</v>
      </c>
      <c r="AZ477" s="488">
        <v>0</v>
      </c>
      <c r="BA477" s="490">
        <v>72000000</v>
      </c>
      <c r="BB477" s="486">
        <v>72000000</v>
      </c>
      <c r="BC477" s="486">
        <v>0</v>
      </c>
      <c r="BD477" s="486">
        <v>0</v>
      </c>
      <c r="BE477" s="486">
        <v>0</v>
      </c>
      <c r="BF477" s="486">
        <v>0</v>
      </c>
      <c r="BG477" s="486"/>
      <c r="BH477" s="486"/>
      <c r="BI477" s="486">
        <v>0</v>
      </c>
      <c r="BJ477" s="487">
        <v>72000000</v>
      </c>
      <c r="BK477" s="486">
        <v>28000000000</v>
      </c>
      <c r="BL477" s="486">
        <v>0</v>
      </c>
      <c r="BM477" s="486">
        <v>0</v>
      </c>
      <c r="BN477" s="488">
        <v>28000000000</v>
      </c>
      <c r="BO477" s="490">
        <v>28072000000</v>
      </c>
      <c r="BP477" s="486">
        <v>72000000</v>
      </c>
      <c r="BQ477" s="486">
        <v>0</v>
      </c>
      <c r="BR477" s="486">
        <v>0</v>
      </c>
      <c r="BS477" s="486">
        <v>0</v>
      </c>
      <c r="BT477" s="486">
        <v>0</v>
      </c>
      <c r="BU477" s="486"/>
      <c r="BV477" s="486"/>
      <c r="BW477" s="486">
        <v>0</v>
      </c>
      <c r="BX477" s="487">
        <v>72000000</v>
      </c>
      <c r="BY477" s="486">
        <v>28000000000</v>
      </c>
      <c r="BZ477" s="486">
        <v>0</v>
      </c>
      <c r="CA477" s="486">
        <v>0</v>
      </c>
      <c r="CB477" s="488">
        <v>28000000000</v>
      </c>
      <c r="CC477" s="491">
        <v>28072000000</v>
      </c>
      <c r="CD477" s="492">
        <v>58578000000</v>
      </c>
      <c r="CE477" s="493">
        <f t="shared" si="32"/>
        <v>288000000</v>
      </c>
      <c r="CF477" s="493">
        <f t="shared" si="32"/>
        <v>0</v>
      </c>
      <c r="CG477" s="493">
        <f t="shared" si="32"/>
        <v>0</v>
      </c>
      <c r="CH477" s="493">
        <f t="shared" si="31"/>
        <v>0</v>
      </c>
      <c r="CI477" s="493">
        <f t="shared" si="31"/>
        <v>0</v>
      </c>
      <c r="CJ477" s="493">
        <f t="shared" si="31"/>
        <v>0</v>
      </c>
      <c r="CK477" s="493">
        <f t="shared" si="31"/>
        <v>2290000000</v>
      </c>
      <c r="CL477" s="493">
        <f t="shared" si="30"/>
        <v>0</v>
      </c>
      <c r="CM477" s="493">
        <f t="shared" si="34"/>
        <v>56000000000</v>
      </c>
      <c r="CN477" s="493">
        <f t="shared" si="34"/>
        <v>0</v>
      </c>
      <c r="CO477" s="493">
        <f t="shared" si="34"/>
        <v>0</v>
      </c>
    </row>
    <row r="478" spans="1:93" ht="30.45" hidden="1" customHeight="1">
      <c r="A478" s="555" t="s">
        <v>4431</v>
      </c>
      <c r="B478" s="479">
        <v>476</v>
      </c>
      <c r="C478" s="480" t="s">
        <v>6370</v>
      </c>
      <c r="D478" s="480" t="s">
        <v>4802</v>
      </c>
      <c r="E478" s="480" t="str">
        <f t="shared" si="33"/>
        <v xml:space="preserve">4.3.6 </v>
      </c>
      <c r="F478" s="480" t="s">
        <v>4884</v>
      </c>
      <c r="G478" s="480" t="s">
        <v>4885</v>
      </c>
      <c r="H478" s="481">
        <v>40</v>
      </c>
      <c r="I478" s="480" t="s">
        <v>4886</v>
      </c>
      <c r="J478" s="495">
        <v>400203000</v>
      </c>
      <c r="K478" s="480" t="s">
        <v>4891</v>
      </c>
      <c r="L478" s="480" t="s">
        <v>4893</v>
      </c>
      <c r="M478" s="480" t="s">
        <v>6065</v>
      </c>
      <c r="N478" s="520">
        <v>2254.9</v>
      </c>
      <c r="O478" s="480" t="s">
        <v>4848</v>
      </c>
      <c r="P478" s="515">
        <v>4754.8999999999996</v>
      </c>
      <c r="Q478" s="485" t="s">
        <v>5349</v>
      </c>
      <c r="R478" s="485" t="s">
        <v>5566</v>
      </c>
      <c r="S478" s="485" t="s">
        <v>5567</v>
      </c>
      <c r="T478" s="485">
        <v>65143.21</v>
      </c>
      <c r="U478" s="485" t="s">
        <v>4848</v>
      </c>
      <c r="V478" s="485">
        <v>140644.21</v>
      </c>
      <c r="W478" s="485" t="s">
        <v>5351</v>
      </c>
      <c r="X478" s="485" t="s">
        <v>5565</v>
      </c>
      <c r="Y478" s="485" t="s">
        <v>5433</v>
      </c>
      <c r="Z478" s="486">
        <v>72000000</v>
      </c>
      <c r="AA478" s="486">
        <v>0</v>
      </c>
      <c r="AB478" s="486">
        <v>0</v>
      </c>
      <c r="AC478" s="486">
        <v>0</v>
      </c>
      <c r="AD478" s="486">
        <v>0</v>
      </c>
      <c r="AE478" s="486"/>
      <c r="AF478" s="486">
        <v>0</v>
      </c>
      <c r="AG478" s="486">
        <v>0</v>
      </c>
      <c r="AH478" s="487">
        <v>72000000</v>
      </c>
      <c r="AI478" s="486">
        <v>0</v>
      </c>
      <c r="AJ478" s="486">
        <v>0</v>
      </c>
      <c r="AK478" s="486">
        <v>0</v>
      </c>
      <c r="AL478" s="488">
        <v>0</v>
      </c>
      <c r="AM478" s="489">
        <v>72000000</v>
      </c>
      <c r="AN478" s="486">
        <v>72000000</v>
      </c>
      <c r="AO478" s="486">
        <v>0</v>
      </c>
      <c r="AP478" s="486">
        <v>0</v>
      </c>
      <c r="AQ478" s="486">
        <v>0</v>
      </c>
      <c r="AR478" s="486">
        <v>0</v>
      </c>
      <c r="AS478" s="486"/>
      <c r="AT478" s="486">
        <v>0</v>
      </c>
      <c r="AU478" s="486">
        <v>0</v>
      </c>
      <c r="AV478" s="487">
        <v>72000000</v>
      </c>
      <c r="AW478" s="486">
        <v>0</v>
      </c>
      <c r="AX478" s="486">
        <v>0</v>
      </c>
      <c r="AY478" s="486">
        <v>0</v>
      </c>
      <c r="AZ478" s="488">
        <v>0</v>
      </c>
      <c r="BA478" s="490">
        <v>72000000</v>
      </c>
      <c r="BB478" s="486">
        <v>72000000</v>
      </c>
      <c r="BC478" s="486">
        <v>0</v>
      </c>
      <c r="BD478" s="486">
        <v>0</v>
      </c>
      <c r="BE478" s="486">
        <v>0</v>
      </c>
      <c r="BF478" s="486">
        <v>0</v>
      </c>
      <c r="BG478" s="486"/>
      <c r="BH478" s="486"/>
      <c r="BI478" s="486">
        <v>0</v>
      </c>
      <c r="BJ478" s="487">
        <v>72000000</v>
      </c>
      <c r="BK478" s="486">
        <v>4500000000</v>
      </c>
      <c r="BL478" s="486">
        <v>0</v>
      </c>
      <c r="BM478" s="486">
        <v>0</v>
      </c>
      <c r="BN478" s="488">
        <v>4500000000</v>
      </c>
      <c r="BO478" s="490">
        <v>4572000000</v>
      </c>
      <c r="BP478" s="486">
        <v>72000000</v>
      </c>
      <c r="BQ478" s="486">
        <v>0</v>
      </c>
      <c r="BR478" s="486">
        <v>0</v>
      </c>
      <c r="BS478" s="486">
        <v>0</v>
      </c>
      <c r="BT478" s="486">
        <v>0</v>
      </c>
      <c r="BU478" s="486"/>
      <c r="BV478" s="486"/>
      <c r="BW478" s="486">
        <v>0</v>
      </c>
      <c r="BX478" s="487">
        <v>72000000</v>
      </c>
      <c r="BY478" s="486">
        <v>4500000000</v>
      </c>
      <c r="BZ478" s="486">
        <v>0</v>
      </c>
      <c r="CA478" s="486">
        <v>0</v>
      </c>
      <c r="CB478" s="488">
        <v>4500000000</v>
      </c>
      <c r="CC478" s="491">
        <v>4572000000</v>
      </c>
      <c r="CD478" s="492">
        <v>9288000000</v>
      </c>
      <c r="CE478" s="493">
        <f t="shared" si="32"/>
        <v>288000000</v>
      </c>
      <c r="CF478" s="493">
        <f t="shared" si="32"/>
        <v>0</v>
      </c>
      <c r="CG478" s="493">
        <f t="shared" si="32"/>
        <v>0</v>
      </c>
      <c r="CH478" s="493">
        <f t="shared" si="31"/>
        <v>0</v>
      </c>
      <c r="CI478" s="493">
        <f t="shared" si="31"/>
        <v>0</v>
      </c>
      <c r="CJ478" s="493">
        <f t="shared" si="31"/>
        <v>0</v>
      </c>
      <c r="CK478" s="493">
        <f t="shared" si="31"/>
        <v>0</v>
      </c>
      <c r="CL478" s="493">
        <f t="shared" si="30"/>
        <v>0</v>
      </c>
      <c r="CM478" s="493">
        <f t="shared" si="34"/>
        <v>9000000000</v>
      </c>
      <c r="CN478" s="493">
        <f t="shared" si="34"/>
        <v>0</v>
      </c>
      <c r="CO478" s="493">
        <f t="shared" si="34"/>
        <v>0</v>
      </c>
    </row>
    <row r="479" spans="1:93" ht="30.45" hidden="1" customHeight="1">
      <c r="A479" s="555" t="s">
        <v>4431</v>
      </c>
      <c r="B479" s="479">
        <v>477</v>
      </c>
      <c r="C479" s="480" t="s">
        <v>6370</v>
      </c>
      <c r="D479" s="480" t="s">
        <v>4802</v>
      </c>
      <c r="E479" s="480" t="str">
        <f t="shared" si="33"/>
        <v xml:space="preserve">4.3.6 </v>
      </c>
      <c r="F479" s="480" t="s">
        <v>4884</v>
      </c>
      <c r="G479" s="480" t="s">
        <v>4885</v>
      </c>
      <c r="H479" s="481">
        <v>40</v>
      </c>
      <c r="I479" s="480" t="s">
        <v>4886</v>
      </c>
      <c r="J479" s="495">
        <v>400203200</v>
      </c>
      <c r="K479" s="480" t="s">
        <v>4891</v>
      </c>
      <c r="L479" s="480" t="s">
        <v>4894</v>
      </c>
      <c r="M479" s="480" t="s">
        <v>6066</v>
      </c>
      <c r="N479" s="499" t="s">
        <v>4448</v>
      </c>
      <c r="O479" s="480" t="s">
        <v>6615</v>
      </c>
      <c r="P479" s="515">
        <v>2000</v>
      </c>
      <c r="Q479" s="485" t="s">
        <v>5349</v>
      </c>
      <c r="R479" s="485" t="s">
        <v>5566</v>
      </c>
      <c r="S479" s="485" t="s">
        <v>5567</v>
      </c>
      <c r="T479" s="485">
        <v>65143.21</v>
      </c>
      <c r="U479" s="485" t="s">
        <v>4848</v>
      </c>
      <c r="V479" s="485">
        <v>140644.21</v>
      </c>
      <c r="W479" s="485" t="s">
        <v>5351</v>
      </c>
      <c r="X479" s="485" t="s">
        <v>5565</v>
      </c>
      <c r="Y479" s="485" t="s">
        <v>5433</v>
      </c>
      <c r="Z479" s="486"/>
      <c r="AA479" s="486">
        <v>0</v>
      </c>
      <c r="AB479" s="486">
        <v>0</v>
      </c>
      <c r="AC479" s="486">
        <v>0</v>
      </c>
      <c r="AD479" s="486">
        <v>0</v>
      </c>
      <c r="AE479" s="486"/>
      <c r="AF479" s="486">
        <v>0</v>
      </c>
      <c r="AG479" s="486">
        <v>0</v>
      </c>
      <c r="AH479" s="487">
        <v>0</v>
      </c>
      <c r="AI479" s="486">
        <v>0</v>
      </c>
      <c r="AJ479" s="486">
        <v>0</v>
      </c>
      <c r="AK479" s="486">
        <v>0</v>
      </c>
      <c r="AL479" s="488">
        <v>0</v>
      </c>
      <c r="AM479" s="489">
        <v>0</v>
      </c>
      <c r="AN479" s="486"/>
      <c r="AO479" s="486">
        <v>0</v>
      </c>
      <c r="AP479" s="486">
        <v>0</v>
      </c>
      <c r="AQ479" s="486">
        <v>0</v>
      </c>
      <c r="AR479" s="486">
        <v>0</v>
      </c>
      <c r="AS479" s="486"/>
      <c r="AT479" s="486">
        <v>0</v>
      </c>
      <c r="AU479" s="486">
        <v>0</v>
      </c>
      <c r="AV479" s="487">
        <v>0</v>
      </c>
      <c r="AW479" s="486">
        <v>0</v>
      </c>
      <c r="AX479" s="486">
        <v>0</v>
      </c>
      <c r="AY479" s="486">
        <v>0</v>
      </c>
      <c r="AZ479" s="488">
        <v>0</v>
      </c>
      <c r="BA479" s="490">
        <v>0</v>
      </c>
      <c r="BB479" s="486"/>
      <c r="BC479" s="486">
        <v>0</v>
      </c>
      <c r="BD479" s="486">
        <v>0</v>
      </c>
      <c r="BE479" s="486">
        <v>0</v>
      </c>
      <c r="BF479" s="486">
        <v>0</v>
      </c>
      <c r="BG479" s="486"/>
      <c r="BH479" s="486"/>
      <c r="BI479" s="486">
        <v>0</v>
      </c>
      <c r="BJ479" s="487">
        <v>0</v>
      </c>
      <c r="BK479" s="486">
        <v>2000000000</v>
      </c>
      <c r="BL479" s="486">
        <v>0</v>
      </c>
      <c r="BM479" s="486">
        <v>0</v>
      </c>
      <c r="BN479" s="488">
        <v>2000000000</v>
      </c>
      <c r="BO479" s="490">
        <v>2000000000</v>
      </c>
      <c r="BP479" s="486"/>
      <c r="BQ479" s="486">
        <v>0</v>
      </c>
      <c r="BR479" s="486">
        <v>0</v>
      </c>
      <c r="BS479" s="486">
        <v>0</v>
      </c>
      <c r="BT479" s="486">
        <v>0</v>
      </c>
      <c r="BU479" s="486"/>
      <c r="BV479" s="486"/>
      <c r="BW479" s="486">
        <v>0</v>
      </c>
      <c r="BX479" s="487">
        <v>0</v>
      </c>
      <c r="BY479" s="486">
        <v>2000000000</v>
      </c>
      <c r="BZ479" s="486">
        <v>0</v>
      </c>
      <c r="CA479" s="486">
        <v>0</v>
      </c>
      <c r="CB479" s="488">
        <v>2000000000</v>
      </c>
      <c r="CC479" s="491">
        <v>2000000000</v>
      </c>
      <c r="CD479" s="492">
        <v>4000000000</v>
      </c>
      <c r="CE479" s="493">
        <f t="shared" si="32"/>
        <v>0</v>
      </c>
      <c r="CF479" s="493">
        <f t="shared" si="32"/>
        <v>0</v>
      </c>
      <c r="CG479" s="493">
        <f t="shared" si="32"/>
        <v>0</v>
      </c>
      <c r="CH479" s="493">
        <f t="shared" si="31"/>
        <v>0</v>
      </c>
      <c r="CI479" s="493">
        <f t="shared" si="31"/>
        <v>0</v>
      </c>
      <c r="CJ479" s="493">
        <f t="shared" si="31"/>
        <v>0</v>
      </c>
      <c r="CK479" s="493">
        <f t="shared" si="31"/>
        <v>0</v>
      </c>
      <c r="CL479" s="493">
        <f t="shared" si="30"/>
        <v>0</v>
      </c>
      <c r="CM479" s="493">
        <f t="shared" si="34"/>
        <v>4000000000</v>
      </c>
      <c r="CN479" s="493">
        <f t="shared" si="34"/>
        <v>0</v>
      </c>
      <c r="CO479" s="493">
        <f t="shared" si="34"/>
        <v>0</v>
      </c>
    </row>
    <row r="480" spans="1:93" ht="30.45" hidden="1" customHeight="1">
      <c r="A480" s="555" t="s">
        <v>4431</v>
      </c>
      <c r="B480" s="479">
        <v>478</v>
      </c>
      <c r="C480" s="480" t="s">
        <v>6370</v>
      </c>
      <c r="D480" s="480" t="s">
        <v>4802</v>
      </c>
      <c r="E480" s="480" t="str">
        <f t="shared" si="33"/>
        <v xml:space="preserve">4.3.6 </v>
      </c>
      <c r="F480" s="480" t="s">
        <v>4884</v>
      </c>
      <c r="G480" s="480" t="s">
        <v>4885</v>
      </c>
      <c r="H480" s="481">
        <v>40</v>
      </c>
      <c r="I480" s="480" t="s">
        <v>4886</v>
      </c>
      <c r="J480" s="495">
        <v>400203400</v>
      </c>
      <c r="K480" s="480" t="s">
        <v>4809</v>
      </c>
      <c r="L480" s="480" t="s">
        <v>4895</v>
      </c>
      <c r="M480" s="480" t="s">
        <v>6067</v>
      </c>
      <c r="N480" s="499" t="s">
        <v>4448</v>
      </c>
      <c r="O480" s="480" t="s">
        <v>6616</v>
      </c>
      <c r="P480" s="515">
        <v>1</v>
      </c>
      <c r="Q480" s="485" t="s">
        <v>5349</v>
      </c>
      <c r="R480" s="485" t="s">
        <v>5566</v>
      </c>
      <c r="S480" s="485" t="s">
        <v>5567</v>
      </c>
      <c r="T480" s="485">
        <v>65143.21</v>
      </c>
      <c r="U480" s="485" t="s">
        <v>4848</v>
      </c>
      <c r="V480" s="485">
        <v>140644.21</v>
      </c>
      <c r="W480" s="485" t="s">
        <v>5351</v>
      </c>
      <c r="X480" s="485" t="s">
        <v>5565</v>
      </c>
      <c r="Y480" s="485" t="s">
        <v>5433</v>
      </c>
      <c r="Z480" s="486"/>
      <c r="AA480" s="486">
        <v>0</v>
      </c>
      <c r="AB480" s="486">
        <v>0</v>
      </c>
      <c r="AC480" s="486">
        <v>0</v>
      </c>
      <c r="AD480" s="486">
        <v>0</v>
      </c>
      <c r="AE480" s="486"/>
      <c r="AF480" s="486">
        <v>500000000</v>
      </c>
      <c r="AG480" s="486">
        <v>0</v>
      </c>
      <c r="AH480" s="487">
        <v>500000000</v>
      </c>
      <c r="AI480" s="486">
        <v>0</v>
      </c>
      <c r="AJ480" s="486">
        <v>0</v>
      </c>
      <c r="AK480" s="486">
        <v>0</v>
      </c>
      <c r="AL480" s="488">
        <v>0</v>
      </c>
      <c r="AM480" s="489">
        <v>500000000</v>
      </c>
      <c r="AN480" s="486"/>
      <c r="AO480" s="486">
        <v>0</v>
      </c>
      <c r="AP480" s="486">
        <v>0</v>
      </c>
      <c r="AQ480" s="486">
        <v>0</v>
      </c>
      <c r="AR480" s="486">
        <v>0</v>
      </c>
      <c r="AS480" s="486"/>
      <c r="AT480" s="486">
        <v>500000000</v>
      </c>
      <c r="AU480" s="486">
        <v>0</v>
      </c>
      <c r="AV480" s="487">
        <v>500000000</v>
      </c>
      <c r="AW480" s="486">
        <v>0</v>
      </c>
      <c r="AX480" s="486">
        <v>0</v>
      </c>
      <c r="AY480" s="486">
        <v>0</v>
      </c>
      <c r="AZ480" s="488">
        <v>0</v>
      </c>
      <c r="BA480" s="490">
        <v>500000000</v>
      </c>
      <c r="BB480" s="486"/>
      <c r="BC480" s="486">
        <v>0</v>
      </c>
      <c r="BD480" s="486">
        <v>0</v>
      </c>
      <c r="BE480" s="486">
        <v>0</v>
      </c>
      <c r="BF480" s="486">
        <v>0</v>
      </c>
      <c r="BG480" s="486"/>
      <c r="BH480" s="486">
        <v>0</v>
      </c>
      <c r="BI480" s="486">
        <v>0</v>
      </c>
      <c r="BJ480" s="487">
        <v>0</v>
      </c>
      <c r="BK480" s="486">
        <v>0</v>
      </c>
      <c r="BL480" s="486">
        <v>0</v>
      </c>
      <c r="BM480" s="486">
        <v>0</v>
      </c>
      <c r="BN480" s="488">
        <v>0</v>
      </c>
      <c r="BO480" s="490">
        <v>0</v>
      </c>
      <c r="BP480" s="486"/>
      <c r="BQ480" s="486">
        <v>0</v>
      </c>
      <c r="BR480" s="486">
        <v>0</v>
      </c>
      <c r="BS480" s="486">
        <v>0</v>
      </c>
      <c r="BT480" s="486">
        <v>0</v>
      </c>
      <c r="BU480" s="486"/>
      <c r="BV480" s="486"/>
      <c r="BW480" s="486">
        <v>0</v>
      </c>
      <c r="BX480" s="487">
        <v>0</v>
      </c>
      <c r="BY480" s="486">
        <v>0</v>
      </c>
      <c r="BZ480" s="486">
        <v>0</v>
      </c>
      <c r="CA480" s="486">
        <v>0</v>
      </c>
      <c r="CB480" s="488">
        <v>0</v>
      </c>
      <c r="CC480" s="491">
        <v>0</v>
      </c>
      <c r="CD480" s="492">
        <v>1000000000</v>
      </c>
      <c r="CE480" s="493">
        <f t="shared" si="32"/>
        <v>0</v>
      </c>
      <c r="CF480" s="493">
        <f t="shared" si="32"/>
        <v>0</v>
      </c>
      <c r="CG480" s="493">
        <f t="shared" si="32"/>
        <v>0</v>
      </c>
      <c r="CH480" s="493">
        <f t="shared" si="31"/>
        <v>0</v>
      </c>
      <c r="CI480" s="493">
        <f t="shared" si="31"/>
        <v>0</v>
      </c>
      <c r="CJ480" s="493">
        <f t="shared" si="31"/>
        <v>0</v>
      </c>
      <c r="CK480" s="493">
        <f t="shared" si="31"/>
        <v>1000000000</v>
      </c>
      <c r="CL480" s="493">
        <f t="shared" si="30"/>
        <v>0</v>
      </c>
      <c r="CM480" s="493">
        <f t="shared" si="34"/>
        <v>0</v>
      </c>
      <c r="CN480" s="493">
        <f t="shared" si="34"/>
        <v>0</v>
      </c>
      <c r="CO480" s="493">
        <f t="shared" si="34"/>
        <v>0</v>
      </c>
    </row>
    <row r="481" spans="1:93" ht="30.45" hidden="1" customHeight="1">
      <c r="A481" s="555" t="s">
        <v>4431</v>
      </c>
      <c r="B481" s="479">
        <v>479</v>
      </c>
      <c r="C481" s="480" t="s">
        <v>6370</v>
      </c>
      <c r="D481" s="480" t="s">
        <v>4802</v>
      </c>
      <c r="E481" s="480" t="str">
        <f t="shared" si="33"/>
        <v xml:space="preserve">4.3.7 </v>
      </c>
      <c r="F481" s="480" t="s">
        <v>4896</v>
      </c>
      <c r="G481" s="480" t="s">
        <v>4897</v>
      </c>
      <c r="H481" s="481">
        <v>40</v>
      </c>
      <c r="I481" s="480" t="s">
        <v>4898</v>
      </c>
      <c r="J481" s="495">
        <v>400103900</v>
      </c>
      <c r="K481" s="480" t="s">
        <v>4652</v>
      </c>
      <c r="L481" s="480" t="s">
        <v>4899</v>
      </c>
      <c r="M481" s="480" t="s">
        <v>6068</v>
      </c>
      <c r="N481" s="499">
        <v>117</v>
      </c>
      <c r="O481" s="480" t="s">
        <v>4448</v>
      </c>
      <c r="P481" s="515">
        <v>367</v>
      </c>
      <c r="Q481" s="485">
        <v>30010008</v>
      </c>
      <c r="R481" s="485" t="s">
        <v>5568</v>
      </c>
      <c r="S481" s="485" t="s">
        <v>5569</v>
      </c>
      <c r="T481" s="485" t="s">
        <v>5570</v>
      </c>
      <c r="U481" s="485" t="s">
        <v>5571</v>
      </c>
      <c r="V481" s="485" t="s">
        <v>5572</v>
      </c>
      <c r="W481" s="485" t="s">
        <v>5515</v>
      </c>
      <c r="X481" s="485" t="s">
        <v>5573</v>
      </c>
      <c r="Y481" s="485" t="s">
        <v>5574</v>
      </c>
      <c r="Z481" s="486">
        <v>36000000</v>
      </c>
      <c r="AA481" s="486">
        <v>0</v>
      </c>
      <c r="AB481" s="486">
        <v>0</v>
      </c>
      <c r="AC481" s="486">
        <v>0</v>
      </c>
      <c r="AD481" s="486">
        <v>0</v>
      </c>
      <c r="AE481" s="486"/>
      <c r="AF481" s="486">
        <v>0</v>
      </c>
      <c r="AG481" s="486">
        <v>0</v>
      </c>
      <c r="AH481" s="487">
        <v>36000000</v>
      </c>
      <c r="AI481" s="486">
        <v>0</v>
      </c>
      <c r="AJ481" s="486">
        <v>0</v>
      </c>
      <c r="AK481" s="486">
        <v>0</v>
      </c>
      <c r="AL481" s="488">
        <v>0</v>
      </c>
      <c r="AM481" s="489">
        <v>36000000</v>
      </c>
      <c r="AN481" s="486">
        <v>72000000</v>
      </c>
      <c r="AO481" s="486">
        <v>0</v>
      </c>
      <c r="AP481" s="486">
        <v>0</v>
      </c>
      <c r="AQ481" s="486">
        <v>0</v>
      </c>
      <c r="AR481" s="486">
        <v>0</v>
      </c>
      <c r="AS481" s="486"/>
      <c r="AT481" s="486">
        <v>4000000000</v>
      </c>
      <c r="AU481" s="486">
        <v>0</v>
      </c>
      <c r="AV481" s="487">
        <v>4072000000</v>
      </c>
      <c r="AW481" s="486">
        <v>0</v>
      </c>
      <c r="AX481" s="486">
        <v>0</v>
      </c>
      <c r="AY481" s="486">
        <v>7000000000</v>
      </c>
      <c r="AZ481" s="488">
        <v>7000000000</v>
      </c>
      <c r="BA481" s="490">
        <v>11072000000</v>
      </c>
      <c r="BB481" s="486">
        <v>72000000</v>
      </c>
      <c r="BC481" s="486">
        <v>0</v>
      </c>
      <c r="BD481" s="486">
        <v>0</v>
      </c>
      <c r="BE481" s="486">
        <v>0</v>
      </c>
      <c r="BF481" s="486">
        <v>0</v>
      </c>
      <c r="BG481" s="486"/>
      <c r="BH481" s="486">
        <v>4000000000</v>
      </c>
      <c r="BI481" s="486">
        <v>0</v>
      </c>
      <c r="BJ481" s="487">
        <v>4072000000</v>
      </c>
      <c r="BK481" s="486"/>
      <c r="BL481" s="486">
        <v>0</v>
      </c>
      <c r="BM481" s="486">
        <v>7000000000</v>
      </c>
      <c r="BN481" s="488">
        <v>7000000000</v>
      </c>
      <c r="BO481" s="490">
        <v>11072000000</v>
      </c>
      <c r="BP481" s="486">
        <v>76000000</v>
      </c>
      <c r="BQ481" s="486">
        <v>0</v>
      </c>
      <c r="BR481" s="486">
        <v>0</v>
      </c>
      <c r="BS481" s="486">
        <v>0</v>
      </c>
      <c r="BT481" s="486">
        <v>0</v>
      </c>
      <c r="BU481" s="486"/>
      <c r="BV481" s="486"/>
      <c r="BW481" s="486">
        <v>0</v>
      </c>
      <c r="BX481" s="487">
        <v>76000000</v>
      </c>
      <c r="BY481" s="486">
        <v>4000000000</v>
      </c>
      <c r="BZ481" s="486">
        <v>0</v>
      </c>
      <c r="CA481" s="486">
        <v>7000000000</v>
      </c>
      <c r="CB481" s="488">
        <v>11000000000</v>
      </c>
      <c r="CC481" s="491">
        <v>11076000000</v>
      </c>
      <c r="CD481" s="492">
        <v>33256000000</v>
      </c>
      <c r="CE481" s="493">
        <f t="shared" si="32"/>
        <v>256000000</v>
      </c>
      <c r="CF481" s="493">
        <f t="shared" si="32"/>
        <v>0</v>
      </c>
      <c r="CG481" s="493">
        <f t="shared" si="32"/>
        <v>0</v>
      </c>
      <c r="CH481" s="493">
        <f t="shared" si="31"/>
        <v>0</v>
      </c>
      <c r="CI481" s="493">
        <f t="shared" si="31"/>
        <v>0</v>
      </c>
      <c r="CJ481" s="493">
        <f t="shared" si="31"/>
        <v>0</v>
      </c>
      <c r="CK481" s="493">
        <f t="shared" si="31"/>
        <v>8000000000</v>
      </c>
      <c r="CL481" s="493">
        <f t="shared" si="30"/>
        <v>0</v>
      </c>
      <c r="CM481" s="493">
        <f t="shared" si="34"/>
        <v>4000000000</v>
      </c>
      <c r="CN481" s="493">
        <f t="shared" si="34"/>
        <v>0</v>
      </c>
      <c r="CO481" s="493">
        <f t="shared" si="34"/>
        <v>21000000000</v>
      </c>
    </row>
    <row r="482" spans="1:93" ht="30.45" hidden="1" customHeight="1">
      <c r="A482" s="555" t="s">
        <v>4431</v>
      </c>
      <c r="B482" s="479">
        <v>480</v>
      </c>
      <c r="C482" s="480" t="s">
        <v>6370</v>
      </c>
      <c r="D482" s="480" t="s">
        <v>4802</v>
      </c>
      <c r="E482" s="480" t="str">
        <f t="shared" si="33"/>
        <v xml:space="preserve">4.3.7 </v>
      </c>
      <c r="F482" s="480" t="s">
        <v>4896</v>
      </c>
      <c r="G482" s="480" t="s">
        <v>4897</v>
      </c>
      <c r="H482" s="481">
        <v>40</v>
      </c>
      <c r="I482" s="480" t="s">
        <v>4898</v>
      </c>
      <c r="J482" s="495">
        <v>400104200</v>
      </c>
      <c r="K482" s="480" t="s">
        <v>4652</v>
      </c>
      <c r="L482" s="480" t="s">
        <v>4900</v>
      </c>
      <c r="M482" s="480" t="s">
        <v>6069</v>
      </c>
      <c r="N482" s="499" t="s">
        <v>4448</v>
      </c>
      <c r="O482" s="480" t="s">
        <v>4448</v>
      </c>
      <c r="P482" s="515">
        <v>500</v>
      </c>
      <c r="Q482" s="485">
        <v>30010008</v>
      </c>
      <c r="R482" s="485" t="s">
        <v>5568</v>
      </c>
      <c r="S482" s="485" t="s">
        <v>5569</v>
      </c>
      <c r="T482" s="485" t="s">
        <v>5570</v>
      </c>
      <c r="U482" s="485" t="s">
        <v>5571</v>
      </c>
      <c r="V482" s="485" t="s">
        <v>5572</v>
      </c>
      <c r="W482" s="485" t="s">
        <v>5515</v>
      </c>
      <c r="X482" s="485" t="s">
        <v>5573</v>
      </c>
      <c r="Y482" s="485" t="s">
        <v>5574</v>
      </c>
      <c r="Z482" s="486">
        <v>36000000</v>
      </c>
      <c r="AA482" s="486">
        <v>0</v>
      </c>
      <c r="AB482" s="486">
        <v>0</v>
      </c>
      <c r="AC482" s="486">
        <v>0</v>
      </c>
      <c r="AD482" s="486">
        <v>0</v>
      </c>
      <c r="AE482" s="486"/>
      <c r="AF482" s="486">
        <v>0</v>
      </c>
      <c r="AG482" s="486">
        <v>0</v>
      </c>
      <c r="AH482" s="487">
        <v>36000000</v>
      </c>
      <c r="AI482" s="486">
        <v>0</v>
      </c>
      <c r="AJ482" s="486">
        <v>0</v>
      </c>
      <c r="AK482" s="486">
        <v>0</v>
      </c>
      <c r="AL482" s="488">
        <v>0</v>
      </c>
      <c r="AM482" s="489">
        <v>36000000</v>
      </c>
      <c r="AN482" s="486">
        <v>36000000</v>
      </c>
      <c r="AO482" s="486">
        <v>0</v>
      </c>
      <c r="AP482" s="486">
        <v>0</v>
      </c>
      <c r="AQ482" s="486">
        <v>0</v>
      </c>
      <c r="AR482" s="486">
        <v>0</v>
      </c>
      <c r="AS482" s="486"/>
      <c r="AT482" s="486">
        <v>5000000000</v>
      </c>
      <c r="AU482" s="486">
        <v>0</v>
      </c>
      <c r="AV482" s="487">
        <v>5036000000</v>
      </c>
      <c r="AW482" s="486">
        <v>3000000000</v>
      </c>
      <c r="AX482" s="486">
        <v>0</v>
      </c>
      <c r="AY482" s="486">
        <v>20000000000</v>
      </c>
      <c r="AZ482" s="488">
        <v>23000000000</v>
      </c>
      <c r="BA482" s="490">
        <v>28036000000</v>
      </c>
      <c r="BB482" s="486">
        <v>36000000</v>
      </c>
      <c r="BC482" s="486">
        <v>0</v>
      </c>
      <c r="BD482" s="486">
        <v>0</v>
      </c>
      <c r="BE482" s="486">
        <v>0</v>
      </c>
      <c r="BF482" s="486">
        <v>0</v>
      </c>
      <c r="BG482" s="486"/>
      <c r="BH482" s="486">
        <v>11000000000</v>
      </c>
      <c r="BI482" s="486">
        <v>0</v>
      </c>
      <c r="BJ482" s="487">
        <v>11036000000</v>
      </c>
      <c r="BK482" s="486"/>
      <c r="BL482" s="486">
        <v>0</v>
      </c>
      <c r="BM482" s="486">
        <v>20000000000</v>
      </c>
      <c r="BN482" s="488">
        <v>20000000000</v>
      </c>
      <c r="BO482" s="490">
        <v>31036000000</v>
      </c>
      <c r="BP482" s="486">
        <v>40000000</v>
      </c>
      <c r="BQ482" s="486">
        <v>0</v>
      </c>
      <c r="BR482" s="486">
        <v>0</v>
      </c>
      <c r="BS482" s="486">
        <v>0</v>
      </c>
      <c r="BT482" s="486">
        <v>0</v>
      </c>
      <c r="BU482" s="486"/>
      <c r="BV482" s="486"/>
      <c r="BW482" s="486">
        <v>0</v>
      </c>
      <c r="BX482" s="487">
        <v>40000000</v>
      </c>
      <c r="BY482" s="486">
        <v>12000000000</v>
      </c>
      <c r="BZ482" s="486">
        <v>0</v>
      </c>
      <c r="CA482" s="486">
        <v>20000000000</v>
      </c>
      <c r="CB482" s="488">
        <v>32000000000</v>
      </c>
      <c r="CC482" s="491">
        <v>32040000000</v>
      </c>
      <c r="CD482" s="492">
        <v>91148000000</v>
      </c>
      <c r="CE482" s="493">
        <f t="shared" si="32"/>
        <v>148000000</v>
      </c>
      <c r="CF482" s="493">
        <f t="shared" si="32"/>
        <v>0</v>
      </c>
      <c r="CG482" s="493">
        <f t="shared" si="32"/>
        <v>0</v>
      </c>
      <c r="CH482" s="493">
        <f t="shared" si="31"/>
        <v>0</v>
      </c>
      <c r="CI482" s="493">
        <f t="shared" si="31"/>
        <v>0</v>
      </c>
      <c r="CJ482" s="493">
        <f t="shared" si="31"/>
        <v>0</v>
      </c>
      <c r="CK482" s="493">
        <f t="shared" si="31"/>
        <v>16000000000</v>
      </c>
      <c r="CL482" s="493">
        <f t="shared" si="30"/>
        <v>0</v>
      </c>
      <c r="CM482" s="493">
        <f t="shared" si="34"/>
        <v>15000000000</v>
      </c>
      <c r="CN482" s="493">
        <f t="shared" si="34"/>
        <v>0</v>
      </c>
      <c r="CO482" s="493">
        <f t="shared" si="34"/>
        <v>60000000000</v>
      </c>
    </row>
    <row r="483" spans="1:93" ht="30.45" hidden="1" customHeight="1">
      <c r="A483" s="555" t="s">
        <v>4431</v>
      </c>
      <c r="B483" s="479">
        <v>481</v>
      </c>
      <c r="C483" s="480" t="s">
        <v>6370</v>
      </c>
      <c r="D483" s="480" t="s">
        <v>4802</v>
      </c>
      <c r="E483" s="480" t="str">
        <f t="shared" si="33"/>
        <v xml:space="preserve">4.3.7 </v>
      </c>
      <c r="F483" s="480" t="s">
        <v>4896</v>
      </c>
      <c r="G483" s="480" t="s">
        <v>4897</v>
      </c>
      <c r="H483" s="481">
        <v>40</v>
      </c>
      <c r="I483" s="480" t="s">
        <v>4898</v>
      </c>
      <c r="J483" s="495">
        <v>400104300</v>
      </c>
      <c r="K483" s="480" t="s">
        <v>4652</v>
      </c>
      <c r="L483" s="480" t="s">
        <v>4901</v>
      </c>
      <c r="M483" s="480" t="s">
        <v>6070</v>
      </c>
      <c r="N483" s="499">
        <v>76</v>
      </c>
      <c r="O483" s="480" t="s">
        <v>4448</v>
      </c>
      <c r="P483" s="515">
        <v>1076</v>
      </c>
      <c r="Q483" s="485">
        <v>30010008</v>
      </c>
      <c r="R483" s="485" t="s">
        <v>5568</v>
      </c>
      <c r="S483" s="485" t="s">
        <v>5569</v>
      </c>
      <c r="T483" s="485" t="s">
        <v>5570</v>
      </c>
      <c r="U483" s="485" t="s">
        <v>5571</v>
      </c>
      <c r="V483" s="485" t="s">
        <v>5572</v>
      </c>
      <c r="W483" s="485" t="s">
        <v>5515</v>
      </c>
      <c r="X483" s="485" t="s">
        <v>5573</v>
      </c>
      <c r="Y483" s="485" t="s">
        <v>5574</v>
      </c>
      <c r="Z483" s="486">
        <v>36000000</v>
      </c>
      <c r="AA483" s="486">
        <v>0</v>
      </c>
      <c r="AB483" s="486">
        <v>0</v>
      </c>
      <c r="AC483" s="486">
        <v>0</v>
      </c>
      <c r="AD483" s="486">
        <v>0</v>
      </c>
      <c r="AE483" s="486"/>
      <c r="AF483" s="486">
        <v>0</v>
      </c>
      <c r="AG483" s="486">
        <v>0</v>
      </c>
      <c r="AH483" s="487">
        <v>36000000</v>
      </c>
      <c r="AI483" s="486">
        <v>0</v>
      </c>
      <c r="AJ483" s="486">
        <v>0</v>
      </c>
      <c r="AK483" s="486">
        <v>0</v>
      </c>
      <c r="AL483" s="488">
        <v>0</v>
      </c>
      <c r="AM483" s="489">
        <v>36000000</v>
      </c>
      <c r="AN483" s="486">
        <v>36000000</v>
      </c>
      <c r="AO483" s="486">
        <v>0</v>
      </c>
      <c r="AP483" s="486">
        <v>0</v>
      </c>
      <c r="AQ483" s="486">
        <v>0</v>
      </c>
      <c r="AR483" s="486">
        <v>0</v>
      </c>
      <c r="AS483" s="486"/>
      <c r="AT483" s="486">
        <v>8000000000</v>
      </c>
      <c r="AU483" s="486">
        <v>0</v>
      </c>
      <c r="AV483" s="487">
        <v>8036000000</v>
      </c>
      <c r="AW483" s="486">
        <v>3000000000</v>
      </c>
      <c r="AX483" s="486">
        <v>0</v>
      </c>
      <c r="AY483" s="486">
        <v>20000000000</v>
      </c>
      <c r="AZ483" s="488">
        <v>23000000000</v>
      </c>
      <c r="BA483" s="490">
        <v>31036000000</v>
      </c>
      <c r="BB483" s="486">
        <v>36000000</v>
      </c>
      <c r="BC483" s="486">
        <v>0</v>
      </c>
      <c r="BD483" s="486">
        <v>0</v>
      </c>
      <c r="BE483" s="486">
        <v>0</v>
      </c>
      <c r="BF483" s="486">
        <v>0</v>
      </c>
      <c r="BG483" s="486"/>
      <c r="BH483" s="486">
        <v>11000000000</v>
      </c>
      <c r="BI483" s="486">
        <v>0</v>
      </c>
      <c r="BJ483" s="487">
        <v>11036000000</v>
      </c>
      <c r="BK483" s="486"/>
      <c r="BL483" s="486">
        <v>0</v>
      </c>
      <c r="BM483" s="486">
        <v>20000000000</v>
      </c>
      <c r="BN483" s="488">
        <v>20000000000</v>
      </c>
      <c r="BO483" s="490">
        <v>31036000000</v>
      </c>
      <c r="BP483" s="486">
        <v>36000000</v>
      </c>
      <c r="BQ483" s="486">
        <v>0</v>
      </c>
      <c r="BR483" s="486">
        <v>0</v>
      </c>
      <c r="BS483" s="486">
        <v>0</v>
      </c>
      <c r="BT483" s="486">
        <v>0</v>
      </c>
      <c r="BU483" s="486"/>
      <c r="BV483" s="486"/>
      <c r="BW483" s="486">
        <v>0</v>
      </c>
      <c r="BX483" s="487">
        <v>36000000</v>
      </c>
      <c r="BY483" s="486">
        <v>12000000000</v>
      </c>
      <c r="BZ483" s="486">
        <v>0</v>
      </c>
      <c r="CA483" s="486">
        <v>20000000000</v>
      </c>
      <c r="CB483" s="488">
        <v>32000000000</v>
      </c>
      <c r="CC483" s="491">
        <v>32036000000</v>
      </c>
      <c r="CD483" s="492">
        <v>94144000000</v>
      </c>
      <c r="CE483" s="493">
        <f t="shared" si="32"/>
        <v>144000000</v>
      </c>
      <c r="CF483" s="493">
        <f t="shared" si="32"/>
        <v>0</v>
      </c>
      <c r="CG483" s="493">
        <f t="shared" si="32"/>
        <v>0</v>
      </c>
      <c r="CH483" s="493">
        <f t="shared" si="31"/>
        <v>0</v>
      </c>
      <c r="CI483" s="493">
        <f t="shared" si="31"/>
        <v>0</v>
      </c>
      <c r="CJ483" s="493">
        <f t="shared" si="31"/>
        <v>0</v>
      </c>
      <c r="CK483" s="493">
        <f t="shared" si="31"/>
        <v>19000000000</v>
      </c>
      <c r="CL483" s="493">
        <f t="shared" si="30"/>
        <v>0</v>
      </c>
      <c r="CM483" s="493">
        <f t="shared" si="34"/>
        <v>15000000000</v>
      </c>
      <c r="CN483" s="493">
        <f t="shared" si="34"/>
        <v>0</v>
      </c>
      <c r="CO483" s="493">
        <f t="shared" si="34"/>
        <v>60000000000</v>
      </c>
    </row>
    <row r="484" spans="1:93" ht="30.45" hidden="1" customHeight="1">
      <c r="A484" s="555" t="s">
        <v>4431</v>
      </c>
      <c r="B484" s="479">
        <v>482</v>
      </c>
      <c r="C484" s="480" t="s">
        <v>6370</v>
      </c>
      <c r="D484" s="480" t="s">
        <v>4802</v>
      </c>
      <c r="E484" s="480" t="str">
        <f t="shared" si="33"/>
        <v xml:space="preserve">4.3.7 </v>
      </c>
      <c r="F484" s="480" t="s">
        <v>4896</v>
      </c>
      <c r="G484" s="480" t="s">
        <v>4897</v>
      </c>
      <c r="H484" s="481">
        <v>40</v>
      </c>
      <c r="I484" s="480" t="s">
        <v>4898</v>
      </c>
      <c r="J484" s="495">
        <v>400104400</v>
      </c>
      <c r="K484" s="480" t="s">
        <v>4652</v>
      </c>
      <c r="L484" s="480" t="s">
        <v>4902</v>
      </c>
      <c r="M484" s="480" t="s">
        <v>6617</v>
      </c>
      <c r="N484" s="499">
        <v>169</v>
      </c>
      <c r="O484" s="480" t="s">
        <v>4448</v>
      </c>
      <c r="P484" s="515">
        <v>4399</v>
      </c>
      <c r="Q484" s="485">
        <v>30010008</v>
      </c>
      <c r="R484" s="485" t="s">
        <v>5568</v>
      </c>
      <c r="S484" s="485" t="s">
        <v>5569</v>
      </c>
      <c r="T484" s="485" t="s">
        <v>5570</v>
      </c>
      <c r="U484" s="485" t="s">
        <v>5571</v>
      </c>
      <c r="V484" s="485" t="s">
        <v>5572</v>
      </c>
      <c r="W484" s="485" t="s">
        <v>5515</v>
      </c>
      <c r="X484" s="485" t="s">
        <v>5573</v>
      </c>
      <c r="Y484" s="485" t="s">
        <v>5574</v>
      </c>
      <c r="Z484" s="486">
        <v>36000000</v>
      </c>
      <c r="AA484" s="486">
        <v>0</v>
      </c>
      <c r="AB484" s="486">
        <v>0</v>
      </c>
      <c r="AC484" s="486">
        <v>0</v>
      </c>
      <c r="AD484" s="486">
        <v>0</v>
      </c>
      <c r="AE484" s="486"/>
      <c r="AF484" s="486">
        <v>2300000000</v>
      </c>
      <c r="AG484" s="486">
        <v>0</v>
      </c>
      <c r="AH484" s="487">
        <v>2336000000</v>
      </c>
      <c r="AI484" s="486">
        <v>0</v>
      </c>
      <c r="AJ484" s="486">
        <v>0</v>
      </c>
      <c r="AK484" s="486">
        <v>0</v>
      </c>
      <c r="AL484" s="488">
        <v>0</v>
      </c>
      <c r="AM484" s="489">
        <v>2336000000</v>
      </c>
      <c r="AN484" s="486">
        <v>36000000</v>
      </c>
      <c r="AO484" s="486">
        <v>0</v>
      </c>
      <c r="AP484" s="486">
        <v>0</v>
      </c>
      <c r="AQ484" s="486">
        <v>0</v>
      </c>
      <c r="AR484" s="486">
        <v>0</v>
      </c>
      <c r="AS484" s="486"/>
      <c r="AT484" s="486">
        <v>5500000000</v>
      </c>
      <c r="AU484" s="486">
        <v>0</v>
      </c>
      <c r="AV484" s="487">
        <v>5536000000</v>
      </c>
      <c r="AW484" s="486">
        <v>11563933333.333334</v>
      </c>
      <c r="AX484" s="486">
        <v>0</v>
      </c>
      <c r="AY484" s="486">
        <v>15000000000</v>
      </c>
      <c r="AZ484" s="488">
        <v>26563933333.333336</v>
      </c>
      <c r="BA484" s="490">
        <v>32099933333.333336</v>
      </c>
      <c r="BB484" s="486">
        <v>36000000</v>
      </c>
      <c r="BC484" s="486">
        <v>0</v>
      </c>
      <c r="BD484" s="486">
        <v>0</v>
      </c>
      <c r="BE484" s="486">
        <v>0</v>
      </c>
      <c r="BF484" s="486">
        <v>0</v>
      </c>
      <c r="BG484" s="486"/>
      <c r="BH484" s="486">
        <v>7500000000</v>
      </c>
      <c r="BI484" s="486">
        <v>0</v>
      </c>
      <c r="BJ484" s="487">
        <v>7536000000</v>
      </c>
      <c r="BK484" s="486">
        <v>9563933333.333334</v>
      </c>
      <c r="BL484" s="486">
        <v>0</v>
      </c>
      <c r="BM484" s="486">
        <v>15000000000</v>
      </c>
      <c r="BN484" s="488">
        <v>24563933333.333336</v>
      </c>
      <c r="BO484" s="490">
        <v>32099933333.333336</v>
      </c>
      <c r="BP484" s="486">
        <v>72000000</v>
      </c>
      <c r="BQ484" s="486">
        <v>0</v>
      </c>
      <c r="BR484" s="486">
        <v>0</v>
      </c>
      <c r="BS484" s="486">
        <v>0</v>
      </c>
      <c r="BT484" s="486">
        <v>0</v>
      </c>
      <c r="BU484" s="486"/>
      <c r="BV484" s="486"/>
      <c r="BW484" s="486">
        <v>0</v>
      </c>
      <c r="BX484" s="487">
        <v>72000000</v>
      </c>
      <c r="BY484" s="486">
        <v>17063933333.333334</v>
      </c>
      <c r="BZ484" s="486">
        <v>0</v>
      </c>
      <c r="CA484" s="486">
        <v>15000000000</v>
      </c>
      <c r="CB484" s="488">
        <v>32063933333.333336</v>
      </c>
      <c r="CC484" s="491">
        <v>32135933333.333336</v>
      </c>
      <c r="CD484" s="492">
        <v>98671800000</v>
      </c>
      <c r="CE484" s="493">
        <f t="shared" si="32"/>
        <v>180000000</v>
      </c>
      <c r="CF484" s="493">
        <f t="shared" si="32"/>
        <v>0</v>
      </c>
      <c r="CG484" s="493">
        <f t="shared" si="32"/>
        <v>0</v>
      </c>
      <c r="CH484" s="493">
        <f t="shared" si="31"/>
        <v>0</v>
      </c>
      <c r="CI484" s="493">
        <f t="shared" si="31"/>
        <v>0</v>
      </c>
      <c r="CJ484" s="493">
        <f t="shared" si="31"/>
        <v>0</v>
      </c>
      <c r="CK484" s="493">
        <f t="shared" si="31"/>
        <v>15300000000</v>
      </c>
      <c r="CL484" s="493">
        <f t="shared" si="30"/>
        <v>0</v>
      </c>
      <c r="CM484" s="493">
        <f t="shared" si="34"/>
        <v>38191800000</v>
      </c>
      <c r="CN484" s="493">
        <f t="shared" si="34"/>
        <v>0</v>
      </c>
      <c r="CO484" s="493">
        <f t="shared" si="34"/>
        <v>45000000000</v>
      </c>
    </row>
    <row r="485" spans="1:93" ht="30.45" hidden="1" customHeight="1">
      <c r="A485" s="555" t="s">
        <v>4431</v>
      </c>
      <c r="B485" s="479">
        <v>483</v>
      </c>
      <c r="C485" s="480" t="s">
        <v>6370</v>
      </c>
      <c r="D485" s="480" t="s">
        <v>4802</v>
      </c>
      <c r="E485" s="480" t="str">
        <f t="shared" si="33"/>
        <v xml:space="preserve">4.3.7 </v>
      </c>
      <c r="F485" s="480" t="s">
        <v>4896</v>
      </c>
      <c r="G485" s="480" t="s">
        <v>4897</v>
      </c>
      <c r="H485" s="481">
        <v>40</v>
      </c>
      <c r="I485" s="480" t="s">
        <v>4898</v>
      </c>
      <c r="J485" s="495">
        <v>400104900</v>
      </c>
      <c r="K485" s="480" t="s">
        <v>4652</v>
      </c>
      <c r="L485" s="480" t="s">
        <v>4903</v>
      </c>
      <c r="M485" s="480" t="s">
        <v>6618</v>
      </c>
      <c r="N485" s="499" t="s">
        <v>4448</v>
      </c>
      <c r="O485" s="480" t="s">
        <v>4448</v>
      </c>
      <c r="P485" s="515">
        <v>250</v>
      </c>
      <c r="Q485" s="485">
        <v>30010008</v>
      </c>
      <c r="R485" s="485" t="s">
        <v>5568</v>
      </c>
      <c r="S485" s="485" t="s">
        <v>5569</v>
      </c>
      <c r="T485" s="485" t="s">
        <v>5570</v>
      </c>
      <c r="U485" s="485" t="s">
        <v>5571</v>
      </c>
      <c r="V485" s="485" t="s">
        <v>5572</v>
      </c>
      <c r="W485" s="485" t="s">
        <v>5515</v>
      </c>
      <c r="X485" s="485" t="s">
        <v>5573</v>
      </c>
      <c r="Y485" s="485" t="s">
        <v>5574</v>
      </c>
      <c r="Z485" s="486">
        <v>35970000</v>
      </c>
      <c r="AA485" s="486">
        <v>0</v>
      </c>
      <c r="AB485" s="486">
        <v>0</v>
      </c>
      <c r="AC485" s="486">
        <v>0</v>
      </c>
      <c r="AD485" s="486">
        <v>0</v>
      </c>
      <c r="AE485" s="486"/>
      <c r="AF485" s="486">
        <v>0</v>
      </c>
      <c r="AG485" s="486">
        <v>0</v>
      </c>
      <c r="AH485" s="487">
        <v>35970000</v>
      </c>
      <c r="AI485" s="486">
        <v>0</v>
      </c>
      <c r="AJ485" s="486">
        <v>0</v>
      </c>
      <c r="AK485" s="486">
        <v>0</v>
      </c>
      <c r="AL485" s="488">
        <v>0</v>
      </c>
      <c r="AM485" s="489">
        <v>35970000</v>
      </c>
      <c r="AN485" s="486">
        <v>41728800</v>
      </c>
      <c r="AO485" s="486">
        <v>0</v>
      </c>
      <c r="AP485" s="486">
        <v>0</v>
      </c>
      <c r="AQ485" s="486">
        <v>0</v>
      </c>
      <c r="AR485" s="486">
        <v>0</v>
      </c>
      <c r="AS485" s="486"/>
      <c r="AT485" s="486">
        <v>3751622328</v>
      </c>
      <c r="AU485" s="486">
        <v>0</v>
      </c>
      <c r="AV485" s="487">
        <v>3793351128</v>
      </c>
      <c r="AW485" s="486">
        <v>1248377672</v>
      </c>
      <c r="AX485" s="486">
        <v>0</v>
      </c>
      <c r="AY485" s="486">
        <v>15000000000</v>
      </c>
      <c r="AZ485" s="488">
        <v>16248377672</v>
      </c>
      <c r="BA485" s="490">
        <v>20041728800</v>
      </c>
      <c r="BB485" s="486">
        <v>49157952</v>
      </c>
      <c r="BC485" s="486">
        <v>0</v>
      </c>
      <c r="BD485" s="486">
        <v>0</v>
      </c>
      <c r="BE485" s="486">
        <v>0</v>
      </c>
      <c r="BF485" s="486">
        <v>0</v>
      </c>
      <c r="BG485" s="486"/>
      <c r="BH485" s="486">
        <v>5000000000</v>
      </c>
      <c r="BI485" s="486">
        <v>0</v>
      </c>
      <c r="BJ485" s="487">
        <v>5049157952</v>
      </c>
      <c r="BK485" s="486"/>
      <c r="BL485" s="486">
        <v>0</v>
      </c>
      <c r="BM485" s="486">
        <v>15000000000</v>
      </c>
      <c r="BN485" s="488">
        <v>15000000000</v>
      </c>
      <c r="BO485" s="490">
        <v>20049157952</v>
      </c>
      <c r="BP485" s="486">
        <v>50324270</v>
      </c>
      <c r="BQ485" s="486">
        <v>0</v>
      </c>
      <c r="BR485" s="486">
        <v>0</v>
      </c>
      <c r="BS485" s="486">
        <v>0</v>
      </c>
      <c r="BT485" s="486">
        <v>0</v>
      </c>
      <c r="BU485" s="486"/>
      <c r="BV485" s="486"/>
      <c r="BW485" s="486">
        <v>0</v>
      </c>
      <c r="BX485" s="487">
        <v>50324270</v>
      </c>
      <c r="BY485" s="486">
        <v>7000000000</v>
      </c>
      <c r="BZ485" s="486">
        <v>0</v>
      </c>
      <c r="CA485" s="486">
        <v>15000000000</v>
      </c>
      <c r="CB485" s="488">
        <v>22000000000</v>
      </c>
      <c r="CC485" s="491">
        <v>22050324270</v>
      </c>
      <c r="CD485" s="492">
        <v>62177181022</v>
      </c>
      <c r="CE485" s="493">
        <f t="shared" si="32"/>
        <v>177181022</v>
      </c>
      <c r="CF485" s="493">
        <f t="shared" si="32"/>
        <v>0</v>
      </c>
      <c r="CG485" s="493">
        <f t="shared" si="32"/>
        <v>0</v>
      </c>
      <c r="CH485" s="493">
        <f t="shared" si="31"/>
        <v>0</v>
      </c>
      <c r="CI485" s="493">
        <f t="shared" si="31"/>
        <v>0</v>
      </c>
      <c r="CJ485" s="493">
        <f t="shared" si="31"/>
        <v>0</v>
      </c>
      <c r="CK485" s="493">
        <f t="shared" si="31"/>
        <v>8751622328</v>
      </c>
      <c r="CL485" s="493">
        <f t="shared" si="30"/>
        <v>0</v>
      </c>
      <c r="CM485" s="493">
        <f t="shared" si="34"/>
        <v>8248377672</v>
      </c>
      <c r="CN485" s="493">
        <f t="shared" si="34"/>
        <v>0</v>
      </c>
      <c r="CO485" s="493">
        <f t="shared" si="34"/>
        <v>45000000000</v>
      </c>
    </row>
    <row r="486" spans="1:93" ht="30.45" hidden="1" customHeight="1">
      <c r="A486" s="555" t="s">
        <v>4431</v>
      </c>
      <c r="B486" s="479">
        <v>484</v>
      </c>
      <c r="C486" s="480" t="s">
        <v>6370</v>
      </c>
      <c r="D486" s="480" t="s">
        <v>4802</v>
      </c>
      <c r="E486" s="480" t="str">
        <f t="shared" si="33"/>
        <v xml:space="preserve">4.3.7 </v>
      </c>
      <c r="F486" s="480" t="s">
        <v>4896</v>
      </c>
      <c r="G486" s="480" t="s">
        <v>4897</v>
      </c>
      <c r="H486" s="481">
        <v>40</v>
      </c>
      <c r="I486" s="480" t="s">
        <v>4886</v>
      </c>
      <c r="J486" s="495">
        <v>400203400</v>
      </c>
      <c r="K486" s="480" t="s">
        <v>4809</v>
      </c>
      <c r="L486" s="480" t="s">
        <v>4895</v>
      </c>
      <c r="M486" s="480" t="s">
        <v>6619</v>
      </c>
      <c r="N486" s="499" t="s">
        <v>4448</v>
      </c>
      <c r="O486" s="480" t="s">
        <v>4448</v>
      </c>
      <c r="P486" s="515">
        <v>1</v>
      </c>
      <c r="Q486" s="485">
        <v>30010008</v>
      </c>
      <c r="R486" s="485" t="s">
        <v>5568</v>
      </c>
      <c r="S486" s="485" t="s">
        <v>5569</v>
      </c>
      <c r="T486" s="485" t="s">
        <v>5570</v>
      </c>
      <c r="U486" s="485" t="s">
        <v>5571</v>
      </c>
      <c r="V486" s="485" t="s">
        <v>5572</v>
      </c>
      <c r="W486" s="485" t="s">
        <v>5515</v>
      </c>
      <c r="X486" s="485" t="s">
        <v>5573</v>
      </c>
      <c r="Y486" s="485" t="s">
        <v>5574</v>
      </c>
      <c r="Z486" s="486"/>
      <c r="AA486" s="486">
        <v>0</v>
      </c>
      <c r="AB486" s="486">
        <v>0</v>
      </c>
      <c r="AC486" s="486">
        <v>0</v>
      </c>
      <c r="AD486" s="486">
        <v>0</v>
      </c>
      <c r="AE486" s="486"/>
      <c r="AF486" s="486">
        <v>500000000</v>
      </c>
      <c r="AG486" s="486">
        <v>0</v>
      </c>
      <c r="AH486" s="487">
        <v>500000000</v>
      </c>
      <c r="AI486" s="486">
        <v>0</v>
      </c>
      <c r="AJ486" s="486">
        <v>0</v>
      </c>
      <c r="AK486" s="486">
        <v>0</v>
      </c>
      <c r="AL486" s="488">
        <v>0</v>
      </c>
      <c r="AM486" s="489">
        <v>500000000</v>
      </c>
      <c r="AN486" s="486">
        <v>0</v>
      </c>
      <c r="AO486" s="486">
        <v>0</v>
      </c>
      <c r="AP486" s="486">
        <v>0</v>
      </c>
      <c r="AQ486" s="486">
        <v>0</v>
      </c>
      <c r="AR486" s="486">
        <v>0</v>
      </c>
      <c r="AS486" s="486"/>
      <c r="AT486" s="486">
        <v>0</v>
      </c>
      <c r="AU486" s="486">
        <v>0</v>
      </c>
      <c r="AV486" s="487">
        <v>0</v>
      </c>
      <c r="AW486" s="486">
        <v>0</v>
      </c>
      <c r="AX486" s="486">
        <v>0</v>
      </c>
      <c r="AY486" s="486">
        <v>0</v>
      </c>
      <c r="AZ486" s="488">
        <v>0</v>
      </c>
      <c r="BA486" s="490">
        <v>0</v>
      </c>
      <c r="BB486" s="486">
        <v>0</v>
      </c>
      <c r="BC486" s="486">
        <v>0</v>
      </c>
      <c r="BD486" s="486">
        <v>0</v>
      </c>
      <c r="BE486" s="486">
        <v>0</v>
      </c>
      <c r="BF486" s="486">
        <v>0</v>
      </c>
      <c r="BG486" s="486"/>
      <c r="BH486" s="486">
        <v>0</v>
      </c>
      <c r="BI486" s="486">
        <v>0</v>
      </c>
      <c r="BJ486" s="487">
        <v>0</v>
      </c>
      <c r="BK486" s="486">
        <v>0</v>
      </c>
      <c r="BL486" s="486">
        <v>0</v>
      </c>
      <c r="BM486" s="486">
        <v>0</v>
      </c>
      <c r="BN486" s="488">
        <v>0</v>
      </c>
      <c r="BO486" s="490">
        <v>0</v>
      </c>
      <c r="BP486" s="486">
        <v>0</v>
      </c>
      <c r="BQ486" s="486">
        <v>0</v>
      </c>
      <c r="BR486" s="486">
        <v>0</v>
      </c>
      <c r="BS486" s="486">
        <v>0</v>
      </c>
      <c r="BT486" s="486">
        <v>0</v>
      </c>
      <c r="BU486" s="486"/>
      <c r="BV486" s="486"/>
      <c r="BW486" s="486">
        <v>0</v>
      </c>
      <c r="BX486" s="487">
        <v>0</v>
      </c>
      <c r="BY486" s="486">
        <v>0</v>
      </c>
      <c r="BZ486" s="486">
        <v>0</v>
      </c>
      <c r="CA486" s="486">
        <v>0</v>
      </c>
      <c r="CB486" s="488">
        <v>0</v>
      </c>
      <c r="CC486" s="491">
        <v>0</v>
      </c>
      <c r="CD486" s="492">
        <v>500000000</v>
      </c>
      <c r="CE486" s="493">
        <f t="shared" si="32"/>
        <v>0</v>
      </c>
      <c r="CF486" s="493">
        <f t="shared" si="32"/>
        <v>0</v>
      </c>
      <c r="CG486" s="493">
        <f t="shared" si="32"/>
        <v>0</v>
      </c>
      <c r="CH486" s="493">
        <f t="shared" si="31"/>
        <v>0</v>
      </c>
      <c r="CI486" s="493">
        <f t="shared" si="31"/>
        <v>0</v>
      </c>
      <c r="CJ486" s="493">
        <f t="shared" si="31"/>
        <v>0</v>
      </c>
      <c r="CK486" s="493">
        <f t="shared" si="31"/>
        <v>500000000</v>
      </c>
      <c r="CL486" s="493">
        <f t="shared" si="30"/>
        <v>0</v>
      </c>
      <c r="CM486" s="493">
        <f t="shared" si="34"/>
        <v>0</v>
      </c>
      <c r="CN486" s="493">
        <f t="shared" si="34"/>
        <v>0</v>
      </c>
      <c r="CO486" s="493">
        <f t="shared" si="34"/>
        <v>0</v>
      </c>
    </row>
    <row r="487" spans="1:93" ht="30.45" hidden="1" customHeight="1">
      <c r="A487" s="555" t="s">
        <v>4254</v>
      </c>
      <c r="B487" s="479">
        <v>485</v>
      </c>
      <c r="C487" s="480" t="s">
        <v>6370</v>
      </c>
      <c r="D487" s="480" t="s">
        <v>4802</v>
      </c>
      <c r="E487" s="480" t="str">
        <f t="shared" si="33"/>
        <v xml:space="preserve">4.3.8 </v>
      </c>
      <c r="F487" s="480" t="s">
        <v>4904</v>
      </c>
      <c r="G487" s="480" t="s">
        <v>4905</v>
      </c>
      <c r="H487" s="481">
        <v>40</v>
      </c>
      <c r="I487" s="480" t="s">
        <v>4250</v>
      </c>
      <c r="J487" s="495">
        <v>400305300</v>
      </c>
      <c r="K487" s="480" t="s">
        <v>6620</v>
      </c>
      <c r="L487" s="480" t="s">
        <v>4906</v>
      </c>
      <c r="M487" s="480" t="s">
        <v>6071</v>
      </c>
      <c r="N487" s="499">
        <v>5</v>
      </c>
      <c r="O487" s="480" t="s">
        <v>4907</v>
      </c>
      <c r="P487" s="515">
        <v>65</v>
      </c>
      <c r="Q487" s="485" t="s">
        <v>5349</v>
      </c>
      <c r="R487" s="485" t="s">
        <v>5575</v>
      </c>
      <c r="S487" s="485" t="s">
        <v>677</v>
      </c>
      <c r="T487" s="485">
        <v>9.76</v>
      </c>
      <c r="U487" s="485" t="s">
        <v>5576</v>
      </c>
      <c r="V487" s="485">
        <v>10.57</v>
      </c>
      <c r="W487" s="485" t="s">
        <v>5331</v>
      </c>
      <c r="X487" s="485" t="s">
        <v>5577</v>
      </c>
      <c r="Y487" s="485" t="s">
        <v>5577</v>
      </c>
      <c r="Z487" s="486">
        <v>0</v>
      </c>
      <c r="AA487" s="486">
        <v>0</v>
      </c>
      <c r="AB487" s="486">
        <v>0</v>
      </c>
      <c r="AC487" s="486">
        <v>0</v>
      </c>
      <c r="AD487" s="486">
        <v>1000000000</v>
      </c>
      <c r="AE487" s="486">
        <v>0</v>
      </c>
      <c r="AF487" s="486"/>
      <c r="AG487" s="486">
        <v>0</v>
      </c>
      <c r="AH487" s="487">
        <v>1000000000</v>
      </c>
      <c r="AI487" s="486"/>
      <c r="AJ487" s="486">
        <v>3000000000</v>
      </c>
      <c r="AK487" s="486"/>
      <c r="AL487" s="488">
        <v>3000000000</v>
      </c>
      <c r="AM487" s="489">
        <v>4000000000</v>
      </c>
      <c r="AN487" s="486">
        <v>0</v>
      </c>
      <c r="AO487" s="486">
        <v>0</v>
      </c>
      <c r="AP487" s="486">
        <v>0</v>
      </c>
      <c r="AQ487" s="486">
        <v>0</v>
      </c>
      <c r="AR487" s="486">
        <v>1000000000</v>
      </c>
      <c r="AS487" s="486">
        <v>0</v>
      </c>
      <c r="AT487" s="486">
        <v>0</v>
      </c>
      <c r="AU487" s="486">
        <v>0</v>
      </c>
      <c r="AV487" s="487">
        <v>1000000000</v>
      </c>
      <c r="AW487" s="486">
        <v>1000000000</v>
      </c>
      <c r="AX487" s="486">
        <v>3000000000</v>
      </c>
      <c r="AY487" s="486"/>
      <c r="AZ487" s="488">
        <v>4000000000</v>
      </c>
      <c r="BA487" s="490">
        <v>5000000000</v>
      </c>
      <c r="BB487" s="486">
        <v>0</v>
      </c>
      <c r="BC487" s="486">
        <v>0</v>
      </c>
      <c r="BD487" s="486">
        <v>0</v>
      </c>
      <c r="BE487" s="486">
        <v>0</v>
      </c>
      <c r="BF487" s="486">
        <v>1000000000</v>
      </c>
      <c r="BG487" s="486">
        <v>0</v>
      </c>
      <c r="BH487" s="486">
        <v>0</v>
      </c>
      <c r="BI487" s="486">
        <v>0</v>
      </c>
      <c r="BJ487" s="487">
        <v>1000000000</v>
      </c>
      <c r="BK487" s="486">
        <v>1000000000</v>
      </c>
      <c r="BL487" s="486">
        <v>3000000000</v>
      </c>
      <c r="BM487" s="486"/>
      <c r="BN487" s="488">
        <v>4000000000</v>
      </c>
      <c r="BO487" s="490">
        <v>5000000000</v>
      </c>
      <c r="BP487" s="486">
        <v>0</v>
      </c>
      <c r="BQ487" s="486">
        <v>0</v>
      </c>
      <c r="BR487" s="486">
        <v>0</v>
      </c>
      <c r="BS487" s="486">
        <v>0</v>
      </c>
      <c r="BT487" s="486">
        <v>1000000000</v>
      </c>
      <c r="BU487" s="486">
        <v>0</v>
      </c>
      <c r="BV487" s="486">
        <v>0</v>
      </c>
      <c r="BW487" s="486">
        <v>0</v>
      </c>
      <c r="BX487" s="487">
        <v>1000000000</v>
      </c>
      <c r="BY487" s="486"/>
      <c r="BZ487" s="486">
        <v>3000000000</v>
      </c>
      <c r="CA487" s="486"/>
      <c r="CB487" s="488">
        <v>3000000000</v>
      </c>
      <c r="CC487" s="491">
        <v>4000000000</v>
      </c>
      <c r="CD487" s="492">
        <v>18000000000</v>
      </c>
      <c r="CE487" s="493">
        <f t="shared" si="32"/>
        <v>0</v>
      </c>
      <c r="CF487" s="493">
        <f t="shared" si="32"/>
        <v>0</v>
      </c>
      <c r="CG487" s="493">
        <f t="shared" si="32"/>
        <v>0</v>
      </c>
      <c r="CH487" s="493">
        <f t="shared" si="31"/>
        <v>0</v>
      </c>
      <c r="CI487" s="493">
        <f t="shared" si="31"/>
        <v>4000000000</v>
      </c>
      <c r="CJ487" s="493">
        <f t="shared" si="31"/>
        <v>0</v>
      </c>
      <c r="CK487" s="493">
        <f t="shared" si="31"/>
        <v>0</v>
      </c>
      <c r="CL487" s="493">
        <f t="shared" si="30"/>
        <v>0</v>
      </c>
      <c r="CM487" s="493">
        <f t="shared" si="34"/>
        <v>2000000000</v>
      </c>
      <c r="CN487" s="493">
        <f t="shared" si="34"/>
        <v>12000000000</v>
      </c>
      <c r="CO487" s="493">
        <f t="shared" si="34"/>
        <v>0</v>
      </c>
    </row>
    <row r="488" spans="1:93" ht="30.45" hidden="1" customHeight="1">
      <c r="A488" s="555" t="s">
        <v>4254</v>
      </c>
      <c r="B488" s="479">
        <v>486</v>
      </c>
      <c r="C488" s="480" t="s">
        <v>6370</v>
      </c>
      <c r="D488" s="480" t="s">
        <v>4802</v>
      </c>
      <c r="E488" s="480" t="str">
        <f t="shared" si="33"/>
        <v xml:space="preserve">4.3.8 </v>
      </c>
      <c r="F488" s="480" t="s">
        <v>4904</v>
      </c>
      <c r="G488" s="480" t="s">
        <v>4905</v>
      </c>
      <c r="H488" s="481">
        <v>40</v>
      </c>
      <c r="I488" s="480" t="s">
        <v>4250</v>
      </c>
      <c r="J488" s="495">
        <v>400301700</v>
      </c>
      <c r="K488" s="480" t="s">
        <v>4839</v>
      </c>
      <c r="L488" s="480" t="s">
        <v>4908</v>
      </c>
      <c r="M488" s="480" t="s">
        <v>6072</v>
      </c>
      <c r="N488" s="499">
        <v>340</v>
      </c>
      <c r="O488" s="480" t="s">
        <v>4907</v>
      </c>
      <c r="P488" s="515">
        <v>350</v>
      </c>
      <c r="Q488" s="485" t="s">
        <v>5349</v>
      </c>
      <c r="R488" s="485" t="s">
        <v>5575</v>
      </c>
      <c r="S488" s="485" t="s">
        <v>677</v>
      </c>
      <c r="T488" s="485">
        <v>9.76</v>
      </c>
      <c r="U488" s="485" t="s">
        <v>5576</v>
      </c>
      <c r="V488" s="485">
        <v>10.57</v>
      </c>
      <c r="W488" s="485" t="s">
        <v>5331</v>
      </c>
      <c r="X488" s="485" t="s">
        <v>5577</v>
      </c>
      <c r="Y488" s="485" t="s">
        <v>5577</v>
      </c>
      <c r="Z488" s="486">
        <v>0</v>
      </c>
      <c r="AA488" s="486">
        <v>0</v>
      </c>
      <c r="AB488" s="486">
        <v>0</v>
      </c>
      <c r="AC488" s="486">
        <v>0</v>
      </c>
      <c r="AD488" s="486">
        <v>1000000000</v>
      </c>
      <c r="AE488" s="486">
        <v>0</v>
      </c>
      <c r="AF488" s="486">
        <v>0</v>
      </c>
      <c r="AG488" s="486">
        <v>0</v>
      </c>
      <c r="AH488" s="487">
        <v>1000000000</v>
      </c>
      <c r="AI488" s="486"/>
      <c r="AJ488" s="486">
        <v>500000000</v>
      </c>
      <c r="AK488" s="486"/>
      <c r="AL488" s="488">
        <v>500000000</v>
      </c>
      <c r="AM488" s="489">
        <v>1500000000</v>
      </c>
      <c r="AN488" s="486">
        <v>0</v>
      </c>
      <c r="AO488" s="486">
        <v>0</v>
      </c>
      <c r="AP488" s="486">
        <v>0</v>
      </c>
      <c r="AQ488" s="486">
        <v>0</v>
      </c>
      <c r="AR488" s="486">
        <v>1000000000</v>
      </c>
      <c r="AS488" s="486">
        <v>0</v>
      </c>
      <c r="AT488" s="486">
        <v>0</v>
      </c>
      <c r="AU488" s="486">
        <v>0</v>
      </c>
      <c r="AV488" s="487">
        <v>1000000000</v>
      </c>
      <c r="AW488" s="486"/>
      <c r="AX488" s="486">
        <v>500000000</v>
      </c>
      <c r="AY488" s="486"/>
      <c r="AZ488" s="488">
        <v>500000000</v>
      </c>
      <c r="BA488" s="490">
        <v>1500000000</v>
      </c>
      <c r="BB488" s="486">
        <v>0</v>
      </c>
      <c r="BC488" s="486">
        <v>0</v>
      </c>
      <c r="BD488" s="486">
        <v>0</v>
      </c>
      <c r="BE488" s="486">
        <v>0</v>
      </c>
      <c r="BF488" s="486">
        <v>1000000000</v>
      </c>
      <c r="BG488" s="486">
        <v>0</v>
      </c>
      <c r="BH488" s="486">
        <v>0</v>
      </c>
      <c r="BI488" s="486">
        <v>0</v>
      </c>
      <c r="BJ488" s="487">
        <v>1000000000</v>
      </c>
      <c r="BK488" s="486">
        <v>5000000000</v>
      </c>
      <c r="BL488" s="486">
        <v>500000000</v>
      </c>
      <c r="BM488" s="486"/>
      <c r="BN488" s="488">
        <v>5500000000</v>
      </c>
      <c r="BO488" s="490">
        <v>6500000000</v>
      </c>
      <c r="BP488" s="486">
        <v>0</v>
      </c>
      <c r="BQ488" s="486">
        <v>0</v>
      </c>
      <c r="BR488" s="486">
        <v>0</v>
      </c>
      <c r="BS488" s="486">
        <v>0</v>
      </c>
      <c r="BT488" s="486">
        <v>1323362617.26</v>
      </c>
      <c r="BU488" s="486">
        <v>0</v>
      </c>
      <c r="BV488" s="486">
        <v>0</v>
      </c>
      <c r="BW488" s="486">
        <v>0</v>
      </c>
      <c r="BX488" s="487">
        <v>1323362617.26</v>
      </c>
      <c r="BY488" s="486">
        <v>5000000000</v>
      </c>
      <c r="BZ488" s="486">
        <v>500000000</v>
      </c>
      <c r="CA488" s="486"/>
      <c r="CB488" s="488">
        <v>5500000000</v>
      </c>
      <c r="CC488" s="491">
        <v>6823362617.2600002</v>
      </c>
      <c r="CD488" s="492">
        <v>16323362617.26</v>
      </c>
      <c r="CE488" s="493">
        <f t="shared" si="32"/>
        <v>0</v>
      </c>
      <c r="CF488" s="493">
        <f t="shared" si="32"/>
        <v>0</v>
      </c>
      <c r="CG488" s="493">
        <f t="shared" si="32"/>
        <v>0</v>
      </c>
      <c r="CH488" s="493">
        <f t="shared" si="31"/>
        <v>0</v>
      </c>
      <c r="CI488" s="493">
        <f t="shared" si="31"/>
        <v>4323362617.2600002</v>
      </c>
      <c r="CJ488" s="493">
        <f t="shared" si="31"/>
        <v>0</v>
      </c>
      <c r="CK488" s="493">
        <f t="shared" si="31"/>
        <v>0</v>
      </c>
      <c r="CL488" s="493">
        <f t="shared" si="30"/>
        <v>0</v>
      </c>
      <c r="CM488" s="493">
        <f t="shared" si="34"/>
        <v>10000000000</v>
      </c>
      <c r="CN488" s="493">
        <f t="shared" si="34"/>
        <v>2000000000</v>
      </c>
      <c r="CO488" s="493">
        <f t="shared" si="34"/>
        <v>0</v>
      </c>
    </row>
    <row r="489" spans="1:93" ht="30.45" hidden="1" customHeight="1">
      <c r="A489" s="555" t="s">
        <v>4254</v>
      </c>
      <c r="B489" s="479">
        <v>487</v>
      </c>
      <c r="C489" s="480" t="s">
        <v>6370</v>
      </c>
      <c r="D489" s="480" t="s">
        <v>4802</v>
      </c>
      <c r="E489" s="480" t="str">
        <f t="shared" si="33"/>
        <v xml:space="preserve">4.3.8 </v>
      </c>
      <c r="F489" s="480" t="s">
        <v>4904</v>
      </c>
      <c r="G489" s="480" t="s">
        <v>4905</v>
      </c>
      <c r="H489" s="481">
        <v>40</v>
      </c>
      <c r="I489" s="480" t="s">
        <v>4250</v>
      </c>
      <c r="J489" s="495">
        <v>400301500</v>
      </c>
      <c r="K489" s="480" t="s">
        <v>6621</v>
      </c>
      <c r="L489" s="480" t="s">
        <v>4909</v>
      </c>
      <c r="M489" s="480" t="s">
        <v>6073</v>
      </c>
      <c r="N489" s="499">
        <v>340</v>
      </c>
      <c r="O489" s="480" t="s">
        <v>4907</v>
      </c>
      <c r="P489" s="515">
        <v>345</v>
      </c>
      <c r="Q489" s="485" t="s">
        <v>5349</v>
      </c>
      <c r="R489" s="485" t="s">
        <v>5575</v>
      </c>
      <c r="S489" s="485" t="s">
        <v>677</v>
      </c>
      <c r="T489" s="485">
        <v>9.76</v>
      </c>
      <c r="U489" s="485" t="s">
        <v>5576</v>
      </c>
      <c r="V489" s="485">
        <v>10.57</v>
      </c>
      <c r="W489" s="485" t="s">
        <v>5331</v>
      </c>
      <c r="X489" s="485" t="s">
        <v>5577</v>
      </c>
      <c r="Y489" s="485" t="s">
        <v>5577</v>
      </c>
      <c r="Z489" s="486">
        <v>0</v>
      </c>
      <c r="AA489" s="486">
        <v>0</v>
      </c>
      <c r="AB489" s="486">
        <v>0</v>
      </c>
      <c r="AC489" s="486">
        <v>0</v>
      </c>
      <c r="AD489" s="486">
        <v>1000000000</v>
      </c>
      <c r="AE489" s="486">
        <v>0</v>
      </c>
      <c r="AF489" s="486">
        <v>0</v>
      </c>
      <c r="AG489" s="486">
        <v>0</v>
      </c>
      <c r="AH489" s="487">
        <v>1000000000</v>
      </c>
      <c r="AI489" s="486">
        <v>1000000000</v>
      </c>
      <c r="AJ489" s="486">
        <v>1000000000</v>
      </c>
      <c r="AK489" s="486"/>
      <c r="AL489" s="488">
        <v>2000000000</v>
      </c>
      <c r="AM489" s="489">
        <v>3000000000</v>
      </c>
      <c r="AN489" s="486">
        <v>0</v>
      </c>
      <c r="AO489" s="486">
        <v>0</v>
      </c>
      <c r="AP489" s="486">
        <v>0</v>
      </c>
      <c r="AQ489" s="486">
        <v>0</v>
      </c>
      <c r="AR489" s="486">
        <v>1000000000</v>
      </c>
      <c r="AS489" s="486">
        <v>0</v>
      </c>
      <c r="AT489" s="486">
        <v>0</v>
      </c>
      <c r="AU489" s="486">
        <v>0</v>
      </c>
      <c r="AV489" s="487">
        <v>1000000000</v>
      </c>
      <c r="AW489" s="486">
        <v>1000000000</v>
      </c>
      <c r="AX489" s="486">
        <v>1000000000</v>
      </c>
      <c r="AY489" s="486"/>
      <c r="AZ489" s="488">
        <v>2000000000</v>
      </c>
      <c r="BA489" s="490">
        <v>3000000000</v>
      </c>
      <c r="BB489" s="486">
        <v>0</v>
      </c>
      <c r="BC489" s="486">
        <v>0</v>
      </c>
      <c r="BD489" s="486">
        <v>0</v>
      </c>
      <c r="BE489" s="486">
        <v>0</v>
      </c>
      <c r="BF489" s="486">
        <v>1000000000</v>
      </c>
      <c r="BG489" s="486">
        <v>0</v>
      </c>
      <c r="BH489" s="486">
        <v>0</v>
      </c>
      <c r="BI489" s="486">
        <v>0</v>
      </c>
      <c r="BJ489" s="487">
        <v>1000000000</v>
      </c>
      <c r="BK489" s="486">
        <v>1000000000</v>
      </c>
      <c r="BL489" s="486">
        <v>1000000000</v>
      </c>
      <c r="BM489" s="486"/>
      <c r="BN489" s="488">
        <v>2000000000</v>
      </c>
      <c r="BO489" s="490">
        <v>3000000000</v>
      </c>
      <c r="BP489" s="486">
        <v>0</v>
      </c>
      <c r="BQ489" s="486">
        <v>0</v>
      </c>
      <c r="BR489" s="486">
        <v>0</v>
      </c>
      <c r="BS489" s="486">
        <v>0</v>
      </c>
      <c r="BT489" s="486">
        <v>1000000000</v>
      </c>
      <c r="BU489" s="486">
        <v>0</v>
      </c>
      <c r="BV489" s="486">
        <v>0</v>
      </c>
      <c r="BW489" s="486">
        <v>0</v>
      </c>
      <c r="BX489" s="487">
        <v>1000000000</v>
      </c>
      <c r="BY489" s="486">
        <v>1000000000</v>
      </c>
      <c r="BZ489" s="486">
        <v>1000000000</v>
      </c>
      <c r="CA489" s="486"/>
      <c r="CB489" s="488">
        <v>2000000000</v>
      </c>
      <c r="CC489" s="491">
        <v>3000000000</v>
      </c>
      <c r="CD489" s="492">
        <v>12000000000</v>
      </c>
      <c r="CE489" s="493">
        <f t="shared" si="32"/>
        <v>0</v>
      </c>
      <c r="CF489" s="493">
        <f t="shared" si="32"/>
        <v>0</v>
      </c>
      <c r="CG489" s="493">
        <f t="shared" si="32"/>
        <v>0</v>
      </c>
      <c r="CH489" s="493">
        <f t="shared" si="31"/>
        <v>0</v>
      </c>
      <c r="CI489" s="493">
        <f t="shared" si="31"/>
        <v>4000000000</v>
      </c>
      <c r="CJ489" s="493">
        <f t="shared" si="31"/>
        <v>0</v>
      </c>
      <c r="CK489" s="493">
        <f t="shared" si="31"/>
        <v>0</v>
      </c>
      <c r="CL489" s="493">
        <f t="shared" si="30"/>
        <v>0</v>
      </c>
      <c r="CM489" s="493">
        <f t="shared" si="34"/>
        <v>4000000000</v>
      </c>
      <c r="CN489" s="493">
        <f t="shared" si="34"/>
        <v>4000000000</v>
      </c>
      <c r="CO489" s="493">
        <f t="shared" si="34"/>
        <v>0</v>
      </c>
    </row>
    <row r="490" spans="1:93" ht="30.45" hidden="1" customHeight="1">
      <c r="A490" s="555" t="s">
        <v>4254</v>
      </c>
      <c r="B490" s="479">
        <v>488</v>
      </c>
      <c r="C490" s="480" t="s">
        <v>6370</v>
      </c>
      <c r="D490" s="480" t="s">
        <v>4802</v>
      </c>
      <c r="E490" s="480" t="str">
        <f t="shared" si="33"/>
        <v xml:space="preserve">4.3.8 </v>
      </c>
      <c r="F490" s="480" t="s">
        <v>4904</v>
      </c>
      <c r="G490" s="480" t="s">
        <v>4905</v>
      </c>
      <c r="H490" s="481">
        <v>40</v>
      </c>
      <c r="I490" s="480" t="s">
        <v>4250</v>
      </c>
      <c r="J490" s="495">
        <v>400103000</v>
      </c>
      <c r="K490" s="480" t="s">
        <v>6622</v>
      </c>
      <c r="L490" s="480" t="s">
        <v>4910</v>
      </c>
      <c r="M490" s="480" t="s">
        <v>6074</v>
      </c>
      <c r="N490" s="499">
        <v>14</v>
      </c>
      <c r="O490" s="480" t="s">
        <v>4911</v>
      </c>
      <c r="P490" s="515">
        <v>18</v>
      </c>
      <c r="Q490" s="485" t="s">
        <v>5349</v>
      </c>
      <c r="R490" s="485" t="s">
        <v>5575</v>
      </c>
      <c r="S490" s="485" t="s">
        <v>677</v>
      </c>
      <c r="T490" s="485">
        <v>9.76</v>
      </c>
      <c r="U490" s="485" t="s">
        <v>5576</v>
      </c>
      <c r="V490" s="485">
        <v>10.57</v>
      </c>
      <c r="W490" s="485" t="s">
        <v>5331</v>
      </c>
      <c r="X490" s="485" t="s">
        <v>5577</v>
      </c>
      <c r="Y490" s="485" t="s">
        <v>5577</v>
      </c>
      <c r="Z490" s="486">
        <v>0</v>
      </c>
      <c r="AA490" s="486">
        <v>0</v>
      </c>
      <c r="AB490" s="486">
        <v>0</v>
      </c>
      <c r="AC490" s="486">
        <v>0</v>
      </c>
      <c r="AD490" s="486">
        <v>300000000</v>
      </c>
      <c r="AE490" s="486">
        <v>0</v>
      </c>
      <c r="AF490" s="486">
        <v>0</v>
      </c>
      <c r="AG490" s="486">
        <v>0</v>
      </c>
      <c r="AH490" s="487">
        <v>300000000</v>
      </c>
      <c r="AI490" s="486"/>
      <c r="AJ490" s="486"/>
      <c r="AK490" s="486"/>
      <c r="AL490" s="488">
        <v>0</v>
      </c>
      <c r="AM490" s="489">
        <v>300000000</v>
      </c>
      <c r="AN490" s="486">
        <v>0</v>
      </c>
      <c r="AO490" s="486">
        <v>0</v>
      </c>
      <c r="AP490" s="486">
        <v>0</v>
      </c>
      <c r="AQ490" s="486">
        <v>0</v>
      </c>
      <c r="AR490" s="486">
        <v>300000000</v>
      </c>
      <c r="AS490" s="486">
        <v>0</v>
      </c>
      <c r="AT490" s="486">
        <v>0</v>
      </c>
      <c r="AU490" s="486">
        <v>0</v>
      </c>
      <c r="AV490" s="487">
        <v>300000000</v>
      </c>
      <c r="AW490" s="486"/>
      <c r="AX490" s="486"/>
      <c r="AY490" s="486"/>
      <c r="AZ490" s="488">
        <v>0</v>
      </c>
      <c r="BA490" s="490">
        <v>300000000</v>
      </c>
      <c r="BB490" s="486">
        <v>0</v>
      </c>
      <c r="BC490" s="486">
        <v>0</v>
      </c>
      <c r="BD490" s="486">
        <v>0</v>
      </c>
      <c r="BE490" s="486">
        <v>0</v>
      </c>
      <c r="BF490" s="486">
        <v>500000000</v>
      </c>
      <c r="BG490" s="486">
        <v>0</v>
      </c>
      <c r="BH490" s="486">
        <v>0</v>
      </c>
      <c r="BI490" s="486">
        <v>0</v>
      </c>
      <c r="BJ490" s="487">
        <v>500000000</v>
      </c>
      <c r="BK490" s="486"/>
      <c r="BL490" s="486"/>
      <c r="BM490" s="486"/>
      <c r="BN490" s="488">
        <v>0</v>
      </c>
      <c r="BO490" s="490">
        <v>500000000</v>
      </c>
      <c r="BP490" s="486">
        <v>0</v>
      </c>
      <c r="BQ490" s="486">
        <v>0</v>
      </c>
      <c r="BR490" s="486">
        <v>0</v>
      </c>
      <c r="BS490" s="486">
        <v>0</v>
      </c>
      <c r="BT490" s="486">
        <v>500000000</v>
      </c>
      <c r="BU490" s="486">
        <v>0</v>
      </c>
      <c r="BV490" s="486">
        <v>0</v>
      </c>
      <c r="BW490" s="486">
        <v>0</v>
      </c>
      <c r="BX490" s="487">
        <v>500000000</v>
      </c>
      <c r="BY490" s="486"/>
      <c r="BZ490" s="486"/>
      <c r="CA490" s="486"/>
      <c r="CB490" s="488">
        <v>0</v>
      </c>
      <c r="CC490" s="491">
        <v>500000000</v>
      </c>
      <c r="CD490" s="492">
        <v>1600000000</v>
      </c>
      <c r="CE490" s="493">
        <f t="shared" si="32"/>
        <v>0</v>
      </c>
      <c r="CF490" s="493">
        <f t="shared" si="32"/>
        <v>0</v>
      </c>
      <c r="CG490" s="493">
        <f t="shared" si="32"/>
        <v>0</v>
      </c>
      <c r="CH490" s="493">
        <f t="shared" si="31"/>
        <v>0</v>
      </c>
      <c r="CI490" s="493">
        <f t="shared" si="31"/>
        <v>1600000000</v>
      </c>
      <c r="CJ490" s="493">
        <f t="shared" si="31"/>
        <v>0</v>
      </c>
      <c r="CK490" s="493">
        <f t="shared" si="31"/>
        <v>0</v>
      </c>
      <c r="CL490" s="493">
        <f t="shared" si="30"/>
        <v>0</v>
      </c>
      <c r="CM490" s="493">
        <f t="shared" si="34"/>
        <v>0</v>
      </c>
      <c r="CN490" s="493">
        <f t="shared" si="34"/>
        <v>0</v>
      </c>
      <c r="CO490" s="493">
        <f t="shared" si="34"/>
        <v>0</v>
      </c>
    </row>
    <row r="491" spans="1:93" ht="30.45" hidden="1" customHeight="1">
      <c r="A491" s="555" t="s">
        <v>4254</v>
      </c>
      <c r="B491" s="479">
        <v>489</v>
      </c>
      <c r="C491" s="480" t="s">
        <v>6370</v>
      </c>
      <c r="D491" s="480" t="s">
        <v>4802</v>
      </c>
      <c r="E491" s="480" t="str">
        <f t="shared" si="33"/>
        <v xml:space="preserve">4.3.9 </v>
      </c>
      <c r="F491" s="480" t="s">
        <v>4912</v>
      </c>
      <c r="G491" s="480" t="s">
        <v>4913</v>
      </c>
      <c r="H491" s="481">
        <v>40</v>
      </c>
      <c r="I491" s="480" t="s">
        <v>4250</v>
      </c>
      <c r="J491" s="495">
        <v>400301800</v>
      </c>
      <c r="K491" s="480" t="s">
        <v>4914</v>
      </c>
      <c r="L491" s="480" t="s">
        <v>4915</v>
      </c>
      <c r="M491" s="480" t="s">
        <v>4915</v>
      </c>
      <c r="N491" s="499">
        <v>13</v>
      </c>
      <c r="O491" s="480" t="s">
        <v>4911</v>
      </c>
      <c r="P491" s="515">
        <v>21</v>
      </c>
      <c r="Q491" s="485">
        <v>30010006</v>
      </c>
      <c r="R491" s="485" t="s">
        <v>5578</v>
      </c>
      <c r="S491" s="485" t="s">
        <v>677</v>
      </c>
      <c r="T491" s="485">
        <v>0.53</v>
      </c>
      <c r="U491" s="485" t="s">
        <v>5579</v>
      </c>
      <c r="V491" s="485">
        <v>0.54</v>
      </c>
      <c r="W491" s="485" t="s">
        <v>5331</v>
      </c>
      <c r="X491" s="485" t="s">
        <v>5580</v>
      </c>
      <c r="Y491" s="485" t="s">
        <v>5580</v>
      </c>
      <c r="Z491" s="486">
        <v>0</v>
      </c>
      <c r="AA491" s="486">
        <v>0</v>
      </c>
      <c r="AB491" s="486">
        <v>0</v>
      </c>
      <c r="AC491" s="486">
        <v>0</v>
      </c>
      <c r="AD491" s="486">
        <v>1000000000</v>
      </c>
      <c r="AE491" s="486">
        <v>0</v>
      </c>
      <c r="AF491" s="486">
        <v>0</v>
      </c>
      <c r="AG491" s="486">
        <v>0</v>
      </c>
      <c r="AH491" s="487">
        <v>1000000000</v>
      </c>
      <c r="AI491" s="486"/>
      <c r="AJ491" s="486">
        <v>1000000000</v>
      </c>
      <c r="AK491" s="486"/>
      <c r="AL491" s="488">
        <v>1000000000</v>
      </c>
      <c r="AM491" s="489">
        <v>2000000000</v>
      </c>
      <c r="AN491" s="486">
        <v>0</v>
      </c>
      <c r="AO491" s="486">
        <v>0</v>
      </c>
      <c r="AP491" s="486">
        <v>0</v>
      </c>
      <c r="AQ491" s="486">
        <v>0</v>
      </c>
      <c r="AR491" s="486">
        <v>1000000000</v>
      </c>
      <c r="AS491" s="486">
        <v>0</v>
      </c>
      <c r="AT491" s="486">
        <v>0</v>
      </c>
      <c r="AU491" s="486">
        <v>0</v>
      </c>
      <c r="AV491" s="487">
        <v>1000000000</v>
      </c>
      <c r="AW491" s="486"/>
      <c r="AX491" s="486">
        <v>1000000000</v>
      </c>
      <c r="AY491" s="486"/>
      <c r="AZ491" s="488">
        <v>1000000000</v>
      </c>
      <c r="BA491" s="490">
        <v>2000000000</v>
      </c>
      <c r="BB491" s="486">
        <v>0</v>
      </c>
      <c r="BC491" s="486">
        <v>0</v>
      </c>
      <c r="BD491" s="486">
        <v>0</v>
      </c>
      <c r="BE491" s="486">
        <v>0</v>
      </c>
      <c r="BF491" s="486">
        <v>1084065446.4000001</v>
      </c>
      <c r="BG491" s="486">
        <v>0</v>
      </c>
      <c r="BH491" s="486">
        <v>0</v>
      </c>
      <c r="BI491" s="486">
        <v>0</v>
      </c>
      <c r="BJ491" s="487">
        <v>1084065446.4000001</v>
      </c>
      <c r="BK491" s="486">
        <v>1750000000</v>
      </c>
      <c r="BL491" s="486">
        <v>1000000000</v>
      </c>
      <c r="BM491" s="486"/>
      <c r="BN491" s="488">
        <v>2750000000</v>
      </c>
      <c r="BO491" s="490">
        <v>3834065446.4000001</v>
      </c>
      <c r="BP491" s="486">
        <v>0</v>
      </c>
      <c r="BQ491" s="486">
        <v>0</v>
      </c>
      <c r="BR491" s="486">
        <v>0</v>
      </c>
      <c r="BS491" s="486">
        <v>0</v>
      </c>
      <c r="BT491" s="486">
        <v>1000000000</v>
      </c>
      <c r="BU491" s="486">
        <v>0</v>
      </c>
      <c r="BV491" s="486">
        <v>0</v>
      </c>
      <c r="BW491" s="486">
        <v>0</v>
      </c>
      <c r="BX491" s="487">
        <v>1000000000</v>
      </c>
      <c r="BY491" s="486">
        <v>1750000000</v>
      </c>
      <c r="BZ491" s="486">
        <v>1000000000</v>
      </c>
      <c r="CA491" s="486"/>
      <c r="CB491" s="488">
        <v>2750000000</v>
      </c>
      <c r="CC491" s="491">
        <v>3750000000</v>
      </c>
      <c r="CD491" s="492">
        <v>11584065446.4</v>
      </c>
      <c r="CE491" s="493">
        <f t="shared" si="32"/>
        <v>0</v>
      </c>
      <c r="CF491" s="493">
        <f t="shared" si="32"/>
        <v>0</v>
      </c>
      <c r="CG491" s="493">
        <f t="shared" si="32"/>
        <v>0</v>
      </c>
      <c r="CH491" s="493">
        <f t="shared" si="31"/>
        <v>0</v>
      </c>
      <c r="CI491" s="493">
        <f t="shared" si="31"/>
        <v>4084065446.4000001</v>
      </c>
      <c r="CJ491" s="493">
        <f t="shared" si="31"/>
        <v>0</v>
      </c>
      <c r="CK491" s="493">
        <f t="shared" si="31"/>
        <v>0</v>
      </c>
      <c r="CL491" s="493">
        <f t="shared" si="30"/>
        <v>0</v>
      </c>
      <c r="CM491" s="493">
        <f t="shared" si="34"/>
        <v>3500000000</v>
      </c>
      <c r="CN491" s="493">
        <f t="shared" si="34"/>
        <v>4000000000</v>
      </c>
      <c r="CO491" s="493">
        <f t="shared" si="34"/>
        <v>0</v>
      </c>
    </row>
    <row r="492" spans="1:93" ht="30.45" hidden="1" customHeight="1">
      <c r="A492" s="555" t="s">
        <v>4254</v>
      </c>
      <c r="B492" s="479">
        <v>490</v>
      </c>
      <c r="C492" s="480" t="s">
        <v>6370</v>
      </c>
      <c r="D492" s="480" t="s">
        <v>4802</v>
      </c>
      <c r="E492" s="480" t="str">
        <f t="shared" si="33"/>
        <v xml:space="preserve">4.3.9 </v>
      </c>
      <c r="F492" s="480" t="s">
        <v>4912</v>
      </c>
      <c r="G492" s="480" t="s">
        <v>4913</v>
      </c>
      <c r="H492" s="481">
        <v>40</v>
      </c>
      <c r="I492" s="480" t="s">
        <v>4250</v>
      </c>
      <c r="J492" s="495">
        <v>400302000</v>
      </c>
      <c r="K492" s="480" t="s">
        <v>4914</v>
      </c>
      <c r="L492" s="480" t="s">
        <v>4916</v>
      </c>
      <c r="M492" s="480" t="s">
        <v>4916</v>
      </c>
      <c r="N492" s="499">
        <v>13</v>
      </c>
      <c r="O492" s="480" t="s">
        <v>4911</v>
      </c>
      <c r="P492" s="515">
        <v>21</v>
      </c>
      <c r="Q492" s="485">
        <v>30010006</v>
      </c>
      <c r="R492" s="485" t="s">
        <v>5578</v>
      </c>
      <c r="S492" s="485" t="s">
        <v>677</v>
      </c>
      <c r="T492" s="485">
        <v>0.53</v>
      </c>
      <c r="U492" s="485" t="s">
        <v>5579</v>
      </c>
      <c r="V492" s="485">
        <v>0.54</v>
      </c>
      <c r="W492" s="485" t="s">
        <v>5331</v>
      </c>
      <c r="X492" s="485" t="s">
        <v>5580</v>
      </c>
      <c r="Y492" s="485" t="s">
        <v>5580</v>
      </c>
      <c r="Z492" s="486">
        <v>0</v>
      </c>
      <c r="AA492" s="486">
        <v>0</v>
      </c>
      <c r="AB492" s="486">
        <v>0</v>
      </c>
      <c r="AC492" s="486">
        <v>0</v>
      </c>
      <c r="AD492" s="486">
        <v>1000000000</v>
      </c>
      <c r="AE492" s="486">
        <v>0</v>
      </c>
      <c r="AF492" s="486">
        <v>0</v>
      </c>
      <c r="AG492" s="486">
        <v>0</v>
      </c>
      <c r="AH492" s="487">
        <v>1000000000</v>
      </c>
      <c r="AI492" s="486"/>
      <c r="AJ492" s="486">
        <v>2000000000</v>
      </c>
      <c r="AK492" s="486"/>
      <c r="AL492" s="488">
        <v>2000000000</v>
      </c>
      <c r="AM492" s="489">
        <v>3000000000</v>
      </c>
      <c r="AN492" s="486">
        <v>0</v>
      </c>
      <c r="AO492" s="486">
        <v>0</v>
      </c>
      <c r="AP492" s="486">
        <v>0</v>
      </c>
      <c r="AQ492" s="486">
        <v>0</v>
      </c>
      <c r="AR492" s="486">
        <v>1000000000</v>
      </c>
      <c r="AS492" s="486">
        <v>0</v>
      </c>
      <c r="AT492" s="486">
        <v>0</v>
      </c>
      <c r="AU492" s="486">
        <v>0</v>
      </c>
      <c r="AV492" s="487">
        <v>1000000000</v>
      </c>
      <c r="AW492" s="486"/>
      <c r="AX492" s="486">
        <v>2000000000</v>
      </c>
      <c r="AY492" s="486"/>
      <c r="AZ492" s="488">
        <v>2000000000</v>
      </c>
      <c r="BA492" s="490">
        <v>3000000000</v>
      </c>
      <c r="BB492" s="486">
        <v>0</v>
      </c>
      <c r="BC492" s="486">
        <v>0</v>
      </c>
      <c r="BD492" s="486">
        <v>0</v>
      </c>
      <c r="BE492" s="486">
        <v>0</v>
      </c>
      <c r="BF492" s="486">
        <v>1000000000</v>
      </c>
      <c r="BG492" s="486">
        <v>0</v>
      </c>
      <c r="BH492" s="486">
        <v>0</v>
      </c>
      <c r="BI492" s="486">
        <v>0</v>
      </c>
      <c r="BJ492" s="487">
        <v>1000000000</v>
      </c>
      <c r="BK492" s="486"/>
      <c r="BL492" s="486">
        <v>2000000000</v>
      </c>
      <c r="BM492" s="486"/>
      <c r="BN492" s="488">
        <v>2000000000</v>
      </c>
      <c r="BO492" s="490">
        <v>3000000000</v>
      </c>
      <c r="BP492" s="486">
        <v>0</v>
      </c>
      <c r="BQ492" s="486">
        <v>0</v>
      </c>
      <c r="BR492" s="486">
        <v>0</v>
      </c>
      <c r="BS492" s="486">
        <v>0</v>
      </c>
      <c r="BT492" s="486">
        <v>1000000000</v>
      </c>
      <c r="BU492" s="486">
        <v>0</v>
      </c>
      <c r="BV492" s="486">
        <v>0</v>
      </c>
      <c r="BW492" s="486">
        <v>0</v>
      </c>
      <c r="BX492" s="487">
        <v>1000000000</v>
      </c>
      <c r="BY492" s="486"/>
      <c r="BZ492" s="486">
        <v>2000000000</v>
      </c>
      <c r="CA492" s="486"/>
      <c r="CB492" s="488">
        <v>2000000000</v>
      </c>
      <c r="CC492" s="491">
        <v>3000000000</v>
      </c>
      <c r="CD492" s="492">
        <v>12000000000</v>
      </c>
      <c r="CE492" s="493">
        <f t="shared" si="32"/>
        <v>0</v>
      </c>
      <c r="CF492" s="493">
        <f t="shared" si="32"/>
        <v>0</v>
      </c>
      <c r="CG492" s="493">
        <f t="shared" si="32"/>
        <v>0</v>
      </c>
      <c r="CH492" s="493">
        <f t="shared" si="31"/>
        <v>0</v>
      </c>
      <c r="CI492" s="493">
        <f t="shared" si="31"/>
        <v>4000000000</v>
      </c>
      <c r="CJ492" s="493">
        <f t="shared" si="31"/>
        <v>0</v>
      </c>
      <c r="CK492" s="493">
        <f t="shared" si="31"/>
        <v>0</v>
      </c>
      <c r="CL492" s="493">
        <f t="shared" si="30"/>
        <v>0</v>
      </c>
      <c r="CM492" s="493">
        <f t="shared" si="34"/>
        <v>0</v>
      </c>
      <c r="CN492" s="493">
        <f t="shared" si="34"/>
        <v>8000000000</v>
      </c>
      <c r="CO492" s="493">
        <f t="shared" si="34"/>
        <v>0</v>
      </c>
    </row>
    <row r="493" spans="1:93" ht="30.45" hidden="1" customHeight="1">
      <c r="A493" s="555" t="s">
        <v>4254</v>
      </c>
      <c r="B493" s="479">
        <v>491</v>
      </c>
      <c r="C493" s="480" t="s">
        <v>6370</v>
      </c>
      <c r="D493" s="480" t="s">
        <v>4802</v>
      </c>
      <c r="E493" s="480" t="str">
        <f t="shared" si="33"/>
        <v xml:space="preserve">4.3.9 </v>
      </c>
      <c r="F493" s="480" t="s">
        <v>4912</v>
      </c>
      <c r="G493" s="480" t="s">
        <v>4913</v>
      </c>
      <c r="H493" s="481">
        <v>40</v>
      </c>
      <c r="I493" s="480" t="s">
        <v>4250</v>
      </c>
      <c r="J493" s="495">
        <v>400301802</v>
      </c>
      <c r="K493" s="480" t="s">
        <v>4914</v>
      </c>
      <c r="L493" s="480" t="s">
        <v>6623</v>
      </c>
      <c r="M493" s="480" t="s">
        <v>6075</v>
      </c>
      <c r="N493" s="499">
        <v>22</v>
      </c>
      <c r="O493" s="480" t="s">
        <v>4911</v>
      </c>
      <c r="P493" s="515">
        <v>28</v>
      </c>
      <c r="Q493" s="485">
        <v>30010006</v>
      </c>
      <c r="R493" s="485" t="s">
        <v>5578</v>
      </c>
      <c r="S493" s="485" t="s">
        <v>677</v>
      </c>
      <c r="T493" s="485">
        <v>0.53</v>
      </c>
      <c r="U493" s="485" t="s">
        <v>5579</v>
      </c>
      <c r="V493" s="485">
        <v>0.54</v>
      </c>
      <c r="W493" s="485" t="s">
        <v>5331</v>
      </c>
      <c r="X493" s="485" t="s">
        <v>5580</v>
      </c>
      <c r="Y493" s="485" t="s">
        <v>5580</v>
      </c>
      <c r="Z493" s="486">
        <v>0</v>
      </c>
      <c r="AA493" s="486">
        <v>0</v>
      </c>
      <c r="AB493" s="486">
        <v>0</v>
      </c>
      <c r="AC493" s="486">
        <v>0</v>
      </c>
      <c r="AD493" s="486">
        <v>1000000000</v>
      </c>
      <c r="AE493" s="486">
        <v>0</v>
      </c>
      <c r="AF493" s="486">
        <v>0</v>
      </c>
      <c r="AG493" s="486">
        <v>0</v>
      </c>
      <c r="AH493" s="487">
        <v>1000000000</v>
      </c>
      <c r="AI493" s="486">
        <v>1000000000</v>
      </c>
      <c r="AJ493" s="486">
        <v>40000000000</v>
      </c>
      <c r="AK493" s="486"/>
      <c r="AL493" s="488">
        <v>41000000000</v>
      </c>
      <c r="AM493" s="489">
        <v>42000000000</v>
      </c>
      <c r="AN493" s="486">
        <v>0</v>
      </c>
      <c r="AO493" s="486">
        <v>0</v>
      </c>
      <c r="AP493" s="486">
        <v>0</v>
      </c>
      <c r="AQ493" s="486">
        <v>0</v>
      </c>
      <c r="AR493" s="486">
        <v>1000000000</v>
      </c>
      <c r="AS493" s="486">
        <v>0</v>
      </c>
      <c r="AT493" s="486">
        <v>0</v>
      </c>
      <c r="AU493" s="486">
        <v>0</v>
      </c>
      <c r="AV493" s="487">
        <v>1000000000</v>
      </c>
      <c r="AW493" s="486">
        <v>1000000000</v>
      </c>
      <c r="AX493" s="486">
        <v>5000000000</v>
      </c>
      <c r="AY493" s="486"/>
      <c r="AZ493" s="488">
        <v>6000000000</v>
      </c>
      <c r="BA493" s="490">
        <v>7000000000</v>
      </c>
      <c r="BB493" s="486">
        <v>0</v>
      </c>
      <c r="BC493" s="486">
        <v>0</v>
      </c>
      <c r="BD493" s="486">
        <v>0</v>
      </c>
      <c r="BE493" s="486">
        <v>0</v>
      </c>
      <c r="BF493" s="486">
        <v>1000000000</v>
      </c>
      <c r="BG493" s="486">
        <v>0</v>
      </c>
      <c r="BH493" s="486">
        <v>0</v>
      </c>
      <c r="BI493" s="486">
        <v>0</v>
      </c>
      <c r="BJ493" s="487">
        <v>1000000000</v>
      </c>
      <c r="BK493" s="486">
        <v>2750000000</v>
      </c>
      <c r="BL493" s="486">
        <v>5000000000</v>
      </c>
      <c r="BM493" s="486"/>
      <c r="BN493" s="488">
        <v>7750000000</v>
      </c>
      <c r="BO493" s="490">
        <v>8750000000</v>
      </c>
      <c r="BP493" s="486">
        <v>0</v>
      </c>
      <c r="BQ493" s="486">
        <v>0</v>
      </c>
      <c r="BR493" s="486">
        <v>0</v>
      </c>
      <c r="BS493" s="486">
        <v>0</v>
      </c>
      <c r="BT493" s="486">
        <v>1000000000</v>
      </c>
      <c r="BU493" s="486">
        <v>0</v>
      </c>
      <c r="BV493" s="486">
        <v>0</v>
      </c>
      <c r="BW493" s="486">
        <v>0</v>
      </c>
      <c r="BX493" s="487">
        <v>1000000000</v>
      </c>
      <c r="BY493" s="486">
        <v>1750000000</v>
      </c>
      <c r="BZ493" s="486">
        <v>5000000000</v>
      </c>
      <c r="CA493" s="486"/>
      <c r="CB493" s="488">
        <v>6750000000</v>
      </c>
      <c r="CC493" s="491">
        <v>7750000000</v>
      </c>
      <c r="CD493" s="492">
        <v>65500000000</v>
      </c>
      <c r="CE493" s="493">
        <f t="shared" si="32"/>
        <v>0</v>
      </c>
      <c r="CF493" s="493">
        <f t="shared" si="32"/>
        <v>0</v>
      </c>
      <c r="CG493" s="493">
        <f t="shared" si="32"/>
        <v>0</v>
      </c>
      <c r="CH493" s="493">
        <f t="shared" si="31"/>
        <v>0</v>
      </c>
      <c r="CI493" s="493">
        <f t="shared" si="31"/>
        <v>4000000000</v>
      </c>
      <c r="CJ493" s="493">
        <f t="shared" si="31"/>
        <v>0</v>
      </c>
      <c r="CK493" s="493">
        <f t="shared" si="31"/>
        <v>0</v>
      </c>
      <c r="CL493" s="493">
        <f t="shared" si="31"/>
        <v>0</v>
      </c>
      <c r="CM493" s="493">
        <f t="shared" si="34"/>
        <v>6500000000</v>
      </c>
      <c r="CN493" s="493">
        <f t="shared" si="34"/>
        <v>55000000000</v>
      </c>
      <c r="CO493" s="493">
        <f t="shared" si="34"/>
        <v>0</v>
      </c>
    </row>
    <row r="494" spans="1:93" ht="30.45" hidden="1" customHeight="1">
      <c r="A494" s="555" t="s">
        <v>4254</v>
      </c>
      <c r="B494" s="479">
        <v>492</v>
      </c>
      <c r="C494" s="480" t="s">
        <v>6370</v>
      </c>
      <c r="D494" s="480" t="s">
        <v>4802</v>
      </c>
      <c r="E494" s="480" t="str">
        <f t="shared" si="33"/>
        <v xml:space="preserve">4.3.9 </v>
      </c>
      <c r="F494" s="480" t="s">
        <v>4912</v>
      </c>
      <c r="G494" s="480" t="s">
        <v>4913</v>
      </c>
      <c r="H494" s="481">
        <v>40</v>
      </c>
      <c r="I494" s="480" t="s">
        <v>4250</v>
      </c>
      <c r="J494" s="495">
        <v>400103000</v>
      </c>
      <c r="K494" s="480" t="s">
        <v>6622</v>
      </c>
      <c r="L494" s="480" t="s">
        <v>4917</v>
      </c>
      <c r="M494" s="480" t="s">
        <v>6076</v>
      </c>
      <c r="N494" s="499">
        <v>13</v>
      </c>
      <c r="O494" s="480" t="s">
        <v>4911</v>
      </c>
      <c r="P494" s="515">
        <v>21</v>
      </c>
      <c r="Q494" s="485">
        <v>30010006</v>
      </c>
      <c r="R494" s="485" t="s">
        <v>5578</v>
      </c>
      <c r="S494" s="485" t="s">
        <v>677</v>
      </c>
      <c r="T494" s="485">
        <v>0.53</v>
      </c>
      <c r="U494" s="485" t="s">
        <v>5579</v>
      </c>
      <c r="V494" s="485">
        <v>0.54</v>
      </c>
      <c r="W494" s="485" t="s">
        <v>5331</v>
      </c>
      <c r="X494" s="485" t="s">
        <v>5580</v>
      </c>
      <c r="Y494" s="485" t="s">
        <v>5580</v>
      </c>
      <c r="Z494" s="486">
        <v>0</v>
      </c>
      <c r="AA494" s="486">
        <v>0</v>
      </c>
      <c r="AB494" s="486">
        <v>0</v>
      </c>
      <c r="AC494" s="486">
        <v>0</v>
      </c>
      <c r="AD494" s="486">
        <v>300000000</v>
      </c>
      <c r="AE494" s="486">
        <v>0</v>
      </c>
      <c r="AF494" s="486">
        <v>0</v>
      </c>
      <c r="AG494" s="486">
        <v>0</v>
      </c>
      <c r="AH494" s="487">
        <v>300000000</v>
      </c>
      <c r="AI494" s="486"/>
      <c r="AJ494" s="486"/>
      <c r="AK494" s="486"/>
      <c r="AL494" s="488">
        <v>0</v>
      </c>
      <c r="AM494" s="489">
        <v>300000000</v>
      </c>
      <c r="AN494" s="486">
        <v>0</v>
      </c>
      <c r="AO494" s="486">
        <v>0</v>
      </c>
      <c r="AP494" s="486">
        <v>0</v>
      </c>
      <c r="AQ494" s="486">
        <v>0</v>
      </c>
      <c r="AR494" s="486">
        <v>480832160</v>
      </c>
      <c r="AS494" s="486">
        <v>0</v>
      </c>
      <c r="AT494" s="486">
        <v>0</v>
      </c>
      <c r="AU494" s="486">
        <v>0</v>
      </c>
      <c r="AV494" s="487">
        <v>480832160</v>
      </c>
      <c r="AW494" s="486"/>
      <c r="AX494" s="486"/>
      <c r="AY494" s="486"/>
      <c r="AZ494" s="488">
        <v>0</v>
      </c>
      <c r="BA494" s="490">
        <v>480832160</v>
      </c>
      <c r="BB494" s="486">
        <v>0</v>
      </c>
      <c r="BC494" s="486">
        <v>0</v>
      </c>
      <c r="BD494" s="486">
        <v>0</v>
      </c>
      <c r="BE494" s="486">
        <v>0</v>
      </c>
      <c r="BF494" s="486">
        <v>500000000</v>
      </c>
      <c r="BG494" s="486">
        <v>0</v>
      </c>
      <c r="BH494" s="486">
        <v>0</v>
      </c>
      <c r="BI494" s="486">
        <v>0</v>
      </c>
      <c r="BJ494" s="487">
        <v>500000000</v>
      </c>
      <c r="BK494" s="486"/>
      <c r="BL494" s="486"/>
      <c r="BM494" s="486"/>
      <c r="BN494" s="488">
        <v>0</v>
      </c>
      <c r="BO494" s="490">
        <v>500000000</v>
      </c>
      <c r="BP494" s="486">
        <v>0</v>
      </c>
      <c r="BQ494" s="486">
        <v>0</v>
      </c>
      <c r="BR494" s="486">
        <v>0</v>
      </c>
      <c r="BS494" s="486">
        <v>0</v>
      </c>
      <c r="BT494" s="486">
        <v>500000000</v>
      </c>
      <c r="BU494" s="486">
        <v>0</v>
      </c>
      <c r="BV494" s="486">
        <v>0</v>
      </c>
      <c r="BW494" s="486">
        <v>0</v>
      </c>
      <c r="BX494" s="487">
        <v>500000000</v>
      </c>
      <c r="BY494" s="486"/>
      <c r="BZ494" s="486"/>
      <c r="CA494" s="486"/>
      <c r="CB494" s="488">
        <v>0</v>
      </c>
      <c r="CC494" s="491">
        <v>500000000</v>
      </c>
      <c r="CD494" s="492">
        <v>1780832160</v>
      </c>
      <c r="CE494" s="493">
        <f t="shared" si="32"/>
        <v>0</v>
      </c>
      <c r="CF494" s="493">
        <f t="shared" si="32"/>
        <v>0</v>
      </c>
      <c r="CG494" s="493">
        <f t="shared" si="32"/>
        <v>0</v>
      </c>
      <c r="CH494" s="493">
        <f t="shared" si="31"/>
        <v>0</v>
      </c>
      <c r="CI494" s="493">
        <f t="shared" si="31"/>
        <v>1780832160</v>
      </c>
      <c r="CJ494" s="493">
        <f t="shared" si="31"/>
        <v>0</v>
      </c>
      <c r="CK494" s="493">
        <f t="shared" si="31"/>
        <v>0</v>
      </c>
      <c r="CL494" s="493">
        <f t="shared" si="31"/>
        <v>0</v>
      </c>
      <c r="CM494" s="493">
        <f t="shared" si="34"/>
        <v>0</v>
      </c>
      <c r="CN494" s="493">
        <f t="shared" si="34"/>
        <v>0</v>
      </c>
      <c r="CO494" s="493">
        <f t="shared" si="34"/>
        <v>0</v>
      </c>
    </row>
    <row r="495" spans="1:93" ht="30.45" hidden="1" customHeight="1">
      <c r="A495" s="555" t="s">
        <v>4254</v>
      </c>
      <c r="B495" s="479">
        <v>493</v>
      </c>
      <c r="C495" s="480" t="s">
        <v>6370</v>
      </c>
      <c r="D495" s="480" t="s">
        <v>4802</v>
      </c>
      <c r="E495" s="480" t="str">
        <f t="shared" si="33"/>
        <v>4.3.10</v>
      </c>
      <c r="F495" s="480" t="s">
        <v>4918</v>
      </c>
      <c r="G495" s="480" t="s">
        <v>4919</v>
      </c>
      <c r="H495" s="481">
        <v>40</v>
      </c>
      <c r="I495" s="480" t="s">
        <v>4250</v>
      </c>
      <c r="J495" s="495">
        <v>400305500</v>
      </c>
      <c r="K495" s="480" t="s">
        <v>4175</v>
      </c>
      <c r="L495" s="480" t="s">
        <v>4104</v>
      </c>
      <c r="M495" s="480" t="s">
        <v>6077</v>
      </c>
      <c r="N495" s="499">
        <v>20</v>
      </c>
      <c r="O495" s="480" t="s">
        <v>4911</v>
      </c>
      <c r="P495" s="515">
        <v>40</v>
      </c>
      <c r="Q495" s="485" t="s">
        <v>5511</v>
      </c>
      <c r="R495" s="485" t="s">
        <v>5581</v>
      </c>
      <c r="S495" s="485" t="s">
        <v>677</v>
      </c>
      <c r="T495" s="485">
        <v>0.63</v>
      </c>
      <c r="U495" s="485" t="s">
        <v>4911</v>
      </c>
      <c r="V495" s="485">
        <v>0.65</v>
      </c>
      <c r="W495" s="485" t="s">
        <v>5372</v>
      </c>
      <c r="X495" s="485" t="s">
        <v>5582</v>
      </c>
      <c r="Y495" s="485" t="s">
        <v>5582</v>
      </c>
      <c r="Z495" s="486">
        <v>0</v>
      </c>
      <c r="AA495" s="486">
        <v>0</v>
      </c>
      <c r="AB495" s="486">
        <v>0</v>
      </c>
      <c r="AC495" s="486">
        <v>0</v>
      </c>
      <c r="AD495" s="486">
        <v>200000000</v>
      </c>
      <c r="AE495" s="486">
        <v>0</v>
      </c>
      <c r="AF495" s="486">
        <v>0</v>
      </c>
      <c r="AG495" s="486">
        <v>0</v>
      </c>
      <c r="AH495" s="487">
        <v>200000000</v>
      </c>
      <c r="AI495" s="486"/>
      <c r="AJ495" s="486"/>
      <c r="AK495" s="486"/>
      <c r="AL495" s="488">
        <v>0</v>
      </c>
      <c r="AM495" s="489">
        <v>200000000</v>
      </c>
      <c r="AN495" s="486">
        <v>0</v>
      </c>
      <c r="AO495" s="486">
        <v>0</v>
      </c>
      <c r="AP495" s="486">
        <v>0</v>
      </c>
      <c r="AQ495" s="486">
        <v>0</v>
      </c>
      <c r="AR495" s="486">
        <v>200000000</v>
      </c>
      <c r="AS495" s="486">
        <v>0</v>
      </c>
      <c r="AT495" s="486">
        <v>0</v>
      </c>
      <c r="AU495" s="486">
        <v>0</v>
      </c>
      <c r="AV495" s="487">
        <v>200000000</v>
      </c>
      <c r="AW495" s="486"/>
      <c r="AX495" s="486"/>
      <c r="AY495" s="486"/>
      <c r="AZ495" s="488">
        <v>0</v>
      </c>
      <c r="BA495" s="490">
        <v>200000000</v>
      </c>
      <c r="BB495" s="486">
        <v>0</v>
      </c>
      <c r="BC495" s="486">
        <v>0</v>
      </c>
      <c r="BD495" s="486">
        <v>0</v>
      </c>
      <c r="BE495" s="486">
        <v>0</v>
      </c>
      <c r="BF495" s="486">
        <v>400000000</v>
      </c>
      <c r="BG495" s="486">
        <v>0</v>
      </c>
      <c r="BH495" s="486">
        <v>0</v>
      </c>
      <c r="BI495" s="486">
        <v>0</v>
      </c>
      <c r="BJ495" s="487">
        <v>400000000</v>
      </c>
      <c r="BK495" s="486"/>
      <c r="BL495" s="486"/>
      <c r="BM495" s="486"/>
      <c r="BN495" s="488">
        <v>0</v>
      </c>
      <c r="BO495" s="490">
        <v>400000000</v>
      </c>
      <c r="BP495" s="486">
        <v>0</v>
      </c>
      <c r="BQ495" s="486">
        <v>0</v>
      </c>
      <c r="BR495" s="486">
        <v>0</v>
      </c>
      <c r="BS495" s="486">
        <v>0</v>
      </c>
      <c r="BT495" s="486">
        <v>500000000</v>
      </c>
      <c r="BU495" s="486">
        <v>0</v>
      </c>
      <c r="BV495" s="486">
        <v>0</v>
      </c>
      <c r="BW495" s="486">
        <v>0</v>
      </c>
      <c r="BX495" s="487">
        <v>500000000</v>
      </c>
      <c r="BY495" s="486"/>
      <c r="BZ495" s="486"/>
      <c r="CA495" s="486"/>
      <c r="CB495" s="488">
        <v>0</v>
      </c>
      <c r="CC495" s="491">
        <v>500000000</v>
      </c>
      <c r="CD495" s="492">
        <v>1300000000</v>
      </c>
      <c r="CE495" s="493">
        <f t="shared" si="32"/>
        <v>0</v>
      </c>
      <c r="CF495" s="493">
        <f t="shared" si="32"/>
        <v>0</v>
      </c>
      <c r="CG495" s="493">
        <f t="shared" si="32"/>
        <v>0</v>
      </c>
      <c r="CH495" s="493">
        <f t="shared" si="31"/>
        <v>0</v>
      </c>
      <c r="CI495" s="493">
        <f t="shared" si="31"/>
        <v>1300000000</v>
      </c>
      <c r="CJ495" s="493">
        <f t="shared" si="31"/>
        <v>0</v>
      </c>
      <c r="CK495" s="493">
        <f t="shared" si="31"/>
        <v>0</v>
      </c>
      <c r="CL495" s="493">
        <f t="shared" si="31"/>
        <v>0</v>
      </c>
      <c r="CM495" s="493">
        <f t="shared" si="34"/>
        <v>0</v>
      </c>
      <c r="CN495" s="493">
        <f t="shared" si="34"/>
        <v>0</v>
      </c>
      <c r="CO495" s="493">
        <f t="shared" si="34"/>
        <v>0</v>
      </c>
    </row>
    <row r="496" spans="1:93" ht="30.45" hidden="1" customHeight="1">
      <c r="A496" s="555" t="s">
        <v>4254</v>
      </c>
      <c r="B496" s="479">
        <v>494</v>
      </c>
      <c r="C496" s="480" t="s">
        <v>6370</v>
      </c>
      <c r="D496" s="480" t="s">
        <v>4802</v>
      </c>
      <c r="E496" s="480" t="str">
        <f t="shared" si="33"/>
        <v>4.3.11</v>
      </c>
      <c r="F496" s="480" t="s">
        <v>4920</v>
      </c>
      <c r="G496" s="480" t="s">
        <v>4921</v>
      </c>
      <c r="H496" s="481">
        <v>40</v>
      </c>
      <c r="I496" s="480" t="s">
        <v>4250</v>
      </c>
      <c r="J496" s="495">
        <v>400305500</v>
      </c>
      <c r="K496" s="480" t="s">
        <v>4175</v>
      </c>
      <c r="L496" s="480" t="s">
        <v>4922</v>
      </c>
      <c r="M496" s="480" t="s">
        <v>6078</v>
      </c>
      <c r="N496" s="499">
        <v>0</v>
      </c>
      <c r="O496" s="480" t="s">
        <v>4911</v>
      </c>
      <c r="P496" s="515">
        <v>80</v>
      </c>
      <c r="Q496" s="485" t="s">
        <v>5511</v>
      </c>
      <c r="R496" s="485" t="s">
        <v>5583</v>
      </c>
      <c r="S496" s="485" t="s">
        <v>683</v>
      </c>
      <c r="T496" s="485">
        <v>1</v>
      </c>
      <c r="U496" s="485" t="s">
        <v>4911</v>
      </c>
      <c r="V496" s="485">
        <v>160</v>
      </c>
      <c r="W496" s="485" t="s">
        <v>5372</v>
      </c>
      <c r="X496" s="485" t="s">
        <v>5582</v>
      </c>
      <c r="Y496" s="485" t="s">
        <v>5582</v>
      </c>
      <c r="Z496" s="486">
        <v>0</v>
      </c>
      <c r="AA496" s="486">
        <v>0</v>
      </c>
      <c r="AB496" s="486">
        <v>0</v>
      </c>
      <c r="AC496" s="486">
        <v>0</v>
      </c>
      <c r="AD496" s="486">
        <v>120000000</v>
      </c>
      <c r="AE496" s="486">
        <v>0</v>
      </c>
      <c r="AF496" s="486">
        <v>0</v>
      </c>
      <c r="AG496" s="486">
        <v>0</v>
      </c>
      <c r="AH496" s="487">
        <v>120000000</v>
      </c>
      <c r="AI496" s="486"/>
      <c r="AJ496" s="486"/>
      <c r="AK496" s="486"/>
      <c r="AL496" s="488">
        <v>0</v>
      </c>
      <c r="AM496" s="489">
        <v>120000000</v>
      </c>
      <c r="AN496" s="486">
        <v>0</v>
      </c>
      <c r="AO496" s="486">
        <v>0</v>
      </c>
      <c r="AP496" s="486">
        <v>0</v>
      </c>
      <c r="AQ496" s="486">
        <v>0</v>
      </c>
      <c r="AR496" s="486">
        <v>120000000</v>
      </c>
      <c r="AS496" s="486">
        <v>0</v>
      </c>
      <c r="AT496" s="486">
        <v>0</v>
      </c>
      <c r="AU496" s="486">
        <v>0</v>
      </c>
      <c r="AV496" s="487">
        <v>120000000</v>
      </c>
      <c r="AW496" s="486"/>
      <c r="AX496" s="486"/>
      <c r="AY496" s="486"/>
      <c r="AZ496" s="488">
        <v>0</v>
      </c>
      <c r="BA496" s="490">
        <v>120000000</v>
      </c>
      <c r="BB496" s="486">
        <v>0</v>
      </c>
      <c r="BC496" s="486">
        <v>0</v>
      </c>
      <c r="BD496" s="486">
        <v>0</v>
      </c>
      <c r="BE496" s="486">
        <v>0</v>
      </c>
      <c r="BF496" s="486">
        <v>120000000</v>
      </c>
      <c r="BG496" s="486">
        <v>0</v>
      </c>
      <c r="BH496" s="486">
        <v>0</v>
      </c>
      <c r="BI496" s="486">
        <v>0</v>
      </c>
      <c r="BJ496" s="487">
        <v>120000000</v>
      </c>
      <c r="BK496" s="486"/>
      <c r="BL496" s="486"/>
      <c r="BM496" s="486"/>
      <c r="BN496" s="488">
        <v>0</v>
      </c>
      <c r="BO496" s="490">
        <v>120000000</v>
      </c>
      <c r="BP496" s="486">
        <v>0</v>
      </c>
      <c r="BQ496" s="486">
        <v>0</v>
      </c>
      <c r="BR496" s="486">
        <v>0</v>
      </c>
      <c r="BS496" s="486">
        <v>0</v>
      </c>
      <c r="BT496" s="486">
        <v>120000000</v>
      </c>
      <c r="BU496" s="486">
        <v>0</v>
      </c>
      <c r="BV496" s="486">
        <v>0</v>
      </c>
      <c r="BW496" s="486">
        <v>0</v>
      </c>
      <c r="BX496" s="487">
        <v>120000000</v>
      </c>
      <c r="BY496" s="486"/>
      <c r="BZ496" s="486"/>
      <c r="CA496" s="486"/>
      <c r="CB496" s="488">
        <v>0</v>
      </c>
      <c r="CC496" s="491">
        <v>120000000</v>
      </c>
      <c r="CD496" s="492">
        <v>480000000</v>
      </c>
      <c r="CE496" s="493">
        <f t="shared" si="32"/>
        <v>0</v>
      </c>
      <c r="CF496" s="493">
        <f t="shared" si="32"/>
        <v>0</v>
      </c>
      <c r="CG496" s="493">
        <f t="shared" si="32"/>
        <v>0</v>
      </c>
      <c r="CH496" s="493">
        <f t="shared" si="31"/>
        <v>0</v>
      </c>
      <c r="CI496" s="493">
        <f t="shared" si="31"/>
        <v>480000000</v>
      </c>
      <c r="CJ496" s="493">
        <f t="shared" si="31"/>
        <v>0</v>
      </c>
      <c r="CK496" s="493">
        <f t="shared" si="31"/>
        <v>0</v>
      </c>
      <c r="CL496" s="493">
        <f t="shared" si="31"/>
        <v>0</v>
      </c>
      <c r="CM496" s="493">
        <f t="shared" si="34"/>
        <v>0</v>
      </c>
      <c r="CN496" s="493">
        <f t="shared" si="34"/>
        <v>0</v>
      </c>
      <c r="CO496" s="493">
        <f t="shared" si="34"/>
        <v>0</v>
      </c>
    </row>
    <row r="497" spans="1:93" ht="30.45" hidden="1" customHeight="1">
      <c r="A497" s="555" t="s">
        <v>4254</v>
      </c>
      <c r="B497" s="479">
        <v>495</v>
      </c>
      <c r="C497" s="480" t="s">
        <v>6370</v>
      </c>
      <c r="D497" s="480" t="s">
        <v>4802</v>
      </c>
      <c r="E497" s="480" t="str">
        <f t="shared" si="33"/>
        <v>4.3.11</v>
      </c>
      <c r="F497" s="480" t="s">
        <v>4920</v>
      </c>
      <c r="G497" s="480" t="s">
        <v>4921</v>
      </c>
      <c r="H497" s="481">
        <v>40</v>
      </c>
      <c r="I497" s="480" t="s">
        <v>4250</v>
      </c>
      <c r="J497" s="495">
        <v>400305500</v>
      </c>
      <c r="K497" s="480" t="s">
        <v>4175</v>
      </c>
      <c r="L497" s="480" t="s">
        <v>4923</v>
      </c>
      <c r="M497" s="480" t="s">
        <v>6079</v>
      </c>
      <c r="N497" s="499">
        <v>0</v>
      </c>
      <c r="O497" s="480" t="s">
        <v>4911</v>
      </c>
      <c r="P497" s="515">
        <v>13</v>
      </c>
      <c r="Q497" s="485" t="s">
        <v>5511</v>
      </c>
      <c r="R497" s="485" t="s">
        <v>5583</v>
      </c>
      <c r="S497" s="485" t="s">
        <v>683</v>
      </c>
      <c r="T497" s="485">
        <v>1</v>
      </c>
      <c r="U497" s="485" t="s">
        <v>4911</v>
      </c>
      <c r="V497" s="485">
        <v>160</v>
      </c>
      <c r="W497" s="485" t="s">
        <v>5372</v>
      </c>
      <c r="X497" s="485" t="s">
        <v>5582</v>
      </c>
      <c r="Y497" s="485" t="s">
        <v>5582</v>
      </c>
      <c r="Z497" s="486">
        <v>0</v>
      </c>
      <c r="AA497" s="486">
        <v>0</v>
      </c>
      <c r="AB497" s="486">
        <v>0</v>
      </c>
      <c r="AC497" s="486">
        <v>0</v>
      </c>
      <c r="AD497" s="486">
        <v>120000000</v>
      </c>
      <c r="AE497" s="486">
        <v>0</v>
      </c>
      <c r="AF497" s="486">
        <v>0</v>
      </c>
      <c r="AG497" s="486">
        <v>0</v>
      </c>
      <c r="AH497" s="487">
        <v>120000000</v>
      </c>
      <c r="AI497" s="486"/>
      <c r="AJ497" s="486"/>
      <c r="AK497" s="486"/>
      <c r="AL497" s="488">
        <v>0</v>
      </c>
      <c r="AM497" s="489">
        <v>120000000</v>
      </c>
      <c r="AN497" s="486">
        <v>0</v>
      </c>
      <c r="AO497" s="486">
        <v>0</v>
      </c>
      <c r="AP497" s="486">
        <v>0</v>
      </c>
      <c r="AQ497" s="486">
        <v>0</v>
      </c>
      <c r="AR497" s="486">
        <v>120000000</v>
      </c>
      <c r="AS497" s="486">
        <v>0</v>
      </c>
      <c r="AT497" s="486">
        <v>0</v>
      </c>
      <c r="AU497" s="486">
        <v>0</v>
      </c>
      <c r="AV497" s="487">
        <v>120000000</v>
      </c>
      <c r="AW497" s="486"/>
      <c r="AX497" s="486"/>
      <c r="AY497" s="486"/>
      <c r="AZ497" s="488">
        <v>0</v>
      </c>
      <c r="BA497" s="490">
        <v>120000000</v>
      </c>
      <c r="BB497" s="486">
        <v>0</v>
      </c>
      <c r="BC497" s="486">
        <v>0</v>
      </c>
      <c r="BD497" s="486">
        <v>0</v>
      </c>
      <c r="BE497" s="486">
        <v>0</v>
      </c>
      <c r="BF497" s="486">
        <v>120000000</v>
      </c>
      <c r="BG497" s="486">
        <v>0</v>
      </c>
      <c r="BH497" s="486">
        <v>0</v>
      </c>
      <c r="BI497" s="486">
        <v>0</v>
      </c>
      <c r="BJ497" s="487">
        <v>120000000</v>
      </c>
      <c r="BK497" s="486"/>
      <c r="BL497" s="486"/>
      <c r="BM497" s="486"/>
      <c r="BN497" s="488">
        <v>0</v>
      </c>
      <c r="BO497" s="490">
        <v>120000000</v>
      </c>
      <c r="BP497" s="486">
        <v>0</v>
      </c>
      <c r="BQ497" s="486">
        <v>0</v>
      </c>
      <c r="BR497" s="486">
        <v>0</v>
      </c>
      <c r="BS497" s="486">
        <v>0</v>
      </c>
      <c r="BT497" s="486">
        <v>120000000</v>
      </c>
      <c r="BU497" s="486">
        <v>0</v>
      </c>
      <c r="BV497" s="486">
        <v>0</v>
      </c>
      <c r="BW497" s="486">
        <v>0</v>
      </c>
      <c r="BX497" s="487">
        <v>120000000</v>
      </c>
      <c r="BY497" s="486"/>
      <c r="BZ497" s="486"/>
      <c r="CA497" s="486"/>
      <c r="CB497" s="488">
        <v>0</v>
      </c>
      <c r="CC497" s="491">
        <v>120000000</v>
      </c>
      <c r="CD497" s="492">
        <v>480000000</v>
      </c>
      <c r="CE497" s="493">
        <f t="shared" si="32"/>
        <v>0</v>
      </c>
      <c r="CF497" s="493">
        <f t="shared" si="32"/>
        <v>0</v>
      </c>
      <c r="CG497" s="493">
        <f t="shared" si="32"/>
        <v>0</v>
      </c>
      <c r="CH497" s="493">
        <f t="shared" si="31"/>
        <v>0</v>
      </c>
      <c r="CI497" s="493">
        <f t="shared" si="31"/>
        <v>480000000</v>
      </c>
      <c r="CJ497" s="493">
        <f t="shared" si="31"/>
        <v>0</v>
      </c>
      <c r="CK497" s="493">
        <f t="shared" si="31"/>
        <v>0</v>
      </c>
      <c r="CL497" s="493">
        <f t="shared" si="31"/>
        <v>0</v>
      </c>
      <c r="CM497" s="493">
        <f t="shared" si="34"/>
        <v>0</v>
      </c>
      <c r="CN497" s="493">
        <f t="shared" si="34"/>
        <v>0</v>
      </c>
      <c r="CO497" s="493">
        <f t="shared" si="34"/>
        <v>0</v>
      </c>
    </row>
    <row r="498" spans="1:93" ht="30.45" hidden="1" customHeight="1">
      <c r="A498" s="555" t="s">
        <v>4254</v>
      </c>
      <c r="B498" s="479">
        <v>496</v>
      </c>
      <c r="C498" s="480" t="s">
        <v>6370</v>
      </c>
      <c r="D498" s="480" t="s">
        <v>4802</v>
      </c>
      <c r="E498" s="480" t="str">
        <f t="shared" si="33"/>
        <v>4.3.11</v>
      </c>
      <c r="F498" s="480" t="s">
        <v>4920</v>
      </c>
      <c r="G498" s="480" t="s">
        <v>4921</v>
      </c>
      <c r="H498" s="481">
        <v>40</v>
      </c>
      <c r="I498" s="480" t="s">
        <v>4250</v>
      </c>
      <c r="J498" s="495">
        <v>400305500</v>
      </c>
      <c r="K498" s="480" t="s">
        <v>4175</v>
      </c>
      <c r="L498" s="480" t="s">
        <v>4924</v>
      </c>
      <c r="M498" s="480" t="s">
        <v>6080</v>
      </c>
      <c r="N498" s="499">
        <v>0</v>
      </c>
      <c r="O498" s="480" t="s">
        <v>4911</v>
      </c>
      <c r="P498" s="515">
        <v>109</v>
      </c>
      <c r="Q498" s="485" t="s">
        <v>5511</v>
      </c>
      <c r="R498" s="485" t="s">
        <v>5583</v>
      </c>
      <c r="S498" s="485" t="s">
        <v>683</v>
      </c>
      <c r="T498" s="485">
        <v>1</v>
      </c>
      <c r="U498" s="485" t="s">
        <v>4911</v>
      </c>
      <c r="V498" s="485">
        <v>160</v>
      </c>
      <c r="W498" s="485" t="s">
        <v>5372</v>
      </c>
      <c r="X498" s="485" t="s">
        <v>5582</v>
      </c>
      <c r="Y498" s="485" t="s">
        <v>5582</v>
      </c>
      <c r="Z498" s="486">
        <v>0</v>
      </c>
      <c r="AA498" s="486">
        <v>0</v>
      </c>
      <c r="AB498" s="486">
        <v>0</v>
      </c>
      <c r="AC498" s="486">
        <v>0</v>
      </c>
      <c r="AD498" s="486">
        <v>120000000</v>
      </c>
      <c r="AE498" s="486">
        <v>0</v>
      </c>
      <c r="AF498" s="486">
        <v>0</v>
      </c>
      <c r="AG498" s="486">
        <v>0</v>
      </c>
      <c r="AH498" s="487">
        <v>120000000</v>
      </c>
      <c r="AI498" s="486"/>
      <c r="AJ498" s="486"/>
      <c r="AK498" s="486"/>
      <c r="AL498" s="488">
        <v>0</v>
      </c>
      <c r="AM498" s="489">
        <v>120000000</v>
      </c>
      <c r="AN498" s="486">
        <v>0</v>
      </c>
      <c r="AO498" s="486">
        <v>0</v>
      </c>
      <c r="AP498" s="486">
        <v>0</v>
      </c>
      <c r="AQ498" s="486">
        <v>0</v>
      </c>
      <c r="AR498" s="486">
        <v>120000000</v>
      </c>
      <c r="AS498" s="486">
        <v>0</v>
      </c>
      <c r="AT498" s="486">
        <v>0</v>
      </c>
      <c r="AU498" s="486">
        <v>0</v>
      </c>
      <c r="AV498" s="487">
        <v>120000000</v>
      </c>
      <c r="AW498" s="486"/>
      <c r="AX498" s="486"/>
      <c r="AY498" s="486"/>
      <c r="AZ498" s="488">
        <v>0</v>
      </c>
      <c r="BA498" s="490">
        <v>120000000</v>
      </c>
      <c r="BB498" s="486">
        <v>0</v>
      </c>
      <c r="BC498" s="486">
        <v>0</v>
      </c>
      <c r="BD498" s="486">
        <v>0</v>
      </c>
      <c r="BE498" s="486">
        <v>0</v>
      </c>
      <c r="BF498" s="486">
        <v>120000000</v>
      </c>
      <c r="BG498" s="486">
        <v>0</v>
      </c>
      <c r="BH498" s="486">
        <v>0</v>
      </c>
      <c r="BI498" s="486">
        <v>0</v>
      </c>
      <c r="BJ498" s="487">
        <v>120000000</v>
      </c>
      <c r="BK498" s="486"/>
      <c r="BL498" s="486"/>
      <c r="BM498" s="486"/>
      <c r="BN498" s="488">
        <v>0</v>
      </c>
      <c r="BO498" s="490">
        <v>120000000</v>
      </c>
      <c r="BP498" s="486">
        <v>0</v>
      </c>
      <c r="BQ498" s="486">
        <v>0</v>
      </c>
      <c r="BR498" s="486">
        <v>0</v>
      </c>
      <c r="BS498" s="486">
        <v>0</v>
      </c>
      <c r="BT498" s="486">
        <v>120000000</v>
      </c>
      <c r="BU498" s="486">
        <v>0</v>
      </c>
      <c r="BV498" s="486">
        <v>0</v>
      </c>
      <c r="BW498" s="486">
        <v>0</v>
      </c>
      <c r="BX498" s="487">
        <v>120000000</v>
      </c>
      <c r="BY498" s="486"/>
      <c r="BZ498" s="486"/>
      <c r="CA498" s="486"/>
      <c r="CB498" s="488">
        <v>0</v>
      </c>
      <c r="CC498" s="491">
        <v>120000000</v>
      </c>
      <c r="CD498" s="492">
        <v>480000000</v>
      </c>
      <c r="CE498" s="493">
        <f t="shared" si="32"/>
        <v>0</v>
      </c>
      <c r="CF498" s="493">
        <f t="shared" si="32"/>
        <v>0</v>
      </c>
      <c r="CG498" s="493">
        <f t="shared" si="32"/>
        <v>0</v>
      </c>
      <c r="CH498" s="493">
        <f t="shared" si="31"/>
        <v>0</v>
      </c>
      <c r="CI498" s="493">
        <f t="shared" si="31"/>
        <v>480000000</v>
      </c>
      <c r="CJ498" s="493">
        <f t="shared" si="31"/>
        <v>0</v>
      </c>
      <c r="CK498" s="493">
        <f t="shared" si="31"/>
        <v>0</v>
      </c>
      <c r="CL498" s="493">
        <f t="shared" si="31"/>
        <v>0</v>
      </c>
      <c r="CM498" s="493">
        <f t="shared" si="34"/>
        <v>0</v>
      </c>
      <c r="CN498" s="493">
        <f t="shared" si="34"/>
        <v>0</v>
      </c>
      <c r="CO498" s="493">
        <f t="shared" si="34"/>
        <v>0</v>
      </c>
    </row>
    <row r="499" spans="1:93" ht="30.45" hidden="1" customHeight="1">
      <c r="A499" s="555" t="s">
        <v>4254</v>
      </c>
      <c r="B499" s="479">
        <v>497</v>
      </c>
      <c r="C499" s="480" t="s">
        <v>6370</v>
      </c>
      <c r="D499" s="480" t="s">
        <v>4802</v>
      </c>
      <c r="E499" s="480" t="str">
        <f t="shared" si="33"/>
        <v>4.3.11</v>
      </c>
      <c r="F499" s="480" t="s">
        <v>4920</v>
      </c>
      <c r="G499" s="480" t="s">
        <v>4921</v>
      </c>
      <c r="H499" s="481">
        <v>40</v>
      </c>
      <c r="I499" s="480" t="s">
        <v>4250</v>
      </c>
      <c r="J499" s="495">
        <v>400305500</v>
      </c>
      <c r="K499" s="480" t="s">
        <v>4175</v>
      </c>
      <c r="L499" s="480" t="s">
        <v>4925</v>
      </c>
      <c r="M499" s="480" t="s">
        <v>6081</v>
      </c>
      <c r="N499" s="499">
        <v>0</v>
      </c>
      <c r="O499" s="480" t="s">
        <v>4911</v>
      </c>
      <c r="P499" s="515">
        <v>120</v>
      </c>
      <c r="Q499" s="485" t="s">
        <v>5511</v>
      </c>
      <c r="R499" s="485" t="s">
        <v>5583</v>
      </c>
      <c r="S499" s="485" t="s">
        <v>683</v>
      </c>
      <c r="T499" s="485">
        <v>1</v>
      </c>
      <c r="U499" s="485" t="s">
        <v>4911</v>
      </c>
      <c r="V499" s="485">
        <v>160</v>
      </c>
      <c r="W499" s="485" t="s">
        <v>5372</v>
      </c>
      <c r="X499" s="485" t="s">
        <v>5582</v>
      </c>
      <c r="Y499" s="485" t="s">
        <v>5582</v>
      </c>
      <c r="Z499" s="486">
        <v>0</v>
      </c>
      <c r="AA499" s="486">
        <v>0</v>
      </c>
      <c r="AB499" s="486">
        <v>0</v>
      </c>
      <c r="AC499" s="486">
        <v>0</v>
      </c>
      <c r="AD499" s="486">
        <v>120000000</v>
      </c>
      <c r="AE499" s="486">
        <v>0</v>
      </c>
      <c r="AF499" s="486">
        <v>0</v>
      </c>
      <c r="AG499" s="486">
        <v>0</v>
      </c>
      <c r="AH499" s="487">
        <v>120000000</v>
      </c>
      <c r="AI499" s="486"/>
      <c r="AJ499" s="486"/>
      <c r="AK499" s="486"/>
      <c r="AL499" s="488">
        <v>0</v>
      </c>
      <c r="AM499" s="489">
        <v>120000000</v>
      </c>
      <c r="AN499" s="486">
        <v>0</v>
      </c>
      <c r="AO499" s="486">
        <v>0</v>
      </c>
      <c r="AP499" s="486">
        <v>0</v>
      </c>
      <c r="AQ499" s="486">
        <v>0</v>
      </c>
      <c r="AR499" s="486">
        <v>120000000</v>
      </c>
      <c r="AS499" s="486">
        <v>0</v>
      </c>
      <c r="AT499" s="486">
        <v>0</v>
      </c>
      <c r="AU499" s="486">
        <v>0</v>
      </c>
      <c r="AV499" s="487">
        <v>120000000</v>
      </c>
      <c r="AW499" s="486"/>
      <c r="AX499" s="486"/>
      <c r="AY499" s="486"/>
      <c r="AZ499" s="488">
        <v>0</v>
      </c>
      <c r="BA499" s="490">
        <v>120000000</v>
      </c>
      <c r="BB499" s="486">
        <v>0</v>
      </c>
      <c r="BC499" s="486">
        <v>0</v>
      </c>
      <c r="BD499" s="486">
        <v>0</v>
      </c>
      <c r="BE499" s="486">
        <v>0</v>
      </c>
      <c r="BF499" s="486">
        <v>120000000</v>
      </c>
      <c r="BG499" s="486">
        <v>0</v>
      </c>
      <c r="BH499" s="486">
        <v>0</v>
      </c>
      <c r="BI499" s="486">
        <v>0</v>
      </c>
      <c r="BJ499" s="487">
        <v>120000000</v>
      </c>
      <c r="BK499" s="486"/>
      <c r="BL499" s="486"/>
      <c r="BM499" s="486"/>
      <c r="BN499" s="488">
        <v>0</v>
      </c>
      <c r="BO499" s="490">
        <v>120000000</v>
      </c>
      <c r="BP499" s="486">
        <v>0</v>
      </c>
      <c r="BQ499" s="486">
        <v>0</v>
      </c>
      <c r="BR499" s="486">
        <v>0</v>
      </c>
      <c r="BS499" s="486">
        <v>0</v>
      </c>
      <c r="BT499" s="486">
        <v>120000000</v>
      </c>
      <c r="BU499" s="486">
        <v>0</v>
      </c>
      <c r="BV499" s="486">
        <v>0</v>
      </c>
      <c r="BW499" s="486">
        <v>0</v>
      </c>
      <c r="BX499" s="487">
        <v>120000000</v>
      </c>
      <c r="BY499" s="486"/>
      <c r="BZ499" s="486"/>
      <c r="CA499" s="486"/>
      <c r="CB499" s="488">
        <v>0</v>
      </c>
      <c r="CC499" s="491">
        <v>120000000</v>
      </c>
      <c r="CD499" s="492">
        <v>480000000</v>
      </c>
      <c r="CE499" s="493">
        <f t="shared" si="32"/>
        <v>0</v>
      </c>
      <c r="CF499" s="493">
        <f t="shared" si="32"/>
        <v>0</v>
      </c>
      <c r="CG499" s="493">
        <f t="shared" si="32"/>
        <v>0</v>
      </c>
      <c r="CH499" s="493">
        <f t="shared" si="31"/>
        <v>0</v>
      </c>
      <c r="CI499" s="493">
        <f t="shared" si="31"/>
        <v>480000000</v>
      </c>
      <c r="CJ499" s="493">
        <f t="shared" si="31"/>
        <v>0</v>
      </c>
      <c r="CK499" s="493">
        <f t="shared" si="31"/>
        <v>0</v>
      </c>
      <c r="CL499" s="493">
        <f t="shared" si="31"/>
        <v>0</v>
      </c>
      <c r="CM499" s="493">
        <f t="shared" si="34"/>
        <v>0</v>
      </c>
      <c r="CN499" s="493">
        <f t="shared" si="34"/>
        <v>0</v>
      </c>
      <c r="CO499" s="493">
        <f t="shared" si="34"/>
        <v>0</v>
      </c>
    </row>
    <row r="500" spans="1:93" ht="30.45" hidden="1" customHeight="1">
      <c r="A500" s="555" t="s">
        <v>4254</v>
      </c>
      <c r="B500" s="479">
        <v>498</v>
      </c>
      <c r="C500" s="480" t="s">
        <v>6370</v>
      </c>
      <c r="D500" s="480" t="s">
        <v>4802</v>
      </c>
      <c r="E500" s="480" t="str">
        <f t="shared" si="33"/>
        <v>4.3.11</v>
      </c>
      <c r="F500" s="480" t="s">
        <v>4920</v>
      </c>
      <c r="G500" s="480" t="s">
        <v>4921</v>
      </c>
      <c r="H500" s="481">
        <v>40</v>
      </c>
      <c r="I500" s="480" t="s">
        <v>4250</v>
      </c>
      <c r="J500" s="495">
        <v>400305500</v>
      </c>
      <c r="K500" s="480" t="s">
        <v>4175</v>
      </c>
      <c r="L500" s="480" t="s">
        <v>6624</v>
      </c>
      <c r="M500" s="480" t="s">
        <v>6082</v>
      </c>
      <c r="N500" s="499">
        <v>0</v>
      </c>
      <c r="O500" s="480" t="s">
        <v>4911</v>
      </c>
      <c r="P500" s="515">
        <v>100</v>
      </c>
      <c r="Q500" s="485" t="s">
        <v>5511</v>
      </c>
      <c r="R500" s="485" t="s">
        <v>5583</v>
      </c>
      <c r="S500" s="485" t="s">
        <v>683</v>
      </c>
      <c r="T500" s="485">
        <v>1</v>
      </c>
      <c r="U500" s="485" t="s">
        <v>4911</v>
      </c>
      <c r="V500" s="485">
        <v>160</v>
      </c>
      <c r="W500" s="485" t="s">
        <v>5372</v>
      </c>
      <c r="X500" s="485" t="s">
        <v>5582</v>
      </c>
      <c r="Y500" s="485" t="s">
        <v>5582</v>
      </c>
      <c r="Z500" s="486">
        <v>0</v>
      </c>
      <c r="AA500" s="486">
        <v>0</v>
      </c>
      <c r="AB500" s="486">
        <v>0</v>
      </c>
      <c r="AC500" s="486">
        <v>0</v>
      </c>
      <c r="AD500" s="486">
        <v>120000000</v>
      </c>
      <c r="AE500" s="486">
        <v>0</v>
      </c>
      <c r="AF500" s="486">
        <v>0</v>
      </c>
      <c r="AG500" s="486">
        <v>0</v>
      </c>
      <c r="AH500" s="487">
        <v>120000000</v>
      </c>
      <c r="AI500" s="486"/>
      <c r="AJ500" s="486"/>
      <c r="AK500" s="486"/>
      <c r="AL500" s="488">
        <v>0</v>
      </c>
      <c r="AM500" s="489">
        <v>120000000</v>
      </c>
      <c r="AN500" s="486">
        <v>0</v>
      </c>
      <c r="AO500" s="486">
        <v>0</v>
      </c>
      <c r="AP500" s="486">
        <v>0</v>
      </c>
      <c r="AQ500" s="486">
        <v>0</v>
      </c>
      <c r="AR500" s="486">
        <v>120000000</v>
      </c>
      <c r="AS500" s="486">
        <v>0</v>
      </c>
      <c r="AT500" s="486">
        <v>0</v>
      </c>
      <c r="AU500" s="486">
        <v>0</v>
      </c>
      <c r="AV500" s="487">
        <v>120000000</v>
      </c>
      <c r="AW500" s="486"/>
      <c r="AX500" s="486"/>
      <c r="AY500" s="486"/>
      <c r="AZ500" s="488">
        <v>0</v>
      </c>
      <c r="BA500" s="490">
        <v>120000000</v>
      </c>
      <c r="BB500" s="486">
        <v>0</v>
      </c>
      <c r="BC500" s="486">
        <v>0</v>
      </c>
      <c r="BD500" s="486">
        <v>0</v>
      </c>
      <c r="BE500" s="486">
        <v>0</v>
      </c>
      <c r="BF500" s="486">
        <v>120000000</v>
      </c>
      <c r="BG500" s="486">
        <v>0</v>
      </c>
      <c r="BH500" s="486">
        <v>0</v>
      </c>
      <c r="BI500" s="486">
        <v>0</v>
      </c>
      <c r="BJ500" s="487">
        <v>120000000</v>
      </c>
      <c r="BK500" s="486"/>
      <c r="BL500" s="486"/>
      <c r="BM500" s="486"/>
      <c r="BN500" s="488">
        <v>0</v>
      </c>
      <c r="BO500" s="490">
        <v>120000000</v>
      </c>
      <c r="BP500" s="486">
        <v>0</v>
      </c>
      <c r="BQ500" s="486">
        <v>0</v>
      </c>
      <c r="BR500" s="486">
        <v>0</v>
      </c>
      <c r="BS500" s="486">
        <v>0</v>
      </c>
      <c r="BT500" s="486">
        <v>120000000</v>
      </c>
      <c r="BU500" s="486">
        <v>0</v>
      </c>
      <c r="BV500" s="486">
        <v>0</v>
      </c>
      <c r="BW500" s="486">
        <v>0</v>
      </c>
      <c r="BX500" s="487">
        <v>120000000</v>
      </c>
      <c r="BY500" s="486"/>
      <c r="BZ500" s="486"/>
      <c r="CA500" s="486"/>
      <c r="CB500" s="488">
        <v>0</v>
      </c>
      <c r="CC500" s="491">
        <v>120000000</v>
      </c>
      <c r="CD500" s="492">
        <v>480000000</v>
      </c>
      <c r="CE500" s="493">
        <f t="shared" si="32"/>
        <v>0</v>
      </c>
      <c r="CF500" s="493">
        <f t="shared" si="32"/>
        <v>0</v>
      </c>
      <c r="CG500" s="493">
        <f t="shared" si="32"/>
        <v>0</v>
      </c>
      <c r="CH500" s="493">
        <f t="shared" si="31"/>
        <v>0</v>
      </c>
      <c r="CI500" s="493">
        <f t="shared" si="31"/>
        <v>480000000</v>
      </c>
      <c r="CJ500" s="493">
        <f t="shared" si="31"/>
        <v>0</v>
      </c>
      <c r="CK500" s="493">
        <f t="shared" si="31"/>
        <v>0</v>
      </c>
      <c r="CL500" s="493">
        <f t="shared" si="31"/>
        <v>0</v>
      </c>
      <c r="CM500" s="493">
        <f t="shared" si="34"/>
        <v>0</v>
      </c>
      <c r="CN500" s="493">
        <f t="shared" si="34"/>
        <v>0</v>
      </c>
      <c r="CO500" s="493">
        <f t="shared" si="34"/>
        <v>0</v>
      </c>
    </row>
    <row r="501" spans="1:93" ht="30.45" hidden="1" customHeight="1">
      <c r="A501" s="555" t="s">
        <v>4170</v>
      </c>
      <c r="B501" s="479">
        <v>499</v>
      </c>
      <c r="C501" s="480" t="s">
        <v>6370</v>
      </c>
      <c r="D501" s="480" t="s">
        <v>4802</v>
      </c>
      <c r="E501" s="480" t="str">
        <f t="shared" si="33"/>
        <v>4.3.12</v>
      </c>
      <c r="F501" s="480" t="s">
        <v>4926</v>
      </c>
      <c r="G501" s="480" t="s">
        <v>4927</v>
      </c>
      <c r="H501" s="481">
        <v>45</v>
      </c>
      <c r="I501" s="480" t="s">
        <v>4180</v>
      </c>
      <c r="J501" s="495">
        <v>459902800</v>
      </c>
      <c r="K501" s="480" t="s">
        <v>4181</v>
      </c>
      <c r="L501" s="480" t="s">
        <v>4197</v>
      </c>
      <c r="M501" s="480" t="s">
        <v>6083</v>
      </c>
      <c r="N501" s="499">
        <v>1</v>
      </c>
      <c r="O501" s="480" t="s">
        <v>4928</v>
      </c>
      <c r="P501" s="515">
        <v>1</v>
      </c>
      <c r="Q501" s="485" t="s">
        <v>5511</v>
      </c>
      <c r="R501" s="485" t="s">
        <v>5584</v>
      </c>
      <c r="S501" s="485" t="s">
        <v>689</v>
      </c>
      <c r="T501" s="485">
        <v>79.5</v>
      </c>
      <c r="U501" s="485" t="s">
        <v>5374</v>
      </c>
      <c r="V501" s="485">
        <v>85</v>
      </c>
      <c r="W501" s="485" t="s">
        <v>5585</v>
      </c>
      <c r="X501" s="485" t="s">
        <v>5585</v>
      </c>
      <c r="Y501" s="485">
        <v>0</v>
      </c>
      <c r="Z501" s="486">
        <v>176306207</v>
      </c>
      <c r="AA501" s="486">
        <v>0</v>
      </c>
      <c r="AB501" s="486">
        <v>0</v>
      </c>
      <c r="AC501" s="486">
        <v>0</v>
      </c>
      <c r="AD501" s="486">
        <v>0</v>
      </c>
      <c r="AE501" s="486">
        <v>0</v>
      </c>
      <c r="AF501" s="486">
        <v>0</v>
      </c>
      <c r="AG501" s="486">
        <v>0</v>
      </c>
      <c r="AH501" s="487">
        <v>176306207</v>
      </c>
      <c r="AI501" s="486">
        <v>0</v>
      </c>
      <c r="AJ501" s="486">
        <v>0</v>
      </c>
      <c r="AK501" s="486">
        <v>0</v>
      </c>
      <c r="AL501" s="488">
        <v>0</v>
      </c>
      <c r="AM501" s="489">
        <v>176306207</v>
      </c>
      <c r="AN501" s="486">
        <v>193736828</v>
      </c>
      <c r="AO501" s="486">
        <v>0</v>
      </c>
      <c r="AP501" s="486">
        <v>0</v>
      </c>
      <c r="AQ501" s="486">
        <v>0</v>
      </c>
      <c r="AR501" s="486">
        <v>0</v>
      </c>
      <c r="AS501" s="486">
        <v>0</v>
      </c>
      <c r="AT501" s="486">
        <v>0</v>
      </c>
      <c r="AU501" s="486">
        <v>0</v>
      </c>
      <c r="AV501" s="487">
        <v>193736828</v>
      </c>
      <c r="AW501" s="486">
        <v>0</v>
      </c>
      <c r="AX501" s="486">
        <v>0</v>
      </c>
      <c r="AY501" s="486">
        <v>0</v>
      </c>
      <c r="AZ501" s="488">
        <v>0</v>
      </c>
      <c r="BA501" s="490">
        <v>193736828</v>
      </c>
      <c r="BB501" s="486">
        <v>213330511</v>
      </c>
      <c r="BC501" s="486">
        <v>0</v>
      </c>
      <c r="BD501" s="486">
        <v>0</v>
      </c>
      <c r="BE501" s="486">
        <v>0</v>
      </c>
      <c r="BF501" s="486">
        <v>0</v>
      </c>
      <c r="BG501" s="486">
        <v>0</v>
      </c>
      <c r="BH501" s="486">
        <v>0</v>
      </c>
      <c r="BI501" s="486">
        <v>0</v>
      </c>
      <c r="BJ501" s="487">
        <v>213330511</v>
      </c>
      <c r="BK501" s="486">
        <v>0</v>
      </c>
      <c r="BL501" s="486">
        <v>0</v>
      </c>
      <c r="BM501" s="486">
        <v>0</v>
      </c>
      <c r="BN501" s="488">
        <v>0</v>
      </c>
      <c r="BO501" s="490">
        <v>213330511</v>
      </c>
      <c r="BP501" s="486">
        <v>234663562</v>
      </c>
      <c r="BQ501" s="486">
        <v>0</v>
      </c>
      <c r="BR501" s="486">
        <v>0</v>
      </c>
      <c r="BS501" s="486">
        <v>0</v>
      </c>
      <c r="BT501" s="486">
        <v>0</v>
      </c>
      <c r="BU501" s="486">
        <v>0</v>
      </c>
      <c r="BV501" s="486">
        <v>0</v>
      </c>
      <c r="BW501" s="486">
        <v>0</v>
      </c>
      <c r="BX501" s="487">
        <v>234663562</v>
      </c>
      <c r="BY501" s="486">
        <v>0</v>
      </c>
      <c r="BZ501" s="486">
        <v>0</v>
      </c>
      <c r="CA501" s="486">
        <v>0</v>
      </c>
      <c r="CB501" s="488">
        <v>0</v>
      </c>
      <c r="CC501" s="491">
        <v>234663562</v>
      </c>
      <c r="CD501" s="492">
        <v>818037108</v>
      </c>
      <c r="CE501" s="493">
        <f t="shared" si="32"/>
        <v>818037108</v>
      </c>
      <c r="CF501" s="493">
        <f t="shared" si="32"/>
        <v>0</v>
      </c>
      <c r="CG501" s="493">
        <f t="shared" si="32"/>
        <v>0</v>
      </c>
      <c r="CH501" s="493">
        <f t="shared" si="31"/>
        <v>0</v>
      </c>
      <c r="CI501" s="493">
        <f t="shared" si="31"/>
        <v>0</v>
      </c>
      <c r="CJ501" s="493">
        <f t="shared" si="31"/>
        <v>0</v>
      </c>
      <c r="CK501" s="493">
        <f t="shared" si="31"/>
        <v>0</v>
      </c>
      <c r="CL501" s="493">
        <f t="shared" si="31"/>
        <v>0</v>
      </c>
      <c r="CM501" s="493">
        <f t="shared" si="34"/>
        <v>0</v>
      </c>
      <c r="CN501" s="493">
        <f t="shared" si="34"/>
        <v>0</v>
      </c>
      <c r="CO501" s="493">
        <f t="shared" si="34"/>
        <v>0</v>
      </c>
    </row>
    <row r="502" spans="1:93" ht="30.45" hidden="1" customHeight="1">
      <c r="A502" s="555" t="s">
        <v>4170</v>
      </c>
      <c r="B502" s="479">
        <v>500</v>
      </c>
      <c r="C502" s="480" t="s">
        <v>6370</v>
      </c>
      <c r="D502" s="480" t="s">
        <v>4802</v>
      </c>
      <c r="E502" s="480" t="str">
        <f t="shared" si="33"/>
        <v>4.3.12</v>
      </c>
      <c r="F502" s="480" t="s">
        <v>4926</v>
      </c>
      <c r="G502" s="480" t="s">
        <v>4927</v>
      </c>
      <c r="H502" s="481">
        <v>40</v>
      </c>
      <c r="I502" s="480" t="s">
        <v>4619</v>
      </c>
      <c r="J502" s="495">
        <v>40600900</v>
      </c>
      <c r="K502" s="480" t="s">
        <v>4063</v>
      </c>
      <c r="L502" s="480" t="s">
        <v>4929</v>
      </c>
      <c r="M502" s="480" t="s">
        <v>6084</v>
      </c>
      <c r="N502" s="499">
        <v>5</v>
      </c>
      <c r="O502" s="480" t="s">
        <v>4928</v>
      </c>
      <c r="P502" s="515">
        <v>14</v>
      </c>
      <c r="Q502" s="485" t="s">
        <v>5511</v>
      </c>
      <c r="R502" s="485" t="s">
        <v>5584</v>
      </c>
      <c r="S502" s="485" t="s">
        <v>689</v>
      </c>
      <c r="T502" s="485">
        <v>79.5</v>
      </c>
      <c r="U502" s="485" t="s">
        <v>5374</v>
      </c>
      <c r="V502" s="485">
        <v>85</v>
      </c>
      <c r="W502" s="485" t="s">
        <v>5585</v>
      </c>
      <c r="X502" s="485" t="s">
        <v>5585</v>
      </c>
      <c r="Y502" s="485">
        <v>0</v>
      </c>
      <c r="Z502" s="486">
        <v>0</v>
      </c>
      <c r="AA502" s="486">
        <v>0</v>
      </c>
      <c r="AB502" s="486">
        <v>0</v>
      </c>
      <c r="AC502" s="486">
        <v>0</v>
      </c>
      <c r="AD502" s="486">
        <v>0</v>
      </c>
      <c r="AE502" s="486">
        <v>0</v>
      </c>
      <c r="AF502" s="486">
        <v>0</v>
      </c>
      <c r="AG502" s="486">
        <v>0</v>
      </c>
      <c r="AH502" s="487">
        <v>0</v>
      </c>
      <c r="AI502" s="486">
        <v>100000000</v>
      </c>
      <c r="AJ502" s="486">
        <v>0</v>
      </c>
      <c r="AK502" s="486">
        <v>0</v>
      </c>
      <c r="AL502" s="488">
        <v>100000000</v>
      </c>
      <c r="AM502" s="489">
        <v>100000000</v>
      </c>
      <c r="AN502" s="486">
        <v>0</v>
      </c>
      <c r="AO502" s="486">
        <v>0</v>
      </c>
      <c r="AP502" s="486">
        <v>0</v>
      </c>
      <c r="AQ502" s="486">
        <v>0</v>
      </c>
      <c r="AR502" s="486">
        <v>0</v>
      </c>
      <c r="AS502" s="486">
        <v>0</v>
      </c>
      <c r="AT502" s="486">
        <v>0</v>
      </c>
      <c r="AU502" s="486">
        <v>0</v>
      </c>
      <c r="AV502" s="487">
        <v>0</v>
      </c>
      <c r="AW502" s="486">
        <v>100000000</v>
      </c>
      <c r="AX502" s="486">
        <v>0</v>
      </c>
      <c r="AY502" s="486">
        <v>0</v>
      </c>
      <c r="AZ502" s="488">
        <v>100000000</v>
      </c>
      <c r="BA502" s="490">
        <v>100000000</v>
      </c>
      <c r="BB502" s="486">
        <v>0</v>
      </c>
      <c r="BC502" s="486">
        <v>0</v>
      </c>
      <c r="BD502" s="486">
        <v>0</v>
      </c>
      <c r="BE502" s="486">
        <v>0</v>
      </c>
      <c r="BF502" s="486">
        <v>0</v>
      </c>
      <c r="BG502" s="486">
        <v>0</v>
      </c>
      <c r="BH502" s="486">
        <v>0</v>
      </c>
      <c r="BI502" s="486">
        <v>0</v>
      </c>
      <c r="BJ502" s="487">
        <v>0</v>
      </c>
      <c r="BK502" s="486">
        <v>100000000</v>
      </c>
      <c r="BL502" s="486">
        <v>0</v>
      </c>
      <c r="BM502" s="486">
        <v>0</v>
      </c>
      <c r="BN502" s="488">
        <v>100000000</v>
      </c>
      <c r="BO502" s="490">
        <v>100000000</v>
      </c>
      <c r="BP502" s="486">
        <v>0</v>
      </c>
      <c r="BQ502" s="486">
        <v>0</v>
      </c>
      <c r="BR502" s="486">
        <v>0</v>
      </c>
      <c r="BS502" s="486">
        <v>0</v>
      </c>
      <c r="BT502" s="486">
        <v>0</v>
      </c>
      <c r="BU502" s="486">
        <v>0</v>
      </c>
      <c r="BV502" s="486">
        <v>0</v>
      </c>
      <c r="BW502" s="486">
        <v>0</v>
      </c>
      <c r="BX502" s="487">
        <v>0</v>
      </c>
      <c r="BY502" s="486">
        <v>100000000</v>
      </c>
      <c r="BZ502" s="486">
        <v>0</v>
      </c>
      <c r="CA502" s="486">
        <v>0</v>
      </c>
      <c r="CB502" s="488">
        <v>100000000</v>
      </c>
      <c r="CC502" s="491">
        <v>100000000</v>
      </c>
      <c r="CD502" s="492">
        <v>400000000</v>
      </c>
      <c r="CE502" s="493">
        <f t="shared" si="32"/>
        <v>0</v>
      </c>
      <c r="CF502" s="493">
        <f t="shared" si="32"/>
        <v>0</v>
      </c>
      <c r="CG502" s="493">
        <f t="shared" si="32"/>
        <v>0</v>
      </c>
      <c r="CH502" s="493">
        <f t="shared" si="31"/>
        <v>0</v>
      </c>
      <c r="CI502" s="493">
        <f t="shared" si="31"/>
        <v>0</v>
      </c>
      <c r="CJ502" s="493">
        <f t="shared" si="31"/>
        <v>0</v>
      </c>
      <c r="CK502" s="493">
        <f t="shared" si="31"/>
        <v>0</v>
      </c>
      <c r="CL502" s="493">
        <f t="shared" si="31"/>
        <v>0</v>
      </c>
      <c r="CM502" s="493">
        <f t="shared" si="34"/>
        <v>400000000</v>
      </c>
      <c r="CN502" s="493">
        <f t="shared" si="34"/>
        <v>0</v>
      </c>
      <c r="CO502" s="493">
        <f t="shared" si="34"/>
        <v>0</v>
      </c>
    </row>
    <row r="503" spans="1:93" ht="30.45" hidden="1" customHeight="1">
      <c r="A503" s="555" t="s">
        <v>4170</v>
      </c>
      <c r="B503" s="479">
        <v>501</v>
      </c>
      <c r="C503" s="480" t="s">
        <v>6370</v>
      </c>
      <c r="D503" s="480" t="s">
        <v>4802</v>
      </c>
      <c r="E503" s="480" t="str">
        <f t="shared" si="33"/>
        <v>4.3.12</v>
      </c>
      <c r="F503" s="480" t="s">
        <v>4926</v>
      </c>
      <c r="G503" s="480" t="s">
        <v>4927</v>
      </c>
      <c r="H503" s="481">
        <v>45</v>
      </c>
      <c r="I503" s="480" t="s">
        <v>4180</v>
      </c>
      <c r="J503" s="495">
        <v>459901900</v>
      </c>
      <c r="K503" s="480" t="s">
        <v>4063</v>
      </c>
      <c r="L503" s="480" t="s">
        <v>4207</v>
      </c>
      <c r="M503" s="480" t="s">
        <v>6085</v>
      </c>
      <c r="N503" s="499">
        <v>2</v>
      </c>
      <c r="O503" s="480" t="s">
        <v>4928</v>
      </c>
      <c r="P503" s="515">
        <v>4</v>
      </c>
      <c r="Q503" s="485" t="s">
        <v>5511</v>
      </c>
      <c r="R503" s="485" t="s">
        <v>5584</v>
      </c>
      <c r="S503" s="485" t="s">
        <v>689</v>
      </c>
      <c r="T503" s="485">
        <v>79.5</v>
      </c>
      <c r="U503" s="485" t="s">
        <v>5374</v>
      </c>
      <c r="V503" s="485">
        <v>85</v>
      </c>
      <c r="W503" s="485" t="s">
        <v>5585</v>
      </c>
      <c r="X503" s="485" t="s">
        <v>5585</v>
      </c>
      <c r="Y503" s="485">
        <v>0</v>
      </c>
      <c r="Z503" s="486">
        <v>923489600</v>
      </c>
      <c r="AA503" s="486">
        <v>0</v>
      </c>
      <c r="AB503" s="486">
        <v>0</v>
      </c>
      <c r="AC503" s="486">
        <v>0</v>
      </c>
      <c r="AD503" s="486">
        <v>0</v>
      </c>
      <c r="AE503" s="486">
        <v>0</v>
      </c>
      <c r="AF503" s="486">
        <v>0</v>
      </c>
      <c r="AG503" s="486">
        <v>0</v>
      </c>
      <c r="AH503" s="487">
        <v>923489600</v>
      </c>
      <c r="AI503" s="486">
        <v>0</v>
      </c>
      <c r="AJ503" s="486">
        <v>0</v>
      </c>
      <c r="AK503" s="486">
        <v>0</v>
      </c>
      <c r="AL503" s="488">
        <v>0</v>
      </c>
      <c r="AM503" s="489">
        <v>923489600</v>
      </c>
      <c r="AN503" s="486">
        <v>1015838560</v>
      </c>
      <c r="AO503" s="486">
        <v>0</v>
      </c>
      <c r="AP503" s="486">
        <v>0</v>
      </c>
      <c r="AQ503" s="486">
        <v>0</v>
      </c>
      <c r="AR503" s="486">
        <v>0</v>
      </c>
      <c r="AS503" s="486">
        <v>0</v>
      </c>
      <c r="AT503" s="486">
        <v>0</v>
      </c>
      <c r="AU503" s="486">
        <v>0</v>
      </c>
      <c r="AV503" s="487">
        <v>1015838560</v>
      </c>
      <c r="AW503" s="486">
        <v>0</v>
      </c>
      <c r="AX503" s="486">
        <v>0</v>
      </c>
      <c r="AY503" s="486">
        <v>0</v>
      </c>
      <c r="AZ503" s="488">
        <v>0</v>
      </c>
      <c r="BA503" s="490">
        <v>1015838560</v>
      </c>
      <c r="BB503" s="486">
        <v>1117422416</v>
      </c>
      <c r="BC503" s="486">
        <v>0</v>
      </c>
      <c r="BD503" s="486">
        <v>0</v>
      </c>
      <c r="BE503" s="486">
        <v>0</v>
      </c>
      <c r="BF503" s="486">
        <v>0</v>
      </c>
      <c r="BG503" s="486">
        <v>0</v>
      </c>
      <c r="BH503" s="486">
        <v>0</v>
      </c>
      <c r="BI503" s="486">
        <v>0</v>
      </c>
      <c r="BJ503" s="487">
        <v>1117422416</v>
      </c>
      <c r="BK503" s="486">
        <v>0</v>
      </c>
      <c r="BL503" s="486">
        <v>0</v>
      </c>
      <c r="BM503" s="486">
        <v>0</v>
      </c>
      <c r="BN503" s="488">
        <v>0</v>
      </c>
      <c r="BO503" s="490">
        <v>1117422416</v>
      </c>
      <c r="BP503" s="486">
        <v>1229164657</v>
      </c>
      <c r="BQ503" s="486">
        <v>0</v>
      </c>
      <c r="BR503" s="486">
        <v>0</v>
      </c>
      <c r="BS503" s="486">
        <v>0</v>
      </c>
      <c r="BT503" s="486">
        <v>0</v>
      </c>
      <c r="BU503" s="486">
        <v>0</v>
      </c>
      <c r="BV503" s="486">
        <v>0</v>
      </c>
      <c r="BW503" s="486">
        <v>0</v>
      </c>
      <c r="BX503" s="487">
        <v>1229164657</v>
      </c>
      <c r="BY503" s="486">
        <v>0</v>
      </c>
      <c r="BZ503" s="486">
        <v>0</v>
      </c>
      <c r="CA503" s="486">
        <v>0</v>
      </c>
      <c r="CB503" s="488">
        <v>0</v>
      </c>
      <c r="CC503" s="491">
        <v>1229164657</v>
      </c>
      <c r="CD503" s="492">
        <v>4285915233</v>
      </c>
      <c r="CE503" s="493">
        <f t="shared" si="32"/>
        <v>4285915233</v>
      </c>
      <c r="CF503" s="493">
        <f t="shared" si="32"/>
        <v>0</v>
      </c>
      <c r="CG503" s="493">
        <f t="shared" si="32"/>
        <v>0</v>
      </c>
      <c r="CH503" s="493">
        <f t="shared" si="31"/>
        <v>0</v>
      </c>
      <c r="CI503" s="493">
        <f t="shared" si="31"/>
        <v>0</v>
      </c>
      <c r="CJ503" s="493">
        <f t="shared" si="31"/>
        <v>0</v>
      </c>
      <c r="CK503" s="493">
        <f t="shared" si="31"/>
        <v>0</v>
      </c>
      <c r="CL503" s="493">
        <f t="shared" si="31"/>
        <v>0</v>
      </c>
      <c r="CM503" s="493">
        <f t="shared" si="34"/>
        <v>0</v>
      </c>
      <c r="CN503" s="493">
        <f t="shared" si="34"/>
        <v>0</v>
      </c>
      <c r="CO503" s="493">
        <f t="shared" si="34"/>
        <v>0</v>
      </c>
    </row>
    <row r="504" spans="1:93" ht="30.45" hidden="1" customHeight="1">
      <c r="A504" s="555" t="s">
        <v>4170</v>
      </c>
      <c r="B504" s="479">
        <v>502</v>
      </c>
      <c r="C504" s="480" t="s">
        <v>6370</v>
      </c>
      <c r="D504" s="480" t="s">
        <v>4802</v>
      </c>
      <c r="E504" s="480" t="str">
        <f t="shared" si="33"/>
        <v>4.3.12</v>
      </c>
      <c r="F504" s="480" t="s">
        <v>4926</v>
      </c>
      <c r="G504" s="480" t="s">
        <v>4927</v>
      </c>
      <c r="H504" s="481">
        <v>45</v>
      </c>
      <c r="I504" s="480" t="s">
        <v>4180</v>
      </c>
      <c r="J504" s="495">
        <v>459903100</v>
      </c>
      <c r="K504" s="480" t="s">
        <v>4215</v>
      </c>
      <c r="L504" s="480" t="s">
        <v>4216</v>
      </c>
      <c r="M504" s="480" t="s">
        <v>6086</v>
      </c>
      <c r="N504" s="499">
        <v>1</v>
      </c>
      <c r="O504" s="480" t="s">
        <v>4928</v>
      </c>
      <c r="P504" s="515">
        <v>1</v>
      </c>
      <c r="Q504" s="485" t="s">
        <v>5511</v>
      </c>
      <c r="R504" s="485" t="s">
        <v>5584</v>
      </c>
      <c r="S504" s="485" t="s">
        <v>689</v>
      </c>
      <c r="T504" s="485">
        <v>79.5</v>
      </c>
      <c r="U504" s="485" t="s">
        <v>5374</v>
      </c>
      <c r="V504" s="485">
        <v>85</v>
      </c>
      <c r="W504" s="485" t="s">
        <v>5585</v>
      </c>
      <c r="X504" s="485" t="s">
        <v>5585</v>
      </c>
      <c r="Y504" s="485">
        <v>0</v>
      </c>
      <c r="Z504" s="486">
        <v>995000000</v>
      </c>
      <c r="AA504" s="486">
        <v>0</v>
      </c>
      <c r="AB504" s="486">
        <v>0</v>
      </c>
      <c r="AC504" s="486">
        <v>0</v>
      </c>
      <c r="AD504" s="486">
        <v>0</v>
      </c>
      <c r="AE504" s="486">
        <v>0</v>
      </c>
      <c r="AF504" s="486">
        <v>0</v>
      </c>
      <c r="AG504" s="486">
        <v>0</v>
      </c>
      <c r="AH504" s="487">
        <v>995000000</v>
      </c>
      <c r="AI504" s="486">
        <v>200000000</v>
      </c>
      <c r="AJ504" s="486">
        <v>0</v>
      </c>
      <c r="AK504" s="486">
        <v>0</v>
      </c>
      <c r="AL504" s="488">
        <v>200000000</v>
      </c>
      <c r="AM504" s="489">
        <v>1195000000</v>
      </c>
      <c r="AN504" s="486">
        <v>1034800000</v>
      </c>
      <c r="AO504" s="486">
        <v>0</v>
      </c>
      <c r="AP504" s="486">
        <v>0</v>
      </c>
      <c r="AQ504" s="486">
        <v>0</v>
      </c>
      <c r="AR504" s="486">
        <v>0</v>
      </c>
      <c r="AS504" s="486">
        <v>0</v>
      </c>
      <c r="AT504" s="486">
        <v>0</v>
      </c>
      <c r="AU504" s="486">
        <v>0</v>
      </c>
      <c r="AV504" s="487">
        <v>1034800000</v>
      </c>
      <c r="AW504" s="486">
        <v>200000000</v>
      </c>
      <c r="AX504" s="486">
        <v>0</v>
      </c>
      <c r="AY504" s="486">
        <v>0</v>
      </c>
      <c r="AZ504" s="488">
        <v>200000000</v>
      </c>
      <c r="BA504" s="490">
        <v>1234800000</v>
      </c>
      <c r="BB504" s="486">
        <v>1076192000</v>
      </c>
      <c r="BC504" s="486">
        <v>0</v>
      </c>
      <c r="BD504" s="486">
        <v>0</v>
      </c>
      <c r="BE504" s="486">
        <v>0</v>
      </c>
      <c r="BF504" s="486">
        <v>0</v>
      </c>
      <c r="BG504" s="486">
        <v>0</v>
      </c>
      <c r="BH504" s="486">
        <v>0</v>
      </c>
      <c r="BI504" s="486">
        <v>0</v>
      </c>
      <c r="BJ504" s="487">
        <v>1076192000</v>
      </c>
      <c r="BK504" s="486">
        <v>200000000</v>
      </c>
      <c r="BL504" s="486">
        <v>0</v>
      </c>
      <c r="BM504" s="486">
        <v>0</v>
      </c>
      <c r="BN504" s="488">
        <v>200000000</v>
      </c>
      <c r="BO504" s="490">
        <v>1276192000</v>
      </c>
      <c r="BP504" s="486">
        <v>1119239680</v>
      </c>
      <c r="BQ504" s="486">
        <v>0</v>
      </c>
      <c r="BR504" s="486">
        <v>0</v>
      </c>
      <c r="BS504" s="486">
        <v>0</v>
      </c>
      <c r="BT504" s="486">
        <v>0</v>
      </c>
      <c r="BU504" s="486">
        <v>0</v>
      </c>
      <c r="BV504" s="486">
        <v>0</v>
      </c>
      <c r="BW504" s="486">
        <v>0</v>
      </c>
      <c r="BX504" s="487">
        <v>1119239680</v>
      </c>
      <c r="BY504" s="486">
        <v>200000000</v>
      </c>
      <c r="BZ504" s="486">
        <v>0</v>
      </c>
      <c r="CA504" s="486">
        <v>0</v>
      </c>
      <c r="CB504" s="488">
        <v>200000000</v>
      </c>
      <c r="CC504" s="491">
        <v>1319239680</v>
      </c>
      <c r="CD504" s="492">
        <v>5025231680</v>
      </c>
      <c r="CE504" s="493">
        <f t="shared" si="32"/>
        <v>4225231680</v>
      </c>
      <c r="CF504" s="493">
        <f t="shared" si="32"/>
        <v>0</v>
      </c>
      <c r="CG504" s="493">
        <f t="shared" si="32"/>
        <v>0</v>
      </c>
      <c r="CH504" s="493">
        <f t="shared" si="31"/>
        <v>0</v>
      </c>
      <c r="CI504" s="493">
        <f t="shared" si="31"/>
        <v>0</v>
      </c>
      <c r="CJ504" s="493">
        <f t="shared" si="31"/>
        <v>0</v>
      </c>
      <c r="CK504" s="493">
        <f t="shared" si="31"/>
        <v>0</v>
      </c>
      <c r="CL504" s="493">
        <f t="shared" si="31"/>
        <v>0</v>
      </c>
      <c r="CM504" s="493">
        <f t="shared" si="34"/>
        <v>800000000</v>
      </c>
      <c r="CN504" s="493">
        <f t="shared" si="34"/>
        <v>0</v>
      </c>
      <c r="CO504" s="493">
        <f t="shared" si="34"/>
        <v>0</v>
      </c>
    </row>
    <row r="505" spans="1:93" ht="30.45" hidden="1" customHeight="1">
      <c r="A505" s="555" t="s">
        <v>2461</v>
      </c>
      <c r="B505" s="479">
        <v>503</v>
      </c>
      <c r="C505" s="480" t="s">
        <v>6370</v>
      </c>
      <c r="D505" s="480" t="s">
        <v>4930</v>
      </c>
      <c r="E505" s="480" t="str">
        <f t="shared" si="33"/>
        <v xml:space="preserve">4.4.1 </v>
      </c>
      <c r="F505" s="480" t="s">
        <v>6384</v>
      </c>
      <c r="G505" s="480" t="s">
        <v>4931</v>
      </c>
      <c r="H505" s="481">
        <v>43</v>
      </c>
      <c r="I505" s="480" t="s">
        <v>4932</v>
      </c>
      <c r="J505" s="495">
        <v>430200100</v>
      </c>
      <c r="K505" s="480" t="s">
        <v>4933</v>
      </c>
      <c r="L505" s="480" t="s">
        <v>4934</v>
      </c>
      <c r="M505" s="480" t="s">
        <v>6087</v>
      </c>
      <c r="N505" s="499">
        <v>498</v>
      </c>
      <c r="O505" s="480" t="s">
        <v>4779</v>
      </c>
      <c r="P505" s="515">
        <v>498</v>
      </c>
      <c r="Q505" s="485" t="s">
        <v>5349</v>
      </c>
      <c r="R505" s="485" t="s">
        <v>5586</v>
      </c>
      <c r="S505" s="485" t="s">
        <v>683</v>
      </c>
      <c r="T505" s="485">
        <v>207</v>
      </c>
      <c r="U505" s="485" t="s">
        <v>4815</v>
      </c>
      <c r="V505" s="485">
        <v>230</v>
      </c>
      <c r="W505" s="485" t="s">
        <v>5548</v>
      </c>
      <c r="X505" s="485">
        <v>3</v>
      </c>
      <c r="Y505" s="485" t="s">
        <v>2562</v>
      </c>
      <c r="Z505" s="486">
        <v>400000000</v>
      </c>
      <c r="AA505" s="486">
        <v>0</v>
      </c>
      <c r="AB505" s="486">
        <v>0</v>
      </c>
      <c r="AC505" s="486">
        <v>0</v>
      </c>
      <c r="AD505" s="486">
        <v>0</v>
      </c>
      <c r="AE505" s="486">
        <v>0</v>
      </c>
      <c r="AF505" s="486">
        <v>0</v>
      </c>
      <c r="AG505" s="486">
        <v>0</v>
      </c>
      <c r="AH505" s="487">
        <v>400000000</v>
      </c>
      <c r="AI505" s="486">
        <v>250000000</v>
      </c>
      <c r="AJ505" s="486"/>
      <c r="AK505" s="486"/>
      <c r="AL505" s="488">
        <v>250000000</v>
      </c>
      <c r="AM505" s="489">
        <v>650000000</v>
      </c>
      <c r="AN505" s="486">
        <v>416000000</v>
      </c>
      <c r="AO505" s="486">
        <v>0</v>
      </c>
      <c r="AP505" s="486">
        <v>0</v>
      </c>
      <c r="AQ505" s="486">
        <v>0</v>
      </c>
      <c r="AR505" s="486">
        <v>0</v>
      </c>
      <c r="AS505" s="486">
        <v>0</v>
      </c>
      <c r="AT505" s="486">
        <v>0</v>
      </c>
      <c r="AU505" s="486">
        <v>0</v>
      </c>
      <c r="AV505" s="487">
        <v>416000000</v>
      </c>
      <c r="AW505" s="486">
        <v>250000000</v>
      </c>
      <c r="AX505" s="486"/>
      <c r="AY505" s="486"/>
      <c r="AZ505" s="488">
        <v>250000000</v>
      </c>
      <c r="BA505" s="490">
        <v>666000000</v>
      </c>
      <c r="BB505" s="486">
        <v>432640000</v>
      </c>
      <c r="BC505" s="486">
        <v>0</v>
      </c>
      <c r="BD505" s="486">
        <v>0</v>
      </c>
      <c r="BE505" s="486">
        <v>0</v>
      </c>
      <c r="BF505" s="486">
        <v>0</v>
      </c>
      <c r="BG505" s="486">
        <v>0</v>
      </c>
      <c r="BH505" s="486">
        <v>0</v>
      </c>
      <c r="BI505" s="486">
        <v>0</v>
      </c>
      <c r="BJ505" s="487">
        <v>432640000</v>
      </c>
      <c r="BK505" s="486">
        <v>250000000</v>
      </c>
      <c r="BL505" s="486"/>
      <c r="BM505" s="486"/>
      <c r="BN505" s="488">
        <v>250000000</v>
      </c>
      <c r="BO505" s="490">
        <v>682640000</v>
      </c>
      <c r="BP505" s="486">
        <v>449945600</v>
      </c>
      <c r="BQ505" s="486">
        <v>0</v>
      </c>
      <c r="BR505" s="486">
        <v>0</v>
      </c>
      <c r="BS505" s="486">
        <v>0</v>
      </c>
      <c r="BT505" s="486">
        <v>0</v>
      </c>
      <c r="BU505" s="486">
        <v>0</v>
      </c>
      <c r="BV505" s="486">
        <v>0</v>
      </c>
      <c r="BW505" s="486">
        <v>0</v>
      </c>
      <c r="BX505" s="487">
        <v>449945600</v>
      </c>
      <c r="BY505" s="486">
        <v>250000000</v>
      </c>
      <c r="BZ505" s="486"/>
      <c r="CA505" s="486"/>
      <c r="CB505" s="488">
        <v>250000000</v>
      </c>
      <c r="CC505" s="491">
        <v>699945600</v>
      </c>
      <c r="CD505" s="492">
        <v>2698585600</v>
      </c>
      <c r="CE505" s="493">
        <f t="shared" si="32"/>
        <v>1698585600</v>
      </c>
      <c r="CF505" s="493">
        <f t="shared" si="32"/>
        <v>0</v>
      </c>
      <c r="CG505" s="493">
        <f t="shared" si="32"/>
        <v>0</v>
      </c>
      <c r="CH505" s="493">
        <f t="shared" si="31"/>
        <v>0</v>
      </c>
      <c r="CI505" s="493">
        <f t="shared" si="31"/>
        <v>0</v>
      </c>
      <c r="CJ505" s="493">
        <f t="shared" si="31"/>
        <v>0</v>
      </c>
      <c r="CK505" s="493">
        <f t="shared" si="31"/>
        <v>0</v>
      </c>
      <c r="CL505" s="493">
        <f t="shared" si="31"/>
        <v>0</v>
      </c>
      <c r="CM505" s="493">
        <f t="shared" si="34"/>
        <v>1000000000</v>
      </c>
      <c r="CN505" s="493">
        <f t="shared" si="34"/>
        <v>0</v>
      </c>
      <c r="CO505" s="493">
        <f t="shared" si="34"/>
        <v>0</v>
      </c>
    </row>
    <row r="506" spans="1:93" ht="30.45" hidden="1" customHeight="1">
      <c r="A506" s="555" t="s">
        <v>2461</v>
      </c>
      <c r="B506" s="479">
        <v>504</v>
      </c>
      <c r="C506" s="480" t="s">
        <v>6370</v>
      </c>
      <c r="D506" s="480" t="s">
        <v>4930</v>
      </c>
      <c r="E506" s="480" t="str">
        <f t="shared" si="33"/>
        <v xml:space="preserve">4.4.1 </v>
      </c>
      <c r="F506" s="480" t="s">
        <v>6384</v>
      </c>
      <c r="G506" s="480" t="s">
        <v>4931</v>
      </c>
      <c r="H506" s="481">
        <v>43</v>
      </c>
      <c r="I506" s="480" t="s">
        <v>4935</v>
      </c>
      <c r="J506" s="495">
        <v>430200100</v>
      </c>
      <c r="K506" s="480" t="s">
        <v>4933</v>
      </c>
      <c r="L506" s="480" t="s">
        <v>6625</v>
      </c>
      <c r="M506" s="480" t="s">
        <v>6088</v>
      </c>
      <c r="N506" s="499">
        <v>640</v>
      </c>
      <c r="O506" s="480" t="s">
        <v>4779</v>
      </c>
      <c r="P506" s="515" t="s">
        <v>6626</v>
      </c>
      <c r="Q506" s="485" t="s">
        <v>5349</v>
      </c>
      <c r="R506" s="485" t="s">
        <v>5586</v>
      </c>
      <c r="S506" s="485" t="s">
        <v>683</v>
      </c>
      <c r="T506" s="485">
        <v>207</v>
      </c>
      <c r="U506" s="485" t="s">
        <v>4815</v>
      </c>
      <c r="V506" s="485">
        <v>230</v>
      </c>
      <c r="W506" s="485" t="s">
        <v>5548</v>
      </c>
      <c r="X506" s="485">
        <v>3</v>
      </c>
      <c r="Y506" s="485" t="s">
        <v>2562</v>
      </c>
      <c r="Z506" s="486">
        <v>981494642</v>
      </c>
      <c r="AA506" s="486">
        <v>0</v>
      </c>
      <c r="AB506" s="486">
        <v>0</v>
      </c>
      <c r="AC506" s="486">
        <v>0</v>
      </c>
      <c r="AD506" s="486">
        <v>0</v>
      </c>
      <c r="AE506" s="486">
        <v>0</v>
      </c>
      <c r="AF506" s="486">
        <v>0</v>
      </c>
      <c r="AG506" s="486">
        <v>0</v>
      </c>
      <c r="AH506" s="487">
        <v>981494642</v>
      </c>
      <c r="AI506" s="486">
        <v>1000000000</v>
      </c>
      <c r="AJ506" s="486"/>
      <c r="AK506" s="486"/>
      <c r="AL506" s="488">
        <v>1000000000</v>
      </c>
      <c r="AM506" s="489">
        <v>1981494642</v>
      </c>
      <c r="AN506" s="486">
        <v>1020754427.6799999</v>
      </c>
      <c r="AO506" s="486">
        <v>0</v>
      </c>
      <c r="AP506" s="486">
        <v>0</v>
      </c>
      <c r="AQ506" s="486">
        <v>0</v>
      </c>
      <c r="AR506" s="486">
        <v>0</v>
      </c>
      <c r="AS506" s="486">
        <v>0</v>
      </c>
      <c r="AT506" s="486">
        <v>0</v>
      </c>
      <c r="AU506" s="486">
        <v>0</v>
      </c>
      <c r="AV506" s="487">
        <v>1020754427.6799999</v>
      </c>
      <c r="AW506" s="486">
        <v>1000000000</v>
      </c>
      <c r="AX506" s="486"/>
      <c r="AY506" s="486"/>
      <c r="AZ506" s="488">
        <v>1000000000</v>
      </c>
      <c r="BA506" s="490">
        <v>2020754427.6799998</v>
      </c>
      <c r="BB506" s="486">
        <v>1061584604.7872</v>
      </c>
      <c r="BC506" s="486">
        <v>0</v>
      </c>
      <c r="BD506" s="486">
        <v>0</v>
      </c>
      <c r="BE506" s="486">
        <v>0</v>
      </c>
      <c r="BF506" s="486">
        <v>0</v>
      </c>
      <c r="BG506" s="486">
        <v>0</v>
      </c>
      <c r="BH506" s="486">
        <v>0</v>
      </c>
      <c r="BI506" s="486">
        <v>0</v>
      </c>
      <c r="BJ506" s="487">
        <v>1061584604.7872</v>
      </c>
      <c r="BK506" s="486">
        <v>1000000000</v>
      </c>
      <c r="BL506" s="486"/>
      <c r="BM506" s="486"/>
      <c r="BN506" s="488">
        <v>1000000000</v>
      </c>
      <c r="BO506" s="490">
        <v>2061584604.7872</v>
      </c>
      <c r="BP506" s="486">
        <v>1104047988.978688</v>
      </c>
      <c r="BQ506" s="486">
        <v>0</v>
      </c>
      <c r="BR506" s="486">
        <v>0</v>
      </c>
      <c r="BS506" s="486">
        <v>0</v>
      </c>
      <c r="BT506" s="486">
        <v>0</v>
      </c>
      <c r="BU506" s="486">
        <v>0</v>
      </c>
      <c r="BV506" s="486">
        <v>0</v>
      </c>
      <c r="BW506" s="486">
        <v>0</v>
      </c>
      <c r="BX506" s="487">
        <v>1104047988.978688</v>
      </c>
      <c r="BY506" s="486">
        <v>1000000000</v>
      </c>
      <c r="BZ506" s="486"/>
      <c r="CA506" s="486"/>
      <c r="CB506" s="488">
        <v>1000000000</v>
      </c>
      <c r="CC506" s="491">
        <v>2104047988.978688</v>
      </c>
      <c r="CD506" s="492">
        <v>8167881663.4458885</v>
      </c>
      <c r="CE506" s="493">
        <f t="shared" si="32"/>
        <v>4167881663.4458876</v>
      </c>
      <c r="CF506" s="493">
        <f t="shared" si="32"/>
        <v>0</v>
      </c>
      <c r="CG506" s="493">
        <f t="shared" si="32"/>
        <v>0</v>
      </c>
      <c r="CH506" s="493">
        <f t="shared" si="31"/>
        <v>0</v>
      </c>
      <c r="CI506" s="493">
        <f t="shared" si="31"/>
        <v>0</v>
      </c>
      <c r="CJ506" s="493">
        <f t="shared" ref="CJ506:CL569" si="35">AE506+AS506+BG506+BU506</f>
        <v>0</v>
      </c>
      <c r="CK506" s="493">
        <f t="shared" si="35"/>
        <v>0</v>
      </c>
      <c r="CL506" s="493">
        <f t="shared" si="35"/>
        <v>0</v>
      </c>
      <c r="CM506" s="493">
        <f t="shared" si="34"/>
        <v>4000000000</v>
      </c>
      <c r="CN506" s="493">
        <f t="shared" si="34"/>
        <v>0</v>
      </c>
      <c r="CO506" s="493">
        <f t="shared" si="34"/>
        <v>0</v>
      </c>
    </row>
    <row r="507" spans="1:93" ht="30.45" hidden="1" customHeight="1">
      <c r="A507" s="555" t="s">
        <v>2461</v>
      </c>
      <c r="B507" s="479">
        <v>505</v>
      </c>
      <c r="C507" s="480" t="s">
        <v>6370</v>
      </c>
      <c r="D507" s="480" t="s">
        <v>4930</v>
      </c>
      <c r="E507" s="480" t="str">
        <f t="shared" si="33"/>
        <v xml:space="preserve">4.4.1 </v>
      </c>
      <c r="F507" s="480" t="s">
        <v>6384</v>
      </c>
      <c r="G507" s="480" t="s">
        <v>4931</v>
      </c>
      <c r="H507" s="481">
        <v>43</v>
      </c>
      <c r="I507" s="480" t="s">
        <v>4935</v>
      </c>
      <c r="J507" s="495">
        <v>430200100</v>
      </c>
      <c r="K507" s="480" t="s">
        <v>4933</v>
      </c>
      <c r="L507" s="480" t="s">
        <v>4936</v>
      </c>
      <c r="M507" s="480" t="s">
        <v>6089</v>
      </c>
      <c r="N507" s="499">
        <v>0</v>
      </c>
      <c r="O507" s="480" t="s">
        <v>4779</v>
      </c>
      <c r="P507" s="515">
        <v>100</v>
      </c>
      <c r="Q507" s="485" t="s">
        <v>5349</v>
      </c>
      <c r="R507" s="485" t="s">
        <v>5586</v>
      </c>
      <c r="S507" s="485" t="s">
        <v>683</v>
      </c>
      <c r="T507" s="485">
        <v>207</v>
      </c>
      <c r="U507" s="485" t="s">
        <v>4815</v>
      </c>
      <c r="V507" s="485">
        <v>230</v>
      </c>
      <c r="W507" s="485" t="s">
        <v>5548</v>
      </c>
      <c r="X507" s="485">
        <v>3</v>
      </c>
      <c r="Y507" s="485" t="s">
        <v>2562</v>
      </c>
      <c r="Z507" s="486">
        <v>400000000</v>
      </c>
      <c r="AA507" s="486">
        <v>0</v>
      </c>
      <c r="AB507" s="486">
        <v>0</v>
      </c>
      <c r="AC507" s="486">
        <v>0</v>
      </c>
      <c r="AD507" s="486">
        <v>0</v>
      </c>
      <c r="AE507" s="486">
        <v>0</v>
      </c>
      <c r="AF507" s="486">
        <v>0</v>
      </c>
      <c r="AG507" s="486">
        <v>0</v>
      </c>
      <c r="AH507" s="487">
        <v>400000000</v>
      </c>
      <c r="AI507" s="486">
        <v>0</v>
      </c>
      <c r="AJ507" s="486"/>
      <c r="AK507" s="486"/>
      <c r="AL507" s="488">
        <v>0</v>
      </c>
      <c r="AM507" s="489">
        <v>400000000</v>
      </c>
      <c r="AN507" s="486">
        <v>416000000</v>
      </c>
      <c r="AO507" s="486">
        <v>0</v>
      </c>
      <c r="AP507" s="486">
        <v>0</v>
      </c>
      <c r="AQ507" s="486">
        <v>0</v>
      </c>
      <c r="AR507" s="486">
        <v>0</v>
      </c>
      <c r="AS507" s="486">
        <v>0</v>
      </c>
      <c r="AT507" s="486">
        <v>0</v>
      </c>
      <c r="AU507" s="486">
        <v>0</v>
      </c>
      <c r="AV507" s="487">
        <v>416000000</v>
      </c>
      <c r="AW507" s="486">
        <v>0</v>
      </c>
      <c r="AX507" s="486"/>
      <c r="AY507" s="486"/>
      <c r="AZ507" s="488">
        <v>0</v>
      </c>
      <c r="BA507" s="490">
        <v>416000000</v>
      </c>
      <c r="BB507" s="486">
        <v>432640000</v>
      </c>
      <c r="BC507" s="486">
        <v>0</v>
      </c>
      <c r="BD507" s="486">
        <v>0</v>
      </c>
      <c r="BE507" s="486">
        <v>0</v>
      </c>
      <c r="BF507" s="486">
        <v>0</v>
      </c>
      <c r="BG507" s="486">
        <v>0</v>
      </c>
      <c r="BH507" s="486">
        <v>0</v>
      </c>
      <c r="BI507" s="486">
        <v>0</v>
      </c>
      <c r="BJ507" s="487">
        <v>432640000</v>
      </c>
      <c r="BK507" s="486"/>
      <c r="BL507" s="486"/>
      <c r="BM507" s="486"/>
      <c r="BN507" s="488">
        <v>0</v>
      </c>
      <c r="BO507" s="490">
        <v>432640000</v>
      </c>
      <c r="BP507" s="486">
        <v>449945600</v>
      </c>
      <c r="BQ507" s="486">
        <v>0</v>
      </c>
      <c r="BR507" s="486">
        <v>0</v>
      </c>
      <c r="BS507" s="486">
        <v>0</v>
      </c>
      <c r="BT507" s="486">
        <v>0</v>
      </c>
      <c r="BU507" s="486">
        <v>0</v>
      </c>
      <c r="BV507" s="486">
        <v>0</v>
      </c>
      <c r="BW507" s="486">
        <v>0</v>
      </c>
      <c r="BX507" s="487">
        <v>449945600</v>
      </c>
      <c r="BY507" s="486">
        <v>0</v>
      </c>
      <c r="BZ507" s="486"/>
      <c r="CA507" s="486"/>
      <c r="CB507" s="488">
        <v>0</v>
      </c>
      <c r="CC507" s="491">
        <v>449945600</v>
      </c>
      <c r="CD507" s="492">
        <v>1698585600</v>
      </c>
      <c r="CE507" s="493">
        <f t="shared" si="32"/>
        <v>1698585600</v>
      </c>
      <c r="CF507" s="493">
        <f t="shared" si="32"/>
        <v>0</v>
      </c>
      <c r="CG507" s="493">
        <f t="shared" si="32"/>
        <v>0</v>
      </c>
      <c r="CH507" s="493">
        <f t="shared" si="32"/>
        <v>0</v>
      </c>
      <c r="CI507" s="493">
        <f t="shared" si="32"/>
        <v>0</v>
      </c>
      <c r="CJ507" s="493">
        <f t="shared" si="35"/>
        <v>0</v>
      </c>
      <c r="CK507" s="493">
        <f t="shared" si="35"/>
        <v>0</v>
      </c>
      <c r="CL507" s="493">
        <f t="shared" si="35"/>
        <v>0</v>
      </c>
      <c r="CM507" s="493">
        <f t="shared" si="34"/>
        <v>0</v>
      </c>
      <c r="CN507" s="493">
        <f t="shared" si="34"/>
        <v>0</v>
      </c>
      <c r="CO507" s="493">
        <f t="shared" si="34"/>
        <v>0</v>
      </c>
    </row>
    <row r="508" spans="1:93" ht="30.45" hidden="1" customHeight="1">
      <c r="A508" s="555" t="s">
        <v>2461</v>
      </c>
      <c r="B508" s="479">
        <v>506</v>
      </c>
      <c r="C508" s="480" t="s">
        <v>6370</v>
      </c>
      <c r="D508" s="480" t="s">
        <v>4930</v>
      </c>
      <c r="E508" s="480" t="str">
        <f t="shared" si="33"/>
        <v xml:space="preserve">4.4.1 </v>
      </c>
      <c r="F508" s="480" t="s">
        <v>6384</v>
      </c>
      <c r="G508" s="480" t="s">
        <v>4931</v>
      </c>
      <c r="H508" s="481">
        <v>43</v>
      </c>
      <c r="I508" s="480" t="s">
        <v>4935</v>
      </c>
      <c r="J508" s="495">
        <v>430200200</v>
      </c>
      <c r="K508" s="480" t="s">
        <v>4103</v>
      </c>
      <c r="L508" s="480" t="s">
        <v>4937</v>
      </c>
      <c r="M508" s="480" t="s">
        <v>6090</v>
      </c>
      <c r="N508" s="499">
        <v>191</v>
      </c>
      <c r="O508" s="480" t="s">
        <v>4779</v>
      </c>
      <c r="P508" s="515">
        <v>200</v>
      </c>
      <c r="Q508" s="485" t="s">
        <v>5349</v>
      </c>
      <c r="R508" s="485" t="s">
        <v>5586</v>
      </c>
      <c r="S508" s="485" t="s">
        <v>683</v>
      </c>
      <c r="T508" s="485">
        <v>207</v>
      </c>
      <c r="U508" s="485" t="s">
        <v>4815</v>
      </c>
      <c r="V508" s="485">
        <v>230</v>
      </c>
      <c r="W508" s="485" t="s">
        <v>5548</v>
      </c>
      <c r="X508" s="485">
        <v>3</v>
      </c>
      <c r="Y508" s="485" t="s">
        <v>2562</v>
      </c>
      <c r="Z508" s="486"/>
      <c r="AA508" s="486">
        <v>0</v>
      </c>
      <c r="AB508" s="486">
        <v>0</v>
      </c>
      <c r="AC508" s="486">
        <v>0</v>
      </c>
      <c r="AD508" s="486">
        <v>0</v>
      </c>
      <c r="AE508" s="486">
        <v>0</v>
      </c>
      <c r="AF508" s="486">
        <v>0</v>
      </c>
      <c r="AG508" s="486">
        <v>0</v>
      </c>
      <c r="AH508" s="487">
        <v>0</v>
      </c>
      <c r="AI508" s="486">
        <v>0</v>
      </c>
      <c r="AJ508" s="486"/>
      <c r="AK508" s="486"/>
      <c r="AL508" s="488">
        <v>0</v>
      </c>
      <c r="AM508" s="489">
        <v>0</v>
      </c>
      <c r="AN508" s="486">
        <v>0</v>
      </c>
      <c r="AO508" s="486">
        <v>0</v>
      </c>
      <c r="AP508" s="486">
        <v>0</v>
      </c>
      <c r="AQ508" s="486">
        <v>0</v>
      </c>
      <c r="AR508" s="486">
        <v>0</v>
      </c>
      <c r="AS508" s="486">
        <v>0</v>
      </c>
      <c r="AT508" s="486">
        <v>0</v>
      </c>
      <c r="AU508" s="486">
        <v>0</v>
      </c>
      <c r="AV508" s="487">
        <v>0</v>
      </c>
      <c r="AW508" s="486">
        <v>0</v>
      </c>
      <c r="AX508" s="486"/>
      <c r="AY508" s="486"/>
      <c r="AZ508" s="488">
        <v>0</v>
      </c>
      <c r="BA508" s="490">
        <v>0</v>
      </c>
      <c r="BB508" s="486">
        <v>0</v>
      </c>
      <c r="BC508" s="486">
        <v>0</v>
      </c>
      <c r="BD508" s="486">
        <v>0</v>
      </c>
      <c r="BE508" s="486">
        <v>0</v>
      </c>
      <c r="BF508" s="486">
        <v>0</v>
      </c>
      <c r="BG508" s="486">
        <v>0</v>
      </c>
      <c r="BH508" s="486">
        <v>0</v>
      </c>
      <c r="BI508" s="486">
        <v>0</v>
      </c>
      <c r="BJ508" s="487">
        <v>0</v>
      </c>
      <c r="BK508" s="486"/>
      <c r="BL508" s="486"/>
      <c r="BM508" s="486"/>
      <c r="BN508" s="488">
        <v>0</v>
      </c>
      <c r="BO508" s="490">
        <v>0</v>
      </c>
      <c r="BP508" s="486">
        <v>0</v>
      </c>
      <c r="BQ508" s="486">
        <v>0</v>
      </c>
      <c r="BR508" s="486">
        <v>0</v>
      </c>
      <c r="BS508" s="486">
        <v>0</v>
      </c>
      <c r="BT508" s="486">
        <v>0</v>
      </c>
      <c r="BU508" s="486">
        <v>0</v>
      </c>
      <c r="BV508" s="486">
        <v>0</v>
      </c>
      <c r="BW508" s="486">
        <v>0</v>
      </c>
      <c r="BX508" s="487">
        <v>0</v>
      </c>
      <c r="BY508" s="486">
        <v>4500000000</v>
      </c>
      <c r="BZ508" s="486"/>
      <c r="CA508" s="486"/>
      <c r="CB508" s="488">
        <v>4500000000</v>
      </c>
      <c r="CC508" s="491">
        <v>4500000000</v>
      </c>
      <c r="CD508" s="492">
        <v>4500000000</v>
      </c>
      <c r="CE508" s="493">
        <f t="shared" si="32"/>
        <v>0</v>
      </c>
      <c r="CF508" s="493">
        <f t="shared" si="32"/>
        <v>0</v>
      </c>
      <c r="CG508" s="493">
        <f t="shared" si="32"/>
        <v>0</v>
      </c>
      <c r="CH508" s="493">
        <f t="shared" si="32"/>
        <v>0</v>
      </c>
      <c r="CI508" s="493">
        <f t="shared" si="32"/>
        <v>0</v>
      </c>
      <c r="CJ508" s="493">
        <f t="shared" si="35"/>
        <v>0</v>
      </c>
      <c r="CK508" s="493">
        <f t="shared" si="35"/>
        <v>0</v>
      </c>
      <c r="CL508" s="493">
        <f t="shared" si="35"/>
        <v>0</v>
      </c>
      <c r="CM508" s="493">
        <f t="shared" si="34"/>
        <v>4500000000</v>
      </c>
      <c r="CN508" s="493">
        <f t="shared" si="34"/>
        <v>0</v>
      </c>
      <c r="CO508" s="493">
        <f t="shared" si="34"/>
        <v>0</v>
      </c>
    </row>
    <row r="509" spans="1:93" ht="30.45" hidden="1" customHeight="1">
      <c r="A509" s="555" t="s">
        <v>2461</v>
      </c>
      <c r="B509" s="479">
        <v>507</v>
      </c>
      <c r="C509" s="480" t="s">
        <v>6370</v>
      </c>
      <c r="D509" s="480" t="s">
        <v>4930</v>
      </c>
      <c r="E509" s="480" t="str">
        <f t="shared" si="33"/>
        <v xml:space="preserve">4.4.1 </v>
      </c>
      <c r="F509" s="480" t="s">
        <v>6384</v>
      </c>
      <c r="G509" s="480" t="s">
        <v>4931</v>
      </c>
      <c r="H509" s="481">
        <v>43</v>
      </c>
      <c r="I509" s="480" t="s">
        <v>4935</v>
      </c>
      <c r="J509" s="495">
        <v>430200201</v>
      </c>
      <c r="K509" s="480" t="s">
        <v>4103</v>
      </c>
      <c r="L509" s="480" t="s">
        <v>6627</v>
      </c>
      <c r="M509" s="480" t="s">
        <v>6091</v>
      </c>
      <c r="N509" s="499">
        <v>207</v>
      </c>
      <c r="O509" s="480" t="s">
        <v>4779</v>
      </c>
      <c r="P509" s="515" t="s">
        <v>4938</v>
      </c>
      <c r="Q509" s="485" t="s">
        <v>5349</v>
      </c>
      <c r="R509" s="485" t="s">
        <v>5586</v>
      </c>
      <c r="S509" s="485" t="s">
        <v>683</v>
      </c>
      <c r="T509" s="485">
        <v>207</v>
      </c>
      <c r="U509" s="485" t="s">
        <v>4815</v>
      </c>
      <c r="V509" s="485">
        <v>230</v>
      </c>
      <c r="W509" s="485" t="s">
        <v>5548</v>
      </c>
      <c r="X509" s="485">
        <v>3</v>
      </c>
      <c r="Y509" s="485" t="s">
        <v>2562</v>
      </c>
      <c r="Z509" s="486">
        <v>1300000000</v>
      </c>
      <c r="AA509" s="486">
        <v>0</v>
      </c>
      <c r="AB509" s="486">
        <v>0</v>
      </c>
      <c r="AC509" s="486">
        <v>0</v>
      </c>
      <c r="AD509" s="486">
        <v>0</v>
      </c>
      <c r="AE509" s="486">
        <v>500000000</v>
      </c>
      <c r="AF509" s="486">
        <v>0</v>
      </c>
      <c r="AG509" s="486">
        <v>0</v>
      </c>
      <c r="AH509" s="487">
        <v>1800000000</v>
      </c>
      <c r="AI509" s="486">
        <v>800000000</v>
      </c>
      <c r="AJ509" s="486"/>
      <c r="AK509" s="486"/>
      <c r="AL509" s="488">
        <v>800000000</v>
      </c>
      <c r="AM509" s="489">
        <v>2600000000</v>
      </c>
      <c r="AN509" s="486">
        <v>1352000000</v>
      </c>
      <c r="AO509" s="486">
        <v>0</v>
      </c>
      <c r="AP509" s="486">
        <v>0</v>
      </c>
      <c r="AQ509" s="486">
        <v>0</v>
      </c>
      <c r="AR509" s="486">
        <v>0</v>
      </c>
      <c r="AS509" s="486">
        <v>530000000</v>
      </c>
      <c r="AT509" s="486">
        <v>0</v>
      </c>
      <c r="AU509" s="486">
        <v>0</v>
      </c>
      <c r="AV509" s="487">
        <v>1882000000</v>
      </c>
      <c r="AW509" s="486">
        <v>800000000</v>
      </c>
      <c r="AX509" s="486"/>
      <c r="AY509" s="486"/>
      <c r="AZ509" s="488">
        <v>800000000</v>
      </c>
      <c r="BA509" s="490">
        <v>2682000000</v>
      </c>
      <c r="BB509" s="486">
        <v>1406080000</v>
      </c>
      <c r="BC509" s="486">
        <v>0</v>
      </c>
      <c r="BD509" s="486">
        <v>0</v>
      </c>
      <c r="BE509" s="486">
        <v>0</v>
      </c>
      <c r="BF509" s="486">
        <v>0</v>
      </c>
      <c r="BG509" s="486">
        <v>561800000</v>
      </c>
      <c r="BH509" s="486">
        <v>0</v>
      </c>
      <c r="BI509" s="486">
        <v>0</v>
      </c>
      <c r="BJ509" s="487">
        <v>1967880000</v>
      </c>
      <c r="BK509" s="486">
        <v>800000000</v>
      </c>
      <c r="BL509" s="486"/>
      <c r="BM509" s="486"/>
      <c r="BN509" s="488">
        <v>800000000</v>
      </c>
      <c r="BO509" s="490">
        <v>2767880000</v>
      </c>
      <c r="BP509" s="486">
        <v>1462323200</v>
      </c>
      <c r="BQ509" s="486">
        <v>0</v>
      </c>
      <c r="BR509" s="486">
        <v>0</v>
      </c>
      <c r="BS509" s="486">
        <v>0</v>
      </c>
      <c r="BT509" s="486">
        <v>0</v>
      </c>
      <c r="BU509" s="486">
        <v>595508000</v>
      </c>
      <c r="BV509" s="486">
        <v>0</v>
      </c>
      <c r="BW509" s="486">
        <v>0</v>
      </c>
      <c r="BX509" s="487">
        <v>2057831200</v>
      </c>
      <c r="BY509" s="486">
        <v>800000000</v>
      </c>
      <c r="BZ509" s="486"/>
      <c r="CA509" s="486"/>
      <c r="CB509" s="488">
        <v>800000000</v>
      </c>
      <c r="CC509" s="491">
        <v>2857831200</v>
      </c>
      <c r="CD509" s="492">
        <v>10907711200</v>
      </c>
      <c r="CE509" s="493">
        <f t="shared" si="32"/>
        <v>5520403200</v>
      </c>
      <c r="CF509" s="493">
        <f t="shared" si="32"/>
        <v>0</v>
      </c>
      <c r="CG509" s="493">
        <f t="shared" si="32"/>
        <v>0</v>
      </c>
      <c r="CH509" s="493">
        <f t="shared" si="32"/>
        <v>0</v>
      </c>
      <c r="CI509" s="493">
        <f t="shared" si="32"/>
        <v>0</v>
      </c>
      <c r="CJ509" s="493">
        <f t="shared" si="35"/>
        <v>2187308000</v>
      </c>
      <c r="CK509" s="493">
        <f t="shared" si="35"/>
        <v>0</v>
      </c>
      <c r="CL509" s="493">
        <f t="shared" si="35"/>
        <v>0</v>
      </c>
      <c r="CM509" s="493">
        <f t="shared" si="34"/>
        <v>3200000000</v>
      </c>
      <c r="CN509" s="493">
        <f t="shared" si="34"/>
        <v>0</v>
      </c>
      <c r="CO509" s="493">
        <f t="shared" si="34"/>
        <v>0</v>
      </c>
    </row>
    <row r="510" spans="1:93" ht="30.45" hidden="1" customHeight="1">
      <c r="A510" s="555" t="s">
        <v>2461</v>
      </c>
      <c r="B510" s="479">
        <v>508</v>
      </c>
      <c r="C510" s="480" t="s">
        <v>6370</v>
      </c>
      <c r="D510" s="480" t="s">
        <v>4930</v>
      </c>
      <c r="E510" s="480" t="str">
        <f t="shared" si="33"/>
        <v xml:space="preserve">4.4.1 </v>
      </c>
      <c r="F510" s="480" t="s">
        <v>6384</v>
      </c>
      <c r="G510" s="480" t="s">
        <v>4931</v>
      </c>
      <c r="H510" s="481">
        <v>43</v>
      </c>
      <c r="I510" s="480" t="s">
        <v>4935</v>
      </c>
      <c r="J510" s="495">
        <v>430200201</v>
      </c>
      <c r="K510" s="480" t="s">
        <v>4103</v>
      </c>
      <c r="L510" s="480" t="s">
        <v>4939</v>
      </c>
      <c r="M510" s="480" t="s">
        <v>6092</v>
      </c>
      <c r="N510" s="499">
        <v>40</v>
      </c>
      <c r="O510" s="480" t="s">
        <v>4779</v>
      </c>
      <c r="P510" s="515">
        <v>56</v>
      </c>
      <c r="Q510" s="485" t="s">
        <v>5349</v>
      </c>
      <c r="R510" s="485" t="s">
        <v>5586</v>
      </c>
      <c r="S510" s="485" t="s">
        <v>683</v>
      </c>
      <c r="T510" s="485">
        <v>207</v>
      </c>
      <c r="U510" s="485" t="s">
        <v>4815</v>
      </c>
      <c r="V510" s="485">
        <v>230</v>
      </c>
      <c r="W510" s="485" t="s">
        <v>5548</v>
      </c>
      <c r="X510" s="485">
        <v>3</v>
      </c>
      <c r="Y510" s="485" t="s">
        <v>2562</v>
      </c>
      <c r="Z510" s="486">
        <v>807000000</v>
      </c>
      <c r="AA510" s="486">
        <v>0</v>
      </c>
      <c r="AB510" s="486">
        <v>0</v>
      </c>
      <c r="AC510" s="486">
        <v>0</v>
      </c>
      <c r="AD510" s="486">
        <v>0</v>
      </c>
      <c r="AE510" s="486"/>
      <c r="AF510" s="486">
        <v>0</v>
      </c>
      <c r="AG510" s="486">
        <v>0</v>
      </c>
      <c r="AH510" s="487">
        <v>807000000</v>
      </c>
      <c r="AI510" s="486">
        <v>0</v>
      </c>
      <c r="AJ510" s="486"/>
      <c r="AK510" s="486"/>
      <c r="AL510" s="488">
        <v>0</v>
      </c>
      <c r="AM510" s="489">
        <v>807000000</v>
      </c>
      <c r="AN510" s="486">
        <v>839280000</v>
      </c>
      <c r="AO510" s="486">
        <v>0</v>
      </c>
      <c r="AP510" s="486">
        <v>0</v>
      </c>
      <c r="AQ510" s="486">
        <v>0</v>
      </c>
      <c r="AR510" s="486">
        <v>0</v>
      </c>
      <c r="AS510" s="486">
        <v>0</v>
      </c>
      <c r="AT510" s="486">
        <v>0</v>
      </c>
      <c r="AU510" s="486">
        <v>0</v>
      </c>
      <c r="AV510" s="487">
        <v>839280000</v>
      </c>
      <c r="AW510" s="486">
        <v>0</v>
      </c>
      <c r="AX510" s="486"/>
      <c r="AY510" s="486"/>
      <c r="AZ510" s="488">
        <v>0</v>
      </c>
      <c r="BA510" s="490">
        <v>839280000</v>
      </c>
      <c r="BB510" s="486">
        <v>872851200</v>
      </c>
      <c r="BC510" s="486">
        <v>0</v>
      </c>
      <c r="BD510" s="486">
        <v>0</v>
      </c>
      <c r="BE510" s="486">
        <v>0</v>
      </c>
      <c r="BF510" s="486">
        <v>0</v>
      </c>
      <c r="BG510" s="486">
        <v>0</v>
      </c>
      <c r="BH510" s="486">
        <v>0</v>
      </c>
      <c r="BI510" s="486">
        <v>0</v>
      </c>
      <c r="BJ510" s="487">
        <v>872851200</v>
      </c>
      <c r="BK510" s="486"/>
      <c r="BL510" s="486"/>
      <c r="BM510" s="486"/>
      <c r="BN510" s="488">
        <v>0</v>
      </c>
      <c r="BO510" s="490">
        <v>872851200</v>
      </c>
      <c r="BP510" s="486">
        <v>907765248</v>
      </c>
      <c r="BQ510" s="486">
        <v>0</v>
      </c>
      <c r="BR510" s="486">
        <v>0</v>
      </c>
      <c r="BS510" s="486">
        <v>0</v>
      </c>
      <c r="BT510" s="486">
        <v>0</v>
      </c>
      <c r="BU510" s="486">
        <v>0</v>
      </c>
      <c r="BV510" s="486">
        <v>0</v>
      </c>
      <c r="BW510" s="486">
        <v>0</v>
      </c>
      <c r="BX510" s="487">
        <v>907765248</v>
      </c>
      <c r="BY510" s="486"/>
      <c r="BZ510" s="486"/>
      <c r="CA510" s="486"/>
      <c r="CB510" s="488">
        <v>0</v>
      </c>
      <c r="CC510" s="491">
        <v>907765248</v>
      </c>
      <c r="CD510" s="492">
        <v>3426896448</v>
      </c>
      <c r="CE510" s="493">
        <f t="shared" si="32"/>
        <v>3426896448</v>
      </c>
      <c r="CF510" s="493">
        <f t="shared" si="32"/>
        <v>0</v>
      </c>
      <c r="CG510" s="493">
        <f t="shared" si="32"/>
        <v>0</v>
      </c>
      <c r="CH510" s="493">
        <f t="shared" si="32"/>
        <v>0</v>
      </c>
      <c r="CI510" s="493">
        <f t="shared" si="32"/>
        <v>0</v>
      </c>
      <c r="CJ510" s="493">
        <f t="shared" si="35"/>
        <v>0</v>
      </c>
      <c r="CK510" s="493">
        <f t="shared" si="35"/>
        <v>0</v>
      </c>
      <c r="CL510" s="493">
        <f t="shared" si="35"/>
        <v>0</v>
      </c>
      <c r="CM510" s="493">
        <f t="shared" si="34"/>
        <v>0</v>
      </c>
      <c r="CN510" s="493">
        <f t="shared" si="34"/>
        <v>0</v>
      </c>
      <c r="CO510" s="493">
        <f t="shared" si="34"/>
        <v>0</v>
      </c>
    </row>
    <row r="511" spans="1:93" ht="30.45" hidden="1" customHeight="1">
      <c r="A511" s="555" t="s">
        <v>2461</v>
      </c>
      <c r="B511" s="479">
        <v>509</v>
      </c>
      <c r="C511" s="480" t="s">
        <v>6370</v>
      </c>
      <c r="D511" s="480" t="s">
        <v>4930</v>
      </c>
      <c r="E511" s="480" t="str">
        <f t="shared" si="33"/>
        <v xml:space="preserve">4.4.1 </v>
      </c>
      <c r="F511" s="480" t="s">
        <v>6384</v>
      </c>
      <c r="G511" s="480" t="s">
        <v>4931</v>
      </c>
      <c r="H511" s="481">
        <v>43</v>
      </c>
      <c r="I511" s="480" t="s">
        <v>4935</v>
      </c>
      <c r="J511" s="495">
        <v>430207300</v>
      </c>
      <c r="K511" s="480" t="s">
        <v>4008</v>
      </c>
      <c r="L511" s="480" t="s">
        <v>4940</v>
      </c>
      <c r="M511" s="480" t="s">
        <v>6093</v>
      </c>
      <c r="N511" s="499">
        <v>47</v>
      </c>
      <c r="O511" s="480" t="s">
        <v>4941</v>
      </c>
      <c r="P511" s="515" t="s">
        <v>4942</v>
      </c>
      <c r="Q511" s="485" t="s">
        <v>5349</v>
      </c>
      <c r="R511" s="485" t="s">
        <v>5586</v>
      </c>
      <c r="S511" s="485" t="s">
        <v>683</v>
      </c>
      <c r="T511" s="485">
        <v>207</v>
      </c>
      <c r="U511" s="485" t="s">
        <v>4815</v>
      </c>
      <c r="V511" s="485">
        <v>230</v>
      </c>
      <c r="W511" s="485" t="s">
        <v>5548</v>
      </c>
      <c r="X511" s="485">
        <v>3</v>
      </c>
      <c r="Y511" s="485" t="s">
        <v>2562</v>
      </c>
      <c r="Z511" s="486">
        <v>200000000</v>
      </c>
      <c r="AA511" s="486">
        <v>0</v>
      </c>
      <c r="AB511" s="486">
        <v>0</v>
      </c>
      <c r="AC511" s="486">
        <v>0</v>
      </c>
      <c r="AD511" s="486">
        <v>0</v>
      </c>
      <c r="AE511" s="486">
        <v>250000000</v>
      </c>
      <c r="AF511" s="486">
        <v>0</v>
      </c>
      <c r="AG511" s="486">
        <v>0</v>
      </c>
      <c r="AH511" s="487">
        <v>450000000</v>
      </c>
      <c r="AI511" s="486">
        <v>600000000</v>
      </c>
      <c r="AJ511" s="486"/>
      <c r="AK511" s="486"/>
      <c r="AL511" s="488">
        <v>600000000</v>
      </c>
      <c r="AM511" s="489">
        <v>1050000000</v>
      </c>
      <c r="AN511" s="486">
        <v>208000000</v>
      </c>
      <c r="AO511" s="486">
        <v>0</v>
      </c>
      <c r="AP511" s="486">
        <v>0</v>
      </c>
      <c r="AQ511" s="486">
        <v>0</v>
      </c>
      <c r="AR511" s="486">
        <v>0</v>
      </c>
      <c r="AS511" s="486">
        <v>265000000</v>
      </c>
      <c r="AT511" s="486">
        <v>0</v>
      </c>
      <c r="AU511" s="486">
        <v>0</v>
      </c>
      <c r="AV511" s="487">
        <v>473000000</v>
      </c>
      <c r="AW511" s="486">
        <v>600000000</v>
      </c>
      <c r="AX511" s="486"/>
      <c r="AY511" s="486"/>
      <c r="AZ511" s="488">
        <v>600000000</v>
      </c>
      <c r="BA511" s="490">
        <v>1073000000</v>
      </c>
      <c r="BB511" s="486">
        <v>216320000</v>
      </c>
      <c r="BC511" s="486">
        <v>0</v>
      </c>
      <c r="BD511" s="486">
        <v>0</v>
      </c>
      <c r="BE511" s="486">
        <v>0</v>
      </c>
      <c r="BF511" s="486">
        <v>0</v>
      </c>
      <c r="BG511" s="486">
        <v>280900000</v>
      </c>
      <c r="BH511" s="486">
        <v>0</v>
      </c>
      <c r="BI511" s="486">
        <v>0</v>
      </c>
      <c r="BJ511" s="487">
        <v>497220000</v>
      </c>
      <c r="BK511" s="486">
        <v>600000000</v>
      </c>
      <c r="BL511" s="486"/>
      <c r="BM511" s="486"/>
      <c r="BN511" s="488">
        <v>600000000</v>
      </c>
      <c r="BO511" s="490">
        <v>1097220000</v>
      </c>
      <c r="BP511" s="486">
        <v>224972800</v>
      </c>
      <c r="BQ511" s="486">
        <v>0</v>
      </c>
      <c r="BR511" s="486">
        <v>0</v>
      </c>
      <c r="BS511" s="486">
        <v>0</v>
      </c>
      <c r="BT511" s="486">
        <v>0</v>
      </c>
      <c r="BU511" s="486">
        <v>297754000</v>
      </c>
      <c r="BV511" s="486">
        <v>0</v>
      </c>
      <c r="BW511" s="486">
        <v>0</v>
      </c>
      <c r="BX511" s="487">
        <v>522726800</v>
      </c>
      <c r="BY511" s="486">
        <v>600000000</v>
      </c>
      <c r="BZ511" s="486"/>
      <c r="CA511" s="486"/>
      <c r="CB511" s="488">
        <v>600000000</v>
      </c>
      <c r="CC511" s="491">
        <v>1122726800</v>
      </c>
      <c r="CD511" s="492">
        <v>4342946800</v>
      </c>
      <c r="CE511" s="493">
        <f t="shared" ref="CE511:CI561" si="36">Z511+AN511+BB511+BP511</f>
        <v>849292800</v>
      </c>
      <c r="CF511" s="493">
        <f t="shared" si="36"/>
        <v>0</v>
      </c>
      <c r="CG511" s="493">
        <f t="shared" si="36"/>
        <v>0</v>
      </c>
      <c r="CH511" s="493">
        <f t="shared" si="36"/>
        <v>0</v>
      </c>
      <c r="CI511" s="493">
        <f t="shared" si="36"/>
        <v>0</v>
      </c>
      <c r="CJ511" s="493">
        <f t="shared" si="35"/>
        <v>1093654000</v>
      </c>
      <c r="CK511" s="493">
        <f t="shared" si="35"/>
        <v>0</v>
      </c>
      <c r="CL511" s="493">
        <f t="shared" si="35"/>
        <v>0</v>
      </c>
      <c r="CM511" s="493">
        <f t="shared" si="34"/>
        <v>2400000000</v>
      </c>
      <c r="CN511" s="493">
        <f t="shared" si="34"/>
        <v>0</v>
      </c>
      <c r="CO511" s="493">
        <f t="shared" si="34"/>
        <v>0</v>
      </c>
    </row>
    <row r="512" spans="1:93" ht="30.45" hidden="1" customHeight="1">
      <c r="A512" s="555" t="s">
        <v>2461</v>
      </c>
      <c r="B512" s="479">
        <v>510</v>
      </c>
      <c r="C512" s="480" t="s">
        <v>6370</v>
      </c>
      <c r="D512" s="480" t="s">
        <v>4930</v>
      </c>
      <c r="E512" s="480" t="str">
        <f t="shared" si="33"/>
        <v xml:space="preserve">4.4.1 </v>
      </c>
      <c r="F512" s="480" t="s">
        <v>6384</v>
      </c>
      <c r="G512" s="480" t="s">
        <v>4931</v>
      </c>
      <c r="H512" s="481">
        <v>43</v>
      </c>
      <c r="I512" s="480" t="s">
        <v>4935</v>
      </c>
      <c r="J512" s="495">
        <v>430200400</v>
      </c>
      <c r="K512" s="480" t="s">
        <v>4943</v>
      </c>
      <c r="L512" s="480" t="s">
        <v>6628</v>
      </c>
      <c r="M512" s="480" t="s">
        <v>6094</v>
      </c>
      <c r="N512" s="517">
        <v>1340</v>
      </c>
      <c r="O512" s="480" t="s">
        <v>4779</v>
      </c>
      <c r="P512" s="515">
        <v>1356</v>
      </c>
      <c r="Q512" s="485" t="s">
        <v>5349</v>
      </c>
      <c r="R512" s="485" t="s">
        <v>5586</v>
      </c>
      <c r="S512" s="485" t="s">
        <v>683</v>
      </c>
      <c r="T512" s="485">
        <v>207</v>
      </c>
      <c r="U512" s="485" t="s">
        <v>4815</v>
      </c>
      <c r="V512" s="485">
        <v>230</v>
      </c>
      <c r="W512" s="485" t="s">
        <v>5548</v>
      </c>
      <c r="X512" s="485">
        <v>3</v>
      </c>
      <c r="Y512" s="485" t="s">
        <v>2562</v>
      </c>
      <c r="Z512" s="486">
        <v>1297385358</v>
      </c>
      <c r="AA512" s="486">
        <v>0</v>
      </c>
      <c r="AB512" s="486">
        <v>0</v>
      </c>
      <c r="AC512" s="486">
        <v>0</v>
      </c>
      <c r="AD512" s="486">
        <v>0</v>
      </c>
      <c r="AE512" s="486"/>
      <c r="AF512" s="486">
        <v>0</v>
      </c>
      <c r="AG512" s="486">
        <v>0</v>
      </c>
      <c r="AH512" s="487">
        <v>1297385358</v>
      </c>
      <c r="AI512" s="486">
        <v>0</v>
      </c>
      <c r="AJ512" s="486"/>
      <c r="AK512" s="486"/>
      <c r="AL512" s="488">
        <v>0</v>
      </c>
      <c r="AM512" s="489">
        <v>1297385358</v>
      </c>
      <c r="AN512" s="486">
        <v>1349280772.3199999</v>
      </c>
      <c r="AO512" s="486">
        <v>0</v>
      </c>
      <c r="AP512" s="486">
        <v>0</v>
      </c>
      <c r="AQ512" s="486">
        <v>0</v>
      </c>
      <c r="AR512" s="486">
        <v>0</v>
      </c>
      <c r="AS512" s="486">
        <v>0</v>
      </c>
      <c r="AT512" s="486">
        <v>0</v>
      </c>
      <c r="AU512" s="486">
        <v>0</v>
      </c>
      <c r="AV512" s="487">
        <v>1349280772.3199999</v>
      </c>
      <c r="AW512" s="486">
        <v>0</v>
      </c>
      <c r="AX512" s="486"/>
      <c r="AY512" s="486"/>
      <c r="AZ512" s="488">
        <v>0</v>
      </c>
      <c r="BA512" s="490">
        <v>1349280772.3199999</v>
      </c>
      <c r="BB512" s="486">
        <v>1403252003.2128</v>
      </c>
      <c r="BC512" s="486">
        <v>0</v>
      </c>
      <c r="BD512" s="486">
        <v>0</v>
      </c>
      <c r="BE512" s="486">
        <v>0</v>
      </c>
      <c r="BF512" s="486">
        <v>0</v>
      </c>
      <c r="BG512" s="486">
        <v>0</v>
      </c>
      <c r="BH512" s="486">
        <v>0</v>
      </c>
      <c r="BI512" s="486">
        <v>0</v>
      </c>
      <c r="BJ512" s="487">
        <v>1403252003.2128</v>
      </c>
      <c r="BK512" s="486"/>
      <c r="BL512" s="486"/>
      <c r="BM512" s="486"/>
      <c r="BN512" s="488">
        <v>0</v>
      </c>
      <c r="BO512" s="490">
        <v>1403252003.2128</v>
      </c>
      <c r="BP512" s="486">
        <v>1459382083.3413119</v>
      </c>
      <c r="BQ512" s="486">
        <v>0</v>
      </c>
      <c r="BR512" s="486">
        <v>0</v>
      </c>
      <c r="BS512" s="486">
        <v>0</v>
      </c>
      <c r="BT512" s="486">
        <v>0</v>
      </c>
      <c r="BU512" s="486">
        <v>0</v>
      </c>
      <c r="BV512" s="486">
        <v>0</v>
      </c>
      <c r="BW512" s="486">
        <v>0</v>
      </c>
      <c r="BX512" s="487">
        <v>1459382083.3413119</v>
      </c>
      <c r="BY512" s="486">
        <v>0</v>
      </c>
      <c r="BZ512" s="486"/>
      <c r="CA512" s="486"/>
      <c r="CB512" s="488">
        <v>0</v>
      </c>
      <c r="CC512" s="491">
        <v>1459382083.3413119</v>
      </c>
      <c r="CD512" s="492">
        <v>5509300216.8741121</v>
      </c>
      <c r="CE512" s="493">
        <f t="shared" si="36"/>
        <v>5509300216.8741112</v>
      </c>
      <c r="CF512" s="493">
        <f t="shared" si="36"/>
        <v>0</v>
      </c>
      <c r="CG512" s="493">
        <f t="shared" si="36"/>
        <v>0</v>
      </c>
      <c r="CH512" s="493">
        <f t="shared" si="36"/>
        <v>0</v>
      </c>
      <c r="CI512" s="493">
        <f t="shared" si="36"/>
        <v>0</v>
      </c>
      <c r="CJ512" s="493">
        <f t="shared" si="35"/>
        <v>0</v>
      </c>
      <c r="CK512" s="493">
        <f t="shared" si="35"/>
        <v>0</v>
      </c>
      <c r="CL512" s="493">
        <f t="shared" si="35"/>
        <v>0</v>
      </c>
      <c r="CM512" s="493">
        <f t="shared" si="34"/>
        <v>0</v>
      </c>
      <c r="CN512" s="493">
        <f t="shared" si="34"/>
        <v>0</v>
      </c>
      <c r="CO512" s="493">
        <f t="shared" si="34"/>
        <v>0</v>
      </c>
    </row>
    <row r="513" spans="1:93" ht="30.45" hidden="1" customHeight="1">
      <c r="A513" s="555" t="s">
        <v>2461</v>
      </c>
      <c r="B513" s="479">
        <v>511</v>
      </c>
      <c r="C513" s="480" t="s">
        <v>6370</v>
      </c>
      <c r="D513" s="480" t="s">
        <v>4930</v>
      </c>
      <c r="E513" s="480" t="str">
        <f t="shared" si="33"/>
        <v xml:space="preserve">4.4.1 </v>
      </c>
      <c r="F513" s="480" t="s">
        <v>6384</v>
      </c>
      <c r="G513" s="480" t="s">
        <v>4931</v>
      </c>
      <c r="H513" s="481">
        <v>43</v>
      </c>
      <c r="I513" s="480" t="s">
        <v>4935</v>
      </c>
      <c r="J513" s="495">
        <v>430200401</v>
      </c>
      <c r="K513" s="480" t="s">
        <v>4943</v>
      </c>
      <c r="L513" s="480" t="s">
        <v>6095</v>
      </c>
      <c r="M513" s="480" t="s">
        <v>6096</v>
      </c>
      <c r="N513" s="499">
        <v>498</v>
      </c>
      <c r="O513" s="480" t="s">
        <v>4407</v>
      </c>
      <c r="P513" s="515">
        <v>498</v>
      </c>
      <c r="Q513" s="485" t="s">
        <v>5349</v>
      </c>
      <c r="R513" s="485" t="s">
        <v>5586</v>
      </c>
      <c r="S513" s="485" t="s">
        <v>683</v>
      </c>
      <c r="T513" s="485">
        <v>207</v>
      </c>
      <c r="U513" s="485" t="s">
        <v>4815</v>
      </c>
      <c r="V513" s="485">
        <v>230</v>
      </c>
      <c r="W513" s="485" t="s">
        <v>5548</v>
      </c>
      <c r="X513" s="485">
        <v>3</v>
      </c>
      <c r="Y513" s="485" t="s">
        <v>2562</v>
      </c>
      <c r="Z513" s="486">
        <v>0</v>
      </c>
      <c r="AA513" s="486">
        <v>0</v>
      </c>
      <c r="AB513" s="486">
        <v>0</v>
      </c>
      <c r="AC513" s="486">
        <v>0</v>
      </c>
      <c r="AD513" s="486">
        <v>0</v>
      </c>
      <c r="AE513" s="486"/>
      <c r="AF513" s="486">
        <v>0</v>
      </c>
      <c r="AG513" s="486">
        <v>0</v>
      </c>
      <c r="AH513" s="487">
        <v>0</v>
      </c>
      <c r="AI513" s="486">
        <v>0</v>
      </c>
      <c r="AJ513" s="486"/>
      <c r="AK513" s="486"/>
      <c r="AL513" s="488">
        <v>0</v>
      </c>
      <c r="AM513" s="489">
        <v>0</v>
      </c>
      <c r="AN513" s="486">
        <v>0</v>
      </c>
      <c r="AO513" s="486">
        <v>0</v>
      </c>
      <c r="AP513" s="486">
        <v>0</v>
      </c>
      <c r="AQ513" s="486">
        <v>0</v>
      </c>
      <c r="AR513" s="486">
        <v>0</v>
      </c>
      <c r="AS513" s="486">
        <v>0</v>
      </c>
      <c r="AT513" s="486">
        <v>0</v>
      </c>
      <c r="AU513" s="486">
        <v>0</v>
      </c>
      <c r="AV513" s="487">
        <v>0</v>
      </c>
      <c r="AW513" s="486">
        <v>0</v>
      </c>
      <c r="AX513" s="486"/>
      <c r="AY513" s="486"/>
      <c r="AZ513" s="488">
        <v>0</v>
      </c>
      <c r="BA513" s="490">
        <v>0</v>
      </c>
      <c r="BB513" s="486">
        <v>0</v>
      </c>
      <c r="BC513" s="486">
        <v>0</v>
      </c>
      <c r="BD513" s="486">
        <v>0</v>
      </c>
      <c r="BE513" s="486">
        <v>0</v>
      </c>
      <c r="BF513" s="486">
        <v>0</v>
      </c>
      <c r="BG513" s="486">
        <v>0</v>
      </c>
      <c r="BH513" s="486">
        <v>0</v>
      </c>
      <c r="BI513" s="486">
        <v>0</v>
      </c>
      <c r="BJ513" s="487">
        <v>0</v>
      </c>
      <c r="BK513" s="486"/>
      <c r="BL513" s="486"/>
      <c r="BM513" s="486"/>
      <c r="BN513" s="488">
        <v>0</v>
      </c>
      <c r="BO513" s="490">
        <v>0</v>
      </c>
      <c r="BP513" s="486">
        <v>0</v>
      </c>
      <c r="BQ513" s="486">
        <v>0</v>
      </c>
      <c r="BR513" s="486">
        <v>0</v>
      </c>
      <c r="BS513" s="486">
        <v>0</v>
      </c>
      <c r="BT513" s="486">
        <v>0</v>
      </c>
      <c r="BU513" s="486">
        <v>0</v>
      </c>
      <c r="BV513" s="486">
        <v>0</v>
      </c>
      <c r="BW513" s="486">
        <v>0</v>
      </c>
      <c r="BX513" s="487">
        <v>0</v>
      </c>
      <c r="BY513" s="486">
        <v>10000000000</v>
      </c>
      <c r="BZ513" s="486"/>
      <c r="CA513" s="486"/>
      <c r="CB513" s="488">
        <v>10000000000</v>
      </c>
      <c r="CC513" s="491">
        <v>10000000000</v>
      </c>
      <c r="CD513" s="492">
        <v>10000000000</v>
      </c>
      <c r="CE513" s="493">
        <f t="shared" si="36"/>
        <v>0</v>
      </c>
      <c r="CF513" s="493">
        <f t="shared" si="36"/>
        <v>0</v>
      </c>
      <c r="CG513" s="493">
        <f t="shared" si="36"/>
        <v>0</v>
      </c>
      <c r="CH513" s="493">
        <f t="shared" si="36"/>
        <v>0</v>
      </c>
      <c r="CI513" s="493">
        <f t="shared" si="36"/>
        <v>0</v>
      </c>
      <c r="CJ513" s="493">
        <f t="shared" si="35"/>
        <v>0</v>
      </c>
      <c r="CK513" s="493">
        <f t="shared" si="35"/>
        <v>0</v>
      </c>
      <c r="CL513" s="493">
        <f t="shared" si="35"/>
        <v>0</v>
      </c>
      <c r="CM513" s="493">
        <f t="shared" si="34"/>
        <v>10000000000</v>
      </c>
      <c r="CN513" s="493">
        <f t="shared" si="34"/>
        <v>0</v>
      </c>
      <c r="CO513" s="493">
        <f t="shared" si="34"/>
        <v>0</v>
      </c>
    </row>
    <row r="514" spans="1:93" ht="30.45" hidden="1" customHeight="1">
      <c r="A514" s="555" t="s">
        <v>2461</v>
      </c>
      <c r="B514" s="479">
        <v>512</v>
      </c>
      <c r="C514" s="480" t="s">
        <v>6370</v>
      </c>
      <c r="D514" s="480" t="s">
        <v>4930</v>
      </c>
      <c r="E514" s="480" t="str">
        <f t="shared" si="33"/>
        <v xml:space="preserve">4.4.1 </v>
      </c>
      <c r="F514" s="480" t="s">
        <v>6384</v>
      </c>
      <c r="G514" s="480" t="s">
        <v>4931</v>
      </c>
      <c r="H514" s="481">
        <v>43</v>
      </c>
      <c r="I514" s="480" t="s">
        <v>4935</v>
      </c>
      <c r="J514" s="495">
        <v>430207500</v>
      </c>
      <c r="K514" s="480" t="s">
        <v>4944</v>
      </c>
      <c r="L514" s="480" t="s">
        <v>4945</v>
      </c>
      <c r="M514" s="480" t="s">
        <v>6097</v>
      </c>
      <c r="N514" s="499">
        <v>34</v>
      </c>
      <c r="O514" s="480" t="s">
        <v>4779</v>
      </c>
      <c r="P514" s="515">
        <v>35</v>
      </c>
      <c r="Q514" s="485" t="s">
        <v>5349</v>
      </c>
      <c r="R514" s="485" t="s">
        <v>5586</v>
      </c>
      <c r="S514" s="485" t="s">
        <v>683</v>
      </c>
      <c r="T514" s="485">
        <v>207</v>
      </c>
      <c r="U514" s="485" t="s">
        <v>4815</v>
      </c>
      <c r="V514" s="485">
        <v>230</v>
      </c>
      <c r="W514" s="485" t="s">
        <v>5548</v>
      </c>
      <c r="X514" s="485">
        <v>3</v>
      </c>
      <c r="Y514" s="485" t="s">
        <v>2562</v>
      </c>
      <c r="Z514" s="486">
        <v>4902800000</v>
      </c>
      <c r="AA514" s="486">
        <v>0</v>
      </c>
      <c r="AB514" s="486">
        <v>0</v>
      </c>
      <c r="AC514" s="486">
        <v>0</v>
      </c>
      <c r="AD514" s="486">
        <v>0</v>
      </c>
      <c r="AE514" s="486"/>
      <c r="AF514" s="486">
        <v>0</v>
      </c>
      <c r="AG514" s="486">
        <v>0</v>
      </c>
      <c r="AH514" s="487">
        <v>4902800000</v>
      </c>
      <c r="AI514" s="486">
        <v>0</v>
      </c>
      <c r="AJ514" s="486"/>
      <c r="AK514" s="486"/>
      <c r="AL514" s="488">
        <v>0</v>
      </c>
      <c r="AM514" s="489">
        <v>4902800000</v>
      </c>
      <c r="AN514" s="486">
        <v>5098912000</v>
      </c>
      <c r="AO514" s="486">
        <v>0</v>
      </c>
      <c r="AP514" s="486">
        <v>0</v>
      </c>
      <c r="AQ514" s="486">
        <v>0</v>
      </c>
      <c r="AR514" s="486">
        <v>0</v>
      </c>
      <c r="AS514" s="486">
        <v>0</v>
      </c>
      <c r="AT514" s="486">
        <v>0</v>
      </c>
      <c r="AU514" s="486">
        <v>0</v>
      </c>
      <c r="AV514" s="487">
        <v>5098912000</v>
      </c>
      <c r="AW514" s="486">
        <v>0</v>
      </c>
      <c r="AX514" s="486"/>
      <c r="AY514" s="486"/>
      <c r="AZ514" s="488">
        <v>0</v>
      </c>
      <c r="BA514" s="490">
        <v>5098912000</v>
      </c>
      <c r="BB514" s="486">
        <v>5302868480</v>
      </c>
      <c r="BC514" s="486">
        <v>0</v>
      </c>
      <c r="BD514" s="486">
        <v>0</v>
      </c>
      <c r="BE514" s="486">
        <v>0</v>
      </c>
      <c r="BF514" s="486">
        <v>0</v>
      </c>
      <c r="BG514" s="486">
        <v>0</v>
      </c>
      <c r="BH514" s="486">
        <v>0</v>
      </c>
      <c r="BI514" s="486">
        <v>0</v>
      </c>
      <c r="BJ514" s="487">
        <v>5302868480</v>
      </c>
      <c r="BK514" s="486"/>
      <c r="BL514" s="486"/>
      <c r="BM514" s="486"/>
      <c r="BN514" s="488">
        <v>0</v>
      </c>
      <c r="BO514" s="490">
        <v>5302868480</v>
      </c>
      <c r="BP514" s="486">
        <v>5514983219.1999998</v>
      </c>
      <c r="BQ514" s="486">
        <v>0</v>
      </c>
      <c r="BR514" s="486">
        <v>0</v>
      </c>
      <c r="BS514" s="486">
        <v>0</v>
      </c>
      <c r="BT514" s="486">
        <v>0</v>
      </c>
      <c r="BU514" s="486">
        <v>0</v>
      </c>
      <c r="BV514" s="486">
        <v>0</v>
      </c>
      <c r="BW514" s="486">
        <v>0</v>
      </c>
      <c r="BX514" s="487">
        <v>5514983219.1999998</v>
      </c>
      <c r="BY514" s="486">
        <v>0</v>
      </c>
      <c r="BZ514" s="486"/>
      <c r="CA514" s="486"/>
      <c r="CB514" s="488">
        <v>0</v>
      </c>
      <c r="CC514" s="491">
        <v>5514983219.1999998</v>
      </c>
      <c r="CD514" s="492">
        <v>20819563699.200001</v>
      </c>
      <c r="CE514" s="493">
        <f t="shared" si="36"/>
        <v>20819563699.200001</v>
      </c>
      <c r="CF514" s="493">
        <f t="shared" si="36"/>
        <v>0</v>
      </c>
      <c r="CG514" s="493">
        <f t="shared" si="36"/>
        <v>0</v>
      </c>
      <c r="CH514" s="493">
        <f t="shared" si="36"/>
        <v>0</v>
      </c>
      <c r="CI514" s="493">
        <f t="shared" si="36"/>
        <v>0</v>
      </c>
      <c r="CJ514" s="493">
        <f t="shared" si="35"/>
        <v>0</v>
      </c>
      <c r="CK514" s="493">
        <f t="shared" si="35"/>
        <v>0</v>
      </c>
      <c r="CL514" s="493">
        <f t="shared" si="35"/>
        <v>0</v>
      </c>
      <c r="CM514" s="493">
        <f t="shared" si="34"/>
        <v>0</v>
      </c>
      <c r="CN514" s="493">
        <f t="shared" si="34"/>
        <v>0</v>
      </c>
      <c r="CO514" s="493">
        <f t="shared" si="34"/>
        <v>0</v>
      </c>
    </row>
    <row r="515" spans="1:93" ht="30.45" hidden="1" customHeight="1">
      <c r="A515" s="555" t="s">
        <v>2461</v>
      </c>
      <c r="B515" s="479">
        <v>513</v>
      </c>
      <c r="C515" s="480" t="s">
        <v>6370</v>
      </c>
      <c r="D515" s="480" t="s">
        <v>4930</v>
      </c>
      <c r="E515" s="480" t="str">
        <f t="shared" si="33"/>
        <v xml:space="preserve">4.4.2 </v>
      </c>
      <c r="F515" s="480" t="s">
        <v>6385</v>
      </c>
      <c r="G515" s="480" t="s">
        <v>4946</v>
      </c>
      <c r="H515" s="481">
        <v>45</v>
      </c>
      <c r="I515" s="480" t="s">
        <v>4180</v>
      </c>
      <c r="J515" s="495">
        <v>459902300</v>
      </c>
      <c r="K515" s="480" t="s">
        <v>4094</v>
      </c>
      <c r="L515" s="480" t="s">
        <v>4217</v>
      </c>
      <c r="M515" s="480" t="s">
        <v>6098</v>
      </c>
      <c r="N515" s="499">
        <v>1</v>
      </c>
      <c r="O515" s="480" t="s">
        <v>4947</v>
      </c>
      <c r="P515" s="515" t="s">
        <v>4948</v>
      </c>
      <c r="Q515" s="485" t="s">
        <v>5349</v>
      </c>
      <c r="R515" s="485" t="s">
        <v>5587</v>
      </c>
      <c r="S515" s="485" t="s">
        <v>5588</v>
      </c>
      <c r="T515" s="485">
        <v>64.599999999999994</v>
      </c>
      <c r="U515" s="485" t="s">
        <v>4947</v>
      </c>
      <c r="V515" s="485">
        <v>80</v>
      </c>
      <c r="W515" s="485" t="s">
        <v>5589</v>
      </c>
      <c r="X515" s="485" t="s">
        <v>5590</v>
      </c>
      <c r="Y515" s="485" t="s">
        <v>5591</v>
      </c>
      <c r="Z515" s="486">
        <v>700000000</v>
      </c>
      <c r="AA515" s="486">
        <v>0</v>
      </c>
      <c r="AB515" s="486">
        <v>0</v>
      </c>
      <c r="AC515" s="486">
        <v>0</v>
      </c>
      <c r="AD515" s="486">
        <v>0</v>
      </c>
      <c r="AE515" s="486"/>
      <c r="AF515" s="486">
        <v>0</v>
      </c>
      <c r="AG515" s="486">
        <v>0</v>
      </c>
      <c r="AH515" s="487">
        <v>700000000</v>
      </c>
      <c r="AI515" s="486">
        <v>600000000</v>
      </c>
      <c r="AJ515" s="486"/>
      <c r="AK515" s="486"/>
      <c r="AL515" s="488">
        <v>600000000</v>
      </c>
      <c r="AM515" s="489">
        <v>1300000000</v>
      </c>
      <c r="AN515" s="486">
        <v>728000000</v>
      </c>
      <c r="AO515" s="486">
        <v>0</v>
      </c>
      <c r="AP515" s="486">
        <v>0</v>
      </c>
      <c r="AQ515" s="486">
        <v>0</v>
      </c>
      <c r="AR515" s="486">
        <v>0</v>
      </c>
      <c r="AS515" s="486">
        <v>0</v>
      </c>
      <c r="AT515" s="486">
        <v>0</v>
      </c>
      <c r="AU515" s="486">
        <v>0</v>
      </c>
      <c r="AV515" s="487">
        <v>728000000</v>
      </c>
      <c r="AW515" s="486">
        <v>600000000</v>
      </c>
      <c r="AX515" s="486"/>
      <c r="AY515" s="486"/>
      <c r="AZ515" s="488">
        <v>600000000</v>
      </c>
      <c r="BA515" s="490">
        <v>1328000000</v>
      </c>
      <c r="BB515" s="486">
        <v>757120000</v>
      </c>
      <c r="BC515" s="486">
        <v>0</v>
      </c>
      <c r="BD515" s="486">
        <v>0</v>
      </c>
      <c r="BE515" s="486">
        <v>0</v>
      </c>
      <c r="BF515" s="486">
        <v>0</v>
      </c>
      <c r="BG515" s="486">
        <v>0</v>
      </c>
      <c r="BH515" s="486">
        <v>0</v>
      </c>
      <c r="BI515" s="486">
        <v>0</v>
      </c>
      <c r="BJ515" s="487">
        <v>757120000</v>
      </c>
      <c r="BK515" s="486">
        <v>600000000</v>
      </c>
      <c r="BL515" s="486"/>
      <c r="BM515" s="486"/>
      <c r="BN515" s="488">
        <v>600000000</v>
      </c>
      <c r="BO515" s="490">
        <v>1357120000</v>
      </c>
      <c r="BP515" s="486">
        <v>787404800</v>
      </c>
      <c r="BQ515" s="486">
        <v>0</v>
      </c>
      <c r="BR515" s="486">
        <v>0</v>
      </c>
      <c r="BS515" s="486">
        <v>0</v>
      </c>
      <c r="BT515" s="486">
        <v>0</v>
      </c>
      <c r="BU515" s="486">
        <v>0</v>
      </c>
      <c r="BV515" s="486">
        <v>0</v>
      </c>
      <c r="BW515" s="486">
        <v>0</v>
      </c>
      <c r="BX515" s="487">
        <v>787404800</v>
      </c>
      <c r="BY515" s="486">
        <v>600000000</v>
      </c>
      <c r="BZ515" s="486"/>
      <c r="CA515" s="486"/>
      <c r="CB515" s="488">
        <v>600000000</v>
      </c>
      <c r="CC515" s="491">
        <v>1387404800</v>
      </c>
      <c r="CD515" s="492">
        <v>5372524800</v>
      </c>
      <c r="CE515" s="493">
        <f t="shared" si="36"/>
        <v>2972524800</v>
      </c>
      <c r="CF515" s="493">
        <f t="shared" si="36"/>
        <v>0</v>
      </c>
      <c r="CG515" s="493">
        <f t="shared" si="36"/>
        <v>0</v>
      </c>
      <c r="CH515" s="493">
        <f t="shared" si="36"/>
        <v>0</v>
      </c>
      <c r="CI515" s="493">
        <f t="shared" si="36"/>
        <v>0</v>
      </c>
      <c r="CJ515" s="493">
        <f t="shared" si="35"/>
        <v>0</v>
      </c>
      <c r="CK515" s="493">
        <f t="shared" si="35"/>
        <v>0</v>
      </c>
      <c r="CL515" s="493">
        <f t="shared" si="35"/>
        <v>0</v>
      </c>
      <c r="CM515" s="493">
        <f t="shared" si="34"/>
        <v>2400000000</v>
      </c>
      <c r="CN515" s="493">
        <f t="shared" si="34"/>
        <v>0</v>
      </c>
      <c r="CO515" s="493">
        <f t="shared" si="34"/>
        <v>0</v>
      </c>
    </row>
    <row r="516" spans="1:93" ht="30.45" hidden="1" customHeight="1">
      <c r="A516" s="555" t="s">
        <v>2461</v>
      </c>
      <c r="B516" s="479">
        <v>514</v>
      </c>
      <c r="C516" s="480" t="s">
        <v>6370</v>
      </c>
      <c r="D516" s="480" t="s">
        <v>4930</v>
      </c>
      <c r="E516" s="480" t="str">
        <f t="shared" ref="E516:E578" si="37">MID(F516,1,6)</f>
        <v xml:space="preserve">4.4.3 </v>
      </c>
      <c r="F516" s="480" t="s">
        <v>6386</v>
      </c>
      <c r="G516" s="480" t="s">
        <v>4949</v>
      </c>
      <c r="H516" s="481">
        <v>43</v>
      </c>
      <c r="I516" s="480" t="s">
        <v>4776</v>
      </c>
      <c r="J516" s="495">
        <v>430103703</v>
      </c>
      <c r="K516" s="480" t="s">
        <v>4008</v>
      </c>
      <c r="L516" s="480" t="s">
        <v>6629</v>
      </c>
      <c r="M516" s="480" t="s">
        <v>6099</v>
      </c>
      <c r="N516" s="517">
        <v>46493</v>
      </c>
      <c r="O516" s="480" t="s">
        <v>4779</v>
      </c>
      <c r="P516" s="518">
        <v>48493</v>
      </c>
      <c r="Q516" s="485" t="s">
        <v>5349</v>
      </c>
      <c r="R516" s="485" t="s">
        <v>5592</v>
      </c>
      <c r="S516" s="485" t="s">
        <v>677</v>
      </c>
      <c r="T516" s="485">
        <v>0.6</v>
      </c>
      <c r="U516" s="485" t="s">
        <v>4779</v>
      </c>
      <c r="V516" s="485">
        <v>1</v>
      </c>
      <c r="W516" s="485" t="s">
        <v>5548</v>
      </c>
      <c r="X516" s="485">
        <v>3</v>
      </c>
      <c r="Y516" s="485" t="s">
        <v>5593</v>
      </c>
      <c r="Z516" s="486">
        <v>20000000</v>
      </c>
      <c r="AA516" s="486">
        <v>0</v>
      </c>
      <c r="AB516" s="486">
        <v>0</v>
      </c>
      <c r="AC516" s="486">
        <v>0</v>
      </c>
      <c r="AD516" s="486">
        <v>0</v>
      </c>
      <c r="AE516" s="486">
        <v>760000000</v>
      </c>
      <c r="AF516" s="486">
        <v>0</v>
      </c>
      <c r="AG516" s="486">
        <v>0</v>
      </c>
      <c r="AH516" s="487">
        <v>780000000</v>
      </c>
      <c r="AI516" s="486">
        <v>800000000</v>
      </c>
      <c r="AJ516" s="486"/>
      <c r="AK516" s="486"/>
      <c r="AL516" s="488">
        <v>800000000</v>
      </c>
      <c r="AM516" s="489">
        <v>1580000000</v>
      </c>
      <c r="AN516" s="486">
        <v>20800000</v>
      </c>
      <c r="AO516" s="486">
        <v>0</v>
      </c>
      <c r="AP516" s="486">
        <v>0</v>
      </c>
      <c r="AQ516" s="486">
        <v>0</v>
      </c>
      <c r="AR516" s="486">
        <v>0</v>
      </c>
      <c r="AS516" s="486">
        <v>805600000</v>
      </c>
      <c r="AT516" s="486">
        <v>0</v>
      </c>
      <c r="AU516" s="486">
        <v>0</v>
      </c>
      <c r="AV516" s="487">
        <v>826400000</v>
      </c>
      <c r="AW516" s="486">
        <v>800000000</v>
      </c>
      <c r="AX516" s="486"/>
      <c r="AY516" s="486"/>
      <c r="AZ516" s="488">
        <v>800000000</v>
      </c>
      <c r="BA516" s="490">
        <v>1626400000</v>
      </c>
      <c r="BB516" s="486">
        <v>21632000</v>
      </c>
      <c r="BC516" s="486">
        <v>0</v>
      </c>
      <c r="BD516" s="486">
        <v>0</v>
      </c>
      <c r="BE516" s="486">
        <v>0</v>
      </c>
      <c r="BF516" s="486">
        <v>0</v>
      </c>
      <c r="BG516" s="486">
        <v>853936000</v>
      </c>
      <c r="BH516" s="486">
        <v>0</v>
      </c>
      <c r="BI516" s="486">
        <v>0</v>
      </c>
      <c r="BJ516" s="487">
        <v>875568000</v>
      </c>
      <c r="BK516" s="486">
        <v>800000000</v>
      </c>
      <c r="BL516" s="486"/>
      <c r="BM516" s="486"/>
      <c r="BN516" s="488">
        <v>800000000</v>
      </c>
      <c r="BO516" s="490">
        <v>1675568000</v>
      </c>
      <c r="BP516" s="486">
        <v>22497280</v>
      </c>
      <c r="BQ516" s="486">
        <v>0</v>
      </c>
      <c r="BR516" s="486">
        <v>0</v>
      </c>
      <c r="BS516" s="486">
        <v>0</v>
      </c>
      <c r="BT516" s="486">
        <v>0</v>
      </c>
      <c r="BU516" s="486">
        <v>905172160</v>
      </c>
      <c r="BV516" s="486">
        <v>0</v>
      </c>
      <c r="BW516" s="486">
        <v>0</v>
      </c>
      <c r="BX516" s="487">
        <v>927669440</v>
      </c>
      <c r="BY516" s="486">
        <v>800000000</v>
      </c>
      <c r="BZ516" s="486"/>
      <c r="CA516" s="486"/>
      <c r="CB516" s="488">
        <v>800000000</v>
      </c>
      <c r="CC516" s="491">
        <v>1727669440</v>
      </c>
      <c r="CD516" s="492">
        <v>6609637440</v>
      </c>
      <c r="CE516" s="493">
        <f t="shared" si="36"/>
        <v>84929280</v>
      </c>
      <c r="CF516" s="493">
        <f t="shared" si="36"/>
        <v>0</v>
      </c>
      <c r="CG516" s="493">
        <f t="shared" si="36"/>
        <v>0</v>
      </c>
      <c r="CH516" s="493">
        <f t="shared" si="36"/>
        <v>0</v>
      </c>
      <c r="CI516" s="493">
        <f t="shared" si="36"/>
        <v>0</v>
      </c>
      <c r="CJ516" s="493">
        <f t="shared" si="35"/>
        <v>3324708160</v>
      </c>
      <c r="CK516" s="493">
        <f t="shared" si="35"/>
        <v>0</v>
      </c>
      <c r="CL516" s="493">
        <f t="shared" si="35"/>
        <v>0</v>
      </c>
      <c r="CM516" s="493">
        <f t="shared" ref="CM516:CO578" si="38">AI516+AW516+BK516+BY516</f>
        <v>3200000000</v>
      </c>
      <c r="CN516" s="493">
        <f t="shared" si="38"/>
        <v>0</v>
      </c>
      <c r="CO516" s="493">
        <f t="shared" si="38"/>
        <v>0</v>
      </c>
    </row>
    <row r="517" spans="1:93" ht="30.45" hidden="1" customHeight="1">
      <c r="A517" s="555" t="s">
        <v>2461</v>
      </c>
      <c r="B517" s="479">
        <v>515</v>
      </c>
      <c r="C517" s="480" t="s">
        <v>6370</v>
      </c>
      <c r="D517" s="480" t="s">
        <v>4930</v>
      </c>
      <c r="E517" s="480" t="str">
        <f t="shared" si="37"/>
        <v xml:space="preserve">4.4.3 </v>
      </c>
      <c r="F517" s="480" t="s">
        <v>6386</v>
      </c>
      <c r="G517" s="480" t="s">
        <v>4949</v>
      </c>
      <c r="H517" s="481">
        <v>43</v>
      </c>
      <c r="I517" s="480" t="s">
        <v>4776</v>
      </c>
      <c r="J517" s="495">
        <v>430103801</v>
      </c>
      <c r="K517" s="480" t="s">
        <v>4008</v>
      </c>
      <c r="L517" s="480" t="s">
        <v>6630</v>
      </c>
      <c r="M517" s="480" t="s">
        <v>6631</v>
      </c>
      <c r="N517" s="499" t="s">
        <v>4407</v>
      </c>
      <c r="O517" s="480" t="s">
        <v>4779</v>
      </c>
      <c r="P517" s="518">
        <v>4350</v>
      </c>
      <c r="Q517" s="485" t="s">
        <v>5349</v>
      </c>
      <c r="R517" s="485" t="s">
        <v>5592</v>
      </c>
      <c r="S517" s="485" t="s">
        <v>677</v>
      </c>
      <c r="T517" s="485">
        <v>0.6</v>
      </c>
      <c r="U517" s="485" t="s">
        <v>4779</v>
      </c>
      <c r="V517" s="485">
        <v>1</v>
      </c>
      <c r="W517" s="485" t="s">
        <v>5548</v>
      </c>
      <c r="X517" s="485">
        <v>3</v>
      </c>
      <c r="Y517" s="485" t="s">
        <v>5593</v>
      </c>
      <c r="Z517" s="486">
        <v>5000000</v>
      </c>
      <c r="AA517" s="486">
        <v>0</v>
      </c>
      <c r="AB517" s="486">
        <v>0</v>
      </c>
      <c r="AC517" s="486">
        <v>0</v>
      </c>
      <c r="AD517" s="486">
        <v>0</v>
      </c>
      <c r="AE517" s="486">
        <v>290000000</v>
      </c>
      <c r="AF517" s="486">
        <v>0</v>
      </c>
      <c r="AG517" s="486">
        <v>0</v>
      </c>
      <c r="AH517" s="487">
        <v>295000000</v>
      </c>
      <c r="AI517" s="486">
        <v>2000000000</v>
      </c>
      <c r="AJ517" s="486"/>
      <c r="AK517" s="486"/>
      <c r="AL517" s="488">
        <v>2000000000</v>
      </c>
      <c r="AM517" s="489">
        <v>2295000000</v>
      </c>
      <c r="AN517" s="486">
        <v>5200000</v>
      </c>
      <c r="AO517" s="486">
        <v>0</v>
      </c>
      <c r="AP517" s="486">
        <v>0</v>
      </c>
      <c r="AQ517" s="486">
        <v>0</v>
      </c>
      <c r="AR517" s="486">
        <v>0</v>
      </c>
      <c r="AS517" s="486">
        <v>307400000</v>
      </c>
      <c r="AT517" s="486">
        <v>0</v>
      </c>
      <c r="AU517" s="486">
        <v>0</v>
      </c>
      <c r="AV517" s="487">
        <v>312600000</v>
      </c>
      <c r="AW517" s="486">
        <v>1000000000</v>
      </c>
      <c r="AX517" s="486"/>
      <c r="AY517" s="486"/>
      <c r="AZ517" s="488">
        <v>1000000000</v>
      </c>
      <c r="BA517" s="490">
        <v>1312600000</v>
      </c>
      <c r="BB517" s="486">
        <v>5408000</v>
      </c>
      <c r="BC517" s="486">
        <v>0</v>
      </c>
      <c r="BD517" s="486">
        <v>0</v>
      </c>
      <c r="BE517" s="486">
        <v>0</v>
      </c>
      <c r="BF517" s="486">
        <v>0</v>
      </c>
      <c r="BG517" s="486">
        <v>325844000</v>
      </c>
      <c r="BH517" s="486">
        <v>0</v>
      </c>
      <c r="BI517" s="486">
        <v>0</v>
      </c>
      <c r="BJ517" s="487">
        <v>331252000</v>
      </c>
      <c r="BK517" s="486">
        <v>1000000000</v>
      </c>
      <c r="BL517" s="486"/>
      <c r="BM517" s="486"/>
      <c r="BN517" s="488">
        <v>1000000000</v>
      </c>
      <c r="BO517" s="490">
        <v>1331252000</v>
      </c>
      <c r="BP517" s="486">
        <v>5624320</v>
      </c>
      <c r="BQ517" s="486">
        <v>0</v>
      </c>
      <c r="BR517" s="486">
        <v>0</v>
      </c>
      <c r="BS517" s="486">
        <v>0</v>
      </c>
      <c r="BT517" s="486">
        <v>0</v>
      </c>
      <c r="BU517" s="486">
        <v>345394640</v>
      </c>
      <c r="BV517" s="486">
        <v>0</v>
      </c>
      <c r="BW517" s="486">
        <v>0</v>
      </c>
      <c r="BX517" s="487">
        <v>351018960</v>
      </c>
      <c r="BY517" s="486">
        <v>0</v>
      </c>
      <c r="BZ517" s="486"/>
      <c r="CA517" s="486"/>
      <c r="CB517" s="488">
        <v>0</v>
      </c>
      <c r="CC517" s="491">
        <v>351018960</v>
      </c>
      <c r="CD517" s="492">
        <v>5289870960</v>
      </c>
      <c r="CE517" s="493">
        <f t="shared" si="36"/>
        <v>21232320</v>
      </c>
      <c r="CF517" s="493">
        <f t="shared" si="36"/>
        <v>0</v>
      </c>
      <c r="CG517" s="493">
        <f t="shared" si="36"/>
        <v>0</v>
      </c>
      <c r="CH517" s="493">
        <f t="shared" si="36"/>
        <v>0</v>
      </c>
      <c r="CI517" s="493">
        <f t="shared" si="36"/>
        <v>0</v>
      </c>
      <c r="CJ517" s="493">
        <f t="shared" si="35"/>
        <v>1268638640</v>
      </c>
      <c r="CK517" s="493">
        <f t="shared" si="35"/>
        <v>0</v>
      </c>
      <c r="CL517" s="493">
        <f t="shared" si="35"/>
        <v>0</v>
      </c>
      <c r="CM517" s="493">
        <f t="shared" si="38"/>
        <v>4000000000</v>
      </c>
      <c r="CN517" s="493">
        <f t="shared" si="38"/>
        <v>0</v>
      </c>
      <c r="CO517" s="493">
        <f t="shared" si="38"/>
        <v>0</v>
      </c>
    </row>
    <row r="518" spans="1:93" ht="30.45" hidden="1" customHeight="1">
      <c r="A518" s="555" t="s">
        <v>2461</v>
      </c>
      <c r="B518" s="479">
        <v>516</v>
      </c>
      <c r="C518" s="480" t="s">
        <v>6370</v>
      </c>
      <c r="D518" s="480" t="s">
        <v>4930</v>
      </c>
      <c r="E518" s="480" t="str">
        <f t="shared" si="37"/>
        <v xml:space="preserve">4.4.3 </v>
      </c>
      <c r="F518" s="480" t="s">
        <v>6386</v>
      </c>
      <c r="G518" s="480" t="s">
        <v>4949</v>
      </c>
      <c r="H518" s="481">
        <v>43</v>
      </c>
      <c r="I518" s="480" t="s">
        <v>4776</v>
      </c>
      <c r="J518" s="495">
        <v>430103500</v>
      </c>
      <c r="K518" s="480" t="s">
        <v>4008</v>
      </c>
      <c r="L518" s="480" t="s">
        <v>4539</v>
      </c>
      <c r="M518" s="480" t="s">
        <v>6100</v>
      </c>
      <c r="N518" s="499">
        <v>250</v>
      </c>
      <c r="O518" s="480" t="s">
        <v>4779</v>
      </c>
      <c r="P518" s="515">
        <v>750</v>
      </c>
      <c r="Q518" s="485" t="s">
        <v>5349</v>
      </c>
      <c r="R518" s="485" t="s">
        <v>5592</v>
      </c>
      <c r="S518" s="485" t="s">
        <v>677</v>
      </c>
      <c r="T518" s="485">
        <v>0.6</v>
      </c>
      <c r="U518" s="485" t="s">
        <v>4779</v>
      </c>
      <c r="V518" s="485">
        <v>1</v>
      </c>
      <c r="W518" s="485" t="s">
        <v>5548</v>
      </c>
      <c r="X518" s="485">
        <v>3</v>
      </c>
      <c r="Y518" s="485" t="s">
        <v>5593</v>
      </c>
      <c r="Z518" s="486">
        <v>75000000</v>
      </c>
      <c r="AA518" s="486">
        <v>0</v>
      </c>
      <c r="AB518" s="486">
        <v>0</v>
      </c>
      <c r="AC518" s="486">
        <v>0</v>
      </c>
      <c r="AD518" s="486">
        <v>0</v>
      </c>
      <c r="AE518" s="486"/>
      <c r="AF518" s="486">
        <v>0</v>
      </c>
      <c r="AG518" s="486">
        <v>0</v>
      </c>
      <c r="AH518" s="487">
        <v>75000000</v>
      </c>
      <c r="AI518" s="486">
        <v>25000000</v>
      </c>
      <c r="AJ518" s="486"/>
      <c r="AK518" s="486"/>
      <c r="AL518" s="488">
        <v>25000000</v>
      </c>
      <c r="AM518" s="489">
        <v>100000000</v>
      </c>
      <c r="AN518" s="486">
        <v>78000000</v>
      </c>
      <c r="AO518" s="486">
        <v>0</v>
      </c>
      <c r="AP518" s="486">
        <v>0</v>
      </c>
      <c r="AQ518" s="486">
        <v>0</v>
      </c>
      <c r="AR518" s="486">
        <v>0</v>
      </c>
      <c r="AS518" s="486">
        <v>0</v>
      </c>
      <c r="AT518" s="486">
        <v>0</v>
      </c>
      <c r="AU518" s="486">
        <v>0</v>
      </c>
      <c r="AV518" s="487">
        <v>78000000</v>
      </c>
      <c r="AW518" s="486">
        <v>25000000</v>
      </c>
      <c r="AX518" s="486"/>
      <c r="AY518" s="486"/>
      <c r="AZ518" s="488">
        <v>25000000</v>
      </c>
      <c r="BA518" s="490">
        <v>103000000</v>
      </c>
      <c r="BB518" s="486">
        <v>81120000</v>
      </c>
      <c r="BC518" s="486">
        <v>0</v>
      </c>
      <c r="BD518" s="486">
        <v>0</v>
      </c>
      <c r="BE518" s="486">
        <v>0</v>
      </c>
      <c r="BF518" s="486">
        <v>0</v>
      </c>
      <c r="BG518" s="486">
        <v>0</v>
      </c>
      <c r="BH518" s="486">
        <v>0</v>
      </c>
      <c r="BI518" s="486">
        <v>0</v>
      </c>
      <c r="BJ518" s="487">
        <v>81120000</v>
      </c>
      <c r="BK518" s="486">
        <v>25000000</v>
      </c>
      <c r="BL518" s="486"/>
      <c r="BM518" s="486"/>
      <c r="BN518" s="488">
        <v>25000000</v>
      </c>
      <c r="BO518" s="490">
        <v>106120000</v>
      </c>
      <c r="BP518" s="486">
        <v>84364800</v>
      </c>
      <c r="BQ518" s="486">
        <v>0</v>
      </c>
      <c r="BR518" s="486">
        <v>0</v>
      </c>
      <c r="BS518" s="486">
        <v>0</v>
      </c>
      <c r="BT518" s="486">
        <v>0</v>
      </c>
      <c r="BU518" s="486">
        <v>0</v>
      </c>
      <c r="BV518" s="486">
        <v>0</v>
      </c>
      <c r="BW518" s="486">
        <v>0</v>
      </c>
      <c r="BX518" s="487">
        <v>84364800</v>
      </c>
      <c r="BY518" s="486">
        <v>25000000</v>
      </c>
      <c r="BZ518" s="486"/>
      <c r="CA518" s="486"/>
      <c r="CB518" s="488">
        <v>25000000</v>
      </c>
      <c r="CC518" s="491">
        <v>109364800</v>
      </c>
      <c r="CD518" s="492">
        <v>418484800</v>
      </c>
      <c r="CE518" s="493">
        <f t="shared" si="36"/>
        <v>318484800</v>
      </c>
      <c r="CF518" s="493">
        <f t="shared" si="36"/>
        <v>0</v>
      </c>
      <c r="CG518" s="493">
        <f t="shared" si="36"/>
        <v>0</v>
      </c>
      <c r="CH518" s="493">
        <f t="shared" si="36"/>
        <v>0</v>
      </c>
      <c r="CI518" s="493">
        <f t="shared" si="36"/>
        <v>0</v>
      </c>
      <c r="CJ518" s="493">
        <f t="shared" si="35"/>
        <v>0</v>
      </c>
      <c r="CK518" s="493">
        <f t="shared" si="35"/>
        <v>0</v>
      </c>
      <c r="CL518" s="493">
        <f t="shared" si="35"/>
        <v>0</v>
      </c>
      <c r="CM518" s="493">
        <f t="shared" si="38"/>
        <v>100000000</v>
      </c>
      <c r="CN518" s="493">
        <f t="shared" si="38"/>
        <v>0</v>
      </c>
      <c r="CO518" s="493">
        <f t="shared" si="38"/>
        <v>0</v>
      </c>
    </row>
    <row r="519" spans="1:93" ht="30.45" hidden="1" customHeight="1">
      <c r="A519" s="555" t="s">
        <v>4954</v>
      </c>
      <c r="B519" s="479">
        <v>517</v>
      </c>
      <c r="C519" s="480" t="s">
        <v>6371</v>
      </c>
      <c r="D519" s="480" t="s">
        <v>4950</v>
      </c>
      <c r="E519" s="480" t="str">
        <f t="shared" si="37"/>
        <v xml:space="preserve">5.1.1 </v>
      </c>
      <c r="F519" s="480" t="s">
        <v>6387</v>
      </c>
      <c r="G519" s="480" t="s">
        <v>4951</v>
      </c>
      <c r="H519" s="481">
        <v>43</v>
      </c>
      <c r="I519" s="480" t="s">
        <v>6632</v>
      </c>
      <c r="J519" s="495">
        <v>430100700</v>
      </c>
      <c r="K519" s="480" t="s">
        <v>4777</v>
      </c>
      <c r="L519" s="480" t="s">
        <v>6633</v>
      </c>
      <c r="M519" s="480" t="s">
        <v>6101</v>
      </c>
      <c r="N519" s="499">
        <v>100</v>
      </c>
      <c r="O519" s="480" t="s">
        <v>4952</v>
      </c>
      <c r="P519" s="515" t="s">
        <v>4953</v>
      </c>
      <c r="Q519" s="485" t="s">
        <v>5318</v>
      </c>
      <c r="R519" s="485" t="s">
        <v>5594</v>
      </c>
      <c r="S519" s="485" t="s">
        <v>5595</v>
      </c>
      <c r="T519" s="485">
        <v>0.89</v>
      </c>
      <c r="U519" s="485" t="s">
        <v>5596</v>
      </c>
      <c r="V519" s="485">
        <v>0.96</v>
      </c>
      <c r="W519" s="485" t="s">
        <v>5357</v>
      </c>
      <c r="X519" s="485">
        <v>16</v>
      </c>
      <c r="Y519" s="485" t="s">
        <v>5597</v>
      </c>
      <c r="Z519" s="486">
        <v>0</v>
      </c>
      <c r="AA519" s="486">
        <v>0</v>
      </c>
      <c r="AB519" s="486">
        <v>0</v>
      </c>
      <c r="AC519" s="486">
        <v>0</v>
      </c>
      <c r="AD519" s="486">
        <v>0</v>
      </c>
      <c r="AE519" s="486">
        <v>47000000</v>
      </c>
      <c r="AF519" s="486">
        <v>0</v>
      </c>
      <c r="AG519" s="486">
        <v>0</v>
      </c>
      <c r="AH519" s="487">
        <v>47000000</v>
      </c>
      <c r="AI519" s="486">
        <v>0</v>
      </c>
      <c r="AJ519" s="486">
        <v>0</v>
      </c>
      <c r="AK519" s="486">
        <v>0</v>
      </c>
      <c r="AL519" s="488">
        <v>0</v>
      </c>
      <c r="AM519" s="489">
        <v>47000000</v>
      </c>
      <c r="AN519" s="486">
        <v>0</v>
      </c>
      <c r="AO519" s="486">
        <v>0</v>
      </c>
      <c r="AP519" s="486">
        <v>0</v>
      </c>
      <c r="AQ519" s="486">
        <v>0</v>
      </c>
      <c r="AR519" s="486">
        <v>0</v>
      </c>
      <c r="AS519" s="486">
        <v>49000000</v>
      </c>
      <c r="AT519" s="486">
        <v>0</v>
      </c>
      <c r="AU519" s="486">
        <v>0</v>
      </c>
      <c r="AV519" s="487">
        <v>49000000</v>
      </c>
      <c r="AW519" s="486">
        <v>0</v>
      </c>
      <c r="AX519" s="486">
        <v>0</v>
      </c>
      <c r="AY519" s="486">
        <v>0</v>
      </c>
      <c r="AZ519" s="488">
        <v>0</v>
      </c>
      <c r="BA519" s="490">
        <v>49000000</v>
      </c>
      <c r="BB519" s="486">
        <v>0</v>
      </c>
      <c r="BC519" s="486">
        <v>0</v>
      </c>
      <c r="BD519" s="486">
        <v>0</v>
      </c>
      <c r="BE519" s="486">
        <v>0</v>
      </c>
      <c r="BF519" s="486">
        <v>0</v>
      </c>
      <c r="BG519" s="486">
        <v>61770000</v>
      </c>
      <c r="BH519" s="486">
        <v>0</v>
      </c>
      <c r="BI519" s="486">
        <v>0</v>
      </c>
      <c r="BJ519" s="487">
        <v>61770000</v>
      </c>
      <c r="BK519" s="486">
        <v>0</v>
      </c>
      <c r="BL519" s="486">
        <v>0</v>
      </c>
      <c r="BM519" s="486">
        <v>0</v>
      </c>
      <c r="BN519" s="488">
        <v>0</v>
      </c>
      <c r="BO519" s="490">
        <v>61770000</v>
      </c>
      <c r="BP519" s="486">
        <v>0</v>
      </c>
      <c r="BQ519" s="486">
        <v>0</v>
      </c>
      <c r="BR519" s="486">
        <v>0</v>
      </c>
      <c r="BS519" s="486">
        <v>0</v>
      </c>
      <c r="BT519" s="486">
        <v>0</v>
      </c>
      <c r="BU519" s="486">
        <v>65057000</v>
      </c>
      <c r="BV519" s="486">
        <v>0</v>
      </c>
      <c r="BW519" s="486">
        <v>0</v>
      </c>
      <c r="BX519" s="487">
        <v>65057000</v>
      </c>
      <c r="BY519" s="486">
        <v>0</v>
      </c>
      <c r="BZ519" s="486">
        <v>0</v>
      </c>
      <c r="CA519" s="486">
        <v>0</v>
      </c>
      <c r="CB519" s="488">
        <v>0</v>
      </c>
      <c r="CC519" s="491">
        <v>65057000</v>
      </c>
      <c r="CD519" s="492">
        <v>222827000</v>
      </c>
      <c r="CE519" s="493">
        <f t="shared" si="36"/>
        <v>0</v>
      </c>
      <c r="CF519" s="493">
        <f t="shared" si="36"/>
        <v>0</v>
      </c>
      <c r="CG519" s="493">
        <f t="shared" si="36"/>
        <v>0</v>
      </c>
      <c r="CH519" s="493">
        <f t="shared" si="36"/>
        <v>0</v>
      </c>
      <c r="CI519" s="493">
        <f t="shared" si="36"/>
        <v>0</v>
      </c>
      <c r="CJ519" s="493">
        <f t="shared" si="35"/>
        <v>222827000</v>
      </c>
      <c r="CK519" s="493">
        <f t="shared" si="35"/>
        <v>0</v>
      </c>
      <c r="CL519" s="493">
        <f t="shared" si="35"/>
        <v>0</v>
      </c>
      <c r="CM519" s="493">
        <f t="shared" si="38"/>
        <v>0</v>
      </c>
      <c r="CN519" s="493">
        <f t="shared" si="38"/>
        <v>0</v>
      </c>
      <c r="CO519" s="493">
        <f t="shared" si="38"/>
        <v>0</v>
      </c>
    </row>
    <row r="520" spans="1:93" ht="30.45" hidden="1" customHeight="1">
      <c r="A520" s="555" t="s">
        <v>4954</v>
      </c>
      <c r="B520" s="479">
        <v>518</v>
      </c>
      <c r="C520" s="480" t="s">
        <v>6371</v>
      </c>
      <c r="D520" s="480" t="s">
        <v>4950</v>
      </c>
      <c r="E520" s="480" t="str">
        <f t="shared" si="37"/>
        <v xml:space="preserve">5.1.1 </v>
      </c>
      <c r="F520" s="480" t="s">
        <v>6387</v>
      </c>
      <c r="G520" s="480" t="s">
        <v>4951</v>
      </c>
      <c r="H520" s="481">
        <v>43</v>
      </c>
      <c r="I520" s="480" t="s">
        <v>6632</v>
      </c>
      <c r="J520" s="495">
        <v>430103703</v>
      </c>
      <c r="K520" s="480" t="s">
        <v>4008</v>
      </c>
      <c r="L520" s="480" t="s">
        <v>4955</v>
      </c>
      <c r="M520" s="480" t="s">
        <v>6102</v>
      </c>
      <c r="N520" s="499">
        <v>100</v>
      </c>
      <c r="O520" s="480" t="s">
        <v>4956</v>
      </c>
      <c r="P520" s="515">
        <v>500</v>
      </c>
      <c r="Q520" s="485" t="s">
        <v>5318</v>
      </c>
      <c r="R520" s="485" t="s">
        <v>5594</v>
      </c>
      <c r="S520" s="485" t="s">
        <v>5595</v>
      </c>
      <c r="T520" s="485">
        <v>0.89</v>
      </c>
      <c r="U520" s="485" t="s">
        <v>5596</v>
      </c>
      <c r="V520" s="485">
        <v>0.96</v>
      </c>
      <c r="W520" s="485" t="s">
        <v>5357</v>
      </c>
      <c r="X520" s="485">
        <v>16</v>
      </c>
      <c r="Y520" s="485" t="s">
        <v>5597</v>
      </c>
      <c r="Z520" s="486">
        <v>0</v>
      </c>
      <c r="AA520" s="486">
        <v>0</v>
      </c>
      <c r="AB520" s="486">
        <v>0</v>
      </c>
      <c r="AC520" s="486">
        <v>0</v>
      </c>
      <c r="AD520" s="486">
        <v>0</v>
      </c>
      <c r="AE520" s="486">
        <v>10000000</v>
      </c>
      <c r="AF520" s="486">
        <v>0</v>
      </c>
      <c r="AG520" s="486">
        <v>0</v>
      </c>
      <c r="AH520" s="487">
        <v>10000000</v>
      </c>
      <c r="AI520" s="486">
        <v>0</v>
      </c>
      <c r="AJ520" s="486">
        <v>0</v>
      </c>
      <c r="AK520" s="486">
        <v>0</v>
      </c>
      <c r="AL520" s="488">
        <v>0</v>
      </c>
      <c r="AM520" s="489">
        <v>10000000</v>
      </c>
      <c r="AN520" s="486">
        <v>0</v>
      </c>
      <c r="AO520" s="486">
        <v>0</v>
      </c>
      <c r="AP520" s="486">
        <v>0</v>
      </c>
      <c r="AQ520" s="486">
        <v>0</v>
      </c>
      <c r="AR520" s="486">
        <v>0</v>
      </c>
      <c r="AS520" s="486">
        <v>11000000</v>
      </c>
      <c r="AT520" s="486">
        <v>0</v>
      </c>
      <c r="AU520" s="486">
        <v>0</v>
      </c>
      <c r="AV520" s="487">
        <v>11000000</v>
      </c>
      <c r="AW520" s="486">
        <v>0</v>
      </c>
      <c r="AX520" s="486">
        <v>0</v>
      </c>
      <c r="AY520" s="486">
        <v>0</v>
      </c>
      <c r="AZ520" s="488">
        <v>0</v>
      </c>
      <c r="BA520" s="490">
        <v>11000000</v>
      </c>
      <c r="BB520" s="486">
        <v>0</v>
      </c>
      <c r="BC520" s="486">
        <v>0</v>
      </c>
      <c r="BD520" s="486">
        <v>0</v>
      </c>
      <c r="BE520" s="486">
        <v>0</v>
      </c>
      <c r="BF520" s="486">
        <v>0</v>
      </c>
      <c r="BG520" s="486">
        <v>12100000</v>
      </c>
      <c r="BH520" s="486">
        <v>0</v>
      </c>
      <c r="BI520" s="486">
        <v>0</v>
      </c>
      <c r="BJ520" s="487">
        <v>12100000</v>
      </c>
      <c r="BK520" s="486">
        <v>0</v>
      </c>
      <c r="BL520" s="486">
        <v>0</v>
      </c>
      <c r="BM520" s="486">
        <v>0</v>
      </c>
      <c r="BN520" s="488">
        <v>0</v>
      </c>
      <c r="BO520" s="490">
        <v>12100000</v>
      </c>
      <c r="BP520" s="486">
        <v>0</v>
      </c>
      <c r="BQ520" s="486">
        <v>0</v>
      </c>
      <c r="BR520" s="486">
        <v>0</v>
      </c>
      <c r="BS520" s="486">
        <v>0</v>
      </c>
      <c r="BT520" s="486">
        <v>0</v>
      </c>
      <c r="BU520" s="486">
        <v>13310000</v>
      </c>
      <c r="BV520" s="486">
        <v>0</v>
      </c>
      <c r="BW520" s="486">
        <v>0</v>
      </c>
      <c r="BX520" s="487">
        <v>13310000</v>
      </c>
      <c r="BY520" s="486">
        <v>0</v>
      </c>
      <c r="BZ520" s="486">
        <v>0</v>
      </c>
      <c r="CA520" s="486">
        <v>0</v>
      </c>
      <c r="CB520" s="488">
        <v>0</v>
      </c>
      <c r="CC520" s="491">
        <v>13310000</v>
      </c>
      <c r="CD520" s="492">
        <v>46410000</v>
      </c>
      <c r="CE520" s="493">
        <f t="shared" si="36"/>
        <v>0</v>
      </c>
      <c r="CF520" s="493">
        <f t="shared" si="36"/>
        <v>0</v>
      </c>
      <c r="CG520" s="493">
        <f t="shared" si="36"/>
        <v>0</v>
      </c>
      <c r="CH520" s="493">
        <f t="shared" si="36"/>
        <v>0</v>
      </c>
      <c r="CI520" s="493">
        <f t="shared" si="36"/>
        <v>0</v>
      </c>
      <c r="CJ520" s="493">
        <f t="shared" si="35"/>
        <v>46410000</v>
      </c>
      <c r="CK520" s="493">
        <f t="shared" si="35"/>
        <v>0</v>
      </c>
      <c r="CL520" s="493">
        <f t="shared" si="35"/>
        <v>0</v>
      </c>
      <c r="CM520" s="493">
        <f t="shared" si="38"/>
        <v>0</v>
      </c>
      <c r="CN520" s="493">
        <f t="shared" si="38"/>
        <v>0</v>
      </c>
      <c r="CO520" s="493">
        <f t="shared" si="38"/>
        <v>0</v>
      </c>
    </row>
    <row r="521" spans="1:93" ht="30.45" hidden="1" customHeight="1">
      <c r="A521" s="555" t="s">
        <v>4954</v>
      </c>
      <c r="B521" s="479">
        <v>519</v>
      </c>
      <c r="C521" s="480" t="s">
        <v>6371</v>
      </c>
      <c r="D521" s="480" t="s">
        <v>4950</v>
      </c>
      <c r="E521" s="480" t="str">
        <f t="shared" si="37"/>
        <v xml:space="preserve">5.1.1 </v>
      </c>
      <c r="F521" s="480" t="s">
        <v>6387</v>
      </c>
      <c r="G521" s="480" t="s">
        <v>4951</v>
      </c>
      <c r="H521" s="481">
        <v>41</v>
      </c>
      <c r="I521" s="480" t="s">
        <v>4242</v>
      </c>
      <c r="J521" s="495">
        <v>410204500</v>
      </c>
      <c r="K521" s="480" t="s">
        <v>4008</v>
      </c>
      <c r="L521" s="480" t="s">
        <v>4957</v>
      </c>
      <c r="M521" s="480" t="s">
        <v>6103</v>
      </c>
      <c r="N521" s="499">
        <v>119000</v>
      </c>
      <c r="O521" s="480" t="s">
        <v>4956</v>
      </c>
      <c r="P521" s="515">
        <v>239000</v>
      </c>
      <c r="Q521" s="485" t="s">
        <v>5318</v>
      </c>
      <c r="R521" s="485" t="s">
        <v>5594</v>
      </c>
      <c r="S521" s="485" t="s">
        <v>5595</v>
      </c>
      <c r="T521" s="485">
        <v>0.89</v>
      </c>
      <c r="U521" s="485" t="s">
        <v>5596</v>
      </c>
      <c r="V521" s="485">
        <v>0.96</v>
      </c>
      <c r="W521" s="485" t="s">
        <v>5357</v>
      </c>
      <c r="X521" s="485">
        <v>16</v>
      </c>
      <c r="Y521" s="485" t="s">
        <v>5597</v>
      </c>
      <c r="Z521" s="486">
        <v>181116000</v>
      </c>
      <c r="AA521" s="486">
        <v>0</v>
      </c>
      <c r="AB521" s="486">
        <v>0</v>
      </c>
      <c r="AC521" s="486">
        <v>0</v>
      </c>
      <c r="AD521" s="486">
        <v>0</v>
      </c>
      <c r="AE521" s="486">
        <v>268884000</v>
      </c>
      <c r="AF521" s="486">
        <v>0</v>
      </c>
      <c r="AG521" s="486">
        <v>0</v>
      </c>
      <c r="AH521" s="487">
        <v>450000000</v>
      </c>
      <c r="AI521" s="486">
        <v>0</v>
      </c>
      <c r="AJ521" s="486">
        <v>0</v>
      </c>
      <c r="AK521" s="486">
        <v>0</v>
      </c>
      <c r="AL521" s="488">
        <v>0</v>
      </c>
      <c r="AM521" s="489">
        <v>450000000</v>
      </c>
      <c r="AN521" s="486">
        <v>192750000</v>
      </c>
      <c r="AO521" s="486">
        <v>0</v>
      </c>
      <c r="AP521" s="486">
        <v>0</v>
      </c>
      <c r="AQ521" s="486">
        <v>0</v>
      </c>
      <c r="AR521" s="486">
        <v>0</v>
      </c>
      <c r="AS521" s="486">
        <v>303772400</v>
      </c>
      <c r="AT521" s="486">
        <v>0</v>
      </c>
      <c r="AU521" s="486">
        <v>0</v>
      </c>
      <c r="AV521" s="487">
        <v>496522400</v>
      </c>
      <c r="AW521" s="486">
        <v>0</v>
      </c>
      <c r="AX521" s="486">
        <v>0</v>
      </c>
      <c r="AY521" s="486">
        <v>0</v>
      </c>
      <c r="AZ521" s="488">
        <v>0</v>
      </c>
      <c r="BA521" s="490">
        <v>496522400</v>
      </c>
      <c r="BB521" s="486">
        <v>204780000</v>
      </c>
      <c r="BC521" s="486">
        <v>0</v>
      </c>
      <c r="BD521" s="486">
        <v>0</v>
      </c>
      <c r="BE521" s="486">
        <v>0</v>
      </c>
      <c r="BF521" s="486">
        <v>0</v>
      </c>
      <c r="BG521" s="486">
        <v>333349640</v>
      </c>
      <c r="BH521" s="486">
        <v>0</v>
      </c>
      <c r="BI521" s="486">
        <v>0</v>
      </c>
      <c r="BJ521" s="487">
        <v>538129640</v>
      </c>
      <c r="BK521" s="486">
        <v>0</v>
      </c>
      <c r="BL521" s="486">
        <v>0</v>
      </c>
      <c r="BM521" s="486">
        <v>0</v>
      </c>
      <c r="BN521" s="488">
        <v>0</v>
      </c>
      <c r="BO521" s="490">
        <v>538129640</v>
      </c>
      <c r="BP521" s="486">
        <v>215859200</v>
      </c>
      <c r="BQ521" s="486">
        <v>0</v>
      </c>
      <c r="BR521" s="486">
        <v>0</v>
      </c>
      <c r="BS521" s="486">
        <v>0</v>
      </c>
      <c r="BT521" s="486">
        <v>0</v>
      </c>
      <c r="BU521" s="486">
        <v>367884604</v>
      </c>
      <c r="BV521" s="486">
        <v>0</v>
      </c>
      <c r="BW521" s="486">
        <v>0</v>
      </c>
      <c r="BX521" s="487">
        <v>583743804</v>
      </c>
      <c r="BY521" s="486">
        <v>0</v>
      </c>
      <c r="BZ521" s="486">
        <v>0</v>
      </c>
      <c r="CA521" s="486">
        <v>0</v>
      </c>
      <c r="CB521" s="488">
        <v>0</v>
      </c>
      <c r="CC521" s="491">
        <v>583743804</v>
      </c>
      <c r="CD521" s="492">
        <v>2068395844</v>
      </c>
      <c r="CE521" s="493">
        <f t="shared" si="36"/>
        <v>794505200</v>
      </c>
      <c r="CF521" s="493">
        <f t="shared" si="36"/>
        <v>0</v>
      </c>
      <c r="CG521" s="493">
        <f t="shared" si="36"/>
        <v>0</v>
      </c>
      <c r="CH521" s="493">
        <f t="shared" si="36"/>
        <v>0</v>
      </c>
      <c r="CI521" s="493">
        <f t="shared" si="36"/>
        <v>0</v>
      </c>
      <c r="CJ521" s="493">
        <f t="shared" si="35"/>
        <v>1273890644</v>
      </c>
      <c r="CK521" s="493">
        <f t="shared" si="35"/>
        <v>0</v>
      </c>
      <c r="CL521" s="493">
        <f t="shared" si="35"/>
        <v>0</v>
      </c>
      <c r="CM521" s="493">
        <f t="shared" si="38"/>
        <v>0</v>
      </c>
      <c r="CN521" s="493">
        <f t="shared" si="38"/>
        <v>0</v>
      </c>
      <c r="CO521" s="493">
        <f t="shared" si="38"/>
        <v>0</v>
      </c>
    </row>
    <row r="522" spans="1:93" ht="30.45" hidden="1" customHeight="1">
      <c r="A522" s="555" t="s">
        <v>4954</v>
      </c>
      <c r="B522" s="479">
        <v>520</v>
      </c>
      <c r="C522" s="480" t="s">
        <v>6371</v>
      </c>
      <c r="D522" s="480" t="s">
        <v>4950</v>
      </c>
      <c r="E522" s="480" t="str">
        <f t="shared" si="37"/>
        <v xml:space="preserve">5.1.1 </v>
      </c>
      <c r="F522" s="480" t="s">
        <v>6387</v>
      </c>
      <c r="G522" s="480" t="s">
        <v>4951</v>
      </c>
      <c r="H522" s="481">
        <v>41</v>
      </c>
      <c r="I522" s="480" t="s">
        <v>4242</v>
      </c>
      <c r="J522" s="495">
        <v>410204000</v>
      </c>
      <c r="K522" s="480" t="s">
        <v>4063</v>
      </c>
      <c r="L522" s="480" t="s">
        <v>4958</v>
      </c>
      <c r="M522" s="480" t="s">
        <v>6104</v>
      </c>
      <c r="N522" s="499">
        <v>3</v>
      </c>
      <c r="O522" s="480" t="s">
        <v>4956</v>
      </c>
      <c r="P522" s="515">
        <v>7</v>
      </c>
      <c r="Q522" s="485" t="s">
        <v>5318</v>
      </c>
      <c r="R522" s="485" t="s">
        <v>5594</v>
      </c>
      <c r="S522" s="485" t="s">
        <v>5595</v>
      </c>
      <c r="T522" s="485">
        <v>0.89</v>
      </c>
      <c r="U522" s="485" t="s">
        <v>5596</v>
      </c>
      <c r="V522" s="485">
        <v>0.96</v>
      </c>
      <c r="W522" s="485" t="s">
        <v>5357</v>
      </c>
      <c r="X522" s="485">
        <v>16</v>
      </c>
      <c r="Y522" s="485" t="s">
        <v>5597</v>
      </c>
      <c r="Z522" s="486">
        <v>90000000</v>
      </c>
      <c r="AA522" s="486">
        <v>0</v>
      </c>
      <c r="AB522" s="486">
        <v>0</v>
      </c>
      <c r="AC522" s="486">
        <v>0</v>
      </c>
      <c r="AD522" s="486">
        <v>0</v>
      </c>
      <c r="AE522" s="486">
        <v>0</v>
      </c>
      <c r="AF522" s="486">
        <v>0</v>
      </c>
      <c r="AG522" s="486">
        <v>0</v>
      </c>
      <c r="AH522" s="487">
        <v>90000000</v>
      </c>
      <c r="AI522" s="486">
        <v>0</v>
      </c>
      <c r="AJ522" s="486">
        <v>0</v>
      </c>
      <c r="AK522" s="486">
        <v>0</v>
      </c>
      <c r="AL522" s="488">
        <v>0</v>
      </c>
      <c r="AM522" s="489">
        <v>90000000</v>
      </c>
      <c r="AN522" s="486">
        <v>75200000</v>
      </c>
      <c r="AO522" s="486">
        <v>0</v>
      </c>
      <c r="AP522" s="486">
        <v>0</v>
      </c>
      <c r="AQ522" s="486">
        <v>0</v>
      </c>
      <c r="AR522" s="486">
        <v>0</v>
      </c>
      <c r="AS522" s="486">
        <v>0</v>
      </c>
      <c r="AT522" s="486">
        <v>0</v>
      </c>
      <c r="AU522" s="486">
        <v>0</v>
      </c>
      <c r="AV522" s="487">
        <v>75200000</v>
      </c>
      <c r="AW522" s="486">
        <v>0</v>
      </c>
      <c r="AX522" s="486">
        <v>0</v>
      </c>
      <c r="AY522" s="486">
        <v>0</v>
      </c>
      <c r="AZ522" s="488">
        <v>0</v>
      </c>
      <c r="BA522" s="490">
        <v>75200000</v>
      </c>
      <c r="BB522" s="486">
        <v>70400000</v>
      </c>
      <c r="BC522" s="486">
        <v>0</v>
      </c>
      <c r="BD522" s="486">
        <v>0</v>
      </c>
      <c r="BE522" s="486">
        <v>0</v>
      </c>
      <c r="BF522" s="486">
        <v>0</v>
      </c>
      <c r="BG522" s="486">
        <v>0</v>
      </c>
      <c r="BH522" s="486">
        <v>0</v>
      </c>
      <c r="BI522" s="486">
        <v>0</v>
      </c>
      <c r="BJ522" s="487">
        <v>70400000</v>
      </c>
      <c r="BK522" s="486">
        <v>0</v>
      </c>
      <c r="BL522" s="486">
        <v>0</v>
      </c>
      <c r="BM522" s="486">
        <v>0</v>
      </c>
      <c r="BN522" s="488">
        <v>0</v>
      </c>
      <c r="BO522" s="490">
        <v>70400000</v>
      </c>
      <c r="BP522" s="486">
        <v>70800000</v>
      </c>
      <c r="BQ522" s="486">
        <v>0</v>
      </c>
      <c r="BR522" s="486">
        <v>0</v>
      </c>
      <c r="BS522" s="486">
        <v>0</v>
      </c>
      <c r="BT522" s="486">
        <v>0</v>
      </c>
      <c r="BU522" s="486">
        <v>0</v>
      </c>
      <c r="BV522" s="486">
        <v>0</v>
      </c>
      <c r="BW522" s="486">
        <v>0</v>
      </c>
      <c r="BX522" s="487">
        <v>70800000</v>
      </c>
      <c r="BY522" s="486">
        <v>0</v>
      </c>
      <c r="BZ522" s="486">
        <v>0</v>
      </c>
      <c r="CA522" s="486">
        <v>0</v>
      </c>
      <c r="CB522" s="488">
        <v>0</v>
      </c>
      <c r="CC522" s="491">
        <v>70800000</v>
      </c>
      <c r="CD522" s="492">
        <v>306400000</v>
      </c>
      <c r="CE522" s="493">
        <f t="shared" si="36"/>
        <v>306400000</v>
      </c>
      <c r="CF522" s="493">
        <f t="shared" si="36"/>
        <v>0</v>
      </c>
      <c r="CG522" s="493">
        <f t="shared" si="36"/>
        <v>0</v>
      </c>
      <c r="CH522" s="493">
        <f t="shared" si="36"/>
        <v>0</v>
      </c>
      <c r="CI522" s="493">
        <f t="shared" si="36"/>
        <v>0</v>
      </c>
      <c r="CJ522" s="493">
        <f t="shared" si="35"/>
        <v>0</v>
      </c>
      <c r="CK522" s="493">
        <f t="shared" si="35"/>
        <v>0</v>
      </c>
      <c r="CL522" s="493">
        <f t="shared" si="35"/>
        <v>0</v>
      </c>
      <c r="CM522" s="493">
        <f t="shared" si="38"/>
        <v>0</v>
      </c>
      <c r="CN522" s="493">
        <f t="shared" si="38"/>
        <v>0</v>
      </c>
      <c r="CO522" s="493">
        <f t="shared" si="38"/>
        <v>0</v>
      </c>
    </row>
    <row r="523" spans="1:93" ht="30.45" hidden="1" customHeight="1">
      <c r="A523" s="555" t="s">
        <v>4954</v>
      </c>
      <c r="B523" s="479">
        <v>521</v>
      </c>
      <c r="C523" s="480" t="s">
        <v>6371</v>
      </c>
      <c r="D523" s="480" t="s">
        <v>4950</v>
      </c>
      <c r="E523" s="480" t="str">
        <f t="shared" si="37"/>
        <v xml:space="preserve">5.1.1 </v>
      </c>
      <c r="F523" s="480" t="s">
        <v>6387</v>
      </c>
      <c r="G523" s="480" t="s">
        <v>4951</v>
      </c>
      <c r="H523" s="481">
        <v>41</v>
      </c>
      <c r="I523" s="480" t="s">
        <v>4242</v>
      </c>
      <c r="J523" s="495">
        <v>410204200</v>
      </c>
      <c r="K523" s="480" t="s">
        <v>4959</v>
      </c>
      <c r="L523" s="480" t="s">
        <v>4960</v>
      </c>
      <c r="M523" s="480" t="s">
        <v>6105</v>
      </c>
      <c r="N523" s="499">
        <v>90</v>
      </c>
      <c r="O523" s="480" t="s">
        <v>4956</v>
      </c>
      <c r="P523" s="515">
        <v>330</v>
      </c>
      <c r="Q523" s="485" t="s">
        <v>5318</v>
      </c>
      <c r="R523" s="485" t="s">
        <v>5594</v>
      </c>
      <c r="S523" s="485" t="s">
        <v>5595</v>
      </c>
      <c r="T523" s="485">
        <v>0.89</v>
      </c>
      <c r="U523" s="485" t="s">
        <v>5596</v>
      </c>
      <c r="V523" s="485">
        <v>0.96</v>
      </c>
      <c r="W523" s="485" t="s">
        <v>5357</v>
      </c>
      <c r="X523" s="485">
        <v>16</v>
      </c>
      <c r="Y523" s="485" t="s">
        <v>5597</v>
      </c>
      <c r="Z523" s="486">
        <v>0</v>
      </c>
      <c r="AA523" s="486">
        <v>0</v>
      </c>
      <c r="AB523" s="486">
        <v>0</v>
      </c>
      <c r="AC523" s="486">
        <v>0</v>
      </c>
      <c r="AD523" s="486">
        <v>0</v>
      </c>
      <c r="AE523" s="486">
        <v>94947100</v>
      </c>
      <c r="AF523" s="486">
        <v>0</v>
      </c>
      <c r="AG523" s="486">
        <v>0</v>
      </c>
      <c r="AH523" s="487">
        <v>94947100</v>
      </c>
      <c r="AI523" s="486">
        <v>0</v>
      </c>
      <c r="AJ523" s="486">
        <v>0</v>
      </c>
      <c r="AK523" s="486">
        <v>0</v>
      </c>
      <c r="AL523" s="488">
        <v>0</v>
      </c>
      <c r="AM523" s="489">
        <v>94947100</v>
      </c>
      <c r="AN523" s="486">
        <v>0</v>
      </c>
      <c r="AO523" s="486">
        <v>0</v>
      </c>
      <c r="AP523" s="486">
        <v>0</v>
      </c>
      <c r="AQ523" s="486">
        <v>0</v>
      </c>
      <c r="AR523" s="486">
        <v>0</v>
      </c>
      <c r="AS523" s="486">
        <v>95116810</v>
      </c>
      <c r="AT523" s="486">
        <v>0</v>
      </c>
      <c r="AU523" s="486">
        <v>0</v>
      </c>
      <c r="AV523" s="487">
        <v>95116810</v>
      </c>
      <c r="AW523" s="486">
        <v>0</v>
      </c>
      <c r="AX523" s="486">
        <v>0</v>
      </c>
      <c r="AY523" s="486">
        <v>0</v>
      </c>
      <c r="AZ523" s="488">
        <v>0</v>
      </c>
      <c r="BA523" s="490">
        <v>95116810</v>
      </c>
      <c r="BB523" s="486">
        <v>0</v>
      </c>
      <c r="BC523" s="486">
        <v>0</v>
      </c>
      <c r="BD523" s="486">
        <v>0</v>
      </c>
      <c r="BE523" s="486">
        <v>0</v>
      </c>
      <c r="BF523" s="486">
        <v>0</v>
      </c>
      <c r="BG523" s="486">
        <v>110637391</v>
      </c>
      <c r="BH523" s="486">
        <v>0</v>
      </c>
      <c r="BI523" s="486">
        <v>0</v>
      </c>
      <c r="BJ523" s="487">
        <v>110637391</v>
      </c>
      <c r="BK523" s="486">
        <v>0</v>
      </c>
      <c r="BL523" s="486">
        <v>0</v>
      </c>
      <c r="BM523" s="486">
        <v>0</v>
      </c>
      <c r="BN523" s="488">
        <v>0</v>
      </c>
      <c r="BO523" s="490">
        <v>110637391</v>
      </c>
      <c r="BP523" s="486">
        <v>0</v>
      </c>
      <c r="BQ523" s="486">
        <v>0</v>
      </c>
      <c r="BR523" s="486">
        <v>0</v>
      </c>
      <c r="BS523" s="486">
        <v>0</v>
      </c>
      <c r="BT523" s="486">
        <v>0</v>
      </c>
      <c r="BU523" s="486">
        <v>126374590</v>
      </c>
      <c r="BV523" s="486">
        <v>0</v>
      </c>
      <c r="BW523" s="486">
        <v>0</v>
      </c>
      <c r="BX523" s="487">
        <v>126374590</v>
      </c>
      <c r="BY523" s="486">
        <v>0</v>
      </c>
      <c r="BZ523" s="486">
        <v>0</v>
      </c>
      <c r="CA523" s="486">
        <v>0</v>
      </c>
      <c r="CB523" s="488">
        <v>0</v>
      </c>
      <c r="CC523" s="491">
        <v>126374590</v>
      </c>
      <c r="CD523" s="492">
        <v>427075891</v>
      </c>
      <c r="CE523" s="493">
        <f t="shared" si="36"/>
        <v>0</v>
      </c>
      <c r="CF523" s="493">
        <f t="shared" si="36"/>
        <v>0</v>
      </c>
      <c r="CG523" s="493">
        <f t="shared" si="36"/>
        <v>0</v>
      </c>
      <c r="CH523" s="493">
        <f t="shared" si="36"/>
        <v>0</v>
      </c>
      <c r="CI523" s="493">
        <f t="shared" si="36"/>
        <v>0</v>
      </c>
      <c r="CJ523" s="493">
        <f t="shared" si="35"/>
        <v>427075891</v>
      </c>
      <c r="CK523" s="493">
        <f t="shared" si="35"/>
        <v>0</v>
      </c>
      <c r="CL523" s="493">
        <f t="shared" si="35"/>
        <v>0</v>
      </c>
      <c r="CM523" s="493">
        <f t="shared" si="38"/>
        <v>0</v>
      </c>
      <c r="CN523" s="493">
        <f t="shared" si="38"/>
        <v>0</v>
      </c>
      <c r="CO523" s="493">
        <f t="shared" si="38"/>
        <v>0</v>
      </c>
    </row>
    <row r="524" spans="1:93" ht="30.45" hidden="1" customHeight="1">
      <c r="A524" s="555" t="s">
        <v>4954</v>
      </c>
      <c r="B524" s="479">
        <v>522</v>
      </c>
      <c r="C524" s="480" t="s">
        <v>6371</v>
      </c>
      <c r="D524" s="480" t="s">
        <v>4950</v>
      </c>
      <c r="E524" s="480" t="str">
        <f t="shared" si="37"/>
        <v xml:space="preserve">5.1.1 </v>
      </c>
      <c r="F524" s="480" t="s">
        <v>6387</v>
      </c>
      <c r="G524" s="480" t="s">
        <v>4951</v>
      </c>
      <c r="H524" s="481">
        <v>41</v>
      </c>
      <c r="I524" s="480" t="s">
        <v>4242</v>
      </c>
      <c r="J524" s="495">
        <v>410204700</v>
      </c>
      <c r="K524" s="480" t="s">
        <v>4243</v>
      </c>
      <c r="L524" s="480" t="s">
        <v>6634</v>
      </c>
      <c r="M524" s="480" t="s">
        <v>6106</v>
      </c>
      <c r="N524" s="499">
        <v>500</v>
      </c>
      <c r="O524" s="480" t="s">
        <v>4956</v>
      </c>
      <c r="P524" s="515">
        <v>1300</v>
      </c>
      <c r="Q524" s="485" t="s">
        <v>5318</v>
      </c>
      <c r="R524" s="485" t="s">
        <v>5594</v>
      </c>
      <c r="S524" s="485" t="s">
        <v>5595</v>
      </c>
      <c r="T524" s="485">
        <v>0.89</v>
      </c>
      <c r="U524" s="485" t="s">
        <v>5596</v>
      </c>
      <c r="V524" s="485">
        <v>0.96</v>
      </c>
      <c r="W524" s="485" t="s">
        <v>5357</v>
      </c>
      <c r="X524" s="485">
        <v>16</v>
      </c>
      <c r="Y524" s="485" t="s">
        <v>5597</v>
      </c>
      <c r="Z524" s="486">
        <v>28884000</v>
      </c>
      <c r="AA524" s="486">
        <v>0</v>
      </c>
      <c r="AB524" s="486">
        <v>0</v>
      </c>
      <c r="AC524" s="486">
        <v>0</v>
      </c>
      <c r="AD524" s="486">
        <v>0</v>
      </c>
      <c r="AE524" s="486">
        <v>0</v>
      </c>
      <c r="AF524" s="486">
        <v>0</v>
      </c>
      <c r="AG524" s="486">
        <v>0</v>
      </c>
      <c r="AH524" s="487">
        <v>28884000</v>
      </c>
      <c r="AI524" s="486">
        <v>0</v>
      </c>
      <c r="AJ524" s="486">
        <v>0</v>
      </c>
      <c r="AK524" s="486">
        <v>0</v>
      </c>
      <c r="AL524" s="488">
        <v>0</v>
      </c>
      <c r="AM524" s="489">
        <v>28884000</v>
      </c>
      <c r="AN524" s="486">
        <v>24050000</v>
      </c>
      <c r="AO524" s="486">
        <v>0</v>
      </c>
      <c r="AP524" s="486">
        <v>0</v>
      </c>
      <c r="AQ524" s="486">
        <v>0</v>
      </c>
      <c r="AR524" s="486">
        <v>0</v>
      </c>
      <c r="AS524" s="486">
        <v>0</v>
      </c>
      <c r="AT524" s="486">
        <v>0</v>
      </c>
      <c r="AU524" s="486">
        <v>0</v>
      </c>
      <c r="AV524" s="487">
        <v>24050000</v>
      </c>
      <c r="AW524" s="486">
        <v>0</v>
      </c>
      <c r="AX524" s="486">
        <v>0</v>
      </c>
      <c r="AY524" s="486">
        <v>0</v>
      </c>
      <c r="AZ524" s="488">
        <v>0</v>
      </c>
      <c r="BA524" s="490">
        <v>24050000</v>
      </c>
      <c r="BB524" s="486">
        <v>27300000</v>
      </c>
      <c r="BC524" s="486">
        <v>0</v>
      </c>
      <c r="BD524" s="486">
        <v>0</v>
      </c>
      <c r="BE524" s="486">
        <v>0</v>
      </c>
      <c r="BF524" s="486">
        <v>0</v>
      </c>
      <c r="BG524" s="486">
        <v>0</v>
      </c>
      <c r="BH524" s="486">
        <v>0</v>
      </c>
      <c r="BI524" s="486">
        <v>0</v>
      </c>
      <c r="BJ524" s="487">
        <v>27300000</v>
      </c>
      <c r="BK524" s="486">
        <v>0</v>
      </c>
      <c r="BL524" s="486">
        <v>0</v>
      </c>
      <c r="BM524" s="486">
        <v>0</v>
      </c>
      <c r="BN524" s="488">
        <v>0</v>
      </c>
      <c r="BO524" s="490">
        <v>27300000</v>
      </c>
      <c r="BP524" s="486">
        <v>27800000</v>
      </c>
      <c r="BQ524" s="486">
        <v>0</v>
      </c>
      <c r="BR524" s="486">
        <v>0</v>
      </c>
      <c r="BS524" s="486">
        <v>0</v>
      </c>
      <c r="BT524" s="486">
        <v>0</v>
      </c>
      <c r="BU524" s="486">
        <v>0</v>
      </c>
      <c r="BV524" s="486">
        <v>0</v>
      </c>
      <c r="BW524" s="486">
        <v>0</v>
      </c>
      <c r="BX524" s="487">
        <v>27800000</v>
      </c>
      <c r="BY524" s="486">
        <v>0</v>
      </c>
      <c r="BZ524" s="486">
        <v>0</v>
      </c>
      <c r="CA524" s="486">
        <v>0</v>
      </c>
      <c r="CB524" s="488">
        <v>0</v>
      </c>
      <c r="CC524" s="491">
        <v>27800000</v>
      </c>
      <c r="CD524" s="492">
        <v>108034000</v>
      </c>
      <c r="CE524" s="493">
        <f t="shared" si="36"/>
        <v>108034000</v>
      </c>
      <c r="CF524" s="493">
        <f t="shared" si="36"/>
        <v>0</v>
      </c>
      <c r="CG524" s="493">
        <f t="shared" si="36"/>
        <v>0</v>
      </c>
      <c r="CH524" s="493">
        <f t="shared" si="36"/>
        <v>0</v>
      </c>
      <c r="CI524" s="493">
        <f t="shared" si="36"/>
        <v>0</v>
      </c>
      <c r="CJ524" s="493">
        <f t="shared" si="35"/>
        <v>0</v>
      </c>
      <c r="CK524" s="493">
        <f t="shared" si="35"/>
        <v>0</v>
      </c>
      <c r="CL524" s="493">
        <f t="shared" si="35"/>
        <v>0</v>
      </c>
      <c r="CM524" s="493">
        <f t="shared" si="38"/>
        <v>0</v>
      </c>
      <c r="CN524" s="493">
        <f t="shared" si="38"/>
        <v>0</v>
      </c>
      <c r="CO524" s="493">
        <f t="shared" si="38"/>
        <v>0</v>
      </c>
    </row>
    <row r="525" spans="1:93" ht="30.45" hidden="1" customHeight="1">
      <c r="A525" s="555" t="s">
        <v>4954</v>
      </c>
      <c r="B525" s="479">
        <v>523</v>
      </c>
      <c r="C525" s="480" t="s">
        <v>6371</v>
      </c>
      <c r="D525" s="480" t="s">
        <v>4950</v>
      </c>
      <c r="E525" s="480" t="str">
        <f t="shared" si="37"/>
        <v xml:space="preserve">5.1.1 </v>
      </c>
      <c r="F525" s="480" t="s">
        <v>6387</v>
      </c>
      <c r="G525" s="480" t="s">
        <v>4951</v>
      </c>
      <c r="H525" s="481">
        <v>41</v>
      </c>
      <c r="I525" s="480" t="s">
        <v>4242</v>
      </c>
      <c r="J525" s="495">
        <v>410204600</v>
      </c>
      <c r="K525" s="480" t="s">
        <v>4286</v>
      </c>
      <c r="L525" s="480" t="s">
        <v>4961</v>
      </c>
      <c r="M525" s="480" t="s">
        <v>6107</v>
      </c>
      <c r="N525" s="499">
        <v>4</v>
      </c>
      <c r="O525" s="480" t="s">
        <v>4956</v>
      </c>
      <c r="P525" s="515">
        <v>8</v>
      </c>
      <c r="Q525" s="485" t="s">
        <v>5318</v>
      </c>
      <c r="R525" s="485" t="s">
        <v>5594</v>
      </c>
      <c r="S525" s="485" t="s">
        <v>5595</v>
      </c>
      <c r="T525" s="485">
        <v>0.89</v>
      </c>
      <c r="U525" s="485" t="s">
        <v>5596</v>
      </c>
      <c r="V525" s="485">
        <v>0.96</v>
      </c>
      <c r="W525" s="485" t="s">
        <v>5357</v>
      </c>
      <c r="X525" s="485">
        <v>16</v>
      </c>
      <c r="Y525" s="485" t="s">
        <v>5597</v>
      </c>
      <c r="Z525" s="486">
        <v>0</v>
      </c>
      <c r="AA525" s="486">
        <v>0</v>
      </c>
      <c r="AB525" s="486">
        <v>0</v>
      </c>
      <c r="AC525" s="486">
        <v>0</v>
      </c>
      <c r="AD525" s="486">
        <v>0</v>
      </c>
      <c r="AE525" s="486">
        <v>90000000</v>
      </c>
      <c r="AF525" s="486">
        <v>0</v>
      </c>
      <c r="AG525" s="486">
        <v>0</v>
      </c>
      <c r="AH525" s="487">
        <v>90000000</v>
      </c>
      <c r="AI525" s="486">
        <v>0</v>
      </c>
      <c r="AJ525" s="486">
        <v>0</v>
      </c>
      <c r="AK525" s="486">
        <v>0</v>
      </c>
      <c r="AL525" s="488">
        <v>0</v>
      </c>
      <c r="AM525" s="489">
        <v>90000000</v>
      </c>
      <c r="AN525" s="486">
        <v>0</v>
      </c>
      <c r="AO525" s="486">
        <v>0</v>
      </c>
      <c r="AP525" s="486">
        <v>0</v>
      </c>
      <c r="AQ525" s="486">
        <v>0</v>
      </c>
      <c r="AR525" s="486">
        <v>0</v>
      </c>
      <c r="AS525" s="486">
        <v>99000000</v>
      </c>
      <c r="AT525" s="486">
        <v>0</v>
      </c>
      <c r="AU525" s="486">
        <v>0</v>
      </c>
      <c r="AV525" s="487">
        <v>99000000</v>
      </c>
      <c r="AW525" s="486">
        <v>0</v>
      </c>
      <c r="AX525" s="486">
        <v>0</v>
      </c>
      <c r="AY525" s="486">
        <v>0</v>
      </c>
      <c r="AZ525" s="488">
        <v>0</v>
      </c>
      <c r="BA525" s="490">
        <v>99000000</v>
      </c>
      <c r="BB525" s="486">
        <v>0</v>
      </c>
      <c r="BC525" s="486">
        <v>0</v>
      </c>
      <c r="BD525" s="486">
        <v>0</v>
      </c>
      <c r="BE525" s="486">
        <v>0</v>
      </c>
      <c r="BF525" s="486">
        <v>0</v>
      </c>
      <c r="BG525" s="486">
        <v>108900000</v>
      </c>
      <c r="BH525" s="486">
        <v>0</v>
      </c>
      <c r="BI525" s="486">
        <v>0</v>
      </c>
      <c r="BJ525" s="487">
        <v>108900000</v>
      </c>
      <c r="BK525" s="486">
        <v>0</v>
      </c>
      <c r="BL525" s="486">
        <v>0</v>
      </c>
      <c r="BM525" s="486">
        <v>0</v>
      </c>
      <c r="BN525" s="488">
        <v>0</v>
      </c>
      <c r="BO525" s="490">
        <v>108900000</v>
      </c>
      <c r="BP525" s="486">
        <v>0</v>
      </c>
      <c r="BQ525" s="486">
        <v>0</v>
      </c>
      <c r="BR525" s="486">
        <v>0</v>
      </c>
      <c r="BS525" s="486">
        <v>0</v>
      </c>
      <c r="BT525" s="486">
        <v>0</v>
      </c>
      <c r="BU525" s="486">
        <v>119790000</v>
      </c>
      <c r="BV525" s="486">
        <v>0</v>
      </c>
      <c r="BW525" s="486">
        <v>0</v>
      </c>
      <c r="BX525" s="487">
        <v>119790000</v>
      </c>
      <c r="BY525" s="486">
        <v>0</v>
      </c>
      <c r="BZ525" s="486">
        <v>0</v>
      </c>
      <c r="CA525" s="486">
        <v>0</v>
      </c>
      <c r="CB525" s="488">
        <v>0</v>
      </c>
      <c r="CC525" s="491">
        <v>119790000</v>
      </c>
      <c r="CD525" s="492">
        <v>417690000</v>
      </c>
      <c r="CE525" s="493">
        <f t="shared" si="36"/>
        <v>0</v>
      </c>
      <c r="CF525" s="493">
        <f t="shared" si="36"/>
        <v>0</v>
      </c>
      <c r="CG525" s="493">
        <f t="shared" si="36"/>
        <v>0</v>
      </c>
      <c r="CH525" s="493">
        <f t="shared" si="36"/>
        <v>0</v>
      </c>
      <c r="CI525" s="493">
        <f t="shared" si="36"/>
        <v>0</v>
      </c>
      <c r="CJ525" s="493">
        <f t="shared" si="35"/>
        <v>417690000</v>
      </c>
      <c r="CK525" s="493">
        <f t="shared" si="35"/>
        <v>0</v>
      </c>
      <c r="CL525" s="493">
        <f t="shared" si="35"/>
        <v>0</v>
      </c>
      <c r="CM525" s="493">
        <f t="shared" si="38"/>
        <v>0</v>
      </c>
      <c r="CN525" s="493">
        <f t="shared" si="38"/>
        <v>0</v>
      </c>
      <c r="CO525" s="493">
        <f t="shared" si="38"/>
        <v>0</v>
      </c>
    </row>
    <row r="526" spans="1:93" ht="30.45" hidden="1" customHeight="1">
      <c r="A526" s="555" t="s">
        <v>4954</v>
      </c>
      <c r="B526" s="479">
        <v>524</v>
      </c>
      <c r="C526" s="480" t="s">
        <v>6371</v>
      </c>
      <c r="D526" s="480" t="s">
        <v>4950</v>
      </c>
      <c r="E526" s="480" t="str">
        <f t="shared" si="37"/>
        <v xml:space="preserve">5.1.1 </v>
      </c>
      <c r="F526" s="480" t="s">
        <v>6387</v>
      </c>
      <c r="G526" s="480" t="s">
        <v>4951</v>
      </c>
      <c r="H526" s="481">
        <v>41</v>
      </c>
      <c r="I526" s="480" t="s">
        <v>4242</v>
      </c>
      <c r="J526" s="495">
        <v>410203500</v>
      </c>
      <c r="K526" s="480" t="s">
        <v>4063</v>
      </c>
      <c r="L526" s="480" t="s">
        <v>4112</v>
      </c>
      <c r="M526" s="480" t="s">
        <v>6108</v>
      </c>
      <c r="N526" s="499">
        <v>1</v>
      </c>
      <c r="O526" s="480" t="s">
        <v>4956</v>
      </c>
      <c r="P526" s="515">
        <v>2</v>
      </c>
      <c r="Q526" s="485" t="s">
        <v>5318</v>
      </c>
      <c r="R526" s="485" t="s">
        <v>5594</v>
      </c>
      <c r="S526" s="485" t="s">
        <v>5595</v>
      </c>
      <c r="T526" s="485">
        <v>0.89</v>
      </c>
      <c r="U526" s="485" t="s">
        <v>5596</v>
      </c>
      <c r="V526" s="485">
        <v>0.96</v>
      </c>
      <c r="W526" s="485" t="s">
        <v>5357</v>
      </c>
      <c r="X526" s="485">
        <v>16</v>
      </c>
      <c r="Y526" s="485" t="s">
        <v>5597</v>
      </c>
      <c r="Z526" s="486">
        <v>0</v>
      </c>
      <c r="AA526" s="486">
        <v>0</v>
      </c>
      <c r="AB526" s="486">
        <v>0</v>
      </c>
      <c r="AC526" s="486">
        <v>0</v>
      </c>
      <c r="AD526" s="486">
        <v>0</v>
      </c>
      <c r="AE526" s="486">
        <v>0</v>
      </c>
      <c r="AF526" s="486">
        <v>0</v>
      </c>
      <c r="AG526" s="486">
        <v>0</v>
      </c>
      <c r="AH526" s="487">
        <v>0</v>
      </c>
      <c r="AI526" s="486">
        <v>0</v>
      </c>
      <c r="AJ526" s="486">
        <v>0</v>
      </c>
      <c r="AK526" s="486">
        <v>0</v>
      </c>
      <c r="AL526" s="488">
        <v>0</v>
      </c>
      <c r="AM526" s="489">
        <v>0</v>
      </c>
      <c r="AN526" s="486">
        <v>0</v>
      </c>
      <c r="AO526" s="486">
        <v>0</v>
      </c>
      <c r="AP526" s="486">
        <v>0</v>
      </c>
      <c r="AQ526" s="486">
        <v>0</v>
      </c>
      <c r="AR526" s="486">
        <v>0</v>
      </c>
      <c r="AS526" s="486">
        <v>30000000</v>
      </c>
      <c r="AT526" s="486">
        <v>0</v>
      </c>
      <c r="AU526" s="486">
        <v>0</v>
      </c>
      <c r="AV526" s="487">
        <v>30000000</v>
      </c>
      <c r="AW526" s="486">
        <v>0</v>
      </c>
      <c r="AX526" s="486">
        <v>0</v>
      </c>
      <c r="AY526" s="486">
        <v>0</v>
      </c>
      <c r="AZ526" s="488">
        <v>0</v>
      </c>
      <c r="BA526" s="490">
        <v>30000000</v>
      </c>
      <c r="BB526" s="486">
        <v>0</v>
      </c>
      <c r="BC526" s="486">
        <v>0</v>
      </c>
      <c r="BD526" s="486">
        <v>0</v>
      </c>
      <c r="BE526" s="486">
        <v>0</v>
      </c>
      <c r="BF526" s="486">
        <v>0</v>
      </c>
      <c r="BG526" s="486">
        <v>22000000</v>
      </c>
      <c r="BH526" s="486">
        <v>0</v>
      </c>
      <c r="BI526" s="486">
        <v>0</v>
      </c>
      <c r="BJ526" s="487">
        <v>22000000</v>
      </c>
      <c r="BK526" s="486">
        <v>0</v>
      </c>
      <c r="BL526" s="486">
        <v>0</v>
      </c>
      <c r="BM526" s="486">
        <v>0</v>
      </c>
      <c r="BN526" s="488">
        <v>0</v>
      </c>
      <c r="BO526" s="490">
        <v>22000000</v>
      </c>
      <c r="BP526" s="486">
        <v>0</v>
      </c>
      <c r="BQ526" s="486">
        <v>0</v>
      </c>
      <c r="BR526" s="486">
        <v>0</v>
      </c>
      <c r="BS526" s="486">
        <v>0</v>
      </c>
      <c r="BT526" s="486">
        <v>0</v>
      </c>
      <c r="BU526" s="486">
        <v>24190000</v>
      </c>
      <c r="BV526" s="486">
        <v>0</v>
      </c>
      <c r="BW526" s="486">
        <v>0</v>
      </c>
      <c r="BX526" s="487">
        <v>24190000</v>
      </c>
      <c r="BY526" s="486">
        <v>0</v>
      </c>
      <c r="BZ526" s="486">
        <v>0</v>
      </c>
      <c r="CA526" s="486">
        <v>0</v>
      </c>
      <c r="CB526" s="488">
        <v>0</v>
      </c>
      <c r="CC526" s="491">
        <v>24190000</v>
      </c>
      <c r="CD526" s="492">
        <v>76190000</v>
      </c>
      <c r="CE526" s="493">
        <f t="shared" si="36"/>
        <v>0</v>
      </c>
      <c r="CF526" s="493">
        <f t="shared" si="36"/>
        <v>0</v>
      </c>
      <c r="CG526" s="493">
        <f t="shared" si="36"/>
        <v>0</v>
      </c>
      <c r="CH526" s="493">
        <f t="shared" si="36"/>
        <v>0</v>
      </c>
      <c r="CI526" s="493">
        <f t="shared" si="36"/>
        <v>0</v>
      </c>
      <c r="CJ526" s="493">
        <f t="shared" si="35"/>
        <v>76190000</v>
      </c>
      <c r="CK526" s="493">
        <f t="shared" si="35"/>
        <v>0</v>
      </c>
      <c r="CL526" s="493">
        <f t="shared" si="35"/>
        <v>0</v>
      </c>
      <c r="CM526" s="493">
        <f t="shared" si="38"/>
        <v>0</v>
      </c>
      <c r="CN526" s="493">
        <f t="shared" si="38"/>
        <v>0</v>
      </c>
      <c r="CO526" s="493">
        <f t="shared" si="38"/>
        <v>0</v>
      </c>
    </row>
    <row r="527" spans="1:93" ht="30.45" hidden="1" customHeight="1">
      <c r="A527" s="555" t="s">
        <v>4963</v>
      </c>
      <c r="B527" s="479">
        <v>525</v>
      </c>
      <c r="C527" s="480" t="s">
        <v>6371</v>
      </c>
      <c r="D527" s="480" t="s">
        <v>4950</v>
      </c>
      <c r="E527" s="480" t="str">
        <f t="shared" si="37"/>
        <v xml:space="preserve">5.1.2 </v>
      </c>
      <c r="F527" s="480" t="s">
        <v>6388</v>
      </c>
      <c r="G527" s="480" t="s">
        <v>6394</v>
      </c>
      <c r="H527" s="481">
        <v>41</v>
      </c>
      <c r="I527" s="480" t="s">
        <v>4242</v>
      </c>
      <c r="J527" s="495">
        <v>410204100</v>
      </c>
      <c r="K527" s="480" t="s">
        <v>4984</v>
      </c>
      <c r="L527" s="480" t="s">
        <v>4962</v>
      </c>
      <c r="M527" s="480" t="s">
        <v>6109</v>
      </c>
      <c r="N527" s="499">
        <v>1</v>
      </c>
      <c r="O527" s="480" t="s">
        <v>4407</v>
      </c>
      <c r="P527" s="515">
        <v>1</v>
      </c>
      <c r="Q527" s="485" t="s">
        <v>5349</v>
      </c>
      <c r="R527" s="485" t="s">
        <v>5598</v>
      </c>
      <c r="S527" s="485" t="s">
        <v>1874</v>
      </c>
      <c r="T527" s="485" t="s">
        <v>244</v>
      </c>
      <c r="U527" s="485" t="s">
        <v>244</v>
      </c>
      <c r="V527" s="485">
        <v>15000</v>
      </c>
      <c r="W527" s="485" t="s">
        <v>5357</v>
      </c>
      <c r="X527" s="485" t="s">
        <v>5599</v>
      </c>
      <c r="Y527" s="485" t="s">
        <v>5600</v>
      </c>
      <c r="Z527" s="486">
        <v>98990163.934426233</v>
      </c>
      <c r="AA527" s="486">
        <v>0</v>
      </c>
      <c r="AB527" s="486">
        <v>0</v>
      </c>
      <c r="AC527" s="486">
        <v>0</v>
      </c>
      <c r="AD527" s="486">
        <v>0</v>
      </c>
      <c r="AE527" s="486">
        <v>0</v>
      </c>
      <c r="AF527" s="486">
        <v>0</v>
      </c>
      <c r="AG527" s="486">
        <v>0</v>
      </c>
      <c r="AH527" s="487">
        <v>98990163.934426233</v>
      </c>
      <c r="AI527" s="486">
        <v>0</v>
      </c>
      <c r="AJ527" s="486">
        <v>0</v>
      </c>
      <c r="AK527" s="486">
        <v>21009836.065573767</v>
      </c>
      <c r="AL527" s="488">
        <v>21009836.065573767</v>
      </c>
      <c r="AM527" s="489">
        <v>120000000</v>
      </c>
      <c r="AN527" s="486">
        <v>102949770.4918033</v>
      </c>
      <c r="AO527" s="486">
        <v>0</v>
      </c>
      <c r="AP527" s="486">
        <v>0</v>
      </c>
      <c r="AQ527" s="486">
        <v>0</v>
      </c>
      <c r="AR527" s="486">
        <v>0</v>
      </c>
      <c r="AS527" s="486">
        <v>0</v>
      </c>
      <c r="AT527" s="486">
        <v>0</v>
      </c>
      <c r="AU527" s="486">
        <v>0</v>
      </c>
      <c r="AV527" s="487">
        <v>102949770.4918033</v>
      </c>
      <c r="AW527" s="486">
        <v>0</v>
      </c>
      <c r="AX527" s="486">
        <v>0</v>
      </c>
      <c r="AY527" s="486">
        <v>26650229.508196712</v>
      </c>
      <c r="AZ527" s="488">
        <v>26650229.508196712</v>
      </c>
      <c r="BA527" s="490">
        <v>129600000.00000001</v>
      </c>
      <c r="BB527" s="486">
        <v>107067761.31147544</v>
      </c>
      <c r="BC527" s="486">
        <v>0</v>
      </c>
      <c r="BD527" s="486">
        <v>0</v>
      </c>
      <c r="BE527" s="486">
        <v>0</v>
      </c>
      <c r="BF527" s="486">
        <v>0</v>
      </c>
      <c r="BG527" s="486">
        <v>0</v>
      </c>
      <c r="BH527" s="486">
        <v>0</v>
      </c>
      <c r="BI527" s="486">
        <v>0</v>
      </c>
      <c r="BJ527" s="487">
        <v>107067761.31147544</v>
      </c>
      <c r="BK527" s="486">
        <v>0</v>
      </c>
      <c r="BL527" s="486">
        <v>0</v>
      </c>
      <c r="BM527" s="486">
        <v>32900238.688524589</v>
      </c>
      <c r="BN527" s="488">
        <v>32900238.688524589</v>
      </c>
      <c r="BO527" s="490">
        <v>139968000.00000003</v>
      </c>
      <c r="BP527" s="486">
        <v>111350471.76393445</v>
      </c>
      <c r="BQ527" s="486">
        <v>0</v>
      </c>
      <c r="BR527" s="486">
        <v>0</v>
      </c>
      <c r="BS527" s="486">
        <v>0</v>
      </c>
      <c r="BT527" s="486">
        <v>0</v>
      </c>
      <c r="BU527" s="486">
        <v>0</v>
      </c>
      <c r="BV527" s="486">
        <v>0</v>
      </c>
      <c r="BW527" s="486">
        <v>0</v>
      </c>
      <c r="BX527" s="487">
        <v>111350471.76393445</v>
      </c>
      <c r="BY527" s="486">
        <v>0</v>
      </c>
      <c r="BZ527" s="486">
        <v>0</v>
      </c>
      <c r="CA527" s="486">
        <v>39814968.236065581</v>
      </c>
      <c r="CB527" s="488">
        <v>39814968.236065581</v>
      </c>
      <c r="CC527" s="491">
        <v>151165440.00000003</v>
      </c>
      <c r="CD527" s="492">
        <v>540733440</v>
      </c>
      <c r="CE527" s="493">
        <f t="shared" si="36"/>
        <v>420358167.50163943</v>
      </c>
      <c r="CF527" s="493">
        <f t="shared" si="36"/>
        <v>0</v>
      </c>
      <c r="CG527" s="493">
        <f t="shared" si="36"/>
        <v>0</v>
      </c>
      <c r="CH527" s="493">
        <f t="shared" si="36"/>
        <v>0</v>
      </c>
      <c r="CI527" s="493">
        <f t="shared" si="36"/>
        <v>0</v>
      </c>
      <c r="CJ527" s="493">
        <f t="shared" si="35"/>
        <v>0</v>
      </c>
      <c r="CK527" s="493">
        <f t="shared" si="35"/>
        <v>0</v>
      </c>
      <c r="CL527" s="493">
        <f t="shared" si="35"/>
        <v>0</v>
      </c>
      <c r="CM527" s="493">
        <f t="shared" si="38"/>
        <v>0</v>
      </c>
      <c r="CN527" s="493">
        <f t="shared" si="38"/>
        <v>0</v>
      </c>
      <c r="CO527" s="493">
        <f t="shared" si="38"/>
        <v>120375272.49836065</v>
      </c>
    </row>
    <row r="528" spans="1:93" ht="30.45" hidden="1" customHeight="1">
      <c r="A528" s="555" t="s">
        <v>4963</v>
      </c>
      <c r="B528" s="479">
        <v>526</v>
      </c>
      <c r="C528" s="480" t="s">
        <v>6371</v>
      </c>
      <c r="D528" s="480" t="s">
        <v>4950</v>
      </c>
      <c r="E528" s="480" t="str">
        <f t="shared" si="37"/>
        <v xml:space="preserve">5.1.2 </v>
      </c>
      <c r="F528" s="480" t="s">
        <v>6388</v>
      </c>
      <c r="G528" s="480" t="s">
        <v>6394</v>
      </c>
      <c r="H528" s="481">
        <v>41</v>
      </c>
      <c r="I528" s="480" t="s">
        <v>4242</v>
      </c>
      <c r="J528" s="495">
        <v>410204700</v>
      </c>
      <c r="K528" s="480" t="s">
        <v>683</v>
      </c>
      <c r="L528" s="480" t="s">
        <v>4244</v>
      </c>
      <c r="M528" s="480" t="s">
        <v>6110</v>
      </c>
      <c r="N528" s="499">
        <v>123</v>
      </c>
      <c r="O528" s="480" t="s">
        <v>4407</v>
      </c>
      <c r="P528" s="515">
        <v>123</v>
      </c>
      <c r="Q528" s="485" t="s">
        <v>5349</v>
      </c>
      <c r="R528" s="485" t="s">
        <v>5598</v>
      </c>
      <c r="S528" s="485" t="s">
        <v>1874</v>
      </c>
      <c r="T528" s="485" t="s">
        <v>244</v>
      </c>
      <c r="U528" s="485" t="s">
        <v>244</v>
      </c>
      <c r="V528" s="485">
        <v>15000</v>
      </c>
      <c r="W528" s="485" t="s">
        <v>5357</v>
      </c>
      <c r="X528" s="485" t="s">
        <v>5599</v>
      </c>
      <c r="Y528" s="485" t="s">
        <v>5600</v>
      </c>
      <c r="Z528" s="486">
        <v>98990163.934426233</v>
      </c>
      <c r="AA528" s="486">
        <v>0</v>
      </c>
      <c r="AB528" s="486">
        <v>0</v>
      </c>
      <c r="AC528" s="486">
        <v>0</v>
      </c>
      <c r="AD528" s="486">
        <v>0</v>
      </c>
      <c r="AE528" s="486">
        <v>0</v>
      </c>
      <c r="AF528" s="486">
        <v>0</v>
      </c>
      <c r="AG528" s="486">
        <v>0</v>
      </c>
      <c r="AH528" s="487">
        <v>98990163.934426233</v>
      </c>
      <c r="AI528" s="486">
        <v>0</v>
      </c>
      <c r="AJ528" s="486">
        <v>0</v>
      </c>
      <c r="AK528" s="486">
        <v>21009836.065573767</v>
      </c>
      <c r="AL528" s="488">
        <v>21009836.065573767</v>
      </c>
      <c r="AM528" s="489">
        <v>120000000</v>
      </c>
      <c r="AN528" s="486">
        <v>102949770.4918033</v>
      </c>
      <c r="AO528" s="486">
        <v>0</v>
      </c>
      <c r="AP528" s="486">
        <v>0</v>
      </c>
      <c r="AQ528" s="486">
        <v>0</v>
      </c>
      <c r="AR528" s="486">
        <v>0</v>
      </c>
      <c r="AS528" s="486">
        <v>0</v>
      </c>
      <c r="AT528" s="486">
        <v>0</v>
      </c>
      <c r="AU528" s="486">
        <v>0</v>
      </c>
      <c r="AV528" s="487">
        <v>102949770.4918033</v>
      </c>
      <c r="AW528" s="486">
        <v>0</v>
      </c>
      <c r="AX528" s="486">
        <v>0</v>
      </c>
      <c r="AY528" s="486">
        <v>26650229.508196712</v>
      </c>
      <c r="AZ528" s="488">
        <v>26650229.508196712</v>
      </c>
      <c r="BA528" s="490">
        <v>129600000.00000001</v>
      </c>
      <c r="BB528" s="486">
        <v>107067761.31147544</v>
      </c>
      <c r="BC528" s="486">
        <v>0</v>
      </c>
      <c r="BD528" s="486">
        <v>0</v>
      </c>
      <c r="BE528" s="486">
        <v>0</v>
      </c>
      <c r="BF528" s="486">
        <v>0</v>
      </c>
      <c r="BG528" s="486">
        <v>0</v>
      </c>
      <c r="BH528" s="486">
        <v>0</v>
      </c>
      <c r="BI528" s="486">
        <v>0</v>
      </c>
      <c r="BJ528" s="487">
        <v>107067761.31147544</v>
      </c>
      <c r="BK528" s="486">
        <v>0</v>
      </c>
      <c r="BL528" s="486">
        <v>0</v>
      </c>
      <c r="BM528" s="486">
        <v>32900238.688524589</v>
      </c>
      <c r="BN528" s="488">
        <v>32900238.688524589</v>
      </c>
      <c r="BO528" s="490">
        <v>139968000.00000003</v>
      </c>
      <c r="BP528" s="486">
        <v>111350471.76393445</v>
      </c>
      <c r="BQ528" s="486">
        <v>0</v>
      </c>
      <c r="BR528" s="486">
        <v>0</v>
      </c>
      <c r="BS528" s="486">
        <v>0</v>
      </c>
      <c r="BT528" s="486">
        <v>0</v>
      </c>
      <c r="BU528" s="486">
        <v>0</v>
      </c>
      <c r="BV528" s="486">
        <v>0</v>
      </c>
      <c r="BW528" s="486">
        <v>0</v>
      </c>
      <c r="BX528" s="487">
        <v>111350471.76393445</v>
      </c>
      <c r="BY528" s="486">
        <v>0</v>
      </c>
      <c r="BZ528" s="486">
        <v>0</v>
      </c>
      <c r="CA528" s="486">
        <v>39814968.236065581</v>
      </c>
      <c r="CB528" s="488">
        <v>39814968.236065581</v>
      </c>
      <c r="CC528" s="491">
        <v>151165440.00000003</v>
      </c>
      <c r="CD528" s="492">
        <v>540733440</v>
      </c>
      <c r="CE528" s="493">
        <f t="shared" si="36"/>
        <v>420358167.50163943</v>
      </c>
      <c r="CF528" s="493">
        <f t="shared" si="36"/>
        <v>0</v>
      </c>
      <c r="CG528" s="493">
        <f t="shared" si="36"/>
        <v>0</v>
      </c>
      <c r="CH528" s="493">
        <f t="shared" si="36"/>
        <v>0</v>
      </c>
      <c r="CI528" s="493">
        <f t="shared" si="36"/>
        <v>0</v>
      </c>
      <c r="CJ528" s="493">
        <f t="shared" si="35"/>
        <v>0</v>
      </c>
      <c r="CK528" s="493">
        <f t="shared" si="35"/>
        <v>0</v>
      </c>
      <c r="CL528" s="493">
        <f t="shared" si="35"/>
        <v>0</v>
      </c>
      <c r="CM528" s="493">
        <f t="shared" si="38"/>
        <v>0</v>
      </c>
      <c r="CN528" s="493">
        <f t="shared" si="38"/>
        <v>0</v>
      </c>
      <c r="CO528" s="493">
        <f t="shared" si="38"/>
        <v>120375272.49836065</v>
      </c>
    </row>
    <row r="529" spans="1:93" ht="30.45" hidden="1" customHeight="1">
      <c r="A529" s="555" t="s">
        <v>4963</v>
      </c>
      <c r="B529" s="479">
        <v>527</v>
      </c>
      <c r="C529" s="480" t="s">
        <v>6371</v>
      </c>
      <c r="D529" s="480" t="s">
        <v>4950</v>
      </c>
      <c r="E529" s="480" t="str">
        <f t="shared" si="37"/>
        <v xml:space="preserve">5.1.2 </v>
      </c>
      <c r="F529" s="480" t="s">
        <v>6388</v>
      </c>
      <c r="G529" s="480" t="s">
        <v>6394</v>
      </c>
      <c r="H529" s="481">
        <v>41</v>
      </c>
      <c r="I529" s="480" t="s">
        <v>4312</v>
      </c>
      <c r="J529" s="495">
        <v>410303100</v>
      </c>
      <c r="K529" s="480" t="s">
        <v>683</v>
      </c>
      <c r="L529" s="480" t="s">
        <v>4964</v>
      </c>
      <c r="M529" s="480" t="s">
        <v>6199</v>
      </c>
      <c r="N529" s="499">
        <v>0</v>
      </c>
      <c r="O529" s="480" t="s">
        <v>4407</v>
      </c>
      <c r="P529" s="515">
        <v>17</v>
      </c>
      <c r="Q529" s="485" t="s">
        <v>5349</v>
      </c>
      <c r="R529" s="485" t="s">
        <v>5598</v>
      </c>
      <c r="S529" s="485" t="s">
        <v>1874</v>
      </c>
      <c r="T529" s="485" t="s">
        <v>244</v>
      </c>
      <c r="U529" s="485" t="s">
        <v>244</v>
      </c>
      <c r="V529" s="485">
        <v>15000</v>
      </c>
      <c r="W529" s="485" t="s">
        <v>5357</v>
      </c>
      <c r="X529" s="485" t="s">
        <v>5599</v>
      </c>
      <c r="Y529" s="485" t="s">
        <v>5600</v>
      </c>
      <c r="Z529" s="486">
        <v>0</v>
      </c>
      <c r="AA529" s="486">
        <v>0</v>
      </c>
      <c r="AB529" s="486">
        <v>0</v>
      </c>
      <c r="AC529" s="486">
        <v>0</v>
      </c>
      <c r="AD529" s="486">
        <v>0</v>
      </c>
      <c r="AE529" s="486">
        <v>0</v>
      </c>
      <c r="AF529" s="486">
        <v>1200000000</v>
      </c>
      <c r="AG529" s="486">
        <v>0</v>
      </c>
      <c r="AH529" s="487">
        <v>1200000000</v>
      </c>
      <c r="AI529" s="486">
        <v>1000000000</v>
      </c>
      <c r="AJ529" s="486"/>
      <c r="AK529" s="486"/>
      <c r="AL529" s="488">
        <v>1000000000</v>
      </c>
      <c r="AM529" s="489">
        <v>2200000000</v>
      </c>
      <c r="AN529" s="486">
        <v>0</v>
      </c>
      <c r="AO529" s="486">
        <v>0</v>
      </c>
      <c r="AP529" s="486">
        <v>0</v>
      </c>
      <c r="AQ529" s="486">
        <v>0</v>
      </c>
      <c r="AR529" s="486">
        <v>0</v>
      </c>
      <c r="AS529" s="486">
        <v>0</v>
      </c>
      <c r="AT529" s="486">
        <v>500000000</v>
      </c>
      <c r="AU529" s="486">
        <v>0</v>
      </c>
      <c r="AV529" s="487">
        <v>500000000</v>
      </c>
      <c r="AW529" s="486">
        <v>1000000000</v>
      </c>
      <c r="AX529" s="486"/>
      <c r="AY529" s="486"/>
      <c r="AZ529" s="488">
        <v>1000000000</v>
      </c>
      <c r="BA529" s="490">
        <v>1500000000</v>
      </c>
      <c r="BB529" s="486">
        <v>0</v>
      </c>
      <c r="BC529" s="486">
        <v>0</v>
      </c>
      <c r="BD529" s="486">
        <v>0</v>
      </c>
      <c r="BE529" s="486">
        <v>0</v>
      </c>
      <c r="BF529" s="486">
        <v>0</v>
      </c>
      <c r="BG529" s="486">
        <v>0</v>
      </c>
      <c r="BH529" s="486">
        <v>450000000</v>
      </c>
      <c r="BI529" s="486">
        <v>0</v>
      </c>
      <c r="BJ529" s="487">
        <v>450000000</v>
      </c>
      <c r="BK529" s="486">
        <v>1000000000</v>
      </c>
      <c r="BL529" s="486"/>
      <c r="BM529" s="486"/>
      <c r="BN529" s="488">
        <v>1000000000</v>
      </c>
      <c r="BO529" s="490">
        <v>1450000000</v>
      </c>
      <c r="BP529" s="486">
        <v>0</v>
      </c>
      <c r="BQ529" s="486">
        <v>0</v>
      </c>
      <c r="BR529" s="486">
        <v>0</v>
      </c>
      <c r="BS529" s="486">
        <v>0</v>
      </c>
      <c r="BT529" s="486">
        <v>0</v>
      </c>
      <c r="BU529" s="486">
        <v>0</v>
      </c>
      <c r="BV529" s="486">
        <v>100000000</v>
      </c>
      <c r="BW529" s="486">
        <v>0</v>
      </c>
      <c r="BX529" s="487">
        <v>100000000</v>
      </c>
      <c r="BY529" s="486">
        <v>1000000000</v>
      </c>
      <c r="BZ529" s="486"/>
      <c r="CA529" s="486"/>
      <c r="CB529" s="488">
        <v>1000000000</v>
      </c>
      <c r="CC529" s="491">
        <v>1100000000</v>
      </c>
      <c r="CD529" s="492">
        <v>6250000000</v>
      </c>
      <c r="CE529" s="493">
        <f t="shared" si="36"/>
        <v>0</v>
      </c>
      <c r="CF529" s="493">
        <f t="shared" si="36"/>
        <v>0</v>
      </c>
      <c r="CG529" s="493">
        <f t="shared" si="36"/>
        <v>0</v>
      </c>
      <c r="CH529" s="493">
        <f t="shared" si="36"/>
        <v>0</v>
      </c>
      <c r="CI529" s="493">
        <f t="shared" si="36"/>
        <v>0</v>
      </c>
      <c r="CJ529" s="493">
        <f t="shared" si="35"/>
        <v>0</v>
      </c>
      <c r="CK529" s="493">
        <f t="shared" si="35"/>
        <v>2250000000</v>
      </c>
      <c r="CL529" s="493">
        <f t="shared" si="35"/>
        <v>0</v>
      </c>
      <c r="CM529" s="493">
        <f t="shared" si="38"/>
        <v>4000000000</v>
      </c>
      <c r="CN529" s="493">
        <f t="shared" si="38"/>
        <v>0</v>
      </c>
      <c r="CO529" s="493">
        <f t="shared" si="38"/>
        <v>0</v>
      </c>
    </row>
    <row r="530" spans="1:93" ht="30.45" hidden="1" customHeight="1">
      <c r="A530" s="555" t="s">
        <v>4963</v>
      </c>
      <c r="B530" s="479">
        <v>528</v>
      </c>
      <c r="C530" s="480" t="s">
        <v>6371</v>
      </c>
      <c r="D530" s="480" t="s">
        <v>4950</v>
      </c>
      <c r="E530" s="480" t="str">
        <f t="shared" si="37"/>
        <v xml:space="preserve">5.1.2 </v>
      </c>
      <c r="F530" s="480" t="s">
        <v>6388</v>
      </c>
      <c r="G530" s="480" t="s">
        <v>6394</v>
      </c>
      <c r="H530" s="481">
        <v>41</v>
      </c>
      <c r="I530" s="480" t="s">
        <v>4312</v>
      </c>
      <c r="J530" s="495">
        <v>410305200</v>
      </c>
      <c r="K530" s="480" t="s">
        <v>683</v>
      </c>
      <c r="L530" s="480" t="s">
        <v>4965</v>
      </c>
      <c r="M530" s="480" t="s">
        <v>6111</v>
      </c>
      <c r="N530" s="499" t="s">
        <v>244</v>
      </c>
      <c r="O530" s="480" t="s">
        <v>4407</v>
      </c>
      <c r="P530" s="518">
        <v>15000</v>
      </c>
      <c r="Q530" s="485" t="s">
        <v>5349</v>
      </c>
      <c r="R530" s="485" t="s">
        <v>5598</v>
      </c>
      <c r="S530" s="485" t="s">
        <v>1874</v>
      </c>
      <c r="T530" s="485" t="s">
        <v>244</v>
      </c>
      <c r="U530" s="485" t="s">
        <v>244</v>
      </c>
      <c r="V530" s="485">
        <v>15000</v>
      </c>
      <c r="W530" s="485" t="s">
        <v>5357</v>
      </c>
      <c r="X530" s="485" t="s">
        <v>5599</v>
      </c>
      <c r="Y530" s="485" t="s">
        <v>5600</v>
      </c>
      <c r="Z530" s="486">
        <v>32996721.311475411</v>
      </c>
      <c r="AA530" s="486">
        <v>0</v>
      </c>
      <c r="AB530" s="486">
        <v>0</v>
      </c>
      <c r="AC530" s="486">
        <v>0</v>
      </c>
      <c r="AD530" s="486">
        <v>0</v>
      </c>
      <c r="AE530" s="486">
        <v>0</v>
      </c>
      <c r="AF530" s="486">
        <v>800000000</v>
      </c>
      <c r="AG530" s="486">
        <v>0</v>
      </c>
      <c r="AH530" s="487">
        <v>832996721.3114754</v>
      </c>
      <c r="AI530" s="486">
        <v>0</v>
      </c>
      <c r="AJ530" s="486">
        <v>0</v>
      </c>
      <c r="AK530" s="486">
        <v>7003278.6885245889</v>
      </c>
      <c r="AL530" s="488">
        <v>7003278.6885245889</v>
      </c>
      <c r="AM530" s="489">
        <v>840000000</v>
      </c>
      <c r="AN530" s="486">
        <v>34316590.163934425</v>
      </c>
      <c r="AO530" s="486">
        <v>0</v>
      </c>
      <c r="AP530" s="486">
        <v>0</v>
      </c>
      <c r="AQ530" s="486">
        <v>0</v>
      </c>
      <c r="AR530" s="486">
        <v>0</v>
      </c>
      <c r="AS530" s="486">
        <v>0</v>
      </c>
      <c r="AT530" s="486">
        <v>500000000</v>
      </c>
      <c r="AU530" s="486">
        <v>0</v>
      </c>
      <c r="AV530" s="487">
        <v>534316590.16393441</v>
      </c>
      <c r="AW530" s="486">
        <v>0</v>
      </c>
      <c r="AX530" s="486">
        <v>0</v>
      </c>
      <c r="AY530" s="486">
        <v>8883409.8360655755</v>
      </c>
      <c r="AZ530" s="488">
        <v>8883409.8360655755</v>
      </c>
      <c r="BA530" s="490">
        <v>543200000</v>
      </c>
      <c r="BB530" s="486">
        <v>35689253.770491801</v>
      </c>
      <c r="BC530" s="486">
        <v>0</v>
      </c>
      <c r="BD530" s="486">
        <v>0</v>
      </c>
      <c r="BE530" s="486">
        <v>0</v>
      </c>
      <c r="BF530" s="486">
        <v>0</v>
      </c>
      <c r="BG530" s="486">
        <v>0</v>
      </c>
      <c r="BH530" s="486">
        <v>550000000</v>
      </c>
      <c r="BI530" s="486">
        <v>0</v>
      </c>
      <c r="BJ530" s="487">
        <v>585689253.77049184</v>
      </c>
      <c r="BK530" s="486">
        <v>0</v>
      </c>
      <c r="BL530" s="486">
        <v>0</v>
      </c>
      <c r="BM530" s="486">
        <v>10966746.229508199</v>
      </c>
      <c r="BN530" s="488">
        <v>10966746.229508199</v>
      </c>
      <c r="BO530" s="490">
        <v>596656000</v>
      </c>
      <c r="BP530" s="486">
        <v>37116823.921311475</v>
      </c>
      <c r="BQ530" s="486">
        <v>0</v>
      </c>
      <c r="BR530" s="486">
        <v>0</v>
      </c>
      <c r="BS530" s="486">
        <v>0</v>
      </c>
      <c r="BT530" s="486">
        <v>0</v>
      </c>
      <c r="BU530" s="486">
        <v>0</v>
      </c>
      <c r="BV530" s="486">
        <v>400000000</v>
      </c>
      <c r="BW530" s="486">
        <v>0</v>
      </c>
      <c r="BX530" s="487">
        <v>437116823.9213115</v>
      </c>
      <c r="BY530" s="486">
        <v>0</v>
      </c>
      <c r="BZ530" s="486">
        <v>0</v>
      </c>
      <c r="CA530" s="486">
        <v>13271656.078688525</v>
      </c>
      <c r="CB530" s="488">
        <v>13271656.078688525</v>
      </c>
      <c r="CC530" s="491">
        <v>450388480</v>
      </c>
      <c r="CD530" s="492">
        <v>2430244480</v>
      </c>
      <c r="CE530" s="493">
        <f t="shared" si="36"/>
        <v>140119389.16721311</v>
      </c>
      <c r="CF530" s="493">
        <f t="shared" si="36"/>
        <v>0</v>
      </c>
      <c r="CG530" s="493">
        <f t="shared" si="36"/>
        <v>0</v>
      </c>
      <c r="CH530" s="493">
        <f t="shared" si="36"/>
        <v>0</v>
      </c>
      <c r="CI530" s="493">
        <f t="shared" si="36"/>
        <v>0</v>
      </c>
      <c r="CJ530" s="493">
        <f t="shared" si="35"/>
        <v>0</v>
      </c>
      <c r="CK530" s="493">
        <f t="shared" si="35"/>
        <v>2250000000</v>
      </c>
      <c r="CL530" s="493">
        <f t="shared" si="35"/>
        <v>0</v>
      </c>
      <c r="CM530" s="493">
        <f t="shared" si="38"/>
        <v>0</v>
      </c>
      <c r="CN530" s="493">
        <f t="shared" si="38"/>
        <v>0</v>
      </c>
      <c r="CO530" s="493">
        <f t="shared" si="38"/>
        <v>40125090.832786888</v>
      </c>
    </row>
    <row r="531" spans="1:93" ht="30.45" hidden="1" customHeight="1">
      <c r="A531" s="555" t="s">
        <v>4963</v>
      </c>
      <c r="B531" s="479">
        <v>529</v>
      </c>
      <c r="C531" s="480" t="s">
        <v>6371</v>
      </c>
      <c r="D531" s="480" t="s">
        <v>4950</v>
      </c>
      <c r="E531" s="480" t="str">
        <f t="shared" si="37"/>
        <v xml:space="preserve">5.1.2 </v>
      </c>
      <c r="F531" s="480" t="s">
        <v>6388</v>
      </c>
      <c r="G531" s="480" t="s">
        <v>6394</v>
      </c>
      <c r="H531" s="481">
        <v>41</v>
      </c>
      <c r="I531" s="480" t="s">
        <v>4312</v>
      </c>
      <c r="J531" s="495">
        <v>410306700</v>
      </c>
      <c r="K531" s="480" t="s">
        <v>4063</v>
      </c>
      <c r="L531" s="480" t="s">
        <v>4207</v>
      </c>
      <c r="M531" s="480" t="s">
        <v>6112</v>
      </c>
      <c r="N531" s="499">
        <v>0</v>
      </c>
      <c r="O531" s="480" t="s">
        <v>4966</v>
      </c>
      <c r="P531" s="518">
        <v>1</v>
      </c>
      <c r="Q531" s="485" t="s">
        <v>5349</v>
      </c>
      <c r="R531" s="485" t="s">
        <v>5598</v>
      </c>
      <c r="S531" s="485" t="s">
        <v>1874</v>
      </c>
      <c r="T531" s="485" t="s">
        <v>244</v>
      </c>
      <c r="U531" s="485" t="s">
        <v>244</v>
      </c>
      <c r="V531" s="485">
        <v>15000</v>
      </c>
      <c r="W531" s="485" t="s">
        <v>5357</v>
      </c>
      <c r="X531" s="485" t="s">
        <v>5599</v>
      </c>
      <c r="Y531" s="485" t="s">
        <v>5600</v>
      </c>
      <c r="Z531" s="486">
        <v>12373770.491803279</v>
      </c>
      <c r="AA531" s="486">
        <v>0</v>
      </c>
      <c r="AB531" s="486">
        <v>0</v>
      </c>
      <c r="AC531" s="486">
        <v>0</v>
      </c>
      <c r="AD531" s="486">
        <v>0</v>
      </c>
      <c r="AE531" s="486">
        <v>0</v>
      </c>
      <c r="AF531" s="486">
        <v>0</v>
      </c>
      <c r="AG531" s="486">
        <v>0</v>
      </c>
      <c r="AH531" s="487">
        <v>12373770.491803279</v>
      </c>
      <c r="AI531" s="486">
        <v>0</v>
      </c>
      <c r="AJ531" s="486">
        <v>0</v>
      </c>
      <c r="AK531" s="486">
        <v>2626229.5081967209</v>
      </c>
      <c r="AL531" s="488">
        <v>2626229.5081967209</v>
      </c>
      <c r="AM531" s="489">
        <v>15000000</v>
      </c>
      <c r="AN531" s="486">
        <v>12868721.311475413</v>
      </c>
      <c r="AO531" s="486">
        <v>0</v>
      </c>
      <c r="AP531" s="486">
        <v>0</v>
      </c>
      <c r="AQ531" s="486">
        <v>0</v>
      </c>
      <c r="AR531" s="486">
        <v>0</v>
      </c>
      <c r="AS531" s="486">
        <v>0</v>
      </c>
      <c r="AT531" s="486">
        <v>0</v>
      </c>
      <c r="AU531" s="486">
        <v>0</v>
      </c>
      <c r="AV531" s="487">
        <v>12868721.311475413</v>
      </c>
      <c r="AW531" s="486">
        <v>0</v>
      </c>
      <c r="AX531" s="486">
        <v>0</v>
      </c>
      <c r="AY531" s="486">
        <v>3331278.6885245889</v>
      </c>
      <c r="AZ531" s="488">
        <v>3331278.6885245889</v>
      </c>
      <c r="BA531" s="490">
        <v>16200000.000000002</v>
      </c>
      <c r="BB531" s="486">
        <v>13383470.16393443</v>
      </c>
      <c r="BC531" s="486">
        <v>0</v>
      </c>
      <c r="BD531" s="486">
        <v>0</v>
      </c>
      <c r="BE531" s="486">
        <v>0</v>
      </c>
      <c r="BF531" s="486">
        <v>0</v>
      </c>
      <c r="BG531" s="486">
        <v>0</v>
      </c>
      <c r="BH531" s="486">
        <v>0</v>
      </c>
      <c r="BI531" s="486">
        <v>0</v>
      </c>
      <c r="BJ531" s="487">
        <v>13383470.16393443</v>
      </c>
      <c r="BK531" s="486">
        <v>0</v>
      </c>
      <c r="BL531" s="486">
        <v>0</v>
      </c>
      <c r="BM531" s="486">
        <v>4112529.8360655736</v>
      </c>
      <c r="BN531" s="488">
        <v>4112529.8360655736</v>
      </c>
      <c r="BO531" s="490">
        <v>17496000.000000004</v>
      </c>
      <c r="BP531" s="486">
        <v>13918808.970491806</v>
      </c>
      <c r="BQ531" s="486">
        <v>0</v>
      </c>
      <c r="BR531" s="486">
        <v>0</v>
      </c>
      <c r="BS531" s="486">
        <v>0</v>
      </c>
      <c r="BT531" s="486">
        <v>0</v>
      </c>
      <c r="BU531" s="486">
        <v>0</v>
      </c>
      <c r="BV531" s="486">
        <v>0</v>
      </c>
      <c r="BW531" s="486">
        <v>0</v>
      </c>
      <c r="BX531" s="487">
        <v>13918808.970491806</v>
      </c>
      <c r="BY531" s="486">
        <v>0</v>
      </c>
      <c r="BZ531" s="486">
        <v>0</v>
      </c>
      <c r="CA531" s="486">
        <v>4976871.0295081977</v>
      </c>
      <c r="CB531" s="488">
        <v>4976871.0295081977</v>
      </c>
      <c r="CC531" s="491">
        <v>18895680.000000004</v>
      </c>
      <c r="CD531" s="492">
        <v>67591680</v>
      </c>
      <c r="CE531" s="493">
        <f t="shared" si="36"/>
        <v>52544770.937704928</v>
      </c>
      <c r="CF531" s="493">
        <f t="shared" si="36"/>
        <v>0</v>
      </c>
      <c r="CG531" s="493">
        <f t="shared" si="36"/>
        <v>0</v>
      </c>
      <c r="CH531" s="493">
        <f t="shared" si="36"/>
        <v>0</v>
      </c>
      <c r="CI531" s="493">
        <f t="shared" si="36"/>
        <v>0</v>
      </c>
      <c r="CJ531" s="493">
        <f t="shared" si="35"/>
        <v>0</v>
      </c>
      <c r="CK531" s="493">
        <f t="shared" si="35"/>
        <v>0</v>
      </c>
      <c r="CL531" s="493">
        <f t="shared" si="35"/>
        <v>0</v>
      </c>
      <c r="CM531" s="493">
        <f t="shared" si="38"/>
        <v>0</v>
      </c>
      <c r="CN531" s="493">
        <f t="shared" si="38"/>
        <v>0</v>
      </c>
      <c r="CO531" s="493">
        <f t="shared" si="38"/>
        <v>15046909.062295081</v>
      </c>
    </row>
    <row r="532" spans="1:93" ht="30.45" hidden="1" customHeight="1">
      <c r="A532" s="555" t="s">
        <v>4963</v>
      </c>
      <c r="B532" s="479">
        <v>530</v>
      </c>
      <c r="C532" s="480" t="s">
        <v>6371</v>
      </c>
      <c r="D532" s="480" t="s">
        <v>4967</v>
      </c>
      <c r="E532" s="480" t="str">
        <f t="shared" si="37"/>
        <v xml:space="preserve">5.2.1 </v>
      </c>
      <c r="F532" s="480" t="s">
        <v>4968</v>
      </c>
      <c r="G532" s="480" t="s">
        <v>4969</v>
      </c>
      <c r="H532" s="481">
        <v>41</v>
      </c>
      <c r="I532" s="480" t="s">
        <v>4312</v>
      </c>
      <c r="J532" s="495">
        <v>410300900</v>
      </c>
      <c r="K532" s="480" t="s">
        <v>4008</v>
      </c>
      <c r="L532" s="480" t="s">
        <v>6635</v>
      </c>
      <c r="M532" s="480" t="s">
        <v>6113</v>
      </c>
      <c r="N532" s="499">
        <v>3500</v>
      </c>
      <c r="O532" s="480" t="s">
        <v>4966</v>
      </c>
      <c r="P532" s="518">
        <v>6500</v>
      </c>
      <c r="Q532" s="485" t="s">
        <v>5349</v>
      </c>
      <c r="R532" s="485" t="s">
        <v>5601</v>
      </c>
      <c r="S532" s="485" t="s">
        <v>677</v>
      </c>
      <c r="T532" s="485">
        <v>0.06</v>
      </c>
      <c r="U532" s="485" t="s">
        <v>4966</v>
      </c>
      <c r="V532" s="485">
        <v>0.08</v>
      </c>
      <c r="W532" s="485" t="s">
        <v>5602</v>
      </c>
      <c r="X532" s="485" t="s">
        <v>5603</v>
      </c>
      <c r="Y532" s="485" t="s">
        <v>5604</v>
      </c>
      <c r="Z532" s="486">
        <v>59806557.377049178</v>
      </c>
      <c r="AA532" s="486">
        <v>0</v>
      </c>
      <c r="AB532" s="486">
        <v>0</v>
      </c>
      <c r="AC532" s="486">
        <v>0</v>
      </c>
      <c r="AD532" s="486">
        <v>0</v>
      </c>
      <c r="AE532" s="486">
        <v>0</v>
      </c>
      <c r="AF532" s="486">
        <v>0</v>
      </c>
      <c r="AG532" s="486">
        <v>0</v>
      </c>
      <c r="AH532" s="487">
        <v>59806557.377049178</v>
      </c>
      <c r="AI532" s="486">
        <v>0</v>
      </c>
      <c r="AJ532" s="486">
        <v>0</v>
      </c>
      <c r="AK532" s="486">
        <v>12693442.622950822</v>
      </c>
      <c r="AL532" s="488">
        <v>12693442.622950822</v>
      </c>
      <c r="AM532" s="489">
        <v>72500000</v>
      </c>
      <c r="AN532" s="486">
        <v>62198819.672131151</v>
      </c>
      <c r="AO532" s="486">
        <v>0</v>
      </c>
      <c r="AP532" s="486">
        <v>0</v>
      </c>
      <c r="AQ532" s="486">
        <v>0</v>
      </c>
      <c r="AR532" s="486">
        <v>0</v>
      </c>
      <c r="AS532" s="486">
        <v>0</v>
      </c>
      <c r="AT532" s="486">
        <v>0</v>
      </c>
      <c r="AU532" s="486">
        <v>0</v>
      </c>
      <c r="AV532" s="487">
        <v>62198819.672131151</v>
      </c>
      <c r="AW532" s="486">
        <v>0</v>
      </c>
      <c r="AX532" s="486">
        <v>0</v>
      </c>
      <c r="AY532" s="486">
        <v>16101180.327868849</v>
      </c>
      <c r="AZ532" s="488">
        <v>16101180.327868849</v>
      </c>
      <c r="BA532" s="490">
        <v>78300000</v>
      </c>
      <c r="BB532" s="486">
        <v>64686772.459016398</v>
      </c>
      <c r="BC532" s="486">
        <v>0</v>
      </c>
      <c r="BD532" s="486">
        <v>0</v>
      </c>
      <c r="BE532" s="486">
        <v>0</v>
      </c>
      <c r="BF532" s="486">
        <v>0</v>
      </c>
      <c r="BG532" s="486">
        <v>0</v>
      </c>
      <c r="BH532" s="486">
        <v>0</v>
      </c>
      <c r="BI532" s="486">
        <v>0</v>
      </c>
      <c r="BJ532" s="487">
        <v>64686772.459016398</v>
      </c>
      <c r="BK532" s="486">
        <v>0</v>
      </c>
      <c r="BL532" s="486">
        <v>0</v>
      </c>
      <c r="BM532" s="486">
        <v>19877227.540983602</v>
      </c>
      <c r="BN532" s="488">
        <v>19877227.540983602</v>
      </c>
      <c r="BO532" s="490">
        <v>84564000</v>
      </c>
      <c r="BP532" s="486">
        <v>67274243.357377052</v>
      </c>
      <c r="BQ532" s="486">
        <v>0</v>
      </c>
      <c r="BR532" s="486">
        <v>0</v>
      </c>
      <c r="BS532" s="486">
        <v>0</v>
      </c>
      <c r="BT532" s="486">
        <v>0</v>
      </c>
      <c r="BU532" s="486">
        <v>0</v>
      </c>
      <c r="BV532" s="486">
        <v>0</v>
      </c>
      <c r="BW532" s="486">
        <v>0</v>
      </c>
      <c r="BX532" s="487">
        <v>67274243.357377052</v>
      </c>
      <c r="BY532" s="486">
        <v>0</v>
      </c>
      <c r="BZ532" s="486">
        <v>0</v>
      </c>
      <c r="CA532" s="486">
        <v>24054876.642622948</v>
      </c>
      <c r="CB532" s="488">
        <v>24054876.642622948</v>
      </c>
      <c r="CC532" s="491">
        <v>91329120</v>
      </c>
      <c r="CD532" s="492">
        <v>326693120</v>
      </c>
      <c r="CE532" s="493">
        <f t="shared" si="36"/>
        <v>253966392.86557376</v>
      </c>
      <c r="CF532" s="493">
        <f t="shared" si="36"/>
        <v>0</v>
      </c>
      <c r="CG532" s="493">
        <f t="shared" si="36"/>
        <v>0</v>
      </c>
      <c r="CH532" s="493">
        <f t="shared" si="36"/>
        <v>0</v>
      </c>
      <c r="CI532" s="493">
        <f t="shared" si="36"/>
        <v>0</v>
      </c>
      <c r="CJ532" s="493">
        <f t="shared" si="35"/>
        <v>0</v>
      </c>
      <c r="CK532" s="493">
        <f t="shared" si="35"/>
        <v>0</v>
      </c>
      <c r="CL532" s="493">
        <f t="shared" si="35"/>
        <v>0</v>
      </c>
      <c r="CM532" s="493">
        <f t="shared" si="38"/>
        <v>0</v>
      </c>
      <c r="CN532" s="493">
        <f t="shared" si="38"/>
        <v>0</v>
      </c>
      <c r="CO532" s="493">
        <f t="shared" si="38"/>
        <v>72726727.134426221</v>
      </c>
    </row>
    <row r="533" spans="1:93" ht="30.45" hidden="1" customHeight="1">
      <c r="A533" s="555" t="s">
        <v>4963</v>
      </c>
      <c r="B533" s="479">
        <v>531</v>
      </c>
      <c r="C533" s="480" t="s">
        <v>6371</v>
      </c>
      <c r="D533" s="480" t="s">
        <v>4967</v>
      </c>
      <c r="E533" s="480" t="str">
        <f t="shared" si="37"/>
        <v xml:space="preserve">5.2.1 </v>
      </c>
      <c r="F533" s="480" t="s">
        <v>4968</v>
      </c>
      <c r="G533" s="480" t="s">
        <v>4969</v>
      </c>
      <c r="H533" s="481">
        <v>41</v>
      </c>
      <c r="I533" s="480" t="s">
        <v>4242</v>
      </c>
      <c r="J533" s="495">
        <v>410205200</v>
      </c>
      <c r="K533" s="480" t="s">
        <v>4970</v>
      </c>
      <c r="L533" s="480" t="s">
        <v>6636</v>
      </c>
      <c r="M533" s="480" t="s">
        <v>6114</v>
      </c>
      <c r="N533" s="499">
        <v>6000</v>
      </c>
      <c r="O533" s="480" t="s">
        <v>4966</v>
      </c>
      <c r="P533" s="518">
        <v>11000</v>
      </c>
      <c r="Q533" s="485" t="s">
        <v>5349</v>
      </c>
      <c r="R533" s="485" t="s">
        <v>5601</v>
      </c>
      <c r="S533" s="485" t="s">
        <v>677</v>
      </c>
      <c r="T533" s="485">
        <v>0.06</v>
      </c>
      <c r="U533" s="485" t="s">
        <v>4966</v>
      </c>
      <c r="V533" s="485">
        <v>0.08</v>
      </c>
      <c r="W533" s="485" t="s">
        <v>5602</v>
      </c>
      <c r="X533" s="485" t="s">
        <v>5603</v>
      </c>
      <c r="Y533" s="485" t="s">
        <v>5604</v>
      </c>
      <c r="Z533" s="486">
        <v>51557377.049180329</v>
      </c>
      <c r="AA533" s="486">
        <v>0</v>
      </c>
      <c r="AB533" s="486">
        <v>0</v>
      </c>
      <c r="AC533" s="486">
        <v>0</v>
      </c>
      <c r="AD533" s="486">
        <v>0</v>
      </c>
      <c r="AE533" s="486">
        <v>0</v>
      </c>
      <c r="AF533" s="486">
        <v>0</v>
      </c>
      <c r="AG533" s="486">
        <v>0</v>
      </c>
      <c r="AH533" s="487">
        <v>51557377.049180329</v>
      </c>
      <c r="AI533" s="486">
        <v>0</v>
      </c>
      <c r="AJ533" s="486">
        <v>0</v>
      </c>
      <c r="AK533" s="486">
        <v>10942622.950819671</v>
      </c>
      <c r="AL533" s="488">
        <v>10942622.950819671</v>
      </c>
      <c r="AM533" s="489">
        <v>62500000</v>
      </c>
      <c r="AN533" s="486">
        <v>53619672.131147541</v>
      </c>
      <c r="AO533" s="486">
        <v>0</v>
      </c>
      <c r="AP533" s="486">
        <v>0</v>
      </c>
      <c r="AQ533" s="486">
        <v>0</v>
      </c>
      <c r="AR533" s="486">
        <v>0</v>
      </c>
      <c r="AS533" s="486">
        <v>0</v>
      </c>
      <c r="AT533" s="486">
        <v>0</v>
      </c>
      <c r="AU533" s="486">
        <v>0</v>
      </c>
      <c r="AV533" s="487">
        <v>53619672.131147541</v>
      </c>
      <c r="AW533" s="486">
        <v>0</v>
      </c>
      <c r="AX533" s="486">
        <v>0</v>
      </c>
      <c r="AY533" s="486">
        <v>13880327.868852459</v>
      </c>
      <c r="AZ533" s="488">
        <v>13880327.868852459</v>
      </c>
      <c r="BA533" s="490">
        <v>67500000</v>
      </c>
      <c r="BB533" s="486">
        <v>55764459.016393445</v>
      </c>
      <c r="BC533" s="486">
        <v>0</v>
      </c>
      <c r="BD533" s="486">
        <v>0</v>
      </c>
      <c r="BE533" s="486">
        <v>0</v>
      </c>
      <c r="BF533" s="486">
        <v>0</v>
      </c>
      <c r="BG533" s="486">
        <v>0</v>
      </c>
      <c r="BH533" s="486">
        <v>0</v>
      </c>
      <c r="BI533" s="486">
        <v>0</v>
      </c>
      <c r="BJ533" s="487">
        <v>55764459.016393445</v>
      </c>
      <c r="BK533" s="486">
        <v>0</v>
      </c>
      <c r="BL533" s="486">
        <v>0</v>
      </c>
      <c r="BM533" s="486">
        <v>17135540.983606555</v>
      </c>
      <c r="BN533" s="488">
        <v>17135540.983606555</v>
      </c>
      <c r="BO533" s="490">
        <v>72900000</v>
      </c>
      <c r="BP533" s="486">
        <v>57995037.377049178</v>
      </c>
      <c r="BQ533" s="486">
        <v>0</v>
      </c>
      <c r="BR533" s="486">
        <v>0</v>
      </c>
      <c r="BS533" s="486">
        <v>0</v>
      </c>
      <c r="BT533" s="486">
        <v>0</v>
      </c>
      <c r="BU533" s="486">
        <v>0</v>
      </c>
      <c r="BV533" s="486">
        <v>0</v>
      </c>
      <c r="BW533" s="486">
        <v>0</v>
      </c>
      <c r="BX533" s="487">
        <v>57995037.377049178</v>
      </c>
      <c r="BY533" s="486">
        <v>0</v>
      </c>
      <c r="BZ533" s="486">
        <v>0</v>
      </c>
      <c r="CA533" s="486">
        <v>20736962.622950822</v>
      </c>
      <c r="CB533" s="488">
        <v>20736962.622950822</v>
      </c>
      <c r="CC533" s="491">
        <v>78732000</v>
      </c>
      <c r="CD533" s="492">
        <v>281632000</v>
      </c>
      <c r="CE533" s="493">
        <f t="shared" si="36"/>
        <v>218936545.57377049</v>
      </c>
      <c r="CF533" s="493">
        <f t="shared" si="36"/>
        <v>0</v>
      </c>
      <c r="CG533" s="493">
        <f t="shared" si="36"/>
        <v>0</v>
      </c>
      <c r="CH533" s="493">
        <f t="shared" si="36"/>
        <v>0</v>
      </c>
      <c r="CI533" s="493">
        <f t="shared" si="36"/>
        <v>0</v>
      </c>
      <c r="CJ533" s="493">
        <f t="shared" si="35"/>
        <v>0</v>
      </c>
      <c r="CK533" s="493">
        <f t="shared" si="35"/>
        <v>0</v>
      </c>
      <c r="CL533" s="493">
        <f t="shared" si="35"/>
        <v>0</v>
      </c>
      <c r="CM533" s="493">
        <f t="shared" si="38"/>
        <v>0</v>
      </c>
      <c r="CN533" s="493">
        <f t="shared" si="38"/>
        <v>0</v>
      </c>
      <c r="CO533" s="493">
        <f t="shared" si="38"/>
        <v>62695454.426229507</v>
      </c>
    </row>
    <row r="534" spans="1:93" ht="30.45" hidden="1" customHeight="1">
      <c r="A534" s="555" t="s">
        <v>4963</v>
      </c>
      <c r="B534" s="479">
        <v>532</v>
      </c>
      <c r="C534" s="480" t="s">
        <v>6371</v>
      </c>
      <c r="D534" s="480" t="s">
        <v>4967</v>
      </c>
      <c r="E534" s="480" t="str">
        <f t="shared" si="37"/>
        <v xml:space="preserve">5.2.1 </v>
      </c>
      <c r="F534" s="480" t="s">
        <v>4968</v>
      </c>
      <c r="G534" s="480" t="s">
        <v>4969</v>
      </c>
      <c r="H534" s="481">
        <v>41</v>
      </c>
      <c r="I534" s="480" t="s">
        <v>4242</v>
      </c>
      <c r="J534" s="495">
        <v>410204500</v>
      </c>
      <c r="K534" s="480" t="s">
        <v>4008</v>
      </c>
      <c r="L534" s="480" t="s">
        <v>6527</v>
      </c>
      <c r="M534" s="480" t="s">
        <v>6115</v>
      </c>
      <c r="N534" s="499">
        <v>5000</v>
      </c>
      <c r="O534" s="480" t="s">
        <v>4966</v>
      </c>
      <c r="P534" s="515" t="s">
        <v>4971</v>
      </c>
      <c r="Q534" s="485" t="s">
        <v>5349</v>
      </c>
      <c r="R534" s="485" t="s">
        <v>5601</v>
      </c>
      <c r="S534" s="485" t="s">
        <v>677</v>
      </c>
      <c r="T534" s="485">
        <v>0.06</v>
      </c>
      <c r="U534" s="485" t="s">
        <v>4966</v>
      </c>
      <c r="V534" s="485">
        <v>0.08</v>
      </c>
      <c r="W534" s="485" t="s">
        <v>5602</v>
      </c>
      <c r="X534" s="485" t="s">
        <v>5603</v>
      </c>
      <c r="Y534" s="485" t="s">
        <v>5604</v>
      </c>
      <c r="Z534" s="486">
        <v>51557377.049180329</v>
      </c>
      <c r="AA534" s="486">
        <v>0</v>
      </c>
      <c r="AB534" s="486">
        <v>0</v>
      </c>
      <c r="AC534" s="486">
        <v>0</v>
      </c>
      <c r="AD534" s="486">
        <v>0</v>
      </c>
      <c r="AE534" s="486">
        <v>0</v>
      </c>
      <c r="AF534" s="486">
        <v>0</v>
      </c>
      <c r="AG534" s="486">
        <v>0</v>
      </c>
      <c r="AH534" s="487">
        <v>51557377.049180329</v>
      </c>
      <c r="AI534" s="486">
        <v>0</v>
      </c>
      <c r="AJ534" s="486">
        <v>0</v>
      </c>
      <c r="AK534" s="486">
        <v>10942622.950819671</v>
      </c>
      <c r="AL534" s="488">
        <v>10942622.950819671</v>
      </c>
      <c r="AM534" s="489">
        <v>62500000</v>
      </c>
      <c r="AN534" s="486">
        <v>53619672.131147541</v>
      </c>
      <c r="AO534" s="486">
        <v>0</v>
      </c>
      <c r="AP534" s="486">
        <v>0</v>
      </c>
      <c r="AQ534" s="486">
        <v>0</v>
      </c>
      <c r="AR534" s="486">
        <v>0</v>
      </c>
      <c r="AS534" s="486">
        <v>0</v>
      </c>
      <c r="AT534" s="486">
        <v>0</v>
      </c>
      <c r="AU534" s="486">
        <v>0</v>
      </c>
      <c r="AV534" s="487">
        <v>53619672.131147541</v>
      </c>
      <c r="AW534" s="486">
        <v>0</v>
      </c>
      <c r="AX534" s="486">
        <v>0</v>
      </c>
      <c r="AY534" s="486">
        <v>13880327.868852459</v>
      </c>
      <c r="AZ534" s="488">
        <v>13880327.868852459</v>
      </c>
      <c r="BA534" s="490">
        <v>67500000</v>
      </c>
      <c r="BB534" s="486">
        <v>55764459.016393445</v>
      </c>
      <c r="BC534" s="486">
        <v>0</v>
      </c>
      <c r="BD534" s="486">
        <v>0</v>
      </c>
      <c r="BE534" s="486">
        <v>0</v>
      </c>
      <c r="BF534" s="486">
        <v>0</v>
      </c>
      <c r="BG534" s="486">
        <v>0</v>
      </c>
      <c r="BH534" s="486">
        <v>0</v>
      </c>
      <c r="BI534" s="486">
        <v>0</v>
      </c>
      <c r="BJ534" s="487">
        <v>55764459.016393445</v>
      </c>
      <c r="BK534" s="486">
        <v>0</v>
      </c>
      <c r="BL534" s="486">
        <v>0</v>
      </c>
      <c r="BM534" s="486">
        <v>17135540.983606555</v>
      </c>
      <c r="BN534" s="488">
        <v>17135540.983606555</v>
      </c>
      <c r="BO534" s="490">
        <v>72900000</v>
      </c>
      <c r="BP534" s="486">
        <v>57995037.377049178</v>
      </c>
      <c r="BQ534" s="486">
        <v>0</v>
      </c>
      <c r="BR534" s="486">
        <v>0</v>
      </c>
      <c r="BS534" s="486">
        <v>0</v>
      </c>
      <c r="BT534" s="486">
        <v>0</v>
      </c>
      <c r="BU534" s="486">
        <v>0</v>
      </c>
      <c r="BV534" s="486">
        <v>0</v>
      </c>
      <c r="BW534" s="486">
        <v>0</v>
      </c>
      <c r="BX534" s="487">
        <v>57995037.377049178</v>
      </c>
      <c r="BY534" s="486">
        <v>0</v>
      </c>
      <c r="BZ534" s="486">
        <v>0</v>
      </c>
      <c r="CA534" s="486">
        <v>20736962.622950822</v>
      </c>
      <c r="CB534" s="488">
        <v>20736962.622950822</v>
      </c>
      <c r="CC534" s="491">
        <v>78732000</v>
      </c>
      <c r="CD534" s="492">
        <v>281632000</v>
      </c>
      <c r="CE534" s="493">
        <f t="shared" si="36"/>
        <v>218936545.57377049</v>
      </c>
      <c r="CF534" s="493">
        <f t="shared" si="36"/>
        <v>0</v>
      </c>
      <c r="CG534" s="493">
        <f t="shared" si="36"/>
        <v>0</v>
      </c>
      <c r="CH534" s="493">
        <f t="shared" si="36"/>
        <v>0</v>
      </c>
      <c r="CI534" s="493">
        <f t="shared" si="36"/>
        <v>0</v>
      </c>
      <c r="CJ534" s="493">
        <f t="shared" si="35"/>
        <v>0</v>
      </c>
      <c r="CK534" s="493">
        <f t="shared" si="35"/>
        <v>0</v>
      </c>
      <c r="CL534" s="493">
        <f t="shared" si="35"/>
        <v>0</v>
      </c>
      <c r="CM534" s="493">
        <f t="shared" si="38"/>
        <v>0</v>
      </c>
      <c r="CN534" s="493">
        <f t="shared" si="38"/>
        <v>0</v>
      </c>
      <c r="CO534" s="493">
        <f t="shared" si="38"/>
        <v>62695454.426229507</v>
      </c>
    </row>
    <row r="535" spans="1:93" ht="30.45" hidden="1" customHeight="1">
      <c r="A535" s="555" t="s">
        <v>4963</v>
      </c>
      <c r="B535" s="479">
        <v>533</v>
      </c>
      <c r="C535" s="480" t="s">
        <v>6371</v>
      </c>
      <c r="D535" s="480" t="s">
        <v>4967</v>
      </c>
      <c r="E535" s="480" t="str">
        <f t="shared" si="37"/>
        <v xml:space="preserve">5.2.1 </v>
      </c>
      <c r="F535" s="480" t="s">
        <v>4968</v>
      </c>
      <c r="G535" s="480" t="s">
        <v>4969</v>
      </c>
      <c r="H535" s="481">
        <v>41</v>
      </c>
      <c r="I535" s="480" t="s">
        <v>4242</v>
      </c>
      <c r="J535" s="495">
        <v>410205200</v>
      </c>
      <c r="K535" s="480" t="s">
        <v>4970</v>
      </c>
      <c r="L535" s="480" t="s">
        <v>6637</v>
      </c>
      <c r="M535" s="480" t="s">
        <v>6116</v>
      </c>
      <c r="N535" s="499">
        <v>500</v>
      </c>
      <c r="O535" s="480" t="s">
        <v>4972</v>
      </c>
      <c r="P535" s="518">
        <v>2500</v>
      </c>
      <c r="Q535" s="485" t="s">
        <v>5349</v>
      </c>
      <c r="R535" s="485" t="s">
        <v>5601</v>
      </c>
      <c r="S535" s="485" t="s">
        <v>677</v>
      </c>
      <c r="T535" s="485">
        <v>0.06</v>
      </c>
      <c r="U535" s="485" t="s">
        <v>4966</v>
      </c>
      <c r="V535" s="485">
        <v>0.08</v>
      </c>
      <c r="W535" s="485" t="s">
        <v>5602</v>
      </c>
      <c r="X535" s="485" t="s">
        <v>5603</v>
      </c>
      <c r="Y535" s="485" t="s">
        <v>5604</v>
      </c>
      <c r="Z535" s="486">
        <v>57744262.295081966</v>
      </c>
      <c r="AA535" s="486">
        <v>0</v>
      </c>
      <c r="AB535" s="486">
        <v>0</v>
      </c>
      <c r="AC535" s="486">
        <v>0</v>
      </c>
      <c r="AD535" s="486">
        <v>0</v>
      </c>
      <c r="AE535" s="486">
        <v>0</v>
      </c>
      <c r="AF535" s="486">
        <v>0</v>
      </c>
      <c r="AG535" s="486">
        <v>0</v>
      </c>
      <c r="AH535" s="487">
        <v>57744262.295081966</v>
      </c>
      <c r="AI535" s="486">
        <v>0</v>
      </c>
      <c r="AJ535" s="486">
        <v>0</v>
      </c>
      <c r="AK535" s="486">
        <v>12255737.704918034</v>
      </c>
      <c r="AL535" s="488">
        <v>12255737.704918034</v>
      </c>
      <c r="AM535" s="489">
        <v>70000000</v>
      </c>
      <c r="AN535" s="486">
        <v>60054032.786885247</v>
      </c>
      <c r="AO535" s="486">
        <v>0</v>
      </c>
      <c r="AP535" s="486">
        <v>0</v>
      </c>
      <c r="AQ535" s="486">
        <v>0</v>
      </c>
      <c r="AR535" s="486">
        <v>0</v>
      </c>
      <c r="AS535" s="486">
        <v>0</v>
      </c>
      <c r="AT535" s="486">
        <v>0</v>
      </c>
      <c r="AU535" s="486">
        <v>0</v>
      </c>
      <c r="AV535" s="487">
        <v>60054032.786885247</v>
      </c>
      <c r="AW535" s="486">
        <v>0</v>
      </c>
      <c r="AX535" s="486">
        <v>0</v>
      </c>
      <c r="AY535" s="486">
        <v>15545967.213114753</v>
      </c>
      <c r="AZ535" s="488">
        <v>15545967.213114753</v>
      </c>
      <c r="BA535" s="490">
        <v>75600000</v>
      </c>
      <c r="BB535" s="486">
        <v>62456194.098360658</v>
      </c>
      <c r="BC535" s="486">
        <v>0</v>
      </c>
      <c r="BD535" s="486">
        <v>0</v>
      </c>
      <c r="BE535" s="486">
        <v>0</v>
      </c>
      <c r="BF535" s="486">
        <v>0</v>
      </c>
      <c r="BG535" s="486">
        <v>0</v>
      </c>
      <c r="BH535" s="486">
        <v>0</v>
      </c>
      <c r="BI535" s="486">
        <v>0</v>
      </c>
      <c r="BJ535" s="487">
        <v>62456194.098360658</v>
      </c>
      <c r="BK535" s="486">
        <v>0</v>
      </c>
      <c r="BL535" s="486">
        <v>0</v>
      </c>
      <c r="BM535" s="486">
        <v>19191805.901639342</v>
      </c>
      <c r="BN535" s="488">
        <v>19191805.901639342</v>
      </c>
      <c r="BO535" s="490">
        <v>81648000</v>
      </c>
      <c r="BP535" s="486">
        <v>64954441.862295076</v>
      </c>
      <c r="BQ535" s="486">
        <v>0</v>
      </c>
      <c r="BR535" s="486">
        <v>0</v>
      </c>
      <c r="BS535" s="486">
        <v>0</v>
      </c>
      <c r="BT535" s="486">
        <v>0</v>
      </c>
      <c r="BU535" s="486">
        <v>0</v>
      </c>
      <c r="BV535" s="486">
        <v>0</v>
      </c>
      <c r="BW535" s="486">
        <v>0</v>
      </c>
      <c r="BX535" s="487">
        <v>64954441.862295076</v>
      </c>
      <c r="BY535" s="486">
        <v>0</v>
      </c>
      <c r="BZ535" s="486">
        <v>0</v>
      </c>
      <c r="CA535" s="486">
        <v>23225398.137704924</v>
      </c>
      <c r="CB535" s="488">
        <v>23225398.137704924</v>
      </c>
      <c r="CC535" s="491">
        <v>88179840</v>
      </c>
      <c r="CD535" s="492">
        <v>315427840</v>
      </c>
      <c r="CE535" s="493">
        <f t="shared" si="36"/>
        <v>245208931.04262292</v>
      </c>
      <c r="CF535" s="493">
        <f t="shared" si="36"/>
        <v>0</v>
      </c>
      <c r="CG535" s="493">
        <f t="shared" si="36"/>
        <v>0</v>
      </c>
      <c r="CH535" s="493">
        <f t="shared" si="36"/>
        <v>0</v>
      </c>
      <c r="CI535" s="493">
        <f t="shared" si="36"/>
        <v>0</v>
      </c>
      <c r="CJ535" s="493">
        <f t="shared" si="35"/>
        <v>0</v>
      </c>
      <c r="CK535" s="493">
        <f t="shared" si="35"/>
        <v>0</v>
      </c>
      <c r="CL535" s="493">
        <f t="shared" si="35"/>
        <v>0</v>
      </c>
      <c r="CM535" s="493">
        <f t="shared" si="38"/>
        <v>0</v>
      </c>
      <c r="CN535" s="493">
        <f t="shared" si="38"/>
        <v>0</v>
      </c>
      <c r="CO535" s="493">
        <f t="shared" si="38"/>
        <v>70218908.957377046</v>
      </c>
    </row>
    <row r="536" spans="1:93" ht="30.45" hidden="1" customHeight="1">
      <c r="A536" s="555" t="s">
        <v>4963</v>
      </c>
      <c r="B536" s="479">
        <v>534</v>
      </c>
      <c r="C536" s="480" t="s">
        <v>6371</v>
      </c>
      <c r="D536" s="480" t="s">
        <v>4967</v>
      </c>
      <c r="E536" s="480" t="str">
        <f t="shared" si="37"/>
        <v xml:space="preserve">5.2.1 </v>
      </c>
      <c r="F536" s="480" t="s">
        <v>4968</v>
      </c>
      <c r="G536" s="480" t="s">
        <v>4969</v>
      </c>
      <c r="H536" s="481">
        <v>41</v>
      </c>
      <c r="I536" s="480" t="s">
        <v>4312</v>
      </c>
      <c r="J536" s="495">
        <v>410300900</v>
      </c>
      <c r="K536" s="480" t="s">
        <v>4536</v>
      </c>
      <c r="L536" s="480" t="s">
        <v>6635</v>
      </c>
      <c r="M536" s="480" t="s">
        <v>6117</v>
      </c>
      <c r="N536" s="499">
        <v>2600</v>
      </c>
      <c r="O536" s="480" t="s">
        <v>4966</v>
      </c>
      <c r="P536" s="515">
        <v>5000</v>
      </c>
      <c r="Q536" s="485" t="s">
        <v>5349</v>
      </c>
      <c r="R536" s="485" t="s">
        <v>5601</v>
      </c>
      <c r="S536" s="485" t="s">
        <v>677</v>
      </c>
      <c r="T536" s="485">
        <v>0.06</v>
      </c>
      <c r="U536" s="485" t="s">
        <v>4966</v>
      </c>
      <c r="V536" s="485">
        <v>0.08</v>
      </c>
      <c r="W536" s="485" t="s">
        <v>5602</v>
      </c>
      <c r="X536" s="485" t="s">
        <v>5603</v>
      </c>
      <c r="Y536" s="485" t="s">
        <v>5604</v>
      </c>
      <c r="Z536" s="486">
        <v>32996721.311475411</v>
      </c>
      <c r="AA536" s="486">
        <v>0</v>
      </c>
      <c r="AB536" s="486">
        <v>0</v>
      </c>
      <c r="AC536" s="486">
        <v>0</v>
      </c>
      <c r="AD536" s="486">
        <v>0</v>
      </c>
      <c r="AE536" s="486">
        <v>0</v>
      </c>
      <c r="AF536" s="486">
        <v>0</v>
      </c>
      <c r="AG536" s="486">
        <v>0</v>
      </c>
      <c r="AH536" s="487">
        <v>32996721.311475411</v>
      </c>
      <c r="AI536" s="486">
        <v>0</v>
      </c>
      <c r="AJ536" s="486">
        <v>0</v>
      </c>
      <c r="AK536" s="486">
        <v>7003278.6885245889</v>
      </c>
      <c r="AL536" s="488">
        <v>7003278.6885245889</v>
      </c>
      <c r="AM536" s="489">
        <v>40000000</v>
      </c>
      <c r="AN536" s="486">
        <v>34316590.163934425</v>
      </c>
      <c r="AO536" s="486">
        <v>0</v>
      </c>
      <c r="AP536" s="486">
        <v>0</v>
      </c>
      <c r="AQ536" s="486">
        <v>0</v>
      </c>
      <c r="AR536" s="486">
        <v>0</v>
      </c>
      <c r="AS536" s="486">
        <v>0</v>
      </c>
      <c r="AT536" s="486">
        <v>0</v>
      </c>
      <c r="AU536" s="486">
        <v>0</v>
      </c>
      <c r="AV536" s="487">
        <v>34316590.163934425</v>
      </c>
      <c r="AW536" s="486">
        <v>0</v>
      </c>
      <c r="AX536" s="486">
        <v>0</v>
      </c>
      <c r="AY536" s="486">
        <v>8883409.8360655755</v>
      </c>
      <c r="AZ536" s="488">
        <v>8883409.8360655755</v>
      </c>
      <c r="BA536" s="490">
        <v>43200000</v>
      </c>
      <c r="BB536" s="486">
        <v>35689253.770491801</v>
      </c>
      <c r="BC536" s="486">
        <v>0</v>
      </c>
      <c r="BD536" s="486">
        <v>0</v>
      </c>
      <c r="BE536" s="486">
        <v>0</v>
      </c>
      <c r="BF536" s="486">
        <v>0</v>
      </c>
      <c r="BG536" s="486">
        <v>0</v>
      </c>
      <c r="BH536" s="486">
        <v>0</v>
      </c>
      <c r="BI536" s="486">
        <v>0</v>
      </c>
      <c r="BJ536" s="487">
        <v>35689253.770491801</v>
      </c>
      <c r="BK536" s="486">
        <v>0</v>
      </c>
      <c r="BL536" s="486">
        <v>0</v>
      </c>
      <c r="BM536" s="486">
        <v>10966746.229508199</v>
      </c>
      <c r="BN536" s="488">
        <v>10966746.229508199</v>
      </c>
      <c r="BO536" s="490">
        <v>46656000</v>
      </c>
      <c r="BP536" s="486">
        <v>37116823.921311475</v>
      </c>
      <c r="BQ536" s="486">
        <v>0</v>
      </c>
      <c r="BR536" s="486">
        <v>0</v>
      </c>
      <c r="BS536" s="486">
        <v>0</v>
      </c>
      <c r="BT536" s="486">
        <v>0</v>
      </c>
      <c r="BU536" s="486">
        <v>0</v>
      </c>
      <c r="BV536" s="486">
        <v>0</v>
      </c>
      <c r="BW536" s="486">
        <v>0</v>
      </c>
      <c r="BX536" s="487">
        <v>37116823.921311475</v>
      </c>
      <c r="BY536" s="486">
        <v>0</v>
      </c>
      <c r="BZ536" s="486">
        <v>0</v>
      </c>
      <c r="CA536" s="486">
        <v>13271656.078688525</v>
      </c>
      <c r="CB536" s="488">
        <v>13271656.078688525</v>
      </c>
      <c r="CC536" s="491">
        <v>50388480</v>
      </c>
      <c r="CD536" s="492">
        <v>180244480</v>
      </c>
      <c r="CE536" s="493">
        <f t="shared" si="36"/>
        <v>140119389.16721311</v>
      </c>
      <c r="CF536" s="493">
        <f t="shared" si="36"/>
        <v>0</v>
      </c>
      <c r="CG536" s="493">
        <f t="shared" si="36"/>
        <v>0</v>
      </c>
      <c r="CH536" s="493">
        <f t="shared" si="36"/>
        <v>0</v>
      </c>
      <c r="CI536" s="493">
        <f t="shared" si="36"/>
        <v>0</v>
      </c>
      <c r="CJ536" s="493">
        <f t="shared" si="35"/>
        <v>0</v>
      </c>
      <c r="CK536" s="493">
        <f t="shared" si="35"/>
        <v>0</v>
      </c>
      <c r="CL536" s="493">
        <f t="shared" si="35"/>
        <v>0</v>
      </c>
      <c r="CM536" s="493">
        <f t="shared" si="38"/>
        <v>0</v>
      </c>
      <c r="CN536" s="493">
        <f t="shared" si="38"/>
        <v>0</v>
      </c>
      <c r="CO536" s="493">
        <f t="shared" si="38"/>
        <v>40125090.832786888</v>
      </c>
    </row>
    <row r="537" spans="1:93" ht="30.45" hidden="1" customHeight="1">
      <c r="A537" s="555" t="s">
        <v>4963</v>
      </c>
      <c r="B537" s="479">
        <v>535</v>
      </c>
      <c r="C537" s="480" t="s">
        <v>6371</v>
      </c>
      <c r="D537" s="480" t="s">
        <v>4967</v>
      </c>
      <c r="E537" s="480" t="str">
        <f t="shared" si="37"/>
        <v xml:space="preserve">5.2.1 </v>
      </c>
      <c r="F537" s="480" t="s">
        <v>4968</v>
      </c>
      <c r="G537" s="480" t="s">
        <v>4969</v>
      </c>
      <c r="H537" s="481">
        <v>41</v>
      </c>
      <c r="I537" s="480" t="s">
        <v>4242</v>
      </c>
      <c r="J537" s="495">
        <v>410204700</v>
      </c>
      <c r="K537" s="480" t="s">
        <v>6638</v>
      </c>
      <c r="L537" s="480" t="s">
        <v>4244</v>
      </c>
      <c r="M537" s="480" t="s">
        <v>6118</v>
      </c>
      <c r="N537" s="499">
        <v>124</v>
      </c>
      <c r="O537" s="480" t="s">
        <v>4966</v>
      </c>
      <c r="P537" s="515">
        <v>124</v>
      </c>
      <c r="Q537" s="485" t="s">
        <v>5349</v>
      </c>
      <c r="R537" s="485" t="s">
        <v>5601</v>
      </c>
      <c r="S537" s="485" t="s">
        <v>677</v>
      </c>
      <c r="T537" s="485">
        <v>0.06</v>
      </c>
      <c r="U537" s="485" t="s">
        <v>4966</v>
      </c>
      <c r="V537" s="485">
        <v>0.08</v>
      </c>
      <c r="W537" s="485" t="s">
        <v>5602</v>
      </c>
      <c r="X537" s="485" t="s">
        <v>5603</v>
      </c>
      <c r="Y537" s="485" t="s">
        <v>5604</v>
      </c>
      <c r="Z537" s="486">
        <v>57744262.295081966</v>
      </c>
      <c r="AA537" s="486">
        <v>0</v>
      </c>
      <c r="AB537" s="486">
        <v>0</v>
      </c>
      <c r="AC537" s="486">
        <v>0</v>
      </c>
      <c r="AD537" s="486">
        <v>0</v>
      </c>
      <c r="AE537" s="486">
        <v>0</v>
      </c>
      <c r="AF537" s="486">
        <v>0</v>
      </c>
      <c r="AG537" s="486">
        <v>0</v>
      </c>
      <c r="AH537" s="487">
        <v>57744262.295081966</v>
      </c>
      <c r="AI537" s="486">
        <v>0</v>
      </c>
      <c r="AJ537" s="486">
        <v>0</v>
      </c>
      <c r="AK537" s="486">
        <v>12255737.704918034</v>
      </c>
      <c r="AL537" s="488">
        <v>12255737.704918034</v>
      </c>
      <c r="AM537" s="489">
        <v>70000000</v>
      </c>
      <c r="AN537" s="486">
        <v>60054032.786885247</v>
      </c>
      <c r="AO537" s="486">
        <v>0</v>
      </c>
      <c r="AP537" s="486">
        <v>0</v>
      </c>
      <c r="AQ537" s="486">
        <v>0</v>
      </c>
      <c r="AR537" s="486">
        <v>0</v>
      </c>
      <c r="AS537" s="486">
        <v>0</v>
      </c>
      <c r="AT537" s="486">
        <v>0</v>
      </c>
      <c r="AU537" s="486">
        <v>0</v>
      </c>
      <c r="AV537" s="487">
        <v>60054032.786885247</v>
      </c>
      <c r="AW537" s="486">
        <v>0</v>
      </c>
      <c r="AX537" s="486">
        <v>0</v>
      </c>
      <c r="AY537" s="486">
        <v>15545967.213114753</v>
      </c>
      <c r="AZ537" s="488">
        <v>15545967.213114753</v>
      </c>
      <c r="BA537" s="490">
        <v>75600000</v>
      </c>
      <c r="BB537" s="486">
        <v>62456194.098360658</v>
      </c>
      <c r="BC537" s="486">
        <v>0</v>
      </c>
      <c r="BD537" s="486">
        <v>0</v>
      </c>
      <c r="BE537" s="486">
        <v>0</v>
      </c>
      <c r="BF537" s="486">
        <v>0</v>
      </c>
      <c r="BG537" s="486">
        <v>0</v>
      </c>
      <c r="BH537" s="486">
        <v>0</v>
      </c>
      <c r="BI537" s="486">
        <v>0</v>
      </c>
      <c r="BJ537" s="487">
        <v>62456194.098360658</v>
      </c>
      <c r="BK537" s="486">
        <v>0</v>
      </c>
      <c r="BL537" s="486">
        <v>0</v>
      </c>
      <c r="BM537" s="486">
        <v>19191805.901639342</v>
      </c>
      <c r="BN537" s="488">
        <v>19191805.901639342</v>
      </c>
      <c r="BO537" s="490">
        <v>81648000</v>
      </c>
      <c r="BP537" s="486">
        <v>64954441.862295076</v>
      </c>
      <c r="BQ537" s="486">
        <v>0</v>
      </c>
      <c r="BR537" s="486">
        <v>0</v>
      </c>
      <c r="BS537" s="486">
        <v>0</v>
      </c>
      <c r="BT537" s="486">
        <v>0</v>
      </c>
      <c r="BU537" s="486">
        <v>0</v>
      </c>
      <c r="BV537" s="486">
        <v>0</v>
      </c>
      <c r="BW537" s="486">
        <v>0</v>
      </c>
      <c r="BX537" s="487">
        <v>64954441.862295076</v>
      </c>
      <c r="BY537" s="486">
        <v>0</v>
      </c>
      <c r="BZ537" s="486">
        <v>0</v>
      </c>
      <c r="CA537" s="486">
        <v>23225398.137704924</v>
      </c>
      <c r="CB537" s="488">
        <v>23225398.137704924</v>
      </c>
      <c r="CC537" s="491">
        <v>88179840</v>
      </c>
      <c r="CD537" s="492">
        <v>315427840</v>
      </c>
      <c r="CE537" s="493">
        <f t="shared" si="36"/>
        <v>245208931.04262292</v>
      </c>
      <c r="CF537" s="493">
        <f t="shared" si="36"/>
        <v>0</v>
      </c>
      <c r="CG537" s="493">
        <f t="shared" si="36"/>
        <v>0</v>
      </c>
      <c r="CH537" s="493">
        <f t="shared" si="36"/>
        <v>0</v>
      </c>
      <c r="CI537" s="493">
        <f t="shared" si="36"/>
        <v>0</v>
      </c>
      <c r="CJ537" s="493">
        <f t="shared" si="35"/>
        <v>0</v>
      </c>
      <c r="CK537" s="493">
        <f t="shared" si="35"/>
        <v>0</v>
      </c>
      <c r="CL537" s="493">
        <f t="shared" si="35"/>
        <v>0</v>
      </c>
      <c r="CM537" s="493">
        <f t="shared" si="38"/>
        <v>0</v>
      </c>
      <c r="CN537" s="493">
        <f t="shared" si="38"/>
        <v>0</v>
      </c>
      <c r="CO537" s="493">
        <f t="shared" si="38"/>
        <v>70218908.957377046</v>
      </c>
    </row>
    <row r="538" spans="1:93" ht="30.45" hidden="1" customHeight="1">
      <c r="A538" s="555" t="s">
        <v>4963</v>
      </c>
      <c r="B538" s="479">
        <v>536</v>
      </c>
      <c r="C538" s="480" t="s">
        <v>6371</v>
      </c>
      <c r="D538" s="480" t="s">
        <v>4967</v>
      </c>
      <c r="E538" s="480" t="str">
        <f t="shared" si="37"/>
        <v xml:space="preserve">5.2.1 </v>
      </c>
      <c r="F538" s="480" t="s">
        <v>4968</v>
      </c>
      <c r="G538" s="480" t="s">
        <v>4969</v>
      </c>
      <c r="H538" s="481">
        <v>41</v>
      </c>
      <c r="I538" s="480" t="s">
        <v>4242</v>
      </c>
      <c r="J538" s="495">
        <v>410204600</v>
      </c>
      <c r="K538" s="480" t="s">
        <v>4763</v>
      </c>
      <c r="L538" s="480" t="s">
        <v>4961</v>
      </c>
      <c r="M538" s="480" t="s">
        <v>6119</v>
      </c>
      <c r="N538" s="499">
        <v>8</v>
      </c>
      <c r="O538" s="480" t="s">
        <v>4966</v>
      </c>
      <c r="P538" s="515">
        <v>8</v>
      </c>
      <c r="Q538" s="485" t="s">
        <v>5349</v>
      </c>
      <c r="R538" s="485" t="s">
        <v>5601</v>
      </c>
      <c r="S538" s="485" t="s">
        <v>677</v>
      </c>
      <c r="T538" s="485">
        <v>0.06</v>
      </c>
      <c r="U538" s="485" t="s">
        <v>4966</v>
      </c>
      <c r="V538" s="485">
        <v>0.08</v>
      </c>
      <c r="W538" s="485" t="s">
        <v>5602</v>
      </c>
      <c r="X538" s="485" t="s">
        <v>5603</v>
      </c>
      <c r="Y538" s="485" t="s">
        <v>5604</v>
      </c>
      <c r="Z538" s="486">
        <v>18560655.737704918</v>
      </c>
      <c r="AA538" s="486">
        <v>0</v>
      </c>
      <c r="AB538" s="486">
        <v>0</v>
      </c>
      <c r="AC538" s="486">
        <v>0</v>
      </c>
      <c r="AD538" s="486">
        <v>0</v>
      </c>
      <c r="AE538" s="486">
        <v>0</v>
      </c>
      <c r="AF538" s="486">
        <v>0</v>
      </c>
      <c r="AG538" s="486">
        <v>0</v>
      </c>
      <c r="AH538" s="487">
        <v>18560655.737704918</v>
      </c>
      <c r="AI538" s="486">
        <v>0</v>
      </c>
      <c r="AJ538" s="486">
        <v>0</v>
      </c>
      <c r="AK538" s="486">
        <v>3939344.2622950822</v>
      </c>
      <c r="AL538" s="488">
        <v>3939344.2622950822</v>
      </c>
      <c r="AM538" s="489">
        <v>22500000</v>
      </c>
      <c r="AN538" s="486">
        <v>19303081.967213117</v>
      </c>
      <c r="AO538" s="486">
        <v>0</v>
      </c>
      <c r="AP538" s="486">
        <v>0</v>
      </c>
      <c r="AQ538" s="486">
        <v>0</v>
      </c>
      <c r="AR538" s="486">
        <v>0</v>
      </c>
      <c r="AS538" s="486">
        <v>0</v>
      </c>
      <c r="AT538" s="486">
        <v>0</v>
      </c>
      <c r="AU538" s="486">
        <v>0</v>
      </c>
      <c r="AV538" s="487">
        <v>19303081.967213117</v>
      </c>
      <c r="AW538" s="486">
        <v>0</v>
      </c>
      <c r="AX538" s="486">
        <v>0</v>
      </c>
      <c r="AY538" s="486">
        <v>4996918.0327868834</v>
      </c>
      <c r="AZ538" s="488">
        <v>4996918.0327868834</v>
      </c>
      <c r="BA538" s="490">
        <v>24300000</v>
      </c>
      <c r="BB538" s="486">
        <v>20075205.245901641</v>
      </c>
      <c r="BC538" s="486">
        <v>0</v>
      </c>
      <c r="BD538" s="486">
        <v>0</v>
      </c>
      <c r="BE538" s="486">
        <v>0</v>
      </c>
      <c r="BF538" s="486">
        <v>0</v>
      </c>
      <c r="BG538" s="486">
        <v>0</v>
      </c>
      <c r="BH538" s="486">
        <v>0</v>
      </c>
      <c r="BI538" s="486">
        <v>0</v>
      </c>
      <c r="BJ538" s="487">
        <v>20075205.245901641</v>
      </c>
      <c r="BK538" s="486">
        <v>0</v>
      </c>
      <c r="BL538" s="486">
        <v>0</v>
      </c>
      <c r="BM538" s="486">
        <v>6168794.7540983595</v>
      </c>
      <c r="BN538" s="488">
        <v>6168794.7540983595</v>
      </c>
      <c r="BO538" s="490">
        <v>26244000</v>
      </c>
      <c r="BP538" s="486">
        <v>20878213.455737706</v>
      </c>
      <c r="BQ538" s="486">
        <v>0</v>
      </c>
      <c r="BR538" s="486">
        <v>0</v>
      </c>
      <c r="BS538" s="486">
        <v>0</v>
      </c>
      <c r="BT538" s="486">
        <v>0</v>
      </c>
      <c r="BU538" s="486">
        <v>0</v>
      </c>
      <c r="BV538" s="486">
        <v>0</v>
      </c>
      <c r="BW538" s="486">
        <v>0</v>
      </c>
      <c r="BX538" s="487">
        <v>20878213.455737706</v>
      </c>
      <c r="BY538" s="486">
        <v>0</v>
      </c>
      <c r="BZ538" s="486">
        <v>0</v>
      </c>
      <c r="CA538" s="486">
        <v>7465306.5442622975</v>
      </c>
      <c r="CB538" s="488">
        <v>7465306.5442622975</v>
      </c>
      <c r="CC538" s="491">
        <v>28343520.000000004</v>
      </c>
      <c r="CD538" s="492">
        <v>101387520</v>
      </c>
      <c r="CE538" s="493">
        <f t="shared" si="36"/>
        <v>78817156.406557381</v>
      </c>
      <c r="CF538" s="493">
        <f t="shared" si="36"/>
        <v>0</v>
      </c>
      <c r="CG538" s="493">
        <f t="shared" si="36"/>
        <v>0</v>
      </c>
      <c r="CH538" s="493">
        <f t="shared" si="36"/>
        <v>0</v>
      </c>
      <c r="CI538" s="493">
        <f t="shared" si="36"/>
        <v>0</v>
      </c>
      <c r="CJ538" s="493">
        <f t="shared" si="35"/>
        <v>0</v>
      </c>
      <c r="CK538" s="493">
        <f t="shared" si="35"/>
        <v>0</v>
      </c>
      <c r="CL538" s="493">
        <f t="shared" si="35"/>
        <v>0</v>
      </c>
      <c r="CM538" s="493">
        <f t="shared" si="38"/>
        <v>0</v>
      </c>
      <c r="CN538" s="493">
        <f t="shared" si="38"/>
        <v>0</v>
      </c>
      <c r="CO538" s="493">
        <f t="shared" si="38"/>
        <v>22570363.593442623</v>
      </c>
    </row>
    <row r="539" spans="1:93" ht="30.45" hidden="1" customHeight="1">
      <c r="A539" s="555" t="s">
        <v>4963</v>
      </c>
      <c r="B539" s="479">
        <v>537</v>
      </c>
      <c r="C539" s="480" t="s">
        <v>6371</v>
      </c>
      <c r="D539" s="480" t="s">
        <v>4967</v>
      </c>
      <c r="E539" s="480" t="str">
        <f t="shared" si="37"/>
        <v xml:space="preserve">5.2.2 </v>
      </c>
      <c r="F539" s="480" t="s">
        <v>6389</v>
      </c>
      <c r="G539" s="480" t="s">
        <v>6395</v>
      </c>
      <c r="H539" s="481">
        <v>41</v>
      </c>
      <c r="I539" s="480" t="s">
        <v>4312</v>
      </c>
      <c r="J539" s="495">
        <v>410306700</v>
      </c>
      <c r="K539" s="480" t="s">
        <v>6639</v>
      </c>
      <c r="L539" s="480" t="s">
        <v>4207</v>
      </c>
      <c r="M539" s="480" t="s">
        <v>6120</v>
      </c>
      <c r="N539" s="499">
        <v>0</v>
      </c>
      <c r="O539" s="480" t="s">
        <v>4966</v>
      </c>
      <c r="P539" s="515">
        <v>1</v>
      </c>
      <c r="Q539" s="485" t="s">
        <v>5349</v>
      </c>
      <c r="R539" s="485" t="s">
        <v>5605</v>
      </c>
      <c r="S539" s="485" t="s">
        <v>677</v>
      </c>
      <c r="T539" s="485">
        <v>0.2</v>
      </c>
      <c r="U539" s="485" t="s">
        <v>4966</v>
      </c>
      <c r="V539" s="485">
        <v>0.3</v>
      </c>
      <c r="W539" s="485" t="s">
        <v>5606</v>
      </c>
      <c r="X539" s="485" t="s">
        <v>5599</v>
      </c>
      <c r="Y539" s="485" t="s">
        <v>5607</v>
      </c>
      <c r="Z539" s="486">
        <v>16498360.655737706</v>
      </c>
      <c r="AA539" s="486">
        <v>0</v>
      </c>
      <c r="AB539" s="486">
        <v>0</v>
      </c>
      <c r="AC539" s="486">
        <v>0</v>
      </c>
      <c r="AD539" s="486">
        <v>0</v>
      </c>
      <c r="AE539" s="486">
        <v>0</v>
      </c>
      <c r="AF539" s="486">
        <v>0</v>
      </c>
      <c r="AG539" s="486">
        <v>0</v>
      </c>
      <c r="AH539" s="487">
        <v>16498360.655737706</v>
      </c>
      <c r="AI539" s="486">
        <v>0</v>
      </c>
      <c r="AJ539" s="486">
        <v>0</v>
      </c>
      <c r="AK539" s="486">
        <v>3501639.3442622945</v>
      </c>
      <c r="AL539" s="488">
        <v>3501639.3442622945</v>
      </c>
      <c r="AM539" s="489">
        <v>20000000</v>
      </c>
      <c r="AN539" s="486">
        <v>17158295.081967212</v>
      </c>
      <c r="AO539" s="486">
        <v>0</v>
      </c>
      <c r="AP539" s="486">
        <v>0</v>
      </c>
      <c r="AQ539" s="486">
        <v>0</v>
      </c>
      <c r="AR539" s="486">
        <v>0</v>
      </c>
      <c r="AS539" s="486">
        <v>0</v>
      </c>
      <c r="AT539" s="486">
        <v>0</v>
      </c>
      <c r="AU539" s="486">
        <v>0</v>
      </c>
      <c r="AV539" s="487">
        <v>17158295.081967212</v>
      </c>
      <c r="AW539" s="486">
        <v>0</v>
      </c>
      <c r="AX539" s="486">
        <v>0</v>
      </c>
      <c r="AY539" s="486">
        <v>4441704.9180327877</v>
      </c>
      <c r="AZ539" s="488">
        <v>4441704.9180327877</v>
      </c>
      <c r="BA539" s="490">
        <v>21600000</v>
      </c>
      <c r="BB539" s="486">
        <v>17844626.885245901</v>
      </c>
      <c r="BC539" s="486">
        <v>0</v>
      </c>
      <c r="BD539" s="486">
        <v>0</v>
      </c>
      <c r="BE539" s="486">
        <v>0</v>
      </c>
      <c r="BF539" s="486">
        <v>0</v>
      </c>
      <c r="BG539" s="486">
        <v>0</v>
      </c>
      <c r="BH539" s="486">
        <v>0</v>
      </c>
      <c r="BI539" s="486">
        <v>0</v>
      </c>
      <c r="BJ539" s="487">
        <v>17844626.885245901</v>
      </c>
      <c r="BK539" s="486">
        <v>0</v>
      </c>
      <c r="BL539" s="486">
        <v>0</v>
      </c>
      <c r="BM539" s="486">
        <v>5483373.1147540994</v>
      </c>
      <c r="BN539" s="488">
        <v>5483373.1147540994</v>
      </c>
      <c r="BO539" s="490">
        <v>23328000</v>
      </c>
      <c r="BP539" s="486">
        <v>18558411.960655738</v>
      </c>
      <c r="BQ539" s="486">
        <v>0</v>
      </c>
      <c r="BR539" s="486">
        <v>0</v>
      </c>
      <c r="BS539" s="486">
        <v>0</v>
      </c>
      <c r="BT539" s="486">
        <v>0</v>
      </c>
      <c r="BU539" s="486">
        <v>0</v>
      </c>
      <c r="BV539" s="486">
        <v>0</v>
      </c>
      <c r="BW539" s="486">
        <v>0</v>
      </c>
      <c r="BX539" s="487">
        <v>18558411.960655738</v>
      </c>
      <c r="BY539" s="486">
        <v>0</v>
      </c>
      <c r="BZ539" s="486">
        <v>0</v>
      </c>
      <c r="CA539" s="486">
        <v>6635828.0393442623</v>
      </c>
      <c r="CB539" s="488">
        <v>6635828.0393442623</v>
      </c>
      <c r="CC539" s="491">
        <v>25194240</v>
      </c>
      <c r="CD539" s="492">
        <v>90122240</v>
      </c>
      <c r="CE539" s="493">
        <f t="shared" si="36"/>
        <v>70059694.583606556</v>
      </c>
      <c r="CF539" s="493">
        <f t="shared" si="36"/>
        <v>0</v>
      </c>
      <c r="CG539" s="493">
        <f t="shared" si="36"/>
        <v>0</v>
      </c>
      <c r="CH539" s="493">
        <f t="shared" si="36"/>
        <v>0</v>
      </c>
      <c r="CI539" s="493">
        <f t="shared" si="36"/>
        <v>0</v>
      </c>
      <c r="CJ539" s="493">
        <f t="shared" si="35"/>
        <v>0</v>
      </c>
      <c r="CK539" s="493">
        <f t="shared" si="35"/>
        <v>0</v>
      </c>
      <c r="CL539" s="493">
        <f t="shared" si="35"/>
        <v>0</v>
      </c>
      <c r="CM539" s="493">
        <f t="shared" si="38"/>
        <v>0</v>
      </c>
      <c r="CN539" s="493">
        <f t="shared" si="38"/>
        <v>0</v>
      </c>
      <c r="CO539" s="493">
        <f t="shared" si="38"/>
        <v>20062545.416393444</v>
      </c>
    </row>
    <row r="540" spans="1:93" ht="30.45" hidden="1" customHeight="1">
      <c r="A540" s="556" t="s">
        <v>4963</v>
      </c>
      <c r="B540" s="479">
        <v>538</v>
      </c>
      <c r="C540" s="480" t="s">
        <v>6371</v>
      </c>
      <c r="D540" s="480" t="s">
        <v>4967</v>
      </c>
      <c r="E540" s="480" t="str">
        <f t="shared" si="37"/>
        <v xml:space="preserve">5.2.2 </v>
      </c>
      <c r="F540" s="480" t="s">
        <v>6389</v>
      </c>
      <c r="G540" s="480" t="s">
        <v>6395</v>
      </c>
      <c r="H540" s="481">
        <v>41</v>
      </c>
      <c r="I540" s="480" t="s">
        <v>4312</v>
      </c>
      <c r="J540" s="495">
        <v>410300500</v>
      </c>
      <c r="K540" s="510" t="s">
        <v>4303</v>
      </c>
      <c r="L540" s="510" t="s">
        <v>6121</v>
      </c>
      <c r="M540" s="510" t="s">
        <v>6122</v>
      </c>
      <c r="N540" s="499">
        <v>0</v>
      </c>
      <c r="O540" s="510" t="s">
        <v>4966</v>
      </c>
      <c r="P540" s="515">
        <v>2</v>
      </c>
      <c r="Q540" s="485" t="s">
        <v>5349</v>
      </c>
      <c r="R540" s="485" t="s">
        <v>5605</v>
      </c>
      <c r="S540" s="485" t="s">
        <v>677</v>
      </c>
      <c r="T540" s="485">
        <v>0.2</v>
      </c>
      <c r="U540" s="485" t="s">
        <v>4966</v>
      </c>
      <c r="V540" s="485">
        <v>0.3</v>
      </c>
      <c r="W540" s="485" t="s">
        <v>5606</v>
      </c>
      <c r="X540" s="485" t="s">
        <v>5599</v>
      </c>
      <c r="Y540" s="485" t="s">
        <v>5607</v>
      </c>
      <c r="Z540" s="486">
        <v>32996721.311475411</v>
      </c>
      <c r="AA540" s="486">
        <v>0</v>
      </c>
      <c r="AB540" s="486">
        <v>0</v>
      </c>
      <c r="AC540" s="486">
        <v>0</v>
      </c>
      <c r="AD540" s="486">
        <v>0</v>
      </c>
      <c r="AE540" s="486">
        <v>0</v>
      </c>
      <c r="AF540" s="486">
        <v>0</v>
      </c>
      <c r="AG540" s="486">
        <v>0</v>
      </c>
      <c r="AH540" s="487">
        <v>32996721.311475411</v>
      </c>
      <c r="AI540" s="486">
        <v>0</v>
      </c>
      <c r="AJ540" s="486">
        <v>0</v>
      </c>
      <c r="AK540" s="486">
        <v>7003278.6885245889</v>
      </c>
      <c r="AL540" s="488">
        <v>7003278.6885245889</v>
      </c>
      <c r="AM540" s="489">
        <v>40000000</v>
      </c>
      <c r="AN540" s="486">
        <v>34316590.163934425</v>
      </c>
      <c r="AO540" s="486">
        <v>0</v>
      </c>
      <c r="AP540" s="486">
        <v>0</v>
      </c>
      <c r="AQ540" s="486">
        <v>0</v>
      </c>
      <c r="AR540" s="486">
        <v>0</v>
      </c>
      <c r="AS540" s="486">
        <v>0</v>
      </c>
      <c r="AT540" s="486">
        <v>0</v>
      </c>
      <c r="AU540" s="486">
        <v>0</v>
      </c>
      <c r="AV540" s="487">
        <v>34316590.163934425</v>
      </c>
      <c r="AW540" s="486">
        <v>0</v>
      </c>
      <c r="AX540" s="486">
        <v>0</v>
      </c>
      <c r="AY540" s="486">
        <v>8883409.8360655755</v>
      </c>
      <c r="AZ540" s="488">
        <v>8883409.8360655755</v>
      </c>
      <c r="BA540" s="490">
        <v>43200000</v>
      </c>
      <c r="BB540" s="486">
        <v>35689253.770491801</v>
      </c>
      <c r="BC540" s="486">
        <v>0</v>
      </c>
      <c r="BD540" s="486">
        <v>0</v>
      </c>
      <c r="BE540" s="486">
        <v>0</v>
      </c>
      <c r="BF540" s="486">
        <v>0</v>
      </c>
      <c r="BG540" s="486">
        <v>0</v>
      </c>
      <c r="BH540" s="486">
        <v>0</v>
      </c>
      <c r="BI540" s="486">
        <v>0</v>
      </c>
      <c r="BJ540" s="487">
        <v>35689253.770491801</v>
      </c>
      <c r="BK540" s="486">
        <v>0</v>
      </c>
      <c r="BL540" s="486">
        <v>0</v>
      </c>
      <c r="BM540" s="486">
        <v>10966746.229508199</v>
      </c>
      <c r="BN540" s="488">
        <v>10966746.229508199</v>
      </c>
      <c r="BO540" s="490">
        <v>46656000</v>
      </c>
      <c r="BP540" s="486">
        <v>37116823.921311475</v>
      </c>
      <c r="BQ540" s="486">
        <v>0</v>
      </c>
      <c r="BR540" s="486">
        <v>0</v>
      </c>
      <c r="BS540" s="486">
        <v>0</v>
      </c>
      <c r="BT540" s="486">
        <v>0</v>
      </c>
      <c r="BU540" s="486">
        <v>0</v>
      </c>
      <c r="BV540" s="486">
        <v>0</v>
      </c>
      <c r="BW540" s="486">
        <v>0</v>
      </c>
      <c r="BX540" s="487">
        <v>37116823.921311475</v>
      </c>
      <c r="BY540" s="486">
        <v>0</v>
      </c>
      <c r="BZ540" s="486">
        <v>0</v>
      </c>
      <c r="CA540" s="486">
        <v>13271656.078688525</v>
      </c>
      <c r="CB540" s="488">
        <v>13271656.078688525</v>
      </c>
      <c r="CC540" s="491">
        <v>50388480</v>
      </c>
      <c r="CD540" s="492">
        <v>180244480</v>
      </c>
      <c r="CE540" s="493">
        <f t="shared" si="36"/>
        <v>140119389.16721311</v>
      </c>
      <c r="CF540" s="493">
        <f t="shared" si="36"/>
        <v>0</v>
      </c>
      <c r="CG540" s="493">
        <f t="shared" si="36"/>
        <v>0</v>
      </c>
      <c r="CH540" s="493">
        <f t="shared" si="36"/>
        <v>0</v>
      </c>
      <c r="CI540" s="493">
        <f t="shared" si="36"/>
        <v>0</v>
      </c>
      <c r="CJ540" s="493">
        <f t="shared" si="35"/>
        <v>0</v>
      </c>
      <c r="CK540" s="493">
        <f t="shared" si="35"/>
        <v>0</v>
      </c>
      <c r="CL540" s="493">
        <f t="shared" si="35"/>
        <v>0</v>
      </c>
      <c r="CM540" s="493">
        <f t="shared" si="38"/>
        <v>0</v>
      </c>
      <c r="CN540" s="493">
        <f t="shared" si="38"/>
        <v>0</v>
      </c>
      <c r="CO540" s="493">
        <f t="shared" si="38"/>
        <v>40125090.832786888</v>
      </c>
    </row>
    <row r="541" spans="1:93" ht="30.45" hidden="1" customHeight="1">
      <c r="A541" s="555" t="s">
        <v>4963</v>
      </c>
      <c r="B541" s="479">
        <v>539</v>
      </c>
      <c r="C541" s="480" t="s">
        <v>6371</v>
      </c>
      <c r="D541" s="480" t="s">
        <v>4967</v>
      </c>
      <c r="E541" s="480" t="str">
        <f t="shared" si="37"/>
        <v xml:space="preserve">5.2.2 </v>
      </c>
      <c r="F541" s="480" t="s">
        <v>6389</v>
      </c>
      <c r="G541" s="480" t="s">
        <v>6395</v>
      </c>
      <c r="H541" s="481">
        <v>45</v>
      </c>
      <c r="I541" s="480" t="s">
        <v>4209</v>
      </c>
      <c r="J541" s="495">
        <v>450203800</v>
      </c>
      <c r="K541" s="480" t="s">
        <v>4347</v>
      </c>
      <c r="L541" s="480" t="s">
        <v>6640</v>
      </c>
      <c r="M541" s="480" t="s">
        <v>6123</v>
      </c>
      <c r="N541" s="499">
        <v>1</v>
      </c>
      <c r="O541" s="480" t="s">
        <v>4966</v>
      </c>
      <c r="P541" s="515">
        <v>3</v>
      </c>
      <c r="Q541" s="485" t="s">
        <v>5349</v>
      </c>
      <c r="R541" s="485" t="s">
        <v>5605</v>
      </c>
      <c r="S541" s="485" t="s">
        <v>677</v>
      </c>
      <c r="T541" s="485">
        <v>0.2</v>
      </c>
      <c r="U541" s="485" t="s">
        <v>4966</v>
      </c>
      <c r="V541" s="485">
        <v>0.3</v>
      </c>
      <c r="W541" s="485" t="s">
        <v>5606</v>
      </c>
      <c r="X541" s="485" t="s">
        <v>5599</v>
      </c>
      <c r="Y541" s="485" t="s">
        <v>5607</v>
      </c>
      <c r="Z541" s="486">
        <v>16498360.655737706</v>
      </c>
      <c r="AA541" s="486">
        <v>0</v>
      </c>
      <c r="AB541" s="486">
        <v>0</v>
      </c>
      <c r="AC541" s="486">
        <v>0</v>
      </c>
      <c r="AD541" s="486">
        <v>0</v>
      </c>
      <c r="AE541" s="486">
        <v>0</v>
      </c>
      <c r="AF541" s="486">
        <v>0</v>
      </c>
      <c r="AG541" s="486">
        <v>0</v>
      </c>
      <c r="AH541" s="487">
        <v>16498360.655737706</v>
      </c>
      <c r="AI541" s="486">
        <v>0</v>
      </c>
      <c r="AJ541" s="486">
        <v>0</v>
      </c>
      <c r="AK541" s="486">
        <v>3501639.3442622945</v>
      </c>
      <c r="AL541" s="488">
        <v>3501639.3442622945</v>
      </c>
      <c r="AM541" s="489">
        <v>20000000</v>
      </c>
      <c r="AN541" s="486">
        <v>17158295.081967212</v>
      </c>
      <c r="AO541" s="486">
        <v>0</v>
      </c>
      <c r="AP541" s="486">
        <v>0</v>
      </c>
      <c r="AQ541" s="486">
        <v>0</v>
      </c>
      <c r="AR541" s="486">
        <v>0</v>
      </c>
      <c r="AS541" s="486">
        <v>0</v>
      </c>
      <c r="AT541" s="486">
        <v>0</v>
      </c>
      <c r="AU541" s="486">
        <v>0</v>
      </c>
      <c r="AV541" s="487">
        <v>17158295.081967212</v>
      </c>
      <c r="AW541" s="486">
        <v>0</v>
      </c>
      <c r="AX541" s="486">
        <v>0</v>
      </c>
      <c r="AY541" s="486">
        <v>4441704.9180327877</v>
      </c>
      <c r="AZ541" s="488">
        <v>4441704.9180327877</v>
      </c>
      <c r="BA541" s="490">
        <v>21600000</v>
      </c>
      <c r="BB541" s="486">
        <v>17844626.885245901</v>
      </c>
      <c r="BC541" s="486">
        <v>0</v>
      </c>
      <c r="BD541" s="486">
        <v>0</v>
      </c>
      <c r="BE541" s="486">
        <v>0</v>
      </c>
      <c r="BF541" s="486">
        <v>0</v>
      </c>
      <c r="BG541" s="486">
        <v>0</v>
      </c>
      <c r="BH541" s="486">
        <v>0</v>
      </c>
      <c r="BI541" s="486">
        <v>0</v>
      </c>
      <c r="BJ541" s="487">
        <v>17844626.885245901</v>
      </c>
      <c r="BK541" s="486">
        <v>0</v>
      </c>
      <c r="BL541" s="486">
        <v>0</v>
      </c>
      <c r="BM541" s="486">
        <v>5483373.1147540994</v>
      </c>
      <c r="BN541" s="488">
        <v>5483373.1147540994</v>
      </c>
      <c r="BO541" s="490">
        <v>23328000</v>
      </c>
      <c r="BP541" s="486">
        <v>18558411.960655738</v>
      </c>
      <c r="BQ541" s="486">
        <v>0</v>
      </c>
      <c r="BR541" s="486">
        <v>0</v>
      </c>
      <c r="BS541" s="486">
        <v>0</v>
      </c>
      <c r="BT541" s="486">
        <v>0</v>
      </c>
      <c r="BU541" s="486">
        <v>0</v>
      </c>
      <c r="BV541" s="486">
        <v>0</v>
      </c>
      <c r="BW541" s="486">
        <v>0</v>
      </c>
      <c r="BX541" s="487">
        <v>18558411.960655738</v>
      </c>
      <c r="BY541" s="486">
        <v>0</v>
      </c>
      <c r="BZ541" s="486">
        <v>0</v>
      </c>
      <c r="CA541" s="486">
        <v>6635828.0393442623</v>
      </c>
      <c r="CB541" s="488">
        <v>6635828.0393442623</v>
      </c>
      <c r="CC541" s="491">
        <v>25194240</v>
      </c>
      <c r="CD541" s="492">
        <v>90122240</v>
      </c>
      <c r="CE541" s="493">
        <f t="shared" si="36"/>
        <v>70059694.583606556</v>
      </c>
      <c r="CF541" s="493">
        <f t="shared" si="36"/>
        <v>0</v>
      </c>
      <c r="CG541" s="493">
        <f t="shared" si="36"/>
        <v>0</v>
      </c>
      <c r="CH541" s="493">
        <f t="shared" si="36"/>
        <v>0</v>
      </c>
      <c r="CI541" s="493">
        <f t="shared" si="36"/>
        <v>0</v>
      </c>
      <c r="CJ541" s="493">
        <f t="shared" si="35"/>
        <v>0</v>
      </c>
      <c r="CK541" s="493">
        <f t="shared" si="35"/>
        <v>0</v>
      </c>
      <c r="CL541" s="493">
        <f t="shared" si="35"/>
        <v>0</v>
      </c>
      <c r="CM541" s="493">
        <f t="shared" si="38"/>
        <v>0</v>
      </c>
      <c r="CN541" s="493">
        <f t="shared" si="38"/>
        <v>0</v>
      </c>
      <c r="CO541" s="493">
        <f t="shared" si="38"/>
        <v>20062545.416393444</v>
      </c>
    </row>
    <row r="542" spans="1:93" ht="30.45" hidden="1" customHeight="1">
      <c r="A542" s="556" t="s">
        <v>4963</v>
      </c>
      <c r="B542" s="479">
        <v>540</v>
      </c>
      <c r="C542" s="480" t="s">
        <v>6371</v>
      </c>
      <c r="D542" s="480" t="s">
        <v>4967</v>
      </c>
      <c r="E542" s="480" t="str">
        <f t="shared" si="37"/>
        <v xml:space="preserve">5.2.2 </v>
      </c>
      <c r="F542" s="480" t="s">
        <v>6389</v>
      </c>
      <c r="G542" s="480" t="s">
        <v>6395</v>
      </c>
      <c r="H542" s="481">
        <v>45</v>
      </c>
      <c r="I542" s="480" t="s">
        <v>4209</v>
      </c>
      <c r="J542" s="495">
        <v>450203400</v>
      </c>
      <c r="K542" s="510" t="s">
        <v>6139</v>
      </c>
      <c r="L542" s="510" t="s">
        <v>4099</v>
      </c>
      <c r="M542" s="510" t="s">
        <v>6124</v>
      </c>
      <c r="N542" s="499">
        <v>0</v>
      </c>
      <c r="O542" s="510" t="s">
        <v>4966</v>
      </c>
      <c r="P542" s="515">
        <v>100</v>
      </c>
      <c r="Q542" s="485" t="s">
        <v>5349</v>
      </c>
      <c r="R542" s="485" t="s">
        <v>5605</v>
      </c>
      <c r="S542" s="485" t="s">
        <v>677</v>
      </c>
      <c r="T542" s="485">
        <v>0.2</v>
      </c>
      <c r="U542" s="485" t="s">
        <v>4966</v>
      </c>
      <c r="V542" s="485">
        <v>0.3</v>
      </c>
      <c r="W542" s="485" t="s">
        <v>5606</v>
      </c>
      <c r="X542" s="485" t="s">
        <v>5599</v>
      </c>
      <c r="Y542" s="485" t="s">
        <v>5607</v>
      </c>
      <c r="Z542" s="486">
        <v>53619672.131147541</v>
      </c>
      <c r="AA542" s="486">
        <v>0</v>
      </c>
      <c r="AB542" s="486">
        <v>0</v>
      </c>
      <c r="AC542" s="486">
        <v>0</v>
      </c>
      <c r="AD542" s="486">
        <v>0</v>
      </c>
      <c r="AE542" s="486">
        <v>0</v>
      </c>
      <c r="AF542" s="486">
        <v>0</v>
      </c>
      <c r="AG542" s="486">
        <v>0</v>
      </c>
      <c r="AH542" s="487">
        <v>53619672.131147541</v>
      </c>
      <c r="AI542" s="486">
        <v>0</v>
      </c>
      <c r="AJ542" s="486">
        <v>0</v>
      </c>
      <c r="AK542" s="486">
        <v>11380327.868852459</v>
      </c>
      <c r="AL542" s="488">
        <v>11380327.868852459</v>
      </c>
      <c r="AM542" s="489">
        <v>65000000</v>
      </c>
      <c r="AN542" s="486">
        <v>55764459.016393445</v>
      </c>
      <c r="AO542" s="486">
        <v>0</v>
      </c>
      <c r="AP542" s="486">
        <v>0</v>
      </c>
      <c r="AQ542" s="486">
        <v>0</v>
      </c>
      <c r="AR542" s="486">
        <v>0</v>
      </c>
      <c r="AS542" s="486">
        <v>0</v>
      </c>
      <c r="AT542" s="486">
        <v>0</v>
      </c>
      <c r="AU542" s="486">
        <v>0</v>
      </c>
      <c r="AV542" s="487">
        <v>55764459.016393445</v>
      </c>
      <c r="AW542" s="486">
        <v>0</v>
      </c>
      <c r="AX542" s="486">
        <v>0</v>
      </c>
      <c r="AY542" s="486">
        <v>14435540.983606555</v>
      </c>
      <c r="AZ542" s="488">
        <v>14435540.983606555</v>
      </c>
      <c r="BA542" s="490">
        <v>70200000</v>
      </c>
      <c r="BB542" s="486">
        <v>57995037.377049178</v>
      </c>
      <c r="BC542" s="486">
        <v>0</v>
      </c>
      <c r="BD542" s="486">
        <v>0</v>
      </c>
      <c r="BE542" s="486">
        <v>0</v>
      </c>
      <c r="BF542" s="486">
        <v>0</v>
      </c>
      <c r="BG542" s="486">
        <v>0</v>
      </c>
      <c r="BH542" s="486">
        <v>0</v>
      </c>
      <c r="BI542" s="486">
        <v>0</v>
      </c>
      <c r="BJ542" s="487">
        <v>57995037.377049178</v>
      </c>
      <c r="BK542" s="486">
        <v>0</v>
      </c>
      <c r="BL542" s="486">
        <v>0</v>
      </c>
      <c r="BM542" s="486">
        <v>17820962.622950822</v>
      </c>
      <c r="BN542" s="488">
        <v>17820962.622950822</v>
      </c>
      <c r="BO542" s="490">
        <v>75816000</v>
      </c>
      <c r="BP542" s="486">
        <v>60314838.872131146</v>
      </c>
      <c r="BQ542" s="486">
        <v>0</v>
      </c>
      <c r="BR542" s="486">
        <v>0</v>
      </c>
      <c r="BS542" s="486">
        <v>0</v>
      </c>
      <c r="BT542" s="486">
        <v>0</v>
      </c>
      <c r="BU542" s="486">
        <v>0</v>
      </c>
      <c r="BV542" s="486">
        <v>0</v>
      </c>
      <c r="BW542" s="486">
        <v>0</v>
      </c>
      <c r="BX542" s="487">
        <v>60314838.872131146</v>
      </c>
      <c r="BY542" s="486">
        <v>0</v>
      </c>
      <c r="BZ542" s="486">
        <v>0</v>
      </c>
      <c r="CA542" s="486">
        <v>21566441.127868854</v>
      </c>
      <c r="CB542" s="488">
        <v>21566441.127868854</v>
      </c>
      <c r="CC542" s="491">
        <v>81881280</v>
      </c>
      <c r="CD542" s="492">
        <v>292897280</v>
      </c>
      <c r="CE542" s="493">
        <f t="shared" si="36"/>
        <v>227694007.3967213</v>
      </c>
      <c r="CF542" s="493">
        <f t="shared" si="36"/>
        <v>0</v>
      </c>
      <c r="CG542" s="493">
        <f t="shared" si="36"/>
        <v>0</v>
      </c>
      <c r="CH542" s="493">
        <f t="shared" si="36"/>
        <v>0</v>
      </c>
      <c r="CI542" s="493">
        <f t="shared" si="36"/>
        <v>0</v>
      </c>
      <c r="CJ542" s="493">
        <f t="shared" si="35"/>
        <v>0</v>
      </c>
      <c r="CK542" s="493">
        <f t="shared" si="35"/>
        <v>0</v>
      </c>
      <c r="CL542" s="493">
        <f t="shared" si="35"/>
        <v>0</v>
      </c>
      <c r="CM542" s="493">
        <f t="shared" si="38"/>
        <v>0</v>
      </c>
      <c r="CN542" s="493">
        <f t="shared" si="38"/>
        <v>0</v>
      </c>
      <c r="CO542" s="493">
        <f t="shared" si="38"/>
        <v>65203272.603278689</v>
      </c>
    </row>
    <row r="543" spans="1:93" ht="30.45" hidden="1" customHeight="1">
      <c r="A543" s="555" t="s">
        <v>4963</v>
      </c>
      <c r="B543" s="479">
        <v>541</v>
      </c>
      <c r="C543" s="480" t="s">
        <v>6371</v>
      </c>
      <c r="D543" s="480" t="s">
        <v>4967</v>
      </c>
      <c r="E543" s="480" t="str">
        <f t="shared" si="37"/>
        <v xml:space="preserve">5.2.2 </v>
      </c>
      <c r="F543" s="480" t="s">
        <v>6389</v>
      </c>
      <c r="G543" s="480" t="s">
        <v>6395</v>
      </c>
      <c r="H543" s="481">
        <v>45</v>
      </c>
      <c r="I543" s="480" t="s">
        <v>4202</v>
      </c>
      <c r="J543" s="495">
        <v>450100100</v>
      </c>
      <c r="K543" s="480" t="s">
        <v>6641</v>
      </c>
      <c r="L543" s="480" t="s">
        <v>6642</v>
      </c>
      <c r="M543" s="480" t="s">
        <v>6125</v>
      </c>
      <c r="N543" s="499">
        <v>1</v>
      </c>
      <c r="O543" s="480" t="s">
        <v>4966</v>
      </c>
      <c r="P543" s="515">
        <v>123</v>
      </c>
      <c r="Q543" s="485" t="s">
        <v>5349</v>
      </c>
      <c r="R543" s="485" t="s">
        <v>5605</v>
      </c>
      <c r="S543" s="485" t="s">
        <v>677</v>
      </c>
      <c r="T543" s="485">
        <v>0.2</v>
      </c>
      <c r="U543" s="485" t="s">
        <v>4966</v>
      </c>
      <c r="V543" s="485">
        <v>0.3</v>
      </c>
      <c r="W543" s="485" t="s">
        <v>5606</v>
      </c>
      <c r="X543" s="485" t="s">
        <v>5599</v>
      </c>
      <c r="Y543" s="485" t="s">
        <v>5607</v>
      </c>
      <c r="Z543" s="486">
        <v>10311475.409836065</v>
      </c>
      <c r="AA543" s="486">
        <v>0</v>
      </c>
      <c r="AB543" s="486">
        <v>0</v>
      </c>
      <c r="AC543" s="486">
        <v>0</v>
      </c>
      <c r="AD543" s="486">
        <v>0</v>
      </c>
      <c r="AE543" s="486">
        <v>0</v>
      </c>
      <c r="AF543" s="486">
        <v>0</v>
      </c>
      <c r="AG543" s="486">
        <v>0</v>
      </c>
      <c r="AH543" s="487">
        <v>10311475.409836065</v>
      </c>
      <c r="AI543" s="486">
        <v>0</v>
      </c>
      <c r="AJ543" s="486">
        <v>0</v>
      </c>
      <c r="AK543" s="486">
        <v>2188524.590163935</v>
      </c>
      <c r="AL543" s="488">
        <v>2188524.590163935</v>
      </c>
      <c r="AM543" s="489">
        <v>12500000</v>
      </c>
      <c r="AN543" s="486">
        <v>10723934.426229509</v>
      </c>
      <c r="AO543" s="486">
        <v>0</v>
      </c>
      <c r="AP543" s="486">
        <v>0</v>
      </c>
      <c r="AQ543" s="486">
        <v>0</v>
      </c>
      <c r="AR543" s="486">
        <v>0</v>
      </c>
      <c r="AS543" s="486">
        <v>0</v>
      </c>
      <c r="AT543" s="486">
        <v>0</v>
      </c>
      <c r="AU543" s="486">
        <v>0</v>
      </c>
      <c r="AV543" s="487">
        <v>10723934.426229509</v>
      </c>
      <c r="AW543" s="486">
        <v>0</v>
      </c>
      <c r="AX543" s="486">
        <v>0</v>
      </c>
      <c r="AY543" s="486">
        <v>2776065.5737704914</v>
      </c>
      <c r="AZ543" s="488">
        <v>2776065.5737704914</v>
      </c>
      <c r="BA543" s="490">
        <v>13500000</v>
      </c>
      <c r="BB543" s="486">
        <v>11152891.80327869</v>
      </c>
      <c r="BC543" s="486">
        <v>0</v>
      </c>
      <c r="BD543" s="486">
        <v>0</v>
      </c>
      <c r="BE543" s="486">
        <v>0</v>
      </c>
      <c r="BF543" s="486">
        <v>0</v>
      </c>
      <c r="BG543" s="486">
        <v>0</v>
      </c>
      <c r="BH543" s="486">
        <v>0</v>
      </c>
      <c r="BI543" s="486">
        <v>0</v>
      </c>
      <c r="BJ543" s="487">
        <v>11152891.80327869</v>
      </c>
      <c r="BK543" s="486">
        <v>0</v>
      </c>
      <c r="BL543" s="486">
        <v>0</v>
      </c>
      <c r="BM543" s="486">
        <v>3427108.1967213117</v>
      </c>
      <c r="BN543" s="488">
        <v>3427108.1967213117</v>
      </c>
      <c r="BO543" s="490">
        <v>14580000.000000002</v>
      </c>
      <c r="BP543" s="486">
        <v>11599007.475409837</v>
      </c>
      <c r="BQ543" s="486">
        <v>0</v>
      </c>
      <c r="BR543" s="486">
        <v>0</v>
      </c>
      <c r="BS543" s="486">
        <v>0</v>
      </c>
      <c r="BT543" s="486">
        <v>0</v>
      </c>
      <c r="BU543" s="486">
        <v>0</v>
      </c>
      <c r="BV543" s="486">
        <v>0</v>
      </c>
      <c r="BW543" s="486">
        <v>0</v>
      </c>
      <c r="BX543" s="487">
        <v>11599007.475409837</v>
      </c>
      <c r="BY543" s="486">
        <v>0</v>
      </c>
      <c r="BZ543" s="486">
        <v>0</v>
      </c>
      <c r="CA543" s="486">
        <v>4147392.5245901663</v>
      </c>
      <c r="CB543" s="488">
        <v>4147392.5245901663</v>
      </c>
      <c r="CC543" s="491">
        <v>15746400.000000004</v>
      </c>
      <c r="CD543" s="492">
        <v>56326400.000000007</v>
      </c>
      <c r="CE543" s="493">
        <f t="shared" si="36"/>
        <v>43787309.114754103</v>
      </c>
      <c r="CF543" s="493">
        <f t="shared" si="36"/>
        <v>0</v>
      </c>
      <c r="CG543" s="493">
        <f t="shared" si="36"/>
        <v>0</v>
      </c>
      <c r="CH543" s="493">
        <f t="shared" si="36"/>
        <v>0</v>
      </c>
      <c r="CI543" s="493">
        <f t="shared" si="36"/>
        <v>0</v>
      </c>
      <c r="CJ543" s="493">
        <f t="shared" si="35"/>
        <v>0</v>
      </c>
      <c r="CK543" s="493">
        <f t="shared" si="35"/>
        <v>0</v>
      </c>
      <c r="CL543" s="493">
        <f t="shared" si="35"/>
        <v>0</v>
      </c>
      <c r="CM543" s="493">
        <f t="shared" si="38"/>
        <v>0</v>
      </c>
      <c r="CN543" s="493">
        <f t="shared" si="38"/>
        <v>0</v>
      </c>
      <c r="CO543" s="493">
        <f t="shared" si="38"/>
        <v>12539090.885245904</v>
      </c>
    </row>
    <row r="544" spans="1:93" ht="30.45" hidden="1" customHeight="1">
      <c r="A544" s="555" t="s">
        <v>4963</v>
      </c>
      <c r="B544" s="479">
        <v>542</v>
      </c>
      <c r="C544" s="480" t="s">
        <v>6371</v>
      </c>
      <c r="D544" s="480" t="s">
        <v>4967</v>
      </c>
      <c r="E544" s="480" t="str">
        <f t="shared" si="37"/>
        <v xml:space="preserve">5.2.3 </v>
      </c>
      <c r="F544" s="480" t="s">
        <v>4973</v>
      </c>
      <c r="G544" s="480" t="s">
        <v>4974</v>
      </c>
      <c r="H544" s="481">
        <v>41</v>
      </c>
      <c r="I544" s="480" t="s">
        <v>4242</v>
      </c>
      <c r="J544" s="495">
        <v>410200600</v>
      </c>
      <c r="K544" s="480" t="s">
        <v>4846</v>
      </c>
      <c r="L544" s="480" t="s">
        <v>4975</v>
      </c>
      <c r="M544" s="480" t="s">
        <v>6126</v>
      </c>
      <c r="N544" s="499">
        <v>117</v>
      </c>
      <c r="O544" s="480" t="s">
        <v>4976</v>
      </c>
      <c r="P544" s="515">
        <v>202</v>
      </c>
      <c r="Q544" s="485" t="s">
        <v>5318</v>
      </c>
      <c r="R544" s="485" t="s">
        <v>5608</v>
      </c>
      <c r="S544" s="485" t="s">
        <v>677</v>
      </c>
      <c r="T544" s="485" t="s">
        <v>5609</v>
      </c>
      <c r="U544" s="485" t="s">
        <v>4966</v>
      </c>
      <c r="V544" s="485">
        <v>0.34</v>
      </c>
      <c r="W544" s="485" t="s">
        <v>5610</v>
      </c>
      <c r="X544" s="485" t="s">
        <v>5611</v>
      </c>
      <c r="Y544" s="485" t="s">
        <v>5612</v>
      </c>
      <c r="Z544" s="486">
        <v>0</v>
      </c>
      <c r="AA544" s="486">
        <v>0</v>
      </c>
      <c r="AB544" s="486">
        <v>0</v>
      </c>
      <c r="AC544" s="486">
        <v>0</v>
      </c>
      <c r="AD544" s="486">
        <v>0</v>
      </c>
      <c r="AE544" s="486">
        <v>0</v>
      </c>
      <c r="AF544" s="486">
        <v>2000000000</v>
      </c>
      <c r="AG544" s="486">
        <v>0</v>
      </c>
      <c r="AH544" s="487">
        <v>2000000000</v>
      </c>
      <c r="AI544" s="486"/>
      <c r="AJ544" s="486">
        <v>0</v>
      </c>
      <c r="AK544" s="486">
        <v>0</v>
      </c>
      <c r="AL544" s="488">
        <v>0</v>
      </c>
      <c r="AM544" s="489">
        <v>2000000000</v>
      </c>
      <c r="AN544" s="486">
        <v>0</v>
      </c>
      <c r="AO544" s="486">
        <v>0</v>
      </c>
      <c r="AP544" s="486">
        <v>0</v>
      </c>
      <c r="AQ544" s="486">
        <v>0</v>
      </c>
      <c r="AR544" s="486">
        <v>0</v>
      </c>
      <c r="AS544" s="486">
        <v>0</v>
      </c>
      <c r="AT544" s="486">
        <v>2000000000</v>
      </c>
      <c r="AU544" s="486">
        <v>0</v>
      </c>
      <c r="AV544" s="487">
        <v>2000000000</v>
      </c>
      <c r="AW544" s="486">
        <v>0</v>
      </c>
      <c r="AX544" s="486">
        <v>0</v>
      </c>
      <c r="AY544" s="486">
        <v>0</v>
      </c>
      <c r="AZ544" s="488">
        <v>0</v>
      </c>
      <c r="BA544" s="490">
        <v>2000000000</v>
      </c>
      <c r="BB544" s="486">
        <v>0</v>
      </c>
      <c r="BC544" s="486">
        <v>0</v>
      </c>
      <c r="BD544" s="486">
        <v>0</v>
      </c>
      <c r="BE544" s="486">
        <v>0</v>
      </c>
      <c r="BF544" s="486">
        <v>0</v>
      </c>
      <c r="BG544" s="486">
        <v>0</v>
      </c>
      <c r="BH544" s="486">
        <v>1000000000</v>
      </c>
      <c r="BI544" s="486">
        <v>0</v>
      </c>
      <c r="BJ544" s="487">
        <v>1000000000</v>
      </c>
      <c r="BK544" s="486">
        <v>0</v>
      </c>
      <c r="BL544" s="486">
        <v>0</v>
      </c>
      <c r="BM544" s="486">
        <v>0</v>
      </c>
      <c r="BN544" s="488">
        <v>0</v>
      </c>
      <c r="BO544" s="490">
        <v>1000000000</v>
      </c>
      <c r="BP544" s="486">
        <v>0</v>
      </c>
      <c r="BQ544" s="486">
        <v>0</v>
      </c>
      <c r="BR544" s="486">
        <v>0</v>
      </c>
      <c r="BS544" s="486">
        <v>0</v>
      </c>
      <c r="BT544" s="486">
        <v>0</v>
      </c>
      <c r="BU544" s="486">
        <v>0</v>
      </c>
      <c r="BV544" s="486">
        <v>900000000</v>
      </c>
      <c r="BW544" s="486">
        <v>0</v>
      </c>
      <c r="BX544" s="487">
        <v>900000000</v>
      </c>
      <c r="BY544" s="486">
        <v>0</v>
      </c>
      <c r="BZ544" s="486">
        <v>0</v>
      </c>
      <c r="CA544" s="486">
        <v>0</v>
      </c>
      <c r="CB544" s="488">
        <v>0</v>
      </c>
      <c r="CC544" s="491">
        <v>900000000</v>
      </c>
      <c r="CD544" s="492">
        <v>5900000000</v>
      </c>
      <c r="CE544" s="493">
        <f t="shared" si="36"/>
        <v>0</v>
      </c>
      <c r="CF544" s="493">
        <f t="shared" si="36"/>
        <v>0</v>
      </c>
      <c r="CG544" s="493">
        <f t="shared" si="36"/>
        <v>0</v>
      </c>
      <c r="CH544" s="493">
        <f t="shared" si="36"/>
        <v>0</v>
      </c>
      <c r="CI544" s="493">
        <f t="shared" si="36"/>
        <v>0</v>
      </c>
      <c r="CJ544" s="493">
        <f t="shared" si="35"/>
        <v>0</v>
      </c>
      <c r="CK544" s="493">
        <f t="shared" si="35"/>
        <v>5900000000</v>
      </c>
      <c r="CL544" s="493">
        <f t="shared" si="35"/>
        <v>0</v>
      </c>
      <c r="CM544" s="493">
        <f t="shared" si="38"/>
        <v>0</v>
      </c>
      <c r="CN544" s="493">
        <f t="shared" si="38"/>
        <v>0</v>
      </c>
      <c r="CO544" s="493">
        <f t="shared" si="38"/>
        <v>0</v>
      </c>
    </row>
    <row r="545" spans="1:93" ht="30.45" hidden="1" customHeight="1">
      <c r="A545" s="555" t="s">
        <v>4963</v>
      </c>
      <c r="B545" s="479">
        <v>543</v>
      </c>
      <c r="C545" s="480" t="s">
        <v>6371</v>
      </c>
      <c r="D545" s="480" t="s">
        <v>4967</v>
      </c>
      <c r="E545" s="480" t="str">
        <f t="shared" si="37"/>
        <v xml:space="preserve">5.2.3 </v>
      </c>
      <c r="F545" s="480" t="s">
        <v>4973</v>
      </c>
      <c r="G545" s="480" t="s">
        <v>4974</v>
      </c>
      <c r="H545" s="481">
        <v>41</v>
      </c>
      <c r="I545" s="480" t="s">
        <v>4242</v>
      </c>
      <c r="J545" s="495">
        <v>410200200</v>
      </c>
      <c r="K545" s="480" t="s">
        <v>4977</v>
      </c>
      <c r="L545" s="480" t="s">
        <v>4978</v>
      </c>
      <c r="M545" s="480" t="s">
        <v>6127</v>
      </c>
      <c r="N545" s="517">
        <v>1000</v>
      </c>
      <c r="O545" s="480" t="s">
        <v>4966</v>
      </c>
      <c r="P545" s="518">
        <v>2000</v>
      </c>
      <c r="Q545" s="485" t="s">
        <v>5318</v>
      </c>
      <c r="R545" s="485" t="s">
        <v>5608</v>
      </c>
      <c r="S545" s="485" t="s">
        <v>677</v>
      </c>
      <c r="T545" s="485" t="s">
        <v>5609</v>
      </c>
      <c r="U545" s="485" t="s">
        <v>4966</v>
      </c>
      <c r="V545" s="485">
        <v>0.34</v>
      </c>
      <c r="W545" s="485" t="s">
        <v>5610</v>
      </c>
      <c r="X545" s="485" t="s">
        <v>5611</v>
      </c>
      <c r="Y545" s="485" t="s">
        <v>5612</v>
      </c>
      <c r="Z545" s="486">
        <v>32996721.311475411</v>
      </c>
      <c r="AA545" s="486">
        <v>0</v>
      </c>
      <c r="AB545" s="486">
        <v>0</v>
      </c>
      <c r="AC545" s="486">
        <v>0</v>
      </c>
      <c r="AD545" s="486">
        <v>0</v>
      </c>
      <c r="AE545" s="486">
        <v>0</v>
      </c>
      <c r="AF545" s="486">
        <v>0</v>
      </c>
      <c r="AG545" s="486">
        <v>0</v>
      </c>
      <c r="AH545" s="487">
        <v>32996721.311475411</v>
      </c>
      <c r="AI545" s="486">
        <v>0</v>
      </c>
      <c r="AJ545" s="486">
        <v>0</v>
      </c>
      <c r="AK545" s="486">
        <v>7003278.6885245889</v>
      </c>
      <c r="AL545" s="488">
        <v>7003278.6885245889</v>
      </c>
      <c r="AM545" s="489">
        <v>40000000</v>
      </c>
      <c r="AN545" s="486">
        <v>34316590.163934425</v>
      </c>
      <c r="AO545" s="486">
        <v>0</v>
      </c>
      <c r="AP545" s="486">
        <v>0</v>
      </c>
      <c r="AQ545" s="486">
        <v>0</v>
      </c>
      <c r="AR545" s="486">
        <v>0</v>
      </c>
      <c r="AS545" s="486">
        <v>0</v>
      </c>
      <c r="AT545" s="486">
        <v>0</v>
      </c>
      <c r="AU545" s="486">
        <v>0</v>
      </c>
      <c r="AV545" s="487">
        <v>34316590.163934425</v>
      </c>
      <c r="AW545" s="486">
        <v>0</v>
      </c>
      <c r="AX545" s="486">
        <v>0</v>
      </c>
      <c r="AY545" s="486">
        <v>8883409.8360655755</v>
      </c>
      <c r="AZ545" s="488">
        <v>8883409.8360655755</v>
      </c>
      <c r="BA545" s="490">
        <v>43200000</v>
      </c>
      <c r="BB545" s="486">
        <v>35689253.770491801</v>
      </c>
      <c r="BC545" s="486">
        <v>0</v>
      </c>
      <c r="BD545" s="486">
        <v>0</v>
      </c>
      <c r="BE545" s="486">
        <v>0</v>
      </c>
      <c r="BF545" s="486">
        <v>0</v>
      </c>
      <c r="BG545" s="486">
        <v>0</v>
      </c>
      <c r="BH545" s="486">
        <v>0</v>
      </c>
      <c r="BI545" s="486">
        <v>0</v>
      </c>
      <c r="BJ545" s="487">
        <v>35689253.770491801</v>
      </c>
      <c r="BK545" s="486">
        <v>0</v>
      </c>
      <c r="BL545" s="486">
        <v>0</v>
      </c>
      <c r="BM545" s="486">
        <v>10966746.229508199</v>
      </c>
      <c r="BN545" s="488">
        <v>10966746.229508199</v>
      </c>
      <c r="BO545" s="490">
        <v>46656000</v>
      </c>
      <c r="BP545" s="486">
        <v>37116823.921311475</v>
      </c>
      <c r="BQ545" s="486">
        <v>0</v>
      </c>
      <c r="BR545" s="486">
        <v>0</v>
      </c>
      <c r="BS545" s="486">
        <v>0</v>
      </c>
      <c r="BT545" s="486">
        <v>0</v>
      </c>
      <c r="BU545" s="486">
        <v>0</v>
      </c>
      <c r="BV545" s="486">
        <v>0</v>
      </c>
      <c r="BW545" s="486">
        <v>0</v>
      </c>
      <c r="BX545" s="487">
        <v>37116823.921311475</v>
      </c>
      <c r="BY545" s="486">
        <v>0</v>
      </c>
      <c r="BZ545" s="486">
        <v>0</v>
      </c>
      <c r="CA545" s="486">
        <v>13271656.078688525</v>
      </c>
      <c r="CB545" s="488">
        <v>13271656.078688525</v>
      </c>
      <c r="CC545" s="491">
        <v>50388480</v>
      </c>
      <c r="CD545" s="492">
        <v>180244480</v>
      </c>
      <c r="CE545" s="493">
        <f t="shared" si="36"/>
        <v>140119389.16721311</v>
      </c>
      <c r="CF545" s="493">
        <f t="shared" si="36"/>
        <v>0</v>
      </c>
      <c r="CG545" s="493">
        <f t="shared" si="36"/>
        <v>0</v>
      </c>
      <c r="CH545" s="493">
        <f t="shared" si="36"/>
        <v>0</v>
      </c>
      <c r="CI545" s="493">
        <f t="shared" si="36"/>
        <v>0</v>
      </c>
      <c r="CJ545" s="493">
        <f t="shared" si="35"/>
        <v>0</v>
      </c>
      <c r="CK545" s="493">
        <f t="shared" si="35"/>
        <v>0</v>
      </c>
      <c r="CL545" s="493">
        <f t="shared" si="35"/>
        <v>0</v>
      </c>
      <c r="CM545" s="493">
        <f t="shared" si="38"/>
        <v>0</v>
      </c>
      <c r="CN545" s="493">
        <f t="shared" si="38"/>
        <v>0</v>
      </c>
      <c r="CO545" s="493">
        <f t="shared" si="38"/>
        <v>40125090.832786888</v>
      </c>
    </row>
    <row r="546" spans="1:93" ht="30.45" hidden="1" customHeight="1">
      <c r="A546" s="555" t="s">
        <v>4963</v>
      </c>
      <c r="B546" s="479">
        <v>544</v>
      </c>
      <c r="C546" s="480" t="s">
        <v>6371</v>
      </c>
      <c r="D546" s="480" t="s">
        <v>4967</v>
      </c>
      <c r="E546" s="480" t="str">
        <f t="shared" si="37"/>
        <v xml:space="preserve">5.2.3 </v>
      </c>
      <c r="F546" s="480" t="s">
        <v>4973</v>
      </c>
      <c r="G546" s="480" t="s">
        <v>4974</v>
      </c>
      <c r="H546" s="481">
        <v>41</v>
      </c>
      <c r="I546" s="480" t="s">
        <v>4242</v>
      </c>
      <c r="J546" s="495">
        <v>410200300</v>
      </c>
      <c r="K546" s="480" t="s">
        <v>4979</v>
      </c>
      <c r="L546" s="480" t="s">
        <v>4980</v>
      </c>
      <c r="M546" s="480" t="s">
        <v>6128</v>
      </c>
      <c r="N546" s="499">
        <v>230</v>
      </c>
      <c r="O546" s="480" t="s">
        <v>4966</v>
      </c>
      <c r="P546" s="515">
        <v>490</v>
      </c>
      <c r="Q546" s="485" t="s">
        <v>5318</v>
      </c>
      <c r="R546" s="485" t="s">
        <v>5608</v>
      </c>
      <c r="S546" s="485" t="s">
        <v>677</v>
      </c>
      <c r="T546" s="485" t="s">
        <v>5609</v>
      </c>
      <c r="U546" s="485" t="s">
        <v>4966</v>
      </c>
      <c r="V546" s="485">
        <v>0.34</v>
      </c>
      <c r="W546" s="485" t="s">
        <v>5610</v>
      </c>
      <c r="X546" s="485" t="s">
        <v>5611</v>
      </c>
      <c r="Y546" s="485" t="s">
        <v>5612</v>
      </c>
      <c r="Z546" s="486">
        <v>32996721.311475411</v>
      </c>
      <c r="AA546" s="486">
        <v>0</v>
      </c>
      <c r="AB546" s="486">
        <v>0</v>
      </c>
      <c r="AC546" s="486">
        <v>0</v>
      </c>
      <c r="AD546" s="486">
        <v>0</v>
      </c>
      <c r="AE546" s="486">
        <v>0</v>
      </c>
      <c r="AF546" s="486">
        <v>0</v>
      </c>
      <c r="AG546" s="486">
        <v>0</v>
      </c>
      <c r="AH546" s="487">
        <v>32996721.311475411</v>
      </c>
      <c r="AI546" s="486">
        <v>0</v>
      </c>
      <c r="AJ546" s="486">
        <v>0</v>
      </c>
      <c r="AK546" s="486">
        <v>7003278.6885245889</v>
      </c>
      <c r="AL546" s="488">
        <v>7003278.6885245889</v>
      </c>
      <c r="AM546" s="489">
        <v>40000000</v>
      </c>
      <c r="AN546" s="486">
        <v>34316590.163934425</v>
      </c>
      <c r="AO546" s="486">
        <v>0</v>
      </c>
      <c r="AP546" s="486">
        <v>0</v>
      </c>
      <c r="AQ546" s="486">
        <v>0</v>
      </c>
      <c r="AR546" s="486">
        <v>0</v>
      </c>
      <c r="AS546" s="486">
        <v>0</v>
      </c>
      <c r="AT546" s="486">
        <v>0</v>
      </c>
      <c r="AU546" s="486">
        <v>0</v>
      </c>
      <c r="AV546" s="487">
        <v>34316590.163934425</v>
      </c>
      <c r="AW546" s="486">
        <v>0</v>
      </c>
      <c r="AX546" s="486">
        <v>0</v>
      </c>
      <c r="AY546" s="486">
        <v>8883409.8360655755</v>
      </c>
      <c r="AZ546" s="488">
        <v>8883409.8360655755</v>
      </c>
      <c r="BA546" s="490">
        <v>43200000</v>
      </c>
      <c r="BB546" s="486">
        <v>35689253.770491801</v>
      </c>
      <c r="BC546" s="486">
        <v>0</v>
      </c>
      <c r="BD546" s="486">
        <v>0</v>
      </c>
      <c r="BE546" s="486">
        <v>0</v>
      </c>
      <c r="BF546" s="486">
        <v>0</v>
      </c>
      <c r="BG546" s="486">
        <v>0</v>
      </c>
      <c r="BH546" s="486">
        <v>0</v>
      </c>
      <c r="BI546" s="486">
        <v>0</v>
      </c>
      <c r="BJ546" s="487">
        <v>35689253.770491801</v>
      </c>
      <c r="BK546" s="486">
        <v>0</v>
      </c>
      <c r="BL546" s="486">
        <v>0</v>
      </c>
      <c r="BM546" s="486">
        <v>10966746.229508199</v>
      </c>
      <c r="BN546" s="488">
        <v>10966746.229508199</v>
      </c>
      <c r="BO546" s="490">
        <v>46656000</v>
      </c>
      <c r="BP546" s="486">
        <v>37116823.921311475</v>
      </c>
      <c r="BQ546" s="486">
        <v>0</v>
      </c>
      <c r="BR546" s="486">
        <v>0</v>
      </c>
      <c r="BS546" s="486">
        <v>0</v>
      </c>
      <c r="BT546" s="486">
        <v>0</v>
      </c>
      <c r="BU546" s="486">
        <v>0</v>
      </c>
      <c r="BV546" s="486">
        <v>0</v>
      </c>
      <c r="BW546" s="486">
        <v>0</v>
      </c>
      <c r="BX546" s="487">
        <v>37116823.921311475</v>
      </c>
      <c r="BY546" s="486">
        <v>0</v>
      </c>
      <c r="BZ546" s="486">
        <v>0</v>
      </c>
      <c r="CA546" s="486">
        <v>13271656.078688525</v>
      </c>
      <c r="CB546" s="488">
        <v>13271656.078688525</v>
      </c>
      <c r="CC546" s="491">
        <v>50388480</v>
      </c>
      <c r="CD546" s="492">
        <v>180244480</v>
      </c>
      <c r="CE546" s="493">
        <f t="shared" si="36"/>
        <v>140119389.16721311</v>
      </c>
      <c r="CF546" s="493">
        <f t="shared" si="36"/>
        <v>0</v>
      </c>
      <c r="CG546" s="493">
        <f t="shared" si="36"/>
        <v>0</v>
      </c>
      <c r="CH546" s="493">
        <f t="shared" si="36"/>
        <v>0</v>
      </c>
      <c r="CI546" s="493">
        <f t="shared" si="36"/>
        <v>0</v>
      </c>
      <c r="CJ546" s="493">
        <f t="shared" si="35"/>
        <v>0</v>
      </c>
      <c r="CK546" s="493">
        <f t="shared" si="35"/>
        <v>0</v>
      </c>
      <c r="CL546" s="493">
        <f t="shared" si="35"/>
        <v>0</v>
      </c>
      <c r="CM546" s="493">
        <f t="shared" si="38"/>
        <v>0</v>
      </c>
      <c r="CN546" s="493">
        <f t="shared" si="38"/>
        <v>0</v>
      </c>
      <c r="CO546" s="493">
        <f t="shared" si="38"/>
        <v>40125090.832786888</v>
      </c>
    </row>
    <row r="547" spans="1:93" ht="30.45" hidden="1" customHeight="1">
      <c r="A547" s="555" t="s">
        <v>4963</v>
      </c>
      <c r="B547" s="479">
        <v>545</v>
      </c>
      <c r="C547" s="480" t="s">
        <v>6371</v>
      </c>
      <c r="D547" s="480" t="s">
        <v>4967</v>
      </c>
      <c r="E547" s="480" t="str">
        <f t="shared" si="37"/>
        <v xml:space="preserve">5.2.3 </v>
      </c>
      <c r="F547" s="480" t="s">
        <v>4973</v>
      </c>
      <c r="G547" s="480" t="s">
        <v>4974</v>
      </c>
      <c r="H547" s="481">
        <v>41</v>
      </c>
      <c r="I547" s="480" t="s">
        <v>4242</v>
      </c>
      <c r="J547" s="495">
        <v>410200100</v>
      </c>
      <c r="K547" s="480" t="s">
        <v>4977</v>
      </c>
      <c r="L547" s="480" t="s">
        <v>4981</v>
      </c>
      <c r="M547" s="480" t="s">
        <v>6129</v>
      </c>
      <c r="N547" s="517">
        <v>6104</v>
      </c>
      <c r="O547" s="480" t="s">
        <v>4966</v>
      </c>
      <c r="P547" s="518">
        <v>12000</v>
      </c>
      <c r="Q547" s="485" t="s">
        <v>5318</v>
      </c>
      <c r="R547" s="485" t="s">
        <v>5608</v>
      </c>
      <c r="S547" s="485" t="s">
        <v>677</v>
      </c>
      <c r="T547" s="485" t="s">
        <v>5609</v>
      </c>
      <c r="U547" s="485" t="s">
        <v>4966</v>
      </c>
      <c r="V547" s="485">
        <v>0.34</v>
      </c>
      <c r="W547" s="485" t="s">
        <v>5610</v>
      </c>
      <c r="X547" s="485" t="s">
        <v>5611</v>
      </c>
      <c r="Y547" s="485" t="s">
        <v>5612</v>
      </c>
      <c r="Z547" s="486">
        <v>98990163.934426233</v>
      </c>
      <c r="AA547" s="486">
        <v>0</v>
      </c>
      <c r="AB547" s="486">
        <v>0</v>
      </c>
      <c r="AC547" s="486">
        <v>0</v>
      </c>
      <c r="AD547" s="486">
        <v>0</v>
      </c>
      <c r="AE547" s="486">
        <v>0</v>
      </c>
      <c r="AF547" s="486">
        <v>0</v>
      </c>
      <c r="AG547" s="486">
        <v>0</v>
      </c>
      <c r="AH547" s="487">
        <v>98990163.934426233</v>
      </c>
      <c r="AI547" s="486">
        <v>0</v>
      </c>
      <c r="AJ547" s="486">
        <v>0</v>
      </c>
      <c r="AK547" s="486">
        <v>21009836.065573767</v>
      </c>
      <c r="AL547" s="488">
        <v>21009836.065573767</v>
      </c>
      <c r="AM547" s="489">
        <v>120000000</v>
      </c>
      <c r="AN547" s="486">
        <v>102949770.4918033</v>
      </c>
      <c r="AO547" s="486">
        <v>0</v>
      </c>
      <c r="AP547" s="486">
        <v>0</v>
      </c>
      <c r="AQ547" s="486">
        <v>0</v>
      </c>
      <c r="AR547" s="486">
        <v>0</v>
      </c>
      <c r="AS547" s="486">
        <v>0</v>
      </c>
      <c r="AT547" s="486">
        <v>0</v>
      </c>
      <c r="AU547" s="486">
        <v>0</v>
      </c>
      <c r="AV547" s="487">
        <v>102949770.4918033</v>
      </c>
      <c r="AW547" s="486">
        <v>0</v>
      </c>
      <c r="AX547" s="486">
        <v>0</v>
      </c>
      <c r="AY547" s="486">
        <v>26650229.508196712</v>
      </c>
      <c r="AZ547" s="488">
        <v>26650229.508196712</v>
      </c>
      <c r="BA547" s="490">
        <v>129600000.00000001</v>
      </c>
      <c r="BB547" s="486">
        <v>107067761.31147544</v>
      </c>
      <c r="BC547" s="486">
        <v>0</v>
      </c>
      <c r="BD547" s="486">
        <v>0</v>
      </c>
      <c r="BE547" s="486">
        <v>0</v>
      </c>
      <c r="BF547" s="486">
        <v>0</v>
      </c>
      <c r="BG547" s="486">
        <v>0</v>
      </c>
      <c r="BH547" s="486">
        <v>0</v>
      </c>
      <c r="BI547" s="486">
        <v>0</v>
      </c>
      <c r="BJ547" s="487">
        <v>107067761.31147544</v>
      </c>
      <c r="BK547" s="486">
        <v>0</v>
      </c>
      <c r="BL547" s="486">
        <v>0</v>
      </c>
      <c r="BM547" s="486">
        <v>32900238.688524589</v>
      </c>
      <c r="BN547" s="488">
        <v>32900238.688524589</v>
      </c>
      <c r="BO547" s="490">
        <v>139968000.00000003</v>
      </c>
      <c r="BP547" s="486">
        <v>111350471.76393445</v>
      </c>
      <c r="BQ547" s="486">
        <v>0</v>
      </c>
      <c r="BR547" s="486">
        <v>0</v>
      </c>
      <c r="BS547" s="486">
        <v>0</v>
      </c>
      <c r="BT547" s="486">
        <v>0</v>
      </c>
      <c r="BU547" s="486">
        <v>0</v>
      </c>
      <c r="BV547" s="486">
        <v>0</v>
      </c>
      <c r="BW547" s="486">
        <v>0</v>
      </c>
      <c r="BX547" s="487">
        <v>111350471.76393445</v>
      </c>
      <c r="BY547" s="486">
        <v>0</v>
      </c>
      <c r="BZ547" s="486">
        <v>0</v>
      </c>
      <c r="CA547" s="486">
        <v>39814968.236065581</v>
      </c>
      <c r="CB547" s="488">
        <v>39814968.236065581</v>
      </c>
      <c r="CC547" s="491">
        <v>151165440.00000003</v>
      </c>
      <c r="CD547" s="492">
        <v>540733440</v>
      </c>
      <c r="CE547" s="493">
        <f t="shared" si="36"/>
        <v>420358167.50163943</v>
      </c>
      <c r="CF547" s="493">
        <f t="shared" si="36"/>
        <v>0</v>
      </c>
      <c r="CG547" s="493">
        <f t="shared" si="36"/>
        <v>0</v>
      </c>
      <c r="CH547" s="493">
        <f t="shared" si="36"/>
        <v>0</v>
      </c>
      <c r="CI547" s="493">
        <f t="shared" si="36"/>
        <v>0</v>
      </c>
      <c r="CJ547" s="493">
        <f t="shared" si="35"/>
        <v>0</v>
      </c>
      <c r="CK547" s="493">
        <f t="shared" si="35"/>
        <v>0</v>
      </c>
      <c r="CL547" s="493">
        <f t="shared" si="35"/>
        <v>0</v>
      </c>
      <c r="CM547" s="493">
        <f t="shared" si="38"/>
        <v>0</v>
      </c>
      <c r="CN547" s="493">
        <f t="shared" si="38"/>
        <v>0</v>
      </c>
      <c r="CO547" s="493">
        <f t="shared" si="38"/>
        <v>120375272.49836065</v>
      </c>
    </row>
    <row r="548" spans="1:93" ht="30.45" hidden="1" customHeight="1">
      <c r="A548" s="555" t="s">
        <v>4963</v>
      </c>
      <c r="B548" s="479">
        <v>546</v>
      </c>
      <c r="C548" s="480" t="s">
        <v>6371</v>
      </c>
      <c r="D548" s="480" t="s">
        <v>4967</v>
      </c>
      <c r="E548" s="480" t="str">
        <f t="shared" si="37"/>
        <v xml:space="preserve">5.2.3 </v>
      </c>
      <c r="F548" s="480" t="s">
        <v>4973</v>
      </c>
      <c r="G548" s="480" t="s">
        <v>4974</v>
      </c>
      <c r="H548" s="481">
        <v>41</v>
      </c>
      <c r="I548" s="480" t="s">
        <v>4312</v>
      </c>
      <c r="J548" s="495">
        <v>410301500</v>
      </c>
      <c r="K548" s="480" t="s">
        <v>4982</v>
      </c>
      <c r="L548" s="480" t="s">
        <v>4983</v>
      </c>
      <c r="M548" s="480" t="s">
        <v>6130</v>
      </c>
      <c r="N548" s="499">
        <v>123</v>
      </c>
      <c r="O548" s="480" t="s">
        <v>4966</v>
      </c>
      <c r="P548" s="515">
        <v>123</v>
      </c>
      <c r="Q548" s="485" t="s">
        <v>5318</v>
      </c>
      <c r="R548" s="485" t="s">
        <v>5608</v>
      </c>
      <c r="S548" s="485" t="s">
        <v>677</v>
      </c>
      <c r="T548" s="485" t="s">
        <v>5609</v>
      </c>
      <c r="U548" s="485" t="s">
        <v>4966</v>
      </c>
      <c r="V548" s="485">
        <v>0.34</v>
      </c>
      <c r="W548" s="485" t="s">
        <v>5610</v>
      </c>
      <c r="X548" s="485" t="s">
        <v>5611</v>
      </c>
      <c r="Y548" s="485" t="s">
        <v>5612</v>
      </c>
      <c r="Z548" s="486">
        <v>32996721.311475411</v>
      </c>
      <c r="AA548" s="486">
        <v>0</v>
      </c>
      <c r="AB548" s="486">
        <v>0</v>
      </c>
      <c r="AC548" s="486">
        <v>0</v>
      </c>
      <c r="AD548" s="486">
        <v>0</v>
      </c>
      <c r="AE548" s="486">
        <v>0</v>
      </c>
      <c r="AF548" s="486">
        <v>0</v>
      </c>
      <c r="AG548" s="486">
        <v>0</v>
      </c>
      <c r="AH548" s="487">
        <v>32996721.311475411</v>
      </c>
      <c r="AI548" s="486">
        <v>0</v>
      </c>
      <c r="AJ548" s="486">
        <v>0</v>
      </c>
      <c r="AK548" s="486">
        <v>7003278.6885245889</v>
      </c>
      <c r="AL548" s="488">
        <v>7003278.6885245889</v>
      </c>
      <c r="AM548" s="489">
        <v>40000000</v>
      </c>
      <c r="AN548" s="486">
        <v>34316590.163934425</v>
      </c>
      <c r="AO548" s="486">
        <v>0</v>
      </c>
      <c r="AP548" s="486">
        <v>0</v>
      </c>
      <c r="AQ548" s="486">
        <v>0</v>
      </c>
      <c r="AR548" s="486">
        <v>0</v>
      </c>
      <c r="AS548" s="486">
        <v>0</v>
      </c>
      <c r="AT548" s="486">
        <v>0</v>
      </c>
      <c r="AU548" s="486">
        <v>0</v>
      </c>
      <c r="AV548" s="487">
        <v>34316590.163934425</v>
      </c>
      <c r="AW548" s="486">
        <v>0</v>
      </c>
      <c r="AX548" s="486">
        <v>0</v>
      </c>
      <c r="AY548" s="486">
        <v>8883409.8360655755</v>
      </c>
      <c r="AZ548" s="488">
        <v>8883409.8360655755</v>
      </c>
      <c r="BA548" s="490">
        <v>43200000</v>
      </c>
      <c r="BB548" s="486">
        <v>35689253.770491801</v>
      </c>
      <c r="BC548" s="486">
        <v>0</v>
      </c>
      <c r="BD548" s="486">
        <v>0</v>
      </c>
      <c r="BE548" s="486">
        <v>0</v>
      </c>
      <c r="BF548" s="486">
        <v>0</v>
      </c>
      <c r="BG548" s="486">
        <v>0</v>
      </c>
      <c r="BH548" s="486">
        <v>0</v>
      </c>
      <c r="BI548" s="486">
        <v>0</v>
      </c>
      <c r="BJ548" s="487">
        <v>35689253.770491801</v>
      </c>
      <c r="BK548" s="486">
        <v>0</v>
      </c>
      <c r="BL548" s="486">
        <v>0</v>
      </c>
      <c r="BM548" s="486">
        <v>10966746.229508199</v>
      </c>
      <c r="BN548" s="488">
        <v>10966746.229508199</v>
      </c>
      <c r="BO548" s="490">
        <v>46656000</v>
      </c>
      <c r="BP548" s="486">
        <v>37116823.921311475</v>
      </c>
      <c r="BQ548" s="486">
        <v>0</v>
      </c>
      <c r="BR548" s="486">
        <v>0</v>
      </c>
      <c r="BS548" s="486">
        <v>0</v>
      </c>
      <c r="BT548" s="486">
        <v>0</v>
      </c>
      <c r="BU548" s="486">
        <v>0</v>
      </c>
      <c r="BV548" s="486">
        <v>0</v>
      </c>
      <c r="BW548" s="486">
        <v>0</v>
      </c>
      <c r="BX548" s="487">
        <v>37116823.921311475</v>
      </c>
      <c r="BY548" s="486">
        <v>0</v>
      </c>
      <c r="BZ548" s="486">
        <v>0</v>
      </c>
      <c r="CA548" s="486">
        <v>13271656.078688525</v>
      </c>
      <c r="CB548" s="488">
        <v>13271656.078688525</v>
      </c>
      <c r="CC548" s="491">
        <v>50388480</v>
      </c>
      <c r="CD548" s="492">
        <v>180244480</v>
      </c>
      <c r="CE548" s="493">
        <f t="shared" si="36"/>
        <v>140119389.16721311</v>
      </c>
      <c r="CF548" s="493">
        <f t="shared" si="36"/>
        <v>0</v>
      </c>
      <c r="CG548" s="493">
        <f t="shared" si="36"/>
        <v>0</v>
      </c>
      <c r="CH548" s="493">
        <f t="shared" si="36"/>
        <v>0</v>
      </c>
      <c r="CI548" s="493">
        <f t="shared" si="36"/>
        <v>0</v>
      </c>
      <c r="CJ548" s="493">
        <f t="shared" si="35"/>
        <v>0</v>
      </c>
      <c r="CK548" s="493">
        <f t="shared" si="35"/>
        <v>0</v>
      </c>
      <c r="CL548" s="493">
        <f t="shared" si="35"/>
        <v>0</v>
      </c>
      <c r="CM548" s="493">
        <f t="shared" si="38"/>
        <v>0</v>
      </c>
      <c r="CN548" s="493">
        <f t="shared" si="38"/>
        <v>0</v>
      </c>
      <c r="CO548" s="493">
        <f t="shared" si="38"/>
        <v>40125090.832786888</v>
      </c>
    </row>
    <row r="549" spans="1:93" ht="30.45" hidden="1" customHeight="1">
      <c r="A549" s="555" t="s">
        <v>4963</v>
      </c>
      <c r="B549" s="479">
        <v>547</v>
      </c>
      <c r="C549" s="480" t="s">
        <v>6371</v>
      </c>
      <c r="D549" s="480" t="s">
        <v>4967</v>
      </c>
      <c r="E549" s="480" t="str">
        <f t="shared" si="37"/>
        <v xml:space="preserve">5.2.3 </v>
      </c>
      <c r="F549" s="480" t="s">
        <v>4973</v>
      </c>
      <c r="G549" s="480" t="s">
        <v>4974</v>
      </c>
      <c r="H549" s="481">
        <v>41</v>
      </c>
      <c r="I549" s="480" t="s">
        <v>4242</v>
      </c>
      <c r="J549" s="495">
        <v>410204100</v>
      </c>
      <c r="K549" s="480" t="s">
        <v>4984</v>
      </c>
      <c r="L549" s="480" t="s">
        <v>4962</v>
      </c>
      <c r="M549" s="480" t="s">
        <v>6131</v>
      </c>
      <c r="N549" s="499">
        <v>123</v>
      </c>
      <c r="O549" s="480" t="s">
        <v>4966</v>
      </c>
      <c r="P549" s="515">
        <v>123</v>
      </c>
      <c r="Q549" s="485" t="s">
        <v>5318</v>
      </c>
      <c r="R549" s="485" t="s">
        <v>5608</v>
      </c>
      <c r="S549" s="485" t="s">
        <v>677</v>
      </c>
      <c r="T549" s="485" t="s">
        <v>5609</v>
      </c>
      <c r="U549" s="485" t="s">
        <v>4966</v>
      </c>
      <c r="V549" s="485">
        <v>0.34</v>
      </c>
      <c r="W549" s="485" t="s">
        <v>5610</v>
      </c>
      <c r="X549" s="485" t="s">
        <v>5611</v>
      </c>
      <c r="Y549" s="485" t="s">
        <v>5612</v>
      </c>
      <c r="Z549" s="486">
        <v>32996721.311475411</v>
      </c>
      <c r="AA549" s="486">
        <v>0</v>
      </c>
      <c r="AB549" s="486">
        <v>0</v>
      </c>
      <c r="AC549" s="486">
        <v>0</v>
      </c>
      <c r="AD549" s="486">
        <v>0</v>
      </c>
      <c r="AE549" s="486">
        <v>0</v>
      </c>
      <c r="AF549" s="486">
        <v>0</v>
      </c>
      <c r="AG549" s="486">
        <v>0</v>
      </c>
      <c r="AH549" s="487">
        <v>32996721.311475411</v>
      </c>
      <c r="AI549" s="486">
        <v>0</v>
      </c>
      <c r="AJ549" s="486">
        <v>0</v>
      </c>
      <c r="AK549" s="486">
        <v>7003278.6885245889</v>
      </c>
      <c r="AL549" s="488">
        <v>7003278.6885245889</v>
      </c>
      <c r="AM549" s="489">
        <v>40000000</v>
      </c>
      <c r="AN549" s="486">
        <v>34316590.163934425</v>
      </c>
      <c r="AO549" s="486">
        <v>0</v>
      </c>
      <c r="AP549" s="486">
        <v>0</v>
      </c>
      <c r="AQ549" s="486">
        <v>0</v>
      </c>
      <c r="AR549" s="486">
        <v>0</v>
      </c>
      <c r="AS549" s="486">
        <v>0</v>
      </c>
      <c r="AT549" s="486">
        <v>0</v>
      </c>
      <c r="AU549" s="486">
        <v>0</v>
      </c>
      <c r="AV549" s="487">
        <v>34316590.163934425</v>
      </c>
      <c r="AW549" s="486">
        <v>0</v>
      </c>
      <c r="AX549" s="486">
        <v>0</v>
      </c>
      <c r="AY549" s="486">
        <v>8883409.8360655755</v>
      </c>
      <c r="AZ549" s="488">
        <v>8883409.8360655755</v>
      </c>
      <c r="BA549" s="490">
        <v>43200000</v>
      </c>
      <c r="BB549" s="486">
        <v>35689253.770491801</v>
      </c>
      <c r="BC549" s="486">
        <v>0</v>
      </c>
      <c r="BD549" s="486">
        <v>0</v>
      </c>
      <c r="BE549" s="486">
        <v>0</v>
      </c>
      <c r="BF549" s="486">
        <v>0</v>
      </c>
      <c r="BG549" s="486">
        <v>0</v>
      </c>
      <c r="BH549" s="486">
        <v>0</v>
      </c>
      <c r="BI549" s="486">
        <v>0</v>
      </c>
      <c r="BJ549" s="487">
        <v>35689253.770491801</v>
      </c>
      <c r="BK549" s="486">
        <v>0</v>
      </c>
      <c r="BL549" s="486">
        <v>0</v>
      </c>
      <c r="BM549" s="486">
        <v>10966746.229508199</v>
      </c>
      <c r="BN549" s="488">
        <v>10966746.229508199</v>
      </c>
      <c r="BO549" s="490">
        <v>46656000</v>
      </c>
      <c r="BP549" s="486">
        <v>37116823.921311475</v>
      </c>
      <c r="BQ549" s="486">
        <v>0</v>
      </c>
      <c r="BR549" s="486">
        <v>0</v>
      </c>
      <c r="BS549" s="486">
        <v>0</v>
      </c>
      <c r="BT549" s="486">
        <v>0</v>
      </c>
      <c r="BU549" s="486">
        <v>0</v>
      </c>
      <c r="BV549" s="486">
        <v>0</v>
      </c>
      <c r="BW549" s="486">
        <v>0</v>
      </c>
      <c r="BX549" s="487">
        <v>37116823.921311475</v>
      </c>
      <c r="BY549" s="486">
        <v>0</v>
      </c>
      <c r="BZ549" s="486">
        <v>0</v>
      </c>
      <c r="CA549" s="486">
        <v>13271656.078688525</v>
      </c>
      <c r="CB549" s="488">
        <v>13271656.078688525</v>
      </c>
      <c r="CC549" s="491">
        <v>50388480</v>
      </c>
      <c r="CD549" s="492">
        <v>180244480</v>
      </c>
      <c r="CE549" s="493">
        <f t="shared" si="36"/>
        <v>140119389.16721311</v>
      </c>
      <c r="CF549" s="493">
        <f t="shared" si="36"/>
        <v>0</v>
      </c>
      <c r="CG549" s="493">
        <f t="shared" si="36"/>
        <v>0</v>
      </c>
      <c r="CH549" s="493">
        <f t="shared" si="36"/>
        <v>0</v>
      </c>
      <c r="CI549" s="493">
        <f t="shared" si="36"/>
        <v>0</v>
      </c>
      <c r="CJ549" s="493">
        <f t="shared" si="35"/>
        <v>0</v>
      </c>
      <c r="CK549" s="493">
        <f t="shared" si="35"/>
        <v>0</v>
      </c>
      <c r="CL549" s="493">
        <f t="shared" si="35"/>
        <v>0</v>
      </c>
      <c r="CM549" s="493">
        <f t="shared" si="38"/>
        <v>0</v>
      </c>
      <c r="CN549" s="493">
        <f t="shared" si="38"/>
        <v>0</v>
      </c>
      <c r="CO549" s="493">
        <f t="shared" si="38"/>
        <v>40125090.832786888</v>
      </c>
    </row>
    <row r="550" spans="1:93" ht="30.45" hidden="1" customHeight="1">
      <c r="A550" s="555" t="s">
        <v>4954</v>
      </c>
      <c r="B550" s="479">
        <v>548</v>
      </c>
      <c r="C550" s="480" t="s">
        <v>6371</v>
      </c>
      <c r="D550" s="480" t="s">
        <v>4967</v>
      </c>
      <c r="E550" s="480" t="str">
        <f t="shared" si="37"/>
        <v xml:space="preserve">5.2.4 </v>
      </c>
      <c r="F550" s="480" t="s">
        <v>6390</v>
      </c>
      <c r="G550" s="480" t="s">
        <v>4985</v>
      </c>
      <c r="H550" s="481">
        <v>41</v>
      </c>
      <c r="I550" s="480" t="s">
        <v>4242</v>
      </c>
      <c r="J550" s="495">
        <v>410203800</v>
      </c>
      <c r="K550" s="480" t="s">
        <v>4986</v>
      </c>
      <c r="L550" s="480" t="s">
        <v>4987</v>
      </c>
      <c r="M550" s="480" t="s">
        <v>6132</v>
      </c>
      <c r="N550" s="499">
        <v>50</v>
      </c>
      <c r="O550" s="480" t="s">
        <v>4956</v>
      </c>
      <c r="P550" s="515">
        <v>50</v>
      </c>
      <c r="Q550" s="485" t="s">
        <v>5318</v>
      </c>
      <c r="R550" s="485" t="s">
        <v>5613</v>
      </c>
      <c r="S550" s="485" t="s">
        <v>5614</v>
      </c>
      <c r="T550" s="485">
        <v>147</v>
      </c>
      <c r="U550" s="485" t="s">
        <v>5615</v>
      </c>
      <c r="V550" s="485">
        <v>90</v>
      </c>
      <c r="W550" s="485" t="s">
        <v>5357</v>
      </c>
      <c r="X550" s="485">
        <v>16</v>
      </c>
      <c r="Y550" s="485" t="s">
        <v>5597</v>
      </c>
      <c r="Z550" s="486">
        <v>0</v>
      </c>
      <c r="AA550" s="486">
        <v>0</v>
      </c>
      <c r="AB550" s="486">
        <v>0</v>
      </c>
      <c r="AC550" s="486">
        <v>0</v>
      </c>
      <c r="AD550" s="486">
        <v>0</v>
      </c>
      <c r="AE550" s="486">
        <v>68000000</v>
      </c>
      <c r="AF550" s="486">
        <v>0</v>
      </c>
      <c r="AG550" s="486">
        <v>0</v>
      </c>
      <c r="AH550" s="487">
        <v>68000000</v>
      </c>
      <c r="AI550" s="486">
        <v>0</v>
      </c>
      <c r="AJ550" s="486">
        <v>0</v>
      </c>
      <c r="AK550" s="486">
        <v>0</v>
      </c>
      <c r="AL550" s="488">
        <v>0</v>
      </c>
      <c r="AM550" s="489">
        <v>68000000</v>
      </c>
      <c r="AN550" s="486">
        <v>20000000</v>
      </c>
      <c r="AO550" s="486">
        <v>0</v>
      </c>
      <c r="AP550" s="486">
        <v>0</v>
      </c>
      <c r="AQ550" s="486">
        <v>0</v>
      </c>
      <c r="AR550" s="486">
        <v>0</v>
      </c>
      <c r="AS550" s="486">
        <v>50000000</v>
      </c>
      <c r="AT550" s="486">
        <v>0</v>
      </c>
      <c r="AU550" s="486">
        <v>0</v>
      </c>
      <c r="AV550" s="487">
        <v>70000000</v>
      </c>
      <c r="AW550" s="486">
        <v>0</v>
      </c>
      <c r="AX550" s="486">
        <v>0</v>
      </c>
      <c r="AY550" s="486">
        <v>0</v>
      </c>
      <c r="AZ550" s="488">
        <v>0</v>
      </c>
      <c r="BA550" s="490">
        <v>70000000</v>
      </c>
      <c r="BB550" s="486">
        <v>22000000</v>
      </c>
      <c r="BC550" s="486">
        <v>0</v>
      </c>
      <c r="BD550" s="486">
        <v>0</v>
      </c>
      <c r="BE550" s="486">
        <v>0</v>
      </c>
      <c r="BF550" s="486">
        <v>0</v>
      </c>
      <c r="BG550" s="486">
        <v>50000000</v>
      </c>
      <c r="BH550" s="486">
        <v>0</v>
      </c>
      <c r="BI550" s="486">
        <v>0</v>
      </c>
      <c r="BJ550" s="487">
        <v>72000000</v>
      </c>
      <c r="BK550" s="486">
        <v>0</v>
      </c>
      <c r="BL550" s="486">
        <v>0</v>
      </c>
      <c r="BM550" s="486">
        <v>0</v>
      </c>
      <c r="BN550" s="488">
        <v>0</v>
      </c>
      <c r="BO550" s="490">
        <v>72000000</v>
      </c>
      <c r="BP550" s="486">
        <v>23000000</v>
      </c>
      <c r="BQ550" s="486">
        <v>0</v>
      </c>
      <c r="BR550" s="486">
        <v>0</v>
      </c>
      <c r="BS550" s="486">
        <v>0</v>
      </c>
      <c r="BT550" s="486">
        <v>0</v>
      </c>
      <c r="BU550" s="486">
        <v>50392441</v>
      </c>
      <c r="BV550" s="486">
        <v>0</v>
      </c>
      <c r="BW550" s="486">
        <v>0</v>
      </c>
      <c r="BX550" s="487">
        <v>73392441</v>
      </c>
      <c r="BY550" s="486">
        <v>0</v>
      </c>
      <c r="BZ550" s="486">
        <v>0</v>
      </c>
      <c r="CA550" s="486">
        <v>0</v>
      </c>
      <c r="CB550" s="488">
        <v>0</v>
      </c>
      <c r="CC550" s="491">
        <v>73392441</v>
      </c>
      <c r="CD550" s="492">
        <v>283392441</v>
      </c>
      <c r="CE550" s="493">
        <f t="shared" si="36"/>
        <v>65000000</v>
      </c>
      <c r="CF550" s="493">
        <f t="shared" si="36"/>
        <v>0</v>
      </c>
      <c r="CG550" s="493">
        <f t="shared" si="36"/>
        <v>0</v>
      </c>
      <c r="CH550" s="493">
        <f t="shared" si="36"/>
        <v>0</v>
      </c>
      <c r="CI550" s="493">
        <f t="shared" si="36"/>
        <v>0</v>
      </c>
      <c r="CJ550" s="493">
        <f t="shared" si="35"/>
        <v>218392441</v>
      </c>
      <c r="CK550" s="493">
        <f t="shared" si="35"/>
        <v>0</v>
      </c>
      <c r="CL550" s="493">
        <f t="shared" si="35"/>
        <v>0</v>
      </c>
      <c r="CM550" s="493">
        <f t="shared" si="38"/>
        <v>0</v>
      </c>
      <c r="CN550" s="493">
        <f t="shared" si="38"/>
        <v>0</v>
      </c>
      <c r="CO550" s="493">
        <f t="shared" si="38"/>
        <v>0</v>
      </c>
    </row>
    <row r="551" spans="1:93" ht="30.45" hidden="1" customHeight="1">
      <c r="A551" s="555" t="s">
        <v>4954</v>
      </c>
      <c r="B551" s="479">
        <v>549</v>
      </c>
      <c r="C551" s="480" t="s">
        <v>6371</v>
      </c>
      <c r="D551" s="480" t="s">
        <v>4967</v>
      </c>
      <c r="E551" s="480" t="str">
        <f t="shared" si="37"/>
        <v xml:space="preserve">5.2.4 </v>
      </c>
      <c r="F551" s="480" t="s">
        <v>6390</v>
      </c>
      <c r="G551" s="480" t="s">
        <v>4985</v>
      </c>
      <c r="H551" s="481">
        <v>41</v>
      </c>
      <c r="I551" s="480" t="s">
        <v>4242</v>
      </c>
      <c r="J551" s="495">
        <v>410202700</v>
      </c>
      <c r="K551" s="480" t="s">
        <v>4850</v>
      </c>
      <c r="L551" s="480" t="s">
        <v>4988</v>
      </c>
      <c r="M551" s="480" t="s">
        <v>6133</v>
      </c>
      <c r="N551" s="499">
        <v>1</v>
      </c>
      <c r="O551" s="480" t="s">
        <v>4956</v>
      </c>
      <c r="P551" s="515">
        <v>1</v>
      </c>
      <c r="Q551" s="485" t="s">
        <v>5318</v>
      </c>
      <c r="R551" s="485" t="s">
        <v>5613</v>
      </c>
      <c r="S551" s="485" t="s">
        <v>5614</v>
      </c>
      <c r="T551" s="485">
        <v>147</v>
      </c>
      <c r="U551" s="485" t="s">
        <v>5615</v>
      </c>
      <c r="V551" s="485">
        <v>90</v>
      </c>
      <c r="W551" s="485" t="s">
        <v>5357</v>
      </c>
      <c r="X551" s="485">
        <v>16</v>
      </c>
      <c r="Y551" s="485" t="s">
        <v>5597</v>
      </c>
      <c r="Z551" s="486">
        <v>0</v>
      </c>
      <c r="AA551" s="486">
        <v>0</v>
      </c>
      <c r="AB551" s="486">
        <v>0</v>
      </c>
      <c r="AC551" s="486">
        <v>0</v>
      </c>
      <c r="AD551" s="486">
        <v>0</v>
      </c>
      <c r="AE551" s="486">
        <v>20000000</v>
      </c>
      <c r="AF551" s="486">
        <v>0</v>
      </c>
      <c r="AG551" s="486">
        <v>0</v>
      </c>
      <c r="AH551" s="487">
        <v>20000000</v>
      </c>
      <c r="AI551" s="486">
        <v>0</v>
      </c>
      <c r="AJ551" s="486">
        <v>0</v>
      </c>
      <c r="AK551" s="486">
        <v>0</v>
      </c>
      <c r="AL551" s="488">
        <v>0</v>
      </c>
      <c r="AM551" s="489">
        <v>20000000</v>
      </c>
      <c r="AN551" s="486">
        <v>0</v>
      </c>
      <c r="AO551" s="486">
        <v>0</v>
      </c>
      <c r="AP551" s="486">
        <v>0</v>
      </c>
      <c r="AQ551" s="486">
        <v>0</v>
      </c>
      <c r="AR551" s="486">
        <v>0</v>
      </c>
      <c r="AS551" s="486">
        <v>22000000</v>
      </c>
      <c r="AT551" s="486">
        <v>0</v>
      </c>
      <c r="AU551" s="486">
        <v>0</v>
      </c>
      <c r="AV551" s="487">
        <v>22000000</v>
      </c>
      <c r="AW551" s="486">
        <v>0</v>
      </c>
      <c r="AX551" s="486">
        <v>0</v>
      </c>
      <c r="AY551" s="486">
        <v>0</v>
      </c>
      <c r="AZ551" s="488">
        <v>0</v>
      </c>
      <c r="BA551" s="490">
        <v>22000000</v>
      </c>
      <c r="BB551" s="486">
        <v>0</v>
      </c>
      <c r="BC551" s="486">
        <v>0</v>
      </c>
      <c r="BD551" s="486">
        <v>0</v>
      </c>
      <c r="BE551" s="486">
        <v>0</v>
      </c>
      <c r="BF551" s="486">
        <v>0</v>
      </c>
      <c r="BG551" s="486">
        <v>24200000</v>
      </c>
      <c r="BH551" s="486">
        <v>0</v>
      </c>
      <c r="BI551" s="486">
        <v>0</v>
      </c>
      <c r="BJ551" s="487">
        <v>24200000</v>
      </c>
      <c r="BK551" s="486">
        <v>0</v>
      </c>
      <c r="BL551" s="486">
        <v>0</v>
      </c>
      <c r="BM551" s="486">
        <v>0</v>
      </c>
      <c r="BN551" s="488">
        <v>0</v>
      </c>
      <c r="BO551" s="490">
        <v>24200000</v>
      </c>
      <c r="BP551" s="486">
        <v>0</v>
      </c>
      <c r="BQ551" s="486">
        <v>0</v>
      </c>
      <c r="BR551" s="486">
        <v>0</v>
      </c>
      <c r="BS551" s="486">
        <v>0</v>
      </c>
      <c r="BT551" s="486">
        <v>0</v>
      </c>
      <c r="BU551" s="486">
        <v>26620000</v>
      </c>
      <c r="BV551" s="486">
        <v>0</v>
      </c>
      <c r="BW551" s="486">
        <v>0</v>
      </c>
      <c r="BX551" s="487">
        <v>26620000</v>
      </c>
      <c r="BY551" s="486">
        <v>0</v>
      </c>
      <c r="BZ551" s="486">
        <v>0</v>
      </c>
      <c r="CA551" s="486">
        <v>0</v>
      </c>
      <c r="CB551" s="488">
        <v>0</v>
      </c>
      <c r="CC551" s="491">
        <v>26620000</v>
      </c>
      <c r="CD551" s="492">
        <v>92820000</v>
      </c>
      <c r="CE551" s="493">
        <f t="shared" si="36"/>
        <v>0</v>
      </c>
      <c r="CF551" s="493">
        <f t="shared" si="36"/>
        <v>0</v>
      </c>
      <c r="CG551" s="493">
        <f t="shared" si="36"/>
        <v>0</v>
      </c>
      <c r="CH551" s="493">
        <f t="shared" si="36"/>
        <v>0</v>
      </c>
      <c r="CI551" s="493">
        <f t="shared" si="36"/>
        <v>0</v>
      </c>
      <c r="CJ551" s="493">
        <f t="shared" si="35"/>
        <v>92820000</v>
      </c>
      <c r="CK551" s="493">
        <f t="shared" si="35"/>
        <v>0</v>
      </c>
      <c r="CL551" s="493">
        <f t="shared" si="35"/>
        <v>0</v>
      </c>
      <c r="CM551" s="493">
        <f t="shared" si="38"/>
        <v>0</v>
      </c>
      <c r="CN551" s="493">
        <f t="shared" si="38"/>
        <v>0</v>
      </c>
      <c r="CO551" s="493">
        <f t="shared" si="38"/>
        <v>0</v>
      </c>
    </row>
    <row r="552" spans="1:93" ht="30.45" hidden="1" customHeight="1">
      <c r="A552" s="555" t="s">
        <v>4954</v>
      </c>
      <c r="B552" s="479">
        <v>550</v>
      </c>
      <c r="C552" s="480" t="s">
        <v>6371</v>
      </c>
      <c r="D552" s="480" t="s">
        <v>4967</v>
      </c>
      <c r="E552" s="480" t="str">
        <f t="shared" si="37"/>
        <v xml:space="preserve">5.2.4 </v>
      </c>
      <c r="F552" s="480" t="s">
        <v>6390</v>
      </c>
      <c r="G552" s="480" t="s">
        <v>4985</v>
      </c>
      <c r="H552" s="481">
        <v>41</v>
      </c>
      <c r="I552" s="480" t="s">
        <v>4242</v>
      </c>
      <c r="J552" s="495">
        <v>410204502</v>
      </c>
      <c r="K552" s="480" t="s">
        <v>4008</v>
      </c>
      <c r="L552" s="480" t="s">
        <v>4246</v>
      </c>
      <c r="M552" s="480" t="s">
        <v>6134</v>
      </c>
      <c r="N552" s="499">
        <v>50</v>
      </c>
      <c r="O552" s="480" t="s">
        <v>4956</v>
      </c>
      <c r="P552" s="515">
        <v>50</v>
      </c>
      <c r="Q552" s="485" t="s">
        <v>5318</v>
      </c>
      <c r="R552" s="485" t="s">
        <v>5613</v>
      </c>
      <c r="S552" s="485" t="s">
        <v>5614</v>
      </c>
      <c r="T552" s="485">
        <v>147</v>
      </c>
      <c r="U552" s="485" t="s">
        <v>5615</v>
      </c>
      <c r="V552" s="485">
        <v>90</v>
      </c>
      <c r="W552" s="485" t="s">
        <v>5357</v>
      </c>
      <c r="X552" s="485">
        <v>16</v>
      </c>
      <c r="Y552" s="485" t="s">
        <v>5597</v>
      </c>
      <c r="Z552" s="486">
        <v>0</v>
      </c>
      <c r="AA552" s="486">
        <v>0</v>
      </c>
      <c r="AB552" s="486">
        <v>0</v>
      </c>
      <c r="AC552" s="486">
        <v>0</v>
      </c>
      <c r="AD552" s="486">
        <v>0</v>
      </c>
      <c r="AE552" s="486">
        <v>71000000</v>
      </c>
      <c r="AF552" s="486">
        <v>0</v>
      </c>
      <c r="AG552" s="486">
        <v>0</v>
      </c>
      <c r="AH552" s="487">
        <v>71000000</v>
      </c>
      <c r="AI552" s="486">
        <v>0</v>
      </c>
      <c r="AJ552" s="486">
        <v>0</v>
      </c>
      <c r="AK552" s="486">
        <v>0</v>
      </c>
      <c r="AL552" s="488">
        <v>0</v>
      </c>
      <c r="AM552" s="489">
        <v>71000000</v>
      </c>
      <c r="AN552" s="486">
        <v>0</v>
      </c>
      <c r="AO552" s="486">
        <v>0</v>
      </c>
      <c r="AP552" s="486">
        <v>0</v>
      </c>
      <c r="AQ552" s="486">
        <v>0</v>
      </c>
      <c r="AR552" s="486">
        <v>0</v>
      </c>
      <c r="AS552" s="486">
        <v>72000000</v>
      </c>
      <c r="AT552" s="486">
        <v>0</v>
      </c>
      <c r="AU552" s="486">
        <v>0</v>
      </c>
      <c r="AV552" s="487">
        <v>72000000</v>
      </c>
      <c r="AW552" s="486">
        <v>0</v>
      </c>
      <c r="AX552" s="486">
        <v>0</v>
      </c>
      <c r="AY552" s="486">
        <v>0</v>
      </c>
      <c r="AZ552" s="488">
        <v>0</v>
      </c>
      <c r="BA552" s="490">
        <v>72000000</v>
      </c>
      <c r="BB552" s="486">
        <v>0</v>
      </c>
      <c r="BC552" s="486">
        <v>0</v>
      </c>
      <c r="BD552" s="486">
        <v>0</v>
      </c>
      <c r="BE552" s="486">
        <v>0</v>
      </c>
      <c r="BF552" s="486">
        <v>0</v>
      </c>
      <c r="BG552" s="486">
        <v>73000000</v>
      </c>
      <c r="BH552" s="486">
        <v>0</v>
      </c>
      <c r="BI552" s="486">
        <v>0</v>
      </c>
      <c r="BJ552" s="487">
        <v>73000000</v>
      </c>
      <c r="BK552" s="486">
        <v>0</v>
      </c>
      <c r="BL552" s="486">
        <v>0</v>
      </c>
      <c r="BM552" s="486">
        <v>0</v>
      </c>
      <c r="BN552" s="488">
        <v>0</v>
      </c>
      <c r="BO552" s="490">
        <v>73000000</v>
      </c>
      <c r="BP552" s="486">
        <v>0</v>
      </c>
      <c r="BQ552" s="486">
        <v>0</v>
      </c>
      <c r="BR552" s="486">
        <v>0</v>
      </c>
      <c r="BS552" s="486">
        <v>0</v>
      </c>
      <c r="BT552" s="486">
        <v>0</v>
      </c>
      <c r="BU552" s="486">
        <v>73991000</v>
      </c>
      <c r="BV552" s="486">
        <v>0</v>
      </c>
      <c r="BW552" s="486">
        <v>0</v>
      </c>
      <c r="BX552" s="487">
        <v>73991000</v>
      </c>
      <c r="BY552" s="486">
        <v>0</v>
      </c>
      <c r="BZ552" s="486">
        <v>0</v>
      </c>
      <c r="CA552" s="486">
        <v>0</v>
      </c>
      <c r="CB552" s="488">
        <v>0</v>
      </c>
      <c r="CC552" s="491">
        <v>73991000</v>
      </c>
      <c r="CD552" s="492">
        <v>289991000</v>
      </c>
      <c r="CE552" s="493">
        <f t="shared" si="36"/>
        <v>0</v>
      </c>
      <c r="CF552" s="493">
        <f t="shared" si="36"/>
        <v>0</v>
      </c>
      <c r="CG552" s="493">
        <f t="shared" si="36"/>
        <v>0</v>
      </c>
      <c r="CH552" s="493">
        <f t="shared" si="36"/>
        <v>0</v>
      </c>
      <c r="CI552" s="493">
        <f t="shared" si="36"/>
        <v>0</v>
      </c>
      <c r="CJ552" s="493">
        <f t="shared" si="35"/>
        <v>289991000</v>
      </c>
      <c r="CK552" s="493">
        <f t="shared" si="35"/>
        <v>0</v>
      </c>
      <c r="CL552" s="493">
        <f t="shared" si="35"/>
        <v>0</v>
      </c>
      <c r="CM552" s="493">
        <f t="shared" si="38"/>
        <v>0</v>
      </c>
      <c r="CN552" s="493">
        <f t="shared" si="38"/>
        <v>0</v>
      </c>
      <c r="CO552" s="493">
        <f t="shared" si="38"/>
        <v>0</v>
      </c>
    </row>
    <row r="553" spans="1:93" ht="30.45" hidden="1" customHeight="1">
      <c r="A553" s="555" t="s">
        <v>4954</v>
      </c>
      <c r="B553" s="479">
        <v>551</v>
      </c>
      <c r="C553" s="480" t="s">
        <v>6371</v>
      </c>
      <c r="D553" s="480" t="s">
        <v>4967</v>
      </c>
      <c r="E553" s="480" t="str">
        <f t="shared" si="37"/>
        <v xml:space="preserve">5.2.4 </v>
      </c>
      <c r="F553" s="480" t="s">
        <v>6390</v>
      </c>
      <c r="G553" s="480" t="s">
        <v>4985</v>
      </c>
      <c r="H553" s="481">
        <v>41</v>
      </c>
      <c r="I553" s="480" t="s">
        <v>4242</v>
      </c>
      <c r="J553" s="495">
        <v>410204300</v>
      </c>
      <c r="K553" s="480" t="s">
        <v>4989</v>
      </c>
      <c r="L553" s="480" t="s">
        <v>4990</v>
      </c>
      <c r="M553" s="480" t="s">
        <v>6135</v>
      </c>
      <c r="N553" s="499">
        <v>50</v>
      </c>
      <c r="O553" s="480" t="s">
        <v>4956</v>
      </c>
      <c r="P553" s="515">
        <v>50</v>
      </c>
      <c r="Q553" s="485" t="s">
        <v>5318</v>
      </c>
      <c r="R553" s="485" t="s">
        <v>5613</v>
      </c>
      <c r="S553" s="485" t="s">
        <v>5614</v>
      </c>
      <c r="T553" s="485">
        <v>147</v>
      </c>
      <c r="U553" s="485" t="s">
        <v>5615</v>
      </c>
      <c r="V553" s="485">
        <v>90</v>
      </c>
      <c r="W553" s="485" t="s">
        <v>5357</v>
      </c>
      <c r="X553" s="485">
        <v>16</v>
      </c>
      <c r="Y553" s="485" t="s">
        <v>5597</v>
      </c>
      <c r="Z553" s="486">
        <v>0</v>
      </c>
      <c r="AA553" s="486">
        <v>0</v>
      </c>
      <c r="AB553" s="486">
        <v>0</v>
      </c>
      <c r="AC553" s="486">
        <v>0</v>
      </c>
      <c r="AD553" s="486">
        <v>0</v>
      </c>
      <c r="AE553" s="486">
        <v>15000000</v>
      </c>
      <c r="AF553" s="486">
        <v>0</v>
      </c>
      <c r="AG553" s="486">
        <v>0</v>
      </c>
      <c r="AH553" s="487">
        <v>15000000</v>
      </c>
      <c r="AI553" s="486">
        <v>0</v>
      </c>
      <c r="AJ553" s="486">
        <v>0</v>
      </c>
      <c r="AK553" s="486">
        <v>0</v>
      </c>
      <c r="AL553" s="488">
        <v>0</v>
      </c>
      <c r="AM553" s="489">
        <v>15000000</v>
      </c>
      <c r="AN553" s="486">
        <v>0</v>
      </c>
      <c r="AO553" s="486">
        <v>0</v>
      </c>
      <c r="AP553" s="486">
        <v>0</v>
      </c>
      <c r="AQ553" s="486">
        <v>0</v>
      </c>
      <c r="AR553" s="486">
        <v>0</v>
      </c>
      <c r="AS553" s="486">
        <v>16500000</v>
      </c>
      <c r="AT553" s="486">
        <v>0</v>
      </c>
      <c r="AU553" s="486">
        <v>0</v>
      </c>
      <c r="AV553" s="487">
        <v>16500000</v>
      </c>
      <c r="AW553" s="486">
        <v>0</v>
      </c>
      <c r="AX553" s="486">
        <v>0</v>
      </c>
      <c r="AY553" s="486">
        <v>0</v>
      </c>
      <c r="AZ553" s="488">
        <v>0</v>
      </c>
      <c r="BA553" s="490">
        <v>16500000</v>
      </c>
      <c r="BB553" s="486">
        <v>0</v>
      </c>
      <c r="BC553" s="486">
        <v>0</v>
      </c>
      <c r="BD553" s="486">
        <v>0</v>
      </c>
      <c r="BE553" s="486">
        <v>0</v>
      </c>
      <c r="BF553" s="486">
        <v>0</v>
      </c>
      <c r="BG553" s="486">
        <v>18150000</v>
      </c>
      <c r="BH553" s="486">
        <v>0</v>
      </c>
      <c r="BI553" s="486">
        <v>0</v>
      </c>
      <c r="BJ553" s="487">
        <v>18150000</v>
      </c>
      <c r="BK553" s="486">
        <v>0</v>
      </c>
      <c r="BL553" s="486">
        <v>0</v>
      </c>
      <c r="BM553" s="486">
        <v>0</v>
      </c>
      <c r="BN553" s="488">
        <v>0</v>
      </c>
      <c r="BO553" s="490">
        <v>18150000</v>
      </c>
      <c r="BP553" s="486">
        <v>0</v>
      </c>
      <c r="BQ553" s="486">
        <v>0</v>
      </c>
      <c r="BR553" s="486">
        <v>0</v>
      </c>
      <c r="BS553" s="486">
        <v>0</v>
      </c>
      <c r="BT553" s="486">
        <v>0</v>
      </c>
      <c r="BU553" s="486">
        <v>19965000</v>
      </c>
      <c r="BV553" s="486">
        <v>0</v>
      </c>
      <c r="BW553" s="486">
        <v>0</v>
      </c>
      <c r="BX553" s="487">
        <v>19965000</v>
      </c>
      <c r="BY553" s="486">
        <v>0</v>
      </c>
      <c r="BZ553" s="486">
        <v>0</v>
      </c>
      <c r="CA553" s="486">
        <v>0</v>
      </c>
      <c r="CB553" s="488">
        <v>0</v>
      </c>
      <c r="CC553" s="491">
        <v>19965000</v>
      </c>
      <c r="CD553" s="492">
        <v>69615000</v>
      </c>
      <c r="CE553" s="493">
        <f t="shared" si="36"/>
        <v>0</v>
      </c>
      <c r="CF553" s="493">
        <f t="shared" si="36"/>
        <v>0</v>
      </c>
      <c r="CG553" s="493">
        <f t="shared" si="36"/>
        <v>0</v>
      </c>
      <c r="CH553" s="493">
        <f t="shared" si="36"/>
        <v>0</v>
      </c>
      <c r="CI553" s="493">
        <f t="shared" si="36"/>
        <v>0</v>
      </c>
      <c r="CJ553" s="493">
        <f t="shared" si="35"/>
        <v>69615000</v>
      </c>
      <c r="CK553" s="493">
        <f t="shared" si="35"/>
        <v>0</v>
      </c>
      <c r="CL553" s="493">
        <f t="shared" si="35"/>
        <v>0</v>
      </c>
      <c r="CM553" s="493">
        <f t="shared" si="38"/>
        <v>0</v>
      </c>
      <c r="CN553" s="493">
        <f t="shared" si="38"/>
        <v>0</v>
      </c>
      <c r="CO553" s="493">
        <f t="shared" si="38"/>
        <v>0</v>
      </c>
    </row>
    <row r="554" spans="1:93" ht="30.45" hidden="1" customHeight="1">
      <c r="A554" s="555" t="s">
        <v>4963</v>
      </c>
      <c r="B554" s="479">
        <v>552</v>
      </c>
      <c r="C554" s="480" t="s">
        <v>6371</v>
      </c>
      <c r="D554" s="480" t="s">
        <v>4967</v>
      </c>
      <c r="E554" s="480" t="str">
        <f t="shared" si="37"/>
        <v xml:space="preserve">5.2.5 </v>
      </c>
      <c r="F554" s="480" t="s">
        <v>4991</v>
      </c>
      <c r="G554" s="480" t="s">
        <v>4992</v>
      </c>
      <c r="H554" s="481">
        <v>41</v>
      </c>
      <c r="I554" s="480" t="s">
        <v>4312</v>
      </c>
      <c r="J554" s="495">
        <v>410300500</v>
      </c>
      <c r="K554" s="480" t="s">
        <v>4303</v>
      </c>
      <c r="L554" s="480" t="s">
        <v>6643</v>
      </c>
      <c r="M554" s="480" t="s">
        <v>6644</v>
      </c>
      <c r="N554" s="499">
        <v>4</v>
      </c>
      <c r="O554" s="480" t="s">
        <v>4966</v>
      </c>
      <c r="P554" s="515">
        <v>8</v>
      </c>
      <c r="Q554" s="485" t="s">
        <v>5349</v>
      </c>
      <c r="R554" s="485" t="s">
        <v>5616</v>
      </c>
      <c r="S554" s="485" t="s">
        <v>677</v>
      </c>
      <c r="T554" s="485">
        <v>0.65</v>
      </c>
      <c r="U554" s="485" t="s">
        <v>4966</v>
      </c>
      <c r="V554" s="485">
        <v>0.75</v>
      </c>
      <c r="W554" s="485" t="s">
        <v>5478</v>
      </c>
      <c r="X554" s="485" t="s">
        <v>5617</v>
      </c>
      <c r="Y554" s="485" t="s">
        <v>5618</v>
      </c>
      <c r="Z554" s="486">
        <v>24747540.983606558</v>
      </c>
      <c r="AA554" s="486">
        <v>0</v>
      </c>
      <c r="AB554" s="486">
        <v>0</v>
      </c>
      <c r="AC554" s="486">
        <v>0</v>
      </c>
      <c r="AD554" s="486">
        <v>0</v>
      </c>
      <c r="AE554" s="486">
        <v>0</v>
      </c>
      <c r="AF554" s="486">
        <v>0</v>
      </c>
      <c r="AG554" s="486">
        <v>0</v>
      </c>
      <c r="AH554" s="487">
        <v>24747540.983606558</v>
      </c>
      <c r="AI554" s="486">
        <v>0</v>
      </c>
      <c r="AJ554" s="486">
        <v>0</v>
      </c>
      <c r="AK554" s="486">
        <v>5252459.0163934417</v>
      </c>
      <c r="AL554" s="488">
        <v>5252459.0163934417</v>
      </c>
      <c r="AM554" s="489">
        <v>30000000</v>
      </c>
      <c r="AN554" s="486">
        <v>25737442.622950826</v>
      </c>
      <c r="AO554" s="486">
        <v>0</v>
      </c>
      <c r="AP554" s="486">
        <v>0</v>
      </c>
      <c r="AQ554" s="486">
        <v>0</v>
      </c>
      <c r="AR554" s="486">
        <v>0</v>
      </c>
      <c r="AS554" s="486">
        <v>0</v>
      </c>
      <c r="AT554" s="486">
        <v>0</v>
      </c>
      <c r="AU554" s="486">
        <v>0</v>
      </c>
      <c r="AV554" s="487">
        <v>25737442.622950826</v>
      </c>
      <c r="AW554" s="486">
        <v>0</v>
      </c>
      <c r="AX554" s="486">
        <v>0</v>
      </c>
      <c r="AY554" s="486">
        <v>6662557.3770491779</v>
      </c>
      <c r="AZ554" s="488">
        <v>6662557.3770491779</v>
      </c>
      <c r="BA554" s="490">
        <v>32400000.000000004</v>
      </c>
      <c r="BB554" s="486">
        <v>26766940.32786886</v>
      </c>
      <c r="BC554" s="486">
        <v>0</v>
      </c>
      <c r="BD554" s="486">
        <v>0</v>
      </c>
      <c r="BE554" s="486">
        <v>0</v>
      </c>
      <c r="BF554" s="486">
        <v>0</v>
      </c>
      <c r="BG554" s="486">
        <v>0</v>
      </c>
      <c r="BH554" s="486">
        <v>0</v>
      </c>
      <c r="BI554" s="486">
        <v>0</v>
      </c>
      <c r="BJ554" s="487">
        <v>26766940.32786886</v>
      </c>
      <c r="BK554" s="486">
        <v>0</v>
      </c>
      <c r="BL554" s="486">
        <v>0</v>
      </c>
      <c r="BM554" s="486">
        <v>8225059.6721311472</v>
      </c>
      <c r="BN554" s="488">
        <v>8225059.6721311472</v>
      </c>
      <c r="BO554" s="490">
        <v>34992000.000000007</v>
      </c>
      <c r="BP554" s="486">
        <v>27837617.940983612</v>
      </c>
      <c r="BQ554" s="486">
        <v>0</v>
      </c>
      <c r="BR554" s="486">
        <v>0</v>
      </c>
      <c r="BS554" s="486">
        <v>0</v>
      </c>
      <c r="BT554" s="486">
        <v>0</v>
      </c>
      <c r="BU554" s="486">
        <v>0</v>
      </c>
      <c r="BV554" s="486">
        <v>0</v>
      </c>
      <c r="BW554" s="486">
        <v>0</v>
      </c>
      <c r="BX554" s="487">
        <v>27837617.940983612</v>
      </c>
      <c r="BY554" s="486">
        <v>0</v>
      </c>
      <c r="BZ554" s="486">
        <v>0</v>
      </c>
      <c r="CA554" s="486">
        <v>9953742.0590163954</v>
      </c>
      <c r="CB554" s="488">
        <v>9953742.0590163954</v>
      </c>
      <c r="CC554" s="491">
        <v>37791360.000000007</v>
      </c>
      <c r="CD554" s="492">
        <v>135183360</v>
      </c>
      <c r="CE554" s="493">
        <f t="shared" si="36"/>
        <v>105089541.87540986</v>
      </c>
      <c r="CF554" s="493">
        <f t="shared" si="36"/>
        <v>0</v>
      </c>
      <c r="CG554" s="493">
        <f t="shared" si="36"/>
        <v>0</v>
      </c>
      <c r="CH554" s="493">
        <f t="shared" si="36"/>
        <v>0</v>
      </c>
      <c r="CI554" s="493">
        <f t="shared" si="36"/>
        <v>0</v>
      </c>
      <c r="CJ554" s="493">
        <f t="shared" si="35"/>
        <v>0</v>
      </c>
      <c r="CK554" s="493">
        <f t="shared" si="35"/>
        <v>0</v>
      </c>
      <c r="CL554" s="493">
        <f t="shared" si="35"/>
        <v>0</v>
      </c>
      <c r="CM554" s="493">
        <f t="shared" si="38"/>
        <v>0</v>
      </c>
      <c r="CN554" s="493">
        <f t="shared" si="38"/>
        <v>0</v>
      </c>
      <c r="CO554" s="493">
        <f t="shared" si="38"/>
        <v>30093818.124590162</v>
      </c>
    </row>
    <row r="555" spans="1:93" ht="30.45" hidden="1" customHeight="1">
      <c r="A555" s="555" t="s">
        <v>4963</v>
      </c>
      <c r="B555" s="479">
        <v>553</v>
      </c>
      <c r="C555" s="480" t="s">
        <v>6371</v>
      </c>
      <c r="D555" s="480" t="s">
        <v>4967</v>
      </c>
      <c r="E555" s="480" t="str">
        <f t="shared" si="37"/>
        <v xml:space="preserve">5.2.5 </v>
      </c>
      <c r="F555" s="480" t="s">
        <v>4991</v>
      </c>
      <c r="G555" s="480" t="s">
        <v>4992</v>
      </c>
      <c r="H555" s="481">
        <v>45</v>
      </c>
      <c r="I555" s="480" t="s">
        <v>4209</v>
      </c>
      <c r="J555" s="495">
        <v>450200100</v>
      </c>
      <c r="K555" s="480" t="s">
        <v>4210</v>
      </c>
      <c r="L555" s="480" t="s">
        <v>6645</v>
      </c>
      <c r="M555" s="480" t="s">
        <v>6136</v>
      </c>
      <c r="N555" s="499">
        <v>1</v>
      </c>
      <c r="O555" s="480" t="s">
        <v>4966</v>
      </c>
      <c r="P555" s="515">
        <v>1</v>
      </c>
      <c r="Q555" s="485" t="s">
        <v>5349</v>
      </c>
      <c r="R555" s="485" t="s">
        <v>5616</v>
      </c>
      <c r="S555" s="485" t="s">
        <v>677</v>
      </c>
      <c r="T555" s="485">
        <v>0.65</v>
      </c>
      <c r="U555" s="485" t="s">
        <v>4966</v>
      </c>
      <c r="V555" s="485">
        <v>0.75</v>
      </c>
      <c r="W555" s="485" t="s">
        <v>5478</v>
      </c>
      <c r="X555" s="485" t="s">
        <v>5617</v>
      </c>
      <c r="Y555" s="485" t="s">
        <v>5618</v>
      </c>
      <c r="Z555" s="486">
        <v>32996721.311475411</v>
      </c>
      <c r="AA555" s="486">
        <v>0</v>
      </c>
      <c r="AB555" s="486">
        <v>0</v>
      </c>
      <c r="AC555" s="486">
        <v>0</v>
      </c>
      <c r="AD555" s="486">
        <v>0</v>
      </c>
      <c r="AE555" s="486">
        <v>0</v>
      </c>
      <c r="AF555" s="486">
        <v>0</v>
      </c>
      <c r="AG555" s="486">
        <v>0</v>
      </c>
      <c r="AH555" s="487">
        <v>32996721.311475411</v>
      </c>
      <c r="AI555" s="486">
        <v>0</v>
      </c>
      <c r="AJ555" s="486">
        <v>0</v>
      </c>
      <c r="AK555" s="486">
        <v>7003278.6885245889</v>
      </c>
      <c r="AL555" s="488">
        <v>7003278.6885245889</v>
      </c>
      <c r="AM555" s="489">
        <v>40000000</v>
      </c>
      <c r="AN555" s="486">
        <v>34316590.163934425</v>
      </c>
      <c r="AO555" s="486">
        <v>0</v>
      </c>
      <c r="AP555" s="486">
        <v>0</v>
      </c>
      <c r="AQ555" s="486">
        <v>0</v>
      </c>
      <c r="AR555" s="486">
        <v>0</v>
      </c>
      <c r="AS555" s="486">
        <v>0</v>
      </c>
      <c r="AT555" s="486">
        <v>0</v>
      </c>
      <c r="AU555" s="486">
        <v>0</v>
      </c>
      <c r="AV555" s="487">
        <v>34316590.163934425</v>
      </c>
      <c r="AW555" s="486">
        <v>0</v>
      </c>
      <c r="AX555" s="486">
        <v>0</v>
      </c>
      <c r="AY555" s="486">
        <v>8883409.8360655755</v>
      </c>
      <c r="AZ555" s="488">
        <v>8883409.8360655755</v>
      </c>
      <c r="BA555" s="490">
        <v>43200000</v>
      </c>
      <c r="BB555" s="486">
        <v>35689253.770491801</v>
      </c>
      <c r="BC555" s="486">
        <v>0</v>
      </c>
      <c r="BD555" s="486">
        <v>0</v>
      </c>
      <c r="BE555" s="486">
        <v>0</v>
      </c>
      <c r="BF555" s="486">
        <v>0</v>
      </c>
      <c r="BG555" s="486">
        <v>0</v>
      </c>
      <c r="BH555" s="486">
        <v>0</v>
      </c>
      <c r="BI555" s="486">
        <v>0</v>
      </c>
      <c r="BJ555" s="487">
        <v>35689253.770491801</v>
      </c>
      <c r="BK555" s="486">
        <v>0</v>
      </c>
      <c r="BL555" s="486">
        <v>0</v>
      </c>
      <c r="BM555" s="486">
        <v>10966746.229508199</v>
      </c>
      <c r="BN555" s="488">
        <v>10966746.229508199</v>
      </c>
      <c r="BO555" s="490">
        <v>46656000</v>
      </c>
      <c r="BP555" s="486">
        <v>37116823.921311475</v>
      </c>
      <c r="BQ555" s="486">
        <v>0</v>
      </c>
      <c r="BR555" s="486">
        <v>0</v>
      </c>
      <c r="BS555" s="486">
        <v>0</v>
      </c>
      <c r="BT555" s="486">
        <v>0</v>
      </c>
      <c r="BU555" s="486">
        <v>0</v>
      </c>
      <c r="BV555" s="486">
        <v>0</v>
      </c>
      <c r="BW555" s="486">
        <v>0</v>
      </c>
      <c r="BX555" s="487">
        <v>37116823.921311475</v>
      </c>
      <c r="BY555" s="486">
        <v>0</v>
      </c>
      <c r="BZ555" s="486">
        <v>0</v>
      </c>
      <c r="CA555" s="486">
        <v>13271656.078688525</v>
      </c>
      <c r="CB555" s="488">
        <v>13271656.078688525</v>
      </c>
      <c r="CC555" s="491">
        <v>50388480</v>
      </c>
      <c r="CD555" s="492">
        <v>180244480</v>
      </c>
      <c r="CE555" s="493">
        <f t="shared" si="36"/>
        <v>140119389.16721311</v>
      </c>
      <c r="CF555" s="493">
        <f t="shared" si="36"/>
        <v>0</v>
      </c>
      <c r="CG555" s="493">
        <f t="shared" si="36"/>
        <v>0</v>
      </c>
      <c r="CH555" s="493">
        <f t="shared" si="36"/>
        <v>0</v>
      </c>
      <c r="CI555" s="493">
        <f t="shared" si="36"/>
        <v>0</v>
      </c>
      <c r="CJ555" s="493">
        <f t="shared" si="35"/>
        <v>0</v>
      </c>
      <c r="CK555" s="493">
        <f t="shared" si="35"/>
        <v>0</v>
      </c>
      <c r="CL555" s="493">
        <f t="shared" si="35"/>
        <v>0</v>
      </c>
      <c r="CM555" s="493">
        <f t="shared" si="38"/>
        <v>0</v>
      </c>
      <c r="CN555" s="493">
        <f t="shared" si="38"/>
        <v>0</v>
      </c>
      <c r="CO555" s="493">
        <f t="shared" si="38"/>
        <v>40125090.832786888</v>
      </c>
    </row>
    <row r="556" spans="1:93" ht="30.45" hidden="1" customHeight="1">
      <c r="A556" s="555" t="s">
        <v>4963</v>
      </c>
      <c r="B556" s="479">
        <v>554</v>
      </c>
      <c r="C556" s="480" t="s">
        <v>6371</v>
      </c>
      <c r="D556" s="480" t="s">
        <v>4967</v>
      </c>
      <c r="E556" s="480" t="str">
        <f t="shared" si="37"/>
        <v xml:space="preserve">5.2.5 </v>
      </c>
      <c r="F556" s="480" t="s">
        <v>4991</v>
      </c>
      <c r="G556" s="480" t="s">
        <v>4992</v>
      </c>
      <c r="H556" s="481">
        <v>45</v>
      </c>
      <c r="I556" s="480" t="s">
        <v>4209</v>
      </c>
      <c r="J556" s="495">
        <v>450203800</v>
      </c>
      <c r="K556" s="480" t="s">
        <v>4347</v>
      </c>
      <c r="L556" s="480" t="s">
        <v>6646</v>
      </c>
      <c r="M556" s="480" t="s">
        <v>6647</v>
      </c>
      <c r="N556" s="499">
        <v>1</v>
      </c>
      <c r="O556" s="480" t="s">
        <v>4993</v>
      </c>
      <c r="P556" s="515">
        <v>2</v>
      </c>
      <c r="Q556" s="485" t="s">
        <v>5349</v>
      </c>
      <c r="R556" s="485" t="s">
        <v>5616</v>
      </c>
      <c r="S556" s="485" t="s">
        <v>677</v>
      </c>
      <c r="T556" s="485">
        <v>0.65</v>
      </c>
      <c r="U556" s="485" t="s">
        <v>4966</v>
      </c>
      <c r="V556" s="485">
        <v>0.75</v>
      </c>
      <c r="W556" s="485" t="s">
        <v>5478</v>
      </c>
      <c r="X556" s="485" t="s">
        <v>5617</v>
      </c>
      <c r="Y556" s="485" t="s">
        <v>5618</v>
      </c>
      <c r="Z556" s="486">
        <v>16498360.655737706</v>
      </c>
      <c r="AA556" s="486">
        <v>0</v>
      </c>
      <c r="AB556" s="486">
        <v>0</v>
      </c>
      <c r="AC556" s="486">
        <v>0</v>
      </c>
      <c r="AD556" s="486">
        <v>0</v>
      </c>
      <c r="AE556" s="486">
        <v>0</v>
      </c>
      <c r="AF556" s="486">
        <v>0</v>
      </c>
      <c r="AG556" s="486">
        <v>0</v>
      </c>
      <c r="AH556" s="487">
        <v>16498360.655737706</v>
      </c>
      <c r="AI556" s="486">
        <v>0</v>
      </c>
      <c r="AJ556" s="486">
        <v>0</v>
      </c>
      <c r="AK556" s="486">
        <v>3501639.3442622945</v>
      </c>
      <c r="AL556" s="488">
        <v>3501639.3442622945</v>
      </c>
      <c r="AM556" s="489">
        <v>20000000</v>
      </c>
      <c r="AN556" s="486">
        <v>17158295.081967212</v>
      </c>
      <c r="AO556" s="486">
        <v>0</v>
      </c>
      <c r="AP556" s="486">
        <v>0</v>
      </c>
      <c r="AQ556" s="486">
        <v>0</v>
      </c>
      <c r="AR556" s="486">
        <v>0</v>
      </c>
      <c r="AS556" s="486">
        <v>0</v>
      </c>
      <c r="AT556" s="486">
        <v>0</v>
      </c>
      <c r="AU556" s="486">
        <v>0</v>
      </c>
      <c r="AV556" s="487">
        <v>17158295.081967212</v>
      </c>
      <c r="AW556" s="486">
        <v>0</v>
      </c>
      <c r="AX556" s="486">
        <v>0</v>
      </c>
      <c r="AY556" s="486">
        <v>4441704.9180327877</v>
      </c>
      <c r="AZ556" s="488">
        <v>4441704.9180327877</v>
      </c>
      <c r="BA556" s="490">
        <v>21600000</v>
      </c>
      <c r="BB556" s="486">
        <v>17844626.885245901</v>
      </c>
      <c r="BC556" s="486">
        <v>0</v>
      </c>
      <c r="BD556" s="486">
        <v>0</v>
      </c>
      <c r="BE556" s="486">
        <v>0</v>
      </c>
      <c r="BF556" s="486">
        <v>0</v>
      </c>
      <c r="BG556" s="486">
        <v>0</v>
      </c>
      <c r="BH556" s="486">
        <v>0</v>
      </c>
      <c r="BI556" s="486">
        <v>0</v>
      </c>
      <c r="BJ556" s="487">
        <v>17844626.885245901</v>
      </c>
      <c r="BK556" s="486">
        <v>0</v>
      </c>
      <c r="BL556" s="486">
        <v>0</v>
      </c>
      <c r="BM556" s="486">
        <v>5483373.1147540994</v>
      </c>
      <c r="BN556" s="488">
        <v>5483373.1147540994</v>
      </c>
      <c r="BO556" s="490">
        <v>23328000</v>
      </c>
      <c r="BP556" s="486">
        <v>18558411.960655738</v>
      </c>
      <c r="BQ556" s="486">
        <v>0</v>
      </c>
      <c r="BR556" s="486">
        <v>0</v>
      </c>
      <c r="BS556" s="486">
        <v>0</v>
      </c>
      <c r="BT556" s="486">
        <v>0</v>
      </c>
      <c r="BU556" s="486">
        <v>0</v>
      </c>
      <c r="BV556" s="486">
        <v>0</v>
      </c>
      <c r="BW556" s="486">
        <v>0</v>
      </c>
      <c r="BX556" s="487">
        <v>18558411.960655738</v>
      </c>
      <c r="BY556" s="486">
        <v>0</v>
      </c>
      <c r="BZ556" s="486">
        <v>0</v>
      </c>
      <c r="CA556" s="486">
        <v>6635828.0393442623</v>
      </c>
      <c r="CB556" s="488">
        <v>6635828.0393442623</v>
      </c>
      <c r="CC556" s="491">
        <v>25194240</v>
      </c>
      <c r="CD556" s="492">
        <v>90122240</v>
      </c>
      <c r="CE556" s="493">
        <f t="shared" si="36"/>
        <v>70059694.583606556</v>
      </c>
      <c r="CF556" s="493">
        <f t="shared" si="36"/>
        <v>0</v>
      </c>
      <c r="CG556" s="493">
        <f t="shared" si="36"/>
        <v>0</v>
      </c>
      <c r="CH556" s="493">
        <f t="shared" si="36"/>
        <v>0</v>
      </c>
      <c r="CI556" s="493">
        <f t="shared" si="36"/>
        <v>0</v>
      </c>
      <c r="CJ556" s="493">
        <f t="shared" si="35"/>
        <v>0</v>
      </c>
      <c r="CK556" s="493">
        <f t="shared" si="35"/>
        <v>0</v>
      </c>
      <c r="CL556" s="493">
        <f t="shared" si="35"/>
        <v>0</v>
      </c>
      <c r="CM556" s="493">
        <f t="shared" si="38"/>
        <v>0</v>
      </c>
      <c r="CN556" s="493">
        <f t="shared" si="38"/>
        <v>0</v>
      </c>
      <c r="CO556" s="493">
        <f t="shared" si="38"/>
        <v>20062545.416393444</v>
      </c>
    </row>
    <row r="557" spans="1:93" ht="30.45" hidden="1" customHeight="1">
      <c r="A557" s="555" t="s">
        <v>4963</v>
      </c>
      <c r="B557" s="479">
        <v>555</v>
      </c>
      <c r="C557" s="480" t="s">
        <v>6371</v>
      </c>
      <c r="D557" s="480" t="s">
        <v>4967</v>
      </c>
      <c r="E557" s="480" t="str">
        <f t="shared" si="37"/>
        <v xml:space="preserve">5.2.5 </v>
      </c>
      <c r="F557" s="480" t="s">
        <v>4991</v>
      </c>
      <c r="G557" s="480" t="s">
        <v>4992</v>
      </c>
      <c r="H557" s="481">
        <v>45</v>
      </c>
      <c r="I557" s="480" t="s">
        <v>4209</v>
      </c>
      <c r="J557" s="495">
        <v>450203800</v>
      </c>
      <c r="K557" s="480" t="s">
        <v>4347</v>
      </c>
      <c r="L557" s="480" t="s">
        <v>6648</v>
      </c>
      <c r="M557" s="480" t="s">
        <v>6137</v>
      </c>
      <c r="N557" s="499">
        <v>1</v>
      </c>
      <c r="O557" s="480" t="s">
        <v>4966</v>
      </c>
      <c r="P557" s="515">
        <v>4</v>
      </c>
      <c r="Q557" s="485" t="s">
        <v>5349</v>
      </c>
      <c r="R557" s="485" t="s">
        <v>5616</v>
      </c>
      <c r="S557" s="485" t="s">
        <v>677</v>
      </c>
      <c r="T557" s="485">
        <v>0.65</v>
      </c>
      <c r="U557" s="485" t="s">
        <v>4966</v>
      </c>
      <c r="V557" s="485">
        <v>0.75</v>
      </c>
      <c r="W557" s="485" t="s">
        <v>5478</v>
      </c>
      <c r="X557" s="485" t="s">
        <v>5617</v>
      </c>
      <c r="Y557" s="485" t="s">
        <v>5618</v>
      </c>
      <c r="Z557" s="486">
        <v>49495081.967213117</v>
      </c>
      <c r="AA557" s="486">
        <v>0</v>
      </c>
      <c r="AB557" s="486">
        <v>0</v>
      </c>
      <c r="AC557" s="486">
        <v>0</v>
      </c>
      <c r="AD557" s="486">
        <v>0</v>
      </c>
      <c r="AE557" s="486">
        <v>0</v>
      </c>
      <c r="AF557" s="486">
        <v>0</v>
      </c>
      <c r="AG557" s="486">
        <v>0</v>
      </c>
      <c r="AH557" s="487">
        <v>49495081.967213117</v>
      </c>
      <c r="AI557" s="486">
        <v>0</v>
      </c>
      <c r="AJ557" s="486">
        <v>0</v>
      </c>
      <c r="AK557" s="486">
        <v>10504918.032786883</v>
      </c>
      <c r="AL557" s="488">
        <v>10504918.032786883</v>
      </c>
      <c r="AM557" s="489">
        <v>60000000</v>
      </c>
      <c r="AN557" s="486">
        <v>51474885.245901652</v>
      </c>
      <c r="AO557" s="486">
        <v>0</v>
      </c>
      <c r="AP557" s="486">
        <v>0</v>
      </c>
      <c r="AQ557" s="486">
        <v>0</v>
      </c>
      <c r="AR557" s="486">
        <v>0</v>
      </c>
      <c r="AS557" s="486">
        <v>0</v>
      </c>
      <c r="AT557" s="486">
        <v>0</v>
      </c>
      <c r="AU557" s="486">
        <v>0</v>
      </c>
      <c r="AV557" s="487">
        <v>51474885.245901652</v>
      </c>
      <c r="AW557" s="486">
        <v>0</v>
      </c>
      <c r="AX557" s="486">
        <v>0</v>
      </c>
      <c r="AY557" s="486">
        <v>13325114.754098356</v>
      </c>
      <c r="AZ557" s="488">
        <v>13325114.754098356</v>
      </c>
      <c r="BA557" s="490">
        <v>64800000.000000007</v>
      </c>
      <c r="BB557" s="486">
        <v>53533880.65573772</v>
      </c>
      <c r="BC557" s="486">
        <v>0</v>
      </c>
      <c r="BD557" s="486">
        <v>0</v>
      </c>
      <c r="BE557" s="486">
        <v>0</v>
      </c>
      <c r="BF557" s="486">
        <v>0</v>
      </c>
      <c r="BG557" s="486">
        <v>0</v>
      </c>
      <c r="BH557" s="486">
        <v>0</v>
      </c>
      <c r="BI557" s="486">
        <v>0</v>
      </c>
      <c r="BJ557" s="487">
        <v>53533880.65573772</v>
      </c>
      <c r="BK557" s="486">
        <v>0</v>
      </c>
      <c r="BL557" s="486">
        <v>0</v>
      </c>
      <c r="BM557" s="486">
        <v>16450119.344262294</v>
      </c>
      <c r="BN557" s="488">
        <v>16450119.344262294</v>
      </c>
      <c r="BO557" s="490">
        <v>69984000.000000015</v>
      </c>
      <c r="BP557" s="486">
        <v>55675235.881967224</v>
      </c>
      <c r="BQ557" s="486">
        <v>0</v>
      </c>
      <c r="BR557" s="486">
        <v>0</v>
      </c>
      <c r="BS557" s="486">
        <v>0</v>
      </c>
      <c r="BT557" s="486">
        <v>0</v>
      </c>
      <c r="BU557" s="486">
        <v>0</v>
      </c>
      <c r="BV557" s="486">
        <v>0</v>
      </c>
      <c r="BW557" s="486">
        <v>0</v>
      </c>
      <c r="BX557" s="487">
        <v>55675235.881967224</v>
      </c>
      <c r="BY557" s="486">
        <v>0</v>
      </c>
      <c r="BZ557" s="486">
        <v>0</v>
      </c>
      <c r="CA557" s="486">
        <v>19907484.118032791</v>
      </c>
      <c r="CB557" s="488">
        <v>19907484.118032791</v>
      </c>
      <c r="CC557" s="491">
        <v>75582720.000000015</v>
      </c>
      <c r="CD557" s="492">
        <v>270366720</v>
      </c>
      <c r="CE557" s="493">
        <f t="shared" si="36"/>
        <v>210179083.75081971</v>
      </c>
      <c r="CF557" s="493">
        <f t="shared" si="36"/>
        <v>0</v>
      </c>
      <c r="CG557" s="493">
        <f t="shared" si="36"/>
        <v>0</v>
      </c>
      <c r="CH557" s="493">
        <f t="shared" si="36"/>
        <v>0</v>
      </c>
      <c r="CI557" s="493">
        <f t="shared" si="36"/>
        <v>0</v>
      </c>
      <c r="CJ557" s="493">
        <f t="shared" si="35"/>
        <v>0</v>
      </c>
      <c r="CK557" s="493">
        <f t="shared" si="35"/>
        <v>0</v>
      </c>
      <c r="CL557" s="493">
        <f t="shared" si="35"/>
        <v>0</v>
      </c>
      <c r="CM557" s="493">
        <f t="shared" si="38"/>
        <v>0</v>
      </c>
      <c r="CN557" s="493">
        <f t="shared" si="38"/>
        <v>0</v>
      </c>
      <c r="CO557" s="493">
        <f t="shared" si="38"/>
        <v>60187636.249180324</v>
      </c>
    </row>
    <row r="558" spans="1:93" ht="30.45" hidden="1" customHeight="1">
      <c r="A558" s="555" t="s">
        <v>4963</v>
      </c>
      <c r="B558" s="479">
        <v>556</v>
      </c>
      <c r="C558" s="480" t="s">
        <v>6371</v>
      </c>
      <c r="D558" s="480" t="s">
        <v>4967</v>
      </c>
      <c r="E558" s="480" t="str">
        <f t="shared" si="37"/>
        <v xml:space="preserve">5.2.6 </v>
      </c>
      <c r="F558" s="480" t="s">
        <v>4994</v>
      </c>
      <c r="G558" s="480" t="s">
        <v>4995</v>
      </c>
      <c r="H558" s="481">
        <v>41</v>
      </c>
      <c r="I558" s="480" t="s">
        <v>4312</v>
      </c>
      <c r="J558" s="495">
        <v>410306000</v>
      </c>
      <c r="K558" s="480" t="s">
        <v>4063</v>
      </c>
      <c r="L558" s="480" t="s">
        <v>4996</v>
      </c>
      <c r="M558" s="480" t="s">
        <v>6140</v>
      </c>
      <c r="N558" s="499">
        <v>0</v>
      </c>
      <c r="O558" s="480" t="s">
        <v>4966</v>
      </c>
      <c r="P558" s="515">
        <v>1</v>
      </c>
      <c r="Q558" s="485" t="s">
        <v>5349</v>
      </c>
      <c r="R558" s="485" t="s">
        <v>5619</v>
      </c>
      <c r="S558" s="485" t="s">
        <v>677</v>
      </c>
      <c r="T558" s="485" t="s">
        <v>5620</v>
      </c>
      <c r="U558" s="485" t="s">
        <v>5621</v>
      </c>
      <c r="V558" s="485" t="s">
        <v>5622</v>
      </c>
      <c r="W558" s="485" t="s">
        <v>5623</v>
      </c>
      <c r="X558" s="485">
        <v>5</v>
      </c>
      <c r="Y558" s="485" t="s">
        <v>5624</v>
      </c>
      <c r="Z558" s="486">
        <v>61868852.45901639</v>
      </c>
      <c r="AA558" s="486">
        <v>0</v>
      </c>
      <c r="AB558" s="486">
        <v>0</v>
      </c>
      <c r="AC558" s="486">
        <v>0</v>
      </c>
      <c r="AD558" s="486">
        <v>0</v>
      </c>
      <c r="AE558" s="486">
        <v>0</v>
      </c>
      <c r="AF558" s="486">
        <v>0</v>
      </c>
      <c r="AG558" s="486">
        <v>0</v>
      </c>
      <c r="AH558" s="487">
        <v>61868852.45901639</v>
      </c>
      <c r="AI558" s="486">
        <v>0</v>
      </c>
      <c r="AJ558" s="486">
        <v>0</v>
      </c>
      <c r="AK558" s="486">
        <v>13131147.54098361</v>
      </c>
      <c r="AL558" s="488">
        <v>13131147.54098361</v>
      </c>
      <c r="AM558" s="489">
        <v>75000000</v>
      </c>
      <c r="AN558" s="486">
        <v>64343606.557377055</v>
      </c>
      <c r="AO558" s="486">
        <v>0</v>
      </c>
      <c r="AP558" s="486">
        <v>0</v>
      </c>
      <c r="AQ558" s="486">
        <v>0</v>
      </c>
      <c r="AR558" s="486">
        <v>0</v>
      </c>
      <c r="AS558" s="486">
        <v>0</v>
      </c>
      <c r="AT558" s="486">
        <v>0</v>
      </c>
      <c r="AU558" s="486">
        <v>0</v>
      </c>
      <c r="AV558" s="487">
        <v>64343606.557377055</v>
      </c>
      <c r="AW558" s="486">
        <v>0</v>
      </c>
      <c r="AX558" s="486">
        <v>0</v>
      </c>
      <c r="AY558" s="486">
        <v>16656393.442622948</v>
      </c>
      <c r="AZ558" s="488">
        <v>16656393.442622948</v>
      </c>
      <c r="BA558" s="490">
        <v>81000000</v>
      </c>
      <c r="BB558" s="486">
        <v>66917350.819672137</v>
      </c>
      <c r="BC558" s="486">
        <v>0</v>
      </c>
      <c r="BD558" s="486">
        <v>0</v>
      </c>
      <c r="BE558" s="486">
        <v>0</v>
      </c>
      <c r="BF558" s="486">
        <v>0</v>
      </c>
      <c r="BG558" s="486">
        <v>0</v>
      </c>
      <c r="BH558" s="486">
        <v>0</v>
      </c>
      <c r="BI558" s="486">
        <v>0</v>
      </c>
      <c r="BJ558" s="487">
        <v>66917350.819672137</v>
      </c>
      <c r="BK558" s="486">
        <v>0</v>
      </c>
      <c r="BL558" s="486">
        <v>0</v>
      </c>
      <c r="BM558" s="486">
        <v>20562649.18032787</v>
      </c>
      <c r="BN558" s="488">
        <v>20562649.18032787</v>
      </c>
      <c r="BO558" s="490">
        <v>87480000</v>
      </c>
      <c r="BP558" s="486">
        <v>69594044.852459028</v>
      </c>
      <c r="BQ558" s="486">
        <v>0</v>
      </c>
      <c r="BR558" s="486">
        <v>0</v>
      </c>
      <c r="BS558" s="486">
        <v>0</v>
      </c>
      <c r="BT558" s="486">
        <v>0</v>
      </c>
      <c r="BU558" s="486">
        <v>0</v>
      </c>
      <c r="BV558" s="486">
        <v>0</v>
      </c>
      <c r="BW558" s="486">
        <v>0</v>
      </c>
      <c r="BX558" s="487">
        <v>69594044.852459028</v>
      </c>
      <c r="BY558" s="486">
        <v>0</v>
      </c>
      <c r="BZ558" s="486">
        <v>0</v>
      </c>
      <c r="CA558" s="486">
        <v>24884355.147540998</v>
      </c>
      <c r="CB558" s="488">
        <v>24884355.147540998</v>
      </c>
      <c r="CC558" s="491">
        <v>94478400.00000003</v>
      </c>
      <c r="CD558" s="492">
        <v>337958400</v>
      </c>
      <c r="CE558" s="493">
        <f t="shared" si="36"/>
        <v>262723854.6885246</v>
      </c>
      <c r="CF558" s="493">
        <f t="shared" si="36"/>
        <v>0</v>
      </c>
      <c r="CG558" s="493">
        <f t="shared" si="36"/>
        <v>0</v>
      </c>
      <c r="CH558" s="493">
        <f t="shared" si="36"/>
        <v>0</v>
      </c>
      <c r="CI558" s="493">
        <f t="shared" si="36"/>
        <v>0</v>
      </c>
      <c r="CJ558" s="493">
        <f t="shared" si="35"/>
        <v>0</v>
      </c>
      <c r="CK558" s="493">
        <f t="shared" si="35"/>
        <v>0</v>
      </c>
      <c r="CL558" s="493">
        <f t="shared" si="35"/>
        <v>0</v>
      </c>
      <c r="CM558" s="493">
        <f t="shared" si="38"/>
        <v>0</v>
      </c>
      <c r="CN558" s="493">
        <f t="shared" si="38"/>
        <v>0</v>
      </c>
      <c r="CO558" s="493">
        <f t="shared" si="38"/>
        <v>75234545.311475426</v>
      </c>
    </row>
    <row r="559" spans="1:93" ht="30.45" hidden="1" customHeight="1">
      <c r="A559" s="555" t="s">
        <v>4963</v>
      </c>
      <c r="B559" s="479">
        <v>557</v>
      </c>
      <c r="C559" s="480" t="s">
        <v>6371</v>
      </c>
      <c r="D559" s="480" t="s">
        <v>4967</v>
      </c>
      <c r="E559" s="480" t="str">
        <f t="shared" si="37"/>
        <v xml:space="preserve">5.2.6 </v>
      </c>
      <c r="F559" s="480" t="s">
        <v>4994</v>
      </c>
      <c r="G559" s="480" t="s">
        <v>4995</v>
      </c>
      <c r="H559" s="481">
        <v>41</v>
      </c>
      <c r="I559" s="480" t="s">
        <v>4312</v>
      </c>
      <c r="J559" s="495">
        <v>410300500</v>
      </c>
      <c r="K559" s="480" t="s">
        <v>4303</v>
      </c>
      <c r="L559" s="480" t="s">
        <v>6649</v>
      </c>
      <c r="M559" s="480" t="s">
        <v>6141</v>
      </c>
      <c r="N559" s="499">
        <v>4</v>
      </c>
      <c r="O559" s="480" t="s">
        <v>4966</v>
      </c>
      <c r="P559" s="515">
        <v>8</v>
      </c>
      <c r="Q559" s="485" t="s">
        <v>5349</v>
      </c>
      <c r="R559" s="485" t="s">
        <v>5619</v>
      </c>
      <c r="S559" s="485" t="s">
        <v>677</v>
      </c>
      <c r="T559" s="485" t="s">
        <v>5620</v>
      </c>
      <c r="U559" s="485" t="s">
        <v>5621</v>
      </c>
      <c r="V559" s="485" t="s">
        <v>5622</v>
      </c>
      <c r="W559" s="485" t="s">
        <v>5623</v>
      </c>
      <c r="X559" s="485">
        <v>5</v>
      </c>
      <c r="Y559" s="485" t="s">
        <v>5624</v>
      </c>
      <c r="Z559" s="486">
        <v>32996721.311475411</v>
      </c>
      <c r="AA559" s="486">
        <v>0</v>
      </c>
      <c r="AB559" s="486">
        <v>0</v>
      </c>
      <c r="AC559" s="486">
        <v>0</v>
      </c>
      <c r="AD559" s="486">
        <v>0</v>
      </c>
      <c r="AE559" s="486">
        <v>0</v>
      </c>
      <c r="AF559" s="486">
        <v>0</v>
      </c>
      <c r="AG559" s="486">
        <v>0</v>
      </c>
      <c r="AH559" s="487">
        <v>32996721.311475411</v>
      </c>
      <c r="AI559" s="486">
        <v>0</v>
      </c>
      <c r="AJ559" s="486">
        <v>0</v>
      </c>
      <c r="AK559" s="486">
        <v>7003278.6885245889</v>
      </c>
      <c r="AL559" s="488">
        <v>7003278.6885245889</v>
      </c>
      <c r="AM559" s="489">
        <v>40000000</v>
      </c>
      <c r="AN559" s="486">
        <v>34316590.163934425</v>
      </c>
      <c r="AO559" s="486">
        <v>0</v>
      </c>
      <c r="AP559" s="486">
        <v>0</v>
      </c>
      <c r="AQ559" s="486">
        <v>0</v>
      </c>
      <c r="AR559" s="486">
        <v>0</v>
      </c>
      <c r="AS559" s="486">
        <v>0</v>
      </c>
      <c r="AT559" s="486">
        <v>0</v>
      </c>
      <c r="AU559" s="486">
        <v>0</v>
      </c>
      <c r="AV559" s="487">
        <v>34316590.163934425</v>
      </c>
      <c r="AW559" s="486">
        <v>0</v>
      </c>
      <c r="AX559" s="486">
        <v>0</v>
      </c>
      <c r="AY559" s="486">
        <v>8883409.8360655755</v>
      </c>
      <c r="AZ559" s="488">
        <v>8883409.8360655755</v>
      </c>
      <c r="BA559" s="490">
        <v>43200000</v>
      </c>
      <c r="BB559" s="486">
        <v>35689253.770491801</v>
      </c>
      <c r="BC559" s="486">
        <v>0</v>
      </c>
      <c r="BD559" s="486">
        <v>0</v>
      </c>
      <c r="BE559" s="486">
        <v>0</v>
      </c>
      <c r="BF559" s="486">
        <v>0</v>
      </c>
      <c r="BG559" s="486">
        <v>0</v>
      </c>
      <c r="BH559" s="486">
        <v>0</v>
      </c>
      <c r="BI559" s="486">
        <v>0</v>
      </c>
      <c r="BJ559" s="487">
        <v>35689253.770491801</v>
      </c>
      <c r="BK559" s="486">
        <v>0</v>
      </c>
      <c r="BL559" s="486">
        <v>0</v>
      </c>
      <c r="BM559" s="486">
        <v>10966746.229508199</v>
      </c>
      <c r="BN559" s="488">
        <v>10966746.229508199</v>
      </c>
      <c r="BO559" s="490">
        <v>46656000</v>
      </c>
      <c r="BP559" s="486">
        <v>37116823.921311475</v>
      </c>
      <c r="BQ559" s="486">
        <v>0</v>
      </c>
      <c r="BR559" s="486">
        <v>0</v>
      </c>
      <c r="BS559" s="486">
        <v>0</v>
      </c>
      <c r="BT559" s="486">
        <v>0</v>
      </c>
      <c r="BU559" s="486">
        <v>0</v>
      </c>
      <c r="BV559" s="486">
        <v>0</v>
      </c>
      <c r="BW559" s="486">
        <v>0</v>
      </c>
      <c r="BX559" s="487">
        <v>37116823.921311475</v>
      </c>
      <c r="BY559" s="486">
        <v>0</v>
      </c>
      <c r="BZ559" s="486">
        <v>0</v>
      </c>
      <c r="CA559" s="486">
        <v>13271656.078688525</v>
      </c>
      <c r="CB559" s="488">
        <v>13271656.078688525</v>
      </c>
      <c r="CC559" s="491">
        <v>50388480</v>
      </c>
      <c r="CD559" s="492">
        <v>180244480</v>
      </c>
      <c r="CE559" s="493">
        <f t="shared" si="36"/>
        <v>140119389.16721311</v>
      </c>
      <c r="CF559" s="493">
        <f t="shared" si="36"/>
        <v>0</v>
      </c>
      <c r="CG559" s="493">
        <f t="shared" si="36"/>
        <v>0</v>
      </c>
      <c r="CH559" s="493">
        <f t="shared" si="36"/>
        <v>0</v>
      </c>
      <c r="CI559" s="493">
        <f t="shared" si="36"/>
        <v>0</v>
      </c>
      <c r="CJ559" s="493">
        <f t="shared" si="35"/>
        <v>0</v>
      </c>
      <c r="CK559" s="493">
        <f t="shared" si="35"/>
        <v>0</v>
      </c>
      <c r="CL559" s="493">
        <f t="shared" si="35"/>
        <v>0</v>
      </c>
      <c r="CM559" s="493">
        <f t="shared" si="38"/>
        <v>0</v>
      </c>
      <c r="CN559" s="493">
        <f t="shared" si="38"/>
        <v>0</v>
      </c>
      <c r="CO559" s="493">
        <f t="shared" si="38"/>
        <v>40125090.832786888</v>
      </c>
    </row>
    <row r="560" spans="1:93" ht="30.45" hidden="1" customHeight="1">
      <c r="A560" s="555" t="s">
        <v>4963</v>
      </c>
      <c r="B560" s="479">
        <v>558</v>
      </c>
      <c r="C560" s="480" t="s">
        <v>6371</v>
      </c>
      <c r="D560" s="480" t="s">
        <v>4967</v>
      </c>
      <c r="E560" s="480" t="str">
        <f t="shared" si="37"/>
        <v xml:space="preserve">5.2.6 </v>
      </c>
      <c r="F560" s="480" t="s">
        <v>4994</v>
      </c>
      <c r="G560" s="480" t="s">
        <v>4995</v>
      </c>
      <c r="H560" s="481">
        <v>45</v>
      </c>
      <c r="I560" s="480" t="s">
        <v>4209</v>
      </c>
      <c r="J560" s="495">
        <v>450202200</v>
      </c>
      <c r="K560" s="480" t="s">
        <v>6650</v>
      </c>
      <c r="L560" s="480" t="s">
        <v>4997</v>
      </c>
      <c r="M560" s="480" t="s">
        <v>6142</v>
      </c>
      <c r="N560" s="499">
        <v>1</v>
      </c>
      <c r="O560" s="480" t="s">
        <v>4966</v>
      </c>
      <c r="P560" s="515">
        <v>1</v>
      </c>
      <c r="Q560" s="485" t="s">
        <v>5349</v>
      </c>
      <c r="R560" s="485" t="s">
        <v>5619</v>
      </c>
      <c r="S560" s="485" t="s">
        <v>677</v>
      </c>
      <c r="T560" s="485" t="s">
        <v>5620</v>
      </c>
      <c r="U560" s="485" t="s">
        <v>5621</v>
      </c>
      <c r="V560" s="485" t="s">
        <v>5622</v>
      </c>
      <c r="W560" s="485" t="s">
        <v>5623</v>
      </c>
      <c r="X560" s="485">
        <v>5</v>
      </c>
      <c r="Y560" s="485" t="s">
        <v>5624</v>
      </c>
      <c r="Z560" s="486">
        <v>70118032.786885247</v>
      </c>
      <c r="AA560" s="486">
        <v>0</v>
      </c>
      <c r="AB560" s="486">
        <v>0</v>
      </c>
      <c r="AC560" s="486">
        <v>0</v>
      </c>
      <c r="AD560" s="486">
        <v>0</v>
      </c>
      <c r="AE560" s="486">
        <v>0</v>
      </c>
      <c r="AF560" s="486">
        <v>0</v>
      </c>
      <c r="AG560" s="486">
        <v>0</v>
      </c>
      <c r="AH560" s="487">
        <v>70118032.786885247</v>
      </c>
      <c r="AI560" s="486">
        <v>0</v>
      </c>
      <c r="AJ560" s="486">
        <v>0</v>
      </c>
      <c r="AK560" s="486">
        <v>14881967.213114753</v>
      </c>
      <c r="AL560" s="488">
        <v>14881967.213114753</v>
      </c>
      <c r="AM560" s="489">
        <v>85000000</v>
      </c>
      <c r="AN560" s="486">
        <v>72922754.098360658</v>
      </c>
      <c r="AO560" s="486">
        <v>0</v>
      </c>
      <c r="AP560" s="486">
        <v>0</v>
      </c>
      <c r="AQ560" s="486">
        <v>0</v>
      </c>
      <c r="AR560" s="486">
        <v>0</v>
      </c>
      <c r="AS560" s="486">
        <v>0</v>
      </c>
      <c r="AT560" s="486">
        <v>0</v>
      </c>
      <c r="AU560" s="486">
        <v>0</v>
      </c>
      <c r="AV560" s="487">
        <v>72922754.098360658</v>
      </c>
      <c r="AW560" s="486">
        <v>0</v>
      </c>
      <c r="AX560" s="486">
        <v>0</v>
      </c>
      <c r="AY560" s="486">
        <v>18877245.901639342</v>
      </c>
      <c r="AZ560" s="488">
        <v>18877245.901639342</v>
      </c>
      <c r="BA560" s="490">
        <v>91800000</v>
      </c>
      <c r="BB560" s="486">
        <v>75839664.262295082</v>
      </c>
      <c r="BC560" s="486">
        <v>0</v>
      </c>
      <c r="BD560" s="486">
        <v>0</v>
      </c>
      <c r="BE560" s="486">
        <v>0</v>
      </c>
      <c r="BF560" s="486">
        <v>0</v>
      </c>
      <c r="BG560" s="486">
        <v>0</v>
      </c>
      <c r="BH560" s="486">
        <v>0</v>
      </c>
      <c r="BI560" s="486">
        <v>0</v>
      </c>
      <c r="BJ560" s="487">
        <v>75839664.262295082</v>
      </c>
      <c r="BK560" s="486">
        <v>0</v>
      </c>
      <c r="BL560" s="486">
        <v>0</v>
      </c>
      <c r="BM560" s="486">
        <v>23304335.737704918</v>
      </c>
      <c r="BN560" s="488">
        <v>23304335.737704918</v>
      </c>
      <c r="BO560" s="490">
        <v>99144000</v>
      </c>
      <c r="BP560" s="486">
        <v>78873250.832786888</v>
      </c>
      <c r="BQ560" s="486">
        <v>0</v>
      </c>
      <c r="BR560" s="486">
        <v>0</v>
      </c>
      <c r="BS560" s="486">
        <v>0</v>
      </c>
      <c r="BT560" s="486">
        <v>0</v>
      </c>
      <c r="BU560" s="486">
        <v>0</v>
      </c>
      <c r="BV560" s="486">
        <v>0</v>
      </c>
      <c r="BW560" s="486">
        <v>0</v>
      </c>
      <c r="BX560" s="487">
        <v>78873250.832786888</v>
      </c>
      <c r="BY560" s="486">
        <v>0</v>
      </c>
      <c r="BZ560" s="486">
        <v>0</v>
      </c>
      <c r="CA560" s="486">
        <v>28202269.167213112</v>
      </c>
      <c r="CB560" s="488">
        <v>28202269.167213112</v>
      </c>
      <c r="CC560" s="491">
        <v>107075520</v>
      </c>
      <c r="CD560" s="492">
        <v>383019520</v>
      </c>
      <c r="CE560" s="493">
        <f t="shared" si="36"/>
        <v>297753701.98032784</v>
      </c>
      <c r="CF560" s="493">
        <f t="shared" si="36"/>
        <v>0</v>
      </c>
      <c r="CG560" s="493">
        <f t="shared" si="36"/>
        <v>0</v>
      </c>
      <c r="CH560" s="493">
        <f t="shared" si="36"/>
        <v>0</v>
      </c>
      <c r="CI560" s="493">
        <f t="shared" si="36"/>
        <v>0</v>
      </c>
      <c r="CJ560" s="493">
        <f t="shared" si="35"/>
        <v>0</v>
      </c>
      <c r="CK560" s="493">
        <f t="shared" si="35"/>
        <v>0</v>
      </c>
      <c r="CL560" s="493">
        <f t="shared" si="35"/>
        <v>0</v>
      </c>
      <c r="CM560" s="493">
        <f t="shared" si="38"/>
        <v>0</v>
      </c>
      <c r="CN560" s="493">
        <f t="shared" si="38"/>
        <v>0</v>
      </c>
      <c r="CO560" s="493">
        <f t="shared" si="38"/>
        <v>85265818.019672126</v>
      </c>
    </row>
    <row r="561" spans="1:93" ht="30.45" hidden="1" customHeight="1">
      <c r="A561" s="555" t="s">
        <v>4963</v>
      </c>
      <c r="B561" s="479">
        <v>559</v>
      </c>
      <c r="C561" s="480" t="s">
        <v>6371</v>
      </c>
      <c r="D561" s="480" t="s">
        <v>4967</v>
      </c>
      <c r="E561" s="480" t="str">
        <f t="shared" si="37"/>
        <v xml:space="preserve">5.2.6 </v>
      </c>
      <c r="F561" s="480" t="s">
        <v>4994</v>
      </c>
      <c r="G561" s="480" t="s">
        <v>4995</v>
      </c>
      <c r="H561" s="481">
        <v>45</v>
      </c>
      <c r="I561" s="480" t="s">
        <v>4209</v>
      </c>
      <c r="J561" s="495">
        <v>450202200</v>
      </c>
      <c r="K561" s="480" t="s">
        <v>4228</v>
      </c>
      <c r="L561" s="480" t="s">
        <v>4998</v>
      </c>
      <c r="M561" s="480" t="s">
        <v>6143</v>
      </c>
      <c r="N561" s="499">
        <v>5</v>
      </c>
      <c r="O561" s="480" t="s">
        <v>244</v>
      </c>
      <c r="P561" s="515">
        <v>5</v>
      </c>
      <c r="Q561" s="485" t="s">
        <v>5349</v>
      </c>
      <c r="R561" s="485" t="s">
        <v>5619</v>
      </c>
      <c r="S561" s="485" t="s">
        <v>677</v>
      </c>
      <c r="T561" s="485" t="s">
        <v>5620</v>
      </c>
      <c r="U561" s="485" t="s">
        <v>5621</v>
      </c>
      <c r="V561" s="485" t="s">
        <v>5622</v>
      </c>
      <c r="W561" s="485" t="s">
        <v>5623</v>
      </c>
      <c r="X561" s="485">
        <v>5</v>
      </c>
      <c r="Y561" s="485" t="s">
        <v>5624</v>
      </c>
      <c r="Z561" s="486">
        <v>32996721.311475411</v>
      </c>
      <c r="AA561" s="486">
        <v>0</v>
      </c>
      <c r="AB561" s="486">
        <v>0</v>
      </c>
      <c r="AC561" s="486">
        <v>0</v>
      </c>
      <c r="AD561" s="486">
        <v>0</v>
      </c>
      <c r="AE561" s="486">
        <v>0</v>
      </c>
      <c r="AF561" s="486">
        <v>0</v>
      </c>
      <c r="AG561" s="486">
        <v>0</v>
      </c>
      <c r="AH561" s="487">
        <v>32996721.311475411</v>
      </c>
      <c r="AI561" s="486">
        <v>0</v>
      </c>
      <c r="AJ561" s="486">
        <v>0</v>
      </c>
      <c r="AK561" s="486">
        <v>7003278.6885245889</v>
      </c>
      <c r="AL561" s="488">
        <v>7003278.6885245889</v>
      </c>
      <c r="AM561" s="489">
        <v>40000000</v>
      </c>
      <c r="AN561" s="486">
        <v>34316590.163934425</v>
      </c>
      <c r="AO561" s="486">
        <v>0</v>
      </c>
      <c r="AP561" s="486">
        <v>0</v>
      </c>
      <c r="AQ561" s="486">
        <v>0</v>
      </c>
      <c r="AR561" s="486">
        <v>0</v>
      </c>
      <c r="AS561" s="486">
        <v>0</v>
      </c>
      <c r="AT561" s="486">
        <v>0</v>
      </c>
      <c r="AU561" s="486">
        <v>0</v>
      </c>
      <c r="AV561" s="487">
        <v>34316590.163934425</v>
      </c>
      <c r="AW561" s="486">
        <v>0</v>
      </c>
      <c r="AX561" s="486">
        <v>0</v>
      </c>
      <c r="AY561" s="486">
        <v>8883409.8360655755</v>
      </c>
      <c r="AZ561" s="488">
        <v>8883409.8360655755</v>
      </c>
      <c r="BA561" s="490">
        <v>43200000</v>
      </c>
      <c r="BB561" s="486">
        <v>35689253.770491801</v>
      </c>
      <c r="BC561" s="486">
        <v>0</v>
      </c>
      <c r="BD561" s="486">
        <v>0</v>
      </c>
      <c r="BE561" s="486">
        <v>0</v>
      </c>
      <c r="BF561" s="486">
        <v>0</v>
      </c>
      <c r="BG561" s="486">
        <v>0</v>
      </c>
      <c r="BH561" s="486">
        <v>0</v>
      </c>
      <c r="BI561" s="486">
        <v>0</v>
      </c>
      <c r="BJ561" s="487">
        <v>35689253.770491801</v>
      </c>
      <c r="BK561" s="486">
        <v>0</v>
      </c>
      <c r="BL561" s="486">
        <v>0</v>
      </c>
      <c r="BM561" s="486">
        <v>10966746.229508199</v>
      </c>
      <c r="BN561" s="488">
        <v>10966746.229508199</v>
      </c>
      <c r="BO561" s="490">
        <v>46656000</v>
      </c>
      <c r="BP561" s="486">
        <v>37116823.921311475</v>
      </c>
      <c r="BQ561" s="486">
        <v>0</v>
      </c>
      <c r="BR561" s="486">
        <v>0</v>
      </c>
      <c r="BS561" s="486">
        <v>0</v>
      </c>
      <c r="BT561" s="486">
        <v>0</v>
      </c>
      <c r="BU561" s="486">
        <v>0</v>
      </c>
      <c r="BV561" s="486">
        <v>0</v>
      </c>
      <c r="BW561" s="486">
        <v>0</v>
      </c>
      <c r="BX561" s="487">
        <v>37116823.921311475</v>
      </c>
      <c r="BY561" s="486">
        <v>0</v>
      </c>
      <c r="BZ561" s="486">
        <v>0</v>
      </c>
      <c r="CA561" s="486">
        <v>13271656.078688525</v>
      </c>
      <c r="CB561" s="488">
        <v>13271656.078688525</v>
      </c>
      <c r="CC561" s="491">
        <v>50388480</v>
      </c>
      <c r="CD561" s="492">
        <v>180244480</v>
      </c>
      <c r="CE561" s="493">
        <f t="shared" si="36"/>
        <v>140119389.16721311</v>
      </c>
      <c r="CF561" s="493">
        <f t="shared" si="36"/>
        <v>0</v>
      </c>
      <c r="CG561" s="493">
        <f t="shared" si="36"/>
        <v>0</v>
      </c>
      <c r="CH561" s="493">
        <f t="shared" si="36"/>
        <v>0</v>
      </c>
      <c r="CI561" s="493">
        <f t="shared" si="36"/>
        <v>0</v>
      </c>
      <c r="CJ561" s="493">
        <f t="shared" si="35"/>
        <v>0</v>
      </c>
      <c r="CK561" s="493">
        <f t="shared" si="35"/>
        <v>0</v>
      </c>
      <c r="CL561" s="493">
        <f t="shared" si="35"/>
        <v>0</v>
      </c>
      <c r="CM561" s="493">
        <f t="shared" si="38"/>
        <v>0</v>
      </c>
      <c r="CN561" s="493">
        <f t="shared" si="38"/>
        <v>0</v>
      </c>
      <c r="CO561" s="493">
        <f t="shared" si="38"/>
        <v>40125090.832786888</v>
      </c>
    </row>
    <row r="562" spans="1:93" ht="30.45" hidden="1" customHeight="1">
      <c r="A562" s="555" t="s">
        <v>4963</v>
      </c>
      <c r="B562" s="479">
        <v>560</v>
      </c>
      <c r="C562" s="480" t="s">
        <v>6371</v>
      </c>
      <c r="D562" s="480" t="s">
        <v>4967</v>
      </c>
      <c r="E562" s="480" t="str">
        <f t="shared" si="37"/>
        <v xml:space="preserve">5.2.6 </v>
      </c>
      <c r="F562" s="480" t="s">
        <v>4994</v>
      </c>
      <c r="G562" s="480" t="s">
        <v>4995</v>
      </c>
      <c r="H562" s="481">
        <v>45</v>
      </c>
      <c r="I562" s="480" t="s">
        <v>4209</v>
      </c>
      <c r="J562" s="495">
        <v>450203400</v>
      </c>
      <c r="K562" s="480" t="s">
        <v>4008</v>
      </c>
      <c r="L562" s="480" t="s">
        <v>4999</v>
      </c>
      <c r="M562" s="480" t="s">
        <v>6144</v>
      </c>
      <c r="N562" s="499">
        <v>200</v>
      </c>
      <c r="O562" s="480" t="s">
        <v>4966</v>
      </c>
      <c r="P562" s="515">
        <v>1000</v>
      </c>
      <c r="Q562" s="485" t="s">
        <v>5349</v>
      </c>
      <c r="R562" s="485" t="s">
        <v>5619</v>
      </c>
      <c r="S562" s="485" t="s">
        <v>677</v>
      </c>
      <c r="T562" s="485" t="s">
        <v>5620</v>
      </c>
      <c r="U562" s="485" t="s">
        <v>5621</v>
      </c>
      <c r="V562" s="485" t="s">
        <v>5622</v>
      </c>
      <c r="W562" s="485" t="s">
        <v>5623</v>
      </c>
      <c r="X562" s="485">
        <v>5</v>
      </c>
      <c r="Y562" s="485" t="s">
        <v>5624</v>
      </c>
      <c r="Z562" s="486">
        <v>61043934.426229507</v>
      </c>
      <c r="AA562" s="486">
        <v>0</v>
      </c>
      <c r="AB562" s="486">
        <v>0</v>
      </c>
      <c r="AC562" s="486">
        <v>0</v>
      </c>
      <c r="AD562" s="486">
        <v>0</v>
      </c>
      <c r="AE562" s="486">
        <v>0</v>
      </c>
      <c r="AF562" s="486">
        <v>0</v>
      </c>
      <c r="AG562" s="486">
        <v>0</v>
      </c>
      <c r="AH562" s="487">
        <v>61043934.426229507</v>
      </c>
      <c r="AI562" s="486">
        <v>0</v>
      </c>
      <c r="AJ562" s="486">
        <v>0</v>
      </c>
      <c r="AK562" s="486">
        <v>12956065.573770493</v>
      </c>
      <c r="AL562" s="488">
        <v>12956065.573770493</v>
      </c>
      <c r="AM562" s="489">
        <v>74000000</v>
      </c>
      <c r="AN562" s="486">
        <v>63485691.803278692</v>
      </c>
      <c r="AO562" s="486">
        <v>0</v>
      </c>
      <c r="AP562" s="486">
        <v>0</v>
      </c>
      <c r="AQ562" s="486">
        <v>0</v>
      </c>
      <c r="AR562" s="486">
        <v>0</v>
      </c>
      <c r="AS562" s="486">
        <v>0</v>
      </c>
      <c r="AT562" s="486">
        <v>0</v>
      </c>
      <c r="AU562" s="486">
        <v>0</v>
      </c>
      <c r="AV562" s="487">
        <v>63485691.803278692</v>
      </c>
      <c r="AW562" s="486">
        <v>0</v>
      </c>
      <c r="AX562" s="486">
        <v>0</v>
      </c>
      <c r="AY562" s="486">
        <v>16434308.196721308</v>
      </c>
      <c r="AZ562" s="488">
        <v>16434308.196721308</v>
      </c>
      <c r="BA562" s="490">
        <v>79920000</v>
      </c>
      <c r="BB562" s="486">
        <v>66025119.475409836</v>
      </c>
      <c r="BC562" s="486">
        <v>0</v>
      </c>
      <c r="BD562" s="486">
        <v>0</v>
      </c>
      <c r="BE562" s="486">
        <v>0</v>
      </c>
      <c r="BF562" s="486">
        <v>0</v>
      </c>
      <c r="BG562" s="486">
        <v>0</v>
      </c>
      <c r="BH562" s="486">
        <v>0</v>
      </c>
      <c r="BI562" s="486">
        <v>0</v>
      </c>
      <c r="BJ562" s="487">
        <v>66025119.475409836</v>
      </c>
      <c r="BK562" s="486">
        <v>0</v>
      </c>
      <c r="BL562" s="486">
        <v>0</v>
      </c>
      <c r="BM562" s="486">
        <v>20288480.524590164</v>
      </c>
      <c r="BN562" s="488">
        <v>20288480.524590164</v>
      </c>
      <c r="BO562" s="490">
        <v>86313600</v>
      </c>
      <c r="BP562" s="486">
        <v>68666124.254426226</v>
      </c>
      <c r="BQ562" s="486">
        <v>0</v>
      </c>
      <c r="BR562" s="486">
        <v>0</v>
      </c>
      <c r="BS562" s="486">
        <v>0</v>
      </c>
      <c r="BT562" s="486">
        <v>0</v>
      </c>
      <c r="BU562" s="486">
        <v>0</v>
      </c>
      <c r="BV562" s="486">
        <v>0</v>
      </c>
      <c r="BW562" s="486">
        <v>0</v>
      </c>
      <c r="BX562" s="487">
        <v>68666124.254426226</v>
      </c>
      <c r="BY562" s="486">
        <v>0</v>
      </c>
      <c r="BZ562" s="486">
        <v>0</v>
      </c>
      <c r="CA562" s="486">
        <v>24552563.745573774</v>
      </c>
      <c r="CB562" s="488">
        <v>24552563.745573774</v>
      </c>
      <c r="CC562" s="491">
        <v>93218688</v>
      </c>
      <c r="CD562" s="492">
        <v>333452288</v>
      </c>
      <c r="CE562" s="493">
        <f t="shared" ref="CE562:CL578" si="39">Z562+AN562+BB562+BP562</f>
        <v>259220869.95934427</v>
      </c>
      <c r="CF562" s="493">
        <f t="shared" si="39"/>
        <v>0</v>
      </c>
      <c r="CG562" s="493">
        <f t="shared" si="39"/>
        <v>0</v>
      </c>
      <c r="CH562" s="493">
        <f t="shared" si="39"/>
        <v>0</v>
      </c>
      <c r="CI562" s="493">
        <f t="shared" si="39"/>
        <v>0</v>
      </c>
      <c r="CJ562" s="493">
        <f t="shared" si="35"/>
        <v>0</v>
      </c>
      <c r="CK562" s="493">
        <f t="shared" si="35"/>
        <v>0</v>
      </c>
      <c r="CL562" s="493">
        <f t="shared" si="35"/>
        <v>0</v>
      </c>
      <c r="CM562" s="493">
        <f t="shared" si="38"/>
        <v>0</v>
      </c>
      <c r="CN562" s="493">
        <f t="shared" si="38"/>
        <v>0</v>
      </c>
      <c r="CO562" s="493">
        <f t="shared" si="38"/>
        <v>74231418.040655732</v>
      </c>
    </row>
    <row r="563" spans="1:93" ht="30.45" hidden="1" customHeight="1">
      <c r="A563" s="555" t="s">
        <v>4963</v>
      </c>
      <c r="B563" s="479">
        <v>561</v>
      </c>
      <c r="C563" s="480" t="s">
        <v>6371</v>
      </c>
      <c r="D563" s="480" t="s">
        <v>4967</v>
      </c>
      <c r="E563" s="480" t="str">
        <f t="shared" si="37"/>
        <v xml:space="preserve">5.2.6 </v>
      </c>
      <c r="F563" s="480" t="s">
        <v>4994</v>
      </c>
      <c r="G563" s="480" t="s">
        <v>4995</v>
      </c>
      <c r="H563" s="481">
        <v>45</v>
      </c>
      <c r="I563" s="480" t="s">
        <v>4209</v>
      </c>
      <c r="J563" s="495">
        <v>450203800</v>
      </c>
      <c r="K563" s="480" t="s">
        <v>4347</v>
      </c>
      <c r="L563" s="480" t="s">
        <v>5000</v>
      </c>
      <c r="M563" s="480" t="s">
        <v>6145</v>
      </c>
      <c r="N563" s="499">
        <v>1</v>
      </c>
      <c r="O563" s="480" t="s">
        <v>4966</v>
      </c>
      <c r="P563" s="515">
        <v>1</v>
      </c>
      <c r="Q563" s="485" t="s">
        <v>5349</v>
      </c>
      <c r="R563" s="485" t="s">
        <v>5619</v>
      </c>
      <c r="S563" s="485" t="s">
        <v>677</v>
      </c>
      <c r="T563" s="485" t="s">
        <v>5620</v>
      </c>
      <c r="U563" s="485" t="s">
        <v>5621</v>
      </c>
      <c r="V563" s="485" t="s">
        <v>5622</v>
      </c>
      <c r="W563" s="485" t="s">
        <v>5623</v>
      </c>
      <c r="X563" s="485">
        <v>5</v>
      </c>
      <c r="Y563" s="485" t="s">
        <v>5624</v>
      </c>
      <c r="Z563" s="486">
        <v>28872131.147540983</v>
      </c>
      <c r="AA563" s="486">
        <v>0</v>
      </c>
      <c r="AB563" s="486">
        <v>0</v>
      </c>
      <c r="AC563" s="486">
        <v>0</v>
      </c>
      <c r="AD563" s="486">
        <v>0</v>
      </c>
      <c r="AE563" s="486">
        <v>0</v>
      </c>
      <c r="AF563" s="486">
        <v>0</v>
      </c>
      <c r="AG563" s="486">
        <v>0</v>
      </c>
      <c r="AH563" s="487">
        <v>28872131.147540983</v>
      </c>
      <c r="AI563" s="486">
        <v>0</v>
      </c>
      <c r="AJ563" s="486">
        <v>0</v>
      </c>
      <c r="AK563" s="486">
        <v>6127868.8524590172</v>
      </c>
      <c r="AL563" s="488">
        <v>6127868.8524590172</v>
      </c>
      <c r="AM563" s="489">
        <v>35000000</v>
      </c>
      <c r="AN563" s="486">
        <v>30027016.393442623</v>
      </c>
      <c r="AO563" s="486">
        <v>0</v>
      </c>
      <c r="AP563" s="486">
        <v>0</v>
      </c>
      <c r="AQ563" s="486">
        <v>0</v>
      </c>
      <c r="AR563" s="486">
        <v>0</v>
      </c>
      <c r="AS563" s="486">
        <v>0</v>
      </c>
      <c r="AT563" s="486">
        <v>0</v>
      </c>
      <c r="AU563" s="486">
        <v>0</v>
      </c>
      <c r="AV563" s="487">
        <v>30027016.393442623</v>
      </c>
      <c r="AW563" s="486">
        <v>0</v>
      </c>
      <c r="AX563" s="486">
        <v>0</v>
      </c>
      <c r="AY563" s="486">
        <v>7772983.6065573767</v>
      </c>
      <c r="AZ563" s="488">
        <v>7772983.6065573767</v>
      </c>
      <c r="BA563" s="490">
        <v>37800000</v>
      </c>
      <c r="BB563" s="486">
        <v>31228097.049180329</v>
      </c>
      <c r="BC563" s="486">
        <v>0</v>
      </c>
      <c r="BD563" s="486">
        <v>0</v>
      </c>
      <c r="BE563" s="486">
        <v>0</v>
      </c>
      <c r="BF563" s="486">
        <v>0</v>
      </c>
      <c r="BG563" s="486">
        <v>0</v>
      </c>
      <c r="BH563" s="486">
        <v>0</v>
      </c>
      <c r="BI563" s="486">
        <v>0</v>
      </c>
      <c r="BJ563" s="487">
        <v>31228097.049180329</v>
      </c>
      <c r="BK563" s="486">
        <v>0</v>
      </c>
      <c r="BL563" s="486">
        <v>0</v>
      </c>
      <c r="BM563" s="486">
        <v>9595902.9508196712</v>
      </c>
      <c r="BN563" s="488">
        <v>9595902.9508196712</v>
      </c>
      <c r="BO563" s="490">
        <v>40824000</v>
      </c>
      <c r="BP563" s="486">
        <v>32477220.931147538</v>
      </c>
      <c r="BQ563" s="486">
        <v>0</v>
      </c>
      <c r="BR563" s="486">
        <v>0</v>
      </c>
      <c r="BS563" s="486">
        <v>0</v>
      </c>
      <c r="BT563" s="486">
        <v>0</v>
      </c>
      <c r="BU563" s="486">
        <v>0</v>
      </c>
      <c r="BV563" s="486">
        <v>0</v>
      </c>
      <c r="BW563" s="486">
        <v>0</v>
      </c>
      <c r="BX563" s="487">
        <v>32477220.931147538</v>
      </c>
      <c r="BY563" s="486">
        <v>0</v>
      </c>
      <c r="BZ563" s="486">
        <v>0</v>
      </c>
      <c r="CA563" s="486">
        <v>11612699.068852462</v>
      </c>
      <c r="CB563" s="488">
        <v>11612699.068852462</v>
      </c>
      <c r="CC563" s="491">
        <v>44089920</v>
      </c>
      <c r="CD563" s="492">
        <v>157713920</v>
      </c>
      <c r="CE563" s="493">
        <f t="shared" si="39"/>
        <v>122604465.52131146</v>
      </c>
      <c r="CF563" s="493">
        <f t="shared" si="39"/>
        <v>0</v>
      </c>
      <c r="CG563" s="493">
        <f t="shared" si="39"/>
        <v>0</v>
      </c>
      <c r="CH563" s="493">
        <f t="shared" si="39"/>
        <v>0</v>
      </c>
      <c r="CI563" s="493">
        <f t="shared" si="39"/>
        <v>0</v>
      </c>
      <c r="CJ563" s="493">
        <f t="shared" si="35"/>
        <v>0</v>
      </c>
      <c r="CK563" s="493">
        <f t="shared" si="35"/>
        <v>0</v>
      </c>
      <c r="CL563" s="493">
        <f t="shared" si="35"/>
        <v>0</v>
      </c>
      <c r="CM563" s="493">
        <f t="shared" si="38"/>
        <v>0</v>
      </c>
      <c r="CN563" s="493">
        <f t="shared" si="38"/>
        <v>0</v>
      </c>
      <c r="CO563" s="493">
        <f t="shared" si="38"/>
        <v>35109454.478688523</v>
      </c>
    </row>
    <row r="564" spans="1:93" ht="30.45" hidden="1" customHeight="1">
      <c r="A564" s="555" t="s">
        <v>4963</v>
      </c>
      <c r="B564" s="479">
        <v>562</v>
      </c>
      <c r="C564" s="480" t="s">
        <v>6371</v>
      </c>
      <c r="D564" s="480" t="s">
        <v>4967</v>
      </c>
      <c r="E564" s="480" t="str">
        <f t="shared" si="37"/>
        <v xml:space="preserve">5.2.6 </v>
      </c>
      <c r="F564" s="480" t="s">
        <v>4994</v>
      </c>
      <c r="G564" s="480" t="s">
        <v>4995</v>
      </c>
      <c r="H564" s="481">
        <v>12</v>
      </c>
      <c r="I564" s="480" t="s">
        <v>4791</v>
      </c>
      <c r="J564" s="495">
        <v>120201900</v>
      </c>
      <c r="K564" s="480" t="s">
        <v>4347</v>
      </c>
      <c r="L564" s="480" t="s">
        <v>6651</v>
      </c>
      <c r="M564" s="480" t="s">
        <v>6146</v>
      </c>
      <c r="N564" s="499">
        <v>1</v>
      </c>
      <c r="O564" s="480" t="s">
        <v>244</v>
      </c>
      <c r="P564" s="515">
        <v>1</v>
      </c>
      <c r="Q564" s="485" t="s">
        <v>5349</v>
      </c>
      <c r="R564" s="485" t="s">
        <v>5619</v>
      </c>
      <c r="S564" s="485" t="s">
        <v>677</v>
      </c>
      <c r="T564" s="485" t="s">
        <v>5620</v>
      </c>
      <c r="U564" s="485" t="s">
        <v>5621</v>
      </c>
      <c r="V564" s="485" t="s">
        <v>5622</v>
      </c>
      <c r="W564" s="485" t="s">
        <v>5623</v>
      </c>
      <c r="X564" s="485">
        <v>5</v>
      </c>
      <c r="Y564" s="485" t="s">
        <v>5624</v>
      </c>
      <c r="Z564" s="486">
        <v>49495081.967213117</v>
      </c>
      <c r="AA564" s="486">
        <v>0</v>
      </c>
      <c r="AB564" s="486">
        <v>0</v>
      </c>
      <c r="AC564" s="486">
        <v>0</v>
      </c>
      <c r="AD564" s="486">
        <v>0</v>
      </c>
      <c r="AE564" s="486">
        <v>0</v>
      </c>
      <c r="AF564" s="486">
        <v>0</v>
      </c>
      <c r="AG564" s="486">
        <v>0</v>
      </c>
      <c r="AH564" s="487">
        <v>49495081.967213117</v>
      </c>
      <c r="AI564" s="486">
        <v>0</v>
      </c>
      <c r="AJ564" s="486">
        <v>0</v>
      </c>
      <c r="AK564" s="486">
        <v>10504918.032786883</v>
      </c>
      <c r="AL564" s="488">
        <v>10504918.032786883</v>
      </c>
      <c r="AM564" s="489">
        <v>60000000</v>
      </c>
      <c r="AN564" s="486">
        <v>51474885.245901652</v>
      </c>
      <c r="AO564" s="486">
        <v>0</v>
      </c>
      <c r="AP564" s="486">
        <v>0</v>
      </c>
      <c r="AQ564" s="486">
        <v>0</v>
      </c>
      <c r="AR564" s="486">
        <v>0</v>
      </c>
      <c r="AS564" s="486">
        <v>0</v>
      </c>
      <c r="AT564" s="486">
        <v>0</v>
      </c>
      <c r="AU564" s="486">
        <v>0</v>
      </c>
      <c r="AV564" s="487">
        <v>51474885.245901652</v>
      </c>
      <c r="AW564" s="486">
        <v>0</v>
      </c>
      <c r="AX564" s="486">
        <v>0</v>
      </c>
      <c r="AY564" s="486">
        <v>13325114.754098356</v>
      </c>
      <c r="AZ564" s="488">
        <v>13325114.754098356</v>
      </c>
      <c r="BA564" s="490">
        <v>64800000.000000007</v>
      </c>
      <c r="BB564" s="486">
        <v>53533880.65573772</v>
      </c>
      <c r="BC564" s="486">
        <v>0</v>
      </c>
      <c r="BD564" s="486">
        <v>0</v>
      </c>
      <c r="BE564" s="486">
        <v>0</v>
      </c>
      <c r="BF564" s="486">
        <v>0</v>
      </c>
      <c r="BG564" s="486">
        <v>0</v>
      </c>
      <c r="BH564" s="486">
        <v>0</v>
      </c>
      <c r="BI564" s="486">
        <v>0</v>
      </c>
      <c r="BJ564" s="487">
        <v>53533880.65573772</v>
      </c>
      <c r="BK564" s="486">
        <v>0</v>
      </c>
      <c r="BL564" s="486">
        <v>0</v>
      </c>
      <c r="BM564" s="486">
        <v>16450119.344262294</v>
      </c>
      <c r="BN564" s="488">
        <v>16450119.344262294</v>
      </c>
      <c r="BO564" s="490">
        <v>69984000.000000015</v>
      </c>
      <c r="BP564" s="486">
        <v>55675235.881967224</v>
      </c>
      <c r="BQ564" s="486">
        <v>0</v>
      </c>
      <c r="BR564" s="486">
        <v>0</v>
      </c>
      <c r="BS564" s="486">
        <v>0</v>
      </c>
      <c r="BT564" s="486">
        <v>0</v>
      </c>
      <c r="BU564" s="486">
        <v>0</v>
      </c>
      <c r="BV564" s="486">
        <v>0</v>
      </c>
      <c r="BW564" s="486">
        <v>0</v>
      </c>
      <c r="BX564" s="487">
        <v>55675235.881967224</v>
      </c>
      <c r="BY564" s="486">
        <v>0</v>
      </c>
      <c r="BZ564" s="486">
        <v>0</v>
      </c>
      <c r="CA564" s="486">
        <v>19907484.118032791</v>
      </c>
      <c r="CB564" s="488">
        <v>19907484.118032791</v>
      </c>
      <c r="CC564" s="491">
        <v>75582720.000000015</v>
      </c>
      <c r="CD564" s="492">
        <v>270366720</v>
      </c>
      <c r="CE564" s="493">
        <f t="shared" si="39"/>
        <v>210179083.75081971</v>
      </c>
      <c r="CF564" s="493">
        <f t="shared" si="39"/>
        <v>0</v>
      </c>
      <c r="CG564" s="493">
        <f t="shared" si="39"/>
        <v>0</v>
      </c>
      <c r="CH564" s="493">
        <f t="shared" si="39"/>
        <v>0</v>
      </c>
      <c r="CI564" s="493">
        <f t="shared" si="39"/>
        <v>0</v>
      </c>
      <c r="CJ564" s="493">
        <f t="shared" si="35"/>
        <v>0</v>
      </c>
      <c r="CK564" s="493">
        <f t="shared" si="35"/>
        <v>0</v>
      </c>
      <c r="CL564" s="493">
        <f t="shared" si="35"/>
        <v>0</v>
      </c>
      <c r="CM564" s="493">
        <f t="shared" si="38"/>
        <v>0</v>
      </c>
      <c r="CN564" s="493">
        <f t="shared" si="38"/>
        <v>0</v>
      </c>
      <c r="CO564" s="493">
        <f t="shared" si="38"/>
        <v>60187636.249180324</v>
      </c>
    </row>
    <row r="565" spans="1:93" ht="30.45" hidden="1" customHeight="1">
      <c r="A565" s="555" t="s">
        <v>4963</v>
      </c>
      <c r="B565" s="479">
        <v>563</v>
      </c>
      <c r="C565" s="480" t="s">
        <v>6371</v>
      </c>
      <c r="D565" s="480" t="s">
        <v>4967</v>
      </c>
      <c r="E565" s="480" t="str">
        <f t="shared" si="37"/>
        <v xml:space="preserve">5.2.7 </v>
      </c>
      <c r="F565" s="480" t="s">
        <v>5001</v>
      </c>
      <c r="G565" s="480" t="s">
        <v>5002</v>
      </c>
      <c r="H565" s="481">
        <v>45</v>
      </c>
      <c r="I565" s="480" t="s">
        <v>4209</v>
      </c>
      <c r="J565" s="495">
        <v>450203400</v>
      </c>
      <c r="K565" s="480" t="s">
        <v>4008</v>
      </c>
      <c r="L565" s="480" t="s">
        <v>6527</v>
      </c>
      <c r="M565" s="480" t="s">
        <v>6652</v>
      </c>
      <c r="N565" s="499">
        <v>400</v>
      </c>
      <c r="O565" s="480" t="s">
        <v>4966</v>
      </c>
      <c r="P565" s="515">
        <v>1200</v>
      </c>
      <c r="Q565" s="485" t="s">
        <v>5349</v>
      </c>
      <c r="R565" s="485" t="s">
        <v>5625</v>
      </c>
      <c r="S565" s="485" t="s">
        <v>677</v>
      </c>
      <c r="T565" s="485" t="s">
        <v>5626</v>
      </c>
      <c r="U565" s="485" t="s">
        <v>4966</v>
      </c>
      <c r="V565" s="485">
        <v>0.28999999999999998</v>
      </c>
      <c r="W565" s="485" t="s">
        <v>5357</v>
      </c>
      <c r="X565" s="485" t="s">
        <v>5627</v>
      </c>
      <c r="Y565" s="485" t="s">
        <v>5628</v>
      </c>
      <c r="Z565" s="486">
        <v>51557377.049180329</v>
      </c>
      <c r="AA565" s="486">
        <v>0</v>
      </c>
      <c r="AB565" s="486">
        <v>0</v>
      </c>
      <c r="AC565" s="486">
        <v>0</v>
      </c>
      <c r="AD565" s="486">
        <v>0</v>
      </c>
      <c r="AE565" s="486">
        <v>0</v>
      </c>
      <c r="AF565" s="486">
        <v>0</v>
      </c>
      <c r="AG565" s="486">
        <v>0</v>
      </c>
      <c r="AH565" s="487">
        <v>51557377.049180329</v>
      </c>
      <c r="AI565" s="486">
        <v>0</v>
      </c>
      <c r="AJ565" s="486">
        <v>0</v>
      </c>
      <c r="AK565" s="486">
        <v>10942622.950819671</v>
      </c>
      <c r="AL565" s="488">
        <v>10942622.950819671</v>
      </c>
      <c r="AM565" s="489">
        <v>62500000</v>
      </c>
      <c r="AN565" s="486">
        <v>53619672.131147541</v>
      </c>
      <c r="AO565" s="486">
        <v>0</v>
      </c>
      <c r="AP565" s="486">
        <v>0</v>
      </c>
      <c r="AQ565" s="486">
        <v>0</v>
      </c>
      <c r="AR565" s="486">
        <v>0</v>
      </c>
      <c r="AS565" s="486">
        <v>0</v>
      </c>
      <c r="AT565" s="486">
        <v>0</v>
      </c>
      <c r="AU565" s="486">
        <v>0</v>
      </c>
      <c r="AV565" s="487">
        <v>53619672.131147541</v>
      </c>
      <c r="AW565" s="486">
        <v>0</v>
      </c>
      <c r="AX565" s="486">
        <v>0</v>
      </c>
      <c r="AY565" s="486">
        <v>13880327.868852459</v>
      </c>
      <c r="AZ565" s="488">
        <v>13880327.868852459</v>
      </c>
      <c r="BA565" s="490">
        <v>67500000</v>
      </c>
      <c r="BB565" s="486">
        <v>55764459.016393445</v>
      </c>
      <c r="BC565" s="486">
        <v>0</v>
      </c>
      <c r="BD565" s="486">
        <v>0</v>
      </c>
      <c r="BE565" s="486">
        <v>0</v>
      </c>
      <c r="BF565" s="486">
        <v>0</v>
      </c>
      <c r="BG565" s="486">
        <v>0</v>
      </c>
      <c r="BH565" s="486">
        <v>0</v>
      </c>
      <c r="BI565" s="486">
        <v>0</v>
      </c>
      <c r="BJ565" s="487">
        <v>55764459.016393445</v>
      </c>
      <c r="BK565" s="486">
        <v>0</v>
      </c>
      <c r="BL565" s="486">
        <v>0</v>
      </c>
      <c r="BM565" s="486">
        <v>17135540.983606555</v>
      </c>
      <c r="BN565" s="488">
        <v>17135540.983606555</v>
      </c>
      <c r="BO565" s="490">
        <v>72900000</v>
      </c>
      <c r="BP565" s="486">
        <v>57995037.377049178</v>
      </c>
      <c r="BQ565" s="486">
        <v>0</v>
      </c>
      <c r="BR565" s="486">
        <v>0</v>
      </c>
      <c r="BS565" s="486">
        <v>0</v>
      </c>
      <c r="BT565" s="486">
        <v>0</v>
      </c>
      <c r="BU565" s="486">
        <v>0</v>
      </c>
      <c r="BV565" s="486">
        <v>0</v>
      </c>
      <c r="BW565" s="486">
        <v>0</v>
      </c>
      <c r="BX565" s="487">
        <v>57995037.377049178</v>
      </c>
      <c r="BY565" s="486">
        <v>0</v>
      </c>
      <c r="BZ565" s="486">
        <v>0</v>
      </c>
      <c r="CA565" s="486">
        <v>20736962.622950822</v>
      </c>
      <c r="CB565" s="488">
        <v>20736962.622950822</v>
      </c>
      <c r="CC565" s="491">
        <v>78732000</v>
      </c>
      <c r="CD565" s="492">
        <v>281632000</v>
      </c>
      <c r="CE565" s="493">
        <f t="shared" si="39"/>
        <v>218936545.57377049</v>
      </c>
      <c r="CF565" s="493">
        <f t="shared" si="39"/>
        <v>0</v>
      </c>
      <c r="CG565" s="493">
        <f t="shared" si="39"/>
        <v>0</v>
      </c>
      <c r="CH565" s="493">
        <f t="shared" si="39"/>
        <v>0</v>
      </c>
      <c r="CI565" s="493">
        <f t="shared" si="39"/>
        <v>0</v>
      </c>
      <c r="CJ565" s="493">
        <f t="shared" si="35"/>
        <v>0</v>
      </c>
      <c r="CK565" s="493">
        <f t="shared" si="35"/>
        <v>0</v>
      </c>
      <c r="CL565" s="493">
        <f t="shared" si="35"/>
        <v>0</v>
      </c>
      <c r="CM565" s="493">
        <f t="shared" si="38"/>
        <v>0</v>
      </c>
      <c r="CN565" s="493">
        <f t="shared" si="38"/>
        <v>0</v>
      </c>
      <c r="CO565" s="493">
        <f t="shared" si="38"/>
        <v>62695454.426229507</v>
      </c>
    </row>
    <row r="566" spans="1:93" ht="30.45" hidden="1" customHeight="1">
      <c r="A566" s="555" t="s">
        <v>4963</v>
      </c>
      <c r="B566" s="479">
        <v>564</v>
      </c>
      <c r="C566" s="480" t="s">
        <v>6371</v>
      </c>
      <c r="D566" s="480" t="s">
        <v>4967</v>
      </c>
      <c r="E566" s="480" t="str">
        <f t="shared" si="37"/>
        <v xml:space="preserve">5.2.7 </v>
      </c>
      <c r="F566" s="480" t="s">
        <v>5001</v>
      </c>
      <c r="G566" s="480" t="s">
        <v>5002</v>
      </c>
      <c r="H566" s="481">
        <v>45</v>
      </c>
      <c r="I566" s="480" t="s">
        <v>4209</v>
      </c>
      <c r="J566" s="495">
        <v>450203800</v>
      </c>
      <c r="K566" s="480" t="s">
        <v>4347</v>
      </c>
      <c r="L566" s="480" t="s">
        <v>5003</v>
      </c>
      <c r="M566" s="480" t="s">
        <v>6147</v>
      </c>
      <c r="N566" s="499">
        <v>2</v>
      </c>
      <c r="O566" s="480" t="s">
        <v>4966</v>
      </c>
      <c r="P566" s="515">
        <v>3</v>
      </c>
      <c r="Q566" s="485" t="s">
        <v>5349</v>
      </c>
      <c r="R566" s="485" t="s">
        <v>5625</v>
      </c>
      <c r="S566" s="485" t="s">
        <v>677</v>
      </c>
      <c r="T566" s="485" t="s">
        <v>5626</v>
      </c>
      <c r="U566" s="485" t="s">
        <v>4966</v>
      </c>
      <c r="V566" s="485">
        <v>0.28999999999999998</v>
      </c>
      <c r="W566" s="485" t="s">
        <v>5357</v>
      </c>
      <c r="X566" s="485" t="s">
        <v>5627</v>
      </c>
      <c r="Y566" s="485" t="s">
        <v>5628</v>
      </c>
      <c r="Z566" s="486">
        <v>32996721.311475411</v>
      </c>
      <c r="AA566" s="486">
        <v>0</v>
      </c>
      <c r="AB566" s="486">
        <v>0</v>
      </c>
      <c r="AC566" s="486">
        <v>0</v>
      </c>
      <c r="AD566" s="486">
        <v>0</v>
      </c>
      <c r="AE566" s="486">
        <v>0</v>
      </c>
      <c r="AF566" s="486">
        <v>0</v>
      </c>
      <c r="AG566" s="486">
        <v>0</v>
      </c>
      <c r="AH566" s="487">
        <v>32996721.311475411</v>
      </c>
      <c r="AI566" s="486">
        <v>0</v>
      </c>
      <c r="AJ566" s="486">
        <v>0</v>
      </c>
      <c r="AK566" s="486">
        <v>7003278.6885245889</v>
      </c>
      <c r="AL566" s="488">
        <v>7003278.6885245889</v>
      </c>
      <c r="AM566" s="489">
        <v>40000000</v>
      </c>
      <c r="AN566" s="486">
        <v>34316590.163934425</v>
      </c>
      <c r="AO566" s="486">
        <v>0</v>
      </c>
      <c r="AP566" s="486">
        <v>0</v>
      </c>
      <c r="AQ566" s="486">
        <v>0</v>
      </c>
      <c r="AR566" s="486">
        <v>0</v>
      </c>
      <c r="AS566" s="486">
        <v>0</v>
      </c>
      <c r="AT566" s="486">
        <v>0</v>
      </c>
      <c r="AU566" s="486">
        <v>0</v>
      </c>
      <c r="AV566" s="487">
        <v>34316590.163934425</v>
      </c>
      <c r="AW566" s="486">
        <v>0</v>
      </c>
      <c r="AX566" s="486">
        <v>0</v>
      </c>
      <c r="AY566" s="486">
        <v>8883409.8360655755</v>
      </c>
      <c r="AZ566" s="488">
        <v>8883409.8360655755</v>
      </c>
      <c r="BA566" s="490">
        <v>43200000</v>
      </c>
      <c r="BB566" s="486">
        <v>35689253.770491801</v>
      </c>
      <c r="BC566" s="486">
        <v>0</v>
      </c>
      <c r="BD566" s="486">
        <v>0</v>
      </c>
      <c r="BE566" s="486">
        <v>0</v>
      </c>
      <c r="BF566" s="486">
        <v>0</v>
      </c>
      <c r="BG566" s="486">
        <v>0</v>
      </c>
      <c r="BH566" s="486">
        <v>0</v>
      </c>
      <c r="BI566" s="486">
        <v>0</v>
      </c>
      <c r="BJ566" s="487">
        <v>35689253.770491801</v>
      </c>
      <c r="BK566" s="486">
        <v>0</v>
      </c>
      <c r="BL566" s="486">
        <v>0</v>
      </c>
      <c r="BM566" s="486">
        <v>10966746.229508199</v>
      </c>
      <c r="BN566" s="488">
        <v>10966746.229508199</v>
      </c>
      <c r="BO566" s="490">
        <v>46656000</v>
      </c>
      <c r="BP566" s="486">
        <v>37116823.921311475</v>
      </c>
      <c r="BQ566" s="486">
        <v>0</v>
      </c>
      <c r="BR566" s="486">
        <v>0</v>
      </c>
      <c r="BS566" s="486">
        <v>0</v>
      </c>
      <c r="BT566" s="486">
        <v>0</v>
      </c>
      <c r="BU566" s="486">
        <v>0</v>
      </c>
      <c r="BV566" s="486">
        <v>0</v>
      </c>
      <c r="BW566" s="486">
        <v>0</v>
      </c>
      <c r="BX566" s="487">
        <v>37116823.921311475</v>
      </c>
      <c r="BY566" s="486">
        <v>0</v>
      </c>
      <c r="BZ566" s="486">
        <v>0</v>
      </c>
      <c r="CA566" s="486">
        <v>13271656.078688525</v>
      </c>
      <c r="CB566" s="488">
        <v>13271656.078688525</v>
      </c>
      <c r="CC566" s="491">
        <v>50388480</v>
      </c>
      <c r="CD566" s="492">
        <v>180244480</v>
      </c>
      <c r="CE566" s="493">
        <f t="shared" si="39"/>
        <v>140119389.16721311</v>
      </c>
      <c r="CF566" s="493">
        <f t="shared" si="39"/>
        <v>0</v>
      </c>
      <c r="CG566" s="493">
        <f t="shared" si="39"/>
        <v>0</v>
      </c>
      <c r="CH566" s="493">
        <f t="shared" si="39"/>
        <v>0</v>
      </c>
      <c r="CI566" s="493">
        <f t="shared" si="39"/>
        <v>0</v>
      </c>
      <c r="CJ566" s="493">
        <f t="shared" si="35"/>
        <v>0</v>
      </c>
      <c r="CK566" s="493">
        <f t="shared" si="35"/>
        <v>0</v>
      </c>
      <c r="CL566" s="493">
        <f t="shared" si="35"/>
        <v>0</v>
      </c>
      <c r="CM566" s="493">
        <f t="shared" si="38"/>
        <v>0</v>
      </c>
      <c r="CN566" s="493">
        <f t="shared" si="38"/>
        <v>0</v>
      </c>
      <c r="CO566" s="493">
        <f t="shared" si="38"/>
        <v>40125090.832786888</v>
      </c>
    </row>
    <row r="567" spans="1:93" ht="30.45" hidden="1" customHeight="1">
      <c r="A567" s="555" t="s">
        <v>4963</v>
      </c>
      <c r="B567" s="479">
        <v>565</v>
      </c>
      <c r="C567" s="480" t="s">
        <v>6371</v>
      </c>
      <c r="D567" s="480" t="s">
        <v>4967</v>
      </c>
      <c r="E567" s="480" t="str">
        <f t="shared" si="37"/>
        <v xml:space="preserve">5.2.7 </v>
      </c>
      <c r="F567" s="480" t="s">
        <v>5001</v>
      </c>
      <c r="G567" s="480" t="s">
        <v>5002</v>
      </c>
      <c r="H567" s="481">
        <v>45</v>
      </c>
      <c r="I567" s="480" t="s">
        <v>4202</v>
      </c>
      <c r="J567" s="495">
        <v>450100100</v>
      </c>
      <c r="K567" s="480" t="s">
        <v>4228</v>
      </c>
      <c r="L567" s="480" t="s">
        <v>5004</v>
      </c>
      <c r="M567" s="480" t="s">
        <v>6148</v>
      </c>
      <c r="N567" s="499">
        <v>124</v>
      </c>
      <c r="O567" s="480" t="s">
        <v>4966</v>
      </c>
      <c r="P567" s="515">
        <v>124</v>
      </c>
      <c r="Q567" s="485" t="s">
        <v>5349</v>
      </c>
      <c r="R567" s="485" t="s">
        <v>5625</v>
      </c>
      <c r="S567" s="485" t="s">
        <v>677</v>
      </c>
      <c r="T567" s="485" t="s">
        <v>5626</v>
      </c>
      <c r="U567" s="485" t="s">
        <v>4966</v>
      </c>
      <c r="V567" s="485">
        <v>0.28999999999999998</v>
      </c>
      <c r="W567" s="485" t="s">
        <v>5357</v>
      </c>
      <c r="X567" s="485" t="s">
        <v>5627</v>
      </c>
      <c r="Y567" s="485" t="s">
        <v>5628</v>
      </c>
      <c r="Z567" s="486">
        <v>32996721.311475411</v>
      </c>
      <c r="AA567" s="486">
        <v>0</v>
      </c>
      <c r="AB567" s="486">
        <v>0</v>
      </c>
      <c r="AC567" s="486">
        <v>0</v>
      </c>
      <c r="AD567" s="486">
        <v>0</v>
      </c>
      <c r="AE567" s="486">
        <v>0</v>
      </c>
      <c r="AF567" s="486">
        <v>0</v>
      </c>
      <c r="AG567" s="486">
        <v>0</v>
      </c>
      <c r="AH567" s="487">
        <v>32996721.311475411</v>
      </c>
      <c r="AI567" s="486">
        <v>0</v>
      </c>
      <c r="AJ567" s="486">
        <v>0</v>
      </c>
      <c r="AK567" s="486">
        <v>7003278.6885245889</v>
      </c>
      <c r="AL567" s="488">
        <v>7003278.6885245889</v>
      </c>
      <c r="AM567" s="489">
        <v>40000000</v>
      </c>
      <c r="AN567" s="486">
        <v>34316590.163934425</v>
      </c>
      <c r="AO567" s="486">
        <v>0</v>
      </c>
      <c r="AP567" s="486">
        <v>0</v>
      </c>
      <c r="AQ567" s="486">
        <v>0</v>
      </c>
      <c r="AR567" s="486">
        <v>0</v>
      </c>
      <c r="AS567" s="486">
        <v>0</v>
      </c>
      <c r="AT567" s="486">
        <v>0</v>
      </c>
      <c r="AU567" s="486">
        <v>0</v>
      </c>
      <c r="AV567" s="487">
        <v>34316590.163934425</v>
      </c>
      <c r="AW567" s="486">
        <v>0</v>
      </c>
      <c r="AX567" s="486">
        <v>0</v>
      </c>
      <c r="AY567" s="486">
        <v>8883409.8360655755</v>
      </c>
      <c r="AZ567" s="488">
        <v>8883409.8360655755</v>
      </c>
      <c r="BA567" s="490">
        <v>43200000</v>
      </c>
      <c r="BB567" s="486">
        <v>35689253.770491801</v>
      </c>
      <c r="BC567" s="486">
        <v>0</v>
      </c>
      <c r="BD567" s="486">
        <v>0</v>
      </c>
      <c r="BE567" s="486">
        <v>0</v>
      </c>
      <c r="BF567" s="486">
        <v>0</v>
      </c>
      <c r="BG567" s="486">
        <v>0</v>
      </c>
      <c r="BH567" s="486">
        <v>0</v>
      </c>
      <c r="BI567" s="486">
        <v>0</v>
      </c>
      <c r="BJ567" s="487">
        <v>35689253.770491801</v>
      </c>
      <c r="BK567" s="486">
        <v>0</v>
      </c>
      <c r="BL567" s="486">
        <v>0</v>
      </c>
      <c r="BM567" s="486">
        <v>10966746.229508199</v>
      </c>
      <c r="BN567" s="488">
        <v>10966746.229508199</v>
      </c>
      <c r="BO567" s="490">
        <v>46656000</v>
      </c>
      <c r="BP567" s="486">
        <v>37116823.921311475</v>
      </c>
      <c r="BQ567" s="486">
        <v>0</v>
      </c>
      <c r="BR567" s="486">
        <v>0</v>
      </c>
      <c r="BS567" s="486">
        <v>0</v>
      </c>
      <c r="BT567" s="486">
        <v>0</v>
      </c>
      <c r="BU567" s="486">
        <v>0</v>
      </c>
      <c r="BV567" s="486">
        <v>0</v>
      </c>
      <c r="BW567" s="486">
        <v>0</v>
      </c>
      <c r="BX567" s="487">
        <v>37116823.921311475</v>
      </c>
      <c r="BY567" s="486">
        <v>0</v>
      </c>
      <c r="BZ567" s="486">
        <v>0</v>
      </c>
      <c r="CA567" s="486">
        <v>13271656.078688525</v>
      </c>
      <c r="CB567" s="488">
        <v>13271656.078688525</v>
      </c>
      <c r="CC567" s="491">
        <v>50388480</v>
      </c>
      <c r="CD567" s="492">
        <v>180244480</v>
      </c>
      <c r="CE567" s="493">
        <f t="shared" si="39"/>
        <v>140119389.16721311</v>
      </c>
      <c r="CF567" s="493">
        <f t="shared" si="39"/>
        <v>0</v>
      </c>
      <c r="CG567" s="493">
        <f t="shared" si="39"/>
        <v>0</v>
      </c>
      <c r="CH567" s="493">
        <f t="shared" si="39"/>
        <v>0</v>
      </c>
      <c r="CI567" s="493">
        <f t="shared" si="39"/>
        <v>0</v>
      </c>
      <c r="CJ567" s="493">
        <f t="shared" si="35"/>
        <v>0</v>
      </c>
      <c r="CK567" s="493">
        <f t="shared" si="35"/>
        <v>0</v>
      </c>
      <c r="CL567" s="493">
        <f t="shared" si="35"/>
        <v>0</v>
      </c>
      <c r="CM567" s="493">
        <f t="shared" si="38"/>
        <v>0</v>
      </c>
      <c r="CN567" s="493">
        <f t="shared" si="38"/>
        <v>0</v>
      </c>
      <c r="CO567" s="493">
        <f t="shared" si="38"/>
        <v>40125090.832786888</v>
      </c>
    </row>
    <row r="568" spans="1:93" ht="30.45" hidden="1" customHeight="1">
      <c r="A568" s="555" t="s">
        <v>4963</v>
      </c>
      <c r="B568" s="479">
        <v>566</v>
      </c>
      <c r="C568" s="480" t="s">
        <v>6371</v>
      </c>
      <c r="D568" s="480" t="s">
        <v>4967</v>
      </c>
      <c r="E568" s="480" t="str">
        <f t="shared" si="37"/>
        <v xml:space="preserve">5.2.7 </v>
      </c>
      <c r="F568" s="480" t="s">
        <v>5001</v>
      </c>
      <c r="G568" s="480" t="s">
        <v>5002</v>
      </c>
      <c r="H568" s="481">
        <v>45</v>
      </c>
      <c r="I568" s="480" t="s">
        <v>4180</v>
      </c>
      <c r="J568" s="495">
        <v>459903100</v>
      </c>
      <c r="K568" s="480" t="s">
        <v>5005</v>
      </c>
      <c r="L568" s="480" t="s">
        <v>5006</v>
      </c>
      <c r="M568" s="480" t="s">
        <v>6149</v>
      </c>
      <c r="N568" s="499">
        <v>1</v>
      </c>
      <c r="O568" s="480" t="s">
        <v>4966</v>
      </c>
      <c r="P568" s="515">
        <v>1</v>
      </c>
      <c r="Q568" s="485" t="s">
        <v>5349</v>
      </c>
      <c r="R568" s="485" t="s">
        <v>5625</v>
      </c>
      <c r="S568" s="485" t="s">
        <v>677</v>
      </c>
      <c r="T568" s="485" t="s">
        <v>5626</v>
      </c>
      <c r="U568" s="485" t="s">
        <v>4966</v>
      </c>
      <c r="V568" s="485">
        <v>0.28999999999999998</v>
      </c>
      <c r="W568" s="485" t="s">
        <v>5357</v>
      </c>
      <c r="X568" s="485" t="s">
        <v>5627</v>
      </c>
      <c r="Y568" s="485" t="s">
        <v>5628</v>
      </c>
      <c r="Z568" s="486">
        <v>45370491.803278692</v>
      </c>
      <c r="AA568" s="486">
        <v>0</v>
      </c>
      <c r="AB568" s="486">
        <v>0</v>
      </c>
      <c r="AC568" s="486">
        <v>0</v>
      </c>
      <c r="AD568" s="486">
        <v>0</v>
      </c>
      <c r="AE568" s="486">
        <v>0</v>
      </c>
      <c r="AF568" s="486">
        <v>0</v>
      </c>
      <c r="AG568" s="486">
        <v>0</v>
      </c>
      <c r="AH568" s="487">
        <v>45370491.803278692</v>
      </c>
      <c r="AI568" s="486">
        <v>0</v>
      </c>
      <c r="AJ568" s="486">
        <v>0</v>
      </c>
      <c r="AK568" s="486">
        <v>9629508.1967213079</v>
      </c>
      <c r="AL568" s="488">
        <v>9629508.1967213079</v>
      </c>
      <c r="AM568" s="489">
        <v>55000000</v>
      </c>
      <c r="AN568" s="486">
        <v>47185311.475409843</v>
      </c>
      <c r="AO568" s="486">
        <v>0</v>
      </c>
      <c r="AP568" s="486">
        <v>0</v>
      </c>
      <c r="AQ568" s="486">
        <v>0</v>
      </c>
      <c r="AR568" s="486">
        <v>0</v>
      </c>
      <c r="AS568" s="486">
        <v>0</v>
      </c>
      <c r="AT568" s="486">
        <v>0</v>
      </c>
      <c r="AU568" s="486">
        <v>0</v>
      </c>
      <c r="AV568" s="487">
        <v>47185311.475409843</v>
      </c>
      <c r="AW568" s="486">
        <v>0</v>
      </c>
      <c r="AX568" s="486">
        <v>0</v>
      </c>
      <c r="AY568" s="486">
        <v>12214688.524590164</v>
      </c>
      <c r="AZ568" s="488">
        <v>12214688.524590164</v>
      </c>
      <c r="BA568" s="490">
        <v>59400000.000000007</v>
      </c>
      <c r="BB568" s="486">
        <v>49072723.934426241</v>
      </c>
      <c r="BC568" s="486">
        <v>0</v>
      </c>
      <c r="BD568" s="486">
        <v>0</v>
      </c>
      <c r="BE568" s="486">
        <v>0</v>
      </c>
      <c r="BF568" s="486">
        <v>0</v>
      </c>
      <c r="BG568" s="486">
        <v>0</v>
      </c>
      <c r="BH568" s="486">
        <v>0</v>
      </c>
      <c r="BI568" s="486">
        <v>0</v>
      </c>
      <c r="BJ568" s="487">
        <v>49072723.934426241</v>
      </c>
      <c r="BK568" s="486">
        <v>0</v>
      </c>
      <c r="BL568" s="486">
        <v>0</v>
      </c>
      <c r="BM568" s="486">
        <v>15079276.065573774</v>
      </c>
      <c r="BN568" s="488">
        <v>15079276.065573774</v>
      </c>
      <c r="BO568" s="490">
        <v>64152000.000000015</v>
      </c>
      <c r="BP568" s="486">
        <v>51035632.891803287</v>
      </c>
      <c r="BQ568" s="486">
        <v>0</v>
      </c>
      <c r="BR568" s="486">
        <v>0</v>
      </c>
      <c r="BS568" s="486">
        <v>0</v>
      </c>
      <c r="BT568" s="486">
        <v>0</v>
      </c>
      <c r="BU568" s="486">
        <v>0</v>
      </c>
      <c r="BV568" s="486">
        <v>0</v>
      </c>
      <c r="BW568" s="486">
        <v>0</v>
      </c>
      <c r="BX568" s="487">
        <v>51035632.891803287</v>
      </c>
      <c r="BY568" s="486">
        <v>0</v>
      </c>
      <c r="BZ568" s="486">
        <v>0</v>
      </c>
      <c r="CA568" s="486">
        <v>18248527.108196728</v>
      </c>
      <c r="CB568" s="488">
        <v>18248527.108196728</v>
      </c>
      <c r="CC568" s="491">
        <v>69284160.000000015</v>
      </c>
      <c r="CD568" s="492">
        <v>247836160.00000003</v>
      </c>
      <c r="CE568" s="493">
        <f t="shared" si="39"/>
        <v>192664160.10491806</v>
      </c>
      <c r="CF568" s="493">
        <f t="shared" si="39"/>
        <v>0</v>
      </c>
      <c r="CG568" s="493">
        <f t="shared" si="39"/>
        <v>0</v>
      </c>
      <c r="CH568" s="493">
        <f t="shared" si="39"/>
        <v>0</v>
      </c>
      <c r="CI568" s="493">
        <f t="shared" si="39"/>
        <v>0</v>
      </c>
      <c r="CJ568" s="493">
        <f t="shared" si="35"/>
        <v>0</v>
      </c>
      <c r="CK568" s="493">
        <f t="shared" si="35"/>
        <v>0</v>
      </c>
      <c r="CL568" s="493">
        <f t="shared" si="35"/>
        <v>0</v>
      </c>
      <c r="CM568" s="493">
        <f t="shared" si="38"/>
        <v>0</v>
      </c>
      <c r="CN568" s="493">
        <f t="shared" si="38"/>
        <v>0</v>
      </c>
      <c r="CO568" s="493">
        <f t="shared" si="38"/>
        <v>55171999.895081975</v>
      </c>
    </row>
    <row r="569" spans="1:93" ht="30.45" hidden="1" customHeight="1">
      <c r="A569" s="555" t="s">
        <v>4963</v>
      </c>
      <c r="B569" s="479">
        <v>567</v>
      </c>
      <c r="C569" s="480" t="s">
        <v>6371</v>
      </c>
      <c r="D569" s="480" t="s">
        <v>4967</v>
      </c>
      <c r="E569" s="480" t="str">
        <f t="shared" si="37"/>
        <v xml:space="preserve">5.2.8 </v>
      </c>
      <c r="F569" s="480" t="s">
        <v>5007</v>
      </c>
      <c r="G569" s="480" t="s">
        <v>5008</v>
      </c>
      <c r="H569" s="481">
        <v>41</v>
      </c>
      <c r="I569" s="480" t="s">
        <v>4853</v>
      </c>
      <c r="J569" s="495">
        <v>410401000</v>
      </c>
      <c r="K569" s="480" t="s">
        <v>5009</v>
      </c>
      <c r="L569" s="480" t="s">
        <v>5010</v>
      </c>
      <c r="M569" s="480" t="s">
        <v>6150</v>
      </c>
      <c r="N569" s="499">
        <v>240</v>
      </c>
      <c r="O569" s="480" t="s">
        <v>5011</v>
      </c>
      <c r="P569" s="515">
        <v>1740</v>
      </c>
      <c r="Q569" s="485" t="s">
        <v>5349</v>
      </c>
      <c r="R569" s="485" t="s">
        <v>5629</v>
      </c>
      <c r="S569" s="485" t="s">
        <v>677</v>
      </c>
      <c r="T569" s="485">
        <v>0.01</v>
      </c>
      <c r="U569" s="485" t="s">
        <v>4966</v>
      </c>
      <c r="V569" s="485">
        <v>0.05</v>
      </c>
      <c r="W569" s="485" t="s">
        <v>5630</v>
      </c>
      <c r="X569" s="485" t="s">
        <v>5603</v>
      </c>
      <c r="Y569" s="485" t="s">
        <v>857</v>
      </c>
      <c r="Z569" s="486">
        <v>51557377.049180329</v>
      </c>
      <c r="AA569" s="486">
        <v>0</v>
      </c>
      <c r="AB569" s="486">
        <v>0</v>
      </c>
      <c r="AC569" s="486">
        <v>0</v>
      </c>
      <c r="AD569" s="486">
        <v>0</v>
      </c>
      <c r="AE569" s="486">
        <v>0</v>
      </c>
      <c r="AF569" s="486">
        <v>0</v>
      </c>
      <c r="AG569" s="486">
        <v>0</v>
      </c>
      <c r="AH569" s="487">
        <v>51557377.049180329</v>
      </c>
      <c r="AI569" s="486">
        <v>0</v>
      </c>
      <c r="AJ569" s="486">
        <v>0</v>
      </c>
      <c r="AK569" s="486">
        <v>10942622.950819671</v>
      </c>
      <c r="AL569" s="488">
        <v>10942622.950819671</v>
      </c>
      <c r="AM569" s="489">
        <v>62500000</v>
      </c>
      <c r="AN569" s="486">
        <v>53619672.131147541</v>
      </c>
      <c r="AO569" s="486">
        <v>0</v>
      </c>
      <c r="AP569" s="486">
        <v>0</v>
      </c>
      <c r="AQ569" s="486">
        <v>0</v>
      </c>
      <c r="AR569" s="486">
        <v>0</v>
      </c>
      <c r="AS569" s="486">
        <v>0</v>
      </c>
      <c r="AT569" s="486">
        <v>0</v>
      </c>
      <c r="AU569" s="486">
        <v>0</v>
      </c>
      <c r="AV569" s="487">
        <v>53619672.131147541</v>
      </c>
      <c r="AW569" s="486">
        <v>0</v>
      </c>
      <c r="AX569" s="486">
        <v>0</v>
      </c>
      <c r="AY569" s="486">
        <v>13880327.868852459</v>
      </c>
      <c r="AZ569" s="488">
        <v>13880327.868852459</v>
      </c>
      <c r="BA569" s="490">
        <v>67500000</v>
      </c>
      <c r="BB569" s="486">
        <v>55764459.016393445</v>
      </c>
      <c r="BC569" s="486">
        <v>0</v>
      </c>
      <c r="BD569" s="486">
        <v>0</v>
      </c>
      <c r="BE569" s="486">
        <v>0</v>
      </c>
      <c r="BF569" s="486">
        <v>0</v>
      </c>
      <c r="BG569" s="486">
        <v>0</v>
      </c>
      <c r="BH569" s="486">
        <v>0</v>
      </c>
      <c r="BI569" s="486">
        <v>0</v>
      </c>
      <c r="BJ569" s="487">
        <v>55764459.016393445</v>
      </c>
      <c r="BK569" s="486">
        <v>0</v>
      </c>
      <c r="BL569" s="486">
        <v>0</v>
      </c>
      <c r="BM569" s="486">
        <v>17135540.983606555</v>
      </c>
      <c r="BN569" s="488">
        <v>17135540.983606555</v>
      </c>
      <c r="BO569" s="490">
        <v>72900000</v>
      </c>
      <c r="BP569" s="486">
        <v>57995037.377049178</v>
      </c>
      <c r="BQ569" s="486">
        <v>0</v>
      </c>
      <c r="BR569" s="486">
        <v>0</v>
      </c>
      <c r="BS569" s="486">
        <v>0</v>
      </c>
      <c r="BT569" s="486">
        <v>0</v>
      </c>
      <c r="BU569" s="486">
        <v>0</v>
      </c>
      <c r="BV569" s="486">
        <v>0</v>
      </c>
      <c r="BW569" s="486">
        <v>0</v>
      </c>
      <c r="BX569" s="487">
        <v>57995037.377049178</v>
      </c>
      <c r="BY569" s="486">
        <v>0</v>
      </c>
      <c r="BZ569" s="486">
        <v>0</v>
      </c>
      <c r="CA569" s="486">
        <v>20736962.622950822</v>
      </c>
      <c r="CB569" s="488">
        <v>20736962.622950822</v>
      </c>
      <c r="CC569" s="491">
        <v>78732000</v>
      </c>
      <c r="CD569" s="492">
        <v>281632000</v>
      </c>
      <c r="CE569" s="493">
        <f t="shared" si="39"/>
        <v>218936545.57377049</v>
      </c>
      <c r="CF569" s="493">
        <f t="shared" si="39"/>
        <v>0</v>
      </c>
      <c r="CG569" s="493">
        <f t="shared" si="39"/>
        <v>0</v>
      </c>
      <c r="CH569" s="493">
        <f t="shared" si="39"/>
        <v>0</v>
      </c>
      <c r="CI569" s="493">
        <f t="shared" si="39"/>
        <v>0</v>
      </c>
      <c r="CJ569" s="493">
        <f t="shared" si="35"/>
        <v>0</v>
      </c>
      <c r="CK569" s="493">
        <f t="shared" si="35"/>
        <v>0</v>
      </c>
      <c r="CL569" s="493">
        <f t="shared" si="35"/>
        <v>0</v>
      </c>
      <c r="CM569" s="493">
        <f t="shared" si="38"/>
        <v>0</v>
      </c>
      <c r="CN569" s="493">
        <f t="shared" si="38"/>
        <v>0</v>
      </c>
      <c r="CO569" s="493">
        <f t="shared" si="38"/>
        <v>62695454.426229507</v>
      </c>
    </row>
    <row r="570" spans="1:93" ht="30.45" hidden="1" customHeight="1">
      <c r="A570" s="555" t="s">
        <v>4963</v>
      </c>
      <c r="B570" s="479">
        <v>568</v>
      </c>
      <c r="C570" s="480" t="s">
        <v>6371</v>
      </c>
      <c r="D570" s="480" t="s">
        <v>4967</v>
      </c>
      <c r="E570" s="480" t="str">
        <f t="shared" si="37"/>
        <v xml:space="preserve">5.2.8 </v>
      </c>
      <c r="F570" s="480" t="s">
        <v>5007</v>
      </c>
      <c r="G570" s="480" t="s">
        <v>5008</v>
      </c>
      <c r="H570" s="481">
        <v>41</v>
      </c>
      <c r="I570" s="480" t="s">
        <v>4242</v>
      </c>
      <c r="J570" s="495">
        <v>410204200</v>
      </c>
      <c r="K570" s="480" t="s">
        <v>4959</v>
      </c>
      <c r="L570" s="480" t="s">
        <v>5012</v>
      </c>
      <c r="M570" s="480" t="s">
        <v>6151</v>
      </c>
      <c r="N570" s="499">
        <v>4</v>
      </c>
      <c r="O570" s="480" t="s">
        <v>4966</v>
      </c>
      <c r="P570" s="515">
        <v>4</v>
      </c>
      <c r="Q570" s="485" t="s">
        <v>5349</v>
      </c>
      <c r="R570" s="485" t="s">
        <v>5629</v>
      </c>
      <c r="S570" s="485" t="s">
        <v>677</v>
      </c>
      <c r="T570" s="485">
        <v>0.01</v>
      </c>
      <c r="U570" s="485" t="s">
        <v>4966</v>
      </c>
      <c r="V570" s="485">
        <v>0.05</v>
      </c>
      <c r="W570" s="485" t="s">
        <v>5630</v>
      </c>
      <c r="X570" s="485" t="s">
        <v>5603</v>
      </c>
      <c r="Y570" s="485" t="s">
        <v>857</v>
      </c>
      <c r="Z570" s="486">
        <v>131986885.24590164</v>
      </c>
      <c r="AA570" s="486">
        <v>0</v>
      </c>
      <c r="AB570" s="486">
        <v>0</v>
      </c>
      <c r="AC570" s="486">
        <v>0</v>
      </c>
      <c r="AD570" s="486">
        <v>0</v>
      </c>
      <c r="AE570" s="486">
        <v>0</v>
      </c>
      <c r="AF570" s="486">
        <v>0</v>
      </c>
      <c r="AG570" s="486">
        <v>0</v>
      </c>
      <c r="AH570" s="487">
        <v>131986885.24590164</v>
      </c>
      <c r="AI570" s="486">
        <v>0</v>
      </c>
      <c r="AJ570" s="486">
        <v>0</v>
      </c>
      <c r="AK570" s="486">
        <v>28013114.754098356</v>
      </c>
      <c r="AL570" s="488">
        <v>28013114.754098356</v>
      </c>
      <c r="AM570" s="489">
        <v>160000000</v>
      </c>
      <c r="AN570" s="486">
        <v>137266360.6557377</v>
      </c>
      <c r="AO570" s="486">
        <v>0</v>
      </c>
      <c r="AP570" s="486">
        <v>0</v>
      </c>
      <c r="AQ570" s="486">
        <v>0</v>
      </c>
      <c r="AR570" s="486">
        <v>0</v>
      </c>
      <c r="AS570" s="486">
        <v>0</v>
      </c>
      <c r="AT570" s="486">
        <v>0</v>
      </c>
      <c r="AU570" s="486">
        <v>0</v>
      </c>
      <c r="AV570" s="487">
        <v>137266360.6557377</v>
      </c>
      <c r="AW570" s="486">
        <v>0</v>
      </c>
      <c r="AX570" s="486">
        <v>0</v>
      </c>
      <c r="AY570" s="486">
        <v>35533639.344262302</v>
      </c>
      <c r="AZ570" s="488">
        <v>35533639.344262302</v>
      </c>
      <c r="BA570" s="490">
        <v>172800000</v>
      </c>
      <c r="BB570" s="486">
        <v>142757015.0819672</v>
      </c>
      <c r="BC570" s="486">
        <v>0</v>
      </c>
      <c r="BD570" s="486">
        <v>0</v>
      </c>
      <c r="BE570" s="486">
        <v>0</v>
      </c>
      <c r="BF570" s="486">
        <v>0</v>
      </c>
      <c r="BG570" s="486">
        <v>0</v>
      </c>
      <c r="BH570" s="486">
        <v>0</v>
      </c>
      <c r="BI570" s="486">
        <v>0</v>
      </c>
      <c r="BJ570" s="487">
        <v>142757015.0819672</v>
      </c>
      <c r="BK570" s="486">
        <v>0</v>
      </c>
      <c r="BL570" s="486">
        <v>0</v>
      </c>
      <c r="BM570" s="486">
        <v>43866984.918032795</v>
      </c>
      <c r="BN570" s="488">
        <v>43866984.918032795</v>
      </c>
      <c r="BO570" s="490">
        <v>186624000</v>
      </c>
      <c r="BP570" s="486">
        <v>148467295.6852459</v>
      </c>
      <c r="BQ570" s="486">
        <v>0</v>
      </c>
      <c r="BR570" s="486">
        <v>0</v>
      </c>
      <c r="BS570" s="486">
        <v>0</v>
      </c>
      <c r="BT570" s="486">
        <v>0</v>
      </c>
      <c r="BU570" s="486">
        <v>0</v>
      </c>
      <c r="BV570" s="486">
        <v>0</v>
      </c>
      <c r="BW570" s="486">
        <v>0</v>
      </c>
      <c r="BX570" s="487">
        <v>148467295.6852459</v>
      </c>
      <c r="BY570" s="486">
        <v>0</v>
      </c>
      <c r="BZ570" s="486">
        <v>0</v>
      </c>
      <c r="CA570" s="486">
        <v>53086624.314754099</v>
      </c>
      <c r="CB570" s="488">
        <v>53086624.314754099</v>
      </c>
      <c r="CC570" s="491">
        <v>201553920</v>
      </c>
      <c r="CD570" s="492">
        <v>720977920</v>
      </c>
      <c r="CE570" s="493">
        <f t="shared" si="39"/>
        <v>560477556.66885245</v>
      </c>
      <c r="CF570" s="493">
        <f t="shared" si="39"/>
        <v>0</v>
      </c>
      <c r="CG570" s="493">
        <f t="shared" si="39"/>
        <v>0</v>
      </c>
      <c r="CH570" s="493">
        <f t="shared" si="39"/>
        <v>0</v>
      </c>
      <c r="CI570" s="493">
        <f t="shared" si="39"/>
        <v>0</v>
      </c>
      <c r="CJ570" s="493">
        <f t="shared" si="39"/>
        <v>0</v>
      </c>
      <c r="CK570" s="493">
        <f t="shared" si="39"/>
        <v>0</v>
      </c>
      <c r="CL570" s="493">
        <f t="shared" si="39"/>
        <v>0</v>
      </c>
      <c r="CM570" s="493">
        <f t="shared" si="38"/>
        <v>0</v>
      </c>
      <c r="CN570" s="493">
        <f t="shared" si="38"/>
        <v>0</v>
      </c>
      <c r="CO570" s="493">
        <f t="shared" si="38"/>
        <v>160500363.33114755</v>
      </c>
    </row>
    <row r="571" spans="1:93" ht="30.45" hidden="1" customHeight="1">
      <c r="A571" s="555" t="s">
        <v>4963</v>
      </c>
      <c r="B571" s="479">
        <v>569</v>
      </c>
      <c r="C571" s="480" t="s">
        <v>6371</v>
      </c>
      <c r="D571" s="480" t="s">
        <v>4967</v>
      </c>
      <c r="E571" s="480" t="str">
        <f t="shared" si="37"/>
        <v xml:space="preserve">5.2.8 </v>
      </c>
      <c r="F571" s="480" t="s">
        <v>5007</v>
      </c>
      <c r="G571" s="480" t="s">
        <v>5008</v>
      </c>
      <c r="H571" s="481">
        <v>41</v>
      </c>
      <c r="I571" s="480" t="s">
        <v>4853</v>
      </c>
      <c r="J571" s="495">
        <v>410400800</v>
      </c>
      <c r="K571" s="480" t="s">
        <v>6653</v>
      </c>
      <c r="L571" s="480" t="s">
        <v>5013</v>
      </c>
      <c r="M571" s="480" t="s">
        <v>6152</v>
      </c>
      <c r="N571" s="499">
        <v>1200</v>
      </c>
      <c r="O571" s="480" t="s">
        <v>5011</v>
      </c>
      <c r="P571" s="515">
        <v>1200</v>
      </c>
      <c r="Q571" s="485" t="s">
        <v>5349</v>
      </c>
      <c r="R571" s="485" t="s">
        <v>5629</v>
      </c>
      <c r="S571" s="485" t="s">
        <v>677</v>
      </c>
      <c r="T571" s="485">
        <v>0.01</v>
      </c>
      <c r="U571" s="485" t="s">
        <v>4966</v>
      </c>
      <c r="V571" s="485">
        <v>0.05</v>
      </c>
      <c r="W571" s="485" t="s">
        <v>5630</v>
      </c>
      <c r="X571" s="485" t="s">
        <v>5603</v>
      </c>
      <c r="Y571" s="485" t="s">
        <v>857</v>
      </c>
      <c r="Z571" s="486">
        <v>0</v>
      </c>
      <c r="AA571" s="486">
        <v>899200000</v>
      </c>
      <c r="AB571" s="486">
        <v>0</v>
      </c>
      <c r="AC571" s="486">
        <v>0</v>
      </c>
      <c r="AD571" s="486">
        <v>0</v>
      </c>
      <c r="AE571" s="486">
        <v>0</v>
      </c>
      <c r="AF571" s="486">
        <v>0</v>
      </c>
      <c r="AG571" s="486">
        <v>0</v>
      </c>
      <c r="AH571" s="487">
        <v>899200000</v>
      </c>
      <c r="AI571" s="486">
        <v>0</v>
      </c>
      <c r="AJ571" s="486">
        <v>0</v>
      </c>
      <c r="AK571" s="486">
        <v>0</v>
      </c>
      <c r="AL571" s="488">
        <v>0</v>
      </c>
      <c r="AM571" s="489">
        <v>899200000</v>
      </c>
      <c r="AN571" s="486">
        <v>0</v>
      </c>
      <c r="AO571" s="486">
        <v>935168000</v>
      </c>
      <c r="AP571" s="486">
        <v>0</v>
      </c>
      <c r="AQ571" s="486">
        <v>0</v>
      </c>
      <c r="AR571" s="486">
        <v>0</v>
      </c>
      <c r="AS571" s="486">
        <v>0</v>
      </c>
      <c r="AT571" s="486">
        <v>0</v>
      </c>
      <c r="AU571" s="486">
        <v>0</v>
      </c>
      <c r="AV571" s="487">
        <v>935168000</v>
      </c>
      <c r="AW571" s="486">
        <v>0</v>
      </c>
      <c r="AX571" s="486">
        <v>0</v>
      </c>
      <c r="AY571" s="486">
        <v>0</v>
      </c>
      <c r="AZ571" s="488">
        <v>0</v>
      </c>
      <c r="BA571" s="490">
        <v>935168000</v>
      </c>
      <c r="BB571" s="486">
        <v>0</v>
      </c>
      <c r="BC571" s="486">
        <v>972574720</v>
      </c>
      <c r="BD571" s="486">
        <v>0</v>
      </c>
      <c r="BE571" s="486">
        <v>0</v>
      </c>
      <c r="BF571" s="486">
        <v>0</v>
      </c>
      <c r="BG571" s="486">
        <v>0</v>
      </c>
      <c r="BH571" s="486">
        <v>0</v>
      </c>
      <c r="BI571" s="486">
        <v>0</v>
      </c>
      <c r="BJ571" s="487">
        <v>972574720</v>
      </c>
      <c r="BK571" s="486">
        <v>0</v>
      </c>
      <c r="BL571" s="486">
        <v>0</v>
      </c>
      <c r="BM571" s="486">
        <v>0</v>
      </c>
      <c r="BN571" s="488">
        <v>0</v>
      </c>
      <c r="BO571" s="490">
        <v>972574720</v>
      </c>
      <c r="BP571" s="486">
        <v>0</v>
      </c>
      <c r="BQ571" s="486">
        <v>1011477708.8</v>
      </c>
      <c r="BR571" s="486">
        <v>0</v>
      </c>
      <c r="BS571" s="486">
        <v>0</v>
      </c>
      <c r="BT571" s="486">
        <v>0</v>
      </c>
      <c r="BU571" s="486">
        <v>0</v>
      </c>
      <c r="BV571" s="486">
        <v>0</v>
      </c>
      <c r="BW571" s="486">
        <v>0</v>
      </c>
      <c r="BX571" s="487">
        <v>1011477708.8</v>
      </c>
      <c r="BY571" s="486">
        <v>0</v>
      </c>
      <c r="BZ571" s="486">
        <v>0</v>
      </c>
      <c r="CA571" s="486">
        <v>0</v>
      </c>
      <c r="CB571" s="488">
        <v>0</v>
      </c>
      <c r="CC571" s="491">
        <v>1011477708.8</v>
      </c>
      <c r="CD571" s="492">
        <v>3818420428.8000002</v>
      </c>
      <c r="CE571" s="493">
        <f t="shared" si="39"/>
        <v>0</v>
      </c>
      <c r="CF571" s="493">
        <f t="shared" si="39"/>
        <v>3818420428.8000002</v>
      </c>
      <c r="CG571" s="493">
        <f t="shared" si="39"/>
        <v>0</v>
      </c>
      <c r="CH571" s="493">
        <f t="shared" si="39"/>
        <v>0</v>
      </c>
      <c r="CI571" s="493">
        <f t="shared" si="39"/>
        <v>0</v>
      </c>
      <c r="CJ571" s="493">
        <f t="shared" si="39"/>
        <v>0</v>
      </c>
      <c r="CK571" s="493">
        <f t="shared" si="39"/>
        <v>0</v>
      </c>
      <c r="CL571" s="493">
        <f t="shared" si="39"/>
        <v>0</v>
      </c>
      <c r="CM571" s="493">
        <f t="shared" si="38"/>
        <v>0</v>
      </c>
      <c r="CN571" s="493">
        <f t="shared" si="38"/>
        <v>0</v>
      </c>
      <c r="CO571" s="493">
        <f t="shared" si="38"/>
        <v>0</v>
      </c>
    </row>
    <row r="572" spans="1:93" ht="30.45" hidden="1" customHeight="1">
      <c r="A572" s="555" t="s">
        <v>4963</v>
      </c>
      <c r="B572" s="479">
        <v>570</v>
      </c>
      <c r="C572" s="480" t="s">
        <v>6371</v>
      </c>
      <c r="D572" s="480" t="s">
        <v>4967</v>
      </c>
      <c r="E572" s="480" t="str">
        <f t="shared" si="37"/>
        <v xml:space="preserve">5.2.8 </v>
      </c>
      <c r="F572" s="480" t="s">
        <v>5007</v>
      </c>
      <c r="G572" s="480" t="s">
        <v>5008</v>
      </c>
      <c r="H572" s="481">
        <v>41</v>
      </c>
      <c r="I572" s="480" t="s">
        <v>4312</v>
      </c>
      <c r="J572" s="495">
        <v>410306700</v>
      </c>
      <c r="K572" s="480" t="s">
        <v>4063</v>
      </c>
      <c r="L572" s="480" t="s">
        <v>5014</v>
      </c>
      <c r="M572" s="480" t="s">
        <v>6153</v>
      </c>
      <c r="N572" s="499">
        <v>0</v>
      </c>
      <c r="O572" s="480" t="s">
        <v>5011</v>
      </c>
      <c r="P572" s="515">
        <v>1</v>
      </c>
      <c r="Q572" s="485" t="s">
        <v>5349</v>
      </c>
      <c r="R572" s="485" t="s">
        <v>5629</v>
      </c>
      <c r="S572" s="485" t="s">
        <v>677</v>
      </c>
      <c r="T572" s="485">
        <v>0.01</v>
      </c>
      <c r="U572" s="485" t="s">
        <v>4966</v>
      </c>
      <c r="V572" s="485">
        <v>0.05</v>
      </c>
      <c r="W572" s="485" t="s">
        <v>5630</v>
      </c>
      <c r="X572" s="485" t="s">
        <v>5603</v>
      </c>
      <c r="Y572" s="485" t="s">
        <v>857</v>
      </c>
      <c r="Z572" s="486">
        <v>68055737.704918027</v>
      </c>
      <c r="AA572" s="486">
        <v>0</v>
      </c>
      <c r="AB572" s="486">
        <v>0</v>
      </c>
      <c r="AC572" s="486">
        <v>0</v>
      </c>
      <c r="AD572" s="486">
        <v>0</v>
      </c>
      <c r="AE572" s="486">
        <v>0</v>
      </c>
      <c r="AF572" s="486">
        <v>0</v>
      </c>
      <c r="AG572" s="486">
        <v>0</v>
      </c>
      <c r="AH572" s="487">
        <v>68055737.704918027</v>
      </c>
      <c r="AI572" s="486">
        <v>0</v>
      </c>
      <c r="AJ572" s="486">
        <v>0</v>
      </c>
      <c r="AK572" s="486">
        <v>14444262.295081973</v>
      </c>
      <c r="AL572" s="488">
        <v>14444262.295081973</v>
      </c>
      <c r="AM572" s="489">
        <v>82500000</v>
      </c>
      <c r="AN572" s="486">
        <v>70777967.213114753</v>
      </c>
      <c r="AO572" s="486">
        <v>0</v>
      </c>
      <c r="AP572" s="486">
        <v>0</v>
      </c>
      <c r="AQ572" s="486">
        <v>0</v>
      </c>
      <c r="AR572" s="486">
        <v>0</v>
      </c>
      <c r="AS572" s="486">
        <v>0</v>
      </c>
      <c r="AT572" s="486">
        <v>0</v>
      </c>
      <c r="AU572" s="486">
        <v>0</v>
      </c>
      <c r="AV572" s="487">
        <v>70777967.213114753</v>
      </c>
      <c r="AW572" s="486">
        <v>0</v>
      </c>
      <c r="AX572" s="486">
        <v>0</v>
      </c>
      <c r="AY572" s="486">
        <v>18322032.786885247</v>
      </c>
      <c r="AZ572" s="488">
        <v>18322032.786885247</v>
      </c>
      <c r="BA572" s="490">
        <v>89100000</v>
      </c>
      <c r="BB572" s="486">
        <v>73609085.901639342</v>
      </c>
      <c r="BC572" s="486">
        <v>0</v>
      </c>
      <c r="BD572" s="486">
        <v>0</v>
      </c>
      <c r="BE572" s="486">
        <v>0</v>
      </c>
      <c r="BF572" s="486">
        <v>0</v>
      </c>
      <c r="BG572" s="486">
        <v>0</v>
      </c>
      <c r="BH572" s="486">
        <v>0</v>
      </c>
      <c r="BI572" s="486">
        <v>0</v>
      </c>
      <c r="BJ572" s="487">
        <v>73609085.901639342</v>
      </c>
      <c r="BK572" s="486">
        <v>0</v>
      </c>
      <c r="BL572" s="486">
        <v>0</v>
      </c>
      <c r="BM572" s="486">
        <v>22618914.098360658</v>
      </c>
      <c r="BN572" s="488">
        <v>22618914.098360658</v>
      </c>
      <c r="BO572" s="490">
        <v>96228000</v>
      </c>
      <c r="BP572" s="486">
        <v>76553449.337704912</v>
      </c>
      <c r="BQ572" s="486">
        <v>0</v>
      </c>
      <c r="BR572" s="486">
        <v>0</v>
      </c>
      <c r="BS572" s="486">
        <v>0</v>
      </c>
      <c r="BT572" s="486">
        <v>0</v>
      </c>
      <c r="BU572" s="486">
        <v>0</v>
      </c>
      <c r="BV572" s="486">
        <v>0</v>
      </c>
      <c r="BW572" s="486">
        <v>0</v>
      </c>
      <c r="BX572" s="487">
        <v>76553449.337704912</v>
      </c>
      <c r="BY572" s="486">
        <v>0</v>
      </c>
      <c r="BZ572" s="486">
        <v>0</v>
      </c>
      <c r="CA572" s="486">
        <v>27372790.662295088</v>
      </c>
      <c r="CB572" s="488">
        <v>27372790.662295088</v>
      </c>
      <c r="CC572" s="491">
        <v>103926240</v>
      </c>
      <c r="CD572" s="492">
        <v>371754240</v>
      </c>
      <c r="CE572" s="493">
        <f t="shared" si="39"/>
        <v>288996240.157377</v>
      </c>
      <c r="CF572" s="493">
        <f t="shared" si="39"/>
        <v>0</v>
      </c>
      <c r="CG572" s="493">
        <f t="shared" si="39"/>
        <v>0</v>
      </c>
      <c r="CH572" s="493">
        <f t="shared" si="39"/>
        <v>0</v>
      </c>
      <c r="CI572" s="493">
        <f t="shared" si="39"/>
        <v>0</v>
      </c>
      <c r="CJ572" s="493">
        <f t="shared" si="39"/>
        <v>0</v>
      </c>
      <c r="CK572" s="493">
        <f t="shared" si="39"/>
        <v>0</v>
      </c>
      <c r="CL572" s="493">
        <f t="shared" si="39"/>
        <v>0</v>
      </c>
      <c r="CM572" s="493">
        <f t="shared" si="38"/>
        <v>0</v>
      </c>
      <c r="CN572" s="493">
        <f t="shared" si="38"/>
        <v>0</v>
      </c>
      <c r="CO572" s="493">
        <f t="shared" si="38"/>
        <v>82757999.842622966</v>
      </c>
    </row>
    <row r="573" spans="1:93" ht="30.45" hidden="1" customHeight="1">
      <c r="A573" s="555" t="s">
        <v>4963</v>
      </c>
      <c r="B573" s="479">
        <v>571</v>
      </c>
      <c r="C573" s="480" t="s">
        <v>6371</v>
      </c>
      <c r="D573" s="480" t="s">
        <v>4967</v>
      </c>
      <c r="E573" s="480" t="str">
        <f t="shared" si="37"/>
        <v xml:space="preserve">5.2.9 </v>
      </c>
      <c r="F573" s="480" t="s">
        <v>5015</v>
      </c>
      <c r="G573" s="480" t="s">
        <v>5016</v>
      </c>
      <c r="H573" s="481">
        <v>41</v>
      </c>
      <c r="I573" s="480" t="s">
        <v>4242</v>
      </c>
      <c r="J573" s="495">
        <v>410204100</v>
      </c>
      <c r="K573" s="480" t="s">
        <v>4984</v>
      </c>
      <c r="L573" s="480" t="s">
        <v>5017</v>
      </c>
      <c r="M573" s="480" t="s">
        <v>6154</v>
      </c>
      <c r="N573" s="499">
        <v>124</v>
      </c>
      <c r="O573" s="480" t="s">
        <v>4966</v>
      </c>
      <c r="P573" s="515">
        <v>124</v>
      </c>
      <c r="Q573" s="485">
        <v>60020001</v>
      </c>
      <c r="R573" s="485" t="s">
        <v>5631</v>
      </c>
      <c r="S573" s="485" t="s">
        <v>5632</v>
      </c>
      <c r="T573" s="485">
        <v>105.25</v>
      </c>
      <c r="U573" s="485" t="s">
        <v>5633</v>
      </c>
      <c r="V573" s="485">
        <v>95</v>
      </c>
      <c r="W573" s="485" t="s">
        <v>5515</v>
      </c>
      <c r="X573" s="485" t="s">
        <v>5634</v>
      </c>
      <c r="Y573" s="485" t="s">
        <v>5635</v>
      </c>
      <c r="Z573" s="486">
        <v>32996721.311475411</v>
      </c>
      <c r="AA573" s="486">
        <v>0</v>
      </c>
      <c r="AB573" s="486">
        <v>0</v>
      </c>
      <c r="AC573" s="486">
        <v>0</v>
      </c>
      <c r="AD573" s="486">
        <v>0</v>
      </c>
      <c r="AE573" s="486">
        <v>0</v>
      </c>
      <c r="AF573" s="486">
        <v>0</v>
      </c>
      <c r="AG573" s="486">
        <v>0</v>
      </c>
      <c r="AH573" s="487">
        <v>32996721.311475411</v>
      </c>
      <c r="AI573" s="486">
        <v>0</v>
      </c>
      <c r="AJ573" s="486">
        <v>0</v>
      </c>
      <c r="AK573" s="486">
        <v>7003278.6885245889</v>
      </c>
      <c r="AL573" s="488">
        <v>7003278.6885245889</v>
      </c>
      <c r="AM573" s="489">
        <v>40000000</v>
      </c>
      <c r="AN573" s="486">
        <v>34316590.163934425</v>
      </c>
      <c r="AO573" s="486">
        <v>0</v>
      </c>
      <c r="AP573" s="486">
        <v>0</v>
      </c>
      <c r="AQ573" s="486">
        <v>0</v>
      </c>
      <c r="AR573" s="486">
        <v>0</v>
      </c>
      <c r="AS573" s="486">
        <v>0</v>
      </c>
      <c r="AT573" s="486">
        <v>0</v>
      </c>
      <c r="AU573" s="486">
        <v>0</v>
      </c>
      <c r="AV573" s="487">
        <v>34316590.163934425</v>
      </c>
      <c r="AW573" s="486">
        <v>0</v>
      </c>
      <c r="AX573" s="486">
        <v>0</v>
      </c>
      <c r="AY573" s="486">
        <v>8883409.8360655755</v>
      </c>
      <c r="AZ573" s="488">
        <v>8883409.8360655755</v>
      </c>
      <c r="BA573" s="490">
        <v>43200000</v>
      </c>
      <c r="BB573" s="486">
        <v>35689253.770491801</v>
      </c>
      <c r="BC573" s="486">
        <v>0</v>
      </c>
      <c r="BD573" s="486">
        <v>0</v>
      </c>
      <c r="BE573" s="486">
        <v>0</v>
      </c>
      <c r="BF573" s="486">
        <v>0</v>
      </c>
      <c r="BG573" s="486">
        <v>0</v>
      </c>
      <c r="BH573" s="486">
        <v>0</v>
      </c>
      <c r="BI573" s="486">
        <v>0</v>
      </c>
      <c r="BJ573" s="487">
        <v>35689253.770491801</v>
      </c>
      <c r="BK573" s="486">
        <v>0</v>
      </c>
      <c r="BL573" s="486">
        <v>0</v>
      </c>
      <c r="BM573" s="486">
        <v>10966746.229508199</v>
      </c>
      <c r="BN573" s="488">
        <v>10966746.229508199</v>
      </c>
      <c r="BO573" s="490">
        <v>46656000</v>
      </c>
      <c r="BP573" s="486">
        <v>37116823.921311475</v>
      </c>
      <c r="BQ573" s="486">
        <v>0</v>
      </c>
      <c r="BR573" s="486">
        <v>0</v>
      </c>
      <c r="BS573" s="486">
        <v>0</v>
      </c>
      <c r="BT573" s="486">
        <v>0</v>
      </c>
      <c r="BU573" s="486">
        <v>0</v>
      </c>
      <c r="BV573" s="486">
        <v>0</v>
      </c>
      <c r="BW573" s="486">
        <v>0</v>
      </c>
      <c r="BX573" s="487">
        <v>37116823.921311475</v>
      </c>
      <c r="BY573" s="486">
        <v>0</v>
      </c>
      <c r="BZ573" s="486">
        <v>0</v>
      </c>
      <c r="CA573" s="486">
        <v>13271656.078688525</v>
      </c>
      <c r="CB573" s="488">
        <v>13271656.078688525</v>
      </c>
      <c r="CC573" s="491">
        <v>50388480</v>
      </c>
      <c r="CD573" s="492">
        <v>180244480</v>
      </c>
      <c r="CE573" s="493">
        <f t="shared" si="39"/>
        <v>140119389.16721311</v>
      </c>
      <c r="CF573" s="493">
        <f t="shared" si="39"/>
        <v>0</v>
      </c>
      <c r="CG573" s="493">
        <f t="shared" si="39"/>
        <v>0</v>
      </c>
      <c r="CH573" s="493">
        <f t="shared" si="39"/>
        <v>0</v>
      </c>
      <c r="CI573" s="493">
        <f t="shared" si="39"/>
        <v>0</v>
      </c>
      <c r="CJ573" s="493">
        <f t="shared" si="39"/>
        <v>0</v>
      </c>
      <c r="CK573" s="493">
        <f t="shared" si="39"/>
        <v>0</v>
      </c>
      <c r="CL573" s="493">
        <f t="shared" si="39"/>
        <v>0</v>
      </c>
      <c r="CM573" s="493">
        <f t="shared" si="38"/>
        <v>0</v>
      </c>
      <c r="CN573" s="493">
        <f t="shared" si="38"/>
        <v>0</v>
      </c>
      <c r="CO573" s="493">
        <f t="shared" si="38"/>
        <v>40125090.832786888</v>
      </c>
    </row>
    <row r="574" spans="1:93" ht="30.45" hidden="1" customHeight="1">
      <c r="A574" s="555" t="s">
        <v>4963</v>
      </c>
      <c r="B574" s="479">
        <v>572</v>
      </c>
      <c r="C574" s="480" t="s">
        <v>6371</v>
      </c>
      <c r="D574" s="480" t="s">
        <v>4967</v>
      </c>
      <c r="E574" s="480" t="str">
        <f t="shared" si="37"/>
        <v xml:space="preserve">5.2.9 </v>
      </c>
      <c r="F574" s="480" t="s">
        <v>5015</v>
      </c>
      <c r="G574" s="480" t="s">
        <v>5016</v>
      </c>
      <c r="H574" s="481">
        <v>41</v>
      </c>
      <c r="I574" s="480" t="s">
        <v>4242</v>
      </c>
      <c r="J574" s="495">
        <v>410204300</v>
      </c>
      <c r="K574" s="480" t="s">
        <v>4989</v>
      </c>
      <c r="L574" s="480" t="s">
        <v>5018</v>
      </c>
      <c r="M574" s="480" t="s">
        <v>6654</v>
      </c>
      <c r="N574" s="499">
        <v>3500</v>
      </c>
      <c r="O574" s="480" t="s">
        <v>4966</v>
      </c>
      <c r="P574" s="515">
        <v>7000</v>
      </c>
      <c r="Q574" s="485">
        <v>60020001</v>
      </c>
      <c r="R574" s="485" t="s">
        <v>5631</v>
      </c>
      <c r="S574" s="485" t="s">
        <v>5632</v>
      </c>
      <c r="T574" s="485">
        <v>105.25</v>
      </c>
      <c r="U574" s="485" t="s">
        <v>5633</v>
      </c>
      <c r="V574" s="485">
        <v>95</v>
      </c>
      <c r="W574" s="485" t="s">
        <v>5515</v>
      </c>
      <c r="X574" s="485" t="s">
        <v>5634</v>
      </c>
      <c r="Y574" s="485" t="s">
        <v>5635</v>
      </c>
      <c r="Z574" s="486">
        <v>51557377.049180329</v>
      </c>
      <c r="AA574" s="486">
        <v>0</v>
      </c>
      <c r="AB574" s="486">
        <v>0</v>
      </c>
      <c r="AC574" s="486">
        <v>0</v>
      </c>
      <c r="AD574" s="486">
        <v>0</v>
      </c>
      <c r="AE574" s="486">
        <v>0</v>
      </c>
      <c r="AF574" s="486">
        <v>0</v>
      </c>
      <c r="AG574" s="486">
        <v>0</v>
      </c>
      <c r="AH574" s="487">
        <v>51557377.049180329</v>
      </c>
      <c r="AI574" s="486">
        <v>0</v>
      </c>
      <c r="AJ574" s="486">
        <v>0</v>
      </c>
      <c r="AK574" s="486">
        <v>10942622.950819671</v>
      </c>
      <c r="AL574" s="488">
        <v>10942622.950819671</v>
      </c>
      <c r="AM574" s="489">
        <v>62500000</v>
      </c>
      <c r="AN574" s="486">
        <v>53619672.131147541</v>
      </c>
      <c r="AO574" s="486">
        <v>0</v>
      </c>
      <c r="AP574" s="486">
        <v>0</v>
      </c>
      <c r="AQ574" s="486">
        <v>0</v>
      </c>
      <c r="AR574" s="486">
        <v>0</v>
      </c>
      <c r="AS574" s="486">
        <v>0</v>
      </c>
      <c r="AT574" s="486">
        <v>0</v>
      </c>
      <c r="AU574" s="486">
        <v>0</v>
      </c>
      <c r="AV574" s="487">
        <v>53619672.131147541</v>
      </c>
      <c r="AW574" s="486">
        <v>0</v>
      </c>
      <c r="AX574" s="486">
        <v>0</v>
      </c>
      <c r="AY574" s="486">
        <v>13880327.868852459</v>
      </c>
      <c r="AZ574" s="488">
        <v>13880327.868852459</v>
      </c>
      <c r="BA574" s="490">
        <v>67500000</v>
      </c>
      <c r="BB574" s="486">
        <v>55764459.016393445</v>
      </c>
      <c r="BC574" s="486">
        <v>0</v>
      </c>
      <c r="BD574" s="486">
        <v>0</v>
      </c>
      <c r="BE574" s="486">
        <v>0</v>
      </c>
      <c r="BF574" s="486">
        <v>0</v>
      </c>
      <c r="BG574" s="486">
        <v>0</v>
      </c>
      <c r="BH574" s="486">
        <v>0</v>
      </c>
      <c r="BI574" s="486">
        <v>0</v>
      </c>
      <c r="BJ574" s="487">
        <v>55764459.016393445</v>
      </c>
      <c r="BK574" s="486">
        <v>0</v>
      </c>
      <c r="BL574" s="486">
        <v>0</v>
      </c>
      <c r="BM574" s="486">
        <v>17135540.983606555</v>
      </c>
      <c r="BN574" s="488">
        <v>17135540.983606555</v>
      </c>
      <c r="BO574" s="490">
        <v>72900000</v>
      </c>
      <c r="BP574" s="486">
        <v>57995037.377049178</v>
      </c>
      <c r="BQ574" s="486">
        <v>0</v>
      </c>
      <c r="BR574" s="486">
        <v>0</v>
      </c>
      <c r="BS574" s="486">
        <v>0</v>
      </c>
      <c r="BT574" s="486">
        <v>0</v>
      </c>
      <c r="BU574" s="486">
        <v>0</v>
      </c>
      <c r="BV574" s="486">
        <v>0</v>
      </c>
      <c r="BW574" s="486">
        <v>0</v>
      </c>
      <c r="BX574" s="487">
        <v>57995037.377049178</v>
      </c>
      <c r="BY574" s="486">
        <v>0</v>
      </c>
      <c r="BZ574" s="486">
        <v>0</v>
      </c>
      <c r="CA574" s="486">
        <v>20736962.622950822</v>
      </c>
      <c r="CB574" s="488">
        <v>20736962.622950822</v>
      </c>
      <c r="CC574" s="491">
        <v>78732000</v>
      </c>
      <c r="CD574" s="492">
        <v>281632000</v>
      </c>
      <c r="CE574" s="493">
        <f t="shared" si="39"/>
        <v>218936545.57377049</v>
      </c>
      <c r="CF574" s="493">
        <f t="shared" si="39"/>
        <v>0</v>
      </c>
      <c r="CG574" s="493">
        <f t="shared" si="39"/>
        <v>0</v>
      </c>
      <c r="CH574" s="493">
        <f t="shared" si="39"/>
        <v>0</v>
      </c>
      <c r="CI574" s="493">
        <f t="shared" si="39"/>
        <v>0</v>
      </c>
      <c r="CJ574" s="493">
        <f t="shared" si="39"/>
        <v>0</v>
      </c>
      <c r="CK574" s="493">
        <f t="shared" si="39"/>
        <v>0</v>
      </c>
      <c r="CL574" s="493">
        <f t="shared" si="39"/>
        <v>0</v>
      </c>
      <c r="CM574" s="493">
        <f t="shared" si="38"/>
        <v>0</v>
      </c>
      <c r="CN574" s="493">
        <f t="shared" si="38"/>
        <v>0</v>
      </c>
      <c r="CO574" s="493">
        <f t="shared" si="38"/>
        <v>62695454.426229507</v>
      </c>
    </row>
    <row r="575" spans="1:93" ht="30.45" hidden="1" customHeight="1">
      <c r="A575" s="555" t="s">
        <v>4963</v>
      </c>
      <c r="B575" s="479">
        <v>573</v>
      </c>
      <c r="C575" s="480" t="s">
        <v>6371</v>
      </c>
      <c r="D575" s="480" t="s">
        <v>4967</v>
      </c>
      <c r="E575" s="480" t="str">
        <f t="shared" si="37"/>
        <v xml:space="preserve">5.2.9 </v>
      </c>
      <c r="F575" s="480" t="s">
        <v>5015</v>
      </c>
      <c r="G575" s="480" t="s">
        <v>5016</v>
      </c>
      <c r="H575" s="481">
        <v>41</v>
      </c>
      <c r="I575" s="480" t="s">
        <v>4312</v>
      </c>
      <c r="J575" s="495">
        <v>410305000</v>
      </c>
      <c r="K575" s="480" t="s">
        <v>5019</v>
      </c>
      <c r="L575" s="480" t="s">
        <v>6655</v>
      </c>
      <c r="M575" s="480" t="s">
        <v>6155</v>
      </c>
      <c r="N575" s="499">
        <v>1550</v>
      </c>
      <c r="O575" s="480" t="s">
        <v>4966</v>
      </c>
      <c r="P575" s="515">
        <v>3550</v>
      </c>
      <c r="Q575" s="485">
        <v>60020001</v>
      </c>
      <c r="R575" s="485" t="s">
        <v>5631</v>
      </c>
      <c r="S575" s="485" t="s">
        <v>5632</v>
      </c>
      <c r="T575" s="485">
        <v>105.25</v>
      </c>
      <c r="U575" s="485" t="s">
        <v>5633</v>
      </c>
      <c r="V575" s="485">
        <v>95</v>
      </c>
      <c r="W575" s="485" t="s">
        <v>5515</v>
      </c>
      <c r="X575" s="485" t="s">
        <v>5634</v>
      </c>
      <c r="Y575" s="485" t="s">
        <v>5635</v>
      </c>
      <c r="Z575" s="486">
        <v>51557377.049180329</v>
      </c>
      <c r="AA575" s="486">
        <v>0</v>
      </c>
      <c r="AB575" s="486">
        <v>0</v>
      </c>
      <c r="AC575" s="486">
        <v>0</v>
      </c>
      <c r="AD575" s="486">
        <v>0</v>
      </c>
      <c r="AE575" s="486">
        <v>0</v>
      </c>
      <c r="AF575" s="486">
        <v>0</v>
      </c>
      <c r="AG575" s="486">
        <v>0</v>
      </c>
      <c r="AH575" s="487">
        <v>51557377.049180329</v>
      </c>
      <c r="AI575" s="486">
        <v>0</v>
      </c>
      <c r="AJ575" s="486">
        <v>0</v>
      </c>
      <c r="AK575" s="486">
        <v>10942622.950819671</v>
      </c>
      <c r="AL575" s="488">
        <v>10942622.950819671</v>
      </c>
      <c r="AM575" s="489">
        <v>62500000</v>
      </c>
      <c r="AN575" s="486">
        <v>53619672.131147541</v>
      </c>
      <c r="AO575" s="486">
        <v>0</v>
      </c>
      <c r="AP575" s="486">
        <v>0</v>
      </c>
      <c r="AQ575" s="486">
        <v>0</v>
      </c>
      <c r="AR575" s="486">
        <v>0</v>
      </c>
      <c r="AS575" s="486">
        <v>0</v>
      </c>
      <c r="AT575" s="486">
        <v>0</v>
      </c>
      <c r="AU575" s="486">
        <v>0</v>
      </c>
      <c r="AV575" s="487">
        <v>53619672.131147541</v>
      </c>
      <c r="AW575" s="486">
        <v>0</v>
      </c>
      <c r="AX575" s="486">
        <v>0</v>
      </c>
      <c r="AY575" s="486">
        <v>13880327.868852459</v>
      </c>
      <c r="AZ575" s="488">
        <v>13880327.868852459</v>
      </c>
      <c r="BA575" s="490">
        <v>67500000</v>
      </c>
      <c r="BB575" s="486">
        <v>55764459.016393445</v>
      </c>
      <c r="BC575" s="486">
        <v>0</v>
      </c>
      <c r="BD575" s="486">
        <v>0</v>
      </c>
      <c r="BE575" s="486">
        <v>0</v>
      </c>
      <c r="BF575" s="486">
        <v>0</v>
      </c>
      <c r="BG575" s="486">
        <v>0</v>
      </c>
      <c r="BH575" s="486">
        <v>0</v>
      </c>
      <c r="BI575" s="486">
        <v>0</v>
      </c>
      <c r="BJ575" s="487">
        <v>55764459.016393445</v>
      </c>
      <c r="BK575" s="486">
        <v>0</v>
      </c>
      <c r="BL575" s="486">
        <v>0</v>
      </c>
      <c r="BM575" s="486">
        <v>17135540.983606555</v>
      </c>
      <c r="BN575" s="488">
        <v>17135540.983606555</v>
      </c>
      <c r="BO575" s="490">
        <v>72900000</v>
      </c>
      <c r="BP575" s="486">
        <v>57995037.377049178</v>
      </c>
      <c r="BQ575" s="486">
        <v>0</v>
      </c>
      <c r="BR575" s="486">
        <v>0</v>
      </c>
      <c r="BS575" s="486">
        <v>0</v>
      </c>
      <c r="BT575" s="486">
        <v>0</v>
      </c>
      <c r="BU575" s="486">
        <v>0</v>
      </c>
      <c r="BV575" s="486">
        <v>0</v>
      </c>
      <c r="BW575" s="486">
        <v>0</v>
      </c>
      <c r="BX575" s="487">
        <v>57995037.377049178</v>
      </c>
      <c r="BY575" s="486">
        <v>0</v>
      </c>
      <c r="BZ575" s="486">
        <v>0</v>
      </c>
      <c r="CA575" s="486">
        <v>20736962.622950822</v>
      </c>
      <c r="CB575" s="488">
        <v>20736962.622950822</v>
      </c>
      <c r="CC575" s="491">
        <v>78732000</v>
      </c>
      <c r="CD575" s="492">
        <v>281632000</v>
      </c>
      <c r="CE575" s="493">
        <f t="shared" si="39"/>
        <v>218936545.57377049</v>
      </c>
      <c r="CF575" s="493">
        <f t="shared" si="39"/>
        <v>0</v>
      </c>
      <c r="CG575" s="493">
        <f t="shared" si="39"/>
        <v>0</v>
      </c>
      <c r="CH575" s="493">
        <f t="shared" si="39"/>
        <v>0</v>
      </c>
      <c r="CI575" s="493">
        <f t="shared" si="39"/>
        <v>0</v>
      </c>
      <c r="CJ575" s="493">
        <f t="shared" si="39"/>
        <v>0</v>
      </c>
      <c r="CK575" s="493">
        <f t="shared" si="39"/>
        <v>0</v>
      </c>
      <c r="CL575" s="493">
        <f t="shared" si="39"/>
        <v>0</v>
      </c>
      <c r="CM575" s="493">
        <f t="shared" si="38"/>
        <v>0</v>
      </c>
      <c r="CN575" s="493">
        <f t="shared" si="38"/>
        <v>0</v>
      </c>
      <c r="CO575" s="493">
        <f t="shared" si="38"/>
        <v>62695454.426229507</v>
      </c>
    </row>
    <row r="576" spans="1:93" ht="30.45" hidden="1" customHeight="1">
      <c r="A576" s="555" t="s">
        <v>4963</v>
      </c>
      <c r="B576" s="479">
        <v>574</v>
      </c>
      <c r="C576" s="480" t="s">
        <v>6371</v>
      </c>
      <c r="D576" s="480" t="s">
        <v>4967</v>
      </c>
      <c r="E576" s="480" t="str">
        <f t="shared" si="37"/>
        <v xml:space="preserve">5.2.9 </v>
      </c>
      <c r="F576" s="480" t="s">
        <v>5015</v>
      </c>
      <c r="G576" s="480" t="s">
        <v>5016</v>
      </c>
      <c r="H576" s="481">
        <v>41</v>
      </c>
      <c r="I576" s="480" t="s">
        <v>4312</v>
      </c>
      <c r="J576" s="495">
        <v>410306700</v>
      </c>
      <c r="K576" s="480" t="s">
        <v>4063</v>
      </c>
      <c r="L576" s="480" t="s">
        <v>6656</v>
      </c>
      <c r="M576" s="480" t="s">
        <v>6156</v>
      </c>
      <c r="N576" s="499">
        <v>1</v>
      </c>
      <c r="O576" s="480" t="s">
        <v>4966</v>
      </c>
      <c r="P576" s="515">
        <v>1</v>
      </c>
      <c r="Q576" s="485">
        <v>60020001</v>
      </c>
      <c r="R576" s="485" t="s">
        <v>5631</v>
      </c>
      <c r="S576" s="485" t="s">
        <v>5632</v>
      </c>
      <c r="T576" s="485">
        <v>105.25</v>
      </c>
      <c r="U576" s="485" t="s">
        <v>5633</v>
      </c>
      <c r="V576" s="485">
        <v>95</v>
      </c>
      <c r="W576" s="485" t="s">
        <v>5515</v>
      </c>
      <c r="X576" s="485" t="s">
        <v>5634</v>
      </c>
      <c r="Y576" s="485" t="s">
        <v>5635</v>
      </c>
      <c r="Z576" s="486">
        <v>16498360.655737706</v>
      </c>
      <c r="AA576" s="486">
        <v>0</v>
      </c>
      <c r="AB576" s="486">
        <v>0</v>
      </c>
      <c r="AC576" s="486">
        <v>0</v>
      </c>
      <c r="AD576" s="486">
        <v>0</v>
      </c>
      <c r="AE576" s="486">
        <v>0</v>
      </c>
      <c r="AF576" s="486">
        <v>0</v>
      </c>
      <c r="AG576" s="486">
        <v>0</v>
      </c>
      <c r="AH576" s="487">
        <v>16498360.655737706</v>
      </c>
      <c r="AI576" s="486">
        <v>0</v>
      </c>
      <c r="AJ576" s="486">
        <v>0</v>
      </c>
      <c r="AK576" s="486">
        <v>3501639.3442622945</v>
      </c>
      <c r="AL576" s="488">
        <v>3501639.3442622945</v>
      </c>
      <c r="AM576" s="489">
        <v>20000000</v>
      </c>
      <c r="AN576" s="486">
        <v>17158295.081967212</v>
      </c>
      <c r="AO576" s="486">
        <v>0</v>
      </c>
      <c r="AP576" s="486">
        <v>0</v>
      </c>
      <c r="AQ576" s="486">
        <v>0</v>
      </c>
      <c r="AR576" s="486">
        <v>0</v>
      </c>
      <c r="AS576" s="486">
        <v>0</v>
      </c>
      <c r="AT576" s="486">
        <v>0</v>
      </c>
      <c r="AU576" s="486">
        <v>0</v>
      </c>
      <c r="AV576" s="487">
        <v>17158295.081967212</v>
      </c>
      <c r="AW576" s="486">
        <v>0</v>
      </c>
      <c r="AX576" s="486">
        <v>0</v>
      </c>
      <c r="AY576" s="486">
        <v>4441704.9180327877</v>
      </c>
      <c r="AZ576" s="488">
        <v>4441704.9180327877</v>
      </c>
      <c r="BA576" s="490">
        <v>21600000</v>
      </c>
      <c r="BB576" s="486">
        <v>17844626.885245901</v>
      </c>
      <c r="BC576" s="486">
        <v>0</v>
      </c>
      <c r="BD576" s="486">
        <v>0</v>
      </c>
      <c r="BE576" s="486">
        <v>0</v>
      </c>
      <c r="BF576" s="486">
        <v>0</v>
      </c>
      <c r="BG576" s="486">
        <v>0</v>
      </c>
      <c r="BH576" s="486">
        <v>0</v>
      </c>
      <c r="BI576" s="486">
        <v>0</v>
      </c>
      <c r="BJ576" s="487">
        <v>17844626.885245901</v>
      </c>
      <c r="BK576" s="486">
        <v>0</v>
      </c>
      <c r="BL576" s="486">
        <v>0</v>
      </c>
      <c r="BM576" s="486">
        <v>5483373.1147540994</v>
      </c>
      <c r="BN576" s="488">
        <v>5483373.1147540994</v>
      </c>
      <c r="BO576" s="490">
        <v>23328000</v>
      </c>
      <c r="BP576" s="486">
        <v>18558411.960655738</v>
      </c>
      <c r="BQ576" s="486">
        <v>0</v>
      </c>
      <c r="BR576" s="486">
        <v>0</v>
      </c>
      <c r="BS576" s="486">
        <v>0</v>
      </c>
      <c r="BT576" s="486">
        <v>0</v>
      </c>
      <c r="BU576" s="486">
        <v>0</v>
      </c>
      <c r="BV576" s="486">
        <v>0</v>
      </c>
      <c r="BW576" s="486">
        <v>0</v>
      </c>
      <c r="BX576" s="487">
        <v>18558411.960655738</v>
      </c>
      <c r="BY576" s="486">
        <v>0</v>
      </c>
      <c r="BZ576" s="486">
        <v>0</v>
      </c>
      <c r="CA576" s="486">
        <v>6635828.0393442623</v>
      </c>
      <c r="CB576" s="488">
        <v>6635828.0393442623</v>
      </c>
      <c r="CC576" s="491">
        <v>25194240</v>
      </c>
      <c r="CD576" s="492">
        <v>90122240</v>
      </c>
      <c r="CE576" s="493">
        <f t="shared" si="39"/>
        <v>70059694.583606556</v>
      </c>
      <c r="CF576" s="493">
        <f t="shared" si="39"/>
        <v>0</v>
      </c>
      <c r="CG576" s="493">
        <f t="shared" si="39"/>
        <v>0</v>
      </c>
      <c r="CH576" s="493">
        <f t="shared" si="39"/>
        <v>0</v>
      </c>
      <c r="CI576" s="493">
        <f t="shared" si="39"/>
        <v>0</v>
      </c>
      <c r="CJ576" s="493">
        <f t="shared" si="39"/>
        <v>0</v>
      </c>
      <c r="CK576" s="493">
        <f t="shared" si="39"/>
        <v>0</v>
      </c>
      <c r="CL576" s="493">
        <f t="shared" si="39"/>
        <v>0</v>
      </c>
      <c r="CM576" s="493">
        <f t="shared" si="38"/>
        <v>0</v>
      </c>
      <c r="CN576" s="493">
        <f t="shared" si="38"/>
        <v>0</v>
      </c>
      <c r="CO576" s="493">
        <f t="shared" si="38"/>
        <v>20062545.416393444</v>
      </c>
    </row>
    <row r="577" spans="1:93" ht="30.45" hidden="1" customHeight="1">
      <c r="A577" s="555" t="s">
        <v>4101</v>
      </c>
      <c r="B577" s="479">
        <v>575</v>
      </c>
      <c r="C577" s="480" t="s">
        <v>6371</v>
      </c>
      <c r="D577" s="480" t="s">
        <v>4967</v>
      </c>
      <c r="E577" s="480" t="str">
        <f t="shared" si="37"/>
        <v>5.2.10</v>
      </c>
      <c r="F577" s="480" t="s">
        <v>5020</v>
      </c>
      <c r="G577" s="480" t="s">
        <v>5021</v>
      </c>
      <c r="H577" s="481">
        <v>33</v>
      </c>
      <c r="I577" s="480" t="s">
        <v>4098</v>
      </c>
      <c r="J577" s="495">
        <v>330105109</v>
      </c>
      <c r="K577" s="480" t="s">
        <v>4008</v>
      </c>
      <c r="L577" s="480" t="s">
        <v>6657</v>
      </c>
      <c r="M577" s="480" t="s">
        <v>6157</v>
      </c>
      <c r="N577" s="499">
        <v>100</v>
      </c>
      <c r="O577" s="480" t="s">
        <v>4100</v>
      </c>
      <c r="P577" s="515">
        <v>200</v>
      </c>
      <c r="Q577" s="485" t="s">
        <v>5349</v>
      </c>
      <c r="R577" s="485" t="s">
        <v>5636</v>
      </c>
      <c r="S577" s="485" t="s">
        <v>677</v>
      </c>
      <c r="T577" s="485">
        <v>0.41</v>
      </c>
      <c r="U577" s="485" t="s">
        <v>4100</v>
      </c>
      <c r="V577" s="485">
        <v>0.65</v>
      </c>
      <c r="W577" s="485" t="s">
        <v>5637</v>
      </c>
      <c r="X577" s="485" t="s">
        <v>5573</v>
      </c>
      <c r="Y577" s="485" t="s">
        <v>5638</v>
      </c>
      <c r="Z577" s="486">
        <v>92000000</v>
      </c>
      <c r="AA577" s="486">
        <v>38700000</v>
      </c>
      <c r="AB577" s="486">
        <v>0</v>
      </c>
      <c r="AC577" s="486">
        <v>0</v>
      </c>
      <c r="AD577" s="486">
        <v>0</v>
      </c>
      <c r="AE577" s="486">
        <v>0</v>
      </c>
      <c r="AF577" s="486">
        <v>0</v>
      </c>
      <c r="AG577" s="486">
        <v>0</v>
      </c>
      <c r="AH577" s="487">
        <v>130700000</v>
      </c>
      <c r="AI577" s="486">
        <v>28000000</v>
      </c>
      <c r="AJ577" s="486">
        <v>0</v>
      </c>
      <c r="AK577" s="486">
        <v>0</v>
      </c>
      <c r="AL577" s="488">
        <v>28000000</v>
      </c>
      <c r="AM577" s="489">
        <v>158700000</v>
      </c>
      <c r="AN577" s="486">
        <v>98000000</v>
      </c>
      <c r="AO577" s="486">
        <v>40248000</v>
      </c>
      <c r="AP577" s="486">
        <v>0</v>
      </c>
      <c r="AQ577" s="486">
        <v>0</v>
      </c>
      <c r="AR577" s="486">
        <v>0</v>
      </c>
      <c r="AS577" s="486">
        <v>0</v>
      </c>
      <c r="AT577" s="486">
        <v>0</v>
      </c>
      <c r="AU577" s="486">
        <v>0</v>
      </c>
      <c r="AV577" s="487">
        <v>138248000</v>
      </c>
      <c r="AW577" s="486">
        <v>0</v>
      </c>
      <c r="AX577" s="486">
        <v>0</v>
      </c>
      <c r="AY577" s="486">
        <v>0</v>
      </c>
      <c r="AZ577" s="488">
        <v>0</v>
      </c>
      <c r="BA577" s="490">
        <v>138248000</v>
      </c>
      <c r="BB577" s="486">
        <v>104000000</v>
      </c>
      <c r="BC577" s="486">
        <v>41857920</v>
      </c>
      <c r="BD577" s="486">
        <v>0</v>
      </c>
      <c r="BE577" s="486">
        <v>0</v>
      </c>
      <c r="BF577" s="486">
        <v>0</v>
      </c>
      <c r="BG577" s="486">
        <v>0</v>
      </c>
      <c r="BH577" s="486">
        <v>0</v>
      </c>
      <c r="BI577" s="486">
        <v>0</v>
      </c>
      <c r="BJ577" s="487">
        <v>145857920</v>
      </c>
      <c r="BK577" s="486">
        <v>0</v>
      </c>
      <c r="BL577" s="486">
        <v>0</v>
      </c>
      <c r="BM577" s="486">
        <v>0</v>
      </c>
      <c r="BN577" s="488">
        <v>0</v>
      </c>
      <c r="BO577" s="490">
        <v>145857920</v>
      </c>
      <c r="BP577" s="486">
        <v>110000000</v>
      </c>
      <c r="BQ577" s="486">
        <v>43532236</v>
      </c>
      <c r="BR577" s="486">
        <v>0</v>
      </c>
      <c r="BS577" s="486">
        <v>0</v>
      </c>
      <c r="BT577" s="486">
        <v>0</v>
      </c>
      <c r="BU577" s="486">
        <v>0</v>
      </c>
      <c r="BV577" s="486">
        <v>0</v>
      </c>
      <c r="BW577" s="486">
        <v>0</v>
      </c>
      <c r="BX577" s="487">
        <v>153532236</v>
      </c>
      <c r="BY577" s="486">
        <v>0</v>
      </c>
      <c r="BZ577" s="486">
        <v>0</v>
      </c>
      <c r="CA577" s="486">
        <v>0</v>
      </c>
      <c r="CB577" s="488">
        <v>0</v>
      </c>
      <c r="CC577" s="491">
        <v>153532236</v>
      </c>
      <c r="CD577" s="492">
        <v>596338156</v>
      </c>
      <c r="CE577" s="493">
        <f t="shared" si="39"/>
        <v>404000000</v>
      </c>
      <c r="CF577" s="493">
        <f t="shared" si="39"/>
        <v>164338156</v>
      </c>
      <c r="CG577" s="493">
        <f t="shared" si="39"/>
        <v>0</v>
      </c>
      <c r="CH577" s="493">
        <f t="shared" si="39"/>
        <v>0</v>
      </c>
      <c r="CI577" s="493">
        <f t="shared" si="39"/>
        <v>0</v>
      </c>
      <c r="CJ577" s="493">
        <f t="shared" si="39"/>
        <v>0</v>
      </c>
      <c r="CK577" s="493">
        <f t="shared" si="39"/>
        <v>0</v>
      </c>
      <c r="CL577" s="493">
        <f t="shared" si="39"/>
        <v>0</v>
      </c>
      <c r="CM577" s="493">
        <f t="shared" si="38"/>
        <v>28000000</v>
      </c>
      <c r="CN577" s="493">
        <f t="shared" si="38"/>
        <v>0</v>
      </c>
      <c r="CO577" s="493">
        <f t="shared" si="38"/>
        <v>0</v>
      </c>
    </row>
    <row r="578" spans="1:93" ht="30.45" hidden="1" customHeight="1">
      <c r="A578" s="555" t="s">
        <v>4101</v>
      </c>
      <c r="B578" s="479">
        <v>576</v>
      </c>
      <c r="C578" s="480" t="s">
        <v>6371</v>
      </c>
      <c r="D578" s="480" t="s">
        <v>4967</v>
      </c>
      <c r="E578" s="480" t="str">
        <f t="shared" si="37"/>
        <v>5.2.10</v>
      </c>
      <c r="F578" s="480" t="s">
        <v>5020</v>
      </c>
      <c r="G578" s="480" t="s">
        <v>5021</v>
      </c>
      <c r="H578" s="481">
        <v>33</v>
      </c>
      <c r="I578" s="480" t="s">
        <v>4098</v>
      </c>
      <c r="J578" s="495">
        <v>330108500</v>
      </c>
      <c r="K578" s="480" t="s">
        <v>5022</v>
      </c>
      <c r="L578" s="480" t="s">
        <v>6200</v>
      </c>
      <c r="M578" s="480" t="s">
        <v>6158</v>
      </c>
      <c r="N578" s="499">
        <v>1600</v>
      </c>
      <c r="O578" s="480" t="s">
        <v>4100</v>
      </c>
      <c r="P578" s="515">
        <v>3200</v>
      </c>
      <c r="Q578" s="485" t="s">
        <v>5349</v>
      </c>
      <c r="R578" s="485" t="s">
        <v>5636</v>
      </c>
      <c r="S578" s="485" t="s">
        <v>677</v>
      </c>
      <c r="T578" s="485">
        <v>0.41</v>
      </c>
      <c r="U578" s="485" t="s">
        <v>4100</v>
      </c>
      <c r="V578" s="485">
        <v>0.65</v>
      </c>
      <c r="W578" s="485" t="s">
        <v>5637</v>
      </c>
      <c r="X578" s="485" t="s">
        <v>5573</v>
      </c>
      <c r="Y578" s="485" t="s">
        <v>5638</v>
      </c>
      <c r="Z578" s="486">
        <v>57000000</v>
      </c>
      <c r="AA578" s="486">
        <v>50000000</v>
      </c>
      <c r="AB578" s="486">
        <v>0</v>
      </c>
      <c r="AC578" s="486">
        <v>0</v>
      </c>
      <c r="AD578" s="486">
        <v>0</v>
      </c>
      <c r="AE578" s="486">
        <v>0</v>
      </c>
      <c r="AF578" s="486">
        <v>0</v>
      </c>
      <c r="AG578" s="486">
        <v>0</v>
      </c>
      <c r="AH578" s="487">
        <v>107000000</v>
      </c>
      <c r="AI578" s="486">
        <v>28000000</v>
      </c>
      <c r="AJ578" s="486">
        <v>0</v>
      </c>
      <c r="AK578" s="486">
        <v>0</v>
      </c>
      <c r="AL578" s="488">
        <v>28000000</v>
      </c>
      <c r="AM578" s="489">
        <v>135000000</v>
      </c>
      <c r="AN578" s="486">
        <v>58000000</v>
      </c>
      <c r="AO578" s="486">
        <v>55000000</v>
      </c>
      <c r="AP578" s="486">
        <v>0</v>
      </c>
      <c r="AQ578" s="486">
        <v>0</v>
      </c>
      <c r="AR578" s="486">
        <v>0</v>
      </c>
      <c r="AS578" s="486">
        <v>0</v>
      </c>
      <c r="AT578" s="486">
        <v>0</v>
      </c>
      <c r="AU578" s="486">
        <v>0</v>
      </c>
      <c r="AV578" s="487">
        <v>113000000</v>
      </c>
      <c r="AW578" s="486">
        <v>0</v>
      </c>
      <c r="AX578" s="486">
        <v>0</v>
      </c>
      <c r="AY578" s="486">
        <v>0</v>
      </c>
      <c r="AZ578" s="488">
        <v>0</v>
      </c>
      <c r="BA578" s="490">
        <v>113000000</v>
      </c>
      <c r="BB578" s="486">
        <v>59000000</v>
      </c>
      <c r="BC578" s="486">
        <v>60000000</v>
      </c>
      <c r="BD578" s="486">
        <v>0</v>
      </c>
      <c r="BE578" s="486">
        <v>0</v>
      </c>
      <c r="BF578" s="486">
        <v>0</v>
      </c>
      <c r="BG578" s="486">
        <v>0</v>
      </c>
      <c r="BH578" s="486">
        <v>0</v>
      </c>
      <c r="BI578" s="486">
        <v>0</v>
      </c>
      <c r="BJ578" s="487">
        <v>119000000</v>
      </c>
      <c r="BK578" s="486">
        <v>0</v>
      </c>
      <c r="BL578" s="486">
        <v>0</v>
      </c>
      <c r="BM578" s="486">
        <v>0</v>
      </c>
      <c r="BN578" s="488">
        <v>0</v>
      </c>
      <c r="BO578" s="490">
        <v>119000000</v>
      </c>
      <c r="BP578" s="486">
        <v>60000000</v>
      </c>
      <c r="BQ578" s="486">
        <v>65000000</v>
      </c>
      <c r="BR578" s="486">
        <v>0</v>
      </c>
      <c r="BS578" s="486">
        <v>0</v>
      </c>
      <c r="BT578" s="486">
        <v>0</v>
      </c>
      <c r="BU578" s="486">
        <v>0</v>
      </c>
      <c r="BV578" s="486">
        <v>0</v>
      </c>
      <c r="BW578" s="486">
        <v>0</v>
      </c>
      <c r="BX578" s="487">
        <v>125000000</v>
      </c>
      <c r="BY578" s="486">
        <v>0</v>
      </c>
      <c r="BZ578" s="486">
        <v>0</v>
      </c>
      <c r="CA578" s="486">
        <v>0</v>
      </c>
      <c r="CB578" s="488">
        <v>0</v>
      </c>
      <c r="CC578" s="491">
        <v>125000000</v>
      </c>
      <c r="CD578" s="492">
        <v>492000000</v>
      </c>
      <c r="CE578" s="493">
        <f t="shared" si="39"/>
        <v>234000000</v>
      </c>
      <c r="CF578" s="493">
        <f t="shared" si="39"/>
        <v>230000000</v>
      </c>
      <c r="CG578" s="493">
        <f t="shared" si="39"/>
        <v>0</v>
      </c>
      <c r="CH578" s="493">
        <f t="shared" si="39"/>
        <v>0</v>
      </c>
      <c r="CI578" s="493">
        <f t="shared" si="39"/>
        <v>0</v>
      </c>
      <c r="CJ578" s="493">
        <f t="shared" si="39"/>
        <v>0</v>
      </c>
      <c r="CK578" s="493">
        <f t="shared" si="39"/>
        <v>0</v>
      </c>
      <c r="CL578" s="493">
        <f t="shared" si="39"/>
        <v>0</v>
      </c>
      <c r="CM578" s="493">
        <f t="shared" si="38"/>
        <v>28000000</v>
      </c>
      <c r="CN578" s="493">
        <f t="shared" si="38"/>
        <v>0</v>
      </c>
      <c r="CO578" s="493">
        <f t="shared" si="38"/>
        <v>0</v>
      </c>
    </row>
  </sheetData>
  <sheetProtection algorithmName="SHA-512" hashValue="Bl0BbWVfaQuOl70L/AFvfTeLxQXgmlslPipxqKJ42upRsU6H1COImPElqAJzlrgkz6w7z3Ggoakj7QZudP2iig==" saltValue="6e8xRGMkMchpicTdrq4SgQ==" spinCount="100000" sheet="1" autoFilter="0"/>
  <dataValidations count="1">
    <dataValidation type="whole" allowBlank="1" showInputMessage="1" showErrorMessage="1" errorTitle="Error en el tipo de dato" error="No ha insertado un dato númerico valido, por favor rectifique el dato ingresado" sqref="CE2:CO2 Z2:CD578" xr:uid="{A28A80AD-E268-435A-A6DE-C8DABFB54179}">
      <formula1>0</formula1>
      <formula2>999999999999</formula2>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C29C0-62F4-4157-93E5-1B2F45BBE6F6}">
  <sheetPr>
    <tabColor rgb="FF215967"/>
  </sheetPr>
  <dimension ref="A1:BG253"/>
  <sheetViews>
    <sheetView tabSelected="1" topLeftCell="AS1" zoomScale="85" zoomScaleNormal="85" workbookViewId="0">
      <pane ySplit="1" topLeftCell="A2" activePane="bottomLeft" state="frozen"/>
      <selection pane="bottomLeft" activeCell="AS3" sqref="AS3"/>
    </sheetView>
  </sheetViews>
  <sheetFormatPr baseColWidth="10" defaultColWidth="10.69921875" defaultRowHeight="13.8" outlineLevelCol="1"/>
  <cols>
    <col min="1" max="1" width="21" style="440" bestFit="1" customWidth="1"/>
    <col min="2" max="2" width="15.69921875" style="440" customWidth="1"/>
    <col min="3" max="3" width="26.19921875" style="441" customWidth="1" outlineLevel="1"/>
    <col min="4" max="4" width="41.3984375" style="441" customWidth="1" outlineLevel="1"/>
    <col min="5" max="5" width="0.19921875" style="440" customWidth="1" outlineLevel="1"/>
    <col min="6" max="7" width="44" style="442" customWidth="1" outlineLevel="1"/>
    <col min="8" max="8" width="5.3984375" style="440" customWidth="1" outlineLevel="1"/>
    <col min="9" max="9" width="27.796875" style="443" customWidth="1" outlineLevel="1"/>
    <col min="10" max="10" width="10.5" style="440" customWidth="1" outlineLevel="1"/>
    <col min="11" max="11" width="20.69921875" style="597" customWidth="1"/>
    <col min="12" max="12" width="31.5" style="443" customWidth="1"/>
    <col min="13" max="13" width="44.5" style="444" customWidth="1"/>
    <col min="14" max="14" width="9" style="440" customWidth="1"/>
    <col min="15" max="15" width="0.296875" style="442" customWidth="1"/>
    <col min="16" max="16" width="8.09765625" style="440" customWidth="1"/>
    <col min="17" max="17" width="10.09765625" style="440" hidden="1" customWidth="1" outlineLevel="1"/>
    <col min="18" max="18" width="34.796875" style="443" hidden="1" customWidth="1" outlineLevel="1"/>
    <col min="19" max="20" width="10.69921875" style="440" hidden="1" customWidth="1" outlineLevel="1"/>
    <col min="21" max="21" width="33.796875" style="588" hidden="1" customWidth="1" outlineLevel="1"/>
    <col min="22" max="22" width="10.69921875" style="440" hidden="1" customWidth="1" outlineLevel="1"/>
    <col min="23" max="23" width="14.69921875" style="593" hidden="1" customWidth="1" outlineLevel="1"/>
    <col min="24" max="24" width="10.69921875" style="440" hidden="1" customWidth="1" outlineLevel="1"/>
    <col min="25" max="25" width="8.8984375" style="440" hidden="1" customWidth="1" outlineLevel="1"/>
    <col min="26" max="26" width="18.19921875" style="445" customWidth="1" collapsed="1"/>
    <col min="27" max="27" width="45.69921875" style="446" bestFit="1" customWidth="1"/>
    <col min="28" max="28" width="7.19921875" style="626" customWidth="1"/>
    <col min="29" max="30" width="7.19921875" style="627" customWidth="1"/>
    <col min="31" max="31" width="7.19921875" style="628" customWidth="1"/>
    <col min="32" max="32" width="7.69921875" style="637" bestFit="1" customWidth="1"/>
    <col min="33" max="33" width="45.69921875" style="446" bestFit="1" customWidth="1"/>
    <col min="34" max="34" width="7.19921875" style="626" customWidth="1"/>
    <col min="35" max="36" width="7.19921875" style="627" customWidth="1"/>
    <col min="37" max="37" width="7.19921875" style="628" customWidth="1"/>
    <col min="38" max="38" width="7.8984375" style="637" customWidth="1"/>
    <col min="39" max="39" width="45.69921875" style="446" bestFit="1" customWidth="1"/>
    <col min="40" max="40" width="7.19921875" style="626" customWidth="1"/>
    <col min="41" max="42" width="7.19921875" style="627" customWidth="1"/>
    <col min="43" max="43" width="7.19921875" style="628" customWidth="1"/>
    <col min="44" max="44" width="7.19921875" style="637" customWidth="1"/>
    <col min="45" max="45" width="45.69921875" style="446" bestFit="1" customWidth="1"/>
    <col min="46" max="46" width="7.19921875" style="626" customWidth="1"/>
    <col min="47" max="48" width="7.19921875" style="627" customWidth="1"/>
    <col min="49" max="49" width="7.19921875" style="628" customWidth="1"/>
    <col min="50" max="50" width="10.296875" style="637" customWidth="1"/>
    <col min="51" max="51" width="11.69921875" style="637" customWidth="1"/>
    <col min="52" max="52" width="8.8984375" style="428" hidden="1" customWidth="1"/>
    <col min="53" max="53" width="21.09765625" style="421" bestFit="1" customWidth="1"/>
    <col min="54" max="54" width="25.296875" style="421" bestFit="1" customWidth="1"/>
    <col min="55" max="55" width="26.19921875" style="370" customWidth="1"/>
    <col min="56" max="56" width="34.8984375" style="445" customWidth="1"/>
    <col min="57" max="57" width="3.296875" style="660" hidden="1" customWidth="1"/>
    <col min="58" max="58" width="26.59765625" style="445" customWidth="1"/>
    <col min="59" max="59" width="67.296875" style="370" customWidth="1"/>
    <col min="60" max="16384" width="10.69921875" style="348"/>
  </cols>
  <sheetData>
    <row r="1" spans="1:59" s="403" customFormat="1" ht="47.55" customHeight="1" thickBot="1">
      <c r="A1" s="560" t="s">
        <v>5024</v>
      </c>
      <c r="B1" s="401" t="s">
        <v>5023</v>
      </c>
      <c r="C1" s="401" t="s">
        <v>5025</v>
      </c>
      <c r="D1" s="401" t="s">
        <v>5026</v>
      </c>
      <c r="E1" s="401" t="s">
        <v>5027</v>
      </c>
      <c r="F1" s="402" t="s">
        <v>5028</v>
      </c>
      <c r="G1" s="402" t="s">
        <v>5029</v>
      </c>
      <c r="H1" s="401" t="s">
        <v>5032</v>
      </c>
      <c r="I1" s="407" t="s">
        <v>5639</v>
      </c>
      <c r="J1" s="401" t="s">
        <v>5640</v>
      </c>
      <c r="K1" s="402" t="s">
        <v>5641</v>
      </c>
      <c r="L1" s="404" t="s">
        <v>5642</v>
      </c>
      <c r="M1" s="402" t="s">
        <v>6159</v>
      </c>
      <c r="N1" s="401" t="s">
        <v>5031</v>
      </c>
      <c r="O1" s="402" t="s">
        <v>5643</v>
      </c>
      <c r="P1" s="402" t="s">
        <v>5647</v>
      </c>
      <c r="Q1" s="561" t="s">
        <v>5644</v>
      </c>
      <c r="R1" s="562" t="s">
        <v>5030</v>
      </c>
      <c r="S1" s="562" t="s">
        <v>5645</v>
      </c>
      <c r="T1" s="563" t="s">
        <v>5031</v>
      </c>
      <c r="U1" s="561" t="s">
        <v>5646</v>
      </c>
      <c r="V1" s="563" t="s">
        <v>5315</v>
      </c>
      <c r="W1" s="589" t="s">
        <v>5316</v>
      </c>
      <c r="X1" s="563" t="s">
        <v>628</v>
      </c>
      <c r="Y1" s="563" t="s">
        <v>5317</v>
      </c>
      <c r="Z1" s="564" t="s">
        <v>5040</v>
      </c>
      <c r="AA1" s="565" t="s">
        <v>5648</v>
      </c>
      <c r="AB1" s="622" t="s">
        <v>5034</v>
      </c>
      <c r="AC1" s="622" t="s">
        <v>5035</v>
      </c>
      <c r="AD1" s="622" t="s">
        <v>5036</v>
      </c>
      <c r="AE1" s="622" t="s">
        <v>5037</v>
      </c>
      <c r="AF1" s="635" t="s">
        <v>3974</v>
      </c>
      <c r="AG1" s="565" t="s">
        <v>5649</v>
      </c>
      <c r="AH1" s="622" t="s">
        <v>5075</v>
      </c>
      <c r="AI1" s="622" t="s">
        <v>5076</v>
      </c>
      <c r="AJ1" s="622" t="s">
        <v>5077</v>
      </c>
      <c r="AK1" s="622" t="s">
        <v>5078</v>
      </c>
      <c r="AL1" s="635" t="s">
        <v>3975</v>
      </c>
      <c r="AM1" s="565" t="s">
        <v>5650</v>
      </c>
      <c r="AN1" s="622" t="s">
        <v>5079</v>
      </c>
      <c r="AO1" s="622" t="s">
        <v>5080</v>
      </c>
      <c r="AP1" s="622" t="s">
        <v>5081</v>
      </c>
      <c r="AQ1" s="622" t="s">
        <v>5082</v>
      </c>
      <c r="AR1" s="635" t="s">
        <v>3976</v>
      </c>
      <c r="AS1" s="565" t="s">
        <v>6179</v>
      </c>
      <c r="AT1" s="622" t="s">
        <v>5083</v>
      </c>
      <c r="AU1" s="622" t="s">
        <v>5084</v>
      </c>
      <c r="AV1" s="622" t="s">
        <v>5085</v>
      </c>
      <c r="AW1" s="622" t="s">
        <v>5086</v>
      </c>
      <c r="AX1" s="635" t="s">
        <v>3977</v>
      </c>
      <c r="AY1" s="641" t="s">
        <v>6337</v>
      </c>
      <c r="AZ1" s="566" t="s">
        <v>5041</v>
      </c>
      <c r="BA1" s="402" t="s">
        <v>6201</v>
      </c>
      <c r="BB1" s="580" t="s">
        <v>6331</v>
      </c>
      <c r="BC1" s="582" t="s">
        <v>6332</v>
      </c>
      <c r="BD1" s="564" t="s">
        <v>5038</v>
      </c>
      <c r="BE1" s="564"/>
      <c r="BF1" s="567" t="s">
        <v>5039</v>
      </c>
      <c r="BG1" s="581" t="s">
        <v>6658</v>
      </c>
    </row>
    <row r="2" spans="1:59" s="405" customFormat="1" ht="40.5" customHeight="1">
      <c r="A2" s="409" t="str" cm="1">
        <f t="array" ref="A2:Y6">IFERROR(_xlfn._xlws.FILTER('Matriz de Referencia'!$A$3:$Y$579, 'Matriz de Referencia'!$A$3:$A$579 = 'Datos Enlace'!$A$2),"")</f>
        <v>Lotería de Boyacá</v>
      </c>
      <c r="B2" s="410">
        <v>296</v>
      </c>
      <c r="C2" s="411" t="str">
        <v>2. Tierra para Crecer y Productiva</v>
      </c>
      <c r="D2" s="411" t="str">
        <v>2.7  Mayor autonomía fiscal</v>
      </c>
      <c r="E2" s="410" t="str">
        <v xml:space="preserve">2.7.4 </v>
      </c>
      <c r="F2" s="412" t="str">
        <v>2.7.4  Transferencias que aportan a una Boyacá grande más saludable”</v>
      </c>
      <c r="G2" s="412" t="str">
        <v>Realizar transferencias para recursos de la salud, generados por la explotación y comercialización de juegos de suerte y azar.</v>
      </c>
      <c r="H2" s="410">
        <v>35</v>
      </c>
      <c r="I2" s="413" t="str">
        <v>Productividad y Competitividad de las empresas Colombianas</v>
      </c>
      <c r="J2" s="410">
        <v>350200900</v>
      </c>
      <c r="K2" s="594" t="str">
        <v>Número de unidades productivas</v>
      </c>
      <c r="L2" s="413" t="str">
        <v>Unidades productivas beneficiadas en la implementación de la estrategias para incrementar su productividad)</v>
      </c>
      <c r="M2" s="413" t="str">
        <v xml:space="preserve">Intervenciones en sectores de interés que incluyen un plan de acción y una medición final </v>
      </c>
      <c r="N2" s="410">
        <v>9</v>
      </c>
      <c r="O2" s="412" t="str">
        <v>Lotería de Boyacá/Gestiòn Financiera/2023</v>
      </c>
      <c r="P2" s="410">
        <v>9</v>
      </c>
      <c r="Q2" s="410" t="str">
        <v>N.A</v>
      </c>
      <c r="R2" s="413" t="str">
        <v>Rentas del monopolio</v>
      </c>
      <c r="S2" s="410" t="str">
        <v>Pesos</v>
      </c>
      <c r="T2" s="410">
        <v>107123611957</v>
      </c>
      <c r="U2" s="413" t="str">
        <v>Lotería de Boyacá/2023</v>
      </c>
      <c r="V2" s="410">
        <v>225123611957</v>
      </c>
      <c r="W2" s="411" t="str">
        <v xml:space="preserve">Estabilidad macroeconómica-progresividad y sostenibilidad fiscal </v>
      </c>
      <c r="X2" s="410">
        <v>3</v>
      </c>
      <c r="Y2" s="410" t="str">
        <v xml:space="preserve">3.c </v>
      </c>
      <c r="Z2" s="414" t="s">
        <v>686</v>
      </c>
      <c r="AA2" s="415" t="str">
        <f>IFERROR(IF(VLOOKUP($B2,'Matriz de Referencia'!$B$2:$CO$578,'Matriz de Referencia'!AM$1,FALSE)&gt;0,"Diligenciar la vigencia, tiene presupuesto programado","No diligenciar, no programo presupuesto"),"")</f>
        <v>Diligenciar la vigencia, tiene presupuesto programado</v>
      </c>
      <c r="AB2" s="623"/>
      <c r="AC2" s="624"/>
      <c r="AD2" s="624"/>
      <c r="AE2" s="625">
        <v>9</v>
      </c>
      <c r="AF2" s="636">
        <f>IFERROR(IF($Z2="Mantenimiento", AVERAGE(AB2:AE2), IF($Z2="Incremento", SUM(AB2:AE2), "")),"")</f>
        <v>9</v>
      </c>
      <c r="AG2" s="415" t="str">
        <f>IFERROR(IF(VLOOKUP($B2,'Matriz de Referencia'!$B$2:$CO$578,'Matriz de Referencia'!BA$1,FALSE)&gt;0,"Diligenciar la vigencia, tiene presupuesto programado","No diligenciar, no programo presupuesto"),"")</f>
        <v>Diligenciar la vigencia, tiene presupuesto programado</v>
      </c>
      <c r="AH2" s="623"/>
      <c r="AI2" s="624"/>
      <c r="AJ2" s="624"/>
      <c r="AK2" s="625">
        <v>9</v>
      </c>
      <c r="AL2" s="636">
        <f>IFERROR(IF($Z2="Mantenimiento", AVERAGE(AH2:AK2), IF($Z2="Incremento", SUM(AH2:AK2), "")),"")</f>
        <v>9</v>
      </c>
      <c r="AM2" s="415" t="str">
        <f>IFERROR(IF(VLOOKUP($B2,'Matriz de Referencia'!$B$2:$CO$578,'Matriz de Referencia'!BO$1,FALSE)&gt;0,"Diligenciar la vigencia, tiene presupuesto programado","No diligenciar, no programo presupuesto"),"")</f>
        <v>Diligenciar la vigencia, tiene presupuesto programado</v>
      </c>
      <c r="AN2" s="623"/>
      <c r="AO2" s="624"/>
      <c r="AP2" s="624"/>
      <c r="AQ2" s="625">
        <v>9</v>
      </c>
      <c r="AR2" s="636">
        <f>IFERROR(IF($Z2="Mantenimiento", AVERAGE(AN2:AQ2), IF($Z2="Incremento", SUM(AN2:AQ2), "")),"")</f>
        <v>9</v>
      </c>
      <c r="AS2" s="415" t="str">
        <f>IFERROR(IF(VLOOKUP($B2,'Matriz de Referencia'!$B$2:$CO$578,'Matriz de Referencia'!CC$1,FALSE)&gt;0,"Diligenciar la vigencia, tiene presupuesto programado","No diligenciar, no programo presupuesto"),"")</f>
        <v>Diligenciar la vigencia, tiene presupuesto programado</v>
      </c>
      <c r="AT2" s="623"/>
      <c r="AU2" s="624"/>
      <c r="AV2" s="624"/>
      <c r="AW2" s="625">
        <v>9</v>
      </c>
      <c r="AX2" s="642">
        <f>IFERROR(IF($Z2="Mantenimiento", AVERAGE(AT2:AW2), IF($Z2="Incremento", SUM(AT2:AW2), "")),"")</f>
        <v>9</v>
      </c>
      <c r="AY2" s="643">
        <f>IFERROR(IF(Z2="Incremento",AX2+AR2+AL2+AF2,AVERAGE(AX2,AR2,AL2,AF2)),"")</f>
        <v>9</v>
      </c>
      <c r="AZ2" s="416" t="b">
        <f>IF(AY2="","",IF(Z2="Incremento",IF(AY2=(N2-P2),"Continue",IF(Z2="Mantenimiento",IF(AY2=P2,"Continue","Su Programación es diferente a la meta, revise para continuar"),"Su Programación es diferente a la meta, revise para continuar"))))</f>
        <v>0</v>
      </c>
      <c r="BA2" s="417" t="str">
        <f>IFERROR(IF(VLOOKUP(B2,'Matriz de Referencia'!$B$3:$CQ$584,'Matriz de Referencia'!CP$1,FALSE)="","",VLOOKUP(B2,'Matriz de Referencia'!$B$3:$CQ$584,'Matriz de Referencia'!CP$1)),"")</f>
        <v/>
      </c>
      <c r="BB2" s="417" t="str">
        <f>IFERROR(IF(VLOOKUP(B2,'Matriz de Referencia'!$B$3:$CQ$584,'Matriz de Referencia'!CQ$1,FALSE)="","",VLOOKUP(B2,'Matriz de Referencia'!$B$3:$CQ$584,'Matriz de Referencia'!CQ$1)),"")</f>
        <v/>
      </c>
      <c r="BC2" s="583"/>
      <c r="BD2" s="418" t="s">
        <v>5063</v>
      </c>
      <c r="BE2" s="653" t="str">
        <f t="shared" ref="BE2:BE65" si="0">"Dimensión_"&amp;MID(BD2,11,1)</f>
        <v>Dimensión_4</v>
      </c>
      <c r="BF2" s="419"/>
      <c r="BG2" s="654"/>
    </row>
    <row r="3" spans="1:59" ht="30" customHeight="1">
      <c r="A3" s="420" t="str">
        <v>Lotería de Boyacá</v>
      </c>
      <c r="B3" s="421">
        <v>297</v>
      </c>
      <c r="C3" s="422" t="str">
        <v>2. Tierra para Crecer y Productiva</v>
      </c>
      <c r="D3" s="422" t="str">
        <v>2.7  Mayor autonomía fiscal</v>
      </c>
      <c r="E3" s="421" t="str">
        <v xml:space="preserve">2.7.4 </v>
      </c>
      <c r="F3" s="423" t="str">
        <v>2.7.4  Transferencias que aportan a una Boyacá grande más saludable”</v>
      </c>
      <c r="G3" s="423" t="str">
        <v>Realizar transferencias para recursos de la salud, generados por la explotación y comercialización de juegos de suerte y azar.</v>
      </c>
      <c r="H3" s="421">
        <v>45</v>
      </c>
      <c r="I3" s="424" t="str">
        <v>Fortalecimiento del buen gobierno para el respeto y garantía de los derechos humanos</v>
      </c>
      <c r="J3" s="421">
        <v>450203200</v>
      </c>
      <c r="K3" s="447" t="str">
        <v>Número de documentos</v>
      </c>
      <c r="L3" s="424" t="str">
        <v>Documentos de lineamientos técnicos realizados (venta de Loterìa)</v>
      </c>
      <c r="M3" s="425" t="str">
        <v>Referido a planes operativos y planes de premios que reflejan las ventas de la lotería</v>
      </c>
      <c r="N3" s="421">
        <v>4</v>
      </c>
      <c r="O3" s="423" t="str">
        <v>Lotería de Boyacá/Subgerencia comercial/2023</v>
      </c>
      <c r="P3" s="421">
        <v>8</v>
      </c>
      <c r="Q3" s="421" t="str">
        <v>N.A</v>
      </c>
      <c r="R3" s="424" t="str">
        <v>Rentas del monopolio</v>
      </c>
      <c r="S3" s="421" t="str">
        <v>Pesos</v>
      </c>
      <c r="T3" s="421">
        <v>107123611957</v>
      </c>
      <c r="U3" s="585" t="str">
        <v>Lotería de Boyacá/2023</v>
      </c>
      <c r="V3" s="421">
        <v>225123611957</v>
      </c>
      <c r="W3" s="590" t="str">
        <v xml:space="preserve">Estabilidad macroeconómica-progresividad y sostenibilidad fiscal </v>
      </c>
      <c r="X3" s="421">
        <v>3</v>
      </c>
      <c r="Y3" s="421" t="str">
        <v xml:space="preserve">3.c </v>
      </c>
      <c r="Z3" s="414" t="s">
        <v>685</v>
      </c>
      <c r="AA3" s="391" t="str">
        <f>IFERROR(IF(VLOOKUP($B3,'Matriz de Referencia'!$B$2:$CO$578,'Matriz de Referencia'!AM$1,FALSE)&gt;0,"Diligenciar la vigencia, tiene presupuesto programado","No diligenciar, no programo presupuesto"),"")</f>
        <v>Diligenciar la vigencia, tiene presupuesto programado</v>
      </c>
      <c r="AE3" s="628">
        <v>1</v>
      </c>
      <c r="AF3" s="637">
        <f t="shared" ref="AF3:AF66" si="1">IFERROR(IF($Z3="Mantenimiento", AVERAGE(AB3:AE3), IF($Z3="Incremento", SUM(AB3:AE3), "")),"")</f>
        <v>1</v>
      </c>
      <c r="AG3" s="391" t="str">
        <f>IFERROR(IF(VLOOKUP($B3,'Matriz de Referencia'!$B$2:$CO$578,'Matriz de Referencia'!BA$1,FALSE)&gt;0,"Diligenciar la vigencia, tiene presupuesto programado","No diligenciar, no programo presupuesto"),"")</f>
        <v>Diligenciar la vigencia, tiene presupuesto programado</v>
      </c>
      <c r="AH3" s="626">
        <v>1</v>
      </c>
      <c r="AL3" s="637">
        <f t="shared" ref="AL3:AL66" si="2">IFERROR(IF($Z3="Mantenimiento", AVERAGE(AH3:AK3), IF($Z3="Incremento", SUM(AH3:AK3), "")),"")</f>
        <v>1</v>
      </c>
      <c r="AM3" s="391" t="str">
        <f>IFERROR(IF(VLOOKUP($B3,'Matriz de Referencia'!$B$2:$CO$578,'Matriz de Referencia'!BO$1,FALSE)&gt;0,"Diligenciar la vigencia, tiene presupuesto programado","No diligenciar, no programo presupuesto"),"")</f>
        <v>Diligenciar la vigencia, tiene presupuesto programado</v>
      </c>
      <c r="AN3" s="626">
        <v>1</v>
      </c>
      <c r="AR3" s="637">
        <f t="shared" ref="AR3:AR66" si="3">IFERROR(IF($Z3="Mantenimiento", AVERAGE(AN3:AQ3), IF($Z3="Incremento", SUM(AN3:AQ3), "")),"")</f>
        <v>1</v>
      </c>
      <c r="AS3" s="391" t="str">
        <f>IFERROR(IF(VLOOKUP($B3,'Matriz de Referencia'!$B$2:$CO$578,'Matriz de Referencia'!CC$1,FALSE)&gt;0,"Diligenciar la vigencia, tiene presupuesto programado","No diligenciar, no programo presupuesto"),"")</f>
        <v>Diligenciar la vigencia, tiene presupuesto programado</v>
      </c>
      <c r="AT3" s="626">
        <v>1</v>
      </c>
      <c r="AX3" s="644">
        <f t="shared" ref="AX3:AX66" si="4">IFERROR(IF($Z3="Mantenimiento", AVERAGE(AT3:AW3), IF($Z3="Incremento", SUM(AT3:AW3), "")),"")</f>
        <v>1</v>
      </c>
      <c r="AY3" s="643">
        <f t="shared" ref="AY3:AY66" si="5">IFERROR(IF(Z3="Incremento",AX3+AR3+AL3+AF3,AVERAGE(AX3,AR3,AL3,AF3)),"")</f>
        <v>4</v>
      </c>
      <c r="AZ3" s="416" t="str">
        <f t="shared" ref="AZ3:AZ66" si="6">IF(AY3="","",IF(Z3="Incremento",IF(AY3=(N3-P3),"Continue",IF(Z3="Mantenimiento",IF(AY3=P3,"Continue","Su Programación es diferente a la meta, revise para continuar"),"Su Programación es diferente a la meta, revise para continuar"))))</f>
        <v>Su Programación es diferente a la meta, revise para continuar</v>
      </c>
      <c r="BA3" s="417" t="str">
        <f>IFERROR(IF(VLOOKUP(B3,'Matriz de Referencia'!$B$3:$CQ$584,'Matriz de Referencia'!CP$1,FALSE)="","",VLOOKUP(B3,'Matriz de Referencia'!$B$3:$CQ$584,'Matriz de Referencia'!CP$1)),"")</f>
        <v/>
      </c>
      <c r="BB3" s="417" t="str">
        <f>IFERROR(IF(VLOOKUP(B3,'Matriz de Referencia'!$B$3:$CQ$584,'Matriz de Referencia'!CQ$1,FALSE)="","",VLOOKUP(B3,'Matriz de Referencia'!$B$3:$CQ$584,'Matriz de Referencia'!CQ$1)),"")</f>
        <v/>
      </c>
      <c r="BC3" s="583"/>
      <c r="BD3" s="429" t="s">
        <v>5063</v>
      </c>
      <c r="BE3" s="655" t="str">
        <f t="shared" si="0"/>
        <v>Dimensión_4</v>
      </c>
      <c r="BF3" s="430"/>
      <c r="BG3" s="654"/>
    </row>
    <row r="4" spans="1:59" ht="30" customHeight="1">
      <c r="A4" s="420" t="str">
        <v>Lotería de Boyacá</v>
      </c>
      <c r="B4" s="421">
        <v>298</v>
      </c>
      <c r="C4" s="422" t="str">
        <v>2. Tierra para Crecer y Productiva</v>
      </c>
      <c r="D4" s="422" t="str">
        <v>2.7  Mayor autonomía fiscal</v>
      </c>
      <c r="E4" s="421" t="str">
        <v xml:space="preserve">2.7.4 </v>
      </c>
      <c r="F4" s="423" t="str">
        <v>2.7.4  Transferencias que aportan a una Boyacá grande más saludable”</v>
      </c>
      <c r="G4" s="423" t="str">
        <v>Realizar transferencias para recursos de la salud, generados por la explotación y comercialización de juegos de suerte y azar.</v>
      </c>
      <c r="H4" s="421">
        <v>35</v>
      </c>
      <c r="I4" s="424" t="str">
        <v>Fortalecimiento de la gestión y dirección del sector Comercio, Industria y Turismo</v>
      </c>
      <c r="J4" s="421">
        <v>350200200</v>
      </c>
      <c r="K4" s="447" t="str">
        <v>Número de documentos</v>
      </c>
      <c r="L4" s="424" t="str">
        <v>Documentos de lineamientos técnicos elaborados</v>
      </c>
      <c r="M4" s="425" t="str">
        <v>Documentos de caracterización de grupos de valor mediante la actualización  software CRM</v>
      </c>
      <c r="N4" s="421">
        <v>3</v>
      </c>
      <c r="O4" s="423" t="str">
        <v>Lotería de Boyacá/2023</v>
      </c>
      <c r="P4" s="421">
        <v>6</v>
      </c>
      <c r="Q4" s="421" t="str">
        <v>N.A</v>
      </c>
      <c r="R4" s="424" t="str">
        <v>Rentas del monopolio</v>
      </c>
      <c r="S4" s="421" t="str">
        <v>Pesos</v>
      </c>
      <c r="T4" s="421">
        <v>107123611957</v>
      </c>
      <c r="U4" s="585" t="str">
        <v>Lotería de Boyacá/2023</v>
      </c>
      <c r="V4" s="421">
        <v>225123611957</v>
      </c>
      <c r="W4" s="590" t="str">
        <v xml:space="preserve">Estabilidad macroeconómica-progresividad y sostenibilidad fiscal </v>
      </c>
      <c r="X4" s="421">
        <v>3</v>
      </c>
      <c r="Y4" s="421" t="str">
        <v xml:space="preserve">3.c </v>
      </c>
      <c r="Z4" s="414" t="s">
        <v>685</v>
      </c>
      <c r="AA4" s="391" t="str">
        <f>IFERROR(IF(VLOOKUP($B4,'Matriz de Referencia'!$B$2:$CO$578,'Matriz de Referencia'!AM$1,FALSE)&gt;0,"Diligenciar la vigencia, tiene presupuesto programado","No diligenciar, no programo presupuesto"),"")</f>
        <v>Diligenciar la vigencia, tiene presupuesto programado</v>
      </c>
      <c r="AE4" s="628">
        <v>1</v>
      </c>
      <c r="AF4" s="637">
        <f t="shared" si="1"/>
        <v>1</v>
      </c>
      <c r="AG4" s="391" t="str">
        <f>IFERROR(IF(VLOOKUP($B4,'Matriz de Referencia'!$B$2:$CO$578,'Matriz de Referencia'!BA$1,FALSE)&gt;0,"Diligenciar la vigencia, tiene presupuesto programado","No diligenciar, no programo presupuesto"),"")</f>
        <v>Diligenciar la vigencia, tiene presupuesto programado</v>
      </c>
      <c r="AJ4" s="627">
        <v>0.25</v>
      </c>
      <c r="AK4" s="628">
        <v>0.25</v>
      </c>
      <c r="AL4" s="637">
        <f t="shared" si="2"/>
        <v>0.5</v>
      </c>
      <c r="AM4" s="391" t="str">
        <f>IFERROR(IF(VLOOKUP($B4,'Matriz de Referencia'!$B$2:$CO$578,'Matriz de Referencia'!BO$1,FALSE)&gt;0,"Diligenciar la vigencia, tiene presupuesto programado","No diligenciar, no programo presupuesto"),"")</f>
        <v>Diligenciar la vigencia, tiene presupuesto programado</v>
      </c>
      <c r="AP4" s="627">
        <v>0.25</v>
      </c>
      <c r="AQ4" s="628">
        <v>0.25</v>
      </c>
      <c r="AR4" s="637">
        <f t="shared" si="3"/>
        <v>0.5</v>
      </c>
      <c r="AS4" s="391" t="str">
        <f>IFERROR(IF(VLOOKUP($B4,'Matriz de Referencia'!$B$2:$CO$578,'Matriz de Referencia'!CC$1,FALSE)&gt;0,"Diligenciar la vigencia, tiene presupuesto programado","No diligenciar, no programo presupuesto"),"")</f>
        <v>Diligenciar la vigencia, tiene presupuesto programado</v>
      </c>
      <c r="AV4" s="627">
        <v>1</v>
      </c>
      <c r="AX4" s="644">
        <f t="shared" si="4"/>
        <v>1</v>
      </c>
      <c r="AY4" s="643">
        <f t="shared" si="5"/>
        <v>3</v>
      </c>
      <c r="AZ4" s="416" t="str">
        <f t="shared" si="6"/>
        <v>Su Programación es diferente a la meta, revise para continuar</v>
      </c>
      <c r="BA4" s="417" t="str">
        <f>IFERROR(IF(VLOOKUP(B4,'Matriz de Referencia'!$B$3:$CQ$584,'Matriz de Referencia'!CP$1,FALSE)="","",VLOOKUP(B4,'Matriz de Referencia'!$B$3:$CQ$584,'Matriz de Referencia'!CP$1)),"")</f>
        <v/>
      </c>
      <c r="BB4" s="417" t="str">
        <f>IFERROR(IF(VLOOKUP(B4,'Matriz de Referencia'!$B$3:$CQ$584,'Matriz de Referencia'!CQ$1,FALSE)="","",VLOOKUP(B4,'Matriz de Referencia'!$B$3:$CQ$584,'Matriz de Referencia'!CQ$1)),"")</f>
        <v/>
      </c>
      <c r="BC4" s="583"/>
      <c r="BD4" s="429" t="s">
        <v>5063</v>
      </c>
      <c r="BE4" s="655" t="str">
        <f t="shared" si="0"/>
        <v>Dimensión_4</v>
      </c>
      <c r="BF4" s="430"/>
      <c r="BG4" s="654"/>
    </row>
    <row r="5" spans="1:59" ht="30" customHeight="1">
      <c r="A5" s="420" t="str">
        <v>Lotería de Boyacá</v>
      </c>
      <c r="B5" s="421">
        <v>299</v>
      </c>
      <c r="C5" s="422" t="str">
        <v>2. Tierra para Crecer y Productiva</v>
      </c>
      <c r="D5" s="422" t="str">
        <v>2.7  Mayor autonomía fiscal</v>
      </c>
      <c r="E5" s="421" t="str">
        <v xml:space="preserve">2.7.4 </v>
      </c>
      <c r="F5" s="423" t="str">
        <v>2.7.4  Transferencias que aportan a una Boyacá grande más saludable”</v>
      </c>
      <c r="G5" s="423" t="str">
        <v>Realizar transferencias para recursos de la salud, generados por la explotación y comercialización de juegos de suerte y azar.</v>
      </c>
      <c r="H5" s="421">
        <v>36</v>
      </c>
      <c r="I5" s="424" t="str">
        <v>Formación para el trabajo</v>
      </c>
      <c r="J5" s="421">
        <v>360302100</v>
      </c>
      <c r="K5" s="447" t="str">
        <v>Número de estrategias</v>
      </c>
      <c r="L5" s="424" t="str">
        <v>Estrategias realizadas</v>
      </c>
      <c r="M5" s="425" t="str">
        <v>Diseño e implementación de  estrategias de  control de Juego Ilegal (Cultura del cuidado)</v>
      </c>
      <c r="N5" s="421">
        <v>2</v>
      </c>
      <c r="O5" s="423" t="str">
        <v>Lotería de Boyacá/2023</v>
      </c>
      <c r="P5" s="421">
        <v>8</v>
      </c>
      <c r="Q5" s="421" t="str">
        <v>N.A</v>
      </c>
      <c r="R5" s="424" t="str">
        <v>Rentas del monopolio</v>
      </c>
      <c r="S5" s="421" t="str">
        <v>Pesos</v>
      </c>
      <c r="T5" s="421">
        <v>107123611957</v>
      </c>
      <c r="U5" s="585" t="str">
        <v>Lotería de Boyacá/2023</v>
      </c>
      <c r="V5" s="421">
        <v>225123611957</v>
      </c>
      <c r="W5" s="590" t="str">
        <v xml:space="preserve">Estabilidad macroeconómica-progresividad y sostenibilidad fiscal </v>
      </c>
      <c r="X5" s="421">
        <v>3</v>
      </c>
      <c r="Y5" s="421" t="str">
        <v xml:space="preserve">3.c </v>
      </c>
      <c r="Z5" s="414" t="s">
        <v>685</v>
      </c>
      <c r="AA5" s="391" t="str">
        <f>IFERROR(IF(VLOOKUP($B5,'Matriz de Referencia'!$B$2:$CO$578,'Matriz de Referencia'!AM$1,FALSE)&gt;0,"Diligenciar la vigencia, tiene presupuesto programado","No diligenciar, no programo presupuesto"),"")</f>
        <v>Diligenciar la vigencia, tiene presupuesto programado</v>
      </c>
      <c r="AD5" s="627">
        <v>0.5</v>
      </c>
      <c r="AE5" s="628">
        <v>0.5</v>
      </c>
      <c r="AF5" s="637">
        <f t="shared" si="1"/>
        <v>1</v>
      </c>
      <c r="AG5" s="391" t="str">
        <f>IFERROR(IF(VLOOKUP($B5,'Matriz de Referencia'!$B$2:$CO$578,'Matriz de Referencia'!BA$1,FALSE)&gt;0,"Diligenciar la vigencia, tiene presupuesto programado","No diligenciar, no programo presupuesto"),"")</f>
        <v>Diligenciar la vigencia, tiene presupuesto programado</v>
      </c>
      <c r="AH5" s="626">
        <v>0.5</v>
      </c>
      <c r="AI5" s="627">
        <v>0.5</v>
      </c>
      <c r="AJ5" s="627">
        <v>0.5</v>
      </c>
      <c r="AK5" s="628">
        <v>0.5</v>
      </c>
      <c r="AL5" s="637">
        <f t="shared" si="2"/>
        <v>2</v>
      </c>
      <c r="AM5" s="391" t="str">
        <f>IFERROR(IF(VLOOKUP($B5,'Matriz de Referencia'!$B$2:$CO$578,'Matriz de Referencia'!BO$1,FALSE)&gt;0,"Diligenciar la vigencia, tiene presupuesto programado","No diligenciar, no programo presupuesto"),"")</f>
        <v>Diligenciar la vigencia, tiene presupuesto programado</v>
      </c>
      <c r="AP5" s="627">
        <v>0.5</v>
      </c>
      <c r="AQ5" s="628">
        <v>0.5</v>
      </c>
      <c r="AR5" s="637">
        <f t="shared" si="3"/>
        <v>1</v>
      </c>
      <c r="AS5" s="391" t="str">
        <f>IFERROR(IF(VLOOKUP($B5,'Matriz de Referencia'!$B$2:$CO$578,'Matriz de Referencia'!CC$1,FALSE)&gt;0,"Diligenciar la vigencia, tiene presupuesto programado","No diligenciar, no programo presupuesto"),"")</f>
        <v>Diligenciar la vigencia, tiene presupuesto programado</v>
      </c>
      <c r="AT5" s="626">
        <v>0.5</v>
      </c>
      <c r="AU5" s="627">
        <v>0.5</v>
      </c>
      <c r="AV5" s="627">
        <v>0.5</v>
      </c>
      <c r="AW5" s="628">
        <v>0.5</v>
      </c>
      <c r="AX5" s="644">
        <f t="shared" si="4"/>
        <v>2</v>
      </c>
      <c r="AY5" s="643">
        <f t="shared" si="5"/>
        <v>6</v>
      </c>
      <c r="AZ5" s="416" t="str">
        <f t="shared" si="6"/>
        <v>Su Programación es diferente a la meta, revise para continuar</v>
      </c>
      <c r="BA5" s="417" t="str">
        <f>IFERROR(IF(VLOOKUP(B5,'Matriz de Referencia'!$B$3:$CQ$584,'Matriz de Referencia'!CP$1,FALSE)="","",VLOOKUP(B5,'Matriz de Referencia'!$B$3:$CQ$584,'Matriz de Referencia'!CP$1)),"")</f>
        <v/>
      </c>
      <c r="BB5" s="417" t="str">
        <f>IFERROR(IF(VLOOKUP(B5,'Matriz de Referencia'!$B$3:$CQ$584,'Matriz de Referencia'!CQ$1,FALSE)="","",VLOOKUP(B5,'Matriz de Referencia'!$B$3:$CQ$584,'Matriz de Referencia'!CQ$1)),"")</f>
        <v/>
      </c>
      <c r="BC5" s="583"/>
      <c r="BD5" s="429" t="s">
        <v>5063</v>
      </c>
      <c r="BE5" s="655" t="str">
        <f t="shared" si="0"/>
        <v>Dimensión_4</v>
      </c>
      <c r="BF5" s="430"/>
      <c r="BG5" s="654"/>
    </row>
    <row r="6" spans="1:59" ht="30" customHeight="1">
      <c r="A6" s="420" t="str">
        <v>Lotería de Boyacá</v>
      </c>
      <c r="B6" s="421">
        <v>300</v>
      </c>
      <c r="C6" s="422" t="str">
        <v>2. Tierra para Crecer y Productiva</v>
      </c>
      <c r="D6" s="422" t="str">
        <v>2.7  Mayor autonomía fiscal</v>
      </c>
      <c r="E6" s="421" t="str">
        <v xml:space="preserve">2.7.4 </v>
      </c>
      <c r="F6" s="423" t="str">
        <v>2.7.4  Transferencias que aportan a una Boyacá grande más saludable”</v>
      </c>
      <c r="G6" s="423" t="str">
        <v>Realizar transferencias para recursos de la salud, generados por la explotación y comercialización de juegos de suerte y azar.</v>
      </c>
      <c r="H6" s="421">
        <v>35</v>
      </c>
      <c r="I6" s="424" t="str">
        <v>Productividad y competitividad de las empresas Colombianas</v>
      </c>
      <c r="J6" s="421">
        <v>350200803</v>
      </c>
      <c r="K6" s="447" t="str">
        <v>Nùmero de proyectos</v>
      </c>
      <c r="L6" s="424" t="str">
        <v>Instrumentos para el mejoramiento productivo  implementado (Gestión de bienes muebles e inmuebles)</v>
      </c>
      <c r="M6" s="425" t="str">
        <v>Instrumentos de expansión Y productividad (Gestión inmobiliaria de bienes mueble e inmuebles)</v>
      </c>
      <c r="N6" s="421">
        <v>3</v>
      </c>
      <c r="O6" s="423" t="str">
        <v>Lotterìa de Boyacà/2023</v>
      </c>
      <c r="P6" s="421">
        <v>8</v>
      </c>
      <c r="Q6" s="421" t="str">
        <v>N.A</v>
      </c>
      <c r="R6" s="424" t="str">
        <v>Rentas del monopolio</v>
      </c>
      <c r="S6" s="421" t="str">
        <v>Pesos</v>
      </c>
      <c r="T6" s="421">
        <v>107123611957</v>
      </c>
      <c r="U6" s="585" t="str">
        <v>Lotería de Boyacá/2023</v>
      </c>
      <c r="V6" s="421">
        <v>225123611957</v>
      </c>
      <c r="W6" s="590" t="str">
        <v xml:space="preserve">Estabilidad macroeconómica-progresividad y sostenibilidad fiscal </v>
      </c>
      <c r="X6" s="421">
        <v>3</v>
      </c>
      <c r="Y6" s="421" t="str">
        <v xml:space="preserve">3.c </v>
      </c>
      <c r="Z6" s="414" t="s">
        <v>685</v>
      </c>
      <c r="AA6" s="391" t="str">
        <f>IFERROR(IF(VLOOKUP($B6,'Matriz de Referencia'!$B$2:$CO$578,'Matriz de Referencia'!AM$1,FALSE)&gt;0,"Diligenciar la vigencia, tiene presupuesto programado","No diligenciar, no programo presupuesto"),"")</f>
        <v>Diligenciar la vigencia, tiene presupuesto programado</v>
      </c>
      <c r="AD6" s="627">
        <v>0.5</v>
      </c>
      <c r="AE6" s="628">
        <v>0.5</v>
      </c>
      <c r="AF6" s="637">
        <f t="shared" si="1"/>
        <v>1</v>
      </c>
      <c r="AG6" s="391" t="str">
        <f>IFERROR(IF(VLOOKUP($B6,'Matriz de Referencia'!$B$2:$CO$578,'Matriz de Referencia'!BA$1,FALSE)&gt;0,"Diligenciar la vigencia, tiene presupuesto programado","No diligenciar, no programo presupuesto"),"")</f>
        <v>Diligenciar la vigencia, tiene presupuesto programado</v>
      </c>
      <c r="AJ6" s="627">
        <v>0.5</v>
      </c>
      <c r="AK6" s="628">
        <v>0.5</v>
      </c>
      <c r="AL6" s="637">
        <f t="shared" si="2"/>
        <v>1</v>
      </c>
      <c r="AM6" s="391" t="str">
        <f>IFERROR(IF(VLOOKUP($B6,'Matriz de Referencia'!$B$2:$CO$578,'Matriz de Referencia'!BO$1,FALSE)&gt;0,"Diligenciar la vigencia, tiene presupuesto programado","No diligenciar, no programo presupuesto"),"")</f>
        <v>Diligenciar la vigencia, tiene presupuesto programado</v>
      </c>
      <c r="AO6" s="627">
        <v>1</v>
      </c>
      <c r="AP6" s="627">
        <v>1</v>
      </c>
      <c r="AR6" s="637">
        <f t="shared" si="3"/>
        <v>2</v>
      </c>
      <c r="AS6" s="391" t="str">
        <f>IFERROR(IF(VLOOKUP($B6,'Matriz de Referencia'!$B$2:$CO$578,'Matriz de Referencia'!CC$1,FALSE)&gt;0,"Diligenciar la vigencia, tiene presupuesto programado","No diligenciar, no programo presupuesto"),"")</f>
        <v>Diligenciar la vigencia, tiene presupuesto programado</v>
      </c>
      <c r="AV6" s="627">
        <v>0.5</v>
      </c>
      <c r="AW6" s="628">
        <v>0.5</v>
      </c>
      <c r="AX6" s="644">
        <f t="shared" si="4"/>
        <v>1</v>
      </c>
      <c r="AY6" s="643">
        <f t="shared" si="5"/>
        <v>5</v>
      </c>
      <c r="AZ6" s="416" t="str">
        <f t="shared" si="6"/>
        <v>Su Programación es diferente a la meta, revise para continuar</v>
      </c>
      <c r="BA6" s="417" t="str">
        <f>IFERROR(IF(VLOOKUP(B6,'Matriz de Referencia'!$B$3:$CQ$584,'Matriz de Referencia'!CP$1,FALSE)="","",VLOOKUP(B6,'Matriz de Referencia'!$B$3:$CQ$584,'Matriz de Referencia'!CP$1)),"")</f>
        <v/>
      </c>
      <c r="BB6" s="417" t="str">
        <f>IFERROR(IF(VLOOKUP(B6,'Matriz de Referencia'!$B$3:$CQ$584,'Matriz de Referencia'!CQ$1,FALSE)="","",VLOOKUP(B6,'Matriz de Referencia'!$B$3:$CQ$584,'Matriz de Referencia'!CQ$1)),"")</f>
        <v/>
      </c>
      <c r="BC6" s="583"/>
      <c r="BD6" s="429" t="s">
        <v>5063</v>
      </c>
      <c r="BE6" s="655" t="str">
        <f t="shared" si="0"/>
        <v>Dimensión_4</v>
      </c>
      <c r="BF6" s="430"/>
      <c r="BG6" s="654"/>
    </row>
    <row r="7" spans="1:59" ht="30" customHeight="1">
      <c r="A7" s="420"/>
      <c r="B7" s="421"/>
      <c r="C7" s="422"/>
      <c r="D7" s="422"/>
      <c r="E7" s="421"/>
      <c r="F7" s="423"/>
      <c r="G7" s="423"/>
      <c r="H7" s="421"/>
      <c r="I7" s="424"/>
      <c r="J7" s="421"/>
      <c r="K7" s="447"/>
      <c r="L7" s="424"/>
      <c r="M7" s="425"/>
      <c r="N7" s="421"/>
      <c r="O7" s="423"/>
      <c r="P7" s="421"/>
      <c r="Q7" s="421"/>
      <c r="R7" s="424"/>
      <c r="S7" s="421"/>
      <c r="T7" s="421"/>
      <c r="U7" s="585"/>
      <c r="V7" s="421"/>
      <c r="W7" s="590"/>
      <c r="X7" s="421"/>
      <c r="Y7" s="421"/>
      <c r="Z7" s="414"/>
      <c r="AA7" s="391" t="str">
        <f>IFERROR(IF(VLOOKUP($B7,'Matriz de Referencia'!$B$2:$CO$578,'Matriz de Referencia'!AM$1,FALSE)&gt;0,"Diligenciar la vigencia, tiene presupuesto programado","No diligenciar, no programo presupuesto"),"")</f>
        <v/>
      </c>
      <c r="AF7" s="637" t="str">
        <f t="shared" si="1"/>
        <v/>
      </c>
      <c r="AG7" s="391" t="str">
        <f>IFERROR(IF(VLOOKUP($B7,'Matriz de Referencia'!$B$2:$CO$578,'Matriz de Referencia'!BA$1,FALSE)&gt;0,"Diligenciar la vigencia, tiene presupuesto programado","No diligenciar, no programo presupuesto"),"")</f>
        <v/>
      </c>
      <c r="AL7" s="637" t="str">
        <f t="shared" si="2"/>
        <v/>
      </c>
      <c r="AM7" s="391" t="str">
        <f>IFERROR(IF(VLOOKUP($B7,'Matriz de Referencia'!$B$2:$CO$578,'Matriz de Referencia'!BO$1,FALSE)&gt;0,"Diligenciar la vigencia, tiene presupuesto programado","No diligenciar, no programo presupuesto"),"")</f>
        <v/>
      </c>
      <c r="AR7" s="637" t="str">
        <f t="shared" si="3"/>
        <v/>
      </c>
      <c r="AS7" s="391" t="str">
        <f>IFERROR(IF(VLOOKUP($B7,'Matriz de Referencia'!$B$2:$CO$578,'Matriz de Referencia'!CC$1,FALSE)&gt;0,"Diligenciar la vigencia, tiene presupuesto programado","No diligenciar, no programo presupuesto"),"")</f>
        <v/>
      </c>
      <c r="AX7" s="644" t="str">
        <f t="shared" si="4"/>
        <v/>
      </c>
      <c r="AY7" s="643" t="str">
        <f t="shared" si="5"/>
        <v/>
      </c>
      <c r="AZ7" s="416" t="str">
        <f t="shared" si="6"/>
        <v/>
      </c>
      <c r="BA7" s="417" t="str">
        <f>IFERROR(IF(VLOOKUP(B7,'Matriz de Referencia'!$B$3:$CQ$584,'Matriz de Referencia'!CP$1,FALSE)="","",VLOOKUP(B7,'Matriz de Referencia'!$B$3:$CQ$584,'Matriz de Referencia'!CP$1)),"")</f>
        <v/>
      </c>
      <c r="BB7" s="417" t="str">
        <f>IFERROR(IF(VLOOKUP(B7,'Matriz de Referencia'!$B$3:$CQ$584,'Matriz de Referencia'!CQ$1,FALSE)="","",VLOOKUP(B7,'Matriz de Referencia'!$B$3:$CQ$584,'Matriz de Referencia'!CQ$1)),"")</f>
        <v/>
      </c>
      <c r="BC7" s="583"/>
      <c r="BD7" s="429"/>
      <c r="BE7" s="655" t="str">
        <f t="shared" si="0"/>
        <v>Dimensión_</v>
      </c>
      <c r="BF7" s="430"/>
      <c r="BG7" s="654"/>
    </row>
    <row r="8" spans="1:59" ht="30" customHeight="1">
      <c r="A8" s="420"/>
      <c r="B8" s="421"/>
      <c r="C8" s="422"/>
      <c r="D8" s="422"/>
      <c r="E8" s="421"/>
      <c r="F8" s="423"/>
      <c r="G8" s="423"/>
      <c r="H8" s="421"/>
      <c r="I8" s="424"/>
      <c r="J8" s="421"/>
      <c r="K8" s="447"/>
      <c r="L8" s="424"/>
      <c r="M8" s="425"/>
      <c r="N8" s="421"/>
      <c r="O8" s="423"/>
      <c r="P8" s="421"/>
      <c r="Q8" s="421"/>
      <c r="R8" s="424"/>
      <c r="S8" s="421"/>
      <c r="T8" s="421"/>
      <c r="U8" s="585"/>
      <c r="V8" s="421"/>
      <c r="W8" s="590"/>
      <c r="X8" s="421"/>
      <c r="Y8" s="421"/>
      <c r="Z8" s="414"/>
      <c r="AA8" s="391" t="str">
        <f>IFERROR(IF(VLOOKUP($B8,'Matriz de Referencia'!$B$2:$CO$578,'Matriz de Referencia'!AM$1,FALSE)&gt;0,"Diligenciar la vigencia, tiene presupuesto programado","No diligenciar, no programo presupuesto"),"")</f>
        <v/>
      </c>
      <c r="AF8" s="637" t="str">
        <f t="shared" si="1"/>
        <v/>
      </c>
      <c r="AG8" s="391" t="str">
        <f>IFERROR(IF(VLOOKUP($B8,'Matriz de Referencia'!$B$2:$CO$578,'Matriz de Referencia'!BA$1,FALSE)&gt;0,"Diligenciar la vigencia, tiene presupuesto programado","No diligenciar, no programo presupuesto"),"")</f>
        <v/>
      </c>
      <c r="AL8" s="637" t="str">
        <f t="shared" si="2"/>
        <v/>
      </c>
      <c r="AM8" s="391" t="str">
        <f>IFERROR(IF(VLOOKUP($B8,'Matriz de Referencia'!$B$2:$CO$578,'Matriz de Referencia'!BO$1,FALSE)&gt;0,"Diligenciar la vigencia, tiene presupuesto programado","No diligenciar, no programo presupuesto"),"")</f>
        <v/>
      </c>
      <c r="AR8" s="637" t="str">
        <f t="shared" si="3"/>
        <v/>
      </c>
      <c r="AS8" s="391" t="str">
        <f>IFERROR(IF(VLOOKUP($B8,'Matriz de Referencia'!$B$2:$CO$578,'Matriz de Referencia'!CC$1,FALSE)&gt;0,"Diligenciar la vigencia, tiene presupuesto programado","No diligenciar, no programo presupuesto"),"")</f>
        <v/>
      </c>
      <c r="AX8" s="644" t="str">
        <f t="shared" si="4"/>
        <v/>
      </c>
      <c r="AY8" s="643" t="str">
        <f t="shared" si="5"/>
        <v/>
      </c>
      <c r="AZ8" s="416" t="str">
        <f t="shared" si="6"/>
        <v/>
      </c>
      <c r="BA8" s="417" t="str">
        <f>IFERROR(IF(VLOOKUP(B8,'Matriz de Referencia'!$B$3:$CQ$584,'Matriz de Referencia'!CP$1,FALSE)="","",VLOOKUP(B8,'Matriz de Referencia'!$B$3:$CQ$584,'Matriz de Referencia'!CP$1)),"")</f>
        <v/>
      </c>
      <c r="BB8" s="417" t="str">
        <f>IFERROR(IF(VLOOKUP(B8,'Matriz de Referencia'!$B$3:$CQ$584,'Matriz de Referencia'!CQ$1,FALSE)="","",VLOOKUP(B8,'Matriz de Referencia'!$B$3:$CQ$584,'Matriz de Referencia'!CQ$1)),"")</f>
        <v/>
      </c>
      <c r="BC8" s="583"/>
      <c r="BD8" s="429"/>
      <c r="BE8" s="655" t="str">
        <f t="shared" si="0"/>
        <v>Dimensión_</v>
      </c>
      <c r="BF8" s="430"/>
      <c r="BG8" s="654"/>
    </row>
    <row r="9" spans="1:59" ht="30" customHeight="1">
      <c r="A9" s="420"/>
      <c r="B9" s="421"/>
      <c r="C9" s="422"/>
      <c r="D9" s="422"/>
      <c r="E9" s="421"/>
      <c r="F9" s="423"/>
      <c r="G9" s="423"/>
      <c r="H9" s="421"/>
      <c r="I9" s="424"/>
      <c r="J9" s="421"/>
      <c r="K9" s="447"/>
      <c r="L9" s="424"/>
      <c r="M9" s="425"/>
      <c r="N9" s="421"/>
      <c r="O9" s="423"/>
      <c r="P9" s="421"/>
      <c r="Q9" s="421"/>
      <c r="R9" s="424"/>
      <c r="S9" s="421"/>
      <c r="T9" s="421"/>
      <c r="U9" s="585"/>
      <c r="V9" s="421"/>
      <c r="W9" s="590"/>
      <c r="X9" s="421"/>
      <c r="Y9" s="421"/>
      <c r="Z9" s="414"/>
      <c r="AA9" s="391" t="str">
        <f>IFERROR(IF(VLOOKUP($B9,'Matriz de Referencia'!$B$2:$CO$578,'Matriz de Referencia'!AM$1,FALSE)&gt;0,"Diligenciar la vigencia, tiene presupuesto programado","No diligenciar, no programo presupuesto"),"")</f>
        <v/>
      </c>
      <c r="AF9" s="637" t="str">
        <f t="shared" si="1"/>
        <v/>
      </c>
      <c r="AG9" s="391" t="str">
        <f>IFERROR(IF(VLOOKUP($B9,'Matriz de Referencia'!$B$2:$CO$578,'Matriz de Referencia'!BA$1,FALSE)&gt;0,"Diligenciar la vigencia, tiene presupuesto programado","No diligenciar, no programo presupuesto"),"")</f>
        <v/>
      </c>
      <c r="AL9" s="637" t="str">
        <f t="shared" si="2"/>
        <v/>
      </c>
      <c r="AM9" s="391" t="str">
        <f>IFERROR(IF(VLOOKUP($B9,'Matriz de Referencia'!$B$2:$CO$578,'Matriz de Referencia'!BO$1,FALSE)&gt;0,"Diligenciar la vigencia, tiene presupuesto programado","No diligenciar, no programo presupuesto"),"")</f>
        <v/>
      </c>
      <c r="AR9" s="637" t="str">
        <f t="shared" si="3"/>
        <v/>
      </c>
      <c r="AS9" s="391" t="str">
        <f>IFERROR(IF(VLOOKUP($B9,'Matriz de Referencia'!$B$2:$CO$578,'Matriz de Referencia'!CC$1,FALSE)&gt;0,"Diligenciar la vigencia, tiene presupuesto programado","No diligenciar, no programo presupuesto"),"")</f>
        <v/>
      </c>
      <c r="AX9" s="644" t="str">
        <f t="shared" si="4"/>
        <v/>
      </c>
      <c r="AY9" s="643" t="str">
        <f t="shared" si="5"/>
        <v/>
      </c>
      <c r="AZ9" s="416" t="str">
        <f t="shared" si="6"/>
        <v/>
      </c>
      <c r="BA9" s="417" t="str">
        <f>IFERROR(IF(VLOOKUP(B9,'Matriz de Referencia'!$B$3:$CQ$584,'Matriz de Referencia'!CP$1,FALSE)="","",VLOOKUP(B9,'Matriz de Referencia'!$B$3:$CQ$584,'Matriz de Referencia'!CP$1)),"")</f>
        <v/>
      </c>
      <c r="BB9" s="417" t="str">
        <f>IFERROR(IF(VLOOKUP(B9,'Matriz de Referencia'!$B$3:$CQ$584,'Matriz de Referencia'!CQ$1,FALSE)="","",VLOOKUP(B9,'Matriz de Referencia'!$B$3:$CQ$584,'Matriz de Referencia'!CQ$1)),"")</f>
        <v/>
      </c>
      <c r="BC9" s="583"/>
      <c r="BD9" s="429"/>
      <c r="BE9" s="655" t="str">
        <f t="shared" si="0"/>
        <v>Dimensión_</v>
      </c>
      <c r="BF9" s="430"/>
      <c r="BG9" s="654"/>
    </row>
    <row r="10" spans="1:59" ht="30" customHeight="1">
      <c r="A10" s="420"/>
      <c r="B10" s="421"/>
      <c r="C10" s="422"/>
      <c r="D10" s="422"/>
      <c r="E10" s="421"/>
      <c r="F10" s="423"/>
      <c r="G10" s="423"/>
      <c r="H10" s="421"/>
      <c r="I10" s="424"/>
      <c r="J10" s="421"/>
      <c r="K10" s="447"/>
      <c r="L10" s="424"/>
      <c r="M10" s="425"/>
      <c r="N10" s="421"/>
      <c r="O10" s="423"/>
      <c r="P10" s="421"/>
      <c r="Q10" s="421"/>
      <c r="R10" s="424"/>
      <c r="S10" s="421"/>
      <c r="T10" s="421"/>
      <c r="U10" s="585"/>
      <c r="V10" s="421"/>
      <c r="W10" s="590"/>
      <c r="X10" s="421"/>
      <c r="Y10" s="421"/>
      <c r="Z10" s="414"/>
      <c r="AA10" s="391" t="str">
        <f>IFERROR(IF(VLOOKUP($B10,'Matriz de Referencia'!$B$2:$CO$578,'Matriz de Referencia'!AM$1,FALSE)&gt;0,"Diligenciar la vigencia, tiene presupuesto programado","No diligenciar, no programo presupuesto"),"")</f>
        <v/>
      </c>
      <c r="AF10" s="637" t="str">
        <f t="shared" si="1"/>
        <v/>
      </c>
      <c r="AG10" s="391" t="str">
        <f>IFERROR(IF(VLOOKUP($B10,'Matriz de Referencia'!$B$2:$CO$578,'Matriz de Referencia'!BA$1,FALSE)&gt;0,"Diligenciar la vigencia, tiene presupuesto programado","No diligenciar, no programo presupuesto"),"")</f>
        <v/>
      </c>
      <c r="AL10" s="637" t="str">
        <f t="shared" si="2"/>
        <v/>
      </c>
      <c r="AM10" s="391" t="str">
        <f>IFERROR(IF(VLOOKUP($B10,'Matriz de Referencia'!$B$2:$CO$578,'Matriz de Referencia'!BO$1,FALSE)&gt;0,"Diligenciar la vigencia, tiene presupuesto programado","No diligenciar, no programo presupuesto"),"")</f>
        <v/>
      </c>
      <c r="AR10" s="637" t="str">
        <f t="shared" si="3"/>
        <v/>
      </c>
      <c r="AS10" s="391" t="str">
        <f>IFERROR(IF(VLOOKUP($B10,'Matriz de Referencia'!$B$2:$CO$578,'Matriz de Referencia'!CC$1,FALSE)&gt;0,"Diligenciar la vigencia, tiene presupuesto programado","No diligenciar, no programo presupuesto"),"")</f>
        <v/>
      </c>
      <c r="AX10" s="644" t="str">
        <f t="shared" si="4"/>
        <v/>
      </c>
      <c r="AY10" s="643" t="str">
        <f t="shared" si="5"/>
        <v/>
      </c>
      <c r="AZ10" s="416" t="str">
        <f t="shared" si="6"/>
        <v/>
      </c>
      <c r="BA10" s="417" t="str">
        <f>IFERROR(IF(VLOOKUP(B10,'Matriz de Referencia'!$B$3:$CQ$584,'Matriz de Referencia'!CP$1,FALSE)="","",VLOOKUP(B10,'Matriz de Referencia'!$B$3:$CQ$584,'Matriz de Referencia'!CP$1)),"")</f>
        <v/>
      </c>
      <c r="BB10" s="417" t="str">
        <f>IFERROR(IF(VLOOKUP(B10,'Matriz de Referencia'!$B$3:$CQ$584,'Matriz de Referencia'!CQ$1,FALSE)="","",VLOOKUP(B10,'Matriz de Referencia'!$B$3:$CQ$584,'Matriz de Referencia'!CQ$1)),"")</f>
        <v/>
      </c>
      <c r="BC10" s="583"/>
      <c r="BD10" s="429"/>
      <c r="BE10" s="655" t="str">
        <f t="shared" si="0"/>
        <v>Dimensión_</v>
      </c>
      <c r="BF10" s="430"/>
      <c r="BG10" s="654"/>
    </row>
    <row r="11" spans="1:59" ht="30" customHeight="1">
      <c r="A11" s="420"/>
      <c r="B11" s="421"/>
      <c r="C11" s="422"/>
      <c r="D11" s="422"/>
      <c r="E11" s="421"/>
      <c r="F11" s="423"/>
      <c r="G11" s="423"/>
      <c r="H11" s="421"/>
      <c r="I11" s="424"/>
      <c r="J11" s="421"/>
      <c r="K11" s="447"/>
      <c r="L11" s="424"/>
      <c r="M11" s="425"/>
      <c r="N11" s="421"/>
      <c r="O11" s="423"/>
      <c r="P11" s="421"/>
      <c r="Q11" s="421"/>
      <c r="R11" s="424"/>
      <c r="S11" s="421"/>
      <c r="T11" s="421"/>
      <c r="U11" s="585"/>
      <c r="V11" s="421"/>
      <c r="W11" s="590"/>
      <c r="X11" s="421"/>
      <c r="Y11" s="421"/>
      <c r="Z11" s="414"/>
      <c r="AA11" s="391" t="str">
        <f>IFERROR(IF(VLOOKUP($B11,'Matriz de Referencia'!$B$2:$CO$578,'Matriz de Referencia'!AM$1,FALSE)&gt;0,"Diligenciar la vigencia, tiene presupuesto programado","No diligenciar, no programo presupuesto"),"")</f>
        <v/>
      </c>
      <c r="AF11" s="637" t="str">
        <f t="shared" si="1"/>
        <v/>
      </c>
      <c r="AG11" s="391" t="str">
        <f>IFERROR(IF(VLOOKUP($B11,'Matriz de Referencia'!$B$2:$CO$578,'Matriz de Referencia'!BA$1,FALSE)&gt;0,"Diligenciar la vigencia, tiene presupuesto programado","No diligenciar, no programo presupuesto"),"")</f>
        <v/>
      </c>
      <c r="AL11" s="637" t="str">
        <f t="shared" si="2"/>
        <v/>
      </c>
      <c r="AM11" s="391" t="str">
        <f>IFERROR(IF(VLOOKUP($B11,'Matriz de Referencia'!$B$2:$CO$578,'Matriz de Referencia'!BO$1,FALSE)&gt;0,"Diligenciar la vigencia, tiene presupuesto programado","No diligenciar, no programo presupuesto"),"")</f>
        <v/>
      </c>
      <c r="AR11" s="637" t="str">
        <f t="shared" si="3"/>
        <v/>
      </c>
      <c r="AS11" s="391" t="str">
        <f>IFERROR(IF(VLOOKUP($B11,'Matriz de Referencia'!$B$2:$CO$578,'Matriz de Referencia'!CC$1,FALSE)&gt;0,"Diligenciar la vigencia, tiene presupuesto programado","No diligenciar, no programo presupuesto"),"")</f>
        <v/>
      </c>
      <c r="AX11" s="644" t="str">
        <f t="shared" si="4"/>
        <v/>
      </c>
      <c r="AY11" s="643" t="str">
        <f t="shared" si="5"/>
        <v/>
      </c>
      <c r="AZ11" s="416" t="str">
        <f t="shared" si="6"/>
        <v/>
      </c>
      <c r="BA11" s="417" t="str">
        <f>IFERROR(IF(VLOOKUP(B11,'Matriz de Referencia'!$B$3:$CQ$584,'Matriz de Referencia'!CP$1,FALSE)="","",VLOOKUP(B11,'Matriz de Referencia'!$B$3:$CQ$584,'Matriz de Referencia'!CP$1)),"")</f>
        <v/>
      </c>
      <c r="BB11" s="417" t="str">
        <f>IFERROR(IF(VLOOKUP(B11,'Matriz de Referencia'!$B$3:$CQ$584,'Matriz de Referencia'!CQ$1,FALSE)="","",VLOOKUP(B11,'Matriz de Referencia'!$B$3:$CQ$584,'Matriz de Referencia'!CQ$1)),"")</f>
        <v/>
      </c>
      <c r="BC11" s="583"/>
      <c r="BD11" s="429"/>
      <c r="BE11" s="655" t="str">
        <f t="shared" si="0"/>
        <v>Dimensión_</v>
      </c>
      <c r="BF11" s="430"/>
      <c r="BG11" s="654"/>
    </row>
    <row r="12" spans="1:59" ht="30" customHeight="1">
      <c r="A12" s="420"/>
      <c r="B12" s="421"/>
      <c r="C12" s="422"/>
      <c r="D12" s="422"/>
      <c r="E12" s="421"/>
      <c r="F12" s="423"/>
      <c r="G12" s="423"/>
      <c r="H12" s="421"/>
      <c r="I12" s="424"/>
      <c r="J12" s="421"/>
      <c r="K12" s="447"/>
      <c r="L12" s="424"/>
      <c r="M12" s="425"/>
      <c r="N12" s="421"/>
      <c r="O12" s="423"/>
      <c r="P12" s="421"/>
      <c r="Q12" s="421"/>
      <c r="R12" s="424"/>
      <c r="S12" s="421"/>
      <c r="T12" s="421"/>
      <c r="U12" s="585"/>
      <c r="V12" s="421"/>
      <c r="W12" s="590"/>
      <c r="X12" s="421"/>
      <c r="Y12" s="421"/>
      <c r="Z12" s="414"/>
      <c r="AA12" s="391" t="str">
        <f>IFERROR(IF(VLOOKUP($B12,'Matriz de Referencia'!$B$2:$CO$578,'Matriz de Referencia'!AM$1,FALSE)&gt;0,"Diligenciar la vigencia, tiene presupuesto programado","No diligenciar, no programo presupuesto"),"")</f>
        <v/>
      </c>
      <c r="AF12" s="637" t="str">
        <f t="shared" si="1"/>
        <v/>
      </c>
      <c r="AG12" s="391" t="str">
        <f>IFERROR(IF(VLOOKUP($B12,'Matriz de Referencia'!$B$2:$CO$578,'Matriz de Referencia'!BA$1,FALSE)&gt;0,"Diligenciar la vigencia, tiene presupuesto programado","No diligenciar, no programo presupuesto"),"")</f>
        <v/>
      </c>
      <c r="AL12" s="637" t="str">
        <f t="shared" si="2"/>
        <v/>
      </c>
      <c r="AM12" s="391" t="str">
        <f>IFERROR(IF(VLOOKUP($B12,'Matriz de Referencia'!$B$2:$CO$578,'Matriz de Referencia'!BO$1,FALSE)&gt;0,"Diligenciar la vigencia, tiene presupuesto programado","No diligenciar, no programo presupuesto"),"")</f>
        <v/>
      </c>
      <c r="AR12" s="637" t="str">
        <f t="shared" si="3"/>
        <v/>
      </c>
      <c r="AS12" s="391" t="str">
        <f>IFERROR(IF(VLOOKUP($B12,'Matriz de Referencia'!$B$2:$CO$578,'Matriz de Referencia'!CC$1,FALSE)&gt;0,"Diligenciar la vigencia, tiene presupuesto programado","No diligenciar, no programo presupuesto"),"")</f>
        <v/>
      </c>
      <c r="AX12" s="644" t="str">
        <f t="shared" si="4"/>
        <v/>
      </c>
      <c r="AY12" s="643" t="str">
        <f t="shared" si="5"/>
        <v/>
      </c>
      <c r="AZ12" s="416" t="str">
        <f t="shared" si="6"/>
        <v/>
      </c>
      <c r="BA12" s="417" t="str">
        <f>IFERROR(IF(VLOOKUP(B12,'Matriz de Referencia'!$B$3:$CQ$584,'Matriz de Referencia'!CP$1,FALSE)="","",VLOOKUP(B12,'Matriz de Referencia'!$B$3:$CQ$584,'Matriz de Referencia'!CP$1)),"")</f>
        <v/>
      </c>
      <c r="BB12" s="417" t="str">
        <f>IFERROR(IF(VLOOKUP(B12,'Matriz de Referencia'!$B$3:$CQ$584,'Matriz de Referencia'!CQ$1,FALSE)="","",VLOOKUP(B12,'Matriz de Referencia'!$B$3:$CQ$584,'Matriz de Referencia'!CQ$1)),"")</f>
        <v/>
      </c>
      <c r="BC12" s="583"/>
      <c r="BD12" s="429"/>
      <c r="BE12" s="655" t="str">
        <f t="shared" si="0"/>
        <v>Dimensión_</v>
      </c>
      <c r="BF12" s="430"/>
      <c r="BG12" s="654"/>
    </row>
    <row r="13" spans="1:59" ht="30" customHeight="1">
      <c r="A13" s="420"/>
      <c r="B13" s="421"/>
      <c r="C13" s="422"/>
      <c r="D13" s="422"/>
      <c r="E13" s="421"/>
      <c r="F13" s="423"/>
      <c r="G13" s="423"/>
      <c r="H13" s="421"/>
      <c r="I13" s="424"/>
      <c r="J13" s="421"/>
      <c r="K13" s="447"/>
      <c r="L13" s="424"/>
      <c r="M13" s="425"/>
      <c r="N13" s="421"/>
      <c r="O13" s="423"/>
      <c r="P13" s="421"/>
      <c r="Q13" s="421"/>
      <c r="R13" s="424"/>
      <c r="S13" s="421"/>
      <c r="T13" s="421"/>
      <c r="U13" s="585"/>
      <c r="V13" s="421"/>
      <c r="W13" s="590"/>
      <c r="X13" s="421"/>
      <c r="Y13" s="421"/>
      <c r="Z13" s="414"/>
      <c r="AA13" s="391" t="str">
        <f>IFERROR(IF(VLOOKUP($B13,'Matriz de Referencia'!$B$2:$CO$578,'Matriz de Referencia'!AM$1,FALSE)&gt;0,"Diligenciar la vigencia, tiene presupuesto programado","No diligenciar, no programo presupuesto"),"")</f>
        <v/>
      </c>
      <c r="AF13" s="637" t="str">
        <f t="shared" si="1"/>
        <v/>
      </c>
      <c r="AG13" s="391" t="str">
        <f>IFERROR(IF(VLOOKUP($B13,'Matriz de Referencia'!$B$2:$CO$578,'Matriz de Referencia'!BA$1,FALSE)&gt;0,"Diligenciar la vigencia, tiene presupuesto programado","No diligenciar, no programo presupuesto"),"")</f>
        <v/>
      </c>
      <c r="AL13" s="637" t="str">
        <f t="shared" si="2"/>
        <v/>
      </c>
      <c r="AM13" s="391" t="str">
        <f>IFERROR(IF(VLOOKUP($B13,'Matriz de Referencia'!$B$2:$CO$578,'Matriz de Referencia'!BO$1,FALSE)&gt;0,"Diligenciar la vigencia, tiene presupuesto programado","No diligenciar, no programo presupuesto"),"")</f>
        <v/>
      </c>
      <c r="AR13" s="637" t="str">
        <f t="shared" si="3"/>
        <v/>
      </c>
      <c r="AS13" s="391" t="str">
        <f>IFERROR(IF(VLOOKUP($B13,'Matriz de Referencia'!$B$2:$CO$578,'Matriz de Referencia'!CC$1,FALSE)&gt;0,"Diligenciar la vigencia, tiene presupuesto programado","No diligenciar, no programo presupuesto"),"")</f>
        <v/>
      </c>
      <c r="AX13" s="644" t="str">
        <f t="shared" si="4"/>
        <v/>
      </c>
      <c r="AY13" s="643" t="str">
        <f t="shared" si="5"/>
        <v/>
      </c>
      <c r="AZ13" s="416" t="str">
        <f t="shared" si="6"/>
        <v/>
      </c>
      <c r="BA13" s="417" t="str">
        <f>IFERROR(IF(VLOOKUP(B13,'Matriz de Referencia'!$B$3:$CQ$584,'Matriz de Referencia'!CP$1,FALSE)="","",VLOOKUP(B13,'Matriz de Referencia'!$B$3:$CQ$584,'Matriz de Referencia'!CP$1)),"")</f>
        <v/>
      </c>
      <c r="BB13" s="417" t="str">
        <f>IFERROR(IF(VLOOKUP(B13,'Matriz de Referencia'!$B$3:$CQ$584,'Matriz de Referencia'!CQ$1,FALSE)="","",VLOOKUP(B13,'Matriz de Referencia'!$B$3:$CQ$584,'Matriz de Referencia'!CQ$1)),"")</f>
        <v/>
      </c>
      <c r="BC13" s="583"/>
      <c r="BD13" s="429"/>
      <c r="BE13" s="655" t="str">
        <f t="shared" si="0"/>
        <v>Dimensión_</v>
      </c>
      <c r="BF13" s="430"/>
      <c r="BG13" s="654"/>
    </row>
    <row r="14" spans="1:59" ht="30" customHeight="1">
      <c r="A14" s="420"/>
      <c r="B14" s="421"/>
      <c r="C14" s="422"/>
      <c r="D14" s="422"/>
      <c r="E14" s="421"/>
      <c r="F14" s="423"/>
      <c r="G14" s="423"/>
      <c r="H14" s="421"/>
      <c r="I14" s="424"/>
      <c r="J14" s="421"/>
      <c r="K14" s="447"/>
      <c r="L14" s="424"/>
      <c r="M14" s="425"/>
      <c r="N14" s="421"/>
      <c r="O14" s="423"/>
      <c r="P14" s="421"/>
      <c r="Q14" s="421"/>
      <c r="R14" s="424"/>
      <c r="S14" s="421"/>
      <c r="T14" s="421"/>
      <c r="U14" s="585"/>
      <c r="V14" s="421"/>
      <c r="W14" s="590"/>
      <c r="X14" s="421"/>
      <c r="Y14" s="421"/>
      <c r="Z14" s="414"/>
      <c r="AA14" s="391" t="str">
        <f>IFERROR(IF(VLOOKUP($B14,'Matriz de Referencia'!$B$2:$CO$578,'Matriz de Referencia'!AM$1,FALSE)&gt;0,"Diligenciar la vigencia, tiene presupuesto programado","No diligenciar, no programo presupuesto"),"")</f>
        <v/>
      </c>
      <c r="AF14" s="637" t="str">
        <f t="shared" si="1"/>
        <v/>
      </c>
      <c r="AG14" s="391" t="str">
        <f>IFERROR(IF(VLOOKUP($B14,'Matriz de Referencia'!$B$2:$CO$578,'Matriz de Referencia'!BA$1,FALSE)&gt;0,"Diligenciar la vigencia, tiene presupuesto programado","No diligenciar, no programo presupuesto"),"")</f>
        <v/>
      </c>
      <c r="AL14" s="637" t="str">
        <f t="shared" si="2"/>
        <v/>
      </c>
      <c r="AM14" s="391" t="str">
        <f>IFERROR(IF(VLOOKUP($B14,'Matriz de Referencia'!$B$2:$CO$578,'Matriz de Referencia'!BO$1,FALSE)&gt;0,"Diligenciar la vigencia, tiene presupuesto programado","No diligenciar, no programo presupuesto"),"")</f>
        <v/>
      </c>
      <c r="AR14" s="637" t="str">
        <f t="shared" si="3"/>
        <v/>
      </c>
      <c r="AS14" s="391" t="str">
        <f>IFERROR(IF(VLOOKUP($B14,'Matriz de Referencia'!$B$2:$CO$578,'Matriz de Referencia'!CC$1,FALSE)&gt;0,"Diligenciar la vigencia, tiene presupuesto programado","No diligenciar, no programo presupuesto"),"")</f>
        <v/>
      </c>
      <c r="AX14" s="644" t="str">
        <f t="shared" si="4"/>
        <v/>
      </c>
      <c r="AY14" s="643" t="str">
        <f t="shared" si="5"/>
        <v/>
      </c>
      <c r="AZ14" s="416" t="str">
        <f t="shared" si="6"/>
        <v/>
      </c>
      <c r="BA14" s="417" t="str">
        <f>IFERROR(IF(VLOOKUP(B14,'Matriz de Referencia'!$B$3:$CQ$584,'Matriz de Referencia'!CP$1,FALSE)="","",VLOOKUP(B14,'Matriz de Referencia'!$B$3:$CQ$584,'Matriz de Referencia'!CP$1)),"")</f>
        <v/>
      </c>
      <c r="BB14" s="417" t="str">
        <f>IFERROR(IF(VLOOKUP(B14,'Matriz de Referencia'!$B$3:$CQ$584,'Matriz de Referencia'!CQ$1,FALSE)="","",VLOOKUP(B14,'Matriz de Referencia'!$B$3:$CQ$584,'Matriz de Referencia'!CQ$1)),"")</f>
        <v/>
      </c>
      <c r="BC14" s="583"/>
      <c r="BD14" s="429"/>
      <c r="BE14" s="655" t="str">
        <f t="shared" si="0"/>
        <v>Dimensión_</v>
      </c>
      <c r="BF14" s="430"/>
      <c r="BG14" s="654"/>
    </row>
    <row r="15" spans="1:59" ht="30" customHeight="1">
      <c r="A15" s="420"/>
      <c r="B15" s="421"/>
      <c r="C15" s="422"/>
      <c r="D15" s="422"/>
      <c r="E15" s="421"/>
      <c r="F15" s="423"/>
      <c r="G15" s="423"/>
      <c r="H15" s="421"/>
      <c r="I15" s="424"/>
      <c r="J15" s="421"/>
      <c r="K15" s="447"/>
      <c r="L15" s="424"/>
      <c r="M15" s="425"/>
      <c r="N15" s="421"/>
      <c r="O15" s="423"/>
      <c r="P15" s="421"/>
      <c r="Q15" s="421"/>
      <c r="R15" s="424"/>
      <c r="S15" s="421"/>
      <c r="T15" s="421"/>
      <c r="U15" s="585"/>
      <c r="V15" s="421"/>
      <c r="W15" s="590"/>
      <c r="X15" s="421"/>
      <c r="Y15" s="421"/>
      <c r="Z15" s="414"/>
      <c r="AA15" s="391" t="str">
        <f>IFERROR(IF(VLOOKUP($B15,'Matriz de Referencia'!$B$2:$CO$578,'Matriz de Referencia'!AM$1,FALSE)&gt;0,"Diligenciar la vigencia, tiene presupuesto programado","No diligenciar, no programo presupuesto"),"")</f>
        <v/>
      </c>
      <c r="AF15" s="637" t="str">
        <f t="shared" si="1"/>
        <v/>
      </c>
      <c r="AG15" s="391" t="str">
        <f>IFERROR(IF(VLOOKUP($B15,'Matriz de Referencia'!$B$2:$CO$578,'Matriz de Referencia'!BA$1,FALSE)&gt;0,"Diligenciar la vigencia, tiene presupuesto programado","No diligenciar, no programo presupuesto"),"")</f>
        <v/>
      </c>
      <c r="AL15" s="637" t="str">
        <f t="shared" si="2"/>
        <v/>
      </c>
      <c r="AM15" s="391" t="str">
        <f>IFERROR(IF(VLOOKUP($B15,'Matriz de Referencia'!$B$2:$CO$578,'Matriz de Referencia'!BO$1,FALSE)&gt;0,"Diligenciar la vigencia, tiene presupuesto programado","No diligenciar, no programo presupuesto"),"")</f>
        <v/>
      </c>
      <c r="AR15" s="637" t="str">
        <f t="shared" si="3"/>
        <v/>
      </c>
      <c r="AS15" s="391" t="str">
        <f>IFERROR(IF(VLOOKUP($B15,'Matriz de Referencia'!$B$2:$CO$578,'Matriz de Referencia'!CC$1,FALSE)&gt;0,"Diligenciar la vigencia, tiene presupuesto programado","No diligenciar, no programo presupuesto"),"")</f>
        <v/>
      </c>
      <c r="AX15" s="644" t="str">
        <f t="shared" si="4"/>
        <v/>
      </c>
      <c r="AY15" s="643" t="str">
        <f t="shared" si="5"/>
        <v/>
      </c>
      <c r="AZ15" s="416" t="str">
        <f t="shared" si="6"/>
        <v/>
      </c>
      <c r="BA15" s="417" t="str">
        <f>IFERROR(IF(VLOOKUP(B15,'Matriz de Referencia'!$B$3:$CQ$584,'Matriz de Referencia'!CP$1,FALSE)="","",VLOOKUP(B15,'Matriz de Referencia'!$B$3:$CQ$584,'Matriz de Referencia'!CP$1)),"")</f>
        <v/>
      </c>
      <c r="BB15" s="417" t="str">
        <f>IFERROR(IF(VLOOKUP(B15,'Matriz de Referencia'!$B$3:$CQ$584,'Matriz de Referencia'!CQ$1,FALSE)="","",VLOOKUP(B15,'Matriz de Referencia'!$B$3:$CQ$584,'Matriz de Referencia'!CQ$1)),"")</f>
        <v/>
      </c>
      <c r="BC15" s="583"/>
      <c r="BD15" s="429"/>
      <c r="BE15" s="655" t="str">
        <f t="shared" si="0"/>
        <v>Dimensión_</v>
      </c>
      <c r="BF15" s="430"/>
      <c r="BG15" s="654"/>
    </row>
    <row r="16" spans="1:59" ht="30" customHeight="1">
      <c r="A16" s="420"/>
      <c r="B16" s="421"/>
      <c r="C16" s="422"/>
      <c r="D16" s="422"/>
      <c r="E16" s="421"/>
      <c r="F16" s="423"/>
      <c r="G16" s="423"/>
      <c r="H16" s="421"/>
      <c r="I16" s="424"/>
      <c r="J16" s="421"/>
      <c r="K16" s="447"/>
      <c r="L16" s="424"/>
      <c r="M16" s="425"/>
      <c r="N16" s="421"/>
      <c r="O16" s="423"/>
      <c r="P16" s="421"/>
      <c r="Q16" s="421"/>
      <c r="R16" s="424"/>
      <c r="S16" s="421"/>
      <c r="T16" s="421"/>
      <c r="U16" s="585"/>
      <c r="V16" s="421"/>
      <c r="W16" s="590"/>
      <c r="X16" s="421"/>
      <c r="Y16" s="421"/>
      <c r="Z16" s="414"/>
      <c r="AA16" s="391" t="str">
        <f>IFERROR(IF(VLOOKUP($B16,'Matriz de Referencia'!$B$2:$CO$578,'Matriz de Referencia'!AM$1,FALSE)&gt;0,"Diligenciar la vigencia, tiene presupuesto programado","No diligenciar, no programo presupuesto"),"")</f>
        <v/>
      </c>
      <c r="AF16" s="637" t="str">
        <f t="shared" si="1"/>
        <v/>
      </c>
      <c r="AG16" s="391" t="str">
        <f>IFERROR(IF(VLOOKUP($B16,'Matriz de Referencia'!$B$2:$CO$578,'Matriz de Referencia'!BA$1,FALSE)&gt;0,"Diligenciar la vigencia, tiene presupuesto programado","No diligenciar, no programo presupuesto"),"")</f>
        <v/>
      </c>
      <c r="AL16" s="637" t="str">
        <f t="shared" si="2"/>
        <v/>
      </c>
      <c r="AM16" s="391" t="str">
        <f>IFERROR(IF(VLOOKUP($B16,'Matriz de Referencia'!$B$2:$CO$578,'Matriz de Referencia'!BO$1,FALSE)&gt;0,"Diligenciar la vigencia, tiene presupuesto programado","No diligenciar, no programo presupuesto"),"")</f>
        <v/>
      </c>
      <c r="AR16" s="637" t="str">
        <f t="shared" si="3"/>
        <v/>
      </c>
      <c r="AS16" s="391" t="str">
        <f>IFERROR(IF(VLOOKUP($B16,'Matriz de Referencia'!$B$2:$CO$578,'Matriz de Referencia'!CC$1,FALSE)&gt;0,"Diligenciar la vigencia, tiene presupuesto programado","No diligenciar, no programo presupuesto"),"")</f>
        <v/>
      </c>
      <c r="AX16" s="644" t="str">
        <f t="shared" si="4"/>
        <v/>
      </c>
      <c r="AY16" s="643" t="str">
        <f t="shared" si="5"/>
        <v/>
      </c>
      <c r="AZ16" s="416" t="str">
        <f t="shared" si="6"/>
        <v/>
      </c>
      <c r="BA16" s="417" t="str">
        <f>IFERROR(IF(VLOOKUP(B16,'Matriz de Referencia'!$B$3:$CQ$584,'Matriz de Referencia'!CP$1,FALSE)="","",VLOOKUP(B16,'Matriz de Referencia'!$B$3:$CQ$584,'Matriz de Referencia'!CP$1)),"")</f>
        <v/>
      </c>
      <c r="BB16" s="417" t="str">
        <f>IFERROR(IF(VLOOKUP(B16,'Matriz de Referencia'!$B$3:$CQ$584,'Matriz de Referencia'!CQ$1,FALSE)="","",VLOOKUP(B16,'Matriz de Referencia'!$B$3:$CQ$584,'Matriz de Referencia'!CQ$1)),"")</f>
        <v/>
      </c>
      <c r="BC16" s="583"/>
      <c r="BD16" s="429"/>
      <c r="BE16" s="655" t="str">
        <f t="shared" si="0"/>
        <v>Dimensión_</v>
      </c>
      <c r="BF16" s="430"/>
      <c r="BG16" s="654"/>
    </row>
    <row r="17" spans="1:59" ht="30" customHeight="1">
      <c r="A17" s="420"/>
      <c r="B17" s="421"/>
      <c r="C17" s="422"/>
      <c r="D17" s="422"/>
      <c r="E17" s="421"/>
      <c r="F17" s="423"/>
      <c r="G17" s="423"/>
      <c r="H17" s="421"/>
      <c r="I17" s="424"/>
      <c r="J17" s="421"/>
      <c r="K17" s="447"/>
      <c r="L17" s="424"/>
      <c r="M17" s="425"/>
      <c r="N17" s="421"/>
      <c r="O17" s="423"/>
      <c r="P17" s="421"/>
      <c r="Q17" s="421"/>
      <c r="R17" s="424"/>
      <c r="S17" s="421"/>
      <c r="T17" s="421"/>
      <c r="U17" s="585"/>
      <c r="V17" s="421"/>
      <c r="W17" s="590"/>
      <c r="X17" s="421"/>
      <c r="Y17" s="421"/>
      <c r="Z17" s="414"/>
      <c r="AA17" s="391" t="str">
        <f>IFERROR(IF(VLOOKUP($B17,'Matriz de Referencia'!$B$2:$CO$578,'Matriz de Referencia'!AM$1,FALSE)&gt;0,"Diligenciar la vigencia, tiene presupuesto programado","No diligenciar, no programo presupuesto"),"")</f>
        <v/>
      </c>
      <c r="AF17" s="637" t="str">
        <f t="shared" si="1"/>
        <v/>
      </c>
      <c r="AG17" s="391" t="str">
        <f>IFERROR(IF(VLOOKUP($B17,'Matriz de Referencia'!$B$2:$CO$578,'Matriz de Referencia'!BA$1,FALSE)&gt;0,"Diligenciar la vigencia, tiene presupuesto programado","No diligenciar, no programo presupuesto"),"")</f>
        <v/>
      </c>
      <c r="AL17" s="637" t="str">
        <f t="shared" si="2"/>
        <v/>
      </c>
      <c r="AM17" s="391" t="str">
        <f>IFERROR(IF(VLOOKUP($B17,'Matriz de Referencia'!$B$2:$CO$578,'Matriz de Referencia'!BO$1,FALSE)&gt;0,"Diligenciar la vigencia, tiene presupuesto programado","No diligenciar, no programo presupuesto"),"")</f>
        <v/>
      </c>
      <c r="AR17" s="637" t="str">
        <f t="shared" si="3"/>
        <v/>
      </c>
      <c r="AS17" s="391" t="str">
        <f>IFERROR(IF(VLOOKUP($B17,'Matriz de Referencia'!$B$2:$CO$578,'Matriz de Referencia'!CC$1,FALSE)&gt;0,"Diligenciar la vigencia, tiene presupuesto programado","No diligenciar, no programo presupuesto"),"")</f>
        <v/>
      </c>
      <c r="AX17" s="644" t="str">
        <f t="shared" si="4"/>
        <v/>
      </c>
      <c r="AY17" s="643" t="str">
        <f t="shared" si="5"/>
        <v/>
      </c>
      <c r="AZ17" s="416" t="str">
        <f t="shared" si="6"/>
        <v/>
      </c>
      <c r="BA17" s="417" t="str">
        <f>IFERROR(IF(VLOOKUP(B17,'Matriz de Referencia'!$B$3:$CQ$584,'Matriz de Referencia'!CP$1,FALSE)="","",VLOOKUP(B17,'Matriz de Referencia'!$B$3:$CQ$584,'Matriz de Referencia'!CP$1)),"")</f>
        <v/>
      </c>
      <c r="BB17" s="417" t="str">
        <f>IFERROR(IF(VLOOKUP(B17,'Matriz de Referencia'!$B$3:$CQ$584,'Matriz de Referencia'!CQ$1,FALSE)="","",VLOOKUP(B17,'Matriz de Referencia'!$B$3:$CQ$584,'Matriz de Referencia'!CQ$1)),"")</f>
        <v/>
      </c>
      <c r="BC17" s="583"/>
      <c r="BD17" s="429"/>
      <c r="BE17" s="655" t="str">
        <f t="shared" si="0"/>
        <v>Dimensión_</v>
      </c>
      <c r="BF17" s="430"/>
      <c r="BG17" s="654"/>
    </row>
    <row r="18" spans="1:59" ht="30" customHeight="1">
      <c r="A18" s="420"/>
      <c r="B18" s="421"/>
      <c r="C18" s="422"/>
      <c r="D18" s="422"/>
      <c r="E18" s="421"/>
      <c r="F18" s="423"/>
      <c r="G18" s="423"/>
      <c r="H18" s="421"/>
      <c r="I18" s="424"/>
      <c r="J18" s="421"/>
      <c r="K18" s="447"/>
      <c r="L18" s="424"/>
      <c r="M18" s="425"/>
      <c r="N18" s="421"/>
      <c r="O18" s="423"/>
      <c r="P18" s="421"/>
      <c r="Q18" s="421"/>
      <c r="R18" s="424"/>
      <c r="S18" s="421"/>
      <c r="T18" s="421"/>
      <c r="U18" s="585"/>
      <c r="V18" s="421"/>
      <c r="W18" s="590"/>
      <c r="X18" s="421"/>
      <c r="Y18" s="421"/>
      <c r="Z18" s="414"/>
      <c r="AA18" s="391" t="str">
        <f>IFERROR(IF(VLOOKUP($B18,'Matriz de Referencia'!$B$2:$CO$578,'Matriz de Referencia'!AM$1,FALSE)&gt;0,"Diligenciar la vigencia, tiene presupuesto programado","No diligenciar, no programo presupuesto"),"")</f>
        <v/>
      </c>
      <c r="AF18" s="637" t="str">
        <f t="shared" si="1"/>
        <v/>
      </c>
      <c r="AG18" s="391" t="str">
        <f>IFERROR(IF(VLOOKUP($B18,'Matriz de Referencia'!$B$2:$CO$578,'Matriz de Referencia'!BA$1,FALSE)&gt;0,"Diligenciar la vigencia, tiene presupuesto programado","No diligenciar, no programo presupuesto"),"")</f>
        <v/>
      </c>
      <c r="AL18" s="637" t="str">
        <f t="shared" si="2"/>
        <v/>
      </c>
      <c r="AM18" s="391" t="str">
        <f>IFERROR(IF(VLOOKUP($B18,'Matriz de Referencia'!$B$2:$CO$578,'Matriz de Referencia'!BO$1,FALSE)&gt;0,"Diligenciar la vigencia, tiene presupuesto programado","No diligenciar, no programo presupuesto"),"")</f>
        <v/>
      </c>
      <c r="AR18" s="637" t="str">
        <f t="shared" si="3"/>
        <v/>
      </c>
      <c r="AS18" s="391" t="str">
        <f>IFERROR(IF(VLOOKUP($B18,'Matriz de Referencia'!$B$2:$CO$578,'Matriz de Referencia'!CC$1,FALSE)&gt;0,"Diligenciar la vigencia, tiene presupuesto programado","No diligenciar, no programo presupuesto"),"")</f>
        <v/>
      </c>
      <c r="AX18" s="644" t="str">
        <f t="shared" si="4"/>
        <v/>
      </c>
      <c r="AY18" s="643" t="str">
        <f t="shared" si="5"/>
        <v/>
      </c>
      <c r="AZ18" s="416" t="str">
        <f t="shared" si="6"/>
        <v/>
      </c>
      <c r="BA18" s="417" t="str">
        <f>IFERROR(IF(VLOOKUP(B18,'Matriz de Referencia'!$B$3:$CQ$584,'Matriz de Referencia'!CP$1,FALSE)="","",VLOOKUP(B18,'Matriz de Referencia'!$B$3:$CQ$584,'Matriz de Referencia'!CP$1)),"")</f>
        <v/>
      </c>
      <c r="BB18" s="417" t="str">
        <f>IFERROR(IF(VLOOKUP(B18,'Matriz de Referencia'!$B$3:$CQ$584,'Matriz de Referencia'!CQ$1,FALSE)="","",VLOOKUP(B18,'Matriz de Referencia'!$B$3:$CQ$584,'Matriz de Referencia'!CQ$1)),"")</f>
        <v/>
      </c>
      <c r="BC18" s="583"/>
      <c r="BD18" s="429"/>
      <c r="BE18" s="655" t="str">
        <f t="shared" si="0"/>
        <v>Dimensión_</v>
      </c>
      <c r="BF18" s="430"/>
      <c r="BG18" s="654"/>
    </row>
    <row r="19" spans="1:59" ht="30" customHeight="1">
      <c r="A19" s="420"/>
      <c r="B19" s="421"/>
      <c r="C19" s="422"/>
      <c r="D19" s="422"/>
      <c r="E19" s="421"/>
      <c r="F19" s="423"/>
      <c r="G19" s="423"/>
      <c r="H19" s="421"/>
      <c r="I19" s="424"/>
      <c r="J19" s="421"/>
      <c r="K19" s="447"/>
      <c r="L19" s="424"/>
      <c r="M19" s="425"/>
      <c r="N19" s="421"/>
      <c r="O19" s="423"/>
      <c r="P19" s="421"/>
      <c r="Q19" s="421"/>
      <c r="R19" s="424"/>
      <c r="S19" s="421"/>
      <c r="T19" s="421"/>
      <c r="U19" s="585"/>
      <c r="V19" s="421"/>
      <c r="W19" s="590"/>
      <c r="X19" s="421"/>
      <c r="Y19" s="421"/>
      <c r="Z19" s="414"/>
      <c r="AA19" s="391" t="str">
        <f>IFERROR(IF(VLOOKUP($B19,'Matriz de Referencia'!$B$2:$CO$578,'Matriz de Referencia'!AM$1,FALSE)&gt;0,"Diligenciar la vigencia, tiene presupuesto programado","No diligenciar, no programo presupuesto"),"")</f>
        <v/>
      </c>
      <c r="AF19" s="637" t="str">
        <f t="shared" si="1"/>
        <v/>
      </c>
      <c r="AG19" s="391" t="str">
        <f>IFERROR(IF(VLOOKUP($B19,'Matriz de Referencia'!$B$2:$CO$578,'Matriz de Referencia'!BA$1,FALSE)&gt;0,"Diligenciar la vigencia, tiene presupuesto programado","No diligenciar, no programo presupuesto"),"")</f>
        <v/>
      </c>
      <c r="AL19" s="637" t="str">
        <f t="shared" si="2"/>
        <v/>
      </c>
      <c r="AM19" s="391" t="str">
        <f>IFERROR(IF(VLOOKUP($B19,'Matriz de Referencia'!$B$2:$CO$578,'Matriz de Referencia'!BO$1,FALSE)&gt;0,"Diligenciar la vigencia, tiene presupuesto programado","No diligenciar, no programo presupuesto"),"")</f>
        <v/>
      </c>
      <c r="AR19" s="637" t="str">
        <f t="shared" si="3"/>
        <v/>
      </c>
      <c r="AS19" s="391" t="str">
        <f>IFERROR(IF(VLOOKUP($B19,'Matriz de Referencia'!$B$2:$CO$578,'Matriz de Referencia'!CC$1,FALSE)&gt;0,"Diligenciar la vigencia, tiene presupuesto programado","No diligenciar, no programo presupuesto"),"")</f>
        <v/>
      </c>
      <c r="AX19" s="644" t="str">
        <f t="shared" si="4"/>
        <v/>
      </c>
      <c r="AY19" s="643" t="str">
        <f t="shared" si="5"/>
        <v/>
      </c>
      <c r="AZ19" s="416" t="str">
        <f t="shared" si="6"/>
        <v/>
      </c>
      <c r="BA19" s="417" t="str">
        <f>IFERROR(IF(VLOOKUP(B19,'Matriz de Referencia'!$B$3:$CQ$584,'Matriz de Referencia'!CP$1,FALSE)="","",VLOOKUP(B19,'Matriz de Referencia'!$B$3:$CQ$584,'Matriz de Referencia'!CP$1)),"")</f>
        <v/>
      </c>
      <c r="BB19" s="417" t="str">
        <f>IFERROR(IF(VLOOKUP(B19,'Matriz de Referencia'!$B$3:$CQ$584,'Matriz de Referencia'!CQ$1,FALSE)="","",VLOOKUP(B19,'Matriz de Referencia'!$B$3:$CQ$584,'Matriz de Referencia'!CQ$1)),"")</f>
        <v/>
      </c>
      <c r="BC19" s="583"/>
      <c r="BD19" s="429"/>
      <c r="BE19" s="655" t="str">
        <f t="shared" si="0"/>
        <v>Dimensión_</v>
      </c>
      <c r="BF19" s="430"/>
      <c r="BG19" s="654"/>
    </row>
    <row r="20" spans="1:59" ht="30" customHeight="1">
      <c r="A20" s="420"/>
      <c r="B20" s="421"/>
      <c r="C20" s="422"/>
      <c r="D20" s="422"/>
      <c r="E20" s="421"/>
      <c r="F20" s="423"/>
      <c r="G20" s="423"/>
      <c r="H20" s="421"/>
      <c r="I20" s="424"/>
      <c r="J20" s="421"/>
      <c r="K20" s="447"/>
      <c r="L20" s="424"/>
      <c r="M20" s="425"/>
      <c r="N20" s="421"/>
      <c r="O20" s="423"/>
      <c r="P20" s="421"/>
      <c r="Q20" s="421"/>
      <c r="R20" s="424"/>
      <c r="S20" s="421"/>
      <c r="T20" s="421"/>
      <c r="U20" s="585"/>
      <c r="V20" s="421"/>
      <c r="W20" s="590"/>
      <c r="X20" s="421"/>
      <c r="Y20" s="421"/>
      <c r="Z20" s="414"/>
      <c r="AA20" s="391" t="str">
        <f>IFERROR(IF(VLOOKUP($B20,'Matriz de Referencia'!$B$2:$CO$578,'Matriz de Referencia'!AM$1,FALSE)&gt;0,"Diligenciar la vigencia, tiene presupuesto programado","No diligenciar, no programo presupuesto"),"")</f>
        <v/>
      </c>
      <c r="AF20" s="637" t="str">
        <f t="shared" si="1"/>
        <v/>
      </c>
      <c r="AG20" s="391" t="str">
        <f>IFERROR(IF(VLOOKUP($B20,'Matriz de Referencia'!$B$2:$CO$578,'Matriz de Referencia'!BA$1,FALSE)&gt;0,"Diligenciar la vigencia, tiene presupuesto programado","No diligenciar, no programo presupuesto"),"")</f>
        <v/>
      </c>
      <c r="AL20" s="637" t="str">
        <f t="shared" si="2"/>
        <v/>
      </c>
      <c r="AM20" s="391" t="str">
        <f>IFERROR(IF(VLOOKUP($B20,'Matriz de Referencia'!$B$2:$CO$578,'Matriz de Referencia'!BO$1,FALSE)&gt;0,"Diligenciar la vigencia, tiene presupuesto programado","No diligenciar, no programo presupuesto"),"")</f>
        <v/>
      </c>
      <c r="AR20" s="637" t="str">
        <f t="shared" si="3"/>
        <v/>
      </c>
      <c r="AS20" s="391" t="str">
        <f>IFERROR(IF(VLOOKUP($B20,'Matriz de Referencia'!$B$2:$CO$578,'Matriz de Referencia'!CC$1,FALSE)&gt;0,"Diligenciar la vigencia, tiene presupuesto programado","No diligenciar, no programo presupuesto"),"")</f>
        <v/>
      </c>
      <c r="AX20" s="644" t="str">
        <f t="shared" si="4"/>
        <v/>
      </c>
      <c r="AY20" s="643" t="str">
        <f t="shared" si="5"/>
        <v/>
      </c>
      <c r="AZ20" s="416" t="str">
        <f t="shared" si="6"/>
        <v/>
      </c>
      <c r="BA20" s="417" t="str">
        <f>IFERROR(IF(VLOOKUP(B20,'Matriz de Referencia'!$B$3:$CQ$584,'Matriz de Referencia'!CP$1,FALSE)="","",VLOOKUP(B20,'Matriz de Referencia'!$B$3:$CQ$584,'Matriz de Referencia'!CP$1)),"")</f>
        <v/>
      </c>
      <c r="BB20" s="417" t="str">
        <f>IFERROR(IF(VLOOKUP(B20,'Matriz de Referencia'!$B$3:$CQ$584,'Matriz de Referencia'!CQ$1,FALSE)="","",VLOOKUP(B20,'Matriz de Referencia'!$B$3:$CQ$584,'Matriz de Referencia'!CQ$1)),"")</f>
        <v/>
      </c>
      <c r="BC20" s="583"/>
      <c r="BD20" s="429"/>
      <c r="BE20" s="655" t="str">
        <f t="shared" si="0"/>
        <v>Dimensión_</v>
      </c>
      <c r="BF20" s="430"/>
      <c r="BG20" s="654"/>
    </row>
    <row r="21" spans="1:59" ht="30" customHeight="1">
      <c r="A21" s="420"/>
      <c r="B21" s="421"/>
      <c r="C21" s="422"/>
      <c r="D21" s="422"/>
      <c r="E21" s="421"/>
      <c r="F21" s="423"/>
      <c r="G21" s="423"/>
      <c r="H21" s="421"/>
      <c r="I21" s="424"/>
      <c r="J21" s="421"/>
      <c r="K21" s="447"/>
      <c r="L21" s="424"/>
      <c r="M21" s="425"/>
      <c r="N21" s="421"/>
      <c r="O21" s="423"/>
      <c r="P21" s="421"/>
      <c r="Q21" s="421"/>
      <c r="R21" s="424"/>
      <c r="S21" s="421"/>
      <c r="T21" s="421"/>
      <c r="U21" s="585"/>
      <c r="V21" s="421"/>
      <c r="W21" s="590"/>
      <c r="X21" s="421"/>
      <c r="Y21" s="421"/>
      <c r="Z21" s="414"/>
      <c r="AA21" s="391" t="str">
        <f>IFERROR(IF(VLOOKUP($B21,'Matriz de Referencia'!$B$2:$CO$578,'Matriz de Referencia'!AM$1,FALSE)&gt;0,"Diligenciar la vigencia, tiene presupuesto programado","No diligenciar, no programo presupuesto"),"")</f>
        <v/>
      </c>
      <c r="AF21" s="637" t="str">
        <f t="shared" si="1"/>
        <v/>
      </c>
      <c r="AG21" s="391" t="str">
        <f>IFERROR(IF(VLOOKUP($B21,'Matriz de Referencia'!$B$2:$CO$578,'Matriz de Referencia'!BA$1,FALSE)&gt;0,"Diligenciar la vigencia, tiene presupuesto programado","No diligenciar, no programo presupuesto"),"")</f>
        <v/>
      </c>
      <c r="AL21" s="637" t="str">
        <f t="shared" si="2"/>
        <v/>
      </c>
      <c r="AM21" s="391" t="str">
        <f>IFERROR(IF(VLOOKUP($B21,'Matriz de Referencia'!$B$2:$CO$578,'Matriz de Referencia'!BO$1,FALSE)&gt;0,"Diligenciar la vigencia, tiene presupuesto programado","No diligenciar, no programo presupuesto"),"")</f>
        <v/>
      </c>
      <c r="AR21" s="637" t="str">
        <f t="shared" si="3"/>
        <v/>
      </c>
      <c r="AS21" s="391" t="str">
        <f>IFERROR(IF(VLOOKUP($B21,'Matriz de Referencia'!$B$2:$CO$578,'Matriz de Referencia'!CC$1,FALSE)&gt;0,"Diligenciar la vigencia, tiene presupuesto programado","No diligenciar, no programo presupuesto"),"")</f>
        <v/>
      </c>
      <c r="AX21" s="644" t="str">
        <f t="shared" si="4"/>
        <v/>
      </c>
      <c r="AY21" s="643" t="str">
        <f t="shared" si="5"/>
        <v/>
      </c>
      <c r="AZ21" s="416" t="str">
        <f t="shared" si="6"/>
        <v/>
      </c>
      <c r="BA21" s="417" t="str">
        <f>IFERROR(IF(VLOOKUP(B21,'Matriz de Referencia'!$B$3:$CQ$584,'Matriz de Referencia'!CP$1,FALSE)="","",VLOOKUP(B21,'Matriz de Referencia'!$B$3:$CQ$584,'Matriz de Referencia'!CP$1)),"")</f>
        <v/>
      </c>
      <c r="BB21" s="417" t="str">
        <f>IFERROR(IF(VLOOKUP(B21,'Matriz de Referencia'!$B$3:$CQ$584,'Matriz de Referencia'!CQ$1,FALSE)="","",VLOOKUP(B21,'Matriz de Referencia'!$B$3:$CQ$584,'Matriz de Referencia'!CQ$1)),"")</f>
        <v/>
      </c>
      <c r="BC21" s="583"/>
      <c r="BD21" s="429"/>
      <c r="BE21" s="655" t="str">
        <f t="shared" si="0"/>
        <v>Dimensión_</v>
      </c>
      <c r="BF21" s="430"/>
      <c r="BG21" s="654"/>
    </row>
    <row r="22" spans="1:59" ht="30" customHeight="1">
      <c r="A22" s="420"/>
      <c r="B22" s="421"/>
      <c r="C22" s="422"/>
      <c r="D22" s="422"/>
      <c r="E22" s="421"/>
      <c r="F22" s="423"/>
      <c r="G22" s="423"/>
      <c r="H22" s="421"/>
      <c r="I22" s="424"/>
      <c r="J22" s="421"/>
      <c r="K22" s="447"/>
      <c r="L22" s="424"/>
      <c r="M22" s="425"/>
      <c r="N22" s="421"/>
      <c r="O22" s="423"/>
      <c r="P22" s="421"/>
      <c r="Q22" s="421"/>
      <c r="R22" s="424"/>
      <c r="S22" s="421"/>
      <c r="T22" s="421"/>
      <c r="U22" s="585"/>
      <c r="V22" s="421"/>
      <c r="W22" s="590"/>
      <c r="X22" s="421"/>
      <c r="Y22" s="421"/>
      <c r="Z22" s="414"/>
      <c r="AA22" s="391" t="str">
        <f>IFERROR(IF(VLOOKUP($B22,'Matriz de Referencia'!$B$2:$CO$578,'Matriz de Referencia'!AM$1,FALSE)&gt;0,"Diligenciar la vigencia, tiene presupuesto programado","No diligenciar, no programo presupuesto"),"")</f>
        <v/>
      </c>
      <c r="AF22" s="637" t="str">
        <f t="shared" si="1"/>
        <v/>
      </c>
      <c r="AG22" s="391" t="str">
        <f>IFERROR(IF(VLOOKUP($B22,'Matriz de Referencia'!$B$2:$CO$578,'Matriz de Referencia'!BA$1,FALSE)&gt;0,"Diligenciar la vigencia, tiene presupuesto programado","No diligenciar, no programo presupuesto"),"")</f>
        <v/>
      </c>
      <c r="AL22" s="637" t="str">
        <f t="shared" si="2"/>
        <v/>
      </c>
      <c r="AM22" s="391" t="str">
        <f>IFERROR(IF(VLOOKUP($B22,'Matriz de Referencia'!$B$2:$CO$578,'Matriz de Referencia'!BO$1,FALSE)&gt;0,"Diligenciar la vigencia, tiene presupuesto programado","No diligenciar, no programo presupuesto"),"")</f>
        <v/>
      </c>
      <c r="AR22" s="637" t="str">
        <f t="shared" si="3"/>
        <v/>
      </c>
      <c r="AS22" s="391" t="str">
        <f>IFERROR(IF(VLOOKUP($B22,'Matriz de Referencia'!$B$2:$CO$578,'Matriz de Referencia'!CC$1,FALSE)&gt;0,"Diligenciar la vigencia, tiene presupuesto programado","No diligenciar, no programo presupuesto"),"")</f>
        <v/>
      </c>
      <c r="AX22" s="644" t="str">
        <f t="shared" si="4"/>
        <v/>
      </c>
      <c r="AY22" s="643" t="str">
        <f t="shared" si="5"/>
        <v/>
      </c>
      <c r="AZ22" s="416" t="str">
        <f t="shared" si="6"/>
        <v/>
      </c>
      <c r="BA22" s="417" t="str">
        <f>IFERROR(IF(VLOOKUP(B22,'Matriz de Referencia'!$B$3:$CQ$584,'Matriz de Referencia'!CP$1,FALSE)="","",VLOOKUP(B22,'Matriz de Referencia'!$B$3:$CQ$584,'Matriz de Referencia'!CP$1)),"")</f>
        <v/>
      </c>
      <c r="BB22" s="417" t="str">
        <f>IFERROR(IF(VLOOKUP(B22,'Matriz de Referencia'!$B$3:$CQ$584,'Matriz de Referencia'!CQ$1,FALSE)="","",VLOOKUP(B22,'Matriz de Referencia'!$B$3:$CQ$584,'Matriz de Referencia'!CQ$1)),"")</f>
        <v/>
      </c>
      <c r="BC22" s="583"/>
      <c r="BD22" s="429"/>
      <c r="BE22" s="655" t="str">
        <f t="shared" si="0"/>
        <v>Dimensión_</v>
      </c>
      <c r="BF22" s="430"/>
      <c r="BG22" s="654"/>
    </row>
    <row r="23" spans="1:59" ht="30" customHeight="1">
      <c r="A23" s="420"/>
      <c r="B23" s="421"/>
      <c r="C23" s="422"/>
      <c r="D23" s="422"/>
      <c r="E23" s="421"/>
      <c r="F23" s="423"/>
      <c r="G23" s="423"/>
      <c r="H23" s="421"/>
      <c r="I23" s="424"/>
      <c r="J23" s="421"/>
      <c r="K23" s="447"/>
      <c r="L23" s="424"/>
      <c r="M23" s="425"/>
      <c r="N23" s="421"/>
      <c r="O23" s="423"/>
      <c r="P23" s="421"/>
      <c r="Q23" s="421"/>
      <c r="R23" s="424"/>
      <c r="S23" s="421"/>
      <c r="T23" s="421"/>
      <c r="U23" s="585"/>
      <c r="V23" s="421"/>
      <c r="W23" s="590"/>
      <c r="X23" s="421"/>
      <c r="Y23" s="421"/>
      <c r="Z23" s="414"/>
      <c r="AA23" s="391" t="str">
        <f>IFERROR(IF(VLOOKUP($B23,'Matriz de Referencia'!$B$2:$CO$578,'Matriz de Referencia'!AM$1,FALSE)&gt;0,"Diligenciar la vigencia, tiene presupuesto programado","No diligenciar, no programo presupuesto"),"")</f>
        <v/>
      </c>
      <c r="AF23" s="637" t="str">
        <f t="shared" si="1"/>
        <v/>
      </c>
      <c r="AG23" s="391" t="str">
        <f>IFERROR(IF(VLOOKUP($B23,'Matriz de Referencia'!$B$2:$CO$578,'Matriz de Referencia'!BA$1,FALSE)&gt;0,"Diligenciar la vigencia, tiene presupuesto programado","No diligenciar, no programo presupuesto"),"")</f>
        <v/>
      </c>
      <c r="AL23" s="637" t="str">
        <f t="shared" si="2"/>
        <v/>
      </c>
      <c r="AM23" s="391" t="str">
        <f>IFERROR(IF(VLOOKUP($B23,'Matriz de Referencia'!$B$2:$CO$578,'Matriz de Referencia'!BO$1,FALSE)&gt;0,"Diligenciar la vigencia, tiene presupuesto programado","No diligenciar, no programo presupuesto"),"")</f>
        <v/>
      </c>
      <c r="AR23" s="637" t="str">
        <f t="shared" si="3"/>
        <v/>
      </c>
      <c r="AS23" s="391" t="str">
        <f>IFERROR(IF(VLOOKUP($B23,'Matriz de Referencia'!$B$2:$CO$578,'Matriz de Referencia'!CC$1,FALSE)&gt;0,"Diligenciar la vigencia, tiene presupuesto programado","No diligenciar, no programo presupuesto"),"")</f>
        <v/>
      </c>
      <c r="AX23" s="644" t="str">
        <f t="shared" si="4"/>
        <v/>
      </c>
      <c r="AY23" s="643" t="str">
        <f t="shared" si="5"/>
        <v/>
      </c>
      <c r="AZ23" s="416" t="str">
        <f t="shared" si="6"/>
        <v/>
      </c>
      <c r="BA23" s="417" t="str">
        <f>IFERROR(IF(VLOOKUP(B23,'Matriz de Referencia'!$B$3:$CQ$584,'Matriz de Referencia'!CP$1,FALSE)="","",VLOOKUP(B23,'Matriz de Referencia'!$B$3:$CQ$584,'Matriz de Referencia'!CP$1)),"")</f>
        <v/>
      </c>
      <c r="BB23" s="417" t="str">
        <f>IFERROR(IF(VLOOKUP(B23,'Matriz de Referencia'!$B$3:$CQ$584,'Matriz de Referencia'!CQ$1,FALSE)="","",VLOOKUP(B23,'Matriz de Referencia'!$B$3:$CQ$584,'Matriz de Referencia'!CQ$1)),"")</f>
        <v/>
      </c>
      <c r="BC23" s="583"/>
      <c r="BD23" s="429"/>
      <c r="BE23" s="655" t="str">
        <f t="shared" si="0"/>
        <v>Dimensión_</v>
      </c>
      <c r="BF23" s="430"/>
      <c r="BG23" s="654"/>
    </row>
    <row r="24" spans="1:59" ht="30" customHeight="1">
      <c r="A24" s="420"/>
      <c r="B24" s="421"/>
      <c r="C24" s="422"/>
      <c r="D24" s="422"/>
      <c r="E24" s="421"/>
      <c r="F24" s="423"/>
      <c r="G24" s="423"/>
      <c r="H24" s="421"/>
      <c r="I24" s="424"/>
      <c r="J24" s="421"/>
      <c r="K24" s="447"/>
      <c r="L24" s="424"/>
      <c r="M24" s="425"/>
      <c r="N24" s="421"/>
      <c r="O24" s="423"/>
      <c r="P24" s="421"/>
      <c r="Q24" s="421"/>
      <c r="R24" s="424"/>
      <c r="S24" s="421"/>
      <c r="T24" s="421"/>
      <c r="U24" s="585"/>
      <c r="V24" s="421"/>
      <c r="W24" s="590"/>
      <c r="X24" s="421"/>
      <c r="Y24" s="421"/>
      <c r="Z24" s="414"/>
      <c r="AA24" s="391" t="str">
        <f>IFERROR(IF(VLOOKUP($B24,'Matriz de Referencia'!$B$2:$CO$578,'Matriz de Referencia'!AM$1,FALSE)&gt;0,"Diligenciar la vigencia, tiene presupuesto programado","No diligenciar, no programo presupuesto"),"")</f>
        <v/>
      </c>
      <c r="AF24" s="637" t="str">
        <f t="shared" si="1"/>
        <v/>
      </c>
      <c r="AG24" s="391" t="str">
        <f>IFERROR(IF(VLOOKUP($B24,'Matriz de Referencia'!$B$2:$CO$578,'Matriz de Referencia'!BA$1,FALSE)&gt;0,"Diligenciar la vigencia, tiene presupuesto programado","No diligenciar, no programo presupuesto"),"")</f>
        <v/>
      </c>
      <c r="AL24" s="637" t="str">
        <f t="shared" si="2"/>
        <v/>
      </c>
      <c r="AM24" s="391" t="str">
        <f>IFERROR(IF(VLOOKUP($B24,'Matriz de Referencia'!$B$2:$CO$578,'Matriz de Referencia'!BO$1,FALSE)&gt;0,"Diligenciar la vigencia, tiene presupuesto programado","No diligenciar, no programo presupuesto"),"")</f>
        <v/>
      </c>
      <c r="AR24" s="637" t="str">
        <f t="shared" si="3"/>
        <v/>
      </c>
      <c r="AS24" s="391" t="str">
        <f>IFERROR(IF(VLOOKUP($B24,'Matriz de Referencia'!$B$2:$CO$578,'Matriz de Referencia'!CC$1,FALSE)&gt;0,"Diligenciar la vigencia, tiene presupuesto programado","No diligenciar, no programo presupuesto"),"")</f>
        <v/>
      </c>
      <c r="AX24" s="644" t="str">
        <f t="shared" si="4"/>
        <v/>
      </c>
      <c r="AY24" s="643" t="str">
        <f t="shared" si="5"/>
        <v/>
      </c>
      <c r="AZ24" s="416" t="str">
        <f t="shared" si="6"/>
        <v/>
      </c>
      <c r="BA24" s="417" t="str">
        <f>IFERROR(IF(VLOOKUP(B24,'Matriz de Referencia'!$B$3:$CQ$584,'Matriz de Referencia'!CP$1,FALSE)="","",VLOOKUP(B24,'Matriz de Referencia'!$B$3:$CQ$584,'Matriz de Referencia'!CP$1)),"")</f>
        <v/>
      </c>
      <c r="BB24" s="417" t="str">
        <f>IFERROR(IF(VLOOKUP(B24,'Matriz de Referencia'!$B$3:$CQ$584,'Matriz de Referencia'!CQ$1,FALSE)="","",VLOOKUP(B24,'Matriz de Referencia'!$B$3:$CQ$584,'Matriz de Referencia'!CQ$1)),"")</f>
        <v/>
      </c>
      <c r="BC24" s="583"/>
      <c r="BD24" s="429"/>
      <c r="BE24" s="655" t="str">
        <f t="shared" si="0"/>
        <v>Dimensión_</v>
      </c>
      <c r="BF24" s="430"/>
      <c r="BG24" s="654"/>
    </row>
    <row r="25" spans="1:59" ht="30" customHeight="1">
      <c r="A25" s="420"/>
      <c r="B25" s="421"/>
      <c r="C25" s="422"/>
      <c r="D25" s="422"/>
      <c r="E25" s="421"/>
      <c r="F25" s="423"/>
      <c r="G25" s="423"/>
      <c r="H25" s="421"/>
      <c r="I25" s="424"/>
      <c r="J25" s="421"/>
      <c r="K25" s="447"/>
      <c r="L25" s="424"/>
      <c r="M25" s="425"/>
      <c r="N25" s="421"/>
      <c r="O25" s="423"/>
      <c r="P25" s="421"/>
      <c r="Q25" s="421"/>
      <c r="R25" s="424"/>
      <c r="S25" s="421"/>
      <c r="T25" s="421"/>
      <c r="U25" s="585"/>
      <c r="V25" s="421"/>
      <c r="W25" s="590"/>
      <c r="X25" s="421"/>
      <c r="Y25" s="421"/>
      <c r="Z25" s="414"/>
      <c r="AA25" s="391" t="str">
        <f>IFERROR(IF(VLOOKUP($B25,'Matriz de Referencia'!$B$2:$CO$578,'Matriz de Referencia'!AM$1,FALSE)&gt;0,"Diligenciar la vigencia, tiene presupuesto programado","No diligenciar, no programo presupuesto"),"")</f>
        <v/>
      </c>
      <c r="AF25" s="637" t="str">
        <f t="shared" si="1"/>
        <v/>
      </c>
      <c r="AG25" s="391" t="str">
        <f>IFERROR(IF(VLOOKUP($B25,'Matriz de Referencia'!$B$2:$CO$578,'Matriz de Referencia'!BA$1,FALSE)&gt;0,"Diligenciar la vigencia, tiene presupuesto programado","No diligenciar, no programo presupuesto"),"")</f>
        <v/>
      </c>
      <c r="AL25" s="637" t="str">
        <f t="shared" si="2"/>
        <v/>
      </c>
      <c r="AM25" s="391" t="str">
        <f>IFERROR(IF(VLOOKUP($B25,'Matriz de Referencia'!$B$2:$CO$578,'Matriz de Referencia'!BO$1,FALSE)&gt;0,"Diligenciar la vigencia, tiene presupuesto programado","No diligenciar, no programo presupuesto"),"")</f>
        <v/>
      </c>
      <c r="AR25" s="637" t="str">
        <f t="shared" si="3"/>
        <v/>
      </c>
      <c r="AS25" s="391" t="str">
        <f>IFERROR(IF(VLOOKUP($B25,'Matriz de Referencia'!$B$2:$CO$578,'Matriz de Referencia'!CC$1,FALSE)&gt;0,"Diligenciar la vigencia, tiene presupuesto programado","No diligenciar, no programo presupuesto"),"")</f>
        <v/>
      </c>
      <c r="AX25" s="644" t="str">
        <f t="shared" si="4"/>
        <v/>
      </c>
      <c r="AY25" s="643" t="str">
        <f t="shared" si="5"/>
        <v/>
      </c>
      <c r="AZ25" s="416" t="str">
        <f t="shared" si="6"/>
        <v/>
      </c>
      <c r="BA25" s="417" t="str">
        <f>IFERROR(IF(VLOOKUP(B25,'Matriz de Referencia'!$B$3:$CQ$584,'Matriz de Referencia'!CP$1,FALSE)="","",VLOOKUP(B25,'Matriz de Referencia'!$B$3:$CQ$584,'Matriz de Referencia'!CP$1)),"")</f>
        <v/>
      </c>
      <c r="BB25" s="417" t="str">
        <f>IFERROR(IF(VLOOKUP(B25,'Matriz de Referencia'!$B$3:$CQ$584,'Matriz de Referencia'!CQ$1,FALSE)="","",VLOOKUP(B25,'Matriz de Referencia'!$B$3:$CQ$584,'Matriz de Referencia'!CQ$1)),"")</f>
        <v/>
      </c>
      <c r="BC25" s="583"/>
      <c r="BD25" s="429"/>
      <c r="BE25" s="655" t="str">
        <f t="shared" si="0"/>
        <v>Dimensión_</v>
      </c>
      <c r="BF25" s="430"/>
      <c r="BG25" s="654"/>
    </row>
    <row r="26" spans="1:59" ht="30" customHeight="1">
      <c r="A26" s="420"/>
      <c r="B26" s="421"/>
      <c r="C26" s="422"/>
      <c r="D26" s="422"/>
      <c r="E26" s="421"/>
      <c r="F26" s="423"/>
      <c r="G26" s="423"/>
      <c r="H26" s="421"/>
      <c r="I26" s="424"/>
      <c r="J26" s="421"/>
      <c r="K26" s="447"/>
      <c r="L26" s="424"/>
      <c r="M26" s="425"/>
      <c r="N26" s="421"/>
      <c r="O26" s="423"/>
      <c r="P26" s="421"/>
      <c r="Q26" s="421"/>
      <c r="R26" s="424"/>
      <c r="S26" s="421"/>
      <c r="T26" s="421"/>
      <c r="U26" s="585"/>
      <c r="V26" s="421"/>
      <c r="W26" s="590"/>
      <c r="X26" s="421"/>
      <c r="Y26" s="421"/>
      <c r="Z26" s="414"/>
      <c r="AA26" s="391" t="str">
        <f>IFERROR(IF(VLOOKUP($B26,'Matriz de Referencia'!$B$2:$CO$578,'Matriz de Referencia'!AM$1,FALSE)&gt;0,"Diligenciar la vigencia, tiene presupuesto programado","No diligenciar, no programo presupuesto"),"")</f>
        <v/>
      </c>
      <c r="AF26" s="637" t="str">
        <f t="shared" si="1"/>
        <v/>
      </c>
      <c r="AG26" s="391" t="str">
        <f>IFERROR(IF(VLOOKUP($B26,'Matriz de Referencia'!$B$2:$CO$578,'Matriz de Referencia'!BA$1,FALSE)&gt;0,"Diligenciar la vigencia, tiene presupuesto programado","No diligenciar, no programo presupuesto"),"")</f>
        <v/>
      </c>
      <c r="AL26" s="637" t="str">
        <f t="shared" si="2"/>
        <v/>
      </c>
      <c r="AM26" s="391" t="str">
        <f>IFERROR(IF(VLOOKUP($B26,'Matriz de Referencia'!$B$2:$CO$578,'Matriz de Referencia'!BO$1,FALSE)&gt;0,"Diligenciar la vigencia, tiene presupuesto programado","No diligenciar, no programo presupuesto"),"")</f>
        <v/>
      </c>
      <c r="AR26" s="637" t="str">
        <f t="shared" si="3"/>
        <v/>
      </c>
      <c r="AS26" s="391" t="str">
        <f>IFERROR(IF(VLOOKUP($B26,'Matriz de Referencia'!$B$2:$CO$578,'Matriz de Referencia'!CC$1,FALSE)&gt;0,"Diligenciar la vigencia, tiene presupuesto programado","No diligenciar, no programo presupuesto"),"")</f>
        <v/>
      </c>
      <c r="AX26" s="644" t="str">
        <f t="shared" si="4"/>
        <v/>
      </c>
      <c r="AY26" s="643" t="str">
        <f t="shared" si="5"/>
        <v/>
      </c>
      <c r="AZ26" s="416" t="str">
        <f t="shared" si="6"/>
        <v/>
      </c>
      <c r="BA26" s="417" t="str">
        <f>IFERROR(IF(VLOOKUP(B26,'Matriz de Referencia'!$B$3:$CQ$584,'Matriz de Referencia'!CP$1,FALSE)="","",VLOOKUP(B26,'Matriz de Referencia'!$B$3:$CQ$584,'Matriz de Referencia'!CP$1)),"")</f>
        <v/>
      </c>
      <c r="BB26" s="417" t="str">
        <f>IFERROR(IF(VLOOKUP(B26,'Matriz de Referencia'!$B$3:$CQ$584,'Matriz de Referencia'!CQ$1,FALSE)="","",VLOOKUP(B26,'Matriz de Referencia'!$B$3:$CQ$584,'Matriz de Referencia'!CQ$1)),"")</f>
        <v/>
      </c>
      <c r="BC26" s="583"/>
      <c r="BD26" s="429"/>
      <c r="BE26" s="655" t="str">
        <f t="shared" si="0"/>
        <v>Dimensión_</v>
      </c>
      <c r="BF26" s="430"/>
      <c r="BG26" s="654"/>
    </row>
    <row r="27" spans="1:59" ht="30" customHeight="1">
      <c r="A27" s="420"/>
      <c r="B27" s="421"/>
      <c r="C27" s="422"/>
      <c r="D27" s="422"/>
      <c r="E27" s="421"/>
      <c r="F27" s="423"/>
      <c r="G27" s="423"/>
      <c r="H27" s="421"/>
      <c r="I27" s="424"/>
      <c r="J27" s="421"/>
      <c r="K27" s="447"/>
      <c r="L27" s="424"/>
      <c r="M27" s="425"/>
      <c r="N27" s="421"/>
      <c r="O27" s="423"/>
      <c r="P27" s="421"/>
      <c r="Q27" s="421"/>
      <c r="R27" s="424"/>
      <c r="S27" s="421"/>
      <c r="T27" s="421"/>
      <c r="U27" s="585"/>
      <c r="V27" s="421"/>
      <c r="W27" s="590"/>
      <c r="X27" s="421"/>
      <c r="Y27" s="421"/>
      <c r="Z27" s="414"/>
      <c r="AA27" s="391" t="str">
        <f>IFERROR(IF(VLOOKUP($B27,'Matriz de Referencia'!$B$2:$CO$578,'Matriz de Referencia'!AM$1,FALSE)&gt;0,"Diligenciar la vigencia, tiene presupuesto programado","No diligenciar, no programo presupuesto"),"")</f>
        <v/>
      </c>
      <c r="AF27" s="637" t="str">
        <f t="shared" si="1"/>
        <v/>
      </c>
      <c r="AG27" s="391" t="str">
        <f>IFERROR(IF(VLOOKUP($B27,'Matriz de Referencia'!$B$2:$CO$578,'Matriz de Referencia'!BA$1,FALSE)&gt;0,"Diligenciar la vigencia, tiene presupuesto programado","No diligenciar, no programo presupuesto"),"")</f>
        <v/>
      </c>
      <c r="AL27" s="637" t="str">
        <f t="shared" si="2"/>
        <v/>
      </c>
      <c r="AM27" s="391" t="str">
        <f>IFERROR(IF(VLOOKUP($B27,'Matriz de Referencia'!$B$2:$CO$578,'Matriz de Referencia'!BO$1,FALSE)&gt;0,"Diligenciar la vigencia, tiene presupuesto programado","No diligenciar, no programo presupuesto"),"")</f>
        <v/>
      </c>
      <c r="AR27" s="637" t="str">
        <f t="shared" si="3"/>
        <v/>
      </c>
      <c r="AS27" s="391" t="str">
        <f>IFERROR(IF(VLOOKUP($B27,'Matriz de Referencia'!$B$2:$CO$578,'Matriz de Referencia'!CC$1,FALSE)&gt;0,"Diligenciar la vigencia, tiene presupuesto programado","No diligenciar, no programo presupuesto"),"")</f>
        <v/>
      </c>
      <c r="AX27" s="644" t="str">
        <f t="shared" si="4"/>
        <v/>
      </c>
      <c r="AY27" s="643" t="str">
        <f t="shared" si="5"/>
        <v/>
      </c>
      <c r="AZ27" s="416" t="str">
        <f t="shared" si="6"/>
        <v/>
      </c>
      <c r="BA27" s="417" t="str">
        <f>IFERROR(IF(VLOOKUP(B27,'Matriz de Referencia'!$B$3:$CQ$584,'Matriz de Referencia'!CP$1,FALSE)="","",VLOOKUP(B27,'Matriz de Referencia'!$B$3:$CQ$584,'Matriz de Referencia'!CP$1)),"")</f>
        <v/>
      </c>
      <c r="BB27" s="417" t="str">
        <f>IFERROR(IF(VLOOKUP(B27,'Matriz de Referencia'!$B$3:$CQ$584,'Matriz de Referencia'!CQ$1,FALSE)="","",VLOOKUP(B27,'Matriz de Referencia'!$B$3:$CQ$584,'Matriz de Referencia'!CQ$1)),"")</f>
        <v/>
      </c>
      <c r="BC27" s="583"/>
      <c r="BD27" s="429"/>
      <c r="BE27" s="655" t="str">
        <f t="shared" si="0"/>
        <v>Dimensión_</v>
      </c>
      <c r="BF27" s="430"/>
      <c r="BG27" s="654"/>
    </row>
    <row r="28" spans="1:59" ht="30" customHeight="1">
      <c r="A28" s="420"/>
      <c r="B28" s="421"/>
      <c r="C28" s="422"/>
      <c r="D28" s="422"/>
      <c r="E28" s="421"/>
      <c r="F28" s="423"/>
      <c r="G28" s="423"/>
      <c r="H28" s="421"/>
      <c r="I28" s="424"/>
      <c r="J28" s="421"/>
      <c r="K28" s="447"/>
      <c r="L28" s="424"/>
      <c r="M28" s="425"/>
      <c r="N28" s="421"/>
      <c r="O28" s="423"/>
      <c r="P28" s="421"/>
      <c r="Q28" s="421"/>
      <c r="R28" s="424"/>
      <c r="S28" s="421"/>
      <c r="T28" s="421"/>
      <c r="U28" s="585"/>
      <c r="V28" s="421"/>
      <c r="W28" s="590"/>
      <c r="X28" s="421"/>
      <c r="Y28" s="421"/>
      <c r="Z28" s="414"/>
      <c r="AA28" s="391" t="str">
        <f>IFERROR(IF(VLOOKUP($B28,'Matriz de Referencia'!$B$2:$CO$578,'Matriz de Referencia'!AM$1,FALSE)&gt;0,"Diligenciar la vigencia, tiene presupuesto programado","No diligenciar, no programo presupuesto"),"")</f>
        <v/>
      </c>
      <c r="AF28" s="637" t="str">
        <f t="shared" si="1"/>
        <v/>
      </c>
      <c r="AG28" s="391" t="str">
        <f>IFERROR(IF(VLOOKUP($B28,'Matriz de Referencia'!$B$2:$CO$578,'Matriz de Referencia'!BA$1,FALSE)&gt;0,"Diligenciar la vigencia, tiene presupuesto programado","No diligenciar, no programo presupuesto"),"")</f>
        <v/>
      </c>
      <c r="AL28" s="637" t="str">
        <f t="shared" si="2"/>
        <v/>
      </c>
      <c r="AM28" s="391" t="str">
        <f>IFERROR(IF(VLOOKUP($B28,'Matriz de Referencia'!$B$2:$CO$578,'Matriz de Referencia'!BO$1,FALSE)&gt;0,"Diligenciar la vigencia, tiene presupuesto programado","No diligenciar, no programo presupuesto"),"")</f>
        <v/>
      </c>
      <c r="AR28" s="637" t="str">
        <f t="shared" si="3"/>
        <v/>
      </c>
      <c r="AS28" s="391" t="str">
        <f>IFERROR(IF(VLOOKUP($B28,'Matriz de Referencia'!$B$2:$CO$578,'Matriz de Referencia'!CC$1,FALSE)&gt;0,"Diligenciar la vigencia, tiene presupuesto programado","No diligenciar, no programo presupuesto"),"")</f>
        <v/>
      </c>
      <c r="AX28" s="644" t="str">
        <f t="shared" si="4"/>
        <v/>
      </c>
      <c r="AY28" s="643" t="str">
        <f t="shared" si="5"/>
        <v/>
      </c>
      <c r="AZ28" s="416" t="str">
        <f t="shared" si="6"/>
        <v/>
      </c>
      <c r="BA28" s="417" t="str">
        <f>IFERROR(IF(VLOOKUP(B28,'Matriz de Referencia'!$B$3:$CQ$584,'Matriz de Referencia'!CP$1,FALSE)="","",VLOOKUP(B28,'Matriz de Referencia'!$B$3:$CQ$584,'Matriz de Referencia'!CP$1)),"")</f>
        <v/>
      </c>
      <c r="BB28" s="417" t="str">
        <f>IFERROR(IF(VLOOKUP(B28,'Matriz de Referencia'!$B$3:$CQ$584,'Matriz de Referencia'!CQ$1,FALSE)="","",VLOOKUP(B28,'Matriz de Referencia'!$B$3:$CQ$584,'Matriz de Referencia'!CQ$1)),"")</f>
        <v/>
      </c>
      <c r="BC28" s="583"/>
      <c r="BD28" s="429"/>
      <c r="BE28" s="655" t="str">
        <f t="shared" si="0"/>
        <v>Dimensión_</v>
      </c>
      <c r="BF28" s="430"/>
      <c r="BG28" s="654"/>
    </row>
    <row r="29" spans="1:59" ht="30" customHeight="1">
      <c r="A29" s="420"/>
      <c r="B29" s="421"/>
      <c r="C29" s="422"/>
      <c r="D29" s="422"/>
      <c r="E29" s="421"/>
      <c r="F29" s="423"/>
      <c r="G29" s="423"/>
      <c r="H29" s="421"/>
      <c r="I29" s="424"/>
      <c r="J29" s="421"/>
      <c r="K29" s="447"/>
      <c r="L29" s="424"/>
      <c r="M29" s="425"/>
      <c r="N29" s="421"/>
      <c r="O29" s="423"/>
      <c r="P29" s="421"/>
      <c r="Q29" s="421"/>
      <c r="R29" s="424"/>
      <c r="S29" s="421"/>
      <c r="T29" s="421"/>
      <c r="U29" s="585"/>
      <c r="V29" s="421"/>
      <c r="W29" s="590"/>
      <c r="X29" s="421"/>
      <c r="Y29" s="421"/>
      <c r="Z29" s="414"/>
      <c r="AA29" s="391" t="str">
        <f>IFERROR(IF(VLOOKUP($B29,'Matriz de Referencia'!$B$2:$CO$578,'Matriz de Referencia'!AM$1,FALSE)&gt;0,"Diligenciar la vigencia, tiene presupuesto programado","No diligenciar, no programo presupuesto"),"")</f>
        <v/>
      </c>
      <c r="AF29" s="637" t="str">
        <f t="shared" si="1"/>
        <v/>
      </c>
      <c r="AG29" s="391" t="str">
        <f>IFERROR(IF(VLOOKUP($B29,'Matriz de Referencia'!$B$2:$CO$578,'Matriz de Referencia'!BA$1,FALSE)&gt;0,"Diligenciar la vigencia, tiene presupuesto programado","No diligenciar, no programo presupuesto"),"")</f>
        <v/>
      </c>
      <c r="AL29" s="637" t="str">
        <f t="shared" si="2"/>
        <v/>
      </c>
      <c r="AM29" s="391" t="str">
        <f>IFERROR(IF(VLOOKUP($B29,'Matriz de Referencia'!$B$2:$CO$578,'Matriz de Referencia'!BO$1,FALSE)&gt;0,"Diligenciar la vigencia, tiene presupuesto programado","No diligenciar, no programo presupuesto"),"")</f>
        <v/>
      </c>
      <c r="AR29" s="637" t="str">
        <f t="shared" si="3"/>
        <v/>
      </c>
      <c r="AS29" s="391" t="str">
        <f>IFERROR(IF(VLOOKUP($B29,'Matriz de Referencia'!$B$2:$CO$578,'Matriz de Referencia'!CC$1,FALSE)&gt;0,"Diligenciar la vigencia, tiene presupuesto programado","No diligenciar, no programo presupuesto"),"")</f>
        <v/>
      </c>
      <c r="AX29" s="644" t="str">
        <f t="shared" si="4"/>
        <v/>
      </c>
      <c r="AY29" s="643" t="str">
        <f t="shared" si="5"/>
        <v/>
      </c>
      <c r="AZ29" s="416" t="str">
        <f t="shared" si="6"/>
        <v/>
      </c>
      <c r="BA29" s="417" t="str">
        <f>IFERROR(IF(VLOOKUP(B29,'Matriz de Referencia'!$B$3:$CQ$584,'Matriz de Referencia'!CP$1,FALSE)="","",VLOOKUP(B29,'Matriz de Referencia'!$B$3:$CQ$584,'Matriz de Referencia'!CP$1)),"")</f>
        <v/>
      </c>
      <c r="BB29" s="417" t="str">
        <f>IFERROR(IF(VLOOKUP(B29,'Matriz de Referencia'!$B$3:$CQ$584,'Matriz de Referencia'!CQ$1,FALSE)="","",VLOOKUP(B29,'Matriz de Referencia'!$B$3:$CQ$584,'Matriz de Referencia'!CQ$1)),"")</f>
        <v/>
      </c>
      <c r="BC29" s="583"/>
      <c r="BD29" s="429"/>
      <c r="BE29" s="655" t="str">
        <f t="shared" si="0"/>
        <v>Dimensión_</v>
      </c>
      <c r="BF29" s="430"/>
      <c r="BG29" s="654"/>
    </row>
    <row r="30" spans="1:59" ht="30" customHeight="1">
      <c r="A30" s="420"/>
      <c r="B30" s="421"/>
      <c r="C30" s="422"/>
      <c r="D30" s="422"/>
      <c r="E30" s="421"/>
      <c r="F30" s="423"/>
      <c r="G30" s="423"/>
      <c r="H30" s="421"/>
      <c r="I30" s="424"/>
      <c r="J30" s="421"/>
      <c r="K30" s="447"/>
      <c r="L30" s="424"/>
      <c r="M30" s="425"/>
      <c r="N30" s="421"/>
      <c r="O30" s="423"/>
      <c r="P30" s="421"/>
      <c r="Q30" s="421"/>
      <c r="R30" s="424"/>
      <c r="S30" s="421"/>
      <c r="T30" s="421"/>
      <c r="U30" s="585"/>
      <c r="V30" s="421"/>
      <c r="W30" s="590"/>
      <c r="X30" s="421"/>
      <c r="Y30" s="421"/>
      <c r="Z30" s="414"/>
      <c r="AA30" s="391" t="str">
        <f>IFERROR(IF(VLOOKUP($B30,'Matriz de Referencia'!$B$2:$CO$578,'Matriz de Referencia'!AM$1,FALSE)&gt;0,"Diligenciar la vigencia, tiene presupuesto programado","No diligenciar, no programo presupuesto"),"")</f>
        <v/>
      </c>
      <c r="AF30" s="637" t="str">
        <f t="shared" si="1"/>
        <v/>
      </c>
      <c r="AG30" s="391" t="str">
        <f>IFERROR(IF(VLOOKUP($B30,'Matriz de Referencia'!$B$2:$CO$578,'Matriz de Referencia'!BA$1,FALSE)&gt;0,"Diligenciar la vigencia, tiene presupuesto programado","No diligenciar, no programo presupuesto"),"")</f>
        <v/>
      </c>
      <c r="AL30" s="637" t="str">
        <f t="shared" si="2"/>
        <v/>
      </c>
      <c r="AM30" s="391" t="str">
        <f>IFERROR(IF(VLOOKUP($B30,'Matriz de Referencia'!$B$2:$CO$578,'Matriz de Referencia'!BO$1,FALSE)&gt;0,"Diligenciar la vigencia, tiene presupuesto programado","No diligenciar, no programo presupuesto"),"")</f>
        <v/>
      </c>
      <c r="AR30" s="637" t="str">
        <f t="shared" si="3"/>
        <v/>
      </c>
      <c r="AS30" s="391" t="str">
        <f>IFERROR(IF(VLOOKUP($B30,'Matriz de Referencia'!$B$2:$CO$578,'Matriz de Referencia'!CC$1,FALSE)&gt;0,"Diligenciar la vigencia, tiene presupuesto programado","No diligenciar, no programo presupuesto"),"")</f>
        <v/>
      </c>
      <c r="AX30" s="644" t="str">
        <f t="shared" si="4"/>
        <v/>
      </c>
      <c r="AY30" s="643" t="str">
        <f t="shared" si="5"/>
        <v/>
      </c>
      <c r="AZ30" s="416" t="str">
        <f t="shared" si="6"/>
        <v/>
      </c>
      <c r="BA30" s="417" t="str">
        <f>IFERROR(IF(VLOOKUP(B30,'Matriz de Referencia'!$B$3:$CQ$584,'Matriz de Referencia'!CP$1,FALSE)="","",VLOOKUP(B30,'Matriz de Referencia'!$B$3:$CQ$584,'Matriz de Referencia'!CP$1)),"")</f>
        <v/>
      </c>
      <c r="BB30" s="417" t="str">
        <f>IFERROR(IF(VLOOKUP(B30,'Matriz de Referencia'!$B$3:$CQ$584,'Matriz de Referencia'!CQ$1,FALSE)="","",VLOOKUP(B30,'Matriz de Referencia'!$B$3:$CQ$584,'Matriz de Referencia'!CQ$1)),"")</f>
        <v/>
      </c>
      <c r="BC30" s="583"/>
      <c r="BD30" s="429"/>
      <c r="BE30" s="655" t="str">
        <f t="shared" si="0"/>
        <v>Dimensión_</v>
      </c>
      <c r="BF30" s="430"/>
      <c r="BG30" s="654"/>
    </row>
    <row r="31" spans="1:59" ht="30" customHeight="1">
      <c r="A31" s="420"/>
      <c r="B31" s="421"/>
      <c r="C31" s="422"/>
      <c r="D31" s="422"/>
      <c r="E31" s="421"/>
      <c r="F31" s="423"/>
      <c r="G31" s="423"/>
      <c r="H31" s="421"/>
      <c r="I31" s="424"/>
      <c r="J31" s="421"/>
      <c r="K31" s="447"/>
      <c r="L31" s="424"/>
      <c r="M31" s="425"/>
      <c r="N31" s="421"/>
      <c r="O31" s="423"/>
      <c r="P31" s="421"/>
      <c r="Q31" s="421"/>
      <c r="R31" s="424"/>
      <c r="S31" s="421"/>
      <c r="T31" s="421"/>
      <c r="U31" s="585"/>
      <c r="V31" s="421"/>
      <c r="W31" s="590"/>
      <c r="X31" s="421"/>
      <c r="Y31" s="421"/>
      <c r="Z31" s="414"/>
      <c r="AA31" s="391" t="str">
        <f>IFERROR(IF(VLOOKUP($B31,'Matriz de Referencia'!$B$2:$CO$578,'Matriz de Referencia'!AM$1,FALSE)&gt;0,"Diligenciar la vigencia, tiene presupuesto programado","No diligenciar, no programo presupuesto"),"")</f>
        <v/>
      </c>
      <c r="AF31" s="637" t="str">
        <f t="shared" si="1"/>
        <v/>
      </c>
      <c r="AG31" s="391" t="str">
        <f>IFERROR(IF(VLOOKUP($B31,'Matriz de Referencia'!$B$2:$CO$578,'Matriz de Referencia'!BA$1,FALSE)&gt;0,"Diligenciar la vigencia, tiene presupuesto programado","No diligenciar, no programo presupuesto"),"")</f>
        <v/>
      </c>
      <c r="AL31" s="637" t="str">
        <f t="shared" si="2"/>
        <v/>
      </c>
      <c r="AM31" s="391" t="str">
        <f>IFERROR(IF(VLOOKUP($B31,'Matriz de Referencia'!$B$2:$CO$578,'Matriz de Referencia'!BO$1,FALSE)&gt;0,"Diligenciar la vigencia, tiene presupuesto programado","No diligenciar, no programo presupuesto"),"")</f>
        <v/>
      </c>
      <c r="AR31" s="637" t="str">
        <f t="shared" si="3"/>
        <v/>
      </c>
      <c r="AS31" s="391" t="str">
        <f>IFERROR(IF(VLOOKUP($B31,'Matriz de Referencia'!$B$2:$CO$578,'Matriz de Referencia'!CC$1,FALSE)&gt;0,"Diligenciar la vigencia, tiene presupuesto programado","No diligenciar, no programo presupuesto"),"")</f>
        <v/>
      </c>
      <c r="AX31" s="644" t="str">
        <f t="shared" si="4"/>
        <v/>
      </c>
      <c r="AY31" s="643" t="str">
        <f t="shared" si="5"/>
        <v/>
      </c>
      <c r="AZ31" s="416" t="str">
        <f t="shared" si="6"/>
        <v/>
      </c>
      <c r="BA31" s="417" t="str">
        <f>IFERROR(IF(VLOOKUP(B31,'Matriz de Referencia'!$B$3:$CQ$584,'Matriz de Referencia'!CP$1,FALSE)="","",VLOOKUP(B31,'Matriz de Referencia'!$B$3:$CQ$584,'Matriz de Referencia'!CP$1)),"")</f>
        <v/>
      </c>
      <c r="BB31" s="417" t="str">
        <f>IFERROR(IF(VLOOKUP(B31,'Matriz de Referencia'!$B$3:$CQ$584,'Matriz de Referencia'!CQ$1,FALSE)="","",VLOOKUP(B31,'Matriz de Referencia'!$B$3:$CQ$584,'Matriz de Referencia'!CQ$1)),"")</f>
        <v/>
      </c>
      <c r="BC31" s="583"/>
      <c r="BD31" s="429"/>
      <c r="BE31" s="655" t="str">
        <f t="shared" si="0"/>
        <v>Dimensión_</v>
      </c>
      <c r="BF31" s="430"/>
      <c r="BG31" s="654"/>
    </row>
    <row r="32" spans="1:59" ht="30" customHeight="1">
      <c r="A32" s="420"/>
      <c r="B32" s="421"/>
      <c r="C32" s="422"/>
      <c r="D32" s="422"/>
      <c r="E32" s="421"/>
      <c r="F32" s="423"/>
      <c r="G32" s="423"/>
      <c r="H32" s="421"/>
      <c r="I32" s="424"/>
      <c r="J32" s="421"/>
      <c r="K32" s="447"/>
      <c r="L32" s="424"/>
      <c r="M32" s="425"/>
      <c r="N32" s="421"/>
      <c r="O32" s="423"/>
      <c r="P32" s="421"/>
      <c r="Q32" s="421"/>
      <c r="R32" s="424"/>
      <c r="S32" s="421"/>
      <c r="T32" s="421"/>
      <c r="U32" s="585"/>
      <c r="V32" s="421"/>
      <c r="W32" s="590"/>
      <c r="X32" s="421"/>
      <c r="Y32" s="421"/>
      <c r="Z32" s="414"/>
      <c r="AA32" s="391" t="str">
        <f>IFERROR(IF(VLOOKUP($B32,'Matriz de Referencia'!$B$2:$CO$578,'Matriz de Referencia'!AM$1,FALSE)&gt;0,"Diligenciar la vigencia, tiene presupuesto programado","No diligenciar, no programo presupuesto"),"")</f>
        <v/>
      </c>
      <c r="AF32" s="637" t="str">
        <f t="shared" si="1"/>
        <v/>
      </c>
      <c r="AG32" s="391" t="str">
        <f>IFERROR(IF(VLOOKUP($B32,'Matriz de Referencia'!$B$2:$CO$578,'Matriz de Referencia'!BA$1,FALSE)&gt;0,"Diligenciar la vigencia, tiene presupuesto programado","No diligenciar, no programo presupuesto"),"")</f>
        <v/>
      </c>
      <c r="AL32" s="637" t="str">
        <f t="shared" si="2"/>
        <v/>
      </c>
      <c r="AM32" s="391" t="str">
        <f>IFERROR(IF(VLOOKUP($B32,'Matriz de Referencia'!$B$2:$CO$578,'Matriz de Referencia'!BO$1,FALSE)&gt;0,"Diligenciar la vigencia, tiene presupuesto programado","No diligenciar, no programo presupuesto"),"")</f>
        <v/>
      </c>
      <c r="AR32" s="637" t="str">
        <f t="shared" si="3"/>
        <v/>
      </c>
      <c r="AS32" s="391" t="str">
        <f>IFERROR(IF(VLOOKUP($B32,'Matriz de Referencia'!$B$2:$CO$578,'Matriz de Referencia'!CC$1,FALSE)&gt;0,"Diligenciar la vigencia, tiene presupuesto programado","No diligenciar, no programo presupuesto"),"")</f>
        <v/>
      </c>
      <c r="AX32" s="644" t="str">
        <f t="shared" si="4"/>
        <v/>
      </c>
      <c r="AY32" s="643" t="str">
        <f t="shared" si="5"/>
        <v/>
      </c>
      <c r="AZ32" s="416" t="str">
        <f t="shared" si="6"/>
        <v/>
      </c>
      <c r="BA32" s="417" t="str">
        <f>IFERROR(IF(VLOOKUP(B32,'Matriz de Referencia'!$B$3:$CQ$584,'Matriz de Referencia'!CP$1,FALSE)="","",VLOOKUP(B32,'Matriz de Referencia'!$B$3:$CQ$584,'Matriz de Referencia'!CP$1)),"")</f>
        <v/>
      </c>
      <c r="BB32" s="417" t="str">
        <f>IFERROR(IF(VLOOKUP(B32,'Matriz de Referencia'!$B$3:$CQ$584,'Matriz de Referencia'!CQ$1,FALSE)="","",VLOOKUP(B32,'Matriz de Referencia'!$B$3:$CQ$584,'Matriz de Referencia'!CQ$1)),"")</f>
        <v/>
      </c>
      <c r="BC32" s="583"/>
      <c r="BD32" s="429"/>
      <c r="BE32" s="655" t="str">
        <f t="shared" si="0"/>
        <v>Dimensión_</v>
      </c>
      <c r="BF32" s="430"/>
      <c r="BG32" s="654"/>
    </row>
    <row r="33" spans="1:59" ht="30" customHeight="1">
      <c r="A33" s="420"/>
      <c r="B33" s="421"/>
      <c r="C33" s="422"/>
      <c r="D33" s="422"/>
      <c r="E33" s="421"/>
      <c r="F33" s="423"/>
      <c r="G33" s="423"/>
      <c r="H33" s="421"/>
      <c r="I33" s="424"/>
      <c r="J33" s="421"/>
      <c r="K33" s="447"/>
      <c r="L33" s="424"/>
      <c r="M33" s="425"/>
      <c r="N33" s="421"/>
      <c r="O33" s="423"/>
      <c r="P33" s="421"/>
      <c r="Q33" s="421"/>
      <c r="R33" s="424"/>
      <c r="S33" s="421"/>
      <c r="T33" s="421"/>
      <c r="U33" s="585"/>
      <c r="V33" s="421"/>
      <c r="W33" s="590"/>
      <c r="X33" s="421"/>
      <c r="Y33" s="421"/>
      <c r="Z33" s="414"/>
      <c r="AA33" s="391" t="str">
        <f>IFERROR(IF(VLOOKUP($B33,'Matriz de Referencia'!$B$2:$CO$578,'Matriz de Referencia'!AM$1,FALSE)&gt;0,"Diligenciar la vigencia, tiene presupuesto programado","No diligenciar, no programo presupuesto"),"")</f>
        <v/>
      </c>
      <c r="AF33" s="637" t="str">
        <f t="shared" si="1"/>
        <v/>
      </c>
      <c r="AG33" s="391" t="str">
        <f>IFERROR(IF(VLOOKUP($B33,'Matriz de Referencia'!$B$2:$CO$578,'Matriz de Referencia'!BA$1,FALSE)&gt;0,"Diligenciar la vigencia, tiene presupuesto programado","No diligenciar, no programo presupuesto"),"")</f>
        <v/>
      </c>
      <c r="AL33" s="637" t="str">
        <f t="shared" si="2"/>
        <v/>
      </c>
      <c r="AM33" s="391" t="str">
        <f>IFERROR(IF(VLOOKUP($B33,'Matriz de Referencia'!$B$2:$CO$578,'Matriz de Referencia'!BO$1,FALSE)&gt;0,"Diligenciar la vigencia, tiene presupuesto programado","No diligenciar, no programo presupuesto"),"")</f>
        <v/>
      </c>
      <c r="AR33" s="637" t="str">
        <f t="shared" si="3"/>
        <v/>
      </c>
      <c r="AS33" s="391" t="str">
        <f>IFERROR(IF(VLOOKUP($B33,'Matriz de Referencia'!$B$2:$CO$578,'Matriz de Referencia'!CC$1,FALSE)&gt;0,"Diligenciar la vigencia, tiene presupuesto programado","No diligenciar, no programo presupuesto"),"")</f>
        <v/>
      </c>
      <c r="AX33" s="644" t="str">
        <f t="shared" si="4"/>
        <v/>
      </c>
      <c r="AY33" s="643" t="str">
        <f t="shared" si="5"/>
        <v/>
      </c>
      <c r="AZ33" s="416" t="str">
        <f t="shared" si="6"/>
        <v/>
      </c>
      <c r="BA33" s="417" t="str">
        <f>IFERROR(IF(VLOOKUP(B33,'Matriz de Referencia'!$B$3:$CQ$584,'Matriz de Referencia'!CP$1,FALSE)="","",VLOOKUP(B33,'Matriz de Referencia'!$B$3:$CQ$584,'Matriz de Referencia'!CP$1)),"")</f>
        <v/>
      </c>
      <c r="BB33" s="417" t="str">
        <f>IFERROR(IF(VLOOKUP(B33,'Matriz de Referencia'!$B$3:$CQ$584,'Matriz de Referencia'!CQ$1,FALSE)="","",VLOOKUP(B33,'Matriz de Referencia'!$B$3:$CQ$584,'Matriz de Referencia'!CQ$1)),"")</f>
        <v/>
      </c>
      <c r="BC33" s="583"/>
      <c r="BD33" s="429"/>
      <c r="BE33" s="655" t="str">
        <f t="shared" si="0"/>
        <v>Dimensión_</v>
      </c>
      <c r="BF33" s="430"/>
      <c r="BG33" s="654"/>
    </row>
    <row r="34" spans="1:59" ht="30" customHeight="1">
      <c r="A34" s="420"/>
      <c r="B34" s="421"/>
      <c r="C34" s="422"/>
      <c r="D34" s="422"/>
      <c r="E34" s="421"/>
      <c r="F34" s="423"/>
      <c r="G34" s="423"/>
      <c r="H34" s="421"/>
      <c r="I34" s="424"/>
      <c r="J34" s="421"/>
      <c r="K34" s="447"/>
      <c r="L34" s="424"/>
      <c r="M34" s="425"/>
      <c r="N34" s="421"/>
      <c r="O34" s="423"/>
      <c r="P34" s="421"/>
      <c r="Q34" s="421"/>
      <c r="R34" s="424"/>
      <c r="S34" s="421"/>
      <c r="T34" s="421"/>
      <c r="U34" s="585"/>
      <c r="V34" s="421"/>
      <c r="W34" s="590"/>
      <c r="X34" s="421"/>
      <c r="Y34" s="421"/>
      <c r="Z34" s="414"/>
      <c r="AA34" s="391" t="str">
        <f>IFERROR(IF(VLOOKUP($B34,'Matriz de Referencia'!$B$2:$CO$578,'Matriz de Referencia'!AM$1,FALSE)&gt;0,"Diligenciar la vigencia, tiene presupuesto programado","No diligenciar, no programo presupuesto"),"")</f>
        <v/>
      </c>
      <c r="AF34" s="637" t="str">
        <f t="shared" si="1"/>
        <v/>
      </c>
      <c r="AG34" s="391" t="str">
        <f>IFERROR(IF(VLOOKUP($B34,'Matriz de Referencia'!$B$2:$CO$578,'Matriz de Referencia'!BA$1,FALSE)&gt;0,"Diligenciar la vigencia, tiene presupuesto programado","No diligenciar, no programo presupuesto"),"")</f>
        <v/>
      </c>
      <c r="AL34" s="637" t="str">
        <f t="shared" si="2"/>
        <v/>
      </c>
      <c r="AM34" s="391" t="str">
        <f>IFERROR(IF(VLOOKUP($B34,'Matriz de Referencia'!$B$2:$CO$578,'Matriz de Referencia'!BO$1,FALSE)&gt;0,"Diligenciar la vigencia, tiene presupuesto programado","No diligenciar, no programo presupuesto"),"")</f>
        <v/>
      </c>
      <c r="AR34" s="637" t="str">
        <f t="shared" si="3"/>
        <v/>
      </c>
      <c r="AS34" s="391" t="str">
        <f>IFERROR(IF(VLOOKUP($B34,'Matriz de Referencia'!$B$2:$CO$578,'Matriz de Referencia'!CC$1,FALSE)&gt;0,"Diligenciar la vigencia, tiene presupuesto programado","No diligenciar, no programo presupuesto"),"")</f>
        <v/>
      </c>
      <c r="AX34" s="644" t="str">
        <f t="shared" si="4"/>
        <v/>
      </c>
      <c r="AY34" s="643" t="str">
        <f t="shared" si="5"/>
        <v/>
      </c>
      <c r="AZ34" s="416" t="str">
        <f t="shared" si="6"/>
        <v/>
      </c>
      <c r="BA34" s="417" t="str">
        <f>IFERROR(IF(VLOOKUP(B34,'Matriz de Referencia'!$B$3:$CQ$584,'Matriz de Referencia'!CP$1,FALSE)="","",VLOOKUP(B34,'Matriz de Referencia'!$B$3:$CQ$584,'Matriz de Referencia'!CP$1)),"")</f>
        <v/>
      </c>
      <c r="BB34" s="417" t="str">
        <f>IFERROR(IF(VLOOKUP(B34,'Matriz de Referencia'!$B$3:$CQ$584,'Matriz de Referencia'!CQ$1,FALSE)="","",VLOOKUP(B34,'Matriz de Referencia'!$B$3:$CQ$584,'Matriz de Referencia'!CQ$1)),"")</f>
        <v/>
      </c>
      <c r="BC34" s="583"/>
      <c r="BD34" s="429"/>
      <c r="BE34" s="655" t="str">
        <f t="shared" si="0"/>
        <v>Dimensión_</v>
      </c>
      <c r="BF34" s="430"/>
      <c r="BG34" s="654"/>
    </row>
    <row r="35" spans="1:59" ht="30" customHeight="1">
      <c r="A35" s="420"/>
      <c r="B35" s="421"/>
      <c r="C35" s="422"/>
      <c r="D35" s="422"/>
      <c r="E35" s="421"/>
      <c r="F35" s="423"/>
      <c r="G35" s="423"/>
      <c r="H35" s="421"/>
      <c r="I35" s="424"/>
      <c r="J35" s="421"/>
      <c r="K35" s="447"/>
      <c r="L35" s="424"/>
      <c r="M35" s="425"/>
      <c r="N35" s="421"/>
      <c r="O35" s="423"/>
      <c r="P35" s="421"/>
      <c r="Q35" s="421"/>
      <c r="R35" s="424"/>
      <c r="S35" s="421"/>
      <c r="T35" s="421"/>
      <c r="U35" s="585"/>
      <c r="V35" s="421"/>
      <c r="W35" s="590"/>
      <c r="X35" s="421"/>
      <c r="Y35" s="421"/>
      <c r="Z35" s="414"/>
      <c r="AA35" s="391" t="str">
        <f>IFERROR(IF(VLOOKUP($B35,'Matriz de Referencia'!$B$2:$CO$578,'Matriz de Referencia'!AM$1,FALSE)&gt;0,"Diligenciar la vigencia, tiene presupuesto programado","No diligenciar, no programo presupuesto"),"")</f>
        <v/>
      </c>
      <c r="AF35" s="637" t="str">
        <f t="shared" si="1"/>
        <v/>
      </c>
      <c r="AG35" s="391" t="str">
        <f>IFERROR(IF(VLOOKUP($B35,'Matriz de Referencia'!$B$2:$CO$578,'Matriz de Referencia'!BA$1,FALSE)&gt;0,"Diligenciar la vigencia, tiene presupuesto programado","No diligenciar, no programo presupuesto"),"")</f>
        <v/>
      </c>
      <c r="AL35" s="637" t="str">
        <f t="shared" si="2"/>
        <v/>
      </c>
      <c r="AM35" s="391" t="str">
        <f>IFERROR(IF(VLOOKUP($B35,'Matriz de Referencia'!$B$2:$CO$578,'Matriz de Referencia'!BO$1,FALSE)&gt;0,"Diligenciar la vigencia, tiene presupuesto programado","No diligenciar, no programo presupuesto"),"")</f>
        <v/>
      </c>
      <c r="AR35" s="637" t="str">
        <f t="shared" si="3"/>
        <v/>
      </c>
      <c r="AS35" s="391" t="str">
        <f>IFERROR(IF(VLOOKUP($B35,'Matriz de Referencia'!$B$2:$CO$578,'Matriz de Referencia'!CC$1,FALSE)&gt;0,"Diligenciar la vigencia, tiene presupuesto programado","No diligenciar, no programo presupuesto"),"")</f>
        <v/>
      </c>
      <c r="AX35" s="644" t="str">
        <f t="shared" si="4"/>
        <v/>
      </c>
      <c r="AY35" s="643" t="str">
        <f t="shared" si="5"/>
        <v/>
      </c>
      <c r="AZ35" s="416" t="str">
        <f t="shared" si="6"/>
        <v/>
      </c>
      <c r="BA35" s="417" t="str">
        <f>IFERROR(IF(VLOOKUP(B35,'Matriz de Referencia'!$B$3:$CQ$584,'Matriz de Referencia'!CP$1,FALSE)="","",VLOOKUP(B35,'Matriz de Referencia'!$B$3:$CQ$584,'Matriz de Referencia'!CP$1)),"")</f>
        <v/>
      </c>
      <c r="BB35" s="417" t="str">
        <f>IFERROR(IF(VLOOKUP(B35,'Matriz de Referencia'!$B$3:$CQ$584,'Matriz de Referencia'!CQ$1,FALSE)="","",VLOOKUP(B35,'Matriz de Referencia'!$B$3:$CQ$584,'Matriz de Referencia'!CQ$1)),"")</f>
        <v/>
      </c>
      <c r="BC35" s="583"/>
      <c r="BD35" s="429"/>
      <c r="BE35" s="655" t="str">
        <f t="shared" si="0"/>
        <v>Dimensión_</v>
      </c>
      <c r="BF35" s="430"/>
      <c r="BG35" s="654"/>
    </row>
    <row r="36" spans="1:59" ht="30" customHeight="1">
      <c r="A36" s="420"/>
      <c r="B36" s="421"/>
      <c r="C36" s="422"/>
      <c r="D36" s="422"/>
      <c r="E36" s="421"/>
      <c r="F36" s="423"/>
      <c r="G36" s="423"/>
      <c r="H36" s="421"/>
      <c r="I36" s="424"/>
      <c r="J36" s="421"/>
      <c r="K36" s="447"/>
      <c r="L36" s="424"/>
      <c r="M36" s="425"/>
      <c r="N36" s="421"/>
      <c r="O36" s="423"/>
      <c r="P36" s="421"/>
      <c r="Q36" s="421"/>
      <c r="R36" s="424"/>
      <c r="S36" s="421"/>
      <c r="T36" s="421"/>
      <c r="U36" s="585"/>
      <c r="V36" s="421"/>
      <c r="W36" s="590"/>
      <c r="X36" s="421"/>
      <c r="Y36" s="421"/>
      <c r="Z36" s="414"/>
      <c r="AA36" s="391" t="str">
        <f>IFERROR(IF(VLOOKUP($B36,'Matriz de Referencia'!$B$2:$CO$578,'Matriz de Referencia'!AM$1,FALSE)&gt;0,"Diligenciar la vigencia, tiene presupuesto programado","No diligenciar, no programo presupuesto"),"")</f>
        <v/>
      </c>
      <c r="AF36" s="637" t="str">
        <f t="shared" si="1"/>
        <v/>
      </c>
      <c r="AG36" s="391" t="str">
        <f>IFERROR(IF(VLOOKUP($B36,'Matriz de Referencia'!$B$2:$CO$578,'Matriz de Referencia'!BA$1,FALSE)&gt;0,"Diligenciar la vigencia, tiene presupuesto programado","No diligenciar, no programo presupuesto"),"")</f>
        <v/>
      </c>
      <c r="AL36" s="637" t="str">
        <f t="shared" si="2"/>
        <v/>
      </c>
      <c r="AM36" s="391" t="str">
        <f>IFERROR(IF(VLOOKUP($B36,'Matriz de Referencia'!$B$2:$CO$578,'Matriz de Referencia'!BO$1,FALSE)&gt;0,"Diligenciar la vigencia, tiene presupuesto programado","No diligenciar, no programo presupuesto"),"")</f>
        <v/>
      </c>
      <c r="AR36" s="637" t="str">
        <f t="shared" si="3"/>
        <v/>
      </c>
      <c r="AS36" s="391" t="str">
        <f>IFERROR(IF(VLOOKUP($B36,'Matriz de Referencia'!$B$2:$CO$578,'Matriz de Referencia'!CC$1,FALSE)&gt;0,"Diligenciar la vigencia, tiene presupuesto programado","No diligenciar, no programo presupuesto"),"")</f>
        <v/>
      </c>
      <c r="AX36" s="644" t="str">
        <f t="shared" si="4"/>
        <v/>
      </c>
      <c r="AY36" s="643" t="str">
        <f t="shared" si="5"/>
        <v/>
      </c>
      <c r="AZ36" s="416" t="str">
        <f t="shared" si="6"/>
        <v/>
      </c>
      <c r="BA36" s="417" t="str">
        <f>IFERROR(IF(VLOOKUP(B36,'Matriz de Referencia'!$B$3:$CQ$584,'Matriz de Referencia'!CP$1,FALSE)="","",VLOOKUP(B36,'Matriz de Referencia'!$B$3:$CQ$584,'Matriz de Referencia'!CP$1)),"")</f>
        <v/>
      </c>
      <c r="BB36" s="417" t="str">
        <f>IFERROR(IF(VLOOKUP(B36,'Matriz de Referencia'!$B$3:$CQ$584,'Matriz de Referencia'!CQ$1,FALSE)="","",VLOOKUP(B36,'Matriz de Referencia'!$B$3:$CQ$584,'Matriz de Referencia'!CQ$1)),"")</f>
        <v/>
      </c>
      <c r="BC36" s="583"/>
      <c r="BD36" s="429"/>
      <c r="BE36" s="655" t="str">
        <f t="shared" si="0"/>
        <v>Dimensión_</v>
      </c>
      <c r="BF36" s="430"/>
      <c r="BG36" s="654"/>
    </row>
    <row r="37" spans="1:59" ht="30" customHeight="1">
      <c r="A37" s="420"/>
      <c r="B37" s="421"/>
      <c r="C37" s="422"/>
      <c r="D37" s="422"/>
      <c r="E37" s="421"/>
      <c r="F37" s="423"/>
      <c r="G37" s="423"/>
      <c r="H37" s="421"/>
      <c r="I37" s="424"/>
      <c r="J37" s="421"/>
      <c r="K37" s="447"/>
      <c r="L37" s="424"/>
      <c r="M37" s="425"/>
      <c r="N37" s="421"/>
      <c r="O37" s="423"/>
      <c r="P37" s="421"/>
      <c r="Q37" s="421"/>
      <c r="R37" s="424"/>
      <c r="S37" s="421"/>
      <c r="T37" s="421"/>
      <c r="U37" s="585"/>
      <c r="V37" s="421"/>
      <c r="W37" s="590"/>
      <c r="X37" s="421"/>
      <c r="Y37" s="421"/>
      <c r="Z37" s="414"/>
      <c r="AA37" s="391" t="str">
        <f>IFERROR(IF(VLOOKUP($B37,'Matriz de Referencia'!$B$2:$CO$578,'Matriz de Referencia'!AM$1,FALSE)&gt;0,"Diligenciar la vigencia, tiene presupuesto programado","No diligenciar, no programo presupuesto"),"")</f>
        <v/>
      </c>
      <c r="AF37" s="637" t="str">
        <f t="shared" si="1"/>
        <v/>
      </c>
      <c r="AG37" s="391" t="str">
        <f>IFERROR(IF(VLOOKUP($B37,'Matriz de Referencia'!$B$2:$CO$578,'Matriz de Referencia'!BA$1,FALSE)&gt;0,"Diligenciar la vigencia, tiene presupuesto programado","No diligenciar, no programo presupuesto"),"")</f>
        <v/>
      </c>
      <c r="AL37" s="637" t="str">
        <f t="shared" si="2"/>
        <v/>
      </c>
      <c r="AM37" s="391" t="str">
        <f>IFERROR(IF(VLOOKUP($B37,'Matriz de Referencia'!$B$2:$CO$578,'Matriz de Referencia'!BO$1,FALSE)&gt;0,"Diligenciar la vigencia, tiene presupuesto programado","No diligenciar, no programo presupuesto"),"")</f>
        <v/>
      </c>
      <c r="AR37" s="637" t="str">
        <f t="shared" si="3"/>
        <v/>
      </c>
      <c r="AS37" s="391" t="str">
        <f>IFERROR(IF(VLOOKUP($B37,'Matriz de Referencia'!$B$2:$CO$578,'Matriz de Referencia'!CC$1,FALSE)&gt;0,"Diligenciar la vigencia, tiene presupuesto programado","No diligenciar, no programo presupuesto"),"")</f>
        <v/>
      </c>
      <c r="AX37" s="644" t="str">
        <f t="shared" si="4"/>
        <v/>
      </c>
      <c r="AY37" s="643" t="str">
        <f t="shared" si="5"/>
        <v/>
      </c>
      <c r="AZ37" s="416" t="str">
        <f t="shared" si="6"/>
        <v/>
      </c>
      <c r="BA37" s="417" t="str">
        <f>IFERROR(IF(VLOOKUP(B37,'Matriz de Referencia'!$B$3:$CQ$584,'Matriz de Referencia'!CP$1,FALSE)="","",VLOOKUP(B37,'Matriz de Referencia'!$B$3:$CQ$584,'Matriz de Referencia'!CP$1)),"")</f>
        <v/>
      </c>
      <c r="BB37" s="417" t="str">
        <f>IFERROR(IF(VLOOKUP(B37,'Matriz de Referencia'!$B$3:$CQ$584,'Matriz de Referencia'!CQ$1,FALSE)="","",VLOOKUP(B37,'Matriz de Referencia'!$B$3:$CQ$584,'Matriz de Referencia'!CQ$1)),"")</f>
        <v/>
      </c>
      <c r="BC37" s="583"/>
      <c r="BD37" s="429"/>
      <c r="BE37" s="655" t="str">
        <f t="shared" si="0"/>
        <v>Dimensión_</v>
      </c>
      <c r="BF37" s="430"/>
      <c r="BG37" s="654"/>
    </row>
    <row r="38" spans="1:59" ht="30" customHeight="1">
      <c r="A38" s="420"/>
      <c r="B38" s="421"/>
      <c r="C38" s="422"/>
      <c r="D38" s="422"/>
      <c r="E38" s="421"/>
      <c r="F38" s="423"/>
      <c r="G38" s="423"/>
      <c r="H38" s="421"/>
      <c r="I38" s="424"/>
      <c r="J38" s="421"/>
      <c r="K38" s="447"/>
      <c r="L38" s="424"/>
      <c r="M38" s="425"/>
      <c r="N38" s="421"/>
      <c r="O38" s="423"/>
      <c r="P38" s="421"/>
      <c r="Q38" s="421"/>
      <c r="R38" s="424"/>
      <c r="S38" s="421"/>
      <c r="T38" s="421"/>
      <c r="U38" s="585"/>
      <c r="V38" s="421"/>
      <c r="W38" s="590"/>
      <c r="X38" s="421"/>
      <c r="Y38" s="421"/>
      <c r="Z38" s="414"/>
      <c r="AA38" s="391" t="str">
        <f>IFERROR(IF(VLOOKUP($B38,'Matriz de Referencia'!$B$2:$CO$578,'Matriz de Referencia'!AM$1,FALSE)&gt;0,"Diligenciar la vigencia, tiene presupuesto programado","No diligenciar, no programo presupuesto"),"")</f>
        <v/>
      </c>
      <c r="AF38" s="637" t="str">
        <f t="shared" si="1"/>
        <v/>
      </c>
      <c r="AG38" s="391" t="str">
        <f>IFERROR(IF(VLOOKUP($B38,'Matriz de Referencia'!$B$2:$CO$578,'Matriz de Referencia'!BA$1,FALSE)&gt;0,"Diligenciar la vigencia, tiene presupuesto programado","No diligenciar, no programo presupuesto"),"")</f>
        <v/>
      </c>
      <c r="AL38" s="637" t="str">
        <f t="shared" si="2"/>
        <v/>
      </c>
      <c r="AM38" s="391" t="str">
        <f>IFERROR(IF(VLOOKUP($B38,'Matriz de Referencia'!$B$2:$CO$578,'Matriz de Referencia'!BO$1,FALSE)&gt;0,"Diligenciar la vigencia, tiene presupuesto programado","No diligenciar, no programo presupuesto"),"")</f>
        <v/>
      </c>
      <c r="AR38" s="637" t="str">
        <f t="shared" si="3"/>
        <v/>
      </c>
      <c r="AS38" s="391" t="str">
        <f>IFERROR(IF(VLOOKUP($B38,'Matriz de Referencia'!$B$2:$CO$578,'Matriz de Referencia'!CC$1,FALSE)&gt;0,"Diligenciar la vigencia, tiene presupuesto programado","No diligenciar, no programo presupuesto"),"")</f>
        <v/>
      </c>
      <c r="AX38" s="644" t="str">
        <f t="shared" si="4"/>
        <v/>
      </c>
      <c r="AY38" s="643" t="str">
        <f t="shared" si="5"/>
        <v/>
      </c>
      <c r="AZ38" s="416" t="str">
        <f t="shared" si="6"/>
        <v/>
      </c>
      <c r="BA38" s="417" t="str">
        <f>IFERROR(IF(VLOOKUP(B38,'Matriz de Referencia'!$B$3:$CQ$584,'Matriz de Referencia'!CP$1,FALSE)="","",VLOOKUP(B38,'Matriz de Referencia'!$B$3:$CQ$584,'Matriz de Referencia'!CP$1)),"")</f>
        <v/>
      </c>
      <c r="BB38" s="417" t="str">
        <f>IFERROR(IF(VLOOKUP(B38,'Matriz de Referencia'!$B$3:$CQ$584,'Matriz de Referencia'!CQ$1,FALSE)="","",VLOOKUP(B38,'Matriz de Referencia'!$B$3:$CQ$584,'Matriz de Referencia'!CQ$1)),"")</f>
        <v/>
      </c>
      <c r="BC38" s="583"/>
      <c r="BD38" s="429"/>
      <c r="BE38" s="655" t="str">
        <f t="shared" si="0"/>
        <v>Dimensión_</v>
      </c>
      <c r="BF38" s="430"/>
      <c r="BG38" s="654"/>
    </row>
    <row r="39" spans="1:59" ht="30" customHeight="1">
      <c r="A39" s="420"/>
      <c r="B39" s="421"/>
      <c r="C39" s="422"/>
      <c r="D39" s="422"/>
      <c r="E39" s="421"/>
      <c r="F39" s="423"/>
      <c r="G39" s="423"/>
      <c r="H39" s="421"/>
      <c r="I39" s="424"/>
      <c r="J39" s="421"/>
      <c r="K39" s="447"/>
      <c r="L39" s="424"/>
      <c r="M39" s="425"/>
      <c r="N39" s="421"/>
      <c r="O39" s="423"/>
      <c r="P39" s="421"/>
      <c r="Q39" s="421"/>
      <c r="R39" s="424"/>
      <c r="S39" s="421"/>
      <c r="T39" s="421"/>
      <c r="U39" s="585"/>
      <c r="V39" s="421"/>
      <c r="W39" s="590"/>
      <c r="X39" s="421"/>
      <c r="Y39" s="421"/>
      <c r="Z39" s="414"/>
      <c r="AA39" s="391" t="str">
        <f>IFERROR(IF(VLOOKUP($B39,'Matriz de Referencia'!$B$2:$CO$578,'Matriz de Referencia'!AM$1,FALSE)&gt;0,"Diligenciar la vigencia, tiene presupuesto programado","No diligenciar, no programo presupuesto"),"")</f>
        <v/>
      </c>
      <c r="AF39" s="637" t="str">
        <f t="shared" si="1"/>
        <v/>
      </c>
      <c r="AG39" s="391" t="str">
        <f>IFERROR(IF(VLOOKUP($B39,'Matriz de Referencia'!$B$2:$CO$578,'Matriz de Referencia'!BA$1,FALSE)&gt;0,"Diligenciar la vigencia, tiene presupuesto programado","No diligenciar, no programo presupuesto"),"")</f>
        <v/>
      </c>
      <c r="AL39" s="637" t="str">
        <f t="shared" si="2"/>
        <v/>
      </c>
      <c r="AM39" s="391" t="str">
        <f>IFERROR(IF(VLOOKUP($B39,'Matriz de Referencia'!$B$2:$CO$578,'Matriz de Referencia'!BO$1,FALSE)&gt;0,"Diligenciar la vigencia, tiene presupuesto programado","No diligenciar, no programo presupuesto"),"")</f>
        <v/>
      </c>
      <c r="AR39" s="637" t="str">
        <f t="shared" si="3"/>
        <v/>
      </c>
      <c r="AS39" s="391" t="str">
        <f>IFERROR(IF(VLOOKUP($B39,'Matriz de Referencia'!$B$2:$CO$578,'Matriz de Referencia'!CC$1,FALSE)&gt;0,"Diligenciar la vigencia, tiene presupuesto programado","No diligenciar, no programo presupuesto"),"")</f>
        <v/>
      </c>
      <c r="AX39" s="644" t="str">
        <f t="shared" si="4"/>
        <v/>
      </c>
      <c r="AY39" s="643" t="str">
        <f t="shared" si="5"/>
        <v/>
      </c>
      <c r="AZ39" s="416" t="str">
        <f t="shared" si="6"/>
        <v/>
      </c>
      <c r="BA39" s="417" t="str">
        <f>IFERROR(IF(VLOOKUP(B39,'Matriz de Referencia'!$B$3:$CQ$584,'Matriz de Referencia'!CP$1,FALSE)="","",VLOOKUP(B39,'Matriz de Referencia'!$B$3:$CQ$584,'Matriz de Referencia'!CP$1)),"")</f>
        <v/>
      </c>
      <c r="BB39" s="417" t="str">
        <f>IFERROR(IF(VLOOKUP(B39,'Matriz de Referencia'!$B$3:$CQ$584,'Matriz de Referencia'!CQ$1,FALSE)="","",VLOOKUP(B39,'Matriz de Referencia'!$B$3:$CQ$584,'Matriz de Referencia'!CQ$1)),"")</f>
        <v/>
      </c>
      <c r="BC39" s="583"/>
      <c r="BD39" s="429"/>
      <c r="BE39" s="655" t="str">
        <f t="shared" si="0"/>
        <v>Dimensión_</v>
      </c>
      <c r="BF39" s="430"/>
      <c r="BG39" s="654"/>
    </row>
    <row r="40" spans="1:59" ht="30" customHeight="1">
      <c r="A40" s="420"/>
      <c r="B40" s="421"/>
      <c r="C40" s="422"/>
      <c r="D40" s="422"/>
      <c r="E40" s="421"/>
      <c r="F40" s="423"/>
      <c r="G40" s="423"/>
      <c r="H40" s="421"/>
      <c r="I40" s="424"/>
      <c r="J40" s="421"/>
      <c r="K40" s="447"/>
      <c r="L40" s="424"/>
      <c r="M40" s="425"/>
      <c r="N40" s="421"/>
      <c r="O40" s="423"/>
      <c r="P40" s="421"/>
      <c r="Q40" s="421"/>
      <c r="R40" s="424"/>
      <c r="S40" s="421"/>
      <c r="T40" s="421"/>
      <c r="U40" s="585"/>
      <c r="V40" s="421"/>
      <c r="W40" s="590"/>
      <c r="X40" s="421"/>
      <c r="Y40" s="421"/>
      <c r="Z40" s="414"/>
      <c r="AA40" s="391" t="str">
        <f>IFERROR(IF(VLOOKUP($B40,'Matriz de Referencia'!$B$2:$CO$578,'Matriz de Referencia'!AM$1,FALSE)&gt;0,"Diligenciar la vigencia, tiene presupuesto programado","No diligenciar, no programo presupuesto"),"")</f>
        <v/>
      </c>
      <c r="AF40" s="637" t="str">
        <f t="shared" si="1"/>
        <v/>
      </c>
      <c r="AG40" s="391" t="str">
        <f>IFERROR(IF(VLOOKUP($B40,'Matriz de Referencia'!$B$2:$CO$578,'Matriz de Referencia'!BA$1,FALSE)&gt;0,"Diligenciar la vigencia, tiene presupuesto programado","No diligenciar, no programo presupuesto"),"")</f>
        <v/>
      </c>
      <c r="AL40" s="637" t="str">
        <f t="shared" si="2"/>
        <v/>
      </c>
      <c r="AM40" s="391" t="str">
        <f>IFERROR(IF(VLOOKUP($B40,'Matriz de Referencia'!$B$2:$CO$578,'Matriz de Referencia'!BO$1,FALSE)&gt;0,"Diligenciar la vigencia, tiene presupuesto programado","No diligenciar, no programo presupuesto"),"")</f>
        <v/>
      </c>
      <c r="AR40" s="637" t="str">
        <f t="shared" si="3"/>
        <v/>
      </c>
      <c r="AS40" s="391" t="str">
        <f>IFERROR(IF(VLOOKUP($B40,'Matriz de Referencia'!$B$2:$CO$578,'Matriz de Referencia'!CC$1,FALSE)&gt;0,"Diligenciar la vigencia, tiene presupuesto programado","No diligenciar, no programo presupuesto"),"")</f>
        <v/>
      </c>
      <c r="AX40" s="644" t="str">
        <f t="shared" si="4"/>
        <v/>
      </c>
      <c r="AY40" s="643" t="str">
        <f t="shared" si="5"/>
        <v/>
      </c>
      <c r="AZ40" s="416" t="str">
        <f t="shared" si="6"/>
        <v/>
      </c>
      <c r="BA40" s="417" t="str">
        <f>IFERROR(IF(VLOOKUP(B40,'Matriz de Referencia'!$B$3:$CQ$584,'Matriz de Referencia'!CP$1,FALSE)="","",VLOOKUP(B40,'Matriz de Referencia'!$B$3:$CQ$584,'Matriz de Referencia'!CP$1)),"")</f>
        <v/>
      </c>
      <c r="BB40" s="417" t="str">
        <f>IFERROR(IF(VLOOKUP(B40,'Matriz de Referencia'!$B$3:$CQ$584,'Matriz de Referencia'!CQ$1,FALSE)="","",VLOOKUP(B40,'Matriz de Referencia'!$B$3:$CQ$584,'Matriz de Referencia'!CQ$1)),"")</f>
        <v/>
      </c>
      <c r="BC40" s="583"/>
      <c r="BD40" s="429"/>
      <c r="BE40" s="655" t="str">
        <f t="shared" si="0"/>
        <v>Dimensión_</v>
      </c>
      <c r="BF40" s="430"/>
      <c r="BG40" s="654"/>
    </row>
    <row r="41" spans="1:59" ht="30" customHeight="1">
      <c r="A41" s="420"/>
      <c r="B41" s="421"/>
      <c r="C41" s="422"/>
      <c r="D41" s="422"/>
      <c r="E41" s="421"/>
      <c r="F41" s="423"/>
      <c r="G41" s="423"/>
      <c r="H41" s="421"/>
      <c r="I41" s="424"/>
      <c r="J41" s="421"/>
      <c r="K41" s="447"/>
      <c r="L41" s="424"/>
      <c r="M41" s="425"/>
      <c r="N41" s="421"/>
      <c r="O41" s="423"/>
      <c r="P41" s="421"/>
      <c r="Q41" s="421"/>
      <c r="R41" s="424"/>
      <c r="S41" s="421"/>
      <c r="T41" s="421"/>
      <c r="U41" s="585"/>
      <c r="V41" s="421"/>
      <c r="W41" s="590"/>
      <c r="X41" s="421"/>
      <c r="Y41" s="421"/>
      <c r="Z41" s="414"/>
      <c r="AA41" s="391" t="str">
        <f>IFERROR(IF(VLOOKUP($B41,'Matriz de Referencia'!$B$2:$CO$578,'Matriz de Referencia'!AM$1,FALSE)&gt;0,"Diligenciar la vigencia, tiene presupuesto programado","No diligenciar, no programo presupuesto"),"")</f>
        <v/>
      </c>
      <c r="AF41" s="637" t="str">
        <f t="shared" si="1"/>
        <v/>
      </c>
      <c r="AG41" s="391" t="str">
        <f>IFERROR(IF(VLOOKUP($B41,'Matriz de Referencia'!$B$2:$CO$578,'Matriz de Referencia'!BA$1,FALSE)&gt;0,"Diligenciar la vigencia, tiene presupuesto programado","No diligenciar, no programo presupuesto"),"")</f>
        <v/>
      </c>
      <c r="AL41" s="637" t="str">
        <f t="shared" si="2"/>
        <v/>
      </c>
      <c r="AM41" s="391" t="str">
        <f>IFERROR(IF(VLOOKUP($B41,'Matriz de Referencia'!$B$2:$CO$578,'Matriz de Referencia'!BO$1,FALSE)&gt;0,"Diligenciar la vigencia, tiene presupuesto programado","No diligenciar, no programo presupuesto"),"")</f>
        <v/>
      </c>
      <c r="AR41" s="637" t="str">
        <f t="shared" si="3"/>
        <v/>
      </c>
      <c r="AS41" s="391" t="str">
        <f>IFERROR(IF(VLOOKUP($B41,'Matriz de Referencia'!$B$2:$CO$578,'Matriz de Referencia'!CC$1,FALSE)&gt;0,"Diligenciar la vigencia, tiene presupuesto programado","No diligenciar, no programo presupuesto"),"")</f>
        <v/>
      </c>
      <c r="AX41" s="644" t="str">
        <f t="shared" si="4"/>
        <v/>
      </c>
      <c r="AY41" s="643" t="str">
        <f t="shared" si="5"/>
        <v/>
      </c>
      <c r="AZ41" s="416" t="str">
        <f t="shared" si="6"/>
        <v/>
      </c>
      <c r="BA41" s="417" t="str">
        <f>IFERROR(IF(VLOOKUP(B41,'Matriz de Referencia'!$B$3:$CQ$584,'Matriz de Referencia'!CP$1,FALSE)="","",VLOOKUP(B41,'Matriz de Referencia'!$B$3:$CQ$584,'Matriz de Referencia'!CP$1)),"")</f>
        <v/>
      </c>
      <c r="BB41" s="417" t="str">
        <f>IFERROR(IF(VLOOKUP(B41,'Matriz de Referencia'!$B$3:$CQ$584,'Matriz de Referencia'!CQ$1,FALSE)="","",VLOOKUP(B41,'Matriz de Referencia'!$B$3:$CQ$584,'Matriz de Referencia'!CQ$1)),"")</f>
        <v/>
      </c>
      <c r="BC41" s="583"/>
      <c r="BD41" s="429"/>
      <c r="BE41" s="655" t="str">
        <f t="shared" si="0"/>
        <v>Dimensión_</v>
      </c>
      <c r="BF41" s="430"/>
      <c r="BG41" s="654"/>
    </row>
    <row r="42" spans="1:59" ht="30" customHeight="1">
      <c r="A42" s="420"/>
      <c r="B42" s="421"/>
      <c r="C42" s="422"/>
      <c r="D42" s="422"/>
      <c r="E42" s="421"/>
      <c r="F42" s="423"/>
      <c r="G42" s="423"/>
      <c r="H42" s="421"/>
      <c r="I42" s="424"/>
      <c r="J42" s="421"/>
      <c r="K42" s="447"/>
      <c r="L42" s="424"/>
      <c r="M42" s="425"/>
      <c r="N42" s="421"/>
      <c r="O42" s="423"/>
      <c r="P42" s="421"/>
      <c r="Q42" s="421"/>
      <c r="R42" s="424"/>
      <c r="S42" s="421"/>
      <c r="T42" s="421"/>
      <c r="U42" s="585"/>
      <c r="V42" s="421"/>
      <c r="W42" s="590"/>
      <c r="X42" s="421"/>
      <c r="Y42" s="421"/>
      <c r="Z42" s="414"/>
      <c r="AA42" s="391" t="str">
        <f>IFERROR(IF(VLOOKUP($B42,'Matriz de Referencia'!$B$2:$CO$578,'Matriz de Referencia'!AM$1,FALSE)&gt;0,"Diligenciar la vigencia, tiene presupuesto programado","No diligenciar, no programo presupuesto"),"")</f>
        <v/>
      </c>
      <c r="AF42" s="637" t="str">
        <f t="shared" si="1"/>
        <v/>
      </c>
      <c r="AG42" s="391" t="str">
        <f>IFERROR(IF(VLOOKUP($B42,'Matriz de Referencia'!$B$2:$CO$578,'Matriz de Referencia'!BA$1,FALSE)&gt;0,"Diligenciar la vigencia, tiene presupuesto programado","No diligenciar, no programo presupuesto"),"")</f>
        <v/>
      </c>
      <c r="AL42" s="637" t="str">
        <f t="shared" si="2"/>
        <v/>
      </c>
      <c r="AM42" s="391" t="str">
        <f>IFERROR(IF(VLOOKUP($B42,'Matriz de Referencia'!$B$2:$CO$578,'Matriz de Referencia'!BO$1,FALSE)&gt;0,"Diligenciar la vigencia, tiene presupuesto programado","No diligenciar, no programo presupuesto"),"")</f>
        <v/>
      </c>
      <c r="AR42" s="637" t="str">
        <f t="shared" si="3"/>
        <v/>
      </c>
      <c r="AS42" s="391" t="str">
        <f>IFERROR(IF(VLOOKUP($B42,'Matriz de Referencia'!$B$2:$CO$578,'Matriz de Referencia'!CC$1,FALSE)&gt;0,"Diligenciar la vigencia, tiene presupuesto programado","No diligenciar, no programo presupuesto"),"")</f>
        <v/>
      </c>
      <c r="AX42" s="644" t="str">
        <f t="shared" si="4"/>
        <v/>
      </c>
      <c r="AY42" s="643" t="str">
        <f t="shared" si="5"/>
        <v/>
      </c>
      <c r="AZ42" s="416" t="str">
        <f t="shared" si="6"/>
        <v/>
      </c>
      <c r="BA42" s="417" t="str">
        <f>IFERROR(IF(VLOOKUP(B42,'Matriz de Referencia'!$B$3:$CQ$584,'Matriz de Referencia'!CP$1,FALSE)="","",VLOOKUP(B42,'Matriz de Referencia'!$B$3:$CQ$584,'Matriz de Referencia'!CP$1)),"")</f>
        <v/>
      </c>
      <c r="BB42" s="417" t="str">
        <f>IFERROR(IF(VLOOKUP(B42,'Matriz de Referencia'!$B$3:$CQ$584,'Matriz de Referencia'!CQ$1,FALSE)="","",VLOOKUP(B42,'Matriz de Referencia'!$B$3:$CQ$584,'Matriz de Referencia'!CQ$1)),"")</f>
        <v/>
      </c>
      <c r="BC42" s="583"/>
      <c r="BD42" s="429"/>
      <c r="BE42" s="655" t="str">
        <f t="shared" si="0"/>
        <v>Dimensión_</v>
      </c>
      <c r="BF42" s="430"/>
      <c r="BG42" s="654"/>
    </row>
    <row r="43" spans="1:59" ht="30" customHeight="1">
      <c r="A43" s="420"/>
      <c r="B43" s="421"/>
      <c r="C43" s="422"/>
      <c r="D43" s="422"/>
      <c r="E43" s="421"/>
      <c r="F43" s="423"/>
      <c r="G43" s="423"/>
      <c r="H43" s="421"/>
      <c r="I43" s="424"/>
      <c r="J43" s="421"/>
      <c r="K43" s="447"/>
      <c r="L43" s="424"/>
      <c r="M43" s="425"/>
      <c r="N43" s="421"/>
      <c r="O43" s="423"/>
      <c r="P43" s="421"/>
      <c r="Q43" s="421"/>
      <c r="R43" s="424"/>
      <c r="S43" s="421"/>
      <c r="T43" s="421"/>
      <c r="U43" s="585"/>
      <c r="V43" s="421"/>
      <c r="W43" s="590"/>
      <c r="X43" s="421"/>
      <c r="Y43" s="421"/>
      <c r="Z43" s="414"/>
      <c r="AA43" s="391" t="str">
        <f>IFERROR(IF(VLOOKUP($B43,'Matriz de Referencia'!$B$2:$CO$578,'Matriz de Referencia'!AM$1,FALSE)&gt;0,"Diligenciar la vigencia, tiene presupuesto programado","No diligenciar, no programo presupuesto"),"")</f>
        <v/>
      </c>
      <c r="AF43" s="637" t="str">
        <f t="shared" si="1"/>
        <v/>
      </c>
      <c r="AG43" s="391" t="str">
        <f>IFERROR(IF(VLOOKUP($B43,'Matriz de Referencia'!$B$2:$CO$578,'Matriz de Referencia'!BA$1,FALSE)&gt;0,"Diligenciar la vigencia, tiene presupuesto programado","No diligenciar, no programo presupuesto"),"")</f>
        <v/>
      </c>
      <c r="AL43" s="637" t="str">
        <f t="shared" si="2"/>
        <v/>
      </c>
      <c r="AM43" s="391" t="str">
        <f>IFERROR(IF(VLOOKUP($B43,'Matriz de Referencia'!$B$2:$CO$578,'Matriz de Referencia'!BO$1,FALSE)&gt;0,"Diligenciar la vigencia, tiene presupuesto programado","No diligenciar, no programo presupuesto"),"")</f>
        <v/>
      </c>
      <c r="AR43" s="637" t="str">
        <f t="shared" si="3"/>
        <v/>
      </c>
      <c r="AS43" s="391" t="str">
        <f>IFERROR(IF(VLOOKUP($B43,'Matriz de Referencia'!$B$2:$CO$578,'Matriz de Referencia'!CC$1,FALSE)&gt;0,"Diligenciar la vigencia, tiene presupuesto programado","No diligenciar, no programo presupuesto"),"")</f>
        <v/>
      </c>
      <c r="AX43" s="644" t="str">
        <f t="shared" si="4"/>
        <v/>
      </c>
      <c r="AY43" s="643" t="str">
        <f t="shared" si="5"/>
        <v/>
      </c>
      <c r="AZ43" s="416" t="str">
        <f t="shared" si="6"/>
        <v/>
      </c>
      <c r="BA43" s="417" t="str">
        <f>IFERROR(IF(VLOOKUP(B43,'Matriz de Referencia'!$B$3:$CQ$584,'Matriz de Referencia'!CP$1,FALSE)="","",VLOOKUP(B43,'Matriz de Referencia'!$B$3:$CQ$584,'Matriz de Referencia'!CP$1)),"")</f>
        <v/>
      </c>
      <c r="BB43" s="417" t="str">
        <f>IFERROR(IF(VLOOKUP(B43,'Matriz de Referencia'!$B$3:$CQ$584,'Matriz de Referencia'!CQ$1,FALSE)="","",VLOOKUP(B43,'Matriz de Referencia'!$B$3:$CQ$584,'Matriz de Referencia'!CQ$1)),"")</f>
        <v/>
      </c>
      <c r="BC43" s="583"/>
      <c r="BD43" s="429"/>
      <c r="BE43" s="655" t="str">
        <f t="shared" si="0"/>
        <v>Dimensión_</v>
      </c>
      <c r="BF43" s="430"/>
      <c r="BG43" s="654"/>
    </row>
    <row r="44" spans="1:59" ht="30" customHeight="1">
      <c r="A44" s="420"/>
      <c r="B44" s="421"/>
      <c r="C44" s="422"/>
      <c r="D44" s="422"/>
      <c r="E44" s="421"/>
      <c r="F44" s="423"/>
      <c r="G44" s="423"/>
      <c r="H44" s="421"/>
      <c r="I44" s="424"/>
      <c r="J44" s="421"/>
      <c r="K44" s="447"/>
      <c r="L44" s="424"/>
      <c r="M44" s="425"/>
      <c r="N44" s="421"/>
      <c r="O44" s="423"/>
      <c r="P44" s="421"/>
      <c r="Q44" s="421"/>
      <c r="R44" s="424"/>
      <c r="S44" s="421"/>
      <c r="T44" s="421"/>
      <c r="U44" s="585"/>
      <c r="V44" s="421"/>
      <c r="W44" s="590"/>
      <c r="X44" s="421"/>
      <c r="Y44" s="421"/>
      <c r="Z44" s="414"/>
      <c r="AA44" s="391" t="str">
        <f>IFERROR(IF(VLOOKUP($B44,'Matriz de Referencia'!$B$2:$CO$578,'Matriz de Referencia'!AM$1,FALSE)&gt;0,"Diligenciar la vigencia, tiene presupuesto programado","No diligenciar, no programo presupuesto"),"")</f>
        <v/>
      </c>
      <c r="AF44" s="637" t="str">
        <f t="shared" si="1"/>
        <v/>
      </c>
      <c r="AG44" s="391" t="str">
        <f>IFERROR(IF(VLOOKUP($B44,'Matriz de Referencia'!$B$2:$CO$578,'Matriz de Referencia'!BA$1,FALSE)&gt;0,"Diligenciar la vigencia, tiene presupuesto programado","No diligenciar, no programo presupuesto"),"")</f>
        <v/>
      </c>
      <c r="AL44" s="637" t="str">
        <f t="shared" si="2"/>
        <v/>
      </c>
      <c r="AM44" s="391" t="str">
        <f>IFERROR(IF(VLOOKUP($B44,'Matriz de Referencia'!$B$2:$CO$578,'Matriz de Referencia'!BO$1,FALSE)&gt;0,"Diligenciar la vigencia, tiene presupuesto programado","No diligenciar, no programo presupuesto"),"")</f>
        <v/>
      </c>
      <c r="AR44" s="637" t="str">
        <f t="shared" si="3"/>
        <v/>
      </c>
      <c r="AS44" s="391" t="str">
        <f>IFERROR(IF(VLOOKUP($B44,'Matriz de Referencia'!$B$2:$CO$578,'Matriz de Referencia'!CC$1,FALSE)&gt;0,"Diligenciar la vigencia, tiene presupuesto programado","No diligenciar, no programo presupuesto"),"")</f>
        <v/>
      </c>
      <c r="AX44" s="644" t="str">
        <f t="shared" si="4"/>
        <v/>
      </c>
      <c r="AY44" s="643" t="str">
        <f t="shared" si="5"/>
        <v/>
      </c>
      <c r="AZ44" s="416" t="str">
        <f t="shared" si="6"/>
        <v/>
      </c>
      <c r="BA44" s="417" t="str">
        <f>IFERROR(IF(VLOOKUP(B44,'Matriz de Referencia'!$B$3:$CQ$584,'Matriz de Referencia'!CP$1,FALSE)="","",VLOOKUP(B44,'Matriz de Referencia'!$B$3:$CQ$584,'Matriz de Referencia'!CP$1)),"")</f>
        <v/>
      </c>
      <c r="BB44" s="417" t="str">
        <f>IFERROR(IF(VLOOKUP(B44,'Matriz de Referencia'!$B$3:$CQ$584,'Matriz de Referencia'!CQ$1,FALSE)="","",VLOOKUP(B44,'Matriz de Referencia'!$B$3:$CQ$584,'Matriz de Referencia'!CQ$1)),"")</f>
        <v/>
      </c>
      <c r="BC44" s="583"/>
      <c r="BD44" s="429"/>
      <c r="BE44" s="655" t="str">
        <f t="shared" si="0"/>
        <v>Dimensión_</v>
      </c>
      <c r="BF44" s="430"/>
      <c r="BG44" s="654"/>
    </row>
    <row r="45" spans="1:59" ht="30" customHeight="1">
      <c r="A45" s="420"/>
      <c r="B45" s="421"/>
      <c r="C45" s="422"/>
      <c r="D45" s="422"/>
      <c r="E45" s="421"/>
      <c r="F45" s="423"/>
      <c r="G45" s="423"/>
      <c r="H45" s="421"/>
      <c r="I45" s="424"/>
      <c r="J45" s="421"/>
      <c r="K45" s="447"/>
      <c r="L45" s="424"/>
      <c r="M45" s="425"/>
      <c r="N45" s="421"/>
      <c r="O45" s="423"/>
      <c r="P45" s="421"/>
      <c r="Q45" s="421"/>
      <c r="R45" s="424"/>
      <c r="S45" s="421"/>
      <c r="T45" s="421"/>
      <c r="U45" s="585"/>
      <c r="V45" s="421"/>
      <c r="W45" s="590"/>
      <c r="X45" s="421"/>
      <c r="Y45" s="421"/>
      <c r="Z45" s="414"/>
      <c r="AA45" s="391" t="str">
        <f>IFERROR(IF(VLOOKUP($B45,'Matriz de Referencia'!$B$2:$CO$578,'Matriz de Referencia'!AM$1,FALSE)&gt;0,"Diligenciar la vigencia, tiene presupuesto programado","No diligenciar, no programo presupuesto"),"")</f>
        <v/>
      </c>
      <c r="AF45" s="637" t="str">
        <f t="shared" si="1"/>
        <v/>
      </c>
      <c r="AG45" s="391" t="str">
        <f>IFERROR(IF(VLOOKUP($B45,'Matriz de Referencia'!$B$2:$CO$578,'Matriz de Referencia'!BA$1,FALSE)&gt;0,"Diligenciar la vigencia, tiene presupuesto programado","No diligenciar, no programo presupuesto"),"")</f>
        <v/>
      </c>
      <c r="AL45" s="637" t="str">
        <f t="shared" si="2"/>
        <v/>
      </c>
      <c r="AM45" s="391" t="str">
        <f>IFERROR(IF(VLOOKUP($B45,'Matriz de Referencia'!$B$2:$CO$578,'Matriz de Referencia'!BO$1,FALSE)&gt;0,"Diligenciar la vigencia, tiene presupuesto programado","No diligenciar, no programo presupuesto"),"")</f>
        <v/>
      </c>
      <c r="AR45" s="637" t="str">
        <f t="shared" si="3"/>
        <v/>
      </c>
      <c r="AS45" s="391" t="str">
        <f>IFERROR(IF(VLOOKUP($B45,'Matriz de Referencia'!$B$2:$CO$578,'Matriz de Referencia'!CC$1,FALSE)&gt;0,"Diligenciar la vigencia, tiene presupuesto programado","No diligenciar, no programo presupuesto"),"")</f>
        <v/>
      </c>
      <c r="AX45" s="644" t="str">
        <f t="shared" si="4"/>
        <v/>
      </c>
      <c r="AY45" s="643" t="str">
        <f t="shared" si="5"/>
        <v/>
      </c>
      <c r="AZ45" s="416" t="str">
        <f t="shared" si="6"/>
        <v/>
      </c>
      <c r="BA45" s="417" t="str">
        <f>IFERROR(IF(VLOOKUP(B45,'Matriz de Referencia'!$B$3:$CQ$584,'Matriz de Referencia'!CP$1,FALSE)="","",VLOOKUP(B45,'Matriz de Referencia'!$B$3:$CQ$584,'Matriz de Referencia'!CP$1)),"")</f>
        <v/>
      </c>
      <c r="BB45" s="417" t="str">
        <f>IFERROR(IF(VLOOKUP(B45,'Matriz de Referencia'!$B$3:$CQ$584,'Matriz de Referencia'!CQ$1,FALSE)="","",VLOOKUP(B45,'Matriz de Referencia'!$B$3:$CQ$584,'Matriz de Referencia'!CQ$1)),"")</f>
        <v/>
      </c>
      <c r="BC45" s="583"/>
      <c r="BD45" s="429"/>
      <c r="BE45" s="655" t="str">
        <f t="shared" si="0"/>
        <v>Dimensión_</v>
      </c>
      <c r="BF45" s="430"/>
      <c r="BG45" s="654"/>
    </row>
    <row r="46" spans="1:59" ht="30" customHeight="1">
      <c r="A46" s="420"/>
      <c r="B46" s="421"/>
      <c r="C46" s="422"/>
      <c r="D46" s="422"/>
      <c r="E46" s="421"/>
      <c r="F46" s="423"/>
      <c r="G46" s="423"/>
      <c r="H46" s="421"/>
      <c r="I46" s="424"/>
      <c r="J46" s="421"/>
      <c r="K46" s="447"/>
      <c r="L46" s="424"/>
      <c r="M46" s="425"/>
      <c r="N46" s="421"/>
      <c r="O46" s="423"/>
      <c r="P46" s="421"/>
      <c r="Q46" s="421"/>
      <c r="R46" s="424"/>
      <c r="S46" s="421"/>
      <c r="T46" s="421"/>
      <c r="U46" s="585"/>
      <c r="V46" s="421"/>
      <c r="W46" s="590"/>
      <c r="X46" s="421"/>
      <c r="Y46" s="421"/>
      <c r="Z46" s="414"/>
      <c r="AA46" s="391" t="str">
        <f>IFERROR(IF(VLOOKUP($B46,'Matriz de Referencia'!$B$2:$CO$578,'Matriz de Referencia'!AM$1,FALSE)&gt;0,"Diligenciar la vigencia, tiene presupuesto programado","No diligenciar, no programo presupuesto"),"")</f>
        <v/>
      </c>
      <c r="AF46" s="637" t="str">
        <f t="shared" si="1"/>
        <v/>
      </c>
      <c r="AG46" s="391" t="str">
        <f>IFERROR(IF(VLOOKUP($B46,'Matriz de Referencia'!$B$2:$CO$578,'Matriz de Referencia'!BA$1,FALSE)&gt;0,"Diligenciar la vigencia, tiene presupuesto programado","No diligenciar, no programo presupuesto"),"")</f>
        <v/>
      </c>
      <c r="AL46" s="637" t="str">
        <f t="shared" si="2"/>
        <v/>
      </c>
      <c r="AM46" s="391" t="str">
        <f>IFERROR(IF(VLOOKUP($B46,'Matriz de Referencia'!$B$2:$CO$578,'Matriz de Referencia'!BO$1,FALSE)&gt;0,"Diligenciar la vigencia, tiene presupuesto programado","No diligenciar, no programo presupuesto"),"")</f>
        <v/>
      </c>
      <c r="AR46" s="637" t="str">
        <f t="shared" si="3"/>
        <v/>
      </c>
      <c r="AS46" s="391" t="str">
        <f>IFERROR(IF(VLOOKUP($B46,'Matriz de Referencia'!$B$2:$CO$578,'Matriz de Referencia'!CC$1,FALSE)&gt;0,"Diligenciar la vigencia, tiene presupuesto programado","No diligenciar, no programo presupuesto"),"")</f>
        <v/>
      </c>
      <c r="AX46" s="644" t="str">
        <f t="shared" si="4"/>
        <v/>
      </c>
      <c r="AY46" s="643" t="str">
        <f t="shared" si="5"/>
        <v/>
      </c>
      <c r="AZ46" s="416" t="str">
        <f t="shared" si="6"/>
        <v/>
      </c>
      <c r="BA46" s="417" t="str">
        <f>IFERROR(IF(VLOOKUP(B46,'Matriz de Referencia'!$B$3:$CQ$584,'Matriz de Referencia'!CP$1,FALSE)="","",VLOOKUP(B46,'Matriz de Referencia'!$B$3:$CQ$584,'Matriz de Referencia'!CP$1)),"")</f>
        <v/>
      </c>
      <c r="BB46" s="417" t="str">
        <f>IFERROR(IF(VLOOKUP(B46,'Matriz de Referencia'!$B$3:$CQ$584,'Matriz de Referencia'!CQ$1,FALSE)="","",VLOOKUP(B46,'Matriz de Referencia'!$B$3:$CQ$584,'Matriz de Referencia'!CQ$1)),"")</f>
        <v/>
      </c>
      <c r="BC46" s="583"/>
      <c r="BD46" s="429"/>
      <c r="BE46" s="655" t="str">
        <f t="shared" si="0"/>
        <v>Dimensión_</v>
      </c>
      <c r="BF46" s="430"/>
      <c r="BG46" s="654"/>
    </row>
    <row r="47" spans="1:59" ht="30" customHeight="1">
      <c r="A47" s="420"/>
      <c r="B47" s="421"/>
      <c r="C47" s="422"/>
      <c r="D47" s="422"/>
      <c r="E47" s="421"/>
      <c r="F47" s="423"/>
      <c r="G47" s="423"/>
      <c r="H47" s="421"/>
      <c r="I47" s="424"/>
      <c r="J47" s="421"/>
      <c r="K47" s="447"/>
      <c r="L47" s="424"/>
      <c r="M47" s="425"/>
      <c r="N47" s="421"/>
      <c r="O47" s="423"/>
      <c r="P47" s="421"/>
      <c r="Q47" s="421"/>
      <c r="R47" s="424"/>
      <c r="S47" s="421"/>
      <c r="T47" s="421"/>
      <c r="U47" s="585"/>
      <c r="V47" s="421"/>
      <c r="W47" s="590"/>
      <c r="X47" s="421"/>
      <c r="Y47" s="421"/>
      <c r="Z47" s="414"/>
      <c r="AA47" s="391" t="str">
        <f>IFERROR(IF(VLOOKUP($B47,'Matriz de Referencia'!$B$2:$CO$578,'Matriz de Referencia'!AM$1,FALSE)&gt;0,"Diligenciar la vigencia, tiene presupuesto programado","No diligenciar, no programo presupuesto"),"")</f>
        <v/>
      </c>
      <c r="AF47" s="637" t="str">
        <f t="shared" si="1"/>
        <v/>
      </c>
      <c r="AG47" s="391" t="str">
        <f>IFERROR(IF(VLOOKUP($B47,'Matriz de Referencia'!$B$2:$CO$578,'Matriz de Referencia'!BA$1,FALSE)&gt;0,"Diligenciar la vigencia, tiene presupuesto programado","No diligenciar, no programo presupuesto"),"")</f>
        <v/>
      </c>
      <c r="AL47" s="637" t="str">
        <f t="shared" si="2"/>
        <v/>
      </c>
      <c r="AM47" s="391" t="str">
        <f>IFERROR(IF(VLOOKUP($B47,'Matriz de Referencia'!$B$2:$CO$578,'Matriz de Referencia'!BO$1,FALSE)&gt;0,"Diligenciar la vigencia, tiene presupuesto programado","No diligenciar, no programo presupuesto"),"")</f>
        <v/>
      </c>
      <c r="AR47" s="637" t="str">
        <f t="shared" si="3"/>
        <v/>
      </c>
      <c r="AS47" s="391" t="str">
        <f>IFERROR(IF(VLOOKUP($B47,'Matriz de Referencia'!$B$2:$CO$578,'Matriz de Referencia'!CC$1,FALSE)&gt;0,"Diligenciar la vigencia, tiene presupuesto programado","No diligenciar, no programo presupuesto"),"")</f>
        <v/>
      </c>
      <c r="AX47" s="644" t="str">
        <f t="shared" si="4"/>
        <v/>
      </c>
      <c r="AY47" s="643" t="str">
        <f t="shared" si="5"/>
        <v/>
      </c>
      <c r="AZ47" s="416" t="str">
        <f t="shared" si="6"/>
        <v/>
      </c>
      <c r="BA47" s="417" t="str">
        <f>IFERROR(IF(VLOOKUP(B47,'Matriz de Referencia'!$B$3:$CQ$584,'Matriz de Referencia'!CP$1,FALSE)="","",VLOOKUP(B47,'Matriz de Referencia'!$B$3:$CQ$584,'Matriz de Referencia'!CP$1)),"")</f>
        <v/>
      </c>
      <c r="BB47" s="417" t="str">
        <f>IFERROR(IF(VLOOKUP(B47,'Matriz de Referencia'!$B$3:$CQ$584,'Matriz de Referencia'!CQ$1,FALSE)="","",VLOOKUP(B47,'Matriz de Referencia'!$B$3:$CQ$584,'Matriz de Referencia'!CQ$1)),"")</f>
        <v/>
      </c>
      <c r="BC47" s="583"/>
      <c r="BD47" s="429"/>
      <c r="BE47" s="655" t="str">
        <f t="shared" si="0"/>
        <v>Dimensión_</v>
      </c>
      <c r="BF47" s="430"/>
      <c r="BG47" s="654"/>
    </row>
    <row r="48" spans="1:59" ht="30" customHeight="1">
      <c r="A48" s="420"/>
      <c r="B48" s="421"/>
      <c r="C48" s="422"/>
      <c r="D48" s="422"/>
      <c r="E48" s="421"/>
      <c r="F48" s="423"/>
      <c r="G48" s="423"/>
      <c r="H48" s="421"/>
      <c r="I48" s="424"/>
      <c r="J48" s="421"/>
      <c r="K48" s="447"/>
      <c r="L48" s="424"/>
      <c r="M48" s="425"/>
      <c r="N48" s="421"/>
      <c r="O48" s="423"/>
      <c r="P48" s="421"/>
      <c r="Q48" s="421"/>
      <c r="R48" s="424"/>
      <c r="S48" s="421"/>
      <c r="T48" s="421"/>
      <c r="U48" s="585"/>
      <c r="V48" s="421"/>
      <c r="W48" s="590"/>
      <c r="X48" s="421"/>
      <c r="Y48" s="421"/>
      <c r="Z48" s="414"/>
      <c r="AA48" s="391" t="str">
        <f>IFERROR(IF(VLOOKUP($B48,'Matriz de Referencia'!$B$2:$CO$578,'Matriz de Referencia'!AM$1,FALSE)&gt;0,"Diligenciar la vigencia, tiene presupuesto programado","No diligenciar, no programo presupuesto"),"")</f>
        <v/>
      </c>
      <c r="AF48" s="637" t="str">
        <f t="shared" si="1"/>
        <v/>
      </c>
      <c r="AG48" s="391" t="str">
        <f>IFERROR(IF(VLOOKUP($B48,'Matriz de Referencia'!$B$2:$CO$578,'Matriz de Referencia'!BA$1,FALSE)&gt;0,"Diligenciar la vigencia, tiene presupuesto programado","No diligenciar, no programo presupuesto"),"")</f>
        <v/>
      </c>
      <c r="AL48" s="637" t="str">
        <f t="shared" si="2"/>
        <v/>
      </c>
      <c r="AM48" s="391" t="str">
        <f>IFERROR(IF(VLOOKUP($B48,'Matriz de Referencia'!$B$2:$CO$578,'Matriz de Referencia'!BO$1,FALSE)&gt;0,"Diligenciar la vigencia, tiene presupuesto programado","No diligenciar, no programo presupuesto"),"")</f>
        <v/>
      </c>
      <c r="AR48" s="637" t="str">
        <f t="shared" si="3"/>
        <v/>
      </c>
      <c r="AS48" s="391" t="str">
        <f>IFERROR(IF(VLOOKUP($B48,'Matriz de Referencia'!$B$2:$CO$578,'Matriz de Referencia'!CC$1,FALSE)&gt;0,"Diligenciar la vigencia, tiene presupuesto programado","No diligenciar, no programo presupuesto"),"")</f>
        <v/>
      </c>
      <c r="AX48" s="644" t="str">
        <f t="shared" si="4"/>
        <v/>
      </c>
      <c r="AY48" s="643" t="str">
        <f t="shared" si="5"/>
        <v/>
      </c>
      <c r="AZ48" s="416" t="str">
        <f t="shared" si="6"/>
        <v/>
      </c>
      <c r="BA48" s="417" t="str">
        <f>IFERROR(IF(VLOOKUP(B48,'Matriz de Referencia'!$B$3:$CQ$584,'Matriz de Referencia'!CP$1,FALSE)="","",VLOOKUP(B48,'Matriz de Referencia'!$B$3:$CQ$584,'Matriz de Referencia'!CP$1)),"")</f>
        <v/>
      </c>
      <c r="BB48" s="417" t="str">
        <f>IFERROR(IF(VLOOKUP(B48,'Matriz de Referencia'!$B$3:$CQ$584,'Matriz de Referencia'!CQ$1,FALSE)="","",VLOOKUP(B48,'Matriz de Referencia'!$B$3:$CQ$584,'Matriz de Referencia'!CQ$1)),"")</f>
        <v/>
      </c>
      <c r="BC48" s="583"/>
      <c r="BD48" s="429"/>
      <c r="BE48" s="655" t="str">
        <f t="shared" si="0"/>
        <v>Dimensión_</v>
      </c>
      <c r="BF48" s="430"/>
      <c r="BG48" s="654"/>
    </row>
    <row r="49" spans="1:59" ht="30" customHeight="1">
      <c r="A49" s="420"/>
      <c r="B49" s="421"/>
      <c r="C49" s="422"/>
      <c r="D49" s="422"/>
      <c r="E49" s="421"/>
      <c r="F49" s="423"/>
      <c r="G49" s="423"/>
      <c r="H49" s="421"/>
      <c r="I49" s="424"/>
      <c r="J49" s="421"/>
      <c r="K49" s="447"/>
      <c r="L49" s="424"/>
      <c r="M49" s="425"/>
      <c r="N49" s="421"/>
      <c r="O49" s="423"/>
      <c r="P49" s="421"/>
      <c r="Q49" s="421"/>
      <c r="R49" s="424"/>
      <c r="S49" s="421"/>
      <c r="T49" s="421"/>
      <c r="U49" s="585"/>
      <c r="V49" s="421"/>
      <c r="W49" s="590"/>
      <c r="X49" s="421"/>
      <c r="Y49" s="421"/>
      <c r="Z49" s="414"/>
      <c r="AA49" s="391" t="str">
        <f>IFERROR(IF(VLOOKUP($B49,'Matriz de Referencia'!$B$2:$CO$578,'Matriz de Referencia'!AM$1,FALSE)&gt;0,"Diligenciar la vigencia, tiene presupuesto programado","No diligenciar, no programo presupuesto"),"")</f>
        <v/>
      </c>
      <c r="AF49" s="637" t="str">
        <f t="shared" si="1"/>
        <v/>
      </c>
      <c r="AG49" s="391" t="str">
        <f>IFERROR(IF(VLOOKUP($B49,'Matriz de Referencia'!$B$2:$CO$578,'Matriz de Referencia'!BA$1,FALSE)&gt;0,"Diligenciar la vigencia, tiene presupuesto programado","No diligenciar, no programo presupuesto"),"")</f>
        <v/>
      </c>
      <c r="AL49" s="637" t="str">
        <f t="shared" si="2"/>
        <v/>
      </c>
      <c r="AM49" s="391" t="str">
        <f>IFERROR(IF(VLOOKUP($B49,'Matriz de Referencia'!$B$2:$CO$578,'Matriz de Referencia'!BO$1,FALSE)&gt;0,"Diligenciar la vigencia, tiene presupuesto programado","No diligenciar, no programo presupuesto"),"")</f>
        <v/>
      </c>
      <c r="AR49" s="637" t="str">
        <f t="shared" si="3"/>
        <v/>
      </c>
      <c r="AS49" s="391" t="str">
        <f>IFERROR(IF(VLOOKUP($B49,'Matriz de Referencia'!$B$2:$CO$578,'Matriz de Referencia'!CC$1,FALSE)&gt;0,"Diligenciar la vigencia, tiene presupuesto programado","No diligenciar, no programo presupuesto"),"")</f>
        <v/>
      </c>
      <c r="AX49" s="644" t="str">
        <f t="shared" si="4"/>
        <v/>
      </c>
      <c r="AY49" s="643" t="str">
        <f t="shared" si="5"/>
        <v/>
      </c>
      <c r="AZ49" s="416" t="str">
        <f t="shared" si="6"/>
        <v/>
      </c>
      <c r="BA49" s="417" t="str">
        <f>IFERROR(IF(VLOOKUP(B49,'Matriz de Referencia'!$B$3:$CQ$584,'Matriz de Referencia'!CP$1,FALSE)="","",VLOOKUP(B49,'Matriz de Referencia'!$B$3:$CQ$584,'Matriz de Referencia'!CP$1)),"")</f>
        <v/>
      </c>
      <c r="BB49" s="417" t="str">
        <f>IFERROR(IF(VLOOKUP(B49,'Matriz de Referencia'!$B$3:$CQ$584,'Matriz de Referencia'!CQ$1,FALSE)="","",VLOOKUP(B49,'Matriz de Referencia'!$B$3:$CQ$584,'Matriz de Referencia'!CQ$1)),"")</f>
        <v/>
      </c>
      <c r="BC49" s="583"/>
      <c r="BD49" s="429"/>
      <c r="BE49" s="655" t="str">
        <f t="shared" si="0"/>
        <v>Dimensión_</v>
      </c>
      <c r="BF49" s="430"/>
      <c r="BG49" s="654"/>
    </row>
    <row r="50" spans="1:59" ht="30" customHeight="1">
      <c r="A50" s="420"/>
      <c r="B50" s="421"/>
      <c r="C50" s="422"/>
      <c r="D50" s="422"/>
      <c r="E50" s="421"/>
      <c r="F50" s="423"/>
      <c r="G50" s="423"/>
      <c r="H50" s="421"/>
      <c r="I50" s="424"/>
      <c r="J50" s="421"/>
      <c r="K50" s="447"/>
      <c r="L50" s="424"/>
      <c r="M50" s="425"/>
      <c r="N50" s="421"/>
      <c r="O50" s="423"/>
      <c r="P50" s="421"/>
      <c r="Q50" s="421"/>
      <c r="R50" s="424"/>
      <c r="S50" s="421"/>
      <c r="T50" s="421"/>
      <c r="U50" s="585"/>
      <c r="V50" s="421"/>
      <c r="W50" s="590"/>
      <c r="X50" s="421"/>
      <c r="Y50" s="421"/>
      <c r="Z50" s="414"/>
      <c r="AA50" s="391" t="str">
        <f>IFERROR(IF(VLOOKUP($B50,'Matriz de Referencia'!$B$2:$CO$578,'Matriz de Referencia'!AM$1,FALSE)&gt;0,"Diligenciar la vigencia, tiene presupuesto programado","No diligenciar, no programo presupuesto"),"")</f>
        <v/>
      </c>
      <c r="AF50" s="637" t="str">
        <f t="shared" si="1"/>
        <v/>
      </c>
      <c r="AG50" s="391" t="str">
        <f>IFERROR(IF(VLOOKUP($B50,'Matriz de Referencia'!$B$2:$CO$578,'Matriz de Referencia'!BA$1,FALSE)&gt;0,"Diligenciar la vigencia, tiene presupuesto programado","No diligenciar, no programo presupuesto"),"")</f>
        <v/>
      </c>
      <c r="AL50" s="637" t="str">
        <f t="shared" si="2"/>
        <v/>
      </c>
      <c r="AM50" s="391" t="str">
        <f>IFERROR(IF(VLOOKUP($B50,'Matriz de Referencia'!$B$2:$CO$578,'Matriz de Referencia'!BO$1,FALSE)&gt;0,"Diligenciar la vigencia, tiene presupuesto programado","No diligenciar, no programo presupuesto"),"")</f>
        <v/>
      </c>
      <c r="AR50" s="637" t="str">
        <f t="shared" si="3"/>
        <v/>
      </c>
      <c r="AS50" s="391" t="str">
        <f>IFERROR(IF(VLOOKUP($B50,'Matriz de Referencia'!$B$2:$CO$578,'Matriz de Referencia'!CC$1,FALSE)&gt;0,"Diligenciar la vigencia, tiene presupuesto programado","No diligenciar, no programo presupuesto"),"")</f>
        <v/>
      </c>
      <c r="AX50" s="644" t="str">
        <f t="shared" si="4"/>
        <v/>
      </c>
      <c r="AY50" s="643" t="str">
        <f t="shared" si="5"/>
        <v/>
      </c>
      <c r="AZ50" s="416" t="str">
        <f t="shared" si="6"/>
        <v/>
      </c>
      <c r="BA50" s="417" t="str">
        <f>IFERROR(IF(VLOOKUP(B50,'Matriz de Referencia'!$B$3:$CQ$584,'Matriz de Referencia'!CP$1,FALSE)="","",VLOOKUP(B50,'Matriz de Referencia'!$B$3:$CQ$584,'Matriz de Referencia'!CP$1)),"")</f>
        <v/>
      </c>
      <c r="BB50" s="417" t="str">
        <f>IFERROR(IF(VLOOKUP(B50,'Matriz de Referencia'!$B$3:$CQ$584,'Matriz de Referencia'!CQ$1,FALSE)="","",VLOOKUP(B50,'Matriz de Referencia'!$B$3:$CQ$584,'Matriz de Referencia'!CQ$1)),"")</f>
        <v/>
      </c>
      <c r="BC50" s="583"/>
      <c r="BD50" s="429"/>
      <c r="BE50" s="655" t="str">
        <f t="shared" si="0"/>
        <v>Dimensión_</v>
      </c>
      <c r="BF50" s="430"/>
      <c r="BG50" s="654"/>
    </row>
    <row r="51" spans="1:59" ht="30" customHeight="1">
      <c r="A51" s="420"/>
      <c r="B51" s="421"/>
      <c r="C51" s="422"/>
      <c r="D51" s="422"/>
      <c r="E51" s="421"/>
      <c r="F51" s="423"/>
      <c r="G51" s="423"/>
      <c r="H51" s="421"/>
      <c r="I51" s="424"/>
      <c r="J51" s="421"/>
      <c r="K51" s="447"/>
      <c r="L51" s="424"/>
      <c r="M51" s="425"/>
      <c r="N51" s="421"/>
      <c r="O51" s="423"/>
      <c r="P51" s="421"/>
      <c r="Q51" s="421"/>
      <c r="R51" s="424"/>
      <c r="S51" s="421"/>
      <c r="T51" s="421"/>
      <c r="U51" s="585"/>
      <c r="V51" s="421"/>
      <c r="W51" s="590"/>
      <c r="X51" s="421"/>
      <c r="Y51" s="421"/>
      <c r="Z51" s="414"/>
      <c r="AA51" s="391" t="str">
        <f>IFERROR(IF(VLOOKUP($B51,'Matriz de Referencia'!$B$2:$CO$578,'Matriz de Referencia'!AM$1,FALSE)&gt;0,"Diligenciar la vigencia, tiene presupuesto programado","No diligenciar, no programo presupuesto"),"")</f>
        <v/>
      </c>
      <c r="AF51" s="637" t="str">
        <f t="shared" si="1"/>
        <v/>
      </c>
      <c r="AG51" s="391" t="str">
        <f>IFERROR(IF(VLOOKUP($B51,'Matriz de Referencia'!$B$2:$CO$578,'Matriz de Referencia'!BA$1,FALSE)&gt;0,"Diligenciar la vigencia, tiene presupuesto programado","No diligenciar, no programo presupuesto"),"")</f>
        <v/>
      </c>
      <c r="AL51" s="637" t="str">
        <f t="shared" si="2"/>
        <v/>
      </c>
      <c r="AM51" s="391" t="str">
        <f>IFERROR(IF(VLOOKUP($B51,'Matriz de Referencia'!$B$2:$CO$578,'Matriz de Referencia'!BO$1,FALSE)&gt;0,"Diligenciar la vigencia, tiene presupuesto programado","No diligenciar, no programo presupuesto"),"")</f>
        <v/>
      </c>
      <c r="AR51" s="637" t="str">
        <f t="shared" si="3"/>
        <v/>
      </c>
      <c r="AS51" s="391" t="str">
        <f>IFERROR(IF(VLOOKUP($B51,'Matriz de Referencia'!$B$2:$CO$578,'Matriz de Referencia'!CC$1,FALSE)&gt;0,"Diligenciar la vigencia, tiene presupuesto programado","No diligenciar, no programo presupuesto"),"")</f>
        <v/>
      </c>
      <c r="AX51" s="644" t="str">
        <f t="shared" si="4"/>
        <v/>
      </c>
      <c r="AY51" s="643" t="str">
        <f t="shared" si="5"/>
        <v/>
      </c>
      <c r="AZ51" s="416" t="str">
        <f t="shared" si="6"/>
        <v/>
      </c>
      <c r="BA51" s="417" t="str">
        <f>IFERROR(IF(VLOOKUP(B51,'Matriz de Referencia'!$B$3:$CQ$584,'Matriz de Referencia'!CP$1,FALSE)="","",VLOOKUP(B51,'Matriz de Referencia'!$B$3:$CQ$584,'Matriz de Referencia'!CP$1)),"")</f>
        <v/>
      </c>
      <c r="BB51" s="417" t="str">
        <f>IFERROR(IF(VLOOKUP(B51,'Matriz de Referencia'!$B$3:$CQ$584,'Matriz de Referencia'!CQ$1,FALSE)="","",VLOOKUP(B51,'Matriz de Referencia'!$B$3:$CQ$584,'Matriz de Referencia'!CQ$1)),"")</f>
        <v/>
      </c>
      <c r="BC51" s="583"/>
      <c r="BD51" s="429"/>
      <c r="BE51" s="655" t="str">
        <f t="shared" si="0"/>
        <v>Dimensión_</v>
      </c>
      <c r="BF51" s="430"/>
      <c r="BG51" s="654"/>
    </row>
    <row r="52" spans="1:59" ht="30" customHeight="1">
      <c r="A52" s="420"/>
      <c r="B52" s="421"/>
      <c r="C52" s="422"/>
      <c r="D52" s="422"/>
      <c r="E52" s="421"/>
      <c r="F52" s="423"/>
      <c r="G52" s="423"/>
      <c r="H52" s="421"/>
      <c r="I52" s="424"/>
      <c r="J52" s="421"/>
      <c r="K52" s="447"/>
      <c r="L52" s="424"/>
      <c r="M52" s="425"/>
      <c r="N52" s="421"/>
      <c r="O52" s="423"/>
      <c r="P52" s="421"/>
      <c r="Q52" s="421"/>
      <c r="R52" s="424"/>
      <c r="S52" s="421"/>
      <c r="T52" s="421"/>
      <c r="U52" s="585"/>
      <c r="V52" s="421"/>
      <c r="W52" s="590"/>
      <c r="X52" s="421"/>
      <c r="Y52" s="421"/>
      <c r="Z52" s="414"/>
      <c r="AA52" s="391" t="str">
        <f>IFERROR(IF(VLOOKUP($B52,'Matriz de Referencia'!$B$2:$CO$578,'Matriz de Referencia'!AM$1,FALSE)&gt;0,"Diligenciar la vigencia, tiene presupuesto programado","No diligenciar, no programo presupuesto"),"")</f>
        <v/>
      </c>
      <c r="AF52" s="637" t="str">
        <f t="shared" si="1"/>
        <v/>
      </c>
      <c r="AG52" s="391" t="str">
        <f>IFERROR(IF(VLOOKUP($B52,'Matriz de Referencia'!$B$2:$CO$578,'Matriz de Referencia'!BA$1,FALSE)&gt;0,"Diligenciar la vigencia, tiene presupuesto programado","No diligenciar, no programo presupuesto"),"")</f>
        <v/>
      </c>
      <c r="AL52" s="637" t="str">
        <f t="shared" si="2"/>
        <v/>
      </c>
      <c r="AM52" s="391" t="str">
        <f>IFERROR(IF(VLOOKUP($B52,'Matriz de Referencia'!$B$2:$CO$578,'Matriz de Referencia'!BO$1,FALSE)&gt;0,"Diligenciar la vigencia, tiene presupuesto programado","No diligenciar, no programo presupuesto"),"")</f>
        <v/>
      </c>
      <c r="AR52" s="637" t="str">
        <f t="shared" si="3"/>
        <v/>
      </c>
      <c r="AS52" s="391" t="str">
        <f>IFERROR(IF(VLOOKUP($B52,'Matriz de Referencia'!$B$2:$CO$578,'Matriz de Referencia'!CC$1,FALSE)&gt;0,"Diligenciar la vigencia, tiene presupuesto programado","No diligenciar, no programo presupuesto"),"")</f>
        <v/>
      </c>
      <c r="AX52" s="644" t="str">
        <f t="shared" si="4"/>
        <v/>
      </c>
      <c r="AY52" s="643" t="str">
        <f t="shared" si="5"/>
        <v/>
      </c>
      <c r="AZ52" s="416" t="str">
        <f t="shared" si="6"/>
        <v/>
      </c>
      <c r="BA52" s="417" t="str">
        <f>IFERROR(IF(VLOOKUP(B52,'Matriz de Referencia'!$B$3:$CQ$584,'Matriz de Referencia'!CP$1,FALSE)="","",VLOOKUP(B52,'Matriz de Referencia'!$B$3:$CQ$584,'Matriz de Referencia'!CP$1)),"")</f>
        <v/>
      </c>
      <c r="BB52" s="417" t="str">
        <f>IFERROR(IF(VLOOKUP(B52,'Matriz de Referencia'!$B$3:$CQ$584,'Matriz de Referencia'!CQ$1,FALSE)="","",VLOOKUP(B52,'Matriz de Referencia'!$B$3:$CQ$584,'Matriz de Referencia'!CQ$1)),"")</f>
        <v/>
      </c>
      <c r="BC52" s="583"/>
      <c r="BD52" s="429"/>
      <c r="BE52" s="655" t="str">
        <f t="shared" si="0"/>
        <v>Dimensión_</v>
      </c>
      <c r="BF52" s="430"/>
      <c r="BG52" s="654"/>
    </row>
    <row r="53" spans="1:59" ht="30" customHeight="1">
      <c r="A53" s="420"/>
      <c r="B53" s="421"/>
      <c r="C53" s="422"/>
      <c r="D53" s="422"/>
      <c r="E53" s="421"/>
      <c r="F53" s="423"/>
      <c r="G53" s="423"/>
      <c r="H53" s="421"/>
      <c r="I53" s="424"/>
      <c r="J53" s="421"/>
      <c r="K53" s="447"/>
      <c r="L53" s="424"/>
      <c r="M53" s="425"/>
      <c r="N53" s="421"/>
      <c r="O53" s="423"/>
      <c r="P53" s="421"/>
      <c r="Q53" s="421"/>
      <c r="R53" s="424"/>
      <c r="S53" s="421"/>
      <c r="T53" s="421"/>
      <c r="U53" s="585"/>
      <c r="V53" s="421"/>
      <c r="W53" s="590"/>
      <c r="X53" s="421"/>
      <c r="Y53" s="421"/>
      <c r="Z53" s="414"/>
      <c r="AA53" s="391" t="str">
        <f>IFERROR(IF(VLOOKUP($B53,'Matriz de Referencia'!$B$2:$CO$578,'Matriz de Referencia'!AM$1,FALSE)&gt;0,"Diligenciar la vigencia, tiene presupuesto programado","No diligenciar, no programo presupuesto"),"")</f>
        <v/>
      </c>
      <c r="AF53" s="637" t="str">
        <f t="shared" si="1"/>
        <v/>
      </c>
      <c r="AG53" s="391" t="str">
        <f>IFERROR(IF(VLOOKUP($B53,'Matriz de Referencia'!$B$2:$CO$578,'Matriz de Referencia'!BA$1,FALSE)&gt;0,"Diligenciar la vigencia, tiene presupuesto programado","No diligenciar, no programo presupuesto"),"")</f>
        <v/>
      </c>
      <c r="AL53" s="637" t="str">
        <f t="shared" si="2"/>
        <v/>
      </c>
      <c r="AM53" s="391" t="str">
        <f>IFERROR(IF(VLOOKUP($B53,'Matriz de Referencia'!$B$2:$CO$578,'Matriz de Referencia'!BO$1,FALSE)&gt;0,"Diligenciar la vigencia, tiene presupuesto programado","No diligenciar, no programo presupuesto"),"")</f>
        <v/>
      </c>
      <c r="AR53" s="637" t="str">
        <f t="shared" si="3"/>
        <v/>
      </c>
      <c r="AS53" s="391" t="str">
        <f>IFERROR(IF(VLOOKUP($B53,'Matriz de Referencia'!$B$2:$CO$578,'Matriz de Referencia'!CC$1,FALSE)&gt;0,"Diligenciar la vigencia, tiene presupuesto programado","No diligenciar, no programo presupuesto"),"")</f>
        <v/>
      </c>
      <c r="AX53" s="644" t="str">
        <f t="shared" si="4"/>
        <v/>
      </c>
      <c r="AY53" s="643" t="str">
        <f t="shared" si="5"/>
        <v/>
      </c>
      <c r="AZ53" s="416" t="str">
        <f t="shared" si="6"/>
        <v/>
      </c>
      <c r="BA53" s="417" t="str">
        <f>IFERROR(IF(VLOOKUP(B53,'Matriz de Referencia'!$B$3:$CQ$584,'Matriz de Referencia'!CP$1,FALSE)="","",VLOOKUP(B53,'Matriz de Referencia'!$B$3:$CQ$584,'Matriz de Referencia'!CP$1)),"")</f>
        <v/>
      </c>
      <c r="BB53" s="417" t="str">
        <f>IFERROR(IF(VLOOKUP(B53,'Matriz de Referencia'!$B$3:$CQ$584,'Matriz de Referencia'!CQ$1,FALSE)="","",VLOOKUP(B53,'Matriz de Referencia'!$B$3:$CQ$584,'Matriz de Referencia'!CQ$1)),"")</f>
        <v/>
      </c>
      <c r="BC53" s="583"/>
      <c r="BD53" s="429"/>
      <c r="BE53" s="655" t="str">
        <f t="shared" si="0"/>
        <v>Dimensión_</v>
      </c>
      <c r="BF53" s="430"/>
      <c r="BG53" s="654"/>
    </row>
    <row r="54" spans="1:59" ht="30" customHeight="1">
      <c r="A54" s="420"/>
      <c r="B54" s="421"/>
      <c r="C54" s="422"/>
      <c r="D54" s="422"/>
      <c r="E54" s="421"/>
      <c r="F54" s="423"/>
      <c r="G54" s="423"/>
      <c r="H54" s="421"/>
      <c r="I54" s="424"/>
      <c r="J54" s="421"/>
      <c r="K54" s="447"/>
      <c r="L54" s="424"/>
      <c r="M54" s="425"/>
      <c r="N54" s="421"/>
      <c r="O54" s="423"/>
      <c r="P54" s="421"/>
      <c r="Q54" s="421"/>
      <c r="R54" s="424"/>
      <c r="S54" s="421"/>
      <c r="T54" s="421"/>
      <c r="U54" s="585"/>
      <c r="V54" s="421"/>
      <c r="W54" s="590"/>
      <c r="X54" s="421"/>
      <c r="Y54" s="421"/>
      <c r="Z54" s="414"/>
      <c r="AA54" s="391" t="str">
        <f>IFERROR(IF(VLOOKUP($B54,'Matriz de Referencia'!$B$2:$CO$578,'Matriz de Referencia'!AM$1,FALSE)&gt;0,"Diligenciar la vigencia, tiene presupuesto programado","No diligenciar, no programo presupuesto"),"")</f>
        <v/>
      </c>
      <c r="AF54" s="637" t="str">
        <f t="shared" si="1"/>
        <v/>
      </c>
      <c r="AG54" s="391" t="str">
        <f>IFERROR(IF(VLOOKUP($B54,'Matriz de Referencia'!$B$2:$CO$578,'Matriz de Referencia'!BA$1,FALSE)&gt;0,"Diligenciar la vigencia, tiene presupuesto programado","No diligenciar, no programo presupuesto"),"")</f>
        <v/>
      </c>
      <c r="AL54" s="637" t="str">
        <f t="shared" si="2"/>
        <v/>
      </c>
      <c r="AM54" s="391" t="str">
        <f>IFERROR(IF(VLOOKUP($B54,'Matriz de Referencia'!$B$2:$CO$578,'Matriz de Referencia'!BO$1,FALSE)&gt;0,"Diligenciar la vigencia, tiene presupuesto programado","No diligenciar, no programo presupuesto"),"")</f>
        <v/>
      </c>
      <c r="AR54" s="637" t="str">
        <f t="shared" si="3"/>
        <v/>
      </c>
      <c r="AS54" s="391" t="str">
        <f>IFERROR(IF(VLOOKUP($B54,'Matriz de Referencia'!$B$2:$CO$578,'Matriz de Referencia'!CC$1,FALSE)&gt;0,"Diligenciar la vigencia, tiene presupuesto programado","No diligenciar, no programo presupuesto"),"")</f>
        <v/>
      </c>
      <c r="AX54" s="644" t="str">
        <f t="shared" si="4"/>
        <v/>
      </c>
      <c r="AY54" s="643" t="str">
        <f t="shared" si="5"/>
        <v/>
      </c>
      <c r="AZ54" s="416" t="str">
        <f t="shared" si="6"/>
        <v/>
      </c>
      <c r="BA54" s="417" t="str">
        <f>IFERROR(IF(VLOOKUP(B54,'Matriz de Referencia'!$B$3:$CQ$584,'Matriz de Referencia'!CP$1,FALSE)="","",VLOOKUP(B54,'Matriz de Referencia'!$B$3:$CQ$584,'Matriz de Referencia'!CP$1)),"")</f>
        <v/>
      </c>
      <c r="BB54" s="417" t="str">
        <f>IFERROR(IF(VLOOKUP(B54,'Matriz de Referencia'!$B$3:$CQ$584,'Matriz de Referencia'!CQ$1,FALSE)="","",VLOOKUP(B54,'Matriz de Referencia'!$B$3:$CQ$584,'Matriz de Referencia'!CQ$1)),"")</f>
        <v/>
      </c>
      <c r="BC54" s="583"/>
      <c r="BD54" s="429"/>
      <c r="BE54" s="655" t="str">
        <f t="shared" si="0"/>
        <v>Dimensión_</v>
      </c>
      <c r="BF54" s="430"/>
      <c r="BG54" s="654"/>
    </row>
    <row r="55" spans="1:59" ht="30" customHeight="1">
      <c r="A55" s="420"/>
      <c r="B55" s="421"/>
      <c r="C55" s="422"/>
      <c r="D55" s="422"/>
      <c r="E55" s="421"/>
      <c r="F55" s="423"/>
      <c r="G55" s="423"/>
      <c r="H55" s="421"/>
      <c r="I55" s="424"/>
      <c r="J55" s="421"/>
      <c r="K55" s="447"/>
      <c r="L55" s="424"/>
      <c r="M55" s="425"/>
      <c r="N55" s="421"/>
      <c r="O55" s="423"/>
      <c r="P55" s="421"/>
      <c r="Q55" s="421"/>
      <c r="R55" s="424"/>
      <c r="S55" s="421"/>
      <c r="T55" s="421"/>
      <c r="U55" s="585"/>
      <c r="V55" s="421"/>
      <c r="W55" s="590"/>
      <c r="X55" s="421"/>
      <c r="Y55" s="421"/>
      <c r="Z55" s="414"/>
      <c r="AA55" s="391" t="str">
        <f>IFERROR(IF(VLOOKUP($B55,'Matriz de Referencia'!$B$2:$CO$578,'Matriz de Referencia'!AM$1,FALSE)&gt;0,"Diligenciar la vigencia, tiene presupuesto programado","No diligenciar, no programo presupuesto"),"")</f>
        <v/>
      </c>
      <c r="AF55" s="637" t="str">
        <f t="shared" si="1"/>
        <v/>
      </c>
      <c r="AG55" s="391" t="str">
        <f>IFERROR(IF(VLOOKUP($B55,'Matriz de Referencia'!$B$2:$CO$578,'Matriz de Referencia'!BA$1,FALSE)&gt;0,"Diligenciar la vigencia, tiene presupuesto programado","No diligenciar, no programo presupuesto"),"")</f>
        <v/>
      </c>
      <c r="AL55" s="637" t="str">
        <f t="shared" si="2"/>
        <v/>
      </c>
      <c r="AM55" s="391" t="str">
        <f>IFERROR(IF(VLOOKUP($B55,'Matriz de Referencia'!$B$2:$CO$578,'Matriz de Referencia'!BO$1,FALSE)&gt;0,"Diligenciar la vigencia, tiene presupuesto programado","No diligenciar, no programo presupuesto"),"")</f>
        <v/>
      </c>
      <c r="AR55" s="637" t="str">
        <f t="shared" si="3"/>
        <v/>
      </c>
      <c r="AS55" s="391" t="str">
        <f>IFERROR(IF(VLOOKUP($B55,'Matriz de Referencia'!$B$2:$CO$578,'Matriz de Referencia'!CC$1,FALSE)&gt;0,"Diligenciar la vigencia, tiene presupuesto programado","No diligenciar, no programo presupuesto"),"")</f>
        <v/>
      </c>
      <c r="AX55" s="644" t="str">
        <f t="shared" si="4"/>
        <v/>
      </c>
      <c r="AY55" s="643" t="str">
        <f t="shared" si="5"/>
        <v/>
      </c>
      <c r="AZ55" s="416" t="str">
        <f t="shared" si="6"/>
        <v/>
      </c>
      <c r="BA55" s="417" t="str">
        <f>IFERROR(IF(VLOOKUP(B55,'Matriz de Referencia'!$B$3:$CQ$584,'Matriz de Referencia'!CP$1,FALSE)="","",VLOOKUP(B55,'Matriz de Referencia'!$B$3:$CQ$584,'Matriz de Referencia'!CP$1)),"")</f>
        <v/>
      </c>
      <c r="BB55" s="417" t="str">
        <f>IFERROR(IF(VLOOKUP(B55,'Matriz de Referencia'!$B$3:$CQ$584,'Matriz de Referencia'!CQ$1,FALSE)="","",VLOOKUP(B55,'Matriz de Referencia'!$B$3:$CQ$584,'Matriz de Referencia'!CQ$1)),"")</f>
        <v/>
      </c>
      <c r="BC55" s="583"/>
      <c r="BD55" s="429"/>
      <c r="BE55" s="655" t="str">
        <f t="shared" si="0"/>
        <v>Dimensión_</v>
      </c>
      <c r="BF55" s="430"/>
      <c r="BG55" s="654"/>
    </row>
    <row r="56" spans="1:59" ht="30" customHeight="1">
      <c r="A56" s="420"/>
      <c r="B56" s="421"/>
      <c r="C56" s="422"/>
      <c r="D56" s="422"/>
      <c r="E56" s="421"/>
      <c r="F56" s="423"/>
      <c r="G56" s="423"/>
      <c r="H56" s="421"/>
      <c r="I56" s="424"/>
      <c r="J56" s="421"/>
      <c r="K56" s="447"/>
      <c r="L56" s="424"/>
      <c r="M56" s="425"/>
      <c r="N56" s="421"/>
      <c r="O56" s="423"/>
      <c r="P56" s="421"/>
      <c r="Q56" s="421"/>
      <c r="R56" s="424"/>
      <c r="S56" s="421"/>
      <c r="T56" s="421"/>
      <c r="U56" s="585"/>
      <c r="V56" s="421"/>
      <c r="W56" s="590"/>
      <c r="X56" s="421"/>
      <c r="Y56" s="421"/>
      <c r="Z56" s="414"/>
      <c r="AA56" s="391" t="str">
        <f>IFERROR(IF(VLOOKUP($B56,'Matriz de Referencia'!$B$2:$CO$578,'Matriz de Referencia'!AM$1,FALSE)&gt;0,"Diligenciar la vigencia, tiene presupuesto programado","No diligenciar, no programo presupuesto"),"")</f>
        <v/>
      </c>
      <c r="AF56" s="637" t="str">
        <f t="shared" si="1"/>
        <v/>
      </c>
      <c r="AG56" s="391" t="str">
        <f>IFERROR(IF(VLOOKUP($B56,'Matriz de Referencia'!$B$2:$CO$578,'Matriz de Referencia'!BA$1,FALSE)&gt;0,"Diligenciar la vigencia, tiene presupuesto programado","No diligenciar, no programo presupuesto"),"")</f>
        <v/>
      </c>
      <c r="AL56" s="637" t="str">
        <f t="shared" si="2"/>
        <v/>
      </c>
      <c r="AM56" s="391" t="str">
        <f>IFERROR(IF(VLOOKUP($B56,'Matriz de Referencia'!$B$2:$CO$578,'Matriz de Referencia'!BO$1,FALSE)&gt;0,"Diligenciar la vigencia, tiene presupuesto programado","No diligenciar, no programo presupuesto"),"")</f>
        <v/>
      </c>
      <c r="AR56" s="637" t="str">
        <f t="shared" si="3"/>
        <v/>
      </c>
      <c r="AS56" s="391" t="str">
        <f>IFERROR(IF(VLOOKUP($B56,'Matriz de Referencia'!$B$2:$CO$578,'Matriz de Referencia'!CC$1,FALSE)&gt;0,"Diligenciar la vigencia, tiene presupuesto programado","No diligenciar, no programo presupuesto"),"")</f>
        <v/>
      </c>
      <c r="AX56" s="644" t="str">
        <f t="shared" si="4"/>
        <v/>
      </c>
      <c r="AY56" s="643" t="str">
        <f t="shared" si="5"/>
        <v/>
      </c>
      <c r="AZ56" s="416" t="str">
        <f t="shared" si="6"/>
        <v/>
      </c>
      <c r="BA56" s="417" t="str">
        <f>IFERROR(IF(VLOOKUP(B56,'Matriz de Referencia'!$B$3:$CQ$584,'Matriz de Referencia'!CP$1,FALSE)="","",VLOOKUP(B56,'Matriz de Referencia'!$B$3:$CQ$584,'Matriz de Referencia'!CP$1)),"")</f>
        <v/>
      </c>
      <c r="BB56" s="417" t="str">
        <f>IFERROR(IF(VLOOKUP(B56,'Matriz de Referencia'!$B$3:$CQ$584,'Matriz de Referencia'!CQ$1,FALSE)="","",VLOOKUP(B56,'Matriz de Referencia'!$B$3:$CQ$584,'Matriz de Referencia'!CQ$1)),"")</f>
        <v/>
      </c>
      <c r="BC56" s="583"/>
      <c r="BD56" s="429"/>
      <c r="BE56" s="655" t="str">
        <f t="shared" si="0"/>
        <v>Dimensión_</v>
      </c>
      <c r="BF56" s="430"/>
      <c r="BG56" s="654"/>
    </row>
    <row r="57" spans="1:59" ht="30" customHeight="1">
      <c r="A57" s="420"/>
      <c r="B57" s="421"/>
      <c r="C57" s="422"/>
      <c r="D57" s="422"/>
      <c r="E57" s="421"/>
      <c r="F57" s="423"/>
      <c r="G57" s="423"/>
      <c r="H57" s="421"/>
      <c r="I57" s="424"/>
      <c r="J57" s="421"/>
      <c r="K57" s="447"/>
      <c r="L57" s="424"/>
      <c r="M57" s="425"/>
      <c r="N57" s="421"/>
      <c r="O57" s="423"/>
      <c r="P57" s="421"/>
      <c r="Q57" s="421"/>
      <c r="R57" s="424"/>
      <c r="S57" s="421"/>
      <c r="T57" s="421"/>
      <c r="U57" s="585"/>
      <c r="V57" s="421"/>
      <c r="W57" s="590"/>
      <c r="X57" s="421"/>
      <c r="Y57" s="421"/>
      <c r="Z57" s="414"/>
      <c r="AA57" s="391" t="str">
        <f>IFERROR(IF(VLOOKUP($B57,'Matriz de Referencia'!$B$2:$CO$578,'Matriz de Referencia'!AM$1,FALSE)&gt;0,"Diligenciar la vigencia, tiene presupuesto programado","No diligenciar, no programo presupuesto"),"")</f>
        <v/>
      </c>
      <c r="AF57" s="637" t="str">
        <f t="shared" si="1"/>
        <v/>
      </c>
      <c r="AG57" s="391" t="str">
        <f>IFERROR(IF(VLOOKUP($B57,'Matriz de Referencia'!$B$2:$CO$578,'Matriz de Referencia'!BA$1,FALSE)&gt;0,"Diligenciar la vigencia, tiene presupuesto programado","No diligenciar, no programo presupuesto"),"")</f>
        <v/>
      </c>
      <c r="AL57" s="637" t="str">
        <f t="shared" si="2"/>
        <v/>
      </c>
      <c r="AM57" s="391" t="str">
        <f>IFERROR(IF(VLOOKUP($B57,'Matriz de Referencia'!$B$2:$CO$578,'Matriz de Referencia'!BO$1,FALSE)&gt;0,"Diligenciar la vigencia, tiene presupuesto programado","No diligenciar, no programo presupuesto"),"")</f>
        <v/>
      </c>
      <c r="AR57" s="637" t="str">
        <f t="shared" si="3"/>
        <v/>
      </c>
      <c r="AS57" s="391" t="str">
        <f>IFERROR(IF(VLOOKUP($B57,'Matriz de Referencia'!$B$2:$CO$578,'Matriz de Referencia'!CC$1,FALSE)&gt;0,"Diligenciar la vigencia, tiene presupuesto programado","No diligenciar, no programo presupuesto"),"")</f>
        <v/>
      </c>
      <c r="AX57" s="644" t="str">
        <f t="shared" si="4"/>
        <v/>
      </c>
      <c r="AY57" s="643" t="str">
        <f t="shared" si="5"/>
        <v/>
      </c>
      <c r="AZ57" s="416" t="str">
        <f t="shared" si="6"/>
        <v/>
      </c>
      <c r="BA57" s="417" t="str">
        <f>IFERROR(IF(VLOOKUP(B57,'Matriz de Referencia'!$B$3:$CQ$584,'Matriz de Referencia'!CP$1,FALSE)="","",VLOOKUP(B57,'Matriz de Referencia'!$B$3:$CQ$584,'Matriz de Referencia'!CP$1)),"")</f>
        <v/>
      </c>
      <c r="BB57" s="417" t="str">
        <f>IFERROR(IF(VLOOKUP(B57,'Matriz de Referencia'!$B$3:$CQ$584,'Matriz de Referencia'!CQ$1,FALSE)="","",VLOOKUP(B57,'Matriz de Referencia'!$B$3:$CQ$584,'Matriz de Referencia'!CQ$1)),"")</f>
        <v/>
      </c>
      <c r="BC57" s="583"/>
      <c r="BD57" s="429"/>
      <c r="BE57" s="655" t="str">
        <f t="shared" si="0"/>
        <v>Dimensión_</v>
      </c>
      <c r="BF57" s="430"/>
      <c r="BG57" s="654"/>
    </row>
    <row r="58" spans="1:59" ht="30" customHeight="1">
      <c r="A58" s="420"/>
      <c r="B58" s="421"/>
      <c r="C58" s="422"/>
      <c r="D58" s="422"/>
      <c r="E58" s="421"/>
      <c r="F58" s="423"/>
      <c r="G58" s="423"/>
      <c r="H58" s="421"/>
      <c r="I58" s="424"/>
      <c r="J58" s="421"/>
      <c r="K58" s="447"/>
      <c r="L58" s="424"/>
      <c r="M58" s="425"/>
      <c r="N58" s="421"/>
      <c r="O58" s="423"/>
      <c r="P58" s="421"/>
      <c r="Q58" s="421"/>
      <c r="R58" s="424"/>
      <c r="S58" s="421"/>
      <c r="T58" s="421"/>
      <c r="U58" s="585"/>
      <c r="V58" s="421"/>
      <c r="W58" s="590"/>
      <c r="X58" s="421"/>
      <c r="Y58" s="421"/>
      <c r="Z58" s="414"/>
      <c r="AA58" s="391" t="str">
        <f>IFERROR(IF(VLOOKUP($B58,'Matriz de Referencia'!$B$2:$CO$578,'Matriz de Referencia'!AM$1,FALSE)&gt;0,"Diligenciar la vigencia, tiene presupuesto programado","No diligenciar, no programo presupuesto"),"")</f>
        <v/>
      </c>
      <c r="AF58" s="637" t="str">
        <f t="shared" si="1"/>
        <v/>
      </c>
      <c r="AG58" s="391" t="str">
        <f>IFERROR(IF(VLOOKUP($B58,'Matriz de Referencia'!$B$2:$CO$578,'Matriz de Referencia'!BA$1,FALSE)&gt;0,"Diligenciar la vigencia, tiene presupuesto programado","No diligenciar, no programo presupuesto"),"")</f>
        <v/>
      </c>
      <c r="AL58" s="637" t="str">
        <f t="shared" si="2"/>
        <v/>
      </c>
      <c r="AM58" s="391" t="str">
        <f>IFERROR(IF(VLOOKUP($B58,'Matriz de Referencia'!$B$2:$CO$578,'Matriz de Referencia'!BO$1,FALSE)&gt;0,"Diligenciar la vigencia, tiene presupuesto programado","No diligenciar, no programo presupuesto"),"")</f>
        <v/>
      </c>
      <c r="AR58" s="637" t="str">
        <f t="shared" si="3"/>
        <v/>
      </c>
      <c r="AS58" s="391" t="str">
        <f>IFERROR(IF(VLOOKUP($B58,'Matriz de Referencia'!$B$2:$CO$578,'Matriz de Referencia'!CC$1,FALSE)&gt;0,"Diligenciar la vigencia, tiene presupuesto programado","No diligenciar, no programo presupuesto"),"")</f>
        <v/>
      </c>
      <c r="AX58" s="644" t="str">
        <f t="shared" si="4"/>
        <v/>
      </c>
      <c r="AY58" s="643" t="str">
        <f t="shared" si="5"/>
        <v/>
      </c>
      <c r="AZ58" s="416" t="str">
        <f t="shared" si="6"/>
        <v/>
      </c>
      <c r="BA58" s="417" t="str">
        <f>IFERROR(IF(VLOOKUP(B58,'Matriz de Referencia'!$B$3:$CQ$584,'Matriz de Referencia'!CP$1,FALSE)="","",VLOOKUP(B58,'Matriz de Referencia'!$B$3:$CQ$584,'Matriz de Referencia'!CP$1)),"")</f>
        <v/>
      </c>
      <c r="BB58" s="417" t="str">
        <f>IFERROR(IF(VLOOKUP(B58,'Matriz de Referencia'!$B$3:$CQ$584,'Matriz de Referencia'!CQ$1,FALSE)="","",VLOOKUP(B58,'Matriz de Referencia'!$B$3:$CQ$584,'Matriz de Referencia'!CQ$1)),"")</f>
        <v/>
      </c>
      <c r="BC58" s="583"/>
      <c r="BD58" s="429"/>
      <c r="BE58" s="655" t="str">
        <f t="shared" si="0"/>
        <v>Dimensión_</v>
      </c>
      <c r="BF58" s="430"/>
      <c r="BG58" s="654"/>
    </row>
    <row r="59" spans="1:59" ht="30" customHeight="1">
      <c r="A59" s="420"/>
      <c r="B59" s="421"/>
      <c r="C59" s="422"/>
      <c r="D59" s="422"/>
      <c r="E59" s="421"/>
      <c r="F59" s="423"/>
      <c r="G59" s="423"/>
      <c r="H59" s="421"/>
      <c r="I59" s="424"/>
      <c r="J59" s="421"/>
      <c r="K59" s="447"/>
      <c r="L59" s="424"/>
      <c r="M59" s="425"/>
      <c r="N59" s="421"/>
      <c r="O59" s="423"/>
      <c r="P59" s="421"/>
      <c r="Q59" s="421"/>
      <c r="R59" s="424"/>
      <c r="S59" s="421"/>
      <c r="T59" s="421"/>
      <c r="U59" s="585"/>
      <c r="V59" s="421"/>
      <c r="W59" s="590"/>
      <c r="X59" s="421"/>
      <c r="Y59" s="421"/>
      <c r="Z59" s="414"/>
      <c r="AA59" s="391" t="str">
        <f>IFERROR(IF(VLOOKUP($B59,'Matriz de Referencia'!$B$2:$CO$578,'Matriz de Referencia'!AM$1,FALSE)&gt;0,"Diligenciar la vigencia, tiene presupuesto programado","No diligenciar, no programo presupuesto"),"")</f>
        <v/>
      </c>
      <c r="AF59" s="637" t="str">
        <f t="shared" si="1"/>
        <v/>
      </c>
      <c r="AG59" s="391" t="str">
        <f>IFERROR(IF(VLOOKUP($B59,'Matriz de Referencia'!$B$2:$CO$578,'Matriz de Referencia'!BA$1,FALSE)&gt;0,"Diligenciar la vigencia, tiene presupuesto programado","No diligenciar, no programo presupuesto"),"")</f>
        <v/>
      </c>
      <c r="AL59" s="637" t="str">
        <f t="shared" si="2"/>
        <v/>
      </c>
      <c r="AM59" s="391" t="str">
        <f>IFERROR(IF(VLOOKUP($B59,'Matriz de Referencia'!$B$2:$CO$578,'Matriz de Referencia'!BO$1,FALSE)&gt;0,"Diligenciar la vigencia, tiene presupuesto programado","No diligenciar, no programo presupuesto"),"")</f>
        <v/>
      </c>
      <c r="AR59" s="637" t="str">
        <f t="shared" si="3"/>
        <v/>
      </c>
      <c r="AS59" s="391" t="str">
        <f>IFERROR(IF(VLOOKUP($B59,'Matriz de Referencia'!$B$2:$CO$578,'Matriz de Referencia'!CC$1,FALSE)&gt;0,"Diligenciar la vigencia, tiene presupuesto programado","No diligenciar, no programo presupuesto"),"")</f>
        <v/>
      </c>
      <c r="AX59" s="644" t="str">
        <f t="shared" si="4"/>
        <v/>
      </c>
      <c r="AY59" s="643" t="str">
        <f t="shared" si="5"/>
        <v/>
      </c>
      <c r="AZ59" s="416" t="str">
        <f t="shared" si="6"/>
        <v/>
      </c>
      <c r="BA59" s="417" t="str">
        <f>IFERROR(IF(VLOOKUP(B59,'Matriz de Referencia'!$B$3:$CQ$584,'Matriz de Referencia'!CP$1,FALSE)="","",VLOOKUP(B59,'Matriz de Referencia'!$B$3:$CQ$584,'Matriz de Referencia'!CP$1)),"")</f>
        <v/>
      </c>
      <c r="BB59" s="417" t="str">
        <f>IFERROR(IF(VLOOKUP(B59,'Matriz de Referencia'!$B$3:$CQ$584,'Matriz de Referencia'!CQ$1,FALSE)="","",VLOOKUP(B59,'Matriz de Referencia'!$B$3:$CQ$584,'Matriz de Referencia'!CQ$1)),"")</f>
        <v/>
      </c>
      <c r="BC59" s="583"/>
      <c r="BD59" s="429"/>
      <c r="BE59" s="655" t="str">
        <f t="shared" si="0"/>
        <v>Dimensión_</v>
      </c>
      <c r="BF59" s="430"/>
      <c r="BG59" s="654"/>
    </row>
    <row r="60" spans="1:59" ht="30" customHeight="1">
      <c r="A60" s="420"/>
      <c r="B60" s="421"/>
      <c r="C60" s="422"/>
      <c r="D60" s="422"/>
      <c r="E60" s="421"/>
      <c r="F60" s="423"/>
      <c r="G60" s="423"/>
      <c r="H60" s="421"/>
      <c r="I60" s="424"/>
      <c r="J60" s="421"/>
      <c r="K60" s="447"/>
      <c r="L60" s="424"/>
      <c r="M60" s="425"/>
      <c r="N60" s="421"/>
      <c r="O60" s="423"/>
      <c r="P60" s="421"/>
      <c r="Q60" s="421"/>
      <c r="R60" s="424"/>
      <c r="S60" s="421"/>
      <c r="T60" s="421"/>
      <c r="U60" s="585"/>
      <c r="V60" s="421"/>
      <c r="W60" s="590"/>
      <c r="X60" s="421"/>
      <c r="Y60" s="421"/>
      <c r="Z60" s="414"/>
      <c r="AA60" s="391" t="str">
        <f>IFERROR(IF(VLOOKUP($B60,'Matriz de Referencia'!$B$2:$CO$578,'Matriz de Referencia'!AM$1,FALSE)&gt;0,"Diligenciar la vigencia, tiene presupuesto programado","No diligenciar, no programo presupuesto"),"")</f>
        <v/>
      </c>
      <c r="AF60" s="637" t="str">
        <f t="shared" si="1"/>
        <v/>
      </c>
      <c r="AG60" s="391" t="str">
        <f>IFERROR(IF(VLOOKUP($B60,'Matriz de Referencia'!$B$2:$CO$578,'Matriz de Referencia'!BA$1,FALSE)&gt;0,"Diligenciar la vigencia, tiene presupuesto programado","No diligenciar, no programo presupuesto"),"")</f>
        <v/>
      </c>
      <c r="AL60" s="637" t="str">
        <f t="shared" si="2"/>
        <v/>
      </c>
      <c r="AM60" s="391" t="str">
        <f>IFERROR(IF(VLOOKUP($B60,'Matriz de Referencia'!$B$2:$CO$578,'Matriz de Referencia'!BO$1,FALSE)&gt;0,"Diligenciar la vigencia, tiene presupuesto programado","No diligenciar, no programo presupuesto"),"")</f>
        <v/>
      </c>
      <c r="AR60" s="637" t="str">
        <f t="shared" si="3"/>
        <v/>
      </c>
      <c r="AS60" s="391" t="str">
        <f>IFERROR(IF(VLOOKUP($B60,'Matriz de Referencia'!$B$2:$CO$578,'Matriz de Referencia'!CC$1,FALSE)&gt;0,"Diligenciar la vigencia, tiene presupuesto programado","No diligenciar, no programo presupuesto"),"")</f>
        <v/>
      </c>
      <c r="AX60" s="644" t="str">
        <f t="shared" si="4"/>
        <v/>
      </c>
      <c r="AY60" s="643" t="str">
        <f t="shared" si="5"/>
        <v/>
      </c>
      <c r="AZ60" s="416" t="str">
        <f t="shared" si="6"/>
        <v/>
      </c>
      <c r="BA60" s="417" t="str">
        <f>IFERROR(IF(VLOOKUP(B60,'Matriz de Referencia'!$B$3:$CQ$584,'Matriz de Referencia'!CP$1,FALSE)="","",VLOOKUP(B60,'Matriz de Referencia'!$B$3:$CQ$584,'Matriz de Referencia'!CP$1)),"")</f>
        <v/>
      </c>
      <c r="BB60" s="417" t="str">
        <f>IFERROR(IF(VLOOKUP(B60,'Matriz de Referencia'!$B$3:$CQ$584,'Matriz de Referencia'!CQ$1,FALSE)="","",VLOOKUP(B60,'Matriz de Referencia'!$B$3:$CQ$584,'Matriz de Referencia'!CQ$1)),"")</f>
        <v/>
      </c>
      <c r="BC60" s="583"/>
      <c r="BD60" s="429"/>
      <c r="BE60" s="655" t="str">
        <f t="shared" si="0"/>
        <v>Dimensión_</v>
      </c>
      <c r="BF60" s="430"/>
      <c r="BG60" s="654"/>
    </row>
    <row r="61" spans="1:59" ht="30" customHeight="1">
      <c r="A61" s="420"/>
      <c r="B61" s="421"/>
      <c r="C61" s="422"/>
      <c r="D61" s="422"/>
      <c r="E61" s="421"/>
      <c r="F61" s="423"/>
      <c r="G61" s="423"/>
      <c r="H61" s="421"/>
      <c r="I61" s="424"/>
      <c r="J61" s="421"/>
      <c r="K61" s="447"/>
      <c r="L61" s="424"/>
      <c r="M61" s="425"/>
      <c r="N61" s="421"/>
      <c r="O61" s="423"/>
      <c r="P61" s="421"/>
      <c r="Q61" s="421"/>
      <c r="R61" s="424"/>
      <c r="S61" s="421"/>
      <c r="T61" s="421"/>
      <c r="U61" s="585"/>
      <c r="V61" s="421"/>
      <c r="W61" s="590"/>
      <c r="X61" s="421"/>
      <c r="Y61" s="421"/>
      <c r="Z61" s="414"/>
      <c r="AA61" s="391" t="str">
        <f>IFERROR(IF(VLOOKUP($B61,'Matriz de Referencia'!$B$2:$CO$578,'Matriz de Referencia'!AM$1,FALSE)&gt;0,"Diligenciar la vigencia, tiene presupuesto programado","No diligenciar, no programo presupuesto"),"")</f>
        <v/>
      </c>
      <c r="AF61" s="637" t="str">
        <f t="shared" si="1"/>
        <v/>
      </c>
      <c r="AG61" s="391" t="str">
        <f>IFERROR(IF(VLOOKUP($B61,'Matriz de Referencia'!$B$2:$CO$578,'Matriz de Referencia'!BA$1,FALSE)&gt;0,"Diligenciar la vigencia, tiene presupuesto programado","No diligenciar, no programo presupuesto"),"")</f>
        <v/>
      </c>
      <c r="AL61" s="637" t="str">
        <f t="shared" si="2"/>
        <v/>
      </c>
      <c r="AM61" s="391" t="str">
        <f>IFERROR(IF(VLOOKUP($B61,'Matriz de Referencia'!$B$2:$CO$578,'Matriz de Referencia'!BO$1,FALSE)&gt;0,"Diligenciar la vigencia, tiene presupuesto programado","No diligenciar, no programo presupuesto"),"")</f>
        <v/>
      </c>
      <c r="AR61" s="637" t="str">
        <f t="shared" si="3"/>
        <v/>
      </c>
      <c r="AS61" s="391" t="str">
        <f>IFERROR(IF(VLOOKUP($B61,'Matriz de Referencia'!$B$2:$CO$578,'Matriz de Referencia'!CC$1,FALSE)&gt;0,"Diligenciar la vigencia, tiene presupuesto programado","No diligenciar, no programo presupuesto"),"")</f>
        <v/>
      </c>
      <c r="AX61" s="644" t="str">
        <f t="shared" si="4"/>
        <v/>
      </c>
      <c r="AY61" s="643" t="str">
        <f t="shared" si="5"/>
        <v/>
      </c>
      <c r="AZ61" s="416" t="str">
        <f t="shared" si="6"/>
        <v/>
      </c>
      <c r="BA61" s="417" t="str">
        <f>IFERROR(IF(VLOOKUP(B61,'Matriz de Referencia'!$B$3:$CQ$584,'Matriz de Referencia'!CP$1,FALSE)="","",VLOOKUP(B61,'Matriz de Referencia'!$B$3:$CQ$584,'Matriz de Referencia'!CP$1)),"")</f>
        <v/>
      </c>
      <c r="BB61" s="417" t="str">
        <f>IFERROR(IF(VLOOKUP(B61,'Matriz de Referencia'!$B$3:$CQ$584,'Matriz de Referencia'!CQ$1,FALSE)="","",VLOOKUP(B61,'Matriz de Referencia'!$B$3:$CQ$584,'Matriz de Referencia'!CQ$1)),"")</f>
        <v/>
      </c>
      <c r="BC61" s="583"/>
      <c r="BD61" s="429"/>
      <c r="BE61" s="655" t="str">
        <f t="shared" si="0"/>
        <v>Dimensión_</v>
      </c>
      <c r="BF61" s="430"/>
      <c r="BG61" s="654"/>
    </row>
    <row r="62" spans="1:59" ht="30" customHeight="1">
      <c r="A62" s="420"/>
      <c r="B62" s="421"/>
      <c r="C62" s="422"/>
      <c r="D62" s="422"/>
      <c r="E62" s="421"/>
      <c r="F62" s="423"/>
      <c r="G62" s="423"/>
      <c r="H62" s="421"/>
      <c r="I62" s="424"/>
      <c r="J62" s="421"/>
      <c r="K62" s="447"/>
      <c r="L62" s="424"/>
      <c r="M62" s="425"/>
      <c r="N62" s="421"/>
      <c r="O62" s="423"/>
      <c r="P62" s="421"/>
      <c r="Q62" s="421"/>
      <c r="R62" s="424"/>
      <c r="S62" s="421"/>
      <c r="T62" s="421"/>
      <c r="U62" s="585"/>
      <c r="V62" s="421"/>
      <c r="W62" s="590"/>
      <c r="X62" s="421"/>
      <c r="Y62" s="421"/>
      <c r="Z62" s="414"/>
      <c r="AA62" s="391" t="str">
        <f>IFERROR(IF(VLOOKUP($B62,'Matriz de Referencia'!$B$2:$CO$578,'Matriz de Referencia'!AM$1,FALSE)&gt;0,"Diligenciar la vigencia, tiene presupuesto programado","No diligenciar, no programo presupuesto"),"")</f>
        <v/>
      </c>
      <c r="AF62" s="637" t="str">
        <f t="shared" si="1"/>
        <v/>
      </c>
      <c r="AG62" s="391" t="str">
        <f>IFERROR(IF(VLOOKUP($B62,'Matriz de Referencia'!$B$2:$CO$578,'Matriz de Referencia'!BA$1,FALSE)&gt;0,"Diligenciar la vigencia, tiene presupuesto programado","No diligenciar, no programo presupuesto"),"")</f>
        <v/>
      </c>
      <c r="AL62" s="637" t="str">
        <f t="shared" si="2"/>
        <v/>
      </c>
      <c r="AM62" s="391" t="str">
        <f>IFERROR(IF(VLOOKUP($B62,'Matriz de Referencia'!$B$2:$CO$578,'Matriz de Referencia'!BO$1,FALSE)&gt;0,"Diligenciar la vigencia, tiene presupuesto programado","No diligenciar, no programo presupuesto"),"")</f>
        <v/>
      </c>
      <c r="AR62" s="637" t="str">
        <f t="shared" si="3"/>
        <v/>
      </c>
      <c r="AS62" s="391" t="str">
        <f>IFERROR(IF(VLOOKUP($B62,'Matriz de Referencia'!$B$2:$CO$578,'Matriz de Referencia'!CC$1,FALSE)&gt;0,"Diligenciar la vigencia, tiene presupuesto programado","No diligenciar, no programo presupuesto"),"")</f>
        <v/>
      </c>
      <c r="AX62" s="644" t="str">
        <f t="shared" si="4"/>
        <v/>
      </c>
      <c r="AY62" s="643" t="str">
        <f t="shared" si="5"/>
        <v/>
      </c>
      <c r="AZ62" s="416" t="str">
        <f t="shared" si="6"/>
        <v/>
      </c>
      <c r="BA62" s="417" t="str">
        <f>IFERROR(IF(VLOOKUP(B62,'Matriz de Referencia'!$B$3:$CQ$584,'Matriz de Referencia'!CP$1,FALSE)="","",VLOOKUP(B62,'Matriz de Referencia'!$B$3:$CQ$584,'Matriz de Referencia'!CP$1)),"")</f>
        <v/>
      </c>
      <c r="BB62" s="417" t="str">
        <f>IFERROR(IF(VLOOKUP(B62,'Matriz de Referencia'!$B$3:$CQ$584,'Matriz de Referencia'!CQ$1,FALSE)="","",VLOOKUP(B62,'Matriz de Referencia'!$B$3:$CQ$584,'Matriz de Referencia'!CQ$1)),"")</f>
        <v/>
      </c>
      <c r="BC62" s="583"/>
      <c r="BD62" s="429"/>
      <c r="BE62" s="655" t="str">
        <f t="shared" si="0"/>
        <v>Dimensión_</v>
      </c>
      <c r="BF62" s="430"/>
      <c r="BG62" s="654"/>
    </row>
    <row r="63" spans="1:59" ht="30" customHeight="1">
      <c r="A63" s="420"/>
      <c r="B63" s="421"/>
      <c r="C63" s="422"/>
      <c r="D63" s="422"/>
      <c r="E63" s="421"/>
      <c r="F63" s="423"/>
      <c r="G63" s="423"/>
      <c r="H63" s="421"/>
      <c r="I63" s="424"/>
      <c r="J63" s="421"/>
      <c r="K63" s="447"/>
      <c r="L63" s="424"/>
      <c r="M63" s="425"/>
      <c r="N63" s="421"/>
      <c r="O63" s="423"/>
      <c r="P63" s="421"/>
      <c r="Q63" s="421"/>
      <c r="R63" s="424"/>
      <c r="S63" s="421"/>
      <c r="T63" s="421"/>
      <c r="U63" s="585"/>
      <c r="V63" s="421"/>
      <c r="W63" s="590"/>
      <c r="X63" s="421"/>
      <c r="Y63" s="421"/>
      <c r="Z63" s="414"/>
      <c r="AA63" s="391" t="str">
        <f>IFERROR(IF(VLOOKUP($B63,'Matriz de Referencia'!$B$2:$CO$578,'Matriz de Referencia'!AM$1,FALSE)&gt;0,"Diligenciar la vigencia, tiene presupuesto programado","No diligenciar, no programo presupuesto"),"")</f>
        <v/>
      </c>
      <c r="AF63" s="637" t="str">
        <f t="shared" si="1"/>
        <v/>
      </c>
      <c r="AG63" s="391" t="str">
        <f>IFERROR(IF(VLOOKUP($B63,'Matriz de Referencia'!$B$2:$CO$578,'Matriz de Referencia'!BA$1,FALSE)&gt;0,"Diligenciar la vigencia, tiene presupuesto programado","No diligenciar, no programo presupuesto"),"")</f>
        <v/>
      </c>
      <c r="AL63" s="637" t="str">
        <f t="shared" si="2"/>
        <v/>
      </c>
      <c r="AM63" s="391" t="str">
        <f>IFERROR(IF(VLOOKUP($B63,'Matriz de Referencia'!$B$2:$CO$578,'Matriz de Referencia'!BO$1,FALSE)&gt;0,"Diligenciar la vigencia, tiene presupuesto programado","No diligenciar, no programo presupuesto"),"")</f>
        <v/>
      </c>
      <c r="AR63" s="637" t="str">
        <f t="shared" si="3"/>
        <v/>
      </c>
      <c r="AS63" s="391" t="str">
        <f>IFERROR(IF(VLOOKUP($B63,'Matriz de Referencia'!$B$2:$CO$578,'Matriz de Referencia'!CC$1,FALSE)&gt;0,"Diligenciar la vigencia, tiene presupuesto programado","No diligenciar, no programo presupuesto"),"")</f>
        <v/>
      </c>
      <c r="AX63" s="644" t="str">
        <f t="shared" si="4"/>
        <v/>
      </c>
      <c r="AY63" s="643" t="str">
        <f t="shared" si="5"/>
        <v/>
      </c>
      <c r="AZ63" s="416" t="str">
        <f t="shared" si="6"/>
        <v/>
      </c>
      <c r="BA63" s="417" t="str">
        <f>IFERROR(IF(VLOOKUP(B63,'Matriz de Referencia'!$B$3:$CQ$584,'Matriz de Referencia'!CP$1,FALSE)="","",VLOOKUP(B63,'Matriz de Referencia'!$B$3:$CQ$584,'Matriz de Referencia'!CP$1)),"")</f>
        <v/>
      </c>
      <c r="BB63" s="417" t="str">
        <f>IFERROR(IF(VLOOKUP(B63,'Matriz de Referencia'!$B$3:$CQ$584,'Matriz de Referencia'!CQ$1,FALSE)="","",VLOOKUP(B63,'Matriz de Referencia'!$B$3:$CQ$584,'Matriz de Referencia'!CQ$1)),"")</f>
        <v/>
      </c>
      <c r="BC63" s="583"/>
      <c r="BD63" s="429"/>
      <c r="BE63" s="655" t="str">
        <f t="shared" si="0"/>
        <v>Dimensión_</v>
      </c>
      <c r="BF63" s="430"/>
      <c r="BG63" s="654"/>
    </row>
    <row r="64" spans="1:59" ht="30" customHeight="1">
      <c r="A64" s="420"/>
      <c r="B64" s="421"/>
      <c r="C64" s="422"/>
      <c r="D64" s="422"/>
      <c r="E64" s="421"/>
      <c r="F64" s="423"/>
      <c r="G64" s="423"/>
      <c r="H64" s="421"/>
      <c r="I64" s="424"/>
      <c r="J64" s="421"/>
      <c r="K64" s="447"/>
      <c r="L64" s="424"/>
      <c r="M64" s="425"/>
      <c r="N64" s="421"/>
      <c r="O64" s="423"/>
      <c r="P64" s="421"/>
      <c r="Q64" s="421"/>
      <c r="R64" s="424"/>
      <c r="S64" s="421"/>
      <c r="T64" s="421"/>
      <c r="U64" s="585"/>
      <c r="V64" s="421"/>
      <c r="W64" s="590"/>
      <c r="X64" s="421"/>
      <c r="Y64" s="421"/>
      <c r="Z64" s="414"/>
      <c r="AA64" s="391" t="str">
        <f>IFERROR(IF(VLOOKUP($B64,'Matriz de Referencia'!$B$2:$CO$578,'Matriz de Referencia'!AM$1,FALSE)&gt;0,"Diligenciar la vigencia, tiene presupuesto programado","No diligenciar, no programo presupuesto"),"")</f>
        <v/>
      </c>
      <c r="AF64" s="637" t="str">
        <f t="shared" si="1"/>
        <v/>
      </c>
      <c r="AG64" s="391" t="str">
        <f>IFERROR(IF(VLOOKUP($B64,'Matriz de Referencia'!$B$2:$CO$578,'Matriz de Referencia'!BA$1,FALSE)&gt;0,"Diligenciar la vigencia, tiene presupuesto programado","No diligenciar, no programo presupuesto"),"")</f>
        <v/>
      </c>
      <c r="AL64" s="637" t="str">
        <f t="shared" si="2"/>
        <v/>
      </c>
      <c r="AM64" s="391" t="str">
        <f>IFERROR(IF(VLOOKUP($B64,'Matriz de Referencia'!$B$2:$CO$578,'Matriz de Referencia'!BO$1,FALSE)&gt;0,"Diligenciar la vigencia, tiene presupuesto programado","No diligenciar, no programo presupuesto"),"")</f>
        <v/>
      </c>
      <c r="AR64" s="637" t="str">
        <f t="shared" si="3"/>
        <v/>
      </c>
      <c r="AS64" s="391" t="str">
        <f>IFERROR(IF(VLOOKUP($B64,'Matriz de Referencia'!$B$2:$CO$578,'Matriz de Referencia'!CC$1,FALSE)&gt;0,"Diligenciar la vigencia, tiene presupuesto programado","No diligenciar, no programo presupuesto"),"")</f>
        <v/>
      </c>
      <c r="AX64" s="644" t="str">
        <f t="shared" si="4"/>
        <v/>
      </c>
      <c r="AY64" s="643" t="str">
        <f t="shared" si="5"/>
        <v/>
      </c>
      <c r="AZ64" s="416" t="str">
        <f t="shared" si="6"/>
        <v/>
      </c>
      <c r="BA64" s="417" t="str">
        <f>IFERROR(IF(VLOOKUP(B64,'Matriz de Referencia'!$B$3:$CQ$584,'Matriz de Referencia'!CP$1,FALSE)="","",VLOOKUP(B64,'Matriz de Referencia'!$B$3:$CQ$584,'Matriz de Referencia'!CP$1)),"")</f>
        <v/>
      </c>
      <c r="BB64" s="417" t="str">
        <f>IFERROR(IF(VLOOKUP(B64,'Matriz de Referencia'!$B$3:$CQ$584,'Matriz de Referencia'!CQ$1,FALSE)="","",VLOOKUP(B64,'Matriz de Referencia'!$B$3:$CQ$584,'Matriz de Referencia'!CQ$1)),"")</f>
        <v/>
      </c>
      <c r="BC64" s="583"/>
      <c r="BD64" s="429"/>
      <c r="BE64" s="655" t="str">
        <f t="shared" si="0"/>
        <v>Dimensión_</v>
      </c>
      <c r="BF64" s="430"/>
      <c r="BG64" s="654"/>
    </row>
    <row r="65" spans="1:59" ht="30" customHeight="1">
      <c r="A65" s="420"/>
      <c r="B65" s="421"/>
      <c r="C65" s="422"/>
      <c r="D65" s="422"/>
      <c r="E65" s="421"/>
      <c r="F65" s="423"/>
      <c r="G65" s="423"/>
      <c r="H65" s="421"/>
      <c r="I65" s="424"/>
      <c r="J65" s="421"/>
      <c r="K65" s="447"/>
      <c r="L65" s="424"/>
      <c r="M65" s="425"/>
      <c r="N65" s="421"/>
      <c r="O65" s="423"/>
      <c r="P65" s="421"/>
      <c r="Q65" s="421"/>
      <c r="R65" s="424"/>
      <c r="S65" s="421"/>
      <c r="T65" s="421"/>
      <c r="U65" s="585"/>
      <c r="V65" s="421"/>
      <c r="W65" s="590"/>
      <c r="X65" s="421"/>
      <c r="Y65" s="421"/>
      <c r="Z65" s="414"/>
      <c r="AA65" s="391" t="str">
        <f>IFERROR(IF(VLOOKUP($B65,'Matriz de Referencia'!$B$2:$CO$578,'Matriz de Referencia'!AM$1,FALSE)&gt;0,"Diligenciar la vigencia, tiene presupuesto programado","No diligenciar, no programo presupuesto"),"")</f>
        <v/>
      </c>
      <c r="AF65" s="637" t="str">
        <f t="shared" si="1"/>
        <v/>
      </c>
      <c r="AG65" s="391" t="str">
        <f>IFERROR(IF(VLOOKUP($B65,'Matriz de Referencia'!$B$2:$CO$578,'Matriz de Referencia'!BA$1,FALSE)&gt;0,"Diligenciar la vigencia, tiene presupuesto programado","No diligenciar, no programo presupuesto"),"")</f>
        <v/>
      </c>
      <c r="AL65" s="637" t="str">
        <f t="shared" si="2"/>
        <v/>
      </c>
      <c r="AM65" s="391" t="str">
        <f>IFERROR(IF(VLOOKUP($B65,'Matriz de Referencia'!$B$2:$CO$578,'Matriz de Referencia'!BO$1,FALSE)&gt;0,"Diligenciar la vigencia, tiene presupuesto programado","No diligenciar, no programo presupuesto"),"")</f>
        <v/>
      </c>
      <c r="AR65" s="637" t="str">
        <f t="shared" si="3"/>
        <v/>
      </c>
      <c r="AS65" s="391" t="str">
        <f>IFERROR(IF(VLOOKUP($B65,'Matriz de Referencia'!$B$2:$CO$578,'Matriz de Referencia'!CC$1,FALSE)&gt;0,"Diligenciar la vigencia, tiene presupuesto programado","No diligenciar, no programo presupuesto"),"")</f>
        <v/>
      </c>
      <c r="AX65" s="644" t="str">
        <f t="shared" si="4"/>
        <v/>
      </c>
      <c r="AY65" s="643" t="str">
        <f t="shared" si="5"/>
        <v/>
      </c>
      <c r="AZ65" s="416" t="str">
        <f t="shared" si="6"/>
        <v/>
      </c>
      <c r="BA65" s="417" t="str">
        <f>IFERROR(IF(VLOOKUP(B65,'Matriz de Referencia'!$B$3:$CQ$584,'Matriz de Referencia'!CP$1,FALSE)="","",VLOOKUP(B65,'Matriz de Referencia'!$B$3:$CQ$584,'Matriz de Referencia'!CP$1)),"")</f>
        <v/>
      </c>
      <c r="BB65" s="417" t="str">
        <f>IFERROR(IF(VLOOKUP(B65,'Matriz de Referencia'!$B$3:$CQ$584,'Matriz de Referencia'!CQ$1,FALSE)="","",VLOOKUP(B65,'Matriz de Referencia'!$B$3:$CQ$584,'Matriz de Referencia'!CQ$1)),"")</f>
        <v/>
      </c>
      <c r="BC65" s="583"/>
      <c r="BD65" s="429"/>
      <c r="BE65" s="655" t="str">
        <f t="shared" si="0"/>
        <v>Dimensión_</v>
      </c>
      <c r="BF65" s="430"/>
      <c r="BG65" s="654"/>
    </row>
    <row r="66" spans="1:59" ht="30" customHeight="1">
      <c r="A66" s="420"/>
      <c r="B66" s="421"/>
      <c r="C66" s="422"/>
      <c r="D66" s="422"/>
      <c r="E66" s="421"/>
      <c r="F66" s="423"/>
      <c r="G66" s="423"/>
      <c r="H66" s="421"/>
      <c r="I66" s="424"/>
      <c r="J66" s="421"/>
      <c r="K66" s="447"/>
      <c r="L66" s="424"/>
      <c r="M66" s="425"/>
      <c r="N66" s="421"/>
      <c r="O66" s="423"/>
      <c r="P66" s="421"/>
      <c r="Q66" s="421"/>
      <c r="R66" s="424"/>
      <c r="S66" s="421"/>
      <c r="T66" s="421"/>
      <c r="U66" s="585"/>
      <c r="V66" s="421"/>
      <c r="W66" s="590"/>
      <c r="X66" s="421"/>
      <c r="Y66" s="421"/>
      <c r="Z66" s="414"/>
      <c r="AA66" s="391" t="str">
        <f>IFERROR(IF(VLOOKUP($B66,'Matriz de Referencia'!$B$2:$CO$578,'Matriz de Referencia'!AM$1,FALSE)&gt;0,"Diligenciar la vigencia, tiene presupuesto programado","No diligenciar, no programo presupuesto"),"")</f>
        <v/>
      </c>
      <c r="AF66" s="637" t="str">
        <f t="shared" si="1"/>
        <v/>
      </c>
      <c r="AG66" s="391" t="str">
        <f>IFERROR(IF(VLOOKUP($B66,'Matriz de Referencia'!$B$2:$CO$578,'Matriz de Referencia'!BA$1,FALSE)&gt;0,"Diligenciar la vigencia, tiene presupuesto programado","No diligenciar, no programo presupuesto"),"")</f>
        <v/>
      </c>
      <c r="AL66" s="637" t="str">
        <f t="shared" si="2"/>
        <v/>
      </c>
      <c r="AM66" s="391" t="str">
        <f>IFERROR(IF(VLOOKUP($B66,'Matriz de Referencia'!$B$2:$CO$578,'Matriz de Referencia'!BO$1,FALSE)&gt;0,"Diligenciar la vigencia, tiene presupuesto programado","No diligenciar, no programo presupuesto"),"")</f>
        <v/>
      </c>
      <c r="AR66" s="637" t="str">
        <f t="shared" si="3"/>
        <v/>
      </c>
      <c r="AS66" s="391" t="str">
        <f>IFERROR(IF(VLOOKUP($B66,'Matriz de Referencia'!$B$2:$CO$578,'Matriz de Referencia'!CC$1,FALSE)&gt;0,"Diligenciar la vigencia, tiene presupuesto programado","No diligenciar, no programo presupuesto"),"")</f>
        <v/>
      </c>
      <c r="AX66" s="644" t="str">
        <f t="shared" si="4"/>
        <v/>
      </c>
      <c r="AY66" s="643" t="str">
        <f t="shared" si="5"/>
        <v/>
      </c>
      <c r="AZ66" s="416" t="str">
        <f t="shared" si="6"/>
        <v/>
      </c>
      <c r="BA66" s="417" t="str">
        <f>IFERROR(IF(VLOOKUP(B66,'Matriz de Referencia'!$B$3:$CQ$584,'Matriz de Referencia'!CP$1,FALSE)="","",VLOOKUP(B66,'Matriz de Referencia'!$B$3:$CQ$584,'Matriz de Referencia'!CP$1)),"")</f>
        <v/>
      </c>
      <c r="BB66" s="417" t="str">
        <f>IFERROR(IF(VLOOKUP(B66,'Matriz de Referencia'!$B$3:$CQ$584,'Matriz de Referencia'!CQ$1,FALSE)="","",VLOOKUP(B66,'Matriz de Referencia'!$B$3:$CQ$584,'Matriz de Referencia'!CQ$1)),"")</f>
        <v/>
      </c>
      <c r="BC66" s="583"/>
      <c r="BD66" s="429"/>
      <c r="BE66" s="655" t="str">
        <f t="shared" ref="BE66:BE99" si="7">"Dimensión_"&amp;MID(BD66,11,1)</f>
        <v>Dimensión_</v>
      </c>
      <c r="BF66" s="430"/>
      <c r="BG66" s="654"/>
    </row>
    <row r="67" spans="1:59" ht="30" customHeight="1">
      <c r="A67" s="420"/>
      <c r="B67" s="421"/>
      <c r="C67" s="422"/>
      <c r="D67" s="422"/>
      <c r="E67" s="421"/>
      <c r="F67" s="423"/>
      <c r="G67" s="423"/>
      <c r="H67" s="421"/>
      <c r="I67" s="424"/>
      <c r="J67" s="421"/>
      <c r="K67" s="447"/>
      <c r="L67" s="424"/>
      <c r="M67" s="425"/>
      <c r="N67" s="421"/>
      <c r="O67" s="423"/>
      <c r="P67" s="421"/>
      <c r="Q67" s="421"/>
      <c r="R67" s="424"/>
      <c r="S67" s="421"/>
      <c r="T67" s="421"/>
      <c r="U67" s="585"/>
      <c r="V67" s="421"/>
      <c r="W67" s="590"/>
      <c r="X67" s="421"/>
      <c r="Y67" s="421"/>
      <c r="Z67" s="414"/>
      <c r="AA67" s="391" t="str">
        <f>IFERROR(IF(VLOOKUP($B67,'Matriz de Referencia'!$B$2:$CO$578,'Matriz de Referencia'!AM$1,FALSE)&gt;0,"Diligenciar la vigencia, tiene presupuesto programado","No diligenciar, no programo presupuesto"),"")</f>
        <v/>
      </c>
      <c r="AF67" s="637" t="str">
        <f t="shared" ref="AF67:AF99" si="8">IFERROR(IF($Z67="Mantenimiento", AVERAGE(AB67:AE67), IF($Z67="Incremento", SUM(AB67:AE67), "")),"")</f>
        <v/>
      </c>
      <c r="AG67" s="391" t="str">
        <f>IFERROR(IF(VLOOKUP($B67,'Matriz de Referencia'!$B$2:$CO$578,'Matriz de Referencia'!BA$1,FALSE)&gt;0,"Diligenciar la vigencia, tiene presupuesto programado","No diligenciar, no programo presupuesto"),"")</f>
        <v/>
      </c>
      <c r="AL67" s="637" t="str">
        <f t="shared" ref="AL67:AL99" si="9">IFERROR(IF($Z67="Mantenimiento", AVERAGE(AH67:AK67), IF($Z67="Incremento", SUM(AH67:AK67), "")),"")</f>
        <v/>
      </c>
      <c r="AM67" s="391" t="str">
        <f>IFERROR(IF(VLOOKUP($B67,'Matriz de Referencia'!$B$2:$CO$578,'Matriz de Referencia'!BO$1,FALSE)&gt;0,"Diligenciar la vigencia, tiene presupuesto programado","No diligenciar, no programo presupuesto"),"")</f>
        <v/>
      </c>
      <c r="AR67" s="637" t="str">
        <f t="shared" ref="AR67:AR99" si="10">IFERROR(IF($Z67="Mantenimiento", AVERAGE(AN67:AQ67), IF($Z67="Incremento", SUM(AN67:AQ67), "")),"")</f>
        <v/>
      </c>
      <c r="AS67" s="391" t="str">
        <f>IFERROR(IF(VLOOKUP($B67,'Matriz de Referencia'!$B$2:$CO$578,'Matriz de Referencia'!CC$1,FALSE)&gt;0,"Diligenciar la vigencia, tiene presupuesto programado","No diligenciar, no programo presupuesto"),"")</f>
        <v/>
      </c>
      <c r="AX67" s="644" t="str">
        <f t="shared" ref="AX67:AX99" si="11">IFERROR(IF($Z67="Mantenimiento", AVERAGE(AT67:AW67), IF($Z67="Incremento", SUM(AT67:AW67), "")),"")</f>
        <v/>
      </c>
      <c r="AY67" s="643" t="str">
        <f t="shared" ref="AY67:AY99" si="12">IFERROR(IF(Z67="Incremento",AX67+AR67+AL67+AF67,AVERAGE(AX67,AR67,AL67,AF67)),"")</f>
        <v/>
      </c>
      <c r="AZ67" s="416" t="str">
        <f t="shared" ref="AZ67:AZ99" si="13">IF(AY67="","",IF(Z67="Incremento",IF(AY67=(N67-P67),"Continue",IF(Z67="Mantenimiento",IF(AY67=P67,"Continue","Su Programación es diferente a la meta, revise para continuar"),"Su Programación es diferente a la meta, revise para continuar"))))</f>
        <v/>
      </c>
      <c r="BA67" s="417" t="str">
        <f>IFERROR(IF(VLOOKUP(B67,'Matriz de Referencia'!$B$3:$CQ$584,'Matriz de Referencia'!CP$1,FALSE)="","",VLOOKUP(B67,'Matriz de Referencia'!$B$3:$CQ$584,'Matriz de Referencia'!CP$1)),"")</f>
        <v/>
      </c>
      <c r="BB67" s="417" t="str">
        <f>IFERROR(IF(VLOOKUP(B67,'Matriz de Referencia'!$B$3:$CQ$584,'Matriz de Referencia'!CQ$1,FALSE)="","",VLOOKUP(B67,'Matriz de Referencia'!$B$3:$CQ$584,'Matriz de Referencia'!CQ$1)),"")</f>
        <v/>
      </c>
      <c r="BC67" s="583"/>
      <c r="BD67" s="429"/>
      <c r="BE67" s="655" t="str">
        <f t="shared" si="7"/>
        <v>Dimensión_</v>
      </c>
      <c r="BF67" s="430"/>
      <c r="BG67" s="654"/>
    </row>
    <row r="68" spans="1:59" ht="30" customHeight="1">
      <c r="A68" s="420"/>
      <c r="B68" s="421"/>
      <c r="C68" s="422"/>
      <c r="D68" s="422"/>
      <c r="E68" s="421"/>
      <c r="F68" s="423"/>
      <c r="G68" s="423"/>
      <c r="H68" s="421"/>
      <c r="I68" s="424"/>
      <c r="J68" s="421"/>
      <c r="K68" s="447"/>
      <c r="L68" s="424"/>
      <c r="M68" s="425"/>
      <c r="N68" s="421"/>
      <c r="O68" s="423"/>
      <c r="P68" s="421"/>
      <c r="Q68" s="421"/>
      <c r="R68" s="424"/>
      <c r="S68" s="421"/>
      <c r="T68" s="421"/>
      <c r="U68" s="585"/>
      <c r="V68" s="421"/>
      <c r="W68" s="590"/>
      <c r="X68" s="421"/>
      <c r="Y68" s="421"/>
      <c r="Z68" s="414"/>
      <c r="AA68" s="391" t="str">
        <f>IFERROR(IF(VLOOKUP($B68,'Matriz de Referencia'!$B$2:$CO$578,'Matriz de Referencia'!AM$1,FALSE)&gt;0,"Diligenciar la vigencia, tiene presupuesto programado","No diligenciar, no programo presupuesto"),"")</f>
        <v/>
      </c>
      <c r="AF68" s="637" t="str">
        <f t="shared" si="8"/>
        <v/>
      </c>
      <c r="AG68" s="391" t="str">
        <f>IFERROR(IF(VLOOKUP($B68,'Matriz de Referencia'!$B$2:$CO$578,'Matriz de Referencia'!BA$1,FALSE)&gt;0,"Diligenciar la vigencia, tiene presupuesto programado","No diligenciar, no programo presupuesto"),"")</f>
        <v/>
      </c>
      <c r="AL68" s="637" t="str">
        <f t="shared" si="9"/>
        <v/>
      </c>
      <c r="AM68" s="391" t="str">
        <f>IFERROR(IF(VLOOKUP($B68,'Matriz de Referencia'!$B$2:$CO$578,'Matriz de Referencia'!BO$1,FALSE)&gt;0,"Diligenciar la vigencia, tiene presupuesto programado","No diligenciar, no programo presupuesto"),"")</f>
        <v/>
      </c>
      <c r="AR68" s="637" t="str">
        <f t="shared" si="10"/>
        <v/>
      </c>
      <c r="AS68" s="391" t="str">
        <f>IFERROR(IF(VLOOKUP($B68,'Matriz de Referencia'!$B$2:$CO$578,'Matriz de Referencia'!CC$1,FALSE)&gt;0,"Diligenciar la vigencia, tiene presupuesto programado","No diligenciar, no programo presupuesto"),"")</f>
        <v/>
      </c>
      <c r="AX68" s="644" t="str">
        <f t="shared" si="11"/>
        <v/>
      </c>
      <c r="AY68" s="643" t="str">
        <f t="shared" si="12"/>
        <v/>
      </c>
      <c r="AZ68" s="416" t="str">
        <f t="shared" si="13"/>
        <v/>
      </c>
      <c r="BA68" s="417" t="str">
        <f>IFERROR(IF(VLOOKUP(B68,'Matriz de Referencia'!$B$3:$CQ$584,'Matriz de Referencia'!CP$1,FALSE)="","",VLOOKUP(B68,'Matriz de Referencia'!$B$3:$CQ$584,'Matriz de Referencia'!CP$1)),"")</f>
        <v/>
      </c>
      <c r="BB68" s="417" t="str">
        <f>IFERROR(IF(VLOOKUP(B68,'Matriz de Referencia'!$B$3:$CQ$584,'Matriz de Referencia'!CQ$1,FALSE)="","",VLOOKUP(B68,'Matriz de Referencia'!$B$3:$CQ$584,'Matriz de Referencia'!CQ$1)),"")</f>
        <v/>
      </c>
      <c r="BC68" s="583"/>
      <c r="BD68" s="429"/>
      <c r="BE68" s="655" t="str">
        <f t="shared" si="7"/>
        <v>Dimensión_</v>
      </c>
      <c r="BF68" s="430"/>
      <c r="BG68" s="654"/>
    </row>
    <row r="69" spans="1:59" ht="30" customHeight="1">
      <c r="A69" s="420"/>
      <c r="B69" s="421"/>
      <c r="C69" s="422"/>
      <c r="D69" s="422"/>
      <c r="E69" s="421"/>
      <c r="F69" s="423"/>
      <c r="G69" s="423"/>
      <c r="H69" s="421"/>
      <c r="I69" s="424"/>
      <c r="J69" s="421"/>
      <c r="K69" s="447"/>
      <c r="L69" s="424"/>
      <c r="M69" s="425"/>
      <c r="N69" s="421"/>
      <c r="O69" s="423"/>
      <c r="P69" s="421"/>
      <c r="Q69" s="421"/>
      <c r="R69" s="424"/>
      <c r="S69" s="421"/>
      <c r="T69" s="421"/>
      <c r="U69" s="585"/>
      <c r="V69" s="421"/>
      <c r="W69" s="590"/>
      <c r="X69" s="421"/>
      <c r="Y69" s="421"/>
      <c r="Z69" s="414"/>
      <c r="AA69" s="391" t="str">
        <f>IFERROR(IF(VLOOKUP($B69,'Matriz de Referencia'!$B$2:$CO$578,'Matriz de Referencia'!AM$1,FALSE)&gt;0,"Diligenciar la vigencia, tiene presupuesto programado","No diligenciar, no programo presupuesto"),"")</f>
        <v/>
      </c>
      <c r="AF69" s="637" t="str">
        <f t="shared" si="8"/>
        <v/>
      </c>
      <c r="AG69" s="391" t="str">
        <f>IFERROR(IF(VLOOKUP($B69,'Matriz de Referencia'!$B$2:$CO$578,'Matriz de Referencia'!BA$1,FALSE)&gt;0,"Diligenciar la vigencia, tiene presupuesto programado","No diligenciar, no programo presupuesto"),"")</f>
        <v/>
      </c>
      <c r="AL69" s="637" t="str">
        <f t="shared" si="9"/>
        <v/>
      </c>
      <c r="AM69" s="391" t="str">
        <f>IFERROR(IF(VLOOKUP($B69,'Matriz de Referencia'!$B$2:$CO$578,'Matriz de Referencia'!BO$1,FALSE)&gt;0,"Diligenciar la vigencia, tiene presupuesto programado","No diligenciar, no programo presupuesto"),"")</f>
        <v/>
      </c>
      <c r="AR69" s="637" t="str">
        <f t="shared" si="10"/>
        <v/>
      </c>
      <c r="AS69" s="391" t="str">
        <f>IFERROR(IF(VLOOKUP($B69,'Matriz de Referencia'!$B$2:$CO$578,'Matriz de Referencia'!CC$1,FALSE)&gt;0,"Diligenciar la vigencia, tiene presupuesto programado","No diligenciar, no programo presupuesto"),"")</f>
        <v/>
      </c>
      <c r="AX69" s="644" t="str">
        <f t="shared" si="11"/>
        <v/>
      </c>
      <c r="AY69" s="643" t="str">
        <f t="shared" si="12"/>
        <v/>
      </c>
      <c r="AZ69" s="416" t="str">
        <f t="shared" si="13"/>
        <v/>
      </c>
      <c r="BA69" s="417" t="str">
        <f>IFERROR(IF(VLOOKUP(B69,'Matriz de Referencia'!$B$3:$CQ$584,'Matriz de Referencia'!CP$1,FALSE)="","",VLOOKUP(B69,'Matriz de Referencia'!$B$3:$CQ$584,'Matriz de Referencia'!CP$1)),"")</f>
        <v/>
      </c>
      <c r="BB69" s="417" t="str">
        <f>IFERROR(IF(VLOOKUP(B69,'Matriz de Referencia'!$B$3:$CQ$584,'Matriz de Referencia'!CQ$1,FALSE)="","",VLOOKUP(B69,'Matriz de Referencia'!$B$3:$CQ$584,'Matriz de Referencia'!CQ$1)),"")</f>
        <v/>
      </c>
      <c r="BC69" s="583"/>
      <c r="BD69" s="429"/>
      <c r="BE69" s="655" t="str">
        <f t="shared" si="7"/>
        <v>Dimensión_</v>
      </c>
      <c r="BF69" s="430"/>
      <c r="BG69" s="654"/>
    </row>
    <row r="70" spans="1:59" ht="30" customHeight="1">
      <c r="A70" s="420"/>
      <c r="B70" s="421"/>
      <c r="C70" s="422"/>
      <c r="D70" s="422"/>
      <c r="E70" s="421"/>
      <c r="F70" s="423"/>
      <c r="G70" s="423"/>
      <c r="H70" s="421"/>
      <c r="I70" s="424"/>
      <c r="J70" s="421"/>
      <c r="K70" s="447"/>
      <c r="L70" s="424"/>
      <c r="M70" s="425"/>
      <c r="N70" s="421"/>
      <c r="O70" s="423"/>
      <c r="P70" s="421"/>
      <c r="Q70" s="421"/>
      <c r="R70" s="424"/>
      <c r="S70" s="421"/>
      <c r="T70" s="421"/>
      <c r="U70" s="585"/>
      <c r="V70" s="421"/>
      <c r="W70" s="590"/>
      <c r="X70" s="421"/>
      <c r="Y70" s="421"/>
      <c r="Z70" s="414"/>
      <c r="AA70" s="391" t="str">
        <f>IFERROR(IF(VLOOKUP($B70,'Matriz de Referencia'!$B$2:$CO$578,'Matriz de Referencia'!AM$1,FALSE)&gt;0,"Diligenciar la vigencia, tiene presupuesto programado","No diligenciar, no programo presupuesto"),"")</f>
        <v/>
      </c>
      <c r="AF70" s="637" t="str">
        <f t="shared" si="8"/>
        <v/>
      </c>
      <c r="AG70" s="391" t="str">
        <f>IFERROR(IF(VLOOKUP($B70,'Matriz de Referencia'!$B$2:$CO$578,'Matriz de Referencia'!BA$1,FALSE)&gt;0,"Diligenciar la vigencia, tiene presupuesto programado","No diligenciar, no programo presupuesto"),"")</f>
        <v/>
      </c>
      <c r="AL70" s="637" t="str">
        <f t="shared" si="9"/>
        <v/>
      </c>
      <c r="AM70" s="391" t="str">
        <f>IFERROR(IF(VLOOKUP($B70,'Matriz de Referencia'!$B$2:$CO$578,'Matriz de Referencia'!BO$1,FALSE)&gt;0,"Diligenciar la vigencia, tiene presupuesto programado","No diligenciar, no programo presupuesto"),"")</f>
        <v/>
      </c>
      <c r="AR70" s="637" t="str">
        <f t="shared" si="10"/>
        <v/>
      </c>
      <c r="AS70" s="391" t="str">
        <f>IFERROR(IF(VLOOKUP($B70,'Matriz de Referencia'!$B$2:$CO$578,'Matriz de Referencia'!CC$1,FALSE)&gt;0,"Diligenciar la vigencia, tiene presupuesto programado","No diligenciar, no programo presupuesto"),"")</f>
        <v/>
      </c>
      <c r="AX70" s="644" t="str">
        <f t="shared" si="11"/>
        <v/>
      </c>
      <c r="AY70" s="643" t="str">
        <f t="shared" si="12"/>
        <v/>
      </c>
      <c r="AZ70" s="416" t="str">
        <f t="shared" si="13"/>
        <v/>
      </c>
      <c r="BA70" s="417" t="str">
        <f>IFERROR(IF(VLOOKUP(B70,'Matriz de Referencia'!$B$3:$CQ$584,'Matriz de Referencia'!CP$1,FALSE)="","",VLOOKUP(B70,'Matriz de Referencia'!$B$3:$CQ$584,'Matriz de Referencia'!CP$1)),"")</f>
        <v/>
      </c>
      <c r="BB70" s="417" t="str">
        <f>IFERROR(IF(VLOOKUP(B70,'Matriz de Referencia'!$B$3:$CQ$584,'Matriz de Referencia'!CQ$1,FALSE)="","",VLOOKUP(B70,'Matriz de Referencia'!$B$3:$CQ$584,'Matriz de Referencia'!CQ$1)),"")</f>
        <v/>
      </c>
      <c r="BC70" s="583"/>
      <c r="BD70" s="429"/>
      <c r="BE70" s="655" t="str">
        <f t="shared" si="7"/>
        <v>Dimensión_</v>
      </c>
      <c r="BF70" s="430"/>
      <c r="BG70" s="654"/>
    </row>
    <row r="71" spans="1:59" ht="30" customHeight="1">
      <c r="A71" s="420"/>
      <c r="B71" s="421"/>
      <c r="C71" s="422"/>
      <c r="D71" s="422"/>
      <c r="E71" s="421"/>
      <c r="F71" s="423"/>
      <c r="G71" s="423"/>
      <c r="H71" s="421"/>
      <c r="I71" s="424"/>
      <c r="J71" s="421"/>
      <c r="K71" s="447"/>
      <c r="L71" s="424"/>
      <c r="M71" s="425"/>
      <c r="N71" s="421"/>
      <c r="O71" s="423"/>
      <c r="P71" s="421"/>
      <c r="Q71" s="421"/>
      <c r="R71" s="424"/>
      <c r="S71" s="421"/>
      <c r="T71" s="421"/>
      <c r="U71" s="585"/>
      <c r="V71" s="421"/>
      <c r="W71" s="590"/>
      <c r="X71" s="421"/>
      <c r="Y71" s="421"/>
      <c r="Z71" s="414"/>
      <c r="AA71" s="391" t="str">
        <f>IFERROR(IF(VLOOKUP($B71,'Matriz de Referencia'!$B$2:$CO$578,'Matriz de Referencia'!AM$1,FALSE)&gt;0,"Diligenciar la vigencia, tiene presupuesto programado","No diligenciar, no programo presupuesto"),"")</f>
        <v/>
      </c>
      <c r="AF71" s="637" t="str">
        <f t="shared" si="8"/>
        <v/>
      </c>
      <c r="AG71" s="391" t="str">
        <f>IFERROR(IF(VLOOKUP($B71,'Matriz de Referencia'!$B$2:$CO$578,'Matriz de Referencia'!BA$1,FALSE)&gt;0,"Diligenciar la vigencia, tiene presupuesto programado","No diligenciar, no programo presupuesto"),"")</f>
        <v/>
      </c>
      <c r="AL71" s="637" t="str">
        <f t="shared" si="9"/>
        <v/>
      </c>
      <c r="AM71" s="391" t="str">
        <f>IFERROR(IF(VLOOKUP($B71,'Matriz de Referencia'!$B$2:$CO$578,'Matriz de Referencia'!BO$1,FALSE)&gt;0,"Diligenciar la vigencia, tiene presupuesto programado","No diligenciar, no programo presupuesto"),"")</f>
        <v/>
      </c>
      <c r="AR71" s="637" t="str">
        <f t="shared" si="10"/>
        <v/>
      </c>
      <c r="AS71" s="391" t="str">
        <f>IFERROR(IF(VLOOKUP($B71,'Matriz de Referencia'!$B$2:$CO$578,'Matriz de Referencia'!CC$1,FALSE)&gt;0,"Diligenciar la vigencia, tiene presupuesto programado","No diligenciar, no programo presupuesto"),"")</f>
        <v/>
      </c>
      <c r="AX71" s="644" t="str">
        <f t="shared" si="11"/>
        <v/>
      </c>
      <c r="AY71" s="643" t="str">
        <f t="shared" si="12"/>
        <v/>
      </c>
      <c r="AZ71" s="416" t="str">
        <f t="shared" si="13"/>
        <v/>
      </c>
      <c r="BA71" s="417" t="str">
        <f>IFERROR(IF(VLOOKUP(B71,'Matriz de Referencia'!$B$3:$CQ$584,'Matriz de Referencia'!CP$1,FALSE)="","",VLOOKUP(B71,'Matriz de Referencia'!$B$3:$CQ$584,'Matriz de Referencia'!CP$1)),"")</f>
        <v/>
      </c>
      <c r="BB71" s="417" t="str">
        <f>IFERROR(IF(VLOOKUP(B71,'Matriz de Referencia'!$B$3:$CQ$584,'Matriz de Referencia'!CQ$1,FALSE)="","",VLOOKUP(B71,'Matriz de Referencia'!$B$3:$CQ$584,'Matriz de Referencia'!CQ$1)),"")</f>
        <v/>
      </c>
      <c r="BC71" s="583"/>
      <c r="BD71" s="429"/>
      <c r="BE71" s="655" t="str">
        <f t="shared" si="7"/>
        <v>Dimensión_</v>
      </c>
      <c r="BF71" s="430"/>
      <c r="BG71" s="654"/>
    </row>
    <row r="72" spans="1:59" ht="30" customHeight="1">
      <c r="A72" s="420"/>
      <c r="B72" s="421"/>
      <c r="C72" s="422"/>
      <c r="D72" s="422"/>
      <c r="E72" s="421"/>
      <c r="F72" s="423"/>
      <c r="G72" s="423"/>
      <c r="H72" s="421"/>
      <c r="I72" s="424"/>
      <c r="J72" s="421"/>
      <c r="K72" s="447"/>
      <c r="L72" s="424"/>
      <c r="M72" s="425"/>
      <c r="N72" s="421"/>
      <c r="O72" s="423"/>
      <c r="P72" s="421"/>
      <c r="Q72" s="421"/>
      <c r="R72" s="424"/>
      <c r="S72" s="421"/>
      <c r="T72" s="421"/>
      <c r="U72" s="585"/>
      <c r="V72" s="421"/>
      <c r="W72" s="590"/>
      <c r="X72" s="421"/>
      <c r="Y72" s="421"/>
      <c r="Z72" s="414"/>
      <c r="AA72" s="391" t="str">
        <f>IFERROR(IF(VLOOKUP($B72,'Matriz de Referencia'!$B$2:$CO$578,'Matriz de Referencia'!AM$1,FALSE)&gt;0,"Diligenciar la vigencia, tiene presupuesto programado","No diligenciar, no programo presupuesto"),"")</f>
        <v/>
      </c>
      <c r="AF72" s="637" t="str">
        <f t="shared" si="8"/>
        <v/>
      </c>
      <c r="AG72" s="391" t="str">
        <f>IFERROR(IF(VLOOKUP($B72,'Matriz de Referencia'!$B$2:$CO$578,'Matriz de Referencia'!BA$1,FALSE)&gt;0,"Diligenciar la vigencia, tiene presupuesto programado","No diligenciar, no programo presupuesto"),"")</f>
        <v/>
      </c>
      <c r="AL72" s="637" t="str">
        <f t="shared" si="9"/>
        <v/>
      </c>
      <c r="AM72" s="391" t="str">
        <f>IFERROR(IF(VLOOKUP($B72,'Matriz de Referencia'!$B$2:$CO$578,'Matriz de Referencia'!BO$1,FALSE)&gt;0,"Diligenciar la vigencia, tiene presupuesto programado","No diligenciar, no programo presupuesto"),"")</f>
        <v/>
      </c>
      <c r="AR72" s="637" t="str">
        <f t="shared" si="10"/>
        <v/>
      </c>
      <c r="AS72" s="391" t="str">
        <f>IFERROR(IF(VLOOKUP($B72,'Matriz de Referencia'!$B$2:$CO$578,'Matriz de Referencia'!CC$1,FALSE)&gt;0,"Diligenciar la vigencia, tiene presupuesto programado","No diligenciar, no programo presupuesto"),"")</f>
        <v/>
      </c>
      <c r="AX72" s="644" t="str">
        <f t="shared" si="11"/>
        <v/>
      </c>
      <c r="AY72" s="643" t="str">
        <f t="shared" si="12"/>
        <v/>
      </c>
      <c r="AZ72" s="416" t="str">
        <f t="shared" si="13"/>
        <v/>
      </c>
      <c r="BA72" s="417" t="str">
        <f>IFERROR(IF(VLOOKUP(B72,'Matriz de Referencia'!$B$3:$CQ$584,'Matriz de Referencia'!CP$1,FALSE)="","",VLOOKUP(B72,'Matriz de Referencia'!$B$3:$CQ$584,'Matriz de Referencia'!CP$1)),"")</f>
        <v/>
      </c>
      <c r="BB72" s="417" t="str">
        <f>IFERROR(IF(VLOOKUP(B72,'Matriz de Referencia'!$B$3:$CQ$584,'Matriz de Referencia'!CQ$1,FALSE)="","",VLOOKUP(B72,'Matriz de Referencia'!$B$3:$CQ$584,'Matriz de Referencia'!CQ$1)),"")</f>
        <v/>
      </c>
      <c r="BC72" s="583"/>
      <c r="BD72" s="429"/>
      <c r="BE72" s="655" t="str">
        <f t="shared" si="7"/>
        <v>Dimensión_</v>
      </c>
      <c r="BF72" s="430"/>
      <c r="BG72" s="654"/>
    </row>
    <row r="73" spans="1:59" ht="30" customHeight="1">
      <c r="A73" s="420"/>
      <c r="B73" s="421"/>
      <c r="C73" s="422"/>
      <c r="D73" s="422"/>
      <c r="E73" s="421"/>
      <c r="F73" s="423"/>
      <c r="G73" s="423"/>
      <c r="H73" s="421"/>
      <c r="I73" s="424"/>
      <c r="J73" s="421"/>
      <c r="K73" s="447"/>
      <c r="L73" s="424"/>
      <c r="M73" s="425"/>
      <c r="N73" s="421"/>
      <c r="O73" s="423"/>
      <c r="P73" s="421"/>
      <c r="Q73" s="421"/>
      <c r="R73" s="424"/>
      <c r="S73" s="421"/>
      <c r="T73" s="421"/>
      <c r="U73" s="585"/>
      <c r="V73" s="421"/>
      <c r="W73" s="590"/>
      <c r="X73" s="421"/>
      <c r="Y73" s="421"/>
      <c r="Z73" s="414"/>
      <c r="AA73" s="391" t="str">
        <f>IFERROR(IF(VLOOKUP($B73,'Matriz de Referencia'!$B$2:$CO$578,'Matriz de Referencia'!AM$1,FALSE)&gt;0,"Diligenciar la vigencia, tiene presupuesto programado","No diligenciar, no programo presupuesto"),"")</f>
        <v/>
      </c>
      <c r="AF73" s="637" t="str">
        <f t="shared" si="8"/>
        <v/>
      </c>
      <c r="AG73" s="391" t="str">
        <f>IFERROR(IF(VLOOKUP($B73,'Matriz de Referencia'!$B$2:$CO$578,'Matriz de Referencia'!BA$1,FALSE)&gt;0,"Diligenciar la vigencia, tiene presupuesto programado","No diligenciar, no programo presupuesto"),"")</f>
        <v/>
      </c>
      <c r="AL73" s="637" t="str">
        <f t="shared" si="9"/>
        <v/>
      </c>
      <c r="AM73" s="391" t="str">
        <f>IFERROR(IF(VLOOKUP($B73,'Matriz de Referencia'!$B$2:$CO$578,'Matriz de Referencia'!BO$1,FALSE)&gt;0,"Diligenciar la vigencia, tiene presupuesto programado","No diligenciar, no programo presupuesto"),"")</f>
        <v/>
      </c>
      <c r="AR73" s="637" t="str">
        <f t="shared" si="10"/>
        <v/>
      </c>
      <c r="AS73" s="391" t="str">
        <f>IFERROR(IF(VLOOKUP($B73,'Matriz de Referencia'!$B$2:$CO$578,'Matriz de Referencia'!CC$1,FALSE)&gt;0,"Diligenciar la vigencia, tiene presupuesto programado","No diligenciar, no programo presupuesto"),"")</f>
        <v/>
      </c>
      <c r="AX73" s="644" t="str">
        <f t="shared" si="11"/>
        <v/>
      </c>
      <c r="AY73" s="643" t="str">
        <f t="shared" si="12"/>
        <v/>
      </c>
      <c r="AZ73" s="416" t="str">
        <f t="shared" si="13"/>
        <v/>
      </c>
      <c r="BA73" s="417" t="str">
        <f>IFERROR(IF(VLOOKUP(B73,'Matriz de Referencia'!$B$3:$CQ$584,'Matriz de Referencia'!CP$1,FALSE)="","",VLOOKUP(B73,'Matriz de Referencia'!$B$3:$CQ$584,'Matriz de Referencia'!CP$1)),"")</f>
        <v/>
      </c>
      <c r="BB73" s="417" t="str">
        <f>IFERROR(IF(VLOOKUP(B73,'Matriz de Referencia'!$B$3:$CQ$584,'Matriz de Referencia'!CQ$1,FALSE)="","",VLOOKUP(B73,'Matriz de Referencia'!$B$3:$CQ$584,'Matriz de Referencia'!CQ$1)),"")</f>
        <v/>
      </c>
      <c r="BC73" s="583"/>
      <c r="BD73" s="429"/>
      <c r="BE73" s="655" t="str">
        <f t="shared" si="7"/>
        <v>Dimensión_</v>
      </c>
      <c r="BF73" s="430"/>
      <c r="BG73" s="654"/>
    </row>
    <row r="74" spans="1:59" ht="30" customHeight="1">
      <c r="A74" s="420"/>
      <c r="B74" s="421"/>
      <c r="C74" s="422"/>
      <c r="D74" s="422"/>
      <c r="E74" s="421"/>
      <c r="F74" s="423"/>
      <c r="G74" s="423"/>
      <c r="H74" s="421"/>
      <c r="I74" s="424"/>
      <c r="J74" s="421"/>
      <c r="K74" s="447"/>
      <c r="L74" s="424"/>
      <c r="M74" s="425"/>
      <c r="N74" s="421"/>
      <c r="O74" s="423"/>
      <c r="P74" s="421"/>
      <c r="Q74" s="421"/>
      <c r="R74" s="424"/>
      <c r="S74" s="421"/>
      <c r="T74" s="421"/>
      <c r="U74" s="585"/>
      <c r="V74" s="421"/>
      <c r="W74" s="590"/>
      <c r="X74" s="421"/>
      <c r="Y74" s="421"/>
      <c r="Z74" s="414"/>
      <c r="AA74" s="391" t="str">
        <f>IFERROR(IF(VLOOKUP($B74,'Matriz de Referencia'!$B$2:$CO$578,'Matriz de Referencia'!AM$1,FALSE)&gt;0,"Diligenciar la vigencia, tiene presupuesto programado","No diligenciar, no programo presupuesto"),"")</f>
        <v/>
      </c>
      <c r="AF74" s="637" t="str">
        <f t="shared" si="8"/>
        <v/>
      </c>
      <c r="AG74" s="391" t="str">
        <f>IFERROR(IF(VLOOKUP($B74,'Matriz de Referencia'!$B$2:$CO$578,'Matriz de Referencia'!BA$1,FALSE)&gt;0,"Diligenciar la vigencia, tiene presupuesto programado","No diligenciar, no programo presupuesto"),"")</f>
        <v/>
      </c>
      <c r="AL74" s="637" t="str">
        <f t="shared" si="9"/>
        <v/>
      </c>
      <c r="AM74" s="391" t="str">
        <f>IFERROR(IF(VLOOKUP($B74,'Matriz de Referencia'!$B$2:$CO$578,'Matriz de Referencia'!BO$1,FALSE)&gt;0,"Diligenciar la vigencia, tiene presupuesto programado","No diligenciar, no programo presupuesto"),"")</f>
        <v/>
      </c>
      <c r="AR74" s="637" t="str">
        <f t="shared" si="10"/>
        <v/>
      </c>
      <c r="AS74" s="391" t="str">
        <f>IFERROR(IF(VLOOKUP($B74,'Matriz de Referencia'!$B$2:$CO$578,'Matriz de Referencia'!CC$1,FALSE)&gt;0,"Diligenciar la vigencia, tiene presupuesto programado","No diligenciar, no programo presupuesto"),"")</f>
        <v/>
      </c>
      <c r="AX74" s="644" t="str">
        <f t="shared" si="11"/>
        <v/>
      </c>
      <c r="AY74" s="643" t="str">
        <f t="shared" si="12"/>
        <v/>
      </c>
      <c r="AZ74" s="416" t="str">
        <f t="shared" si="13"/>
        <v/>
      </c>
      <c r="BA74" s="417" t="str">
        <f>IFERROR(IF(VLOOKUP(B74,'Matriz de Referencia'!$B$3:$CQ$584,'Matriz de Referencia'!CP$1,FALSE)="","",VLOOKUP(B74,'Matriz de Referencia'!$B$3:$CQ$584,'Matriz de Referencia'!CP$1)),"")</f>
        <v/>
      </c>
      <c r="BB74" s="417" t="str">
        <f>IFERROR(IF(VLOOKUP(B74,'Matriz de Referencia'!$B$3:$CQ$584,'Matriz de Referencia'!CQ$1,FALSE)="","",VLOOKUP(B74,'Matriz de Referencia'!$B$3:$CQ$584,'Matriz de Referencia'!CQ$1)),"")</f>
        <v/>
      </c>
      <c r="BC74" s="583"/>
      <c r="BD74" s="429"/>
      <c r="BE74" s="655" t="str">
        <f t="shared" si="7"/>
        <v>Dimensión_</v>
      </c>
      <c r="BF74" s="430"/>
      <c r="BG74" s="654"/>
    </row>
    <row r="75" spans="1:59" ht="30" customHeight="1">
      <c r="A75" s="420"/>
      <c r="B75" s="421"/>
      <c r="C75" s="422"/>
      <c r="D75" s="422"/>
      <c r="E75" s="421"/>
      <c r="F75" s="423"/>
      <c r="G75" s="423"/>
      <c r="H75" s="421"/>
      <c r="I75" s="424"/>
      <c r="J75" s="421"/>
      <c r="K75" s="447"/>
      <c r="L75" s="424"/>
      <c r="M75" s="425"/>
      <c r="N75" s="421"/>
      <c r="O75" s="423"/>
      <c r="P75" s="421"/>
      <c r="Q75" s="421"/>
      <c r="R75" s="424"/>
      <c r="S75" s="421"/>
      <c r="T75" s="421"/>
      <c r="U75" s="585"/>
      <c r="V75" s="421"/>
      <c r="W75" s="590"/>
      <c r="X75" s="421"/>
      <c r="Y75" s="421"/>
      <c r="Z75" s="414"/>
      <c r="AA75" s="391" t="str">
        <f>IFERROR(IF(VLOOKUP($B75,'Matriz de Referencia'!$B$2:$CO$578,'Matriz de Referencia'!AM$1,FALSE)&gt;0,"Diligenciar la vigencia, tiene presupuesto programado","No diligenciar, no programo presupuesto"),"")</f>
        <v/>
      </c>
      <c r="AF75" s="637" t="str">
        <f t="shared" si="8"/>
        <v/>
      </c>
      <c r="AG75" s="391" t="str">
        <f>IFERROR(IF(VLOOKUP($B75,'Matriz de Referencia'!$B$2:$CO$578,'Matriz de Referencia'!BA$1,FALSE)&gt;0,"Diligenciar la vigencia, tiene presupuesto programado","No diligenciar, no programo presupuesto"),"")</f>
        <v/>
      </c>
      <c r="AL75" s="637" t="str">
        <f t="shared" si="9"/>
        <v/>
      </c>
      <c r="AM75" s="391" t="str">
        <f>IFERROR(IF(VLOOKUP($B75,'Matriz de Referencia'!$B$2:$CO$578,'Matriz de Referencia'!BO$1,FALSE)&gt;0,"Diligenciar la vigencia, tiene presupuesto programado","No diligenciar, no programo presupuesto"),"")</f>
        <v/>
      </c>
      <c r="AR75" s="637" t="str">
        <f t="shared" si="10"/>
        <v/>
      </c>
      <c r="AS75" s="391" t="str">
        <f>IFERROR(IF(VLOOKUP($B75,'Matriz de Referencia'!$B$2:$CO$578,'Matriz de Referencia'!CC$1,FALSE)&gt;0,"Diligenciar la vigencia, tiene presupuesto programado","No diligenciar, no programo presupuesto"),"")</f>
        <v/>
      </c>
      <c r="AX75" s="644" t="str">
        <f t="shared" si="11"/>
        <v/>
      </c>
      <c r="AY75" s="643" t="str">
        <f t="shared" si="12"/>
        <v/>
      </c>
      <c r="AZ75" s="416" t="str">
        <f t="shared" si="13"/>
        <v/>
      </c>
      <c r="BA75" s="417" t="str">
        <f>IFERROR(IF(VLOOKUP(B75,'Matriz de Referencia'!$B$3:$CQ$584,'Matriz de Referencia'!CP$1,FALSE)="","",VLOOKUP(B75,'Matriz de Referencia'!$B$3:$CQ$584,'Matriz de Referencia'!CP$1)),"")</f>
        <v/>
      </c>
      <c r="BB75" s="417" t="str">
        <f>IFERROR(IF(VLOOKUP(B75,'Matriz de Referencia'!$B$3:$CQ$584,'Matriz de Referencia'!CQ$1,FALSE)="","",VLOOKUP(B75,'Matriz de Referencia'!$B$3:$CQ$584,'Matriz de Referencia'!CQ$1)),"")</f>
        <v/>
      </c>
      <c r="BC75" s="583"/>
      <c r="BD75" s="429"/>
      <c r="BE75" s="655" t="str">
        <f t="shared" si="7"/>
        <v>Dimensión_</v>
      </c>
      <c r="BF75" s="430"/>
      <c r="BG75" s="654"/>
    </row>
    <row r="76" spans="1:59" ht="30" customHeight="1">
      <c r="A76" s="420"/>
      <c r="B76" s="421"/>
      <c r="C76" s="422"/>
      <c r="D76" s="422"/>
      <c r="E76" s="421"/>
      <c r="F76" s="423"/>
      <c r="G76" s="423"/>
      <c r="H76" s="421"/>
      <c r="I76" s="424"/>
      <c r="J76" s="421"/>
      <c r="K76" s="447"/>
      <c r="L76" s="424"/>
      <c r="M76" s="425"/>
      <c r="N76" s="421"/>
      <c r="O76" s="423"/>
      <c r="P76" s="421"/>
      <c r="Q76" s="421"/>
      <c r="R76" s="424"/>
      <c r="S76" s="421"/>
      <c r="T76" s="421"/>
      <c r="U76" s="585"/>
      <c r="V76" s="421"/>
      <c r="W76" s="590"/>
      <c r="X76" s="421"/>
      <c r="Y76" s="421"/>
      <c r="Z76" s="414"/>
      <c r="AA76" s="391" t="str">
        <f>IFERROR(IF(VLOOKUP($B76,'Matriz de Referencia'!$B$2:$CO$578,'Matriz de Referencia'!AM$1,FALSE)&gt;0,"Diligenciar la vigencia, tiene presupuesto programado","No diligenciar, no programo presupuesto"),"")</f>
        <v/>
      </c>
      <c r="AF76" s="637" t="str">
        <f t="shared" si="8"/>
        <v/>
      </c>
      <c r="AG76" s="391" t="str">
        <f>IFERROR(IF(VLOOKUP($B76,'Matriz de Referencia'!$B$2:$CO$578,'Matriz de Referencia'!BA$1,FALSE)&gt;0,"Diligenciar la vigencia, tiene presupuesto programado","No diligenciar, no programo presupuesto"),"")</f>
        <v/>
      </c>
      <c r="AL76" s="637" t="str">
        <f t="shared" si="9"/>
        <v/>
      </c>
      <c r="AM76" s="391" t="str">
        <f>IFERROR(IF(VLOOKUP($B76,'Matriz de Referencia'!$B$2:$CO$578,'Matriz de Referencia'!BO$1,FALSE)&gt;0,"Diligenciar la vigencia, tiene presupuesto programado","No diligenciar, no programo presupuesto"),"")</f>
        <v/>
      </c>
      <c r="AR76" s="637" t="str">
        <f t="shared" si="10"/>
        <v/>
      </c>
      <c r="AS76" s="391" t="str">
        <f>IFERROR(IF(VLOOKUP($B76,'Matriz de Referencia'!$B$2:$CO$578,'Matriz de Referencia'!CC$1,FALSE)&gt;0,"Diligenciar la vigencia, tiene presupuesto programado","No diligenciar, no programo presupuesto"),"")</f>
        <v/>
      </c>
      <c r="AX76" s="644" t="str">
        <f t="shared" si="11"/>
        <v/>
      </c>
      <c r="AY76" s="643" t="str">
        <f t="shared" si="12"/>
        <v/>
      </c>
      <c r="AZ76" s="416" t="str">
        <f t="shared" si="13"/>
        <v/>
      </c>
      <c r="BA76" s="417" t="str">
        <f>IFERROR(IF(VLOOKUP(B76,'Matriz de Referencia'!$B$3:$CQ$584,'Matriz de Referencia'!CP$1,FALSE)="","",VLOOKUP(B76,'Matriz de Referencia'!$B$3:$CQ$584,'Matriz de Referencia'!CP$1)),"")</f>
        <v/>
      </c>
      <c r="BB76" s="417" t="str">
        <f>IFERROR(IF(VLOOKUP(B76,'Matriz de Referencia'!$B$3:$CQ$584,'Matriz de Referencia'!CQ$1,FALSE)="","",VLOOKUP(B76,'Matriz de Referencia'!$B$3:$CQ$584,'Matriz de Referencia'!CQ$1)),"")</f>
        <v/>
      </c>
      <c r="BC76" s="583"/>
      <c r="BD76" s="429"/>
      <c r="BE76" s="655" t="str">
        <f t="shared" si="7"/>
        <v>Dimensión_</v>
      </c>
      <c r="BF76" s="430"/>
      <c r="BG76" s="654"/>
    </row>
    <row r="77" spans="1:59" ht="30" customHeight="1">
      <c r="A77" s="420"/>
      <c r="B77" s="421"/>
      <c r="C77" s="422"/>
      <c r="D77" s="422"/>
      <c r="E77" s="421"/>
      <c r="F77" s="423"/>
      <c r="G77" s="423"/>
      <c r="H77" s="421"/>
      <c r="I77" s="424"/>
      <c r="J77" s="421"/>
      <c r="K77" s="447"/>
      <c r="L77" s="424"/>
      <c r="M77" s="425"/>
      <c r="N77" s="421"/>
      <c r="O77" s="423"/>
      <c r="P77" s="421"/>
      <c r="Q77" s="421"/>
      <c r="R77" s="424"/>
      <c r="S77" s="421"/>
      <c r="T77" s="421"/>
      <c r="U77" s="585"/>
      <c r="V77" s="421"/>
      <c r="W77" s="590"/>
      <c r="X77" s="421"/>
      <c r="Y77" s="421"/>
      <c r="Z77" s="414"/>
      <c r="AA77" s="391" t="str">
        <f>IFERROR(IF(VLOOKUP($B77,'Matriz de Referencia'!$B$2:$CO$578,'Matriz de Referencia'!AM$1,FALSE)&gt;0,"Diligenciar la vigencia, tiene presupuesto programado","No diligenciar, no programo presupuesto"),"")</f>
        <v/>
      </c>
      <c r="AF77" s="637" t="str">
        <f t="shared" si="8"/>
        <v/>
      </c>
      <c r="AG77" s="391" t="str">
        <f>IFERROR(IF(VLOOKUP($B77,'Matriz de Referencia'!$B$2:$CO$578,'Matriz de Referencia'!BA$1,FALSE)&gt;0,"Diligenciar la vigencia, tiene presupuesto programado","No diligenciar, no programo presupuesto"),"")</f>
        <v/>
      </c>
      <c r="AL77" s="637" t="str">
        <f t="shared" si="9"/>
        <v/>
      </c>
      <c r="AM77" s="391" t="str">
        <f>IFERROR(IF(VLOOKUP($B77,'Matriz de Referencia'!$B$2:$CO$578,'Matriz de Referencia'!BO$1,FALSE)&gt;0,"Diligenciar la vigencia, tiene presupuesto programado","No diligenciar, no programo presupuesto"),"")</f>
        <v/>
      </c>
      <c r="AR77" s="637" t="str">
        <f t="shared" si="10"/>
        <v/>
      </c>
      <c r="AS77" s="391" t="str">
        <f>IFERROR(IF(VLOOKUP($B77,'Matriz de Referencia'!$B$2:$CO$578,'Matriz de Referencia'!CC$1,FALSE)&gt;0,"Diligenciar la vigencia, tiene presupuesto programado","No diligenciar, no programo presupuesto"),"")</f>
        <v/>
      </c>
      <c r="AX77" s="644" t="str">
        <f t="shared" si="11"/>
        <v/>
      </c>
      <c r="AY77" s="643" t="str">
        <f t="shared" si="12"/>
        <v/>
      </c>
      <c r="AZ77" s="416" t="str">
        <f t="shared" si="13"/>
        <v/>
      </c>
      <c r="BA77" s="417" t="str">
        <f>IFERROR(IF(VLOOKUP(B77,'Matriz de Referencia'!$B$3:$CQ$584,'Matriz de Referencia'!CP$1,FALSE)="","",VLOOKUP(B77,'Matriz de Referencia'!$B$3:$CQ$584,'Matriz de Referencia'!CP$1)),"")</f>
        <v/>
      </c>
      <c r="BB77" s="417" t="str">
        <f>IFERROR(IF(VLOOKUP(B77,'Matriz de Referencia'!$B$3:$CQ$584,'Matriz de Referencia'!CQ$1,FALSE)="","",VLOOKUP(B77,'Matriz de Referencia'!$B$3:$CQ$584,'Matriz de Referencia'!CQ$1)),"")</f>
        <v/>
      </c>
      <c r="BC77" s="583"/>
      <c r="BD77" s="429"/>
      <c r="BE77" s="655" t="str">
        <f t="shared" si="7"/>
        <v>Dimensión_</v>
      </c>
      <c r="BF77" s="430"/>
      <c r="BG77" s="654"/>
    </row>
    <row r="78" spans="1:59" ht="30" customHeight="1">
      <c r="A78" s="420"/>
      <c r="B78" s="421"/>
      <c r="C78" s="422"/>
      <c r="D78" s="422"/>
      <c r="E78" s="421"/>
      <c r="F78" s="423"/>
      <c r="G78" s="423"/>
      <c r="H78" s="421"/>
      <c r="I78" s="424"/>
      <c r="J78" s="421"/>
      <c r="K78" s="447"/>
      <c r="L78" s="424"/>
      <c r="M78" s="425"/>
      <c r="N78" s="421"/>
      <c r="O78" s="423"/>
      <c r="P78" s="421"/>
      <c r="Q78" s="421"/>
      <c r="R78" s="424"/>
      <c r="S78" s="421"/>
      <c r="T78" s="421"/>
      <c r="U78" s="585"/>
      <c r="V78" s="421"/>
      <c r="W78" s="590"/>
      <c r="X78" s="421"/>
      <c r="Y78" s="421"/>
      <c r="Z78" s="414"/>
      <c r="AA78" s="391" t="str">
        <f>IFERROR(IF(VLOOKUP($B78,'Matriz de Referencia'!$B$2:$CO$578,'Matriz de Referencia'!AM$1,FALSE)&gt;0,"Diligenciar la vigencia, tiene presupuesto programado","No diligenciar, no programo presupuesto"),"")</f>
        <v/>
      </c>
      <c r="AF78" s="637" t="str">
        <f t="shared" si="8"/>
        <v/>
      </c>
      <c r="AG78" s="391" t="str">
        <f>IFERROR(IF(VLOOKUP($B78,'Matriz de Referencia'!$B$2:$CO$578,'Matriz de Referencia'!BA$1,FALSE)&gt;0,"Diligenciar la vigencia, tiene presupuesto programado","No diligenciar, no programo presupuesto"),"")</f>
        <v/>
      </c>
      <c r="AL78" s="637" t="str">
        <f t="shared" si="9"/>
        <v/>
      </c>
      <c r="AM78" s="391" t="str">
        <f>IFERROR(IF(VLOOKUP($B78,'Matriz de Referencia'!$B$2:$CO$578,'Matriz de Referencia'!BO$1,FALSE)&gt;0,"Diligenciar la vigencia, tiene presupuesto programado","No diligenciar, no programo presupuesto"),"")</f>
        <v/>
      </c>
      <c r="AR78" s="637" t="str">
        <f t="shared" si="10"/>
        <v/>
      </c>
      <c r="AS78" s="391" t="str">
        <f>IFERROR(IF(VLOOKUP($B78,'Matriz de Referencia'!$B$2:$CO$578,'Matriz de Referencia'!CC$1,FALSE)&gt;0,"Diligenciar la vigencia, tiene presupuesto programado","No diligenciar, no programo presupuesto"),"")</f>
        <v/>
      </c>
      <c r="AX78" s="644" t="str">
        <f t="shared" si="11"/>
        <v/>
      </c>
      <c r="AY78" s="643" t="str">
        <f t="shared" si="12"/>
        <v/>
      </c>
      <c r="AZ78" s="416" t="str">
        <f t="shared" si="13"/>
        <v/>
      </c>
      <c r="BA78" s="417" t="str">
        <f>IFERROR(IF(VLOOKUP(B78,'Matriz de Referencia'!$B$3:$CQ$584,'Matriz de Referencia'!CP$1,FALSE)="","",VLOOKUP(B78,'Matriz de Referencia'!$B$3:$CQ$584,'Matriz de Referencia'!CP$1)),"")</f>
        <v/>
      </c>
      <c r="BB78" s="417" t="str">
        <f>IFERROR(IF(VLOOKUP(B78,'Matriz de Referencia'!$B$3:$CQ$584,'Matriz de Referencia'!CQ$1,FALSE)="","",VLOOKUP(B78,'Matriz de Referencia'!$B$3:$CQ$584,'Matriz de Referencia'!CQ$1)),"")</f>
        <v/>
      </c>
      <c r="BC78" s="583"/>
      <c r="BD78" s="429"/>
      <c r="BE78" s="655" t="str">
        <f t="shared" si="7"/>
        <v>Dimensión_</v>
      </c>
      <c r="BF78" s="430"/>
      <c r="BG78" s="654"/>
    </row>
    <row r="79" spans="1:59" ht="30" customHeight="1">
      <c r="A79" s="420"/>
      <c r="B79" s="421"/>
      <c r="C79" s="422"/>
      <c r="D79" s="422"/>
      <c r="E79" s="421"/>
      <c r="F79" s="423"/>
      <c r="G79" s="423"/>
      <c r="H79" s="421"/>
      <c r="I79" s="424"/>
      <c r="J79" s="421"/>
      <c r="K79" s="447"/>
      <c r="L79" s="424"/>
      <c r="M79" s="425"/>
      <c r="N79" s="421"/>
      <c r="O79" s="423"/>
      <c r="P79" s="421"/>
      <c r="Q79" s="421"/>
      <c r="R79" s="424"/>
      <c r="S79" s="421"/>
      <c r="T79" s="421"/>
      <c r="U79" s="585"/>
      <c r="V79" s="421"/>
      <c r="W79" s="590"/>
      <c r="X79" s="421"/>
      <c r="Y79" s="421"/>
      <c r="Z79" s="414"/>
      <c r="AA79" s="391" t="str">
        <f>IFERROR(IF(VLOOKUP($B79,'Matriz de Referencia'!$B$2:$CO$578,'Matriz de Referencia'!AM$1,FALSE)&gt;0,"Diligenciar la vigencia, tiene presupuesto programado","No diligenciar, no programo presupuesto"),"")</f>
        <v/>
      </c>
      <c r="AF79" s="637" t="str">
        <f t="shared" si="8"/>
        <v/>
      </c>
      <c r="AG79" s="391" t="str">
        <f>IFERROR(IF(VLOOKUP($B79,'Matriz de Referencia'!$B$2:$CO$578,'Matriz de Referencia'!BA$1,FALSE)&gt;0,"Diligenciar la vigencia, tiene presupuesto programado","No diligenciar, no programo presupuesto"),"")</f>
        <v/>
      </c>
      <c r="AL79" s="637" t="str">
        <f t="shared" si="9"/>
        <v/>
      </c>
      <c r="AM79" s="391" t="str">
        <f>IFERROR(IF(VLOOKUP($B79,'Matriz de Referencia'!$B$2:$CO$578,'Matriz de Referencia'!BO$1,FALSE)&gt;0,"Diligenciar la vigencia, tiene presupuesto programado","No diligenciar, no programo presupuesto"),"")</f>
        <v/>
      </c>
      <c r="AR79" s="637" t="str">
        <f t="shared" si="10"/>
        <v/>
      </c>
      <c r="AS79" s="391" t="str">
        <f>IFERROR(IF(VLOOKUP($B79,'Matriz de Referencia'!$B$2:$CO$578,'Matriz de Referencia'!CC$1,FALSE)&gt;0,"Diligenciar la vigencia, tiene presupuesto programado","No diligenciar, no programo presupuesto"),"")</f>
        <v/>
      </c>
      <c r="AX79" s="644" t="str">
        <f t="shared" si="11"/>
        <v/>
      </c>
      <c r="AY79" s="643" t="str">
        <f t="shared" si="12"/>
        <v/>
      </c>
      <c r="AZ79" s="416" t="str">
        <f t="shared" si="13"/>
        <v/>
      </c>
      <c r="BA79" s="417" t="str">
        <f>IFERROR(IF(VLOOKUP(B79,'Matriz de Referencia'!$B$3:$CQ$584,'Matriz de Referencia'!CP$1,FALSE)="","",VLOOKUP(B79,'Matriz de Referencia'!$B$3:$CQ$584,'Matriz de Referencia'!CP$1)),"")</f>
        <v/>
      </c>
      <c r="BB79" s="417" t="str">
        <f>IFERROR(IF(VLOOKUP(B79,'Matriz de Referencia'!$B$3:$CQ$584,'Matriz de Referencia'!CQ$1,FALSE)="","",VLOOKUP(B79,'Matriz de Referencia'!$B$3:$CQ$584,'Matriz de Referencia'!CQ$1)),"")</f>
        <v/>
      </c>
      <c r="BC79" s="583"/>
      <c r="BD79" s="429"/>
      <c r="BE79" s="655" t="str">
        <f t="shared" si="7"/>
        <v>Dimensión_</v>
      </c>
      <c r="BF79" s="430"/>
      <c r="BG79" s="654"/>
    </row>
    <row r="80" spans="1:59" ht="30" customHeight="1" thickBot="1">
      <c r="A80" s="569"/>
      <c r="B80" s="570"/>
      <c r="C80" s="571"/>
      <c r="D80" s="571"/>
      <c r="E80" s="570"/>
      <c r="F80" s="572"/>
      <c r="G80" s="572"/>
      <c r="H80" s="570"/>
      <c r="I80" s="573"/>
      <c r="J80" s="570"/>
      <c r="K80" s="595"/>
      <c r="L80" s="573"/>
      <c r="M80" s="574"/>
      <c r="N80" s="570"/>
      <c r="O80" s="572"/>
      <c r="P80" s="570"/>
      <c r="Q80" s="570"/>
      <c r="R80" s="573"/>
      <c r="S80" s="570"/>
      <c r="T80" s="570"/>
      <c r="U80" s="586"/>
      <c r="V80" s="570"/>
      <c r="W80" s="591"/>
      <c r="X80" s="570"/>
      <c r="Y80" s="570"/>
      <c r="Z80" s="575"/>
      <c r="AA80" s="576" t="str">
        <f>IFERROR(IF(VLOOKUP($B80,'Matriz de Referencia'!$B$2:$CO$578,'Matriz de Referencia'!AM$1,FALSE)&gt;0,"Diligenciar la vigencia, tiene presupuesto programado","No diligenciar, no programo presupuesto"),"")</f>
        <v/>
      </c>
      <c r="AB80" s="629"/>
      <c r="AC80" s="630"/>
      <c r="AD80" s="630"/>
      <c r="AE80" s="631"/>
      <c r="AF80" s="638" t="str">
        <f t="shared" si="8"/>
        <v/>
      </c>
      <c r="AG80" s="576" t="str">
        <f>IFERROR(IF(VLOOKUP($B80,'Matriz de Referencia'!$B$2:$CO$578,'Matriz de Referencia'!BA$1,FALSE)&gt;0,"Diligenciar la vigencia, tiene presupuesto programado","No diligenciar, no programo presupuesto"),"")</f>
        <v/>
      </c>
      <c r="AH80" s="629"/>
      <c r="AI80" s="630"/>
      <c r="AJ80" s="630"/>
      <c r="AK80" s="631"/>
      <c r="AL80" s="638" t="str">
        <f t="shared" si="9"/>
        <v/>
      </c>
      <c r="AM80" s="576" t="str">
        <f>IFERROR(IF(VLOOKUP($B80,'Matriz de Referencia'!$B$2:$CO$578,'Matriz de Referencia'!BO$1,FALSE)&gt;0,"Diligenciar la vigencia, tiene presupuesto programado","No diligenciar, no programo presupuesto"),"")</f>
        <v/>
      </c>
      <c r="AN80" s="629"/>
      <c r="AO80" s="630"/>
      <c r="AP80" s="630"/>
      <c r="AQ80" s="631"/>
      <c r="AR80" s="638" t="str">
        <f t="shared" si="10"/>
        <v/>
      </c>
      <c r="AS80" s="576" t="str">
        <f>IFERROR(IF(VLOOKUP($B80,'Matriz de Referencia'!$B$2:$CO$578,'Matriz de Referencia'!CC$1,FALSE)&gt;0,"Diligenciar la vigencia, tiene presupuesto programado","No diligenciar, no programo presupuesto"),"")</f>
        <v/>
      </c>
      <c r="AT80" s="629"/>
      <c r="AU80" s="630"/>
      <c r="AV80" s="630"/>
      <c r="AW80" s="631"/>
      <c r="AX80" s="645" t="str">
        <f t="shared" si="11"/>
        <v/>
      </c>
      <c r="AY80" s="643" t="str">
        <f t="shared" si="12"/>
        <v/>
      </c>
      <c r="AZ80" s="416" t="str">
        <f t="shared" si="13"/>
        <v/>
      </c>
      <c r="BA80" s="577" t="str">
        <f>IFERROR(IF(VLOOKUP(B80,'Matriz de Referencia'!$B$3:$CQ$584,'Matriz de Referencia'!CP$1,FALSE)="","",VLOOKUP(B80,'Matriz de Referencia'!$B$3:$CQ$584,'Matriz de Referencia'!CP$1)),"")</f>
        <v/>
      </c>
      <c r="BB80" s="577" t="str">
        <f>IFERROR(IF(VLOOKUP(B80,'Matriz de Referencia'!$B$3:$CQ$584,'Matriz de Referencia'!CQ$1,FALSE)="","",VLOOKUP(B80,'Matriz de Referencia'!$B$3:$CQ$584,'Matriz de Referencia'!CQ$1)),"")</f>
        <v/>
      </c>
      <c r="BC80" s="584"/>
      <c r="BD80" s="578"/>
      <c r="BE80" s="656" t="str">
        <f t="shared" si="7"/>
        <v>Dimensión_</v>
      </c>
      <c r="BF80" s="579"/>
      <c r="BG80" s="657"/>
    </row>
    <row r="81" spans="1:58">
      <c r="A81" s="420"/>
      <c r="B81" s="421"/>
      <c r="C81" s="422"/>
      <c r="D81" s="422"/>
      <c r="E81" s="421"/>
      <c r="F81" s="423"/>
      <c r="G81" s="423"/>
      <c r="H81" s="421"/>
      <c r="I81" s="424"/>
      <c r="J81" s="421"/>
      <c r="K81" s="447"/>
      <c r="L81" s="424"/>
      <c r="M81" s="425"/>
      <c r="N81" s="421"/>
      <c r="O81" s="423"/>
      <c r="P81" s="421"/>
      <c r="Q81" s="421"/>
      <c r="R81" s="424"/>
      <c r="S81" s="421"/>
      <c r="T81" s="421"/>
      <c r="U81" s="585"/>
      <c r="V81" s="421"/>
      <c r="W81" s="590"/>
      <c r="X81" s="421"/>
      <c r="Y81" s="421"/>
      <c r="Z81" s="429"/>
      <c r="AA81" s="391" t="str">
        <f>IFERROR(IF(VLOOKUP($B81,'Matriz de Referencia'!$B$2:$CO$578,'Matriz de Referencia'!AM$1,FALSE)&gt;0,"Diligenciar la vigencia, tiene presupuesto programado","No diligenciar, no programo presupuesto"),"")</f>
        <v/>
      </c>
      <c r="AF81" s="637" t="str">
        <f t="shared" si="8"/>
        <v/>
      </c>
      <c r="AG81" s="391" t="str">
        <f>IFERROR(IF(VLOOKUP($B81,'Matriz de Referencia'!$B$2:$CO$578,'Matriz de Referencia'!BA$1,FALSE)&gt;0,"Diligenciar la vigencia, tiene presupuesto programado","No diligenciar, no programo presupuesto"),"")</f>
        <v/>
      </c>
      <c r="AL81" s="637" t="str">
        <f t="shared" si="9"/>
        <v/>
      </c>
      <c r="AM81" s="391" t="str">
        <f>IFERROR(IF(VLOOKUP($B81,'Matriz de Referencia'!$B$2:$CO$578,'Matriz de Referencia'!BO$1,FALSE)&gt;0,"Diligenciar la vigencia, tiene presupuesto programado","No diligenciar, no programo presupuesto"),"")</f>
        <v/>
      </c>
      <c r="AR81" s="637" t="str">
        <f t="shared" si="10"/>
        <v/>
      </c>
      <c r="AS81" s="391" t="str">
        <f>IFERROR(IF(VLOOKUP($B81,'Matriz de Referencia'!$B$2:$CO$578,'Matriz de Referencia'!CC$1,FALSE)&gt;0,"Diligenciar la vigencia, tiene presupuesto programado","No diligenciar, no programo presupuesto"),"")</f>
        <v/>
      </c>
      <c r="AX81" s="644" t="str">
        <f t="shared" si="11"/>
        <v/>
      </c>
      <c r="AY81" s="643" t="str">
        <f t="shared" si="12"/>
        <v/>
      </c>
      <c r="AZ81" s="416" t="str">
        <f t="shared" si="13"/>
        <v/>
      </c>
      <c r="BA81" s="417" t="str">
        <f>IFERROR(IF(VLOOKUP(B81,'Matriz de Referencia'!$B$3:$CQ$584,'Matriz de Referencia'!CP$1,FALSE)="","",VLOOKUP(B81,'Matriz de Referencia'!$B$3:$CQ$584,'Matriz de Referencia'!CP$1)),"")</f>
        <v/>
      </c>
      <c r="BB81" s="417" t="str">
        <f>IFERROR(IF(VLOOKUP(B81,'Matriz de Referencia'!$B$3:$CQ$584,'Matriz de Referencia'!CQ$1,FALSE)="","",VLOOKUP(B81,'Matriz de Referencia'!$B$3:$CQ$584,'Matriz de Referencia'!CQ$1)),"")</f>
        <v/>
      </c>
      <c r="BC81" s="471"/>
      <c r="BD81" s="429"/>
      <c r="BE81" s="655" t="str">
        <f t="shared" si="7"/>
        <v>Dimensión_</v>
      </c>
      <c r="BF81" s="430"/>
    </row>
    <row r="82" spans="1:58">
      <c r="A82" s="420"/>
      <c r="B82" s="421"/>
      <c r="C82" s="422"/>
      <c r="D82" s="422"/>
      <c r="E82" s="421"/>
      <c r="F82" s="423"/>
      <c r="G82" s="423"/>
      <c r="H82" s="421"/>
      <c r="I82" s="424"/>
      <c r="J82" s="421"/>
      <c r="K82" s="447"/>
      <c r="L82" s="424"/>
      <c r="M82" s="425"/>
      <c r="N82" s="421"/>
      <c r="O82" s="423"/>
      <c r="P82" s="421"/>
      <c r="Q82" s="421"/>
      <c r="R82" s="424"/>
      <c r="S82" s="421"/>
      <c r="T82" s="421"/>
      <c r="U82" s="585"/>
      <c r="V82" s="421"/>
      <c r="W82" s="590"/>
      <c r="X82" s="421"/>
      <c r="Y82" s="421"/>
      <c r="Z82" s="429"/>
      <c r="AA82" s="391" t="str">
        <f>IFERROR(IF(VLOOKUP($B82,'Matriz de Referencia'!$B$2:$CO$578,'Matriz de Referencia'!AM$1,FALSE)&gt;0,"Diligenciar la vigencia, tiene presupuesto programado","No diligenciar, no programo presupuesto"),"")</f>
        <v/>
      </c>
      <c r="AF82" s="637" t="str">
        <f t="shared" si="8"/>
        <v/>
      </c>
      <c r="AG82" s="391" t="str">
        <f>IFERROR(IF(VLOOKUP($B82,'Matriz de Referencia'!$B$2:$CO$578,'Matriz de Referencia'!BA$1,FALSE)&gt;0,"Diligenciar la vigencia, tiene presupuesto programado","No diligenciar, no programo presupuesto"),"")</f>
        <v/>
      </c>
      <c r="AL82" s="637" t="str">
        <f t="shared" si="9"/>
        <v/>
      </c>
      <c r="AM82" s="391" t="str">
        <f>IFERROR(IF(VLOOKUP($B82,'Matriz de Referencia'!$B$2:$CO$578,'Matriz de Referencia'!BO$1,FALSE)&gt;0,"Diligenciar la vigencia, tiene presupuesto programado","No diligenciar, no programo presupuesto"),"")</f>
        <v/>
      </c>
      <c r="AR82" s="637" t="str">
        <f t="shared" si="10"/>
        <v/>
      </c>
      <c r="AS82" s="391" t="str">
        <f>IFERROR(IF(VLOOKUP($B82,'Matriz de Referencia'!$B$2:$CO$578,'Matriz de Referencia'!CC$1,FALSE)&gt;0,"Diligenciar la vigencia, tiene presupuesto programado","No diligenciar, no programo presupuesto"),"")</f>
        <v/>
      </c>
      <c r="AX82" s="644" t="str">
        <f t="shared" si="11"/>
        <v/>
      </c>
      <c r="AY82" s="643" t="str">
        <f t="shared" si="12"/>
        <v/>
      </c>
      <c r="AZ82" s="416" t="str">
        <f t="shared" si="13"/>
        <v/>
      </c>
      <c r="BA82" s="417" t="str">
        <f>IFERROR(IF(VLOOKUP(B82,'Matriz de Referencia'!$B$3:$CQ$584,'Matriz de Referencia'!CP$1,FALSE)="","",VLOOKUP(B82,'Matriz de Referencia'!$B$3:$CQ$584,'Matriz de Referencia'!CP$1)),"")</f>
        <v/>
      </c>
      <c r="BB82" s="417" t="str">
        <f>IFERROR(IF(VLOOKUP(B82,'Matriz de Referencia'!$B$3:$CQ$584,'Matriz de Referencia'!CQ$1,FALSE)="","",VLOOKUP(B82,'Matriz de Referencia'!$B$3:$CQ$584,'Matriz de Referencia'!CQ$1)),"")</f>
        <v/>
      </c>
      <c r="BC82" s="471"/>
      <c r="BD82" s="429"/>
      <c r="BE82" s="655" t="str">
        <f t="shared" si="7"/>
        <v>Dimensión_</v>
      </c>
      <c r="BF82" s="430"/>
    </row>
    <row r="83" spans="1:58">
      <c r="A83" s="420"/>
      <c r="B83" s="421"/>
      <c r="C83" s="422"/>
      <c r="D83" s="422"/>
      <c r="E83" s="421"/>
      <c r="F83" s="423"/>
      <c r="G83" s="423"/>
      <c r="H83" s="421"/>
      <c r="I83" s="424"/>
      <c r="J83" s="421"/>
      <c r="K83" s="447"/>
      <c r="L83" s="424"/>
      <c r="M83" s="425"/>
      <c r="N83" s="421"/>
      <c r="O83" s="423"/>
      <c r="P83" s="421"/>
      <c r="Q83" s="421"/>
      <c r="R83" s="424"/>
      <c r="S83" s="421"/>
      <c r="T83" s="421"/>
      <c r="U83" s="585"/>
      <c r="V83" s="421"/>
      <c r="W83" s="590"/>
      <c r="X83" s="421"/>
      <c r="Y83" s="421"/>
      <c r="Z83" s="429"/>
      <c r="AA83" s="391" t="str">
        <f>IFERROR(IF(VLOOKUP($B83,'Matriz de Referencia'!$B$2:$CO$578,'Matriz de Referencia'!AM$1,FALSE)&gt;0,"Diligenciar la vigencia, tiene presupuesto programado","No diligenciar, no programo presupuesto"),"")</f>
        <v/>
      </c>
      <c r="AF83" s="637" t="str">
        <f t="shared" si="8"/>
        <v/>
      </c>
      <c r="AG83" s="391" t="str">
        <f>IFERROR(IF(VLOOKUP($B83,'Matriz de Referencia'!$B$2:$CO$578,'Matriz de Referencia'!BA$1,FALSE)&gt;0,"Diligenciar la vigencia, tiene presupuesto programado","No diligenciar, no programo presupuesto"),"")</f>
        <v/>
      </c>
      <c r="AL83" s="637" t="str">
        <f t="shared" si="9"/>
        <v/>
      </c>
      <c r="AM83" s="391" t="str">
        <f>IFERROR(IF(VLOOKUP($B83,'Matriz de Referencia'!$B$2:$CO$578,'Matriz de Referencia'!BO$1,FALSE)&gt;0,"Diligenciar la vigencia, tiene presupuesto programado","No diligenciar, no programo presupuesto"),"")</f>
        <v/>
      </c>
      <c r="AR83" s="637" t="str">
        <f t="shared" si="10"/>
        <v/>
      </c>
      <c r="AS83" s="391" t="str">
        <f>IFERROR(IF(VLOOKUP($B83,'Matriz de Referencia'!$B$2:$CO$578,'Matriz de Referencia'!CC$1,FALSE)&gt;0,"Diligenciar la vigencia, tiene presupuesto programado","No diligenciar, no programo presupuesto"),"")</f>
        <v/>
      </c>
      <c r="AX83" s="644" t="str">
        <f t="shared" si="11"/>
        <v/>
      </c>
      <c r="AY83" s="643" t="str">
        <f t="shared" si="12"/>
        <v/>
      </c>
      <c r="AZ83" s="416" t="str">
        <f t="shared" si="13"/>
        <v/>
      </c>
      <c r="BA83" s="417" t="str">
        <f>IFERROR(IF(VLOOKUP(B83,'Matriz de Referencia'!$B$3:$CQ$584,'Matriz de Referencia'!CP$1,FALSE)="","",VLOOKUP(B83,'Matriz de Referencia'!$B$3:$CQ$584,'Matriz de Referencia'!CP$1)),"")</f>
        <v/>
      </c>
      <c r="BB83" s="417" t="str">
        <f>IFERROR(IF(VLOOKUP(B83,'Matriz de Referencia'!$B$3:$CQ$584,'Matriz de Referencia'!CQ$1,FALSE)="","",VLOOKUP(B83,'Matriz de Referencia'!$B$3:$CQ$584,'Matriz de Referencia'!CQ$1)),"")</f>
        <v/>
      </c>
      <c r="BC83" s="471"/>
      <c r="BD83" s="429"/>
      <c r="BE83" s="655" t="str">
        <f t="shared" si="7"/>
        <v>Dimensión_</v>
      </c>
      <c r="BF83" s="430"/>
    </row>
    <row r="84" spans="1:58">
      <c r="A84" s="420"/>
      <c r="B84" s="421"/>
      <c r="C84" s="422"/>
      <c r="D84" s="422"/>
      <c r="E84" s="421"/>
      <c r="F84" s="423"/>
      <c r="G84" s="423"/>
      <c r="H84" s="421"/>
      <c r="I84" s="424"/>
      <c r="J84" s="421"/>
      <c r="K84" s="447"/>
      <c r="L84" s="424"/>
      <c r="M84" s="425"/>
      <c r="N84" s="421"/>
      <c r="O84" s="423"/>
      <c r="P84" s="421"/>
      <c r="Q84" s="421"/>
      <c r="R84" s="424"/>
      <c r="S84" s="421"/>
      <c r="T84" s="421"/>
      <c r="U84" s="585"/>
      <c r="V84" s="421"/>
      <c r="W84" s="590"/>
      <c r="X84" s="421"/>
      <c r="Y84" s="421"/>
      <c r="Z84" s="429"/>
      <c r="AA84" s="391" t="str">
        <f>IFERROR(IF(VLOOKUP($B84,'Matriz de Referencia'!$B$2:$CO$578,'Matriz de Referencia'!AM$1,FALSE)&gt;0,"Diligenciar la vigencia, tiene presupuesto programado","No diligenciar, no programo presupuesto"),"")</f>
        <v/>
      </c>
      <c r="AF84" s="637" t="str">
        <f t="shared" si="8"/>
        <v/>
      </c>
      <c r="AG84" s="391" t="str">
        <f>IFERROR(IF(VLOOKUP($B84,'Matriz de Referencia'!$B$2:$CO$578,'Matriz de Referencia'!BA$1,FALSE)&gt;0,"Diligenciar la vigencia, tiene presupuesto programado","No diligenciar, no programo presupuesto"),"")</f>
        <v/>
      </c>
      <c r="AL84" s="637" t="str">
        <f t="shared" si="9"/>
        <v/>
      </c>
      <c r="AM84" s="391" t="str">
        <f>IFERROR(IF(VLOOKUP($B84,'Matriz de Referencia'!$B$2:$CO$578,'Matriz de Referencia'!BO$1,FALSE)&gt;0,"Diligenciar la vigencia, tiene presupuesto programado","No diligenciar, no programo presupuesto"),"")</f>
        <v/>
      </c>
      <c r="AR84" s="637" t="str">
        <f t="shared" si="10"/>
        <v/>
      </c>
      <c r="AS84" s="391" t="str">
        <f>IFERROR(IF(VLOOKUP($B84,'Matriz de Referencia'!$B$2:$CO$578,'Matriz de Referencia'!CC$1,FALSE)&gt;0,"Diligenciar la vigencia, tiene presupuesto programado","No diligenciar, no programo presupuesto"),"")</f>
        <v/>
      </c>
      <c r="AX84" s="644" t="str">
        <f t="shared" si="11"/>
        <v/>
      </c>
      <c r="AY84" s="643" t="str">
        <f t="shared" si="12"/>
        <v/>
      </c>
      <c r="AZ84" s="416" t="str">
        <f t="shared" si="13"/>
        <v/>
      </c>
      <c r="BA84" s="417" t="str">
        <f>IFERROR(IF(VLOOKUP(B84,'Matriz de Referencia'!$B$3:$CQ$584,'Matriz de Referencia'!CP$1,FALSE)="","",VLOOKUP(B84,'Matriz de Referencia'!$B$3:$CQ$584,'Matriz de Referencia'!CP$1)),"")</f>
        <v/>
      </c>
      <c r="BB84" s="417" t="str">
        <f>IFERROR(IF(VLOOKUP(B84,'Matriz de Referencia'!$B$3:$CQ$584,'Matriz de Referencia'!CQ$1,FALSE)="","",VLOOKUP(B84,'Matriz de Referencia'!$B$3:$CQ$584,'Matriz de Referencia'!CQ$1)),"")</f>
        <v/>
      </c>
      <c r="BC84" s="471"/>
      <c r="BD84" s="429"/>
      <c r="BE84" s="655" t="str">
        <f t="shared" si="7"/>
        <v>Dimensión_</v>
      </c>
      <c r="BF84" s="430"/>
    </row>
    <row r="85" spans="1:58">
      <c r="A85" s="420"/>
      <c r="B85" s="421"/>
      <c r="C85" s="422"/>
      <c r="D85" s="422"/>
      <c r="E85" s="421"/>
      <c r="F85" s="423"/>
      <c r="G85" s="423"/>
      <c r="H85" s="421"/>
      <c r="I85" s="424"/>
      <c r="J85" s="421"/>
      <c r="K85" s="447"/>
      <c r="L85" s="424"/>
      <c r="M85" s="425"/>
      <c r="N85" s="421"/>
      <c r="O85" s="423"/>
      <c r="P85" s="421"/>
      <c r="Q85" s="421"/>
      <c r="R85" s="424"/>
      <c r="S85" s="421"/>
      <c r="T85" s="421"/>
      <c r="U85" s="585"/>
      <c r="V85" s="421"/>
      <c r="W85" s="590"/>
      <c r="X85" s="421"/>
      <c r="Y85" s="421"/>
      <c r="Z85" s="429"/>
      <c r="AA85" s="391" t="str">
        <f>IFERROR(IF(VLOOKUP($B85,'Matriz de Referencia'!$B$2:$CO$578,'Matriz de Referencia'!AM$1,FALSE)&gt;0,"Diligenciar la vigencia, tiene presupuesto programado","No diligenciar, no programo presupuesto"),"")</f>
        <v/>
      </c>
      <c r="AF85" s="637" t="str">
        <f t="shared" si="8"/>
        <v/>
      </c>
      <c r="AG85" s="391" t="str">
        <f>IFERROR(IF(VLOOKUP($B85,'Matriz de Referencia'!$B$2:$CO$578,'Matriz de Referencia'!BA$1,FALSE)&gt;0,"Diligenciar la vigencia, tiene presupuesto programado","No diligenciar, no programo presupuesto"),"")</f>
        <v/>
      </c>
      <c r="AL85" s="637" t="str">
        <f t="shared" si="9"/>
        <v/>
      </c>
      <c r="AM85" s="391" t="str">
        <f>IFERROR(IF(VLOOKUP($B85,'Matriz de Referencia'!$B$2:$CO$578,'Matriz de Referencia'!BO$1,FALSE)&gt;0,"Diligenciar la vigencia, tiene presupuesto programado","No diligenciar, no programo presupuesto"),"")</f>
        <v/>
      </c>
      <c r="AR85" s="637" t="str">
        <f t="shared" si="10"/>
        <v/>
      </c>
      <c r="AS85" s="391" t="str">
        <f>IFERROR(IF(VLOOKUP($B85,'Matriz de Referencia'!$B$2:$CO$578,'Matriz de Referencia'!CC$1,FALSE)&gt;0,"Diligenciar la vigencia, tiene presupuesto programado","No diligenciar, no programo presupuesto"),"")</f>
        <v/>
      </c>
      <c r="AX85" s="644" t="str">
        <f t="shared" si="11"/>
        <v/>
      </c>
      <c r="AY85" s="643" t="str">
        <f t="shared" si="12"/>
        <v/>
      </c>
      <c r="AZ85" s="416" t="str">
        <f t="shared" si="13"/>
        <v/>
      </c>
      <c r="BA85" s="417" t="str">
        <f>IFERROR(IF(VLOOKUP(B85,'Matriz de Referencia'!$B$3:$CQ$584,'Matriz de Referencia'!CP$1,FALSE)="","",VLOOKUP(B85,'Matriz de Referencia'!$B$3:$CQ$584,'Matriz de Referencia'!CP$1)),"")</f>
        <v/>
      </c>
      <c r="BB85" s="417" t="str">
        <f>IFERROR(IF(VLOOKUP(B85,'Matriz de Referencia'!$B$3:$CQ$584,'Matriz de Referencia'!CQ$1,FALSE)="","",VLOOKUP(B85,'Matriz de Referencia'!$B$3:$CQ$584,'Matriz de Referencia'!CQ$1)),"")</f>
        <v/>
      </c>
      <c r="BC85" s="471"/>
      <c r="BD85" s="429"/>
      <c r="BE85" s="655" t="str">
        <f t="shared" si="7"/>
        <v>Dimensión_</v>
      </c>
      <c r="BF85" s="430"/>
    </row>
    <row r="86" spans="1:58">
      <c r="A86" s="420"/>
      <c r="B86" s="421"/>
      <c r="C86" s="422"/>
      <c r="D86" s="422"/>
      <c r="E86" s="421"/>
      <c r="F86" s="423"/>
      <c r="G86" s="423"/>
      <c r="H86" s="421"/>
      <c r="I86" s="424"/>
      <c r="J86" s="421"/>
      <c r="K86" s="447"/>
      <c r="L86" s="424"/>
      <c r="M86" s="425"/>
      <c r="N86" s="421"/>
      <c r="O86" s="423"/>
      <c r="P86" s="421"/>
      <c r="Q86" s="421"/>
      <c r="R86" s="424"/>
      <c r="S86" s="421"/>
      <c r="T86" s="421"/>
      <c r="U86" s="585"/>
      <c r="V86" s="421"/>
      <c r="W86" s="590"/>
      <c r="X86" s="421"/>
      <c r="Y86" s="421"/>
      <c r="Z86" s="429"/>
      <c r="AA86" s="391" t="str">
        <f>IFERROR(IF(VLOOKUP($B86,'Matriz de Referencia'!$B$2:$CO$578,'Matriz de Referencia'!AM$1,FALSE)&gt;0,"Diligenciar la vigencia, tiene presupuesto programado","No diligenciar, no programo presupuesto"),"")</f>
        <v/>
      </c>
      <c r="AF86" s="637" t="str">
        <f t="shared" si="8"/>
        <v/>
      </c>
      <c r="AG86" s="391" t="str">
        <f>IFERROR(IF(VLOOKUP($B86,'Matriz de Referencia'!$B$2:$CO$578,'Matriz de Referencia'!BA$1,FALSE)&gt;0,"Diligenciar la vigencia, tiene presupuesto programado","No diligenciar, no programo presupuesto"),"")</f>
        <v/>
      </c>
      <c r="AL86" s="637" t="str">
        <f t="shared" si="9"/>
        <v/>
      </c>
      <c r="AM86" s="391" t="str">
        <f>IFERROR(IF(VLOOKUP($B86,'Matriz de Referencia'!$B$2:$CO$578,'Matriz de Referencia'!BO$1,FALSE)&gt;0,"Diligenciar la vigencia, tiene presupuesto programado","No diligenciar, no programo presupuesto"),"")</f>
        <v/>
      </c>
      <c r="AR86" s="637" t="str">
        <f t="shared" si="10"/>
        <v/>
      </c>
      <c r="AS86" s="391" t="str">
        <f>IFERROR(IF(VLOOKUP($B86,'Matriz de Referencia'!$B$2:$CO$578,'Matriz de Referencia'!CC$1,FALSE)&gt;0,"Diligenciar la vigencia, tiene presupuesto programado","No diligenciar, no programo presupuesto"),"")</f>
        <v/>
      </c>
      <c r="AX86" s="644" t="str">
        <f t="shared" si="11"/>
        <v/>
      </c>
      <c r="AY86" s="643" t="str">
        <f t="shared" si="12"/>
        <v/>
      </c>
      <c r="AZ86" s="416" t="str">
        <f t="shared" si="13"/>
        <v/>
      </c>
      <c r="BA86" s="417" t="str">
        <f>IFERROR(IF(VLOOKUP(B86,'Matriz de Referencia'!$B$3:$CQ$584,'Matriz de Referencia'!CP$1,FALSE)="","",VLOOKUP(B86,'Matriz de Referencia'!$B$3:$CQ$584,'Matriz de Referencia'!CP$1)),"")</f>
        <v/>
      </c>
      <c r="BB86" s="417" t="str">
        <f>IFERROR(IF(VLOOKUP(B86,'Matriz de Referencia'!$B$3:$CQ$584,'Matriz de Referencia'!CQ$1,FALSE)="","",VLOOKUP(B86,'Matriz de Referencia'!$B$3:$CQ$584,'Matriz de Referencia'!CQ$1)),"")</f>
        <v/>
      </c>
      <c r="BC86" s="471"/>
      <c r="BD86" s="429"/>
      <c r="BE86" s="655" t="str">
        <f t="shared" si="7"/>
        <v>Dimensión_</v>
      </c>
      <c r="BF86" s="430"/>
    </row>
    <row r="87" spans="1:58">
      <c r="A87" s="420"/>
      <c r="B87" s="421"/>
      <c r="C87" s="422"/>
      <c r="D87" s="422"/>
      <c r="E87" s="421"/>
      <c r="F87" s="423"/>
      <c r="G87" s="423"/>
      <c r="H87" s="421"/>
      <c r="I87" s="424"/>
      <c r="J87" s="421"/>
      <c r="K87" s="447"/>
      <c r="L87" s="424"/>
      <c r="M87" s="425"/>
      <c r="N87" s="421"/>
      <c r="O87" s="423"/>
      <c r="P87" s="421"/>
      <c r="Q87" s="421"/>
      <c r="R87" s="424"/>
      <c r="S87" s="421"/>
      <c r="T87" s="421"/>
      <c r="U87" s="585"/>
      <c r="V87" s="421"/>
      <c r="W87" s="590"/>
      <c r="X87" s="421"/>
      <c r="Y87" s="421"/>
      <c r="Z87" s="429"/>
      <c r="AA87" s="391" t="str">
        <f>IFERROR(IF(VLOOKUP($B87,'Matriz de Referencia'!$B$2:$CO$578,'Matriz de Referencia'!AM$1,FALSE)&gt;0,"Diligenciar la vigencia, tiene presupuesto programado","No diligenciar, no programo presupuesto"),"")</f>
        <v/>
      </c>
      <c r="AF87" s="637" t="str">
        <f t="shared" si="8"/>
        <v/>
      </c>
      <c r="AG87" s="391" t="str">
        <f>IFERROR(IF(VLOOKUP($B87,'Matriz de Referencia'!$B$2:$CO$578,'Matriz de Referencia'!BA$1,FALSE)&gt;0,"Diligenciar la vigencia, tiene presupuesto programado","No diligenciar, no programo presupuesto"),"")</f>
        <v/>
      </c>
      <c r="AL87" s="637" t="str">
        <f t="shared" si="9"/>
        <v/>
      </c>
      <c r="AM87" s="391" t="str">
        <f>IFERROR(IF(VLOOKUP($B87,'Matriz de Referencia'!$B$2:$CO$578,'Matriz de Referencia'!BO$1,FALSE)&gt;0,"Diligenciar la vigencia, tiene presupuesto programado","No diligenciar, no programo presupuesto"),"")</f>
        <v/>
      </c>
      <c r="AR87" s="637" t="str">
        <f t="shared" si="10"/>
        <v/>
      </c>
      <c r="AS87" s="391" t="str">
        <f>IFERROR(IF(VLOOKUP($B87,'Matriz de Referencia'!$B$2:$CO$578,'Matriz de Referencia'!CC$1,FALSE)&gt;0,"Diligenciar la vigencia, tiene presupuesto programado","No diligenciar, no programo presupuesto"),"")</f>
        <v/>
      </c>
      <c r="AX87" s="644" t="str">
        <f t="shared" si="11"/>
        <v/>
      </c>
      <c r="AY87" s="643" t="str">
        <f t="shared" si="12"/>
        <v/>
      </c>
      <c r="AZ87" s="416" t="str">
        <f t="shared" si="13"/>
        <v/>
      </c>
      <c r="BA87" s="417" t="str">
        <f>IFERROR(IF(VLOOKUP(B87,'Matriz de Referencia'!$B$3:$CQ$584,'Matriz de Referencia'!CP$1,FALSE)="","",VLOOKUP(B87,'Matriz de Referencia'!$B$3:$CQ$584,'Matriz de Referencia'!CP$1)),"")</f>
        <v/>
      </c>
      <c r="BB87" s="417" t="str">
        <f>IFERROR(IF(VLOOKUP(B87,'Matriz de Referencia'!$B$3:$CQ$584,'Matriz de Referencia'!CQ$1,FALSE)="","",VLOOKUP(B87,'Matriz de Referencia'!$B$3:$CQ$584,'Matriz de Referencia'!CQ$1)),"")</f>
        <v/>
      </c>
      <c r="BC87" s="471"/>
      <c r="BD87" s="429"/>
      <c r="BE87" s="655" t="str">
        <f t="shared" si="7"/>
        <v>Dimensión_</v>
      </c>
      <c r="BF87" s="430"/>
    </row>
    <row r="88" spans="1:58">
      <c r="A88" s="420"/>
      <c r="B88" s="421"/>
      <c r="C88" s="422"/>
      <c r="D88" s="422"/>
      <c r="E88" s="421"/>
      <c r="F88" s="423"/>
      <c r="G88" s="423"/>
      <c r="H88" s="421"/>
      <c r="I88" s="424"/>
      <c r="J88" s="421"/>
      <c r="K88" s="447"/>
      <c r="L88" s="424"/>
      <c r="M88" s="425"/>
      <c r="N88" s="421"/>
      <c r="O88" s="423"/>
      <c r="P88" s="421"/>
      <c r="Q88" s="421"/>
      <c r="R88" s="424"/>
      <c r="S88" s="421"/>
      <c r="T88" s="421"/>
      <c r="U88" s="585"/>
      <c r="V88" s="421"/>
      <c r="W88" s="590"/>
      <c r="X88" s="421"/>
      <c r="Y88" s="421"/>
      <c r="Z88" s="429"/>
      <c r="AA88" s="391" t="str">
        <f>IFERROR(IF(VLOOKUP($B88,'Matriz de Referencia'!$B$2:$CO$578,'Matriz de Referencia'!AM$1,FALSE)&gt;0,"Diligenciar la vigencia, tiene presupuesto programado","No diligenciar, no programo presupuesto"),"")</f>
        <v/>
      </c>
      <c r="AF88" s="637" t="str">
        <f t="shared" si="8"/>
        <v/>
      </c>
      <c r="AG88" s="391" t="str">
        <f>IFERROR(IF(VLOOKUP($B88,'Matriz de Referencia'!$B$2:$CO$578,'Matriz de Referencia'!BA$1,FALSE)&gt;0,"Diligenciar la vigencia, tiene presupuesto programado","No diligenciar, no programo presupuesto"),"")</f>
        <v/>
      </c>
      <c r="AL88" s="637" t="str">
        <f t="shared" si="9"/>
        <v/>
      </c>
      <c r="AM88" s="391" t="str">
        <f>IFERROR(IF(VLOOKUP($B88,'Matriz de Referencia'!$B$2:$CO$578,'Matriz de Referencia'!BO$1,FALSE)&gt;0,"Diligenciar la vigencia, tiene presupuesto programado","No diligenciar, no programo presupuesto"),"")</f>
        <v/>
      </c>
      <c r="AR88" s="637" t="str">
        <f t="shared" si="10"/>
        <v/>
      </c>
      <c r="AS88" s="391" t="str">
        <f>IFERROR(IF(VLOOKUP($B88,'Matriz de Referencia'!$B$2:$CO$578,'Matriz de Referencia'!CC$1,FALSE)&gt;0,"Diligenciar la vigencia, tiene presupuesto programado","No diligenciar, no programo presupuesto"),"")</f>
        <v/>
      </c>
      <c r="AX88" s="644" t="str">
        <f t="shared" si="11"/>
        <v/>
      </c>
      <c r="AY88" s="643" t="str">
        <f t="shared" si="12"/>
        <v/>
      </c>
      <c r="AZ88" s="416" t="str">
        <f t="shared" si="13"/>
        <v/>
      </c>
      <c r="BA88" s="417" t="str">
        <f>IFERROR(IF(VLOOKUP(B88,'Matriz de Referencia'!$B$3:$CQ$584,'Matriz de Referencia'!CP$1,FALSE)="","",VLOOKUP(B88,'Matriz de Referencia'!$B$3:$CQ$584,'Matriz de Referencia'!CP$1)),"")</f>
        <v/>
      </c>
      <c r="BB88" s="417" t="str">
        <f>IFERROR(IF(VLOOKUP(B88,'Matriz de Referencia'!$B$3:$CQ$584,'Matriz de Referencia'!CQ$1,FALSE)="","",VLOOKUP(B88,'Matriz de Referencia'!$B$3:$CQ$584,'Matriz de Referencia'!CQ$1)),"")</f>
        <v/>
      </c>
      <c r="BC88" s="471"/>
      <c r="BD88" s="429"/>
      <c r="BE88" s="655" t="str">
        <f t="shared" si="7"/>
        <v>Dimensión_</v>
      </c>
      <c r="BF88" s="430"/>
    </row>
    <row r="89" spans="1:58">
      <c r="A89" s="420"/>
      <c r="B89" s="421"/>
      <c r="C89" s="422"/>
      <c r="D89" s="422"/>
      <c r="E89" s="421"/>
      <c r="F89" s="423"/>
      <c r="G89" s="423"/>
      <c r="H89" s="421"/>
      <c r="I89" s="424"/>
      <c r="J89" s="421"/>
      <c r="K89" s="447"/>
      <c r="L89" s="424"/>
      <c r="M89" s="425"/>
      <c r="N89" s="421"/>
      <c r="O89" s="423"/>
      <c r="P89" s="421"/>
      <c r="Q89" s="421"/>
      <c r="R89" s="424"/>
      <c r="S89" s="421"/>
      <c r="T89" s="421"/>
      <c r="U89" s="585"/>
      <c r="V89" s="421"/>
      <c r="W89" s="590"/>
      <c r="X89" s="421"/>
      <c r="Y89" s="421"/>
      <c r="Z89" s="429"/>
      <c r="AA89" s="391" t="str">
        <f>IFERROR(IF(VLOOKUP($B89,'Matriz de Referencia'!$B$2:$CO$578,'Matriz de Referencia'!AM$1,FALSE)&gt;0,"Diligenciar la vigencia, tiene presupuesto programado","No diligenciar, no programo presupuesto"),"")</f>
        <v/>
      </c>
      <c r="AF89" s="637" t="str">
        <f t="shared" si="8"/>
        <v/>
      </c>
      <c r="AG89" s="391" t="str">
        <f>IFERROR(IF(VLOOKUP($B89,'Matriz de Referencia'!$B$2:$CO$578,'Matriz de Referencia'!BA$1,FALSE)&gt;0,"Diligenciar la vigencia, tiene presupuesto programado","No diligenciar, no programo presupuesto"),"")</f>
        <v/>
      </c>
      <c r="AL89" s="637" t="str">
        <f t="shared" si="9"/>
        <v/>
      </c>
      <c r="AM89" s="391" t="str">
        <f>IFERROR(IF(VLOOKUP($B89,'Matriz de Referencia'!$B$2:$CO$578,'Matriz de Referencia'!BO$1,FALSE)&gt;0,"Diligenciar la vigencia, tiene presupuesto programado","No diligenciar, no programo presupuesto"),"")</f>
        <v/>
      </c>
      <c r="AR89" s="637" t="str">
        <f t="shared" si="10"/>
        <v/>
      </c>
      <c r="AS89" s="391" t="str">
        <f>IFERROR(IF(VLOOKUP($B89,'Matriz de Referencia'!$B$2:$CO$578,'Matriz de Referencia'!CC$1,FALSE)&gt;0,"Diligenciar la vigencia, tiene presupuesto programado","No diligenciar, no programo presupuesto"),"")</f>
        <v/>
      </c>
      <c r="AX89" s="644" t="str">
        <f t="shared" si="11"/>
        <v/>
      </c>
      <c r="AY89" s="643" t="str">
        <f t="shared" si="12"/>
        <v/>
      </c>
      <c r="AZ89" s="416" t="str">
        <f t="shared" si="13"/>
        <v/>
      </c>
      <c r="BA89" s="417" t="str">
        <f>IFERROR(IF(VLOOKUP(B89,'Matriz de Referencia'!$B$3:$CQ$584,'Matriz de Referencia'!CP$1,FALSE)="","",VLOOKUP(B89,'Matriz de Referencia'!$B$3:$CQ$584,'Matriz de Referencia'!CP$1)),"")</f>
        <v/>
      </c>
      <c r="BB89" s="417" t="str">
        <f>IFERROR(IF(VLOOKUP(B89,'Matriz de Referencia'!$B$3:$CQ$584,'Matriz de Referencia'!CQ$1,FALSE)="","",VLOOKUP(B89,'Matriz de Referencia'!$B$3:$CQ$584,'Matriz de Referencia'!CQ$1)),"")</f>
        <v/>
      </c>
      <c r="BC89" s="471"/>
      <c r="BD89" s="429"/>
      <c r="BE89" s="655" t="str">
        <f t="shared" si="7"/>
        <v>Dimensión_</v>
      </c>
      <c r="BF89" s="430"/>
    </row>
    <row r="90" spans="1:58">
      <c r="A90" s="420"/>
      <c r="B90" s="421"/>
      <c r="C90" s="422"/>
      <c r="D90" s="422"/>
      <c r="E90" s="421"/>
      <c r="F90" s="423"/>
      <c r="G90" s="423"/>
      <c r="H90" s="421"/>
      <c r="I90" s="424"/>
      <c r="J90" s="421"/>
      <c r="K90" s="447"/>
      <c r="L90" s="424"/>
      <c r="M90" s="425"/>
      <c r="N90" s="421"/>
      <c r="O90" s="423"/>
      <c r="P90" s="421"/>
      <c r="Q90" s="421"/>
      <c r="R90" s="424"/>
      <c r="S90" s="421"/>
      <c r="T90" s="421"/>
      <c r="U90" s="585"/>
      <c r="V90" s="421"/>
      <c r="W90" s="590"/>
      <c r="X90" s="421"/>
      <c r="Y90" s="421"/>
      <c r="Z90" s="429"/>
      <c r="AA90" s="391" t="str">
        <f>IFERROR(IF(VLOOKUP($B90,'Matriz de Referencia'!$B$2:$CO$578,'Matriz de Referencia'!AM$1,FALSE)&gt;0,"Diligenciar la vigencia, tiene presupuesto programado","No diligenciar, no programo presupuesto"),"")</f>
        <v/>
      </c>
      <c r="AF90" s="637" t="str">
        <f t="shared" si="8"/>
        <v/>
      </c>
      <c r="AG90" s="391" t="str">
        <f>IFERROR(IF(VLOOKUP($B90,'Matriz de Referencia'!$B$2:$CO$578,'Matriz de Referencia'!BA$1,FALSE)&gt;0,"Diligenciar la vigencia, tiene presupuesto programado","No diligenciar, no programo presupuesto"),"")</f>
        <v/>
      </c>
      <c r="AL90" s="637" t="str">
        <f t="shared" si="9"/>
        <v/>
      </c>
      <c r="AM90" s="391" t="str">
        <f>IFERROR(IF(VLOOKUP($B90,'Matriz de Referencia'!$B$2:$CO$578,'Matriz de Referencia'!BO$1,FALSE)&gt;0,"Diligenciar la vigencia, tiene presupuesto programado","No diligenciar, no programo presupuesto"),"")</f>
        <v/>
      </c>
      <c r="AR90" s="637" t="str">
        <f t="shared" si="10"/>
        <v/>
      </c>
      <c r="AS90" s="391" t="str">
        <f>IFERROR(IF(VLOOKUP($B90,'Matriz de Referencia'!$B$2:$CO$578,'Matriz de Referencia'!CC$1,FALSE)&gt;0,"Diligenciar la vigencia, tiene presupuesto programado","No diligenciar, no programo presupuesto"),"")</f>
        <v/>
      </c>
      <c r="AX90" s="644" t="str">
        <f t="shared" si="11"/>
        <v/>
      </c>
      <c r="AY90" s="643" t="str">
        <f t="shared" si="12"/>
        <v/>
      </c>
      <c r="AZ90" s="416" t="str">
        <f t="shared" si="13"/>
        <v/>
      </c>
      <c r="BA90" s="417" t="str">
        <f>IFERROR(IF(VLOOKUP(B90,'Matriz de Referencia'!$B$3:$CQ$584,'Matriz de Referencia'!CP$1,FALSE)="","",VLOOKUP(B90,'Matriz de Referencia'!$B$3:$CQ$584,'Matriz de Referencia'!CP$1)),"")</f>
        <v/>
      </c>
      <c r="BB90" s="417" t="str">
        <f>IFERROR(IF(VLOOKUP(B90,'Matriz de Referencia'!$B$3:$CQ$584,'Matriz de Referencia'!CQ$1,FALSE)="","",VLOOKUP(B90,'Matriz de Referencia'!$B$3:$CQ$584,'Matriz de Referencia'!CQ$1)),"")</f>
        <v/>
      </c>
      <c r="BC90" s="471"/>
      <c r="BD90" s="429"/>
      <c r="BE90" s="655" t="str">
        <f t="shared" si="7"/>
        <v>Dimensión_</v>
      </c>
      <c r="BF90" s="430"/>
    </row>
    <row r="91" spans="1:58">
      <c r="A91" s="420"/>
      <c r="B91" s="421"/>
      <c r="C91" s="422"/>
      <c r="D91" s="422"/>
      <c r="E91" s="421"/>
      <c r="F91" s="423"/>
      <c r="G91" s="423"/>
      <c r="H91" s="421"/>
      <c r="I91" s="424"/>
      <c r="J91" s="421"/>
      <c r="K91" s="447"/>
      <c r="L91" s="424"/>
      <c r="M91" s="425"/>
      <c r="N91" s="421"/>
      <c r="O91" s="423"/>
      <c r="P91" s="421"/>
      <c r="Q91" s="421"/>
      <c r="R91" s="424"/>
      <c r="S91" s="421"/>
      <c r="T91" s="421"/>
      <c r="U91" s="585"/>
      <c r="V91" s="421"/>
      <c r="W91" s="590"/>
      <c r="X91" s="421"/>
      <c r="Y91" s="421"/>
      <c r="Z91" s="429"/>
      <c r="AA91" s="391" t="str">
        <f>IFERROR(IF(VLOOKUP($B91,'Matriz de Referencia'!$B$2:$CO$578,'Matriz de Referencia'!AM$1,FALSE)&gt;0,"Diligenciar la vigencia, tiene presupuesto programado","No diligenciar, no programo presupuesto"),"")</f>
        <v/>
      </c>
      <c r="AF91" s="637" t="str">
        <f t="shared" si="8"/>
        <v/>
      </c>
      <c r="AG91" s="391" t="str">
        <f>IFERROR(IF(VLOOKUP($B91,'Matriz de Referencia'!$B$2:$CO$578,'Matriz de Referencia'!BA$1,FALSE)&gt;0,"Diligenciar la vigencia, tiene presupuesto programado","No diligenciar, no programo presupuesto"),"")</f>
        <v/>
      </c>
      <c r="AL91" s="637" t="str">
        <f t="shared" si="9"/>
        <v/>
      </c>
      <c r="AM91" s="391" t="str">
        <f>IFERROR(IF(VLOOKUP($B91,'Matriz de Referencia'!$B$2:$CO$578,'Matriz de Referencia'!BO$1,FALSE)&gt;0,"Diligenciar la vigencia, tiene presupuesto programado","No diligenciar, no programo presupuesto"),"")</f>
        <v/>
      </c>
      <c r="AR91" s="637" t="str">
        <f t="shared" si="10"/>
        <v/>
      </c>
      <c r="AS91" s="391" t="str">
        <f>IFERROR(IF(VLOOKUP($B91,'Matriz de Referencia'!$B$2:$CO$578,'Matriz de Referencia'!CC$1,FALSE)&gt;0,"Diligenciar la vigencia, tiene presupuesto programado","No diligenciar, no programo presupuesto"),"")</f>
        <v/>
      </c>
      <c r="AX91" s="644" t="str">
        <f t="shared" si="11"/>
        <v/>
      </c>
      <c r="AY91" s="643" t="str">
        <f t="shared" si="12"/>
        <v/>
      </c>
      <c r="AZ91" s="416" t="str">
        <f t="shared" si="13"/>
        <v/>
      </c>
      <c r="BA91" s="417" t="str">
        <f>IFERROR(IF(VLOOKUP(B91,'Matriz de Referencia'!$B$3:$CQ$584,'Matriz de Referencia'!CP$1,FALSE)="","",VLOOKUP(B91,'Matriz de Referencia'!$B$3:$CQ$584,'Matriz de Referencia'!CP$1)),"")</f>
        <v/>
      </c>
      <c r="BB91" s="417" t="str">
        <f>IFERROR(IF(VLOOKUP(B91,'Matriz de Referencia'!$B$3:$CQ$584,'Matriz de Referencia'!CQ$1,FALSE)="","",VLOOKUP(B91,'Matriz de Referencia'!$B$3:$CQ$584,'Matriz de Referencia'!CQ$1)),"")</f>
        <v/>
      </c>
      <c r="BC91" s="471"/>
      <c r="BD91" s="429"/>
      <c r="BE91" s="655" t="str">
        <f t="shared" si="7"/>
        <v>Dimensión_</v>
      </c>
      <c r="BF91" s="430"/>
    </row>
    <row r="92" spans="1:58">
      <c r="A92" s="420"/>
      <c r="B92" s="421"/>
      <c r="C92" s="422"/>
      <c r="D92" s="422"/>
      <c r="E92" s="421"/>
      <c r="F92" s="423"/>
      <c r="G92" s="423"/>
      <c r="H92" s="421"/>
      <c r="I92" s="424"/>
      <c r="J92" s="421"/>
      <c r="K92" s="447"/>
      <c r="L92" s="424"/>
      <c r="M92" s="425"/>
      <c r="N92" s="421"/>
      <c r="O92" s="423"/>
      <c r="P92" s="421"/>
      <c r="Q92" s="421"/>
      <c r="R92" s="424"/>
      <c r="S92" s="421"/>
      <c r="T92" s="421"/>
      <c r="U92" s="585"/>
      <c r="V92" s="421"/>
      <c r="W92" s="590"/>
      <c r="X92" s="421"/>
      <c r="Y92" s="421"/>
      <c r="Z92" s="429"/>
      <c r="AA92" s="391" t="str">
        <f>IFERROR(IF(VLOOKUP($B92,'Matriz de Referencia'!$B$2:$CO$578,'Matriz de Referencia'!AM$1,FALSE)&gt;0,"Diligenciar la vigencia, tiene presupuesto programado","No diligenciar, no programo presupuesto"),"")</f>
        <v/>
      </c>
      <c r="AF92" s="637" t="str">
        <f t="shared" si="8"/>
        <v/>
      </c>
      <c r="AG92" s="391" t="str">
        <f>IFERROR(IF(VLOOKUP($B92,'Matriz de Referencia'!$B$2:$CO$578,'Matriz de Referencia'!BA$1,FALSE)&gt;0,"Diligenciar la vigencia, tiene presupuesto programado","No diligenciar, no programo presupuesto"),"")</f>
        <v/>
      </c>
      <c r="AL92" s="637" t="str">
        <f t="shared" si="9"/>
        <v/>
      </c>
      <c r="AM92" s="391" t="str">
        <f>IFERROR(IF(VLOOKUP($B92,'Matriz de Referencia'!$B$2:$CO$578,'Matriz de Referencia'!BO$1,FALSE)&gt;0,"Diligenciar la vigencia, tiene presupuesto programado","No diligenciar, no programo presupuesto"),"")</f>
        <v/>
      </c>
      <c r="AR92" s="637" t="str">
        <f t="shared" si="10"/>
        <v/>
      </c>
      <c r="AS92" s="391" t="str">
        <f>IFERROR(IF(VLOOKUP($B92,'Matriz de Referencia'!$B$2:$CO$578,'Matriz de Referencia'!CC$1,FALSE)&gt;0,"Diligenciar la vigencia, tiene presupuesto programado","No diligenciar, no programo presupuesto"),"")</f>
        <v/>
      </c>
      <c r="AX92" s="644" t="str">
        <f t="shared" si="11"/>
        <v/>
      </c>
      <c r="AY92" s="643" t="str">
        <f t="shared" si="12"/>
        <v/>
      </c>
      <c r="AZ92" s="416" t="str">
        <f t="shared" si="13"/>
        <v/>
      </c>
      <c r="BA92" s="417" t="str">
        <f>IFERROR(IF(VLOOKUP(B92,'Matriz de Referencia'!$B$3:$CQ$584,'Matriz de Referencia'!CP$1,FALSE)="","",VLOOKUP(B92,'Matriz de Referencia'!$B$3:$CQ$584,'Matriz de Referencia'!CP$1)),"")</f>
        <v/>
      </c>
      <c r="BB92" s="417" t="str">
        <f>IFERROR(IF(VLOOKUP(B92,'Matriz de Referencia'!$B$3:$CQ$584,'Matriz de Referencia'!CQ$1,FALSE)="","",VLOOKUP(B92,'Matriz de Referencia'!$B$3:$CQ$584,'Matriz de Referencia'!CQ$1)),"")</f>
        <v/>
      </c>
      <c r="BC92" s="471"/>
      <c r="BD92" s="429"/>
      <c r="BE92" s="655" t="str">
        <f t="shared" si="7"/>
        <v>Dimensión_</v>
      </c>
      <c r="BF92" s="430"/>
    </row>
    <row r="93" spans="1:58">
      <c r="A93" s="420"/>
      <c r="B93" s="421"/>
      <c r="C93" s="422"/>
      <c r="D93" s="422"/>
      <c r="E93" s="421"/>
      <c r="F93" s="423"/>
      <c r="G93" s="423"/>
      <c r="H93" s="421"/>
      <c r="I93" s="424"/>
      <c r="J93" s="421"/>
      <c r="K93" s="447"/>
      <c r="L93" s="424"/>
      <c r="M93" s="425"/>
      <c r="N93" s="421"/>
      <c r="O93" s="423"/>
      <c r="P93" s="421"/>
      <c r="Q93" s="421"/>
      <c r="R93" s="424"/>
      <c r="S93" s="421"/>
      <c r="T93" s="421"/>
      <c r="U93" s="585"/>
      <c r="V93" s="421"/>
      <c r="W93" s="590"/>
      <c r="X93" s="421"/>
      <c r="Y93" s="421"/>
      <c r="Z93" s="429"/>
      <c r="AA93" s="391" t="str">
        <f>IFERROR(IF(VLOOKUP($B93,'Matriz de Referencia'!$B$2:$CO$578,'Matriz de Referencia'!AM$1,FALSE)&gt;0,"Diligenciar la vigencia, tiene presupuesto programado","No diligenciar, no programo presupuesto"),"")</f>
        <v/>
      </c>
      <c r="AF93" s="637" t="str">
        <f t="shared" si="8"/>
        <v/>
      </c>
      <c r="AG93" s="391" t="str">
        <f>IFERROR(IF(VLOOKUP($B93,'Matriz de Referencia'!$B$2:$CO$578,'Matriz de Referencia'!BA$1,FALSE)&gt;0,"Diligenciar la vigencia, tiene presupuesto programado","No diligenciar, no programo presupuesto"),"")</f>
        <v/>
      </c>
      <c r="AL93" s="637" t="str">
        <f t="shared" si="9"/>
        <v/>
      </c>
      <c r="AM93" s="391" t="str">
        <f>IFERROR(IF(VLOOKUP($B93,'Matriz de Referencia'!$B$2:$CO$578,'Matriz de Referencia'!BO$1,FALSE)&gt;0,"Diligenciar la vigencia, tiene presupuesto programado","No diligenciar, no programo presupuesto"),"")</f>
        <v/>
      </c>
      <c r="AR93" s="637" t="str">
        <f t="shared" si="10"/>
        <v/>
      </c>
      <c r="AS93" s="391" t="str">
        <f>IFERROR(IF(VLOOKUP($B93,'Matriz de Referencia'!$B$2:$CO$578,'Matriz de Referencia'!CC$1,FALSE)&gt;0,"Diligenciar la vigencia, tiene presupuesto programado","No diligenciar, no programo presupuesto"),"")</f>
        <v/>
      </c>
      <c r="AX93" s="644" t="str">
        <f t="shared" si="11"/>
        <v/>
      </c>
      <c r="AY93" s="643" t="str">
        <f t="shared" si="12"/>
        <v/>
      </c>
      <c r="AZ93" s="416" t="str">
        <f t="shared" si="13"/>
        <v/>
      </c>
      <c r="BA93" s="417" t="str">
        <f>IFERROR(IF(VLOOKUP(B93,'Matriz de Referencia'!$B$3:$CQ$584,'Matriz de Referencia'!CP$1,FALSE)="","",VLOOKUP(B93,'Matriz de Referencia'!$B$3:$CQ$584,'Matriz de Referencia'!CP$1)),"")</f>
        <v/>
      </c>
      <c r="BB93" s="417" t="str">
        <f>IFERROR(IF(VLOOKUP(B93,'Matriz de Referencia'!$B$3:$CQ$584,'Matriz de Referencia'!CQ$1,FALSE)="","",VLOOKUP(B93,'Matriz de Referencia'!$B$3:$CQ$584,'Matriz de Referencia'!CQ$1)),"")</f>
        <v/>
      </c>
      <c r="BC93" s="471"/>
      <c r="BD93" s="429"/>
      <c r="BE93" s="655" t="str">
        <f t="shared" si="7"/>
        <v>Dimensión_</v>
      </c>
      <c r="BF93" s="430"/>
    </row>
    <row r="94" spans="1:58">
      <c r="A94" s="420"/>
      <c r="B94" s="421"/>
      <c r="C94" s="422"/>
      <c r="D94" s="422"/>
      <c r="E94" s="421"/>
      <c r="F94" s="423"/>
      <c r="G94" s="423"/>
      <c r="H94" s="421"/>
      <c r="I94" s="424"/>
      <c r="J94" s="421"/>
      <c r="K94" s="447"/>
      <c r="L94" s="424"/>
      <c r="M94" s="425"/>
      <c r="N94" s="421"/>
      <c r="O94" s="423"/>
      <c r="P94" s="421"/>
      <c r="Q94" s="421"/>
      <c r="R94" s="424"/>
      <c r="S94" s="421"/>
      <c r="T94" s="421"/>
      <c r="U94" s="585"/>
      <c r="V94" s="421"/>
      <c r="W94" s="590"/>
      <c r="X94" s="421"/>
      <c r="Y94" s="421"/>
      <c r="Z94" s="429"/>
      <c r="AA94" s="391" t="str">
        <f>IFERROR(IF(VLOOKUP($B94,'Matriz de Referencia'!$B$2:$CO$578,'Matriz de Referencia'!AM$1,FALSE)&gt;0,"Diligenciar la vigencia, tiene presupuesto programado","No diligenciar, no programo presupuesto"),"")</f>
        <v/>
      </c>
      <c r="AF94" s="637" t="str">
        <f t="shared" si="8"/>
        <v/>
      </c>
      <c r="AG94" s="391" t="str">
        <f>IFERROR(IF(VLOOKUP($B94,'Matriz de Referencia'!$B$2:$CO$578,'Matriz de Referencia'!BA$1,FALSE)&gt;0,"Diligenciar la vigencia, tiene presupuesto programado","No diligenciar, no programo presupuesto"),"")</f>
        <v/>
      </c>
      <c r="AL94" s="637" t="str">
        <f t="shared" si="9"/>
        <v/>
      </c>
      <c r="AM94" s="391" t="str">
        <f>IFERROR(IF(VLOOKUP($B94,'Matriz de Referencia'!$B$2:$CO$578,'Matriz de Referencia'!BO$1,FALSE)&gt;0,"Diligenciar la vigencia, tiene presupuesto programado","No diligenciar, no programo presupuesto"),"")</f>
        <v/>
      </c>
      <c r="AR94" s="637" t="str">
        <f t="shared" si="10"/>
        <v/>
      </c>
      <c r="AS94" s="391" t="str">
        <f>IFERROR(IF(VLOOKUP($B94,'Matriz de Referencia'!$B$2:$CO$578,'Matriz de Referencia'!CC$1,FALSE)&gt;0,"Diligenciar la vigencia, tiene presupuesto programado","No diligenciar, no programo presupuesto"),"")</f>
        <v/>
      </c>
      <c r="AX94" s="644" t="str">
        <f t="shared" si="11"/>
        <v/>
      </c>
      <c r="AY94" s="643" t="str">
        <f t="shared" si="12"/>
        <v/>
      </c>
      <c r="AZ94" s="416" t="str">
        <f t="shared" si="13"/>
        <v/>
      </c>
      <c r="BA94" s="417" t="str">
        <f>IFERROR(IF(VLOOKUP(B94,'Matriz de Referencia'!$B$3:$CQ$584,'Matriz de Referencia'!CP$1,FALSE)="","",VLOOKUP(B94,'Matriz de Referencia'!$B$3:$CQ$584,'Matriz de Referencia'!CP$1)),"")</f>
        <v/>
      </c>
      <c r="BB94" s="417" t="str">
        <f>IFERROR(IF(VLOOKUP(B94,'Matriz de Referencia'!$B$3:$CQ$584,'Matriz de Referencia'!CQ$1,FALSE)="","",VLOOKUP(B94,'Matriz de Referencia'!$B$3:$CQ$584,'Matriz de Referencia'!CQ$1)),"")</f>
        <v/>
      </c>
      <c r="BC94" s="471"/>
      <c r="BD94" s="429"/>
      <c r="BE94" s="655" t="str">
        <f t="shared" si="7"/>
        <v>Dimensión_</v>
      </c>
      <c r="BF94" s="430"/>
    </row>
    <row r="95" spans="1:58">
      <c r="A95" s="420"/>
      <c r="B95" s="421"/>
      <c r="C95" s="422"/>
      <c r="D95" s="422"/>
      <c r="E95" s="421"/>
      <c r="F95" s="423"/>
      <c r="G95" s="423"/>
      <c r="H95" s="421"/>
      <c r="I95" s="424"/>
      <c r="J95" s="421"/>
      <c r="K95" s="447"/>
      <c r="L95" s="424"/>
      <c r="M95" s="425"/>
      <c r="N95" s="421"/>
      <c r="O95" s="423"/>
      <c r="P95" s="421"/>
      <c r="Q95" s="421"/>
      <c r="R95" s="424"/>
      <c r="S95" s="421"/>
      <c r="T95" s="421"/>
      <c r="U95" s="585"/>
      <c r="V95" s="421"/>
      <c r="W95" s="590"/>
      <c r="X95" s="421"/>
      <c r="Y95" s="421"/>
      <c r="Z95" s="429"/>
      <c r="AA95" s="391" t="str">
        <f>IFERROR(IF(VLOOKUP($B95,'Matriz de Referencia'!$B$2:$CO$578,'Matriz de Referencia'!AM$1,FALSE)&gt;0,"Diligenciar la vigencia, tiene presupuesto programado","No diligenciar, no programo presupuesto"),"")</f>
        <v/>
      </c>
      <c r="AF95" s="637" t="str">
        <f t="shared" si="8"/>
        <v/>
      </c>
      <c r="AG95" s="391" t="str">
        <f>IFERROR(IF(VLOOKUP($B95,'Matriz de Referencia'!$B$2:$CO$578,'Matriz de Referencia'!BA$1,FALSE)&gt;0,"Diligenciar la vigencia, tiene presupuesto programado","No diligenciar, no programo presupuesto"),"")</f>
        <v/>
      </c>
      <c r="AL95" s="637" t="str">
        <f t="shared" si="9"/>
        <v/>
      </c>
      <c r="AM95" s="391" t="str">
        <f>IFERROR(IF(VLOOKUP($B95,'Matriz de Referencia'!$B$2:$CO$578,'Matriz de Referencia'!BO$1,FALSE)&gt;0,"Diligenciar la vigencia, tiene presupuesto programado","No diligenciar, no programo presupuesto"),"")</f>
        <v/>
      </c>
      <c r="AR95" s="637" t="str">
        <f t="shared" si="10"/>
        <v/>
      </c>
      <c r="AS95" s="391" t="str">
        <f>IFERROR(IF(VLOOKUP($B95,'Matriz de Referencia'!$B$2:$CO$578,'Matriz de Referencia'!CC$1,FALSE)&gt;0,"Diligenciar la vigencia, tiene presupuesto programado","No diligenciar, no programo presupuesto"),"")</f>
        <v/>
      </c>
      <c r="AX95" s="644" t="str">
        <f t="shared" si="11"/>
        <v/>
      </c>
      <c r="AY95" s="643" t="str">
        <f t="shared" si="12"/>
        <v/>
      </c>
      <c r="AZ95" s="416" t="str">
        <f t="shared" si="13"/>
        <v/>
      </c>
      <c r="BA95" s="417" t="str">
        <f>IFERROR(IF(VLOOKUP(B95,'Matriz de Referencia'!$B$3:$CQ$584,'Matriz de Referencia'!CP$1,FALSE)="","",VLOOKUP(B95,'Matriz de Referencia'!$B$3:$CQ$584,'Matriz de Referencia'!CP$1)),"")</f>
        <v/>
      </c>
      <c r="BB95" s="417" t="str">
        <f>IFERROR(IF(VLOOKUP(B95,'Matriz de Referencia'!$B$3:$CQ$584,'Matriz de Referencia'!CQ$1,FALSE)="","",VLOOKUP(B95,'Matriz de Referencia'!$B$3:$CQ$584,'Matriz de Referencia'!CQ$1)),"")</f>
        <v/>
      </c>
      <c r="BC95" s="471"/>
      <c r="BD95" s="429"/>
      <c r="BE95" s="655" t="str">
        <f t="shared" si="7"/>
        <v>Dimensión_</v>
      </c>
      <c r="BF95" s="430"/>
    </row>
    <row r="96" spans="1:58">
      <c r="A96" s="420"/>
      <c r="B96" s="421"/>
      <c r="C96" s="422"/>
      <c r="D96" s="422"/>
      <c r="E96" s="421"/>
      <c r="F96" s="423"/>
      <c r="G96" s="423"/>
      <c r="H96" s="421"/>
      <c r="I96" s="424"/>
      <c r="J96" s="421"/>
      <c r="K96" s="447"/>
      <c r="L96" s="424"/>
      <c r="M96" s="425"/>
      <c r="N96" s="421"/>
      <c r="O96" s="423"/>
      <c r="P96" s="421"/>
      <c r="Q96" s="421"/>
      <c r="R96" s="424"/>
      <c r="S96" s="421"/>
      <c r="T96" s="421"/>
      <c r="U96" s="585"/>
      <c r="V96" s="421"/>
      <c r="W96" s="590"/>
      <c r="X96" s="421"/>
      <c r="Y96" s="421"/>
      <c r="Z96" s="429"/>
      <c r="AA96" s="391" t="str">
        <f>IFERROR(IF(VLOOKUP($B96,'Matriz de Referencia'!$B$2:$CO$578,'Matriz de Referencia'!AM$1,FALSE)&gt;0,"Diligenciar la vigencia, tiene presupuesto programado","No diligenciar, no programo presupuesto"),"")</f>
        <v/>
      </c>
      <c r="AF96" s="637" t="str">
        <f t="shared" si="8"/>
        <v/>
      </c>
      <c r="AG96" s="391" t="str">
        <f>IFERROR(IF(VLOOKUP($B96,'Matriz de Referencia'!$B$2:$CO$578,'Matriz de Referencia'!BA$1,FALSE)&gt;0,"Diligenciar la vigencia, tiene presupuesto programado","No diligenciar, no programo presupuesto"),"")</f>
        <v/>
      </c>
      <c r="AL96" s="637" t="str">
        <f t="shared" si="9"/>
        <v/>
      </c>
      <c r="AM96" s="391" t="str">
        <f>IFERROR(IF(VLOOKUP($B96,'Matriz de Referencia'!$B$2:$CO$578,'Matriz de Referencia'!BO$1,FALSE)&gt;0,"Diligenciar la vigencia, tiene presupuesto programado","No diligenciar, no programo presupuesto"),"")</f>
        <v/>
      </c>
      <c r="AR96" s="637" t="str">
        <f t="shared" si="10"/>
        <v/>
      </c>
      <c r="AS96" s="391" t="str">
        <f>IFERROR(IF(VLOOKUP($B96,'Matriz de Referencia'!$B$2:$CO$578,'Matriz de Referencia'!CC$1,FALSE)&gt;0,"Diligenciar la vigencia, tiene presupuesto programado","No diligenciar, no programo presupuesto"),"")</f>
        <v/>
      </c>
      <c r="AX96" s="644" t="str">
        <f t="shared" si="11"/>
        <v/>
      </c>
      <c r="AY96" s="643" t="str">
        <f t="shared" si="12"/>
        <v/>
      </c>
      <c r="AZ96" s="416" t="str">
        <f t="shared" si="13"/>
        <v/>
      </c>
      <c r="BA96" s="417" t="str">
        <f>IFERROR(IF(VLOOKUP(B96,'Matriz de Referencia'!$B$3:$CQ$584,'Matriz de Referencia'!CP$1,FALSE)="","",VLOOKUP(B96,'Matriz de Referencia'!$B$3:$CQ$584,'Matriz de Referencia'!CP$1)),"")</f>
        <v/>
      </c>
      <c r="BB96" s="417" t="str">
        <f>IFERROR(IF(VLOOKUP(B96,'Matriz de Referencia'!$B$3:$CQ$584,'Matriz de Referencia'!CQ$1,FALSE)="","",VLOOKUP(B96,'Matriz de Referencia'!$B$3:$CQ$584,'Matriz de Referencia'!CQ$1)),"")</f>
        <v/>
      </c>
      <c r="BC96" s="471"/>
      <c r="BD96" s="429"/>
      <c r="BE96" s="655" t="str">
        <f t="shared" si="7"/>
        <v>Dimensión_</v>
      </c>
      <c r="BF96" s="430"/>
    </row>
    <row r="97" spans="1:59">
      <c r="A97" s="420"/>
      <c r="B97" s="421"/>
      <c r="C97" s="422"/>
      <c r="D97" s="422"/>
      <c r="E97" s="421"/>
      <c r="F97" s="423"/>
      <c r="G97" s="423"/>
      <c r="H97" s="421"/>
      <c r="I97" s="424"/>
      <c r="J97" s="421"/>
      <c r="K97" s="447"/>
      <c r="L97" s="424"/>
      <c r="M97" s="425"/>
      <c r="N97" s="421"/>
      <c r="O97" s="423"/>
      <c r="P97" s="421"/>
      <c r="Q97" s="421"/>
      <c r="R97" s="424"/>
      <c r="S97" s="421"/>
      <c r="T97" s="421"/>
      <c r="U97" s="585"/>
      <c r="V97" s="421"/>
      <c r="W97" s="590"/>
      <c r="X97" s="421"/>
      <c r="Y97" s="421"/>
      <c r="Z97" s="429"/>
      <c r="AA97" s="391" t="str">
        <f>IFERROR(IF(VLOOKUP($B97,'Matriz de Referencia'!$B$2:$CO$578,'Matriz de Referencia'!AM$1,FALSE)&gt;0,"Diligenciar la vigencia, tiene presupuesto programado","No diligenciar, no programo presupuesto"),"")</f>
        <v/>
      </c>
      <c r="AF97" s="637" t="str">
        <f t="shared" si="8"/>
        <v/>
      </c>
      <c r="AG97" s="391" t="str">
        <f>IFERROR(IF(VLOOKUP($B97,'Matriz de Referencia'!$B$2:$CO$578,'Matriz de Referencia'!BA$1,FALSE)&gt;0,"Diligenciar la vigencia, tiene presupuesto programado","No diligenciar, no programo presupuesto"),"")</f>
        <v/>
      </c>
      <c r="AL97" s="637" t="str">
        <f t="shared" si="9"/>
        <v/>
      </c>
      <c r="AM97" s="391" t="str">
        <f>IFERROR(IF(VLOOKUP($B97,'Matriz de Referencia'!$B$2:$CO$578,'Matriz de Referencia'!BO$1,FALSE)&gt;0,"Diligenciar la vigencia, tiene presupuesto programado","No diligenciar, no programo presupuesto"),"")</f>
        <v/>
      </c>
      <c r="AR97" s="637" t="str">
        <f t="shared" si="10"/>
        <v/>
      </c>
      <c r="AS97" s="391" t="str">
        <f>IFERROR(IF(VLOOKUP($B97,'Matriz de Referencia'!$B$2:$CO$578,'Matriz de Referencia'!CC$1,FALSE)&gt;0,"Diligenciar la vigencia, tiene presupuesto programado","No diligenciar, no programo presupuesto"),"")</f>
        <v/>
      </c>
      <c r="AX97" s="644" t="str">
        <f t="shared" si="11"/>
        <v/>
      </c>
      <c r="AY97" s="643" t="str">
        <f t="shared" si="12"/>
        <v/>
      </c>
      <c r="AZ97" s="416" t="str">
        <f t="shared" si="13"/>
        <v/>
      </c>
      <c r="BA97" s="417" t="str">
        <f>IFERROR(IF(VLOOKUP(B97,'Matriz de Referencia'!$B$3:$CQ$584,'Matriz de Referencia'!CP$1,FALSE)="","",VLOOKUP(B97,'Matriz de Referencia'!$B$3:$CQ$584,'Matriz de Referencia'!CP$1)),"")</f>
        <v/>
      </c>
      <c r="BB97" s="417" t="str">
        <f>IFERROR(IF(VLOOKUP(B97,'Matriz de Referencia'!$B$3:$CQ$584,'Matriz de Referencia'!CQ$1,FALSE)="","",VLOOKUP(B97,'Matriz de Referencia'!$B$3:$CQ$584,'Matriz de Referencia'!CQ$1)),"")</f>
        <v/>
      </c>
      <c r="BC97" s="471"/>
      <c r="BD97" s="429"/>
      <c r="BE97" s="655" t="str">
        <f t="shared" si="7"/>
        <v>Dimensión_</v>
      </c>
      <c r="BF97" s="430"/>
    </row>
    <row r="98" spans="1:59">
      <c r="A98" s="420"/>
      <c r="B98" s="421"/>
      <c r="C98" s="422"/>
      <c r="D98" s="422"/>
      <c r="E98" s="421"/>
      <c r="F98" s="423"/>
      <c r="G98" s="423"/>
      <c r="H98" s="421"/>
      <c r="I98" s="424"/>
      <c r="J98" s="421"/>
      <c r="K98" s="447"/>
      <c r="L98" s="424"/>
      <c r="M98" s="425"/>
      <c r="N98" s="421"/>
      <c r="O98" s="423"/>
      <c r="P98" s="421"/>
      <c r="Q98" s="421"/>
      <c r="R98" s="424"/>
      <c r="S98" s="421"/>
      <c r="T98" s="421"/>
      <c r="U98" s="585"/>
      <c r="V98" s="421"/>
      <c r="W98" s="590"/>
      <c r="X98" s="421"/>
      <c r="Y98" s="421"/>
      <c r="Z98" s="429"/>
      <c r="AA98" s="391" t="str">
        <f>IFERROR(IF(VLOOKUP($B98,'Matriz de Referencia'!$B$2:$CO$578,'Matriz de Referencia'!AM$1,FALSE)&gt;0,"Diligenciar la vigencia, tiene presupuesto programado","No diligenciar, no programo presupuesto"),"")</f>
        <v/>
      </c>
      <c r="AF98" s="637" t="str">
        <f t="shared" si="8"/>
        <v/>
      </c>
      <c r="AG98" s="391" t="str">
        <f>IFERROR(IF(VLOOKUP($B98,'Matriz de Referencia'!$B$2:$CO$578,'Matriz de Referencia'!BA$1,FALSE)&gt;0,"Diligenciar la vigencia, tiene presupuesto programado","No diligenciar, no programo presupuesto"),"")</f>
        <v/>
      </c>
      <c r="AL98" s="637" t="str">
        <f t="shared" si="9"/>
        <v/>
      </c>
      <c r="AM98" s="391" t="str">
        <f>IFERROR(IF(VLOOKUP($B98,'Matriz de Referencia'!$B$2:$CO$578,'Matriz de Referencia'!BO$1,FALSE)&gt;0,"Diligenciar la vigencia, tiene presupuesto programado","No diligenciar, no programo presupuesto"),"")</f>
        <v/>
      </c>
      <c r="AR98" s="637" t="str">
        <f t="shared" si="10"/>
        <v/>
      </c>
      <c r="AS98" s="391" t="str">
        <f>IFERROR(IF(VLOOKUP($B98,'Matriz de Referencia'!$B$2:$CO$578,'Matriz de Referencia'!CC$1,FALSE)&gt;0,"Diligenciar la vigencia, tiene presupuesto programado","No diligenciar, no programo presupuesto"),"")</f>
        <v/>
      </c>
      <c r="AX98" s="644" t="str">
        <f t="shared" si="11"/>
        <v/>
      </c>
      <c r="AY98" s="643" t="str">
        <f t="shared" si="12"/>
        <v/>
      </c>
      <c r="AZ98" s="416" t="str">
        <f t="shared" si="13"/>
        <v/>
      </c>
      <c r="BA98" s="417" t="str">
        <f>IFERROR(IF(VLOOKUP(B98,'Matriz de Referencia'!$B$3:$CQ$584,'Matriz de Referencia'!CP$1,FALSE)="","",VLOOKUP(B98,'Matriz de Referencia'!$B$3:$CQ$584,'Matriz de Referencia'!CP$1)),"")</f>
        <v/>
      </c>
      <c r="BB98" s="417" t="str">
        <f>IFERROR(IF(VLOOKUP(B98,'Matriz de Referencia'!$B$3:$CQ$584,'Matriz de Referencia'!CQ$1,FALSE)="","",VLOOKUP(B98,'Matriz de Referencia'!$B$3:$CQ$584,'Matriz de Referencia'!CQ$1)),"")</f>
        <v/>
      </c>
      <c r="BC98" s="471"/>
      <c r="BD98" s="429"/>
      <c r="BE98" s="655" t="str">
        <f t="shared" si="7"/>
        <v>Dimensión_</v>
      </c>
      <c r="BF98" s="430"/>
    </row>
    <row r="99" spans="1:59" s="400" customFormat="1">
      <c r="A99" s="439"/>
      <c r="B99" s="431"/>
      <c r="C99" s="432"/>
      <c r="D99" s="432"/>
      <c r="E99" s="431"/>
      <c r="F99" s="433"/>
      <c r="G99" s="433"/>
      <c r="H99" s="431"/>
      <c r="I99" s="434"/>
      <c r="J99" s="431"/>
      <c r="K99" s="596"/>
      <c r="L99" s="434"/>
      <c r="M99" s="435"/>
      <c r="N99" s="431"/>
      <c r="O99" s="433"/>
      <c r="P99" s="431"/>
      <c r="Q99" s="431"/>
      <c r="R99" s="434"/>
      <c r="S99" s="431"/>
      <c r="T99" s="431"/>
      <c r="U99" s="587"/>
      <c r="V99" s="431"/>
      <c r="W99" s="592"/>
      <c r="X99" s="431"/>
      <c r="Y99" s="431"/>
      <c r="Z99" s="437"/>
      <c r="AA99" s="436" t="str">
        <f>IFERROR(IF(VLOOKUP($B99,'Matriz de Referencia'!$B$2:$CO$578,'Matriz de Referencia'!AM$1,FALSE)&gt;0,"Diligenciar la vigencia, tiene presupuesto programado","No diligenciar, no programo presupuesto"),"")</f>
        <v/>
      </c>
      <c r="AB99" s="632"/>
      <c r="AC99" s="633"/>
      <c r="AD99" s="633"/>
      <c r="AE99" s="634"/>
      <c r="AF99" s="639" t="str">
        <f t="shared" si="8"/>
        <v/>
      </c>
      <c r="AG99" s="436" t="str">
        <f>IFERROR(IF(VLOOKUP($B99,'Matriz de Referencia'!$B$2:$CO$578,'Matriz de Referencia'!BA$1,FALSE)&gt;0,"Diligenciar la vigencia, tiene presupuesto programado","No diligenciar, no programo presupuesto"),"")</f>
        <v/>
      </c>
      <c r="AH99" s="632"/>
      <c r="AI99" s="633"/>
      <c r="AJ99" s="633"/>
      <c r="AK99" s="634"/>
      <c r="AL99" s="639" t="str">
        <f t="shared" si="9"/>
        <v/>
      </c>
      <c r="AM99" s="436" t="str">
        <f>IFERROR(IF(VLOOKUP($B99,'Matriz de Referencia'!$B$2:$CO$578,'Matriz de Referencia'!BO$1,FALSE)&gt;0,"Diligenciar la vigencia, tiene presupuesto programado","No diligenciar, no programo presupuesto"),"")</f>
        <v/>
      </c>
      <c r="AN99" s="632"/>
      <c r="AO99" s="633"/>
      <c r="AP99" s="633"/>
      <c r="AQ99" s="634"/>
      <c r="AR99" s="639" t="str">
        <f t="shared" si="10"/>
        <v/>
      </c>
      <c r="AS99" s="436" t="str">
        <f>IFERROR(IF(VLOOKUP($B99,'Matriz de Referencia'!$B$2:$CO$578,'Matriz de Referencia'!CC$1,FALSE)&gt;0,"Diligenciar la vigencia, tiene presupuesto programado","No diligenciar, no programo presupuesto"),"")</f>
        <v/>
      </c>
      <c r="AT99" s="632"/>
      <c r="AU99" s="633"/>
      <c r="AV99" s="633"/>
      <c r="AW99" s="634"/>
      <c r="AX99" s="646" t="str">
        <f t="shared" si="11"/>
        <v/>
      </c>
      <c r="AY99" s="643" t="str">
        <f t="shared" si="12"/>
        <v/>
      </c>
      <c r="AZ99" s="416" t="str">
        <f t="shared" si="13"/>
        <v/>
      </c>
      <c r="BA99" s="417" t="str">
        <f>IFERROR(IF(VLOOKUP(B99,'Matriz de Referencia'!$B$3:$CQ$584,'Matriz de Referencia'!CP$1,FALSE)="","",VLOOKUP(B99,'Matriz de Referencia'!$B$3:$CQ$584,'Matriz de Referencia'!CP$1)),"")</f>
        <v/>
      </c>
      <c r="BB99" s="417" t="str">
        <f>IFERROR(IF(VLOOKUP(B99,'Matriz de Referencia'!$B$3:$CQ$584,'Matriz de Referencia'!CQ$1,FALSE)="","",VLOOKUP(B99,'Matriz de Referencia'!$B$3:$CQ$584,'Matriz de Referencia'!CQ$1)),"")</f>
        <v/>
      </c>
      <c r="BC99" s="471"/>
      <c r="BD99" s="437"/>
      <c r="BE99" s="658" t="str">
        <f t="shared" si="7"/>
        <v>Dimensión_</v>
      </c>
      <c r="BF99" s="438"/>
      <c r="BG99" s="659"/>
    </row>
    <row r="101" spans="1:59">
      <c r="AR101" s="640"/>
      <c r="AS101" s="447"/>
      <c r="AT101" s="627"/>
      <c r="AW101" s="627"/>
      <c r="AX101" s="640"/>
      <c r="AY101" s="640"/>
      <c r="AZ101" s="447"/>
      <c r="BA101" s="447"/>
      <c r="BB101" s="447"/>
      <c r="BD101" s="426"/>
      <c r="BE101" s="426"/>
      <c r="BF101" s="426"/>
      <c r="BG101" s="371"/>
    </row>
    <row r="102" spans="1:59">
      <c r="AR102" s="640"/>
      <c r="AS102" s="447"/>
      <c r="AT102" s="627"/>
      <c r="AW102" s="627"/>
      <c r="AX102" s="640"/>
      <c r="AY102" s="640"/>
      <c r="AZ102" s="447"/>
      <c r="BA102" s="447"/>
      <c r="BB102" s="447"/>
      <c r="BD102" s="426"/>
      <c r="BE102" s="426"/>
      <c r="BF102" s="426"/>
      <c r="BG102" s="371"/>
    </row>
    <row r="103" spans="1:59">
      <c r="AR103" s="640"/>
      <c r="AS103" s="447"/>
      <c r="AT103" s="627"/>
      <c r="AW103" s="627"/>
      <c r="AX103" s="640"/>
      <c r="AY103" s="640"/>
      <c r="AZ103" s="447"/>
      <c r="BA103" s="447"/>
      <c r="BB103" s="447"/>
      <c r="BD103" s="426"/>
      <c r="BE103" s="426"/>
      <c r="BF103" s="426"/>
      <c r="BG103" s="371"/>
    </row>
    <row r="104" spans="1:59">
      <c r="AR104" s="640"/>
      <c r="AS104" s="447"/>
      <c r="AT104" s="627"/>
      <c r="AW104" s="627"/>
      <c r="AX104" s="640"/>
      <c r="AY104" s="640"/>
      <c r="AZ104" s="447"/>
      <c r="BA104" s="447"/>
      <c r="BB104" s="447"/>
      <c r="BD104" s="426"/>
      <c r="BE104" s="426"/>
      <c r="BF104" s="426"/>
      <c r="BG104" s="371"/>
    </row>
    <row r="105" spans="1:59">
      <c r="AR105" s="640"/>
      <c r="AS105" s="447"/>
      <c r="AT105" s="627"/>
      <c r="AW105" s="627"/>
      <c r="AX105" s="640"/>
      <c r="AY105" s="640"/>
      <c r="AZ105" s="447"/>
      <c r="BA105" s="447"/>
      <c r="BB105" s="447"/>
      <c r="BD105" s="426"/>
      <c r="BE105" s="426"/>
      <c r="BF105" s="426"/>
      <c r="BG105" s="371"/>
    </row>
    <row r="106" spans="1:59">
      <c r="AR106" s="640"/>
      <c r="AS106" s="447"/>
      <c r="AT106" s="627"/>
      <c r="AW106" s="627"/>
      <c r="AX106" s="640"/>
      <c r="AY106" s="640"/>
      <c r="AZ106" s="447"/>
      <c r="BA106" s="447"/>
      <c r="BB106" s="447"/>
      <c r="BD106" s="426"/>
      <c r="BE106" s="426"/>
      <c r="BF106" s="426"/>
      <c r="BG106" s="371"/>
    </row>
    <row r="107" spans="1:59">
      <c r="AR107" s="640"/>
      <c r="AS107" s="447"/>
      <c r="AT107" s="627"/>
      <c r="AW107" s="627"/>
      <c r="AX107" s="640"/>
      <c r="AY107" s="640"/>
      <c r="AZ107" s="447"/>
      <c r="BA107" s="447"/>
      <c r="BB107" s="447"/>
      <c r="BD107" s="426"/>
      <c r="BE107" s="426"/>
      <c r="BF107" s="426"/>
      <c r="BG107" s="371"/>
    </row>
    <row r="108" spans="1:59">
      <c r="AR108" s="640"/>
      <c r="AS108" s="447"/>
      <c r="AT108" s="627"/>
      <c r="AW108" s="627"/>
      <c r="AX108" s="640"/>
      <c r="AY108" s="640"/>
      <c r="AZ108" s="447"/>
      <c r="BA108" s="447"/>
      <c r="BB108" s="447"/>
      <c r="BD108" s="426"/>
      <c r="BE108" s="426"/>
      <c r="BF108" s="426"/>
      <c r="BG108" s="371"/>
    </row>
    <row r="109" spans="1:59">
      <c r="AR109" s="640"/>
      <c r="AS109" s="447"/>
      <c r="AT109" s="627"/>
      <c r="AW109" s="627"/>
      <c r="AX109" s="640"/>
      <c r="AY109" s="640"/>
      <c r="AZ109" s="447"/>
      <c r="BA109" s="447"/>
      <c r="BB109" s="447"/>
      <c r="BD109" s="426"/>
      <c r="BE109" s="426"/>
      <c r="BF109" s="426"/>
      <c r="BG109" s="371"/>
    </row>
    <row r="110" spans="1:59">
      <c r="AR110" s="640"/>
      <c r="AS110" s="447"/>
      <c r="AT110" s="627"/>
      <c r="AW110" s="627"/>
      <c r="AX110" s="640"/>
      <c r="AY110" s="640"/>
      <c r="AZ110" s="447"/>
      <c r="BA110" s="447"/>
      <c r="BB110" s="447"/>
      <c r="BD110" s="426"/>
      <c r="BE110" s="426"/>
      <c r="BF110" s="426"/>
      <c r="BG110" s="371"/>
    </row>
    <row r="111" spans="1:59">
      <c r="AR111" s="640"/>
      <c r="AS111" s="447"/>
      <c r="AT111" s="627"/>
      <c r="AW111" s="627"/>
      <c r="AX111" s="640"/>
      <c r="AY111" s="640"/>
      <c r="AZ111" s="447"/>
      <c r="BA111" s="447"/>
      <c r="BB111" s="447"/>
      <c r="BD111" s="426"/>
      <c r="BE111" s="426"/>
      <c r="BF111" s="426"/>
      <c r="BG111" s="371"/>
    </row>
    <row r="112" spans="1:59">
      <c r="AR112" s="640"/>
      <c r="AS112" s="447"/>
      <c r="AT112" s="627"/>
      <c r="AW112" s="627"/>
      <c r="AX112" s="640"/>
      <c r="AY112" s="640"/>
      <c r="AZ112" s="447"/>
      <c r="BA112" s="447"/>
      <c r="BB112" s="447"/>
      <c r="BD112" s="426"/>
      <c r="BE112" s="426"/>
      <c r="BF112" s="426"/>
      <c r="BG112" s="371"/>
    </row>
    <row r="113" spans="44:59">
      <c r="AR113" s="640"/>
      <c r="AS113" s="447"/>
      <c r="AT113" s="627"/>
      <c r="AW113" s="627"/>
      <c r="AX113" s="640"/>
      <c r="AY113" s="640"/>
      <c r="AZ113" s="447"/>
      <c r="BA113" s="447"/>
      <c r="BB113" s="447"/>
      <c r="BD113" s="426"/>
      <c r="BE113" s="426"/>
      <c r="BF113" s="426"/>
      <c r="BG113" s="371"/>
    </row>
    <row r="114" spans="44:59">
      <c r="AR114" s="640"/>
      <c r="AS114" s="447"/>
      <c r="AT114" s="627"/>
      <c r="AW114" s="627"/>
      <c r="AX114" s="640"/>
      <c r="AY114" s="640"/>
      <c r="AZ114" s="447"/>
      <c r="BA114" s="447"/>
      <c r="BB114" s="447"/>
      <c r="BD114" s="426"/>
      <c r="BE114" s="426"/>
      <c r="BF114" s="426"/>
      <c r="BG114" s="371"/>
    </row>
    <row r="115" spans="44:59">
      <c r="AR115" s="640"/>
      <c r="AS115" s="447"/>
      <c r="AT115" s="627"/>
      <c r="AW115" s="627"/>
      <c r="AX115" s="640"/>
      <c r="AY115" s="640"/>
      <c r="AZ115" s="447"/>
      <c r="BA115" s="447"/>
      <c r="BB115" s="447"/>
      <c r="BD115" s="426"/>
      <c r="BE115" s="426"/>
      <c r="BF115" s="426"/>
      <c r="BG115" s="371"/>
    </row>
    <row r="116" spans="44:59">
      <c r="AR116" s="640"/>
      <c r="AS116" s="447"/>
      <c r="AT116" s="627"/>
      <c r="AW116" s="627"/>
      <c r="AX116" s="640"/>
      <c r="AY116" s="640"/>
      <c r="AZ116" s="447"/>
      <c r="BA116" s="447"/>
      <c r="BB116" s="447"/>
      <c r="BD116" s="426"/>
      <c r="BE116" s="426"/>
      <c r="BF116" s="426"/>
      <c r="BG116" s="371"/>
    </row>
    <row r="117" spans="44:59">
      <c r="AR117" s="640"/>
      <c r="AS117" s="447"/>
      <c r="AT117" s="627"/>
      <c r="AW117" s="627"/>
      <c r="AX117" s="640"/>
      <c r="AY117" s="640"/>
      <c r="AZ117" s="447"/>
      <c r="BA117" s="447"/>
      <c r="BB117" s="447"/>
      <c r="BD117" s="426"/>
      <c r="BE117" s="426"/>
      <c r="BF117" s="426"/>
      <c r="BG117" s="371"/>
    </row>
    <row r="118" spans="44:59">
      <c r="AR118" s="640"/>
      <c r="AS118" s="447"/>
      <c r="AT118" s="627"/>
      <c r="AW118" s="627"/>
      <c r="AX118" s="640"/>
      <c r="AY118" s="640"/>
      <c r="AZ118" s="447"/>
      <c r="BA118" s="447"/>
      <c r="BB118" s="447"/>
      <c r="BD118" s="426"/>
      <c r="BE118" s="426"/>
      <c r="BF118" s="426"/>
      <c r="BG118" s="371"/>
    </row>
    <row r="119" spans="44:59">
      <c r="AR119" s="640"/>
      <c r="AS119" s="447"/>
      <c r="AT119" s="627"/>
      <c r="AW119" s="627"/>
      <c r="AX119" s="640"/>
      <c r="AY119" s="640"/>
      <c r="AZ119" s="447"/>
      <c r="BA119" s="447"/>
      <c r="BB119" s="447"/>
      <c r="BD119" s="426"/>
      <c r="BE119" s="426"/>
      <c r="BF119" s="426"/>
      <c r="BG119" s="371"/>
    </row>
    <row r="120" spans="44:59">
      <c r="AR120" s="640"/>
      <c r="AS120" s="447"/>
      <c r="AT120" s="627"/>
      <c r="AW120" s="627"/>
      <c r="AX120" s="640"/>
      <c r="AY120" s="640"/>
      <c r="AZ120" s="447"/>
      <c r="BA120" s="447"/>
      <c r="BB120" s="447"/>
      <c r="BD120" s="426"/>
      <c r="BE120" s="426"/>
      <c r="BF120" s="426"/>
      <c r="BG120" s="371"/>
    </row>
    <row r="121" spans="44:59">
      <c r="AR121" s="640"/>
      <c r="AS121" s="447"/>
      <c r="AT121" s="627"/>
      <c r="AW121" s="627"/>
      <c r="AX121" s="640"/>
      <c r="AY121" s="640"/>
      <c r="AZ121" s="447"/>
      <c r="BA121" s="447"/>
      <c r="BB121" s="447"/>
      <c r="BD121" s="426"/>
      <c r="BE121" s="426"/>
      <c r="BF121" s="426"/>
      <c r="BG121" s="371"/>
    </row>
    <row r="122" spans="44:59">
      <c r="AR122" s="640"/>
      <c r="AS122" s="447"/>
      <c r="AT122" s="627"/>
      <c r="AW122" s="627"/>
      <c r="AX122" s="640"/>
      <c r="AY122" s="640"/>
      <c r="AZ122" s="447"/>
      <c r="BA122" s="447"/>
      <c r="BB122" s="447"/>
      <c r="BD122" s="426"/>
      <c r="BE122" s="426"/>
      <c r="BF122" s="426"/>
      <c r="BG122" s="371"/>
    </row>
    <row r="123" spans="44:59">
      <c r="AR123" s="640"/>
      <c r="AS123" s="447"/>
      <c r="AT123" s="627"/>
      <c r="AW123" s="627"/>
      <c r="AX123" s="640"/>
      <c r="AY123" s="640"/>
      <c r="AZ123" s="447"/>
      <c r="BA123" s="447"/>
      <c r="BB123" s="447"/>
      <c r="BD123" s="426"/>
      <c r="BE123" s="426"/>
      <c r="BF123" s="426"/>
      <c r="BG123" s="371"/>
    </row>
    <row r="124" spans="44:59">
      <c r="AR124" s="640"/>
      <c r="AS124" s="447"/>
      <c r="AT124" s="627"/>
      <c r="AW124" s="627"/>
      <c r="AX124" s="640"/>
      <c r="AY124" s="640"/>
      <c r="AZ124" s="447"/>
      <c r="BA124" s="447"/>
      <c r="BB124" s="447"/>
      <c r="BD124" s="426"/>
      <c r="BE124" s="426"/>
      <c r="BF124" s="426"/>
      <c r="BG124" s="371"/>
    </row>
    <row r="125" spans="44:59">
      <c r="AR125" s="640"/>
      <c r="AS125" s="447"/>
      <c r="AT125" s="627"/>
      <c r="AW125" s="627"/>
      <c r="AX125" s="640"/>
      <c r="AY125" s="640"/>
      <c r="AZ125" s="447"/>
      <c r="BA125" s="447"/>
      <c r="BB125" s="447"/>
      <c r="BD125" s="426"/>
      <c r="BE125" s="426"/>
      <c r="BF125" s="426"/>
      <c r="BG125" s="371"/>
    </row>
    <row r="126" spans="44:59">
      <c r="AR126" s="640"/>
      <c r="AS126" s="447"/>
      <c r="AT126" s="627"/>
      <c r="AW126" s="627"/>
      <c r="AX126" s="640"/>
      <c r="AY126" s="640"/>
      <c r="AZ126" s="447"/>
      <c r="BA126" s="447"/>
      <c r="BB126" s="447"/>
      <c r="BD126" s="426"/>
      <c r="BE126" s="426"/>
      <c r="BF126" s="426"/>
      <c r="BG126" s="371"/>
    </row>
    <row r="127" spans="44:59">
      <c r="AR127" s="640"/>
      <c r="AS127" s="447"/>
      <c r="AT127" s="627"/>
      <c r="AW127" s="627"/>
      <c r="AX127" s="640"/>
      <c r="AY127" s="640"/>
      <c r="AZ127" s="447"/>
      <c r="BA127" s="447"/>
      <c r="BB127" s="447"/>
      <c r="BD127" s="426"/>
      <c r="BE127" s="426"/>
      <c r="BF127" s="426"/>
      <c r="BG127" s="371"/>
    </row>
    <row r="128" spans="44:59">
      <c r="AR128" s="640"/>
      <c r="AS128" s="447"/>
      <c r="AT128" s="627"/>
      <c r="AW128" s="627"/>
      <c r="AX128" s="640"/>
      <c r="AY128" s="640"/>
      <c r="AZ128" s="447"/>
      <c r="BA128" s="447"/>
      <c r="BB128" s="447"/>
      <c r="BD128" s="426"/>
      <c r="BE128" s="426"/>
      <c r="BF128" s="426"/>
      <c r="BG128" s="371"/>
    </row>
    <row r="129" spans="44:59">
      <c r="AR129" s="640"/>
      <c r="AS129" s="447"/>
      <c r="AT129" s="627"/>
      <c r="AW129" s="627"/>
      <c r="AX129" s="640"/>
      <c r="AY129" s="640"/>
      <c r="AZ129" s="447"/>
      <c r="BA129" s="447"/>
      <c r="BB129" s="447"/>
      <c r="BD129" s="426"/>
      <c r="BE129" s="426"/>
      <c r="BF129" s="426"/>
      <c r="BG129" s="371"/>
    </row>
    <row r="130" spans="44:59">
      <c r="AR130" s="640"/>
      <c r="AS130" s="447"/>
      <c r="AT130" s="627"/>
      <c r="AW130" s="627"/>
      <c r="AX130" s="640"/>
      <c r="AY130" s="640"/>
      <c r="AZ130" s="447"/>
      <c r="BA130" s="447"/>
      <c r="BB130" s="447"/>
      <c r="BD130" s="426"/>
      <c r="BE130" s="426"/>
      <c r="BF130" s="426"/>
      <c r="BG130" s="371"/>
    </row>
    <row r="131" spans="44:59">
      <c r="AR131" s="640"/>
      <c r="AS131" s="447"/>
      <c r="AT131" s="627"/>
      <c r="AW131" s="627"/>
      <c r="AX131" s="640"/>
      <c r="AY131" s="640"/>
      <c r="AZ131" s="447"/>
      <c r="BA131" s="447"/>
      <c r="BB131" s="447"/>
      <c r="BD131" s="426"/>
      <c r="BE131" s="426"/>
      <c r="BF131" s="426"/>
      <c r="BG131" s="371"/>
    </row>
    <row r="132" spans="44:59">
      <c r="AR132" s="640"/>
      <c r="AS132" s="447"/>
      <c r="AT132" s="627"/>
      <c r="AW132" s="627"/>
      <c r="AX132" s="640"/>
      <c r="AY132" s="640"/>
      <c r="AZ132" s="447"/>
      <c r="BA132" s="447"/>
      <c r="BB132" s="447"/>
      <c r="BD132" s="426"/>
      <c r="BE132" s="426"/>
      <c r="BF132" s="426"/>
      <c r="BG132" s="371"/>
    </row>
    <row r="133" spans="44:59">
      <c r="AR133" s="640"/>
      <c r="AS133" s="447"/>
      <c r="AT133" s="627"/>
      <c r="AW133" s="627"/>
      <c r="AX133" s="640"/>
      <c r="AY133" s="640"/>
      <c r="AZ133" s="447"/>
      <c r="BA133" s="447"/>
      <c r="BB133" s="447"/>
      <c r="BD133" s="426"/>
      <c r="BE133" s="426"/>
      <c r="BF133" s="426"/>
      <c r="BG133" s="371"/>
    </row>
    <row r="134" spans="44:59">
      <c r="AR134" s="640"/>
      <c r="AS134" s="447"/>
      <c r="AT134" s="627"/>
      <c r="AW134" s="627"/>
      <c r="AX134" s="640"/>
      <c r="AY134" s="640"/>
      <c r="AZ134" s="447"/>
      <c r="BA134" s="447"/>
      <c r="BB134" s="447"/>
      <c r="BD134" s="426"/>
      <c r="BE134" s="426"/>
      <c r="BF134" s="426"/>
      <c r="BG134" s="371"/>
    </row>
    <row r="135" spans="44:59">
      <c r="AR135" s="640"/>
      <c r="AS135" s="447"/>
      <c r="AT135" s="627"/>
      <c r="AW135" s="627"/>
      <c r="AX135" s="640"/>
      <c r="AY135" s="640"/>
      <c r="AZ135" s="447"/>
      <c r="BA135" s="447"/>
      <c r="BB135" s="447"/>
      <c r="BD135" s="426"/>
      <c r="BE135" s="426"/>
      <c r="BF135" s="426"/>
      <c r="BG135" s="371"/>
    </row>
    <row r="136" spans="44:59">
      <c r="AR136" s="640"/>
      <c r="AS136" s="447"/>
      <c r="AT136" s="627"/>
      <c r="AW136" s="627"/>
      <c r="AX136" s="640"/>
      <c r="AY136" s="640"/>
      <c r="AZ136" s="447"/>
      <c r="BA136" s="447"/>
      <c r="BB136" s="447"/>
      <c r="BD136" s="426"/>
      <c r="BE136" s="426"/>
      <c r="BF136" s="426"/>
      <c r="BG136" s="371"/>
    </row>
    <row r="137" spans="44:59">
      <c r="AR137" s="640"/>
      <c r="AS137" s="447"/>
      <c r="AT137" s="627"/>
      <c r="AW137" s="627"/>
      <c r="AX137" s="640"/>
      <c r="AY137" s="640"/>
      <c r="AZ137" s="447"/>
      <c r="BA137" s="447"/>
      <c r="BB137" s="447"/>
      <c r="BD137" s="426"/>
      <c r="BE137" s="426"/>
      <c r="BF137" s="426"/>
      <c r="BG137" s="371"/>
    </row>
    <row r="138" spans="44:59">
      <c r="AR138" s="640"/>
      <c r="AS138" s="447"/>
      <c r="AT138" s="627"/>
      <c r="AW138" s="627"/>
      <c r="AX138" s="640"/>
      <c r="AY138" s="640"/>
      <c r="AZ138" s="447"/>
      <c r="BA138" s="447"/>
      <c r="BB138" s="447"/>
      <c r="BD138" s="426"/>
      <c r="BE138" s="426"/>
      <c r="BF138" s="426"/>
      <c r="BG138" s="371"/>
    </row>
    <row r="139" spans="44:59">
      <c r="AR139" s="640"/>
      <c r="AS139" s="447"/>
      <c r="AT139" s="627"/>
      <c r="AW139" s="627"/>
      <c r="AX139" s="640"/>
      <c r="AY139" s="640"/>
      <c r="AZ139" s="447"/>
      <c r="BA139" s="447"/>
      <c r="BB139" s="447"/>
      <c r="BD139" s="426"/>
      <c r="BE139" s="426"/>
      <c r="BF139" s="426"/>
      <c r="BG139" s="371"/>
    </row>
    <row r="140" spans="44:59">
      <c r="AR140" s="640"/>
      <c r="AS140" s="447"/>
      <c r="AT140" s="627"/>
      <c r="AW140" s="627"/>
      <c r="AX140" s="640"/>
      <c r="AY140" s="640"/>
      <c r="AZ140" s="447"/>
      <c r="BA140" s="447"/>
      <c r="BB140" s="447"/>
      <c r="BD140" s="426"/>
      <c r="BE140" s="426"/>
      <c r="BF140" s="426"/>
      <c r="BG140" s="371"/>
    </row>
    <row r="141" spans="44:59">
      <c r="AR141" s="640"/>
      <c r="AS141" s="447"/>
      <c r="AT141" s="627"/>
      <c r="AW141" s="627"/>
      <c r="AX141" s="640"/>
      <c r="AY141" s="640"/>
      <c r="AZ141" s="447"/>
      <c r="BA141" s="447"/>
      <c r="BB141" s="447"/>
      <c r="BD141" s="426"/>
      <c r="BE141" s="426"/>
      <c r="BF141" s="426"/>
      <c r="BG141" s="371"/>
    </row>
    <row r="142" spans="44:59">
      <c r="AR142" s="640"/>
      <c r="AS142" s="447"/>
      <c r="AT142" s="627"/>
      <c r="AW142" s="627"/>
      <c r="AX142" s="640"/>
      <c r="AY142" s="640"/>
      <c r="AZ142" s="447"/>
      <c r="BA142" s="447"/>
      <c r="BB142" s="447"/>
      <c r="BD142" s="426"/>
      <c r="BE142" s="426"/>
      <c r="BF142" s="426"/>
      <c r="BG142" s="371"/>
    </row>
    <row r="143" spans="44:59">
      <c r="AR143" s="640"/>
      <c r="AS143" s="447"/>
      <c r="AT143" s="627"/>
      <c r="AW143" s="627"/>
      <c r="AX143" s="640"/>
      <c r="AY143" s="640"/>
      <c r="AZ143" s="447"/>
      <c r="BA143" s="447"/>
      <c r="BB143" s="447"/>
      <c r="BD143" s="426"/>
      <c r="BE143" s="426"/>
      <c r="BF143" s="426"/>
      <c r="BG143" s="371"/>
    </row>
    <row r="144" spans="44:59">
      <c r="AR144" s="640"/>
      <c r="AS144" s="447"/>
      <c r="AT144" s="627"/>
      <c r="AW144" s="627"/>
      <c r="AX144" s="640"/>
      <c r="AY144" s="640"/>
      <c r="AZ144" s="447"/>
      <c r="BA144" s="447"/>
      <c r="BB144" s="447"/>
      <c r="BD144" s="426"/>
      <c r="BE144" s="426"/>
      <c r="BF144" s="426"/>
      <c r="BG144" s="371"/>
    </row>
    <row r="145" spans="44:59">
      <c r="AR145" s="640"/>
      <c r="AS145" s="447"/>
      <c r="AT145" s="627"/>
      <c r="AW145" s="627"/>
      <c r="AX145" s="640"/>
      <c r="AY145" s="640"/>
      <c r="AZ145" s="447"/>
      <c r="BA145" s="447"/>
      <c r="BB145" s="447"/>
      <c r="BD145" s="426"/>
      <c r="BE145" s="426"/>
      <c r="BF145" s="426"/>
      <c r="BG145" s="371"/>
    </row>
    <row r="146" spans="44:59">
      <c r="AR146" s="640"/>
      <c r="AS146" s="447"/>
      <c r="AT146" s="627"/>
      <c r="AW146" s="627"/>
      <c r="AX146" s="640"/>
      <c r="AY146" s="640"/>
      <c r="AZ146" s="447"/>
      <c r="BA146" s="447"/>
      <c r="BB146" s="447"/>
      <c r="BD146" s="426"/>
      <c r="BE146" s="426"/>
      <c r="BF146" s="426"/>
      <c r="BG146" s="371"/>
    </row>
    <row r="147" spans="44:59">
      <c r="AR147" s="640"/>
      <c r="AS147" s="447"/>
      <c r="AT147" s="627"/>
      <c r="AW147" s="627"/>
      <c r="AX147" s="640"/>
      <c r="AY147" s="640"/>
      <c r="AZ147" s="447"/>
      <c r="BA147" s="447"/>
      <c r="BB147" s="447"/>
      <c r="BD147" s="426"/>
      <c r="BE147" s="426"/>
      <c r="BF147" s="426"/>
      <c r="BG147" s="371"/>
    </row>
    <row r="148" spans="44:59">
      <c r="AR148" s="640"/>
      <c r="AS148" s="447"/>
      <c r="AT148" s="627"/>
      <c r="AW148" s="627"/>
      <c r="AX148" s="640"/>
      <c r="AY148" s="640"/>
      <c r="AZ148" s="447"/>
      <c r="BA148" s="447"/>
      <c r="BB148" s="447"/>
      <c r="BD148" s="426"/>
      <c r="BE148" s="426"/>
      <c r="BF148" s="426"/>
      <c r="BG148" s="371"/>
    </row>
    <row r="149" spans="44:59">
      <c r="AR149" s="640"/>
      <c r="AS149" s="447"/>
      <c r="AT149" s="627"/>
      <c r="AW149" s="627"/>
      <c r="AX149" s="640"/>
      <c r="AY149" s="640"/>
      <c r="AZ149" s="447"/>
      <c r="BA149" s="447"/>
      <c r="BB149" s="447"/>
      <c r="BD149" s="426"/>
      <c r="BE149" s="426"/>
      <c r="BF149" s="426"/>
      <c r="BG149" s="371"/>
    </row>
    <row r="150" spans="44:59">
      <c r="AR150" s="640"/>
      <c r="AS150" s="447"/>
      <c r="AT150" s="627"/>
      <c r="AW150" s="627"/>
      <c r="AX150" s="640"/>
      <c r="AY150" s="640"/>
      <c r="AZ150" s="447"/>
      <c r="BA150" s="447"/>
      <c r="BB150" s="447"/>
      <c r="BD150" s="426"/>
      <c r="BE150" s="426"/>
      <c r="BF150" s="426"/>
      <c r="BG150" s="371"/>
    </row>
    <row r="151" spans="44:59">
      <c r="AR151" s="640"/>
      <c r="AS151" s="447"/>
      <c r="AT151" s="627"/>
      <c r="AW151" s="627"/>
      <c r="AX151" s="640"/>
      <c r="AY151" s="640"/>
      <c r="AZ151" s="447"/>
      <c r="BA151" s="447"/>
      <c r="BB151" s="447"/>
      <c r="BD151" s="426"/>
      <c r="BE151" s="426"/>
      <c r="BF151" s="426"/>
      <c r="BG151" s="371"/>
    </row>
    <row r="152" spans="44:59">
      <c r="AR152" s="640"/>
      <c r="AS152" s="447"/>
      <c r="AT152" s="627"/>
      <c r="AW152" s="627"/>
      <c r="AX152" s="640"/>
      <c r="AY152" s="640"/>
      <c r="AZ152" s="447"/>
      <c r="BA152" s="447"/>
      <c r="BB152" s="447"/>
      <c r="BD152" s="426"/>
      <c r="BE152" s="426"/>
      <c r="BF152" s="426"/>
      <c r="BG152" s="371"/>
    </row>
    <row r="153" spans="44:59">
      <c r="AR153" s="640"/>
      <c r="AS153" s="447"/>
      <c r="AT153" s="627"/>
      <c r="AW153" s="627"/>
      <c r="AX153" s="640"/>
      <c r="AY153" s="640"/>
      <c r="AZ153" s="447"/>
      <c r="BA153" s="447"/>
      <c r="BB153" s="447"/>
      <c r="BD153" s="426"/>
      <c r="BE153" s="426"/>
      <c r="BF153" s="426"/>
      <c r="BG153" s="371"/>
    </row>
    <row r="154" spans="44:59">
      <c r="AR154" s="640"/>
      <c r="AS154" s="447"/>
      <c r="AT154" s="627"/>
      <c r="AW154" s="627"/>
      <c r="AX154" s="640"/>
      <c r="AY154" s="640"/>
      <c r="AZ154" s="447"/>
      <c r="BA154" s="447"/>
      <c r="BB154" s="447"/>
      <c r="BD154" s="426"/>
      <c r="BE154" s="426"/>
      <c r="BF154" s="426"/>
      <c r="BG154" s="371"/>
    </row>
    <row r="155" spans="44:59">
      <c r="AR155" s="640"/>
      <c r="AS155" s="447"/>
      <c r="AT155" s="627"/>
      <c r="AW155" s="627"/>
      <c r="AX155" s="640"/>
      <c r="AY155" s="640"/>
      <c r="AZ155" s="447"/>
      <c r="BA155" s="447"/>
      <c r="BB155" s="447"/>
      <c r="BD155" s="426"/>
      <c r="BE155" s="426"/>
      <c r="BF155" s="426"/>
      <c r="BG155" s="371"/>
    </row>
    <row r="156" spans="44:59">
      <c r="AR156" s="640"/>
      <c r="AS156" s="447"/>
      <c r="AT156" s="627"/>
      <c r="AW156" s="627"/>
      <c r="AX156" s="640"/>
      <c r="AY156" s="640"/>
      <c r="AZ156" s="447"/>
      <c r="BA156" s="447"/>
      <c r="BB156" s="447"/>
      <c r="BD156" s="426"/>
      <c r="BE156" s="426"/>
      <c r="BF156" s="426"/>
      <c r="BG156" s="371"/>
    </row>
    <row r="157" spans="44:59">
      <c r="AR157" s="640"/>
      <c r="AS157" s="447"/>
      <c r="AT157" s="627"/>
      <c r="AW157" s="627"/>
      <c r="AX157" s="640"/>
      <c r="AY157" s="640"/>
      <c r="AZ157" s="447"/>
      <c r="BA157" s="447"/>
      <c r="BB157" s="447"/>
      <c r="BD157" s="426"/>
      <c r="BE157" s="426"/>
      <c r="BF157" s="426"/>
      <c r="BG157" s="371"/>
    </row>
    <row r="158" spans="44:59">
      <c r="AR158" s="640"/>
      <c r="AS158" s="447"/>
      <c r="AT158" s="627"/>
      <c r="AW158" s="627"/>
      <c r="AX158" s="640"/>
      <c r="AY158" s="640"/>
      <c r="AZ158" s="447"/>
      <c r="BA158" s="447"/>
      <c r="BB158" s="447"/>
      <c r="BD158" s="426"/>
      <c r="BE158" s="426"/>
      <c r="BF158" s="426"/>
      <c r="BG158" s="371"/>
    </row>
    <row r="159" spans="44:59">
      <c r="AR159" s="640"/>
      <c r="AS159" s="447"/>
      <c r="AT159" s="627"/>
      <c r="AW159" s="627"/>
      <c r="AX159" s="640"/>
      <c r="AY159" s="640"/>
      <c r="AZ159" s="447"/>
      <c r="BA159" s="447"/>
      <c r="BB159" s="447"/>
      <c r="BD159" s="426"/>
      <c r="BE159" s="426"/>
      <c r="BF159" s="426"/>
      <c r="BG159" s="371"/>
    </row>
    <row r="160" spans="44:59">
      <c r="AR160" s="640"/>
      <c r="AS160" s="447"/>
      <c r="AT160" s="627"/>
      <c r="AW160" s="627"/>
      <c r="AX160" s="640"/>
      <c r="AY160" s="640"/>
      <c r="AZ160" s="447"/>
      <c r="BA160" s="447"/>
      <c r="BB160" s="447"/>
      <c r="BD160" s="426"/>
      <c r="BE160" s="426"/>
      <c r="BF160" s="426"/>
      <c r="BG160" s="371"/>
    </row>
    <row r="161" spans="44:59">
      <c r="AR161" s="640"/>
      <c r="AS161" s="447"/>
      <c r="AT161" s="627"/>
      <c r="AW161" s="627"/>
      <c r="AX161" s="640"/>
      <c r="AY161" s="640"/>
      <c r="AZ161" s="447"/>
      <c r="BA161" s="447"/>
      <c r="BB161" s="447"/>
      <c r="BD161" s="426"/>
      <c r="BE161" s="426"/>
      <c r="BF161" s="426"/>
      <c r="BG161" s="371"/>
    </row>
    <row r="162" spans="44:59">
      <c r="AR162" s="640"/>
      <c r="AS162" s="447"/>
      <c r="AT162" s="627"/>
      <c r="AW162" s="627"/>
      <c r="AX162" s="640"/>
      <c r="AY162" s="640"/>
      <c r="AZ162" s="447"/>
      <c r="BA162" s="447"/>
      <c r="BB162" s="447"/>
      <c r="BD162" s="426"/>
      <c r="BE162" s="426"/>
      <c r="BF162" s="426"/>
      <c r="BG162" s="371"/>
    </row>
    <row r="163" spans="44:59">
      <c r="AR163" s="640"/>
      <c r="AS163" s="447"/>
      <c r="AT163" s="627"/>
      <c r="AW163" s="627"/>
      <c r="AX163" s="640"/>
      <c r="AY163" s="640"/>
      <c r="AZ163" s="447"/>
      <c r="BA163" s="447"/>
      <c r="BB163" s="447"/>
      <c r="BD163" s="426"/>
      <c r="BE163" s="426"/>
      <c r="BF163" s="426"/>
      <c r="BG163" s="371"/>
    </row>
    <row r="164" spans="44:59">
      <c r="AR164" s="640"/>
      <c r="AS164" s="447"/>
      <c r="AT164" s="627"/>
      <c r="AW164" s="627"/>
      <c r="AX164" s="640"/>
      <c r="AY164" s="640"/>
      <c r="AZ164" s="447"/>
      <c r="BA164" s="447"/>
      <c r="BB164" s="447"/>
      <c r="BD164" s="426"/>
      <c r="BE164" s="426"/>
      <c r="BF164" s="426"/>
      <c r="BG164" s="371"/>
    </row>
    <row r="165" spans="44:59">
      <c r="AR165" s="640"/>
      <c r="AS165" s="447"/>
      <c r="AT165" s="627"/>
      <c r="AW165" s="627"/>
      <c r="AX165" s="640"/>
      <c r="AY165" s="640"/>
      <c r="AZ165" s="447"/>
      <c r="BA165" s="447"/>
      <c r="BB165" s="447"/>
      <c r="BD165" s="426"/>
      <c r="BE165" s="426"/>
      <c r="BF165" s="426"/>
      <c r="BG165" s="371"/>
    </row>
    <row r="166" spans="44:59">
      <c r="AR166" s="640"/>
      <c r="AS166" s="447"/>
      <c r="AT166" s="627"/>
      <c r="AW166" s="627"/>
      <c r="AX166" s="640"/>
      <c r="AY166" s="640"/>
      <c r="AZ166" s="447"/>
      <c r="BA166" s="447"/>
      <c r="BB166" s="447"/>
      <c r="BD166" s="426"/>
      <c r="BE166" s="426"/>
      <c r="BF166" s="426"/>
      <c r="BG166" s="371"/>
    </row>
    <row r="167" spans="44:59">
      <c r="AR167" s="640"/>
      <c r="AS167" s="447"/>
      <c r="AT167" s="627"/>
      <c r="AW167" s="627"/>
      <c r="AX167" s="640"/>
      <c r="AY167" s="640"/>
      <c r="AZ167" s="447"/>
      <c r="BA167" s="447"/>
      <c r="BB167" s="447"/>
      <c r="BD167" s="426"/>
      <c r="BE167" s="426"/>
      <c r="BF167" s="426"/>
      <c r="BG167" s="371"/>
    </row>
    <row r="168" spans="44:59">
      <c r="AR168" s="640"/>
      <c r="AS168" s="447"/>
      <c r="AT168" s="627"/>
      <c r="AW168" s="627"/>
      <c r="AX168" s="640"/>
      <c r="AY168" s="640"/>
      <c r="AZ168" s="447"/>
      <c r="BA168" s="447"/>
      <c r="BB168" s="447"/>
      <c r="BD168" s="426"/>
      <c r="BE168" s="426"/>
      <c r="BF168" s="426"/>
      <c r="BG168" s="371"/>
    </row>
    <row r="169" spans="44:59">
      <c r="AR169" s="640"/>
      <c r="AS169" s="447"/>
      <c r="AT169" s="627"/>
      <c r="AW169" s="627"/>
      <c r="AX169" s="640"/>
      <c r="AY169" s="640"/>
      <c r="AZ169" s="447"/>
      <c r="BA169" s="447"/>
      <c r="BB169" s="447"/>
      <c r="BD169" s="426"/>
      <c r="BE169" s="426"/>
      <c r="BF169" s="426"/>
      <c r="BG169" s="371"/>
    </row>
    <row r="170" spans="44:59">
      <c r="AR170" s="640"/>
      <c r="AS170" s="447"/>
      <c r="AT170" s="627"/>
      <c r="AW170" s="627"/>
      <c r="AX170" s="640"/>
      <c r="AY170" s="640"/>
      <c r="AZ170" s="447"/>
      <c r="BA170" s="447"/>
      <c r="BB170" s="447"/>
      <c r="BD170" s="426"/>
      <c r="BE170" s="426"/>
      <c r="BF170" s="426"/>
      <c r="BG170" s="371"/>
    </row>
    <row r="171" spans="44:59">
      <c r="AR171" s="640"/>
      <c r="AS171" s="447"/>
      <c r="AT171" s="627"/>
      <c r="AW171" s="627"/>
      <c r="AX171" s="640"/>
      <c r="AY171" s="640"/>
      <c r="AZ171" s="447"/>
      <c r="BA171" s="447"/>
      <c r="BB171" s="447"/>
      <c r="BD171" s="426"/>
      <c r="BE171" s="426"/>
      <c r="BF171" s="426"/>
      <c r="BG171" s="371"/>
    </row>
    <row r="172" spans="44:59">
      <c r="AR172" s="640"/>
      <c r="AS172" s="447"/>
      <c r="AT172" s="627"/>
      <c r="AW172" s="627"/>
      <c r="AX172" s="640"/>
      <c r="AY172" s="640"/>
      <c r="AZ172" s="447"/>
      <c r="BA172" s="447"/>
      <c r="BB172" s="447"/>
      <c r="BD172" s="426"/>
      <c r="BE172" s="426"/>
      <c r="BF172" s="426"/>
      <c r="BG172" s="371"/>
    </row>
    <row r="173" spans="44:59">
      <c r="AR173" s="640"/>
      <c r="AS173" s="447"/>
      <c r="AT173" s="627"/>
      <c r="AW173" s="627"/>
      <c r="AX173" s="640"/>
      <c r="AY173" s="640"/>
      <c r="AZ173" s="447"/>
      <c r="BA173" s="447"/>
      <c r="BB173" s="447"/>
      <c r="BD173" s="426"/>
      <c r="BE173" s="426"/>
      <c r="BF173" s="426"/>
      <c r="BG173" s="371"/>
    </row>
    <row r="174" spans="44:59">
      <c r="AR174" s="640"/>
      <c r="AS174" s="447"/>
      <c r="AT174" s="627"/>
      <c r="AW174" s="627"/>
      <c r="AX174" s="640"/>
      <c r="AY174" s="640"/>
      <c r="AZ174" s="447"/>
      <c r="BA174" s="447"/>
      <c r="BB174" s="447"/>
      <c r="BD174" s="426"/>
      <c r="BE174" s="426"/>
      <c r="BF174" s="426"/>
      <c r="BG174" s="371"/>
    </row>
    <row r="175" spans="44:59">
      <c r="AR175" s="640"/>
      <c r="AS175" s="447"/>
      <c r="AT175" s="627"/>
      <c r="AW175" s="627"/>
      <c r="AX175" s="640"/>
      <c r="AY175" s="640"/>
      <c r="AZ175" s="447"/>
      <c r="BA175" s="447"/>
      <c r="BB175" s="447"/>
      <c r="BD175" s="426"/>
      <c r="BE175" s="426"/>
      <c r="BF175" s="426"/>
      <c r="BG175" s="371"/>
    </row>
    <row r="176" spans="44:59">
      <c r="AR176" s="640"/>
      <c r="AS176" s="447"/>
      <c r="AT176" s="627"/>
      <c r="AW176" s="627"/>
      <c r="AX176" s="640"/>
      <c r="AY176" s="640"/>
      <c r="AZ176" s="447"/>
      <c r="BA176" s="447"/>
      <c r="BB176" s="447"/>
      <c r="BD176" s="426"/>
      <c r="BE176" s="426"/>
      <c r="BF176" s="426"/>
      <c r="BG176" s="371"/>
    </row>
    <row r="177" spans="44:59">
      <c r="AR177" s="640"/>
      <c r="AS177" s="447"/>
      <c r="AT177" s="627"/>
      <c r="AW177" s="627"/>
      <c r="AX177" s="640"/>
      <c r="AY177" s="640"/>
      <c r="AZ177" s="447"/>
      <c r="BA177" s="447"/>
      <c r="BB177" s="447"/>
      <c r="BD177" s="426"/>
      <c r="BE177" s="426"/>
      <c r="BF177" s="426"/>
      <c r="BG177" s="371"/>
    </row>
    <row r="178" spans="44:59">
      <c r="AR178" s="640"/>
      <c r="AS178" s="447"/>
      <c r="AT178" s="627"/>
      <c r="AW178" s="627"/>
      <c r="AX178" s="640"/>
      <c r="AY178" s="640"/>
      <c r="AZ178" s="447"/>
      <c r="BA178" s="447"/>
      <c r="BB178" s="447"/>
      <c r="BD178" s="426"/>
      <c r="BE178" s="426"/>
      <c r="BF178" s="426"/>
      <c r="BG178" s="371"/>
    </row>
    <row r="179" spans="44:59">
      <c r="AR179" s="640"/>
      <c r="AS179" s="447"/>
      <c r="AT179" s="627"/>
      <c r="AW179" s="627"/>
      <c r="AX179" s="640"/>
      <c r="AY179" s="640"/>
      <c r="AZ179" s="447"/>
      <c r="BA179" s="447"/>
      <c r="BB179" s="447"/>
      <c r="BD179" s="426"/>
      <c r="BE179" s="426"/>
      <c r="BF179" s="426"/>
      <c r="BG179" s="371"/>
    </row>
    <row r="180" spans="44:59">
      <c r="AR180" s="640"/>
      <c r="AS180" s="447"/>
      <c r="AT180" s="627"/>
      <c r="AW180" s="627"/>
      <c r="AX180" s="640"/>
      <c r="AY180" s="640"/>
      <c r="AZ180" s="447"/>
      <c r="BA180" s="447"/>
      <c r="BB180" s="447"/>
      <c r="BD180" s="426"/>
      <c r="BE180" s="426"/>
      <c r="BF180" s="426"/>
      <c r="BG180" s="371"/>
    </row>
    <row r="181" spans="44:59">
      <c r="AR181" s="640"/>
      <c r="AS181" s="447"/>
      <c r="AT181" s="627"/>
      <c r="AW181" s="627"/>
      <c r="AX181" s="640"/>
      <c r="AY181" s="640"/>
      <c r="AZ181" s="447"/>
      <c r="BA181" s="447"/>
      <c r="BB181" s="447"/>
      <c r="BD181" s="426"/>
      <c r="BE181" s="426"/>
      <c r="BF181" s="426"/>
      <c r="BG181" s="371"/>
    </row>
    <row r="182" spans="44:59">
      <c r="AR182" s="640"/>
      <c r="AS182" s="447"/>
      <c r="AT182" s="627"/>
      <c r="AW182" s="627"/>
      <c r="AX182" s="640"/>
      <c r="AY182" s="640"/>
      <c r="AZ182" s="447"/>
      <c r="BA182" s="447"/>
      <c r="BB182" s="447"/>
      <c r="BD182" s="426"/>
      <c r="BE182" s="426"/>
      <c r="BF182" s="426"/>
      <c r="BG182" s="371"/>
    </row>
    <row r="183" spans="44:59">
      <c r="AR183" s="640"/>
      <c r="AS183" s="447"/>
      <c r="AT183" s="627"/>
      <c r="AW183" s="627"/>
      <c r="AX183" s="640"/>
      <c r="AY183" s="640"/>
      <c r="AZ183" s="447"/>
      <c r="BA183" s="447"/>
      <c r="BB183" s="447"/>
      <c r="BD183" s="426"/>
      <c r="BE183" s="426"/>
      <c r="BF183" s="426"/>
      <c r="BG183" s="371"/>
    </row>
    <row r="184" spans="44:59">
      <c r="AR184" s="640"/>
      <c r="AS184" s="447"/>
      <c r="AT184" s="627"/>
      <c r="AW184" s="627"/>
      <c r="AX184" s="640"/>
      <c r="AY184" s="640"/>
      <c r="AZ184" s="447"/>
      <c r="BA184" s="447"/>
      <c r="BB184" s="447"/>
      <c r="BD184" s="426"/>
      <c r="BE184" s="426"/>
      <c r="BF184" s="426"/>
      <c r="BG184" s="371"/>
    </row>
    <row r="185" spans="44:59">
      <c r="AR185" s="640"/>
      <c r="AS185" s="447"/>
      <c r="AT185" s="627"/>
      <c r="AW185" s="627"/>
      <c r="AX185" s="640"/>
      <c r="AY185" s="640"/>
      <c r="AZ185" s="447"/>
      <c r="BA185" s="447"/>
      <c r="BB185" s="447"/>
      <c r="BD185" s="426"/>
      <c r="BE185" s="426"/>
      <c r="BF185" s="426"/>
      <c r="BG185" s="371"/>
    </row>
    <row r="186" spans="44:59">
      <c r="AR186" s="640"/>
      <c r="AS186" s="447"/>
      <c r="AT186" s="627"/>
      <c r="AW186" s="627"/>
      <c r="AX186" s="640"/>
      <c r="AY186" s="640"/>
      <c r="AZ186" s="447"/>
      <c r="BA186" s="447"/>
      <c r="BB186" s="447"/>
      <c r="BD186" s="426"/>
      <c r="BE186" s="426"/>
      <c r="BF186" s="426"/>
      <c r="BG186" s="371"/>
    </row>
    <row r="187" spans="44:59">
      <c r="AR187" s="640"/>
      <c r="AS187" s="447"/>
      <c r="AT187" s="627"/>
      <c r="AW187" s="627"/>
      <c r="AX187" s="640"/>
      <c r="AY187" s="640"/>
      <c r="AZ187" s="447"/>
      <c r="BA187" s="447"/>
      <c r="BB187" s="447"/>
      <c r="BD187" s="426"/>
      <c r="BE187" s="426"/>
      <c r="BF187" s="426"/>
      <c r="BG187" s="371"/>
    </row>
    <row r="188" spans="44:59">
      <c r="AR188" s="640"/>
      <c r="AS188" s="447"/>
      <c r="AT188" s="627"/>
      <c r="AW188" s="627"/>
      <c r="AX188" s="640"/>
      <c r="AY188" s="640"/>
      <c r="AZ188" s="447"/>
      <c r="BA188" s="447"/>
      <c r="BB188" s="447"/>
      <c r="BD188" s="426"/>
      <c r="BE188" s="426"/>
      <c r="BF188" s="426"/>
      <c r="BG188" s="371"/>
    </row>
    <row r="189" spans="44:59">
      <c r="AR189" s="640"/>
      <c r="AS189" s="447"/>
      <c r="AT189" s="627"/>
      <c r="AW189" s="627"/>
      <c r="AX189" s="640"/>
      <c r="AY189" s="640"/>
      <c r="AZ189" s="447"/>
      <c r="BA189" s="447"/>
      <c r="BB189" s="447"/>
      <c r="BD189" s="426"/>
      <c r="BE189" s="426"/>
      <c r="BF189" s="426"/>
      <c r="BG189" s="371"/>
    </row>
    <row r="190" spans="44:59">
      <c r="AR190" s="640"/>
      <c r="AS190" s="447"/>
      <c r="AT190" s="627"/>
      <c r="AW190" s="627"/>
      <c r="AX190" s="640"/>
      <c r="AY190" s="640"/>
      <c r="AZ190" s="447"/>
      <c r="BA190" s="447"/>
      <c r="BB190" s="447"/>
      <c r="BD190" s="426"/>
      <c r="BE190" s="426"/>
      <c r="BF190" s="426"/>
      <c r="BG190" s="371"/>
    </row>
    <row r="191" spans="44:59">
      <c r="AR191" s="640"/>
      <c r="AS191" s="447"/>
      <c r="AT191" s="627"/>
      <c r="AW191" s="627"/>
      <c r="AX191" s="640"/>
      <c r="AY191" s="640"/>
      <c r="AZ191" s="447"/>
      <c r="BA191" s="447"/>
      <c r="BB191" s="447"/>
      <c r="BD191" s="426"/>
      <c r="BE191" s="426"/>
      <c r="BF191" s="426"/>
      <c r="BG191" s="371"/>
    </row>
    <row r="192" spans="44:59">
      <c r="AR192" s="640"/>
      <c r="AS192" s="447"/>
      <c r="AT192" s="627"/>
      <c r="AW192" s="627"/>
      <c r="AX192" s="640"/>
      <c r="AY192" s="640"/>
      <c r="AZ192" s="447"/>
      <c r="BA192" s="447"/>
      <c r="BB192" s="447"/>
      <c r="BD192" s="426"/>
      <c r="BE192" s="426"/>
      <c r="BF192" s="426"/>
      <c r="BG192" s="371"/>
    </row>
    <row r="193" spans="44:59">
      <c r="AR193" s="640"/>
      <c r="AS193" s="447"/>
      <c r="AT193" s="627"/>
      <c r="AW193" s="627"/>
      <c r="AX193" s="640"/>
      <c r="AY193" s="640"/>
      <c r="AZ193" s="447"/>
      <c r="BA193" s="447"/>
      <c r="BB193" s="447"/>
      <c r="BD193" s="426"/>
      <c r="BE193" s="426"/>
      <c r="BF193" s="426"/>
      <c r="BG193" s="371"/>
    </row>
    <row r="194" spans="44:59">
      <c r="AR194" s="640"/>
      <c r="AS194" s="447"/>
      <c r="AT194" s="627"/>
      <c r="AW194" s="627"/>
      <c r="AX194" s="640"/>
      <c r="AY194" s="640"/>
      <c r="AZ194" s="447"/>
      <c r="BA194" s="447"/>
      <c r="BB194" s="447"/>
      <c r="BD194" s="426"/>
      <c r="BE194" s="426"/>
      <c r="BF194" s="426"/>
      <c r="BG194" s="371"/>
    </row>
    <row r="195" spans="44:59">
      <c r="AR195" s="640"/>
      <c r="AS195" s="447"/>
      <c r="AT195" s="627"/>
      <c r="AW195" s="627"/>
      <c r="AX195" s="640"/>
      <c r="AY195" s="640"/>
      <c r="AZ195" s="447"/>
      <c r="BA195" s="447"/>
      <c r="BB195" s="447"/>
      <c r="BD195" s="426"/>
      <c r="BE195" s="426"/>
      <c r="BF195" s="426"/>
      <c r="BG195" s="371"/>
    </row>
    <row r="196" spans="44:59">
      <c r="AR196" s="640"/>
      <c r="AS196" s="447"/>
      <c r="AT196" s="627"/>
      <c r="AW196" s="627"/>
      <c r="AX196" s="640"/>
      <c r="AY196" s="640"/>
      <c r="AZ196" s="447"/>
      <c r="BA196" s="447"/>
      <c r="BB196" s="447"/>
      <c r="BD196" s="426"/>
      <c r="BE196" s="426"/>
      <c r="BF196" s="426"/>
      <c r="BG196" s="371"/>
    </row>
    <row r="197" spans="44:59">
      <c r="AR197" s="640"/>
      <c r="AS197" s="447"/>
      <c r="AT197" s="627"/>
      <c r="AW197" s="627"/>
      <c r="AX197" s="640"/>
      <c r="AY197" s="640"/>
      <c r="AZ197" s="447"/>
      <c r="BA197" s="447"/>
      <c r="BB197" s="447"/>
      <c r="BD197" s="426"/>
      <c r="BE197" s="426"/>
      <c r="BF197" s="426"/>
      <c r="BG197" s="371"/>
    </row>
    <row r="198" spans="44:59">
      <c r="AR198" s="640"/>
      <c r="AS198" s="447"/>
      <c r="AT198" s="627"/>
      <c r="AW198" s="627"/>
      <c r="AX198" s="640"/>
      <c r="AY198" s="640"/>
      <c r="AZ198" s="447"/>
      <c r="BA198" s="447"/>
      <c r="BB198" s="447"/>
      <c r="BD198" s="426"/>
      <c r="BE198" s="426"/>
      <c r="BF198" s="426"/>
      <c r="BG198" s="371"/>
    </row>
    <row r="199" spans="44:59">
      <c r="AR199" s="640"/>
      <c r="AS199" s="447"/>
      <c r="AT199" s="627"/>
      <c r="AW199" s="627"/>
      <c r="AX199" s="640"/>
      <c r="AY199" s="640"/>
      <c r="AZ199" s="447"/>
      <c r="BA199" s="447"/>
      <c r="BB199" s="447"/>
      <c r="BD199" s="426"/>
      <c r="BE199" s="426"/>
      <c r="BF199" s="426"/>
      <c r="BG199" s="371"/>
    </row>
    <row r="200" spans="44:59">
      <c r="AR200" s="640"/>
      <c r="AS200" s="447"/>
      <c r="AT200" s="627"/>
      <c r="AW200" s="627"/>
      <c r="AX200" s="640"/>
      <c r="AY200" s="640"/>
      <c r="AZ200" s="447"/>
      <c r="BA200" s="447"/>
      <c r="BB200" s="447"/>
      <c r="BD200" s="426"/>
      <c r="BE200" s="426"/>
      <c r="BF200" s="426"/>
      <c r="BG200" s="371"/>
    </row>
    <row r="201" spans="44:59">
      <c r="AR201" s="640"/>
      <c r="AS201" s="447"/>
      <c r="AT201" s="627"/>
      <c r="AW201" s="627"/>
      <c r="AX201" s="640"/>
      <c r="AY201" s="640"/>
      <c r="AZ201" s="447"/>
      <c r="BA201" s="447"/>
      <c r="BB201" s="447"/>
      <c r="BD201" s="426"/>
      <c r="BE201" s="426"/>
      <c r="BF201" s="426"/>
      <c r="BG201" s="371"/>
    </row>
    <row r="202" spans="44:59">
      <c r="AR202" s="640"/>
      <c r="AS202" s="447"/>
      <c r="AT202" s="627"/>
      <c r="AW202" s="627"/>
      <c r="AX202" s="640"/>
      <c r="AY202" s="640"/>
      <c r="AZ202" s="447"/>
      <c r="BA202" s="447"/>
      <c r="BB202" s="447"/>
      <c r="BD202" s="426"/>
      <c r="BE202" s="426"/>
      <c r="BF202" s="426"/>
      <c r="BG202" s="371"/>
    </row>
    <row r="203" spans="44:59">
      <c r="AR203" s="640"/>
      <c r="AS203" s="447"/>
      <c r="AT203" s="627"/>
      <c r="AW203" s="627"/>
      <c r="AX203" s="640"/>
      <c r="AY203" s="640"/>
      <c r="AZ203" s="447"/>
      <c r="BA203" s="447"/>
      <c r="BB203" s="447"/>
      <c r="BD203" s="426"/>
      <c r="BE203" s="426"/>
      <c r="BF203" s="426"/>
      <c r="BG203" s="371"/>
    </row>
    <row r="204" spans="44:59">
      <c r="AR204" s="640"/>
      <c r="AS204" s="447"/>
      <c r="AT204" s="627"/>
      <c r="AW204" s="627"/>
      <c r="AX204" s="640"/>
      <c r="AY204" s="640"/>
      <c r="AZ204" s="447"/>
      <c r="BA204" s="447"/>
      <c r="BB204" s="447"/>
      <c r="BD204" s="426"/>
      <c r="BE204" s="426"/>
      <c r="BF204" s="426"/>
      <c r="BG204" s="371"/>
    </row>
    <row r="205" spans="44:59">
      <c r="AR205" s="640"/>
      <c r="AS205" s="447"/>
      <c r="AT205" s="627"/>
      <c r="AW205" s="627"/>
      <c r="AX205" s="640"/>
      <c r="AY205" s="640"/>
      <c r="AZ205" s="447"/>
      <c r="BA205" s="447"/>
      <c r="BB205" s="447"/>
      <c r="BD205" s="426"/>
      <c r="BE205" s="426"/>
      <c r="BF205" s="426"/>
      <c r="BG205" s="371"/>
    </row>
    <row r="206" spans="44:59">
      <c r="AR206" s="640"/>
      <c r="AS206" s="447"/>
      <c r="AT206" s="627"/>
      <c r="AW206" s="627"/>
      <c r="AX206" s="640"/>
      <c r="AY206" s="640"/>
      <c r="AZ206" s="447"/>
      <c r="BA206" s="447"/>
      <c r="BB206" s="447"/>
      <c r="BD206" s="426"/>
      <c r="BE206" s="426"/>
      <c r="BF206" s="426"/>
      <c r="BG206" s="371"/>
    </row>
    <row r="207" spans="44:59">
      <c r="AR207" s="640"/>
      <c r="AS207" s="447"/>
      <c r="AT207" s="627"/>
      <c r="AW207" s="627"/>
      <c r="AX207" s="640"/>
      <c r="AY207" s="640"/>
      <c r="AZ207" s="447"/>
      <c r="BA207" s="447"/>
      <c r="BB207" s="447"/>
      <c r="BD207" s="426"/>
      <c r="BE207" s="426"/>
      <c r="BF207" s="426"/>
      <c r="BG207" s="371"/>
    </row>
    <row r="208" spans="44:59">
      <c r="AR208" s="640"/>
      <c r="AS208" s="447"/>
      <c r="AT208" s="627"/>
      <c r="AW208" s="627"/>
      <c r="AX208" s="640"/>
      <c r="AY208" s="640"/>
      <c r="AZ208" s="447"/>
      <c r="BA208" s="447"/>
      <c r="BB208" s="447"/>
      <c r="BD208" s="426"/>
      <c r="BE208" s="426"/>
      <c r="BF208" s="426"/>
      <c r="BG208" s="371"/>
    </row>
    <row r="209" spans="44:59">
      <c r="AR209" s="640"/>
      <c r="AS209" s="447"/>
      <c r="AT209" s="627"/>
      <c r="AW209" s="627"/>
      <c r="AX209" s="640"/>
      <c r="AY209" s="640"/>
      <c r="AZ209" s="447"/>
      <c r="BA209" s="447"/>
      <c r="BB209" s="447"/>
      <c r="BD209" s="426"/>
      <c r="BE209" s="426"/>
      <c r="BF209" s="426"/>
      <c r="BG209" s="371"/>
    </row>
    <row r="210" spans="44:59">
      <c r="AR210" s="640"/>
      <c r="AS210" s="447"/>
      <c r="AT210" s="627"/>
      <c r="AW210" s="627"/>
      <c r="AX210" s="640"/>
      <c r="AY210" s="640"/>
      <c r="AZ210" s="447"/>
      <c r="BA210" s="447"/>
      <c r="BB210" s="447"/>
      <c r="BD210" s="426"/>
      <c r="BE210" s="426"/>
      <c r="BF210" s="426"/>
      <c r="BG210" s="371"/>
    </row>
    <row r="211" spans="44:59">
      <c r="AR211" s="640"/>
      <c r="AS211" s="447"/>
      <c r="AT211" s="627"/>
      <c r="AW211" s="627"/>
      <c r="AX211" s="640"/>
      <c r="AY211" s="640"/>
      <c r="AZ211" s="447"/>
      <c r="BA211" s="447"/>
      <c r="BB211" s="447"/>
      <c r="BD211" s="426"/>
      <c r="BE211" s="426"/>
      <c r="BF211" s="426"/>
      <c r="BG211" s="371"/>
    </row>
    <row r="212" spans="44:59">
      <c r="AR212" s="640"/>
      <c r="AS212" s="447"/>
      <c r="AT212" s="627"/>
      <c r="AW212" s="627"/>
      <c r="AX212" s="640"/>
      <c r="AY212" s="640"/>
      <c r="AZ212" s="447"/>
      <c r="BA212" s="447"/>
      <c r="BB212" s="447"/>
      <c r="BD212" s="426"/>
      <c r="BE212" s="426"/>
      <c r="BF212" s="426"/>
      <c r="BG212" s="371"/>
    </row>
    <row r="213" spans="44:59">
      <c r="AR213" s="640"/>
      <c r="AS213" s="447"/>
      <c r="AT213" s="627"/>
      <c r="AW213" s="627"/>
      <c r="AX213" s="640"/>
      <c r="AY213" s="640"/>
      <c r="AZ213" s="447"/>
      <c r="BA213" s="447"/>
      <c r="BB213" s="447"/>
      <c r="BD213" s="426"/>
      <c r="BE213" s="426"/>
      <c r="BF213" s="426"/>
      <c r="BG213" s="371"/>
    </row>
    <row r="214" spans="44:59">
      <c r="AR214" s="640"/>
      <c r="AS214" s="447"/>
      <c r="AT214" s="627"/>
      <c r="AW214" s="627"/>
      <c r="AX214" s="640"/>
      <c r="AY214" s="640"/>
      <c r="AZ214" s="447"/>
      <c r="BA214" s="447"/>
      <c r="BB214" s="447"/>
      <c r="BD214" s="426"/>
      <c r="BE214" s="426"/>
      <c r="BF214" s="426"/>
      <c r="BG214" s="371"/>
    </row>
    <row r="215" spans="44:59">
      <c r="AR215" s="640"/>
      <c r="AS215" s="447"/>
      <c r="AT215" s="627"/>
      <c r="AW215" s="627"/>
      <c r="AX215" s="640"/>
      <c r="AY215" s="640"/>
      <c r="AZ215" s="447"/>
      <c r="BA215" s="447"/>
      <c r="BB215" s="447"/>
      <c r="BD215" s="426"/>
      <c r="BE215" s="426"/>
      <c r="BF215" s="426"/>
      <c r="BG215" s="371"/>
    </row>
    <row r="216" spans="44:59">
      <c r="AR216" s="640"/>
      <c r="AS216" s="447"/>
      <c r="AT216" s="627"/>
      <c r="AW216" s="627"/>
      <c r="AX216" s="640"/>
      <c r="AY216" s="640"/>
      <c r="AZ216" s="447"/>
      <c r="BA216" s="447"/>
      <c r="BB216" s="447"/>
      <c r="BD216" s="426"/>
      <c r="BE216" s="426"/>
      <c r="BF216" s="426"/>
      <c r="BG216" s="371"/>
    </row>
    <row r="217" spans="44:59">
      <c r="AR217" s="640"/>
      <c r="AS217" s="447"/>
      <c r="AT217" s="627"/>
      <c r="AW217" s="627"/>
      <c r="AX217" s="640"/>
      <c r="AY217" s="640"/>
      <c r="AZ217" s="447"/>
      <c r="BA217" s="447"/>
      <c r="BB217" s="447"/>
      <c r="BD217" s="426"/>
      <c r="BE217" s="426"/>
      <c r="BF217" s="426"/>
      <c r="BG217" s="371"/>
    </row>
    <row r="218" spans="44:59">
      <c r="AR218" s="640"/>
      <c r="AS218" s="447"/>
      <c r="AT218" s="627"/>
      <c r="AW218" s="627"/>
      <c r="AX218" s="640"/>
      <c r="AY218" s="640"/>
      <c r="AZ218" s="447"/>
      <c r="BA218" s="447"/>
      <c r="BB218" s="447"/>
      <c r="BD218" s="426"/>
      <c r="BE218" s="426"/>
      <c r="BF218" s="426"/>
      <c r="BG218" s="371"/>
    </row>
    <row r="219" spans="44:59">
      <c r="AR219" s="640"/>
      <c r="AS219" s="447"/>
      <c r="AT219" s="627"/>
      <c r="AW219" s="627"/>
      <c r="AX219" s="640"/>
      <c r="AY219" s="640"/>
      <c r="AZ219" s="447"/>
      <c r="BA219" s="447"/>
      <c r="BB219" s="447"/>
      <c r="BD219" s="426"/>
      <c r="BE219" s="426"/>
      <c r="BF219" s="426"/>
      <c r="BG219" s="371"/>
    </row>
    <row r="220" spans="44:59">
      <c r="AR220" s="640"/>
      <c r="AS220" s="447"/>
      <c r="AT220" s="627"/>
      <c r="AW220" s="627"/>
      <c r="AX220" s="640"/>
      <c r="AY220" s="640"/>
      <c r="AZ220" s="447"/>
      <c r="BA220" s="447"/>
      <c r="BB220" s="447"/>
      <c r="BD220" s="426"/>
      <c r="BE220" s="426"/>
      <c r="BF220" s="426"/>
      <c r="BG220" s="371"/>
    </row>
    <row r="221" spans="44:59">
      <c r="AR221" s="640"/>
      <c r="AS221" s="447"/>
      <c r="AT221" s="627"/>
      <c r="AW221" s="627"/>
      <c r="AX221" s="640"/>
      <c r="AY221" s="640"/>
      <c r="AZ221" s="447"/>
      <c r="BA221" s="447"/>
      <c r="BB221" s="447"/>
      <c r="BD221" s="426"/>
      <c r="BE221" s="426"/>
      <c r="BF221" s="426"/>
      <c r="BG221" s="371"/>
    </row>
    <row r="222" spans="44:59">
      <c r="AR222" s="640"/>
      <c r="AS222" s="447"/>
      <c r="AT222" s="627"/>
      <c r="AW222" s="627"/>
      <c r="AX222" s="640"/>
      <c r="AY222" s="640"/>
      <c r="AZ222" s="447"/>
      <c r="BA222" s="447"/>
      <c r="BB222" s="447"/>
      <c r="BD222" s="426"/>
      <c r="BE222" s="426"/>
      <c r="BF222" s="426"/>
      <c r="BG222" s="371"/>
    </row>
    <row r="223" spans="44:59">
      <c r="AR223" s="640"/>
      <c r="AS223" s="447"/>
      <c r="AT223" s="627"/>
      <c r="AW223" s="627"/>
      <c r="AX223" s="640"/>
      <c r="AY223" s="640"/>
      <c r="AZ223" s="447"/>
      <c r="BA223" s="447"/>
      <c r="BB223" s="447"/>
      <c r="BD223" s="426"/>
      <c r="BE223" s="426"/>
      <c r="BF223" s="426"/>
      <c r="BG223" s="371"/>
    </row>
    <row r="224" spans="44:59">
      <c r="AR224" s="640"/>
      <c r="AS224" s="447"/>
      <c r="AT224" s="627"/>
      <c r="AW224" s="627"/>
      <c r="AX224" s="640"/>
      <c r="AY224" s="640"/>
      <c r="AZ224" s="447"/>
      <c r="BA224" s="447"/>
      <c r="BB224" s="447"/>
      <c r="BD224" s="426"/>
      <c r="BE224" s="426"/>
      <c r="BF224" s="426"/>
      <c r="BG224" s="371"/>
    </row>
    <row r="225" spans="44:59">
      <c r="AR225" s="640"/>
      <c r="AS225" s="447"/>
      <c r="AT225" s="627"/>
      <c r="AW225" s="627"/>
      <c r="AX225" s="640"/>
      <c r="AY225" s="640"/>
      <c r="AZ225" s="447"/>
      <c r="BA225" s="447"/>
      <c r="BB225" s="447"/>
      <c r="BD225" s="426"/>
      <c r="BE225" s="426"/>
      <c r="BF225" s="426"/>
      <c r="BG225" s="371"/>
    </row>
    <row r="226" spans="44:59">
      <c r="AR226" s="640"/>
      <c r="AS226" s="447"/>
      <c r="AT226" s="627"/>
      <c r="AW226" s="627"/>
      <c r="AX226" s="640"/>
      <c r="AY226" s="640"/>
      <c r="AZ226" s="447"/>
      <c r="BA226" s="447"/>
      <c r="BB226" s="447"/>
      <c r="BD226" s="426"/>
      <c r="BE226" s="426"/>
      <c r="BF226" s="426"/>
      <c r="BG226" s="371"/>
    </row>
    <row r="227" spans="44:59">
      <c r="AR227" s="640"/>
      <c r="AS227" s="447"/>
      <c r="AT227" s="627"/>
      <c r="AW227" s="627"/>
      <c r="AX227" s="640"/>
      <c r="AY227" s="640"/>
      <c r="AZ227" s="447"/>
      <c r="BA227" s="447"/>
      <c r="BB227" s="447"/>
      <c r="BD227" s="426"/>
      <c r="BE227" s="426"/>
      <c r="BF227" s="426"/>
      <c r="BG227" s="371"/>
    </row>
    <row r="228" spans="44:59">
      <c r="AR228" s="640"/>
      <c r="AS228" s="447"/>
      <c r="AT228" s="627"/>
      <c r="AW228" s="627"/>
      <c r="AX228" s="640"/>
      <c r="AY228" s="640"/>
      <c r="AZ228" s="447"/>
      <c r="BA228" s="447"/>
      <c r="BB228" s="447"/>
      <c r="BD228" s="426"/>
      <c r="BE228" s="426"/>
      <c r="BF228" s="426"/>
      <c r="BG228" s="371"/>
    </row>
    <row r="229" spans="44:59">
      <c r="AR229" s="640"/>
      <c r="AS229" s="447"/>
      <c r="AT229" s="627"/>
      <c r="AW229" s="627"/>
      <c r="AX229" s="640"/>
      <c r="AY229" s="640"/>
      <c r="AZ229" s="447"/>
      <c r="BA229" s="447"/>
      <c r="BB229" s="447"/>
      <c r="BD229" s="426"/>
      <c r="BE229" s="426"/>
      <c r="BF229" s="426"/>
      <c r="BG229" s="371"/>
    </row>
    <row r="230" spans="44:59">
      <c r="AR230" s="640"/>
      <c r="AS230" s="447"/>
      <c r="AT230" s="627"/>
      <c r="AW230" s="627"/>
      <c r="AX230" s="640"/>
      <c r="AY230" s="640"/>
      <c r="AZ230" s="447"/>
      <c r="BA230" s="447"/>
      <c r="BB230" s="447"/>
      <c r="BD230" s="426"/>
      <c r="BE230" s="426"/>
      <c r="BF230" s="426"/>
      <c r="BG230" s="371"/>
    </row>
    <row r="231" spans="44:59">
      <c r="AR231" s="640"/>
      <c r="AS231" s="447"/>
      <c r="AT231" s="627"/>
      <c r="AW231" s="627"/>
      <c r="AX231" s="640"/>
      <c r="AY231" s="640"/>
      <c r="AZ231" s="447"/>
      <c r="BA231" s="447"/>
      <c r="BB231" s="447"/>
      <c r="BD231" s="426"/>
      <c r="BE231" s="426"/>
      <c r="BF231" s="426"/>
      <c r="BG231" s="371"/>
    </row>
    <row r="232" spans="44:59">
      <c r="AR232" s="640"/>
      <c r="AS232" s="447"/>
      <c r="AT232" s="627"/>
      <c r="AW232" s="627"/>
      <c r="AX232" s="640"/>
      <c r="AY232" s="640"/>
      <c r="AZ232" s="447"/>
      <c r="BA232" s="447"/>
      <c r="BB232" s="447"/>
      <c r="BD232" s="426"/>
      <c r="BE232" s="426"/>
      <c r="BF232" s="426"/>
      <c r="BG232" s="371"/>
    </row>
    <row r="233" spans="44:59">
      <c r="AR233" s="640"/>
      <c r="AS233" s="447"/>
      <c r="AT233" s="627"/>
      <c r="AW233" s="627"/>
      <c r="AX233" s="640"/>
      <c r="AY233" s="640"/>
      <c r="AZ233" s="447"/>
      <c r="BA233" s="447"/>
      <c r="BB233" s="447"/>
      <c r="BD233" s="426"/>
      <c r="BE233" s="426"/>
      <c r="BF233" s="426"/>
      <c r="BG233" s="371"/>
    </row>
    <row r="234" spans="44:59">
      <c r="AR234" s="640"/>
      <c r="AS234" s="447"/>
      <c r="AT234" s="627"/>
      <c r="AW234" s="627"/>
      <c r="AX234" s="640"/>
      <c r="AY234" s="640"/>
      <c r="AZ234" s="447"/>
      <c r="BA234" s="447"/>
      <c r="BB234" s="447"/>
      <c r="BD234" s="426"/>
      <c r="BE234" s="426"/>
      <c r="BF234" s="426"/>
      <c r="BG234" s="371"/>
    </row>
    <row r="235" spans="44:59">
      <c r="AR235" s="640"/>
      <c r="AS235" s="447"/>
      <c r="AT235" s="627"/>
      <c r="AW235" s="627"/>
      <c r="AX235" s="640"/>
      <c r="AY235" s="640"/>
      <c r="AZ235" s="447"/>
      <c r="BA235" s="447"/>
      <c r="BB235" s="447"/>
      <c r="BD235" s="426"/>
      <c r="BE235" s="426"/>
      <c r="BF235" s="426"/>
      <c r="BG235" s="371"/>
    </row>
    <row r="236" spans="44:59">
      <c r="AR236" s="640"/>
      <c r="AS236" s="447"/>
      <c r="AT236" s="627"/>
      <c r="AW236" s="627"/>
      <c r="AX236" s="640"/>
      <c r="AY236" s="640"/>
      <c r="AZ236" s="447"/>
      <c r="BA236" s="447"/>
      <c r="BB236" s="447"/>
      <c r="BD236" s="426"/>
      <c r="BE236" s="426"/>
      <c r="BF236" s="426"/>
      <c r="BG236" s="371"/>
    </row>
    <row r="237" spans="44:59">
      <c r="AR237" s="640"/>
      <c r="AS237" s="447"/>
      <c r="AT237" s="627"/>
      <c r="AW237" s="627"/>
      <c r="AX237" s="640"/>
      <c r="AY237" s="640"/>
      <c r="AZ237" s="447"/>
      <c r="BA237" s="447"/>
      <c r="BB237" s="447"/>
      <c r="BD237" s="426"/>
      <c r="BE237" s="426"/>
      <c r="BF237" s="426"/>
      <c r="BG237" s="371"/>
    </row>
    <row r="238" spans="44:59">
      <c r="AR238" s="640"/>
      <c r="AS238" s="447"/>
      <c r="AT238" s="627"/>
      <c r="AW238" s="627"/>
      <c r="AX238" s="640"/>
      <c r="AY238" s="640"/>
      <c r="AZ238" s="447"/>
      <c r="BA238" s="447"/>
      <c r="BB238" s="447"/>
      <c r="BD238" s="426"/>
      <c r="BE238" s="426"/>
      <c r="BF238" s="426"/>
      <c r="BG238" s="371"/>
    </row>
    <row r="239" spans="44:59">
      <c r="AR239" s="640"/>
      <c r="AS239" s="447"/>
      <c r="AT239" s="627"/>
      <c r="AW239" s="627"/>
      <c r="AX239" s="640"/>
      <c r="AY239" s="640"/>
      <c r="AZ239" s="447"/>
      <c r="BA239" s="447"/>
      <c r="BB239" s="447"/>
      <c r="BD239" s="426"/>
      <c r="BE239" s="426"/>
      <c r="BF239" s="426"/>
      <c r="BG239" s="371"/>
    </row>
    <row r="240" spans="44:59">
      <c r="AR240" s="640"/>
      <c r="AS240" s="447"/>
      <c r="AT240" s="627"/>
      <c r="AW240" s="627"/>
      <c r="AX240" s="640"/>
      <c r="AY240" s="640"/>
      <c r="AZ240" s="447"/>
      <c r="BA240" s="447"/>
      <c r="BB240" s="447"/>
      <c r="BD240" s="426"/>
      <c r="BE240" s="426"/>
      <c r="BF240" s="426"/>
      <c r="BG240" s="371"/>
    </row>
    <row r="241" spans="44:59">
      <c r="AR241" s="640"/>
      <c r="AS241" s="447"/>
      <c r="AT241" s="627"/>
      <c r="AW241" s="627"/>
      <c r="AX241" s="640"/>
      <c r="AY241" s="640"/>
      <c r="AZ241" s="447"/>
      <c r="BA241" s="447"/>
      <c r="BB241" s="447"/>
      <c r="BD241" s="426"/>
      <c r="BE241" s="426"/>
      <c r="BF241" s="426"/>
      <c r="BG241" s="371"/>
    </row>
    <row r="242" spans="44:59">
      <c r="AR242" s="640"/>
      <c r="AS242" s="447"/>
      <c r="AT242" s="627"/>
      <c r="AW242" s="627"/>
      <c r="AX242" s="640"/>
      <c r="AY242" s="640"/>
      <c r="AZ242" s="447"/>
      <c r="BA242" s="447"/>
      <c r="BB242" s="447"/>
      <c r="BD242" s="426"/>
      <c r="BE242" s="426"/>
      <c r="BF242" s="426"/>
      <c r="BG242" s="371"/>
    </row>
    <row r="243" spans="44:59">
      <c r="AR243" s="640"/>
      <c r="AS243" s="447"/>
      <c r="AT243" s="627"/>
      <c r="AW243" s="627"/>
      <c r="AX243" s="640"/>
      <c r="AY243" s="640"/>
      <c r="AZ243" s="447"/>
      <c r="BA243" s="447"/>
      <c r="BB243" s="447"/>
      <c r="BD243" s="426"/>
      <c r="BE243" s="426"/>
      <c r="BF243" s="426"/>
      <c r="BG243" s="371"/>
    </row>
    <row r="244" spans="44:59">
      <c r="AR244" s="640"/>
      <c r="AS244" s="447"/>
      <c r="AT244" s="627"/>
      <c r="AW244" s="627"/>
      <c r="AX244" s="640"/>
      <c r="AY244" s="640"/>
      <c r="AZ244" s="447"/>
      <c r="BA244" s="447"/>
      <c r="BB244" s="447"/>
      <c r="BD244" s="426"/>
      <c r="BE244" s="426"/>
      <c r="BF244" s="426"/>
      <c r="BG244" s="371"/>
    </row>
    <row r="245" spans="44:59">
      <c r="AR245" s="640"/>
      <c r="AS245" s="447"/>
      <c r="AT245" s="627"/>
      <c r="AW245" s="627"/>
      <c r="AX245" s="640"/>
      <c r="AY245" s="640"/>
      <c r="AZ245" s="447"/>
      <c r="BA245" s="447"/>
      <c r="BB245" s="447"/>
      <c r="BD245" s="426"/>
      <c r="BE245" s="426"/>
      <c r="BF245" s="426"/>
      <c r="BG245" s="371"/>
    </row>
    <row r="246" spans="44:59">
      <c r="AR246" s="640"/>
      <c r="AS246" s="447"/>
      <c r="AT246" s="627"/>
      <c r="AW246" s="627"/>
      <c r="AX246" s="640"/>
      <c r="AY246" s="640"/>
      <c r="AZ246" s="447"/>
      <c r="BA246" s="447"/>
      <c r="BB246" s="447"/>
      <c r="BD246" s="426"/>
      <c r="BE246" s="426"/>
      <c r="BF246" s="426"/>
      <c r="BG246" s="371"/>
    </row>
    <row r="247" spans="44:59">
      <c r="AR247" s="640"/>
      <c r="AS247" s="447"/>
      <c r="AT247" s="627"/>
      <c r="AW247" s="627"/>
      <c r="AX247" s="640"/>
      <c r="AY247" s="640"/>
      <c r="AZ247" s="447"/>
      <c r="BA247" s="447"/>
      <c r="BB247" s="447"/>
      <c r="BD247" s="426"/>
      <c r="BE247" s="426"/>
      <c r="BF247" s="426"/>
      <c r="BG247" s="371"/>
    </row>
    <row r="248" spans="44:59">
      <c r="AR248" s="640"/>
      <c r="AS248" s="447"/>
      <c r="AT248" s="627"/>
      <c r="AW248" s="627"/>
      <c r="AX248" s="640"/>
      <c r="AY248" s="640"/>
      <c r="AZ248" s="447"/>
      <c r="BA248" s="447"/>
      <c r="BB248" s="447"/>
      <c r="BD248" s="426"/>
      <c r="BE248" s="426"/>
      <c r="BF248" s="426"/>
      <c r="BG248" s="371"/>
    </row>
    <row r="249" spans="44:59">
      <c r="AR249" s="640"/>
      <c r="AS249" s="447"/>
      <c r="AT249" s="627"/>
      <c r="AW249" s="627"/>
      <c r="AX249" s="640"/>
      <c r="AY249" s="640"/>
      <c r="AZ249" s="447"/>
      <c r="BA249" s="447"/>
      <c r="BB249" s="447"/>
      <c r="BD249" s="426"/>
      <c r="BE249" s="426"/>
      <c r="BF249" s="426"/>
      <c r="BG249" s="371"/>
    </row>
    <row r="250" spans="44:59">
      <c r="AR250" s="640"/>
      <c r="AS250" s="447"/>
      <c r="AT250" s="627"/>
      <c r="AW250" s="627"/>
      <c r="AX250" s="640"/>
      <c r="AY250" s="640"/>
      <c r="AZ250" s="447"/>
      <c r="BA250" s="447"/>
      <c r="BB250" s="447"/>
      <c r="BD250" s="426"/>
      <c r="BE250" s="426"/>
      <c r="BF250" s="426"/>
      <c r="BG250" s="371"/>
    </row>
    <row r="251" spans="44:59">
      <c r="AR251" s="640"/>
      <c r="AS251" s="447"/>
      <c r="AT251" s="627"/>
      <c r="AW251" s="627"/>
      <c r="AX251" s="640"/>
      <c r="AY251" s="640"/>
      <c r="AZ251" s="447"/>
      <c r="BA251" s="447"/>
      <c r="BB251" s="447"/>
      <c r="BD251" s="426"/>
      <c r="BE251" s="426"/>
      <c r="BF251" s="426"/>
      <c r="BG251" s="371"/>
    </row>
    <row r="252" spans="44:59">
      <c r="AR252" s="640"/>
      <c r="AS252" s="447"/>
      <c r="AT252" s="627"/>
      <c r="AW252" s="627"/>
      <c r="AX252" s="640"/>
      <c r="AY252" s="640"/>
      <c r="AZ252" s="447"/>
      <c r="BA252" s="447"/>
      <c r="BB252" s="447"/>
      <c r="BD252" s="426"/>
      <c r="BE252" s="426"/>
      <c r="BF252" s="426"/>
      <c r="BG252" s="371"/>
    </row>
    <row r="253" spans="44:59">
      <c r="AR253" s="640"/>
      <c r="AS253" s="447"/>
      <c r="AT253" s="627"/>
      <c r="AW253" s="627"/>
      <c r="AX253" s="640"/>
      <c r="AY253" s="640"/>
      <c r="AZ253" s="447"/>
      <c r="BA253" s="447"/>
      <c r="BB253" s="447"/>
      <c r="BD253" s="426"/>
      <c r="BE253" s="426"/>
      <c r="BF253" s="426"/>
      <c r="BG253" s="371"/>
    </row>
  </sheetData>
  <sheetProtection algorithmName="SHA-512" hashValue="bjdFGor5enGYtsKH76XkF+b/xnCzXm5uRp8cl+24M0o3xz+MuBVIzPYNU3etYoULTYGYvPpv/2nlhLxAg2/tDw==" saltValue="l2yud3FhRo32rAfhBoePTw==" spinCount="100000" sheet="1" formatCells="0" formatColumns="0" formatRows="0" insertColumns="0" insertRows="0" sort="0" autoFilter="0"/>
  <phoneticPr fontId="57" type="noConversion"/>
  <conditionalFormatting sqref="AA1:AA1048576">
    <cfRule type="cellIs" dxfId="89" priority="15" operator="equal">
      <formula>"No diligenciar, no programo presupuesto"</formula>
    </cfRule>
    <cfRule type="cellIs" dxfId="88" priority="16" operator="equal">
      <formula>"Diligenciar la vigencia, tiene presupuesto programado"</formula>
    </cfRule>
  </conditionalFormatting>
  <conditionalFormatting sqref="AG1:AG1048576">
    <cfRule type="cellIs" dxfId="87" priority="11" operator="equal">
      <formula>"No diligenciar, no programo presupuesto"</formula>
    </cfRule>
    <cfRule type="cellIs" dxfId="86" priority="12" operator="equal">
      <formula>"Diligenciar la vigencia, tiene presupuesto programado"</formula>
    </cfRule>
  </conditionalFormatting>
  <conditionalFormatting sqref="AM1:AM1048576">
    <cfRule type="cellIs" dxfId="85" priority="7" operator="equal">
      <formula>"No diligenciar, no programo presupuesto"</formula>
    </cfRule>
    <cfRule type="cellIs" dxfId="84" priority="8" operator="equal">
      <formula>"Diligenciar la vigencia, tiene presupuesto programado"</formula>
    </cfRule>
  </conditionalFormatting>
  <conditionalFormatting sqref="AS1:AS100 AS254:AS1048576">
    <cfRule type="cellIs" dxfId="83" priority="3" operator="equal">
      <formula>"No diligenciar, no programo presupuesto"</formula>
    </cfRule>
    <cfRule type="cellIs" dxfId="82" priority="4" operator="equal">
      <formula>"Diligenciar la vigencia, tiene presupuesto programado"</formula>
    </cfRule>
  </conditionalFormatting>
  <conditionalFormatting sqref="AY1">
    <cfRule type="cellIs" dxfId="81" priority="1" operator="equal">
      <formula>"No diligenciar, no programo presupuesto"</formula>
    </cfRule>
    <cfRule type="cellIs" dxfId="80" priority="2" operator="equal">
      <formula>"Diligenciar la vigencia, tiene presupuesto programado"</formula>
    </cfRule>
  </conditionalFormatting>
  <conditionalFormatting sqref="AZ1 AZ2:BC100 AZ254:BC1048576">
    <cfRule type="cellIs" dxfId="79" priority="17" operator="equal">
      <formula>"Ok, Continue"</formula>
    </cfRule>
    <cfRule type="cellIs" dxfId="78" priority="18" operator="equal">
      <formula>"Error, el promedio no coincide con la meta del cuatrienio"</formula>
    </cfRule>
  </conditionalFormatting>
  <dataValidations count="1">
    <dataValidation type="list" allowBlank="1" showInputMessage="1" showErrorMessage="1" sqref="BF2:BF99" xr:uid="{17F92035-4BF5-4A0F-82F0-352EEE2A5729}">
      <formula1>INDIRECT(BE2)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258320DD-04C2-4210-8D33-2B6C19045DCF}">
          <x14:formula1>
            <xm:f>'Listas Desplegables'!$A$2:$A$33</xm:f>
          </x14:formula1>
          <xm:sqref>A3:A100</xm:sqref>
        </x14:dataValidation>
        <x14:dataValidation type="list" allowBlank="1" showInputMessage="1" showErrorMessage="1" xr:uid="{E68FA249-0A7D-45EF-9047-349A486C1BBD}">
          <x14:formula1>
            <xm:f>'Listas Desplegables'!$E$2:$E$6</xm:f>
          </x14:formula1>
          <xm:sqref>BD2:BD99</xm:sqref>
        </x14:dataValidation>
        <x14:dataValidation type="list" allowBlank="1" showInputMessage="1" showErrorMessage="1" xr:uid="{371E97F4-5C30-4080-9C9F-C8FDBD3B1E65}">
          <x14:formula1>
            <xm:f>'Listas Desplegables'!$C$2:$C$5</xm:f>
          </x14:formula1>
          <xm:sqref>Z2:Z80</xm:sqref>
        </x14:dataValidation>
        <x14:dataValidation type="list" allowBlank="1" showInputMessage="1" showErrorMessage="1" xr:uid="{59692FAE-30A0-4EF7-94F4-CFBB9C84AEAD}">
          <x14:formula1>
            <xm:f>'Listas Desplegables'!$Q$2:$Q$4</xm:f>
          </x14:formula1>
          <xm:sqref>BC2:BC99</xm:sqref>
        </x14:dataValidation>
        <x14:dataValidation type="list" showInputMessage="1" showErrorMessage="1" xr:uid="{3C492B10-F88C-4231-975F-389576A326A7}">
          <x14:formula1>
            <xm:f>'Listas Desplegables'!$Q$2:$Q$4</xm:f>
          </x14:formula1>
          <xm:sqref>BC1</xm:sqref>
        </x14:dataValidation>
        <x14:dataValidation type="list" allowBlank="1" showInputMessage="1" showErrorMessage="1" xr:uid="{5686B912-FED1-4E92-B59A-76D5EFF898BD}">
          <x14:formula1>
            <xm:f>'Listas Desplegables'!$S$2:$S$25</xm:f>
          </x14:formula1>
          <xm:sqref>BG2:BG80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3"/>
  <sheetViews>
    <sheetView workbookViewId="0"/>
  </sheetViews>
  <sheetFormatPr baseColWidth="10" defaultRowHeight="13.8"/>
  <sheetData>
    <row r="1" spans="1:4">
      <c r="A1" s="1" t="s">
        <v>685</v>
      </c>
    </row>
    <row r="2" spans="1:4">
      <c r="A2" s="1" t="s">
        <v>686</v>
      </c>
    </row>
    <row r="3" spans="1:4">
      <c r="A3" s="1" t="s">
        <v>687</v>
      </c>
    </row>
    <row r="7" spans="1:4" ht="52.2">
      <c r="D7" s="2" t="s">
        <v>936</v>
      </c>
    </row>
    <row r="8" spans="1:4" ht="52.2">
      <c r="D8" s="2" t="s">
        <v>937</v>
      </c>
    </row>
    <row r="9" spans="1:4" ht="52.2">
      <c r="D9" s="2" t="s">
        <v>938</v>
      </c>
    </row>
    <row r="10" spans="1:4" ht="69.599999999999994">
      <c r="D10" s="2" t="s">
        <v>939</v>
      </c>
    </row>
    <row r="11" spans="1:4" ht="69.599999999999994">
      <c r="D11" s="2" t="s">
        <v>940</v>
      </c>
    </row>
    <row r="12" spans="1:4" ht="69.599999999999994">
      <c r="D12" s="2" t="s">
        <v>941</v>
      </c>
    </row>
    <row r="13" spans="1:4" ht="104.4">
      <c r="D13" s="2" t="s">
        <v>942</v>
      </c>
    </row>
    <row r="14" spans="1:4" ht="139.19999999999999">
      <c r="D14" s="2" t="s">
        <v>943</v>
      </c>
    </row>
    <row r="15" spans="1:4" ht="104.4">
      <c r="D15" s="2" t="s">
        <v>944</v>
      </c>
    </row>
    <row r="16" spans="1:4" ht="87">
      <c r="D16" s="2" t="s">
        <v>945</v>
      </c>
    </row>
    <row r="17" spans="4:4" ht="121.8">
      <c r="D17" s="2" t="s">
        <v>946</v>
      </c>
    </row>
    <row r="18" spans="4:4" ht="121.8">
      <c r="D18" s="2" t="s">
        <v>947</v>
      </c>
    </row>
    <row r="19" spans="4:4" ht="69.599999999999994">
      <c r="D19" s="2" t="s">
        <v>948</v>
      </c>
    </row>
    <row r="20" spans="4:4" ht="52.2">
      <c r="D20" s="2" t="s">
        <v>949</v>
      </c>
    </row>
    <row r="21" spans="4:4" ht="87">
      <c r="D21" s="2" t="s">
        <v>950</v>
      </c>
    </row>
    <row r="22" spans="4:4" ht="104.4">
      <c r="D22" s="2" t="s">
        <v>951</v>
      </c>
    </row>
    <row r="23" spans="4:4" ht="87">
      <c r="D23" s="2" t="s">
        <v>952</v>
      </c>
    </row>
  </sheetData>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0"/>
  <sheetViews>
    <sheetView workbookViewId="0"/>
  </sheetViews>
  <sheetFormatPr baseColWidth="10" defaultRowHeight="13.8"/>
  <sheetData>
    <row r="1" spans="1:1" ht="27.6">
      <c r="A1" s="3" t="s">
        <v>1208</v>
      </c>
    </row>
    <row r="2" spans="1:1" ht="96.6">
      <c r="A2" s="4" t="s">
        <v>1192</v>
      </c>
    </row>
    <row r="3" spans="1:1" ht="69">
      <c r="A3" s="5" t="s">
        <v>1193</v>
      </c>
    </row>
    <row r="4" spans="1:1" ht="55.2">
      <c r="A4" s="4" t="s">
        <v>1194</v>
      </c>
    </row>
    <row r="5" spans="1:1" ht="69">
      <c r="A5" s="5" t="s">
        <v>1195</v>
      </c>
    </row>
    <row r="6" spans="1:1" ht="82.8">
      <c r="A6" s="4" t="s">
        <v>1196</v>
      </c>
    </row>
    <row r="7" spans="1:1" ht="110.4">
      <c r="A7" s="5" t="s">
        <v>1197</v>
      </c>
    </row>
    <row r="8" spans="1:1" ht="110.4">
      <c r="A8" s="4" t="s">
        <v>1198</v>
      </c>
    </row>
    <row r="9" spans="1:1" ht="124.2">
      <c r="A9" s="4" t="s">
        <v>2340</v>
      </c>
    </row>
    <row r="10" spans="1:1" ht="110.4">
      <c r="A10" s="5" t="s">
        <v>1199</v>
      </c>
    </row>
    <row r="11" spans="1:1" ht="234.6">
      <c r="A11" s="4" t="s">
        <v>1200</v>
      </c>
    </row>
    <row r="12" spans="1:1" ht="124.2">
      <c r="A12" s="4" t="s">
        <v>2341</v>
      </c>
    </row>
    <row r="13" spans="1:1" ht="82.8">
      <c r="A13" s="5" t="s">
        <v>1201</v>
      </c>
    </row>
    <row r="14" spans="1:1" ht="138">
      <c r="A14" s="4" t="s">
        <v>1202</v>
      </c>
    </row>
    <row r="15" spans="1:1" ht="151.80000000000001">
      <c r="A15" s="5" t="s">
        <v>1203</v>
      </c>
    </row>
    <row r="16" spans="1:1" ht="82.8">
      <c r="A16" s="4" t="s">
        <v>1204</v>
      </c>
    </row>
    <row r="17" spans="1:1" ht="124.2">
      <c r="A17" s="5" t="s">
        <v>1205</v>
      </c>
    </row>
    <row r="18" spans="1:1" ht="55.2">
      <c r="A18" s="5" t="s">
        <v>2342</v>
      </c>
    </row>
    <row r="19" spans="1:1" ht="82.8">
      <c r="A19" s="4" t="s">
        <v>1206</v>
      </c>
    </row>
    <row r="20" spans="1:1" ht="41.4">
      <c r="A20" s="5" t="s">
        <v>1207</v>
      </c>
    </row>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4"/>
  <sheetViews>
    <sheetView workbookViewId="0">
      <selection activeCell="C2" sqref="C2:C18"/>
    </sheetView>
  </sheetViews>
  <sheetFormatPr baseColWidth="10" defaultRowHeight="13.8"/>
  <cols>
    <col min="2" max="2" width="60.5" customWidth="1"/>
    <col min="4" max="4" width="45.19921875" customWidth="1"/>
  </cols>
  <sheetData>
    <row r="1" spans="1:4" ht="28.2" thickBot="1">
      <c r="B1" s="3" t="s">
        <v>1191</v>
      </c>
      <c r="C1" s="342" t="s">
        <v>3973</v>
      </c>
      <c r="D1" s="342" t="s">
        <v>3943</v>
      </c>
    </row>
    <row r="2" spans="1:4" ht="15" thickBot="1">
      <c r="A2" s="6" t="s">
        <v>612</v>
      </c>
      <c r="B2" s="4" t="s">
        <v>1213</v>
      </c>
      <c r="C2" s="338" t="s">
        <v>3944</v>
      </c>
      <c r="D2" s="339" t="s">
        <v>3945</v>
      </c>
    </row>
    <row r="3" spans="1:4" ht="14.4">
      <c r="A3" s="6" t="s">
        <v>1210</v>
      </c>
      <c r="B3" s="5" t="s">
        <v>1218</v>
      </c>
      <c r="C3" s="340">
        <v>22</v>
      </c>
      <c r="D3" s="341" t="s">
        <v>1213</v>
      </c>
    </row>
    <row r="4" spans="1:4" ht="14.4">
      <c r="A4" s="6" t="s">
        <v>613</v>
      </c>
      <c r="B4" s="5" t="s">
        <v>1214</v>
      </c>
      <c r="C4" s="340" t="s">
        <v>3946</v>
      </c>
      <c r="D4" s="341" t="s">
        <v>3947</v>
      </c>
    </row>
    <row r="5" spans="1:4" ht="14.4">
      <c r="A5" s="6" t="s">
        <v>623</v>
      </c>
      <c r="B5" s="4" t="s">
        <v>1215</v>
      </c>
      <c r="C5" s="338" t="s">
        <v>3948</v>
      </c>
      <c r="D5" s="339" t="s">
        <v>3949</v>
      </c>
    </row>
    <row r="6" spans="1:4" ht="14.4">
      <c r="A6" s="6" t="s">
        <v>618</v>
      </c>
      <c r="B6" s="5" t="s">
        <v>1216</v>
      </c>
      <c r="C6" s="340" t="s">
        <v>3950</v>
      </c>
      <c r="D6" s="341" t="s">
        <v>3951</v>
      </c>
    </row>
    <row r="7" spans="1:4" ht="14.4">
      <c r="A7" s="6" t="s">
        <v>619</v>
      </c>
      <c r="B7" s="4" t="s">
        <v>1217</v>
      </c>
      <c r="C7" s="340" t="s">
        <v>3952</v>
      </c>
      <c r="D7" s="339" t="s">
        <v>3953</v>
      </c>
    </row>
    <row r="8" spans="1:4" ht="14.4">
      <c r="A8" s="6" t="s">
        <v>614</v>
      </c>
      <c r="B8" s="4" t="s">
        <v>1219</v>
      </c>
      <c r="C8" s="340" t="s">
        <v>3954</v>
      </c>
      <c r="D8" s="339" t="s">
        <v>3955</v>
      </c>
    </row>
    <row r="9" spans="1:4" ht="14.4">
      <c r="A9" s="6" t="s">
        <v>620</v>
      </c>
      <c r="B9" s="5" t="s">
        <v>1220</v>
      </c>
      <c r="C9" s="340" t="s">
        <v>3956</v>
      </c>
      <c r="D9" s="341" t="s">
        <v>1221</v>
      </c>
    </row>
    <row r="10" spans="1:4" ht="14.4">
      <c r="A10" s="6" t="s">
        <v>625</v>
      </c>
      <c r="B10" s="4" t="s">
        <v>1221</v>
      </c>
      <c r="C10" s="340" t="s">
        <v>3957</v>
      </c>
      <c r="D10" s="341" t="s">
        <v>3958</v>
      </c>
    </row>
    <row r="11" spans="1:4" ht="14.4">
      <c r="A11" s="6" t="s">
        <v>622</v>
      </c>
      <c r="B11" s="5" t="s">
        <v>1222</v>
      </c>
      <c r="C11" s="340" t="s">
        <v>3959</v>
      </c>
      <c r="D11" s="339" t="s">
        <v>1217</v>
      </c>
    </row>
    <row r="12" spans="1:4" ht="14.4">
      <c r="A12" s="6" t="s">
        <v>1211</v>
      </c>
      <c r="B12" s="4" t="s">
        <v>1223</v>
      </c>
      <c r="C12" s="340" t="s">
        <v>3960</v>
      </c>
      <c r="D12" s="341" t="s">
        <v>3961</v>
      </c>
    </row>
    <row r="13" spans="1:4" ht="14.4">
      <c r="A13" s="6" t="s">
        <v>624</v>
      </c>
      <c r="B13" s="5" t="s">
        <v>1224</v>
      </c>
      <c r="C13" s="340" t="s">
        <v>3962</v>
      </c>
      <c r="D13" s="339" t="s">
        <v>3963</v>
      </c>
    </row>
    <row r="14" spans="1:4" ht="14.4">
      <c r="A14" s="6" t="s">
        <v>621</v>
      </c>
      <c r="B14" s="4" t="s">
        <v>1225</v>
      </c>
      <c r="C14" s="340" t="s">
        <v>3964</v>
      </c>
      <c r="D14" s="341" t="s">
        <v>3965</v>
      </c>
    </row>
    <row r="15" spans="1:4" ht="14.4">
      <c r="A15" s="6" t="s">
        <v>616</v>
      </c>
      <c r="B15" s="5" t="s">
        <v>1226</v>
      </c>
      <c r="C15" s="340" t="s">
        <v>3966</v>
      </c>
      <c r="D15" s="339" t="s">
        <v>1219</v>
      </c>
    </row>
    <row r="16" spans="1:4" ht="14.4">
      <c r="A16" s="6" t="s">
        <v>1212</v>
      </c>
      <c r="B16" s="4" t="s">
        <v>1229</v>
      </c>
      <c r="C16" s="340" t="s">
        <v>3971</v>
      </c>
      <c r="D16" s="341" t="s">
        <v>3972</v>
      </c>
    </row>
    <row r="17" spans="1:5" ht="14.4">
      <c r="A17" s="6" t="s">
        <v>615</v>
      </c>
      <c r="B17" s="4" t="s">
        <v>1227</v>
      </c>
      <c r="C17" s="340" t="s">
        <v>3967</v>
      </c>
      <c r="D17" s="341" t="s">
        <v>3968</v>
      </c>
    </row>
    <row r="18" spans="1:5" ht="14.4">
      <c r="A18" s="6" t="s">
        <v>626</v>
      </c>
      <c r="B18" s="5" t="s">
        <v>1228</v>
      </c>
      <c r="C18" s="340" t="s">
        <v>3969</v>
      </c>
      <c r="D18" s="339" t="s">
        <v>3970</v>
      </c>
    </row>
    <row r="19" spans="1:5">
      <c r="A19" s="6" t="s">
        <v>617</v>
      </c>
      <c r="B19" s="5" t="s">
        <v>1230</v>
      </c>
    </row>
    <row r="21" spans="1:5">
      <c r="D21" s="1"/>
    </row>
    <row r="22" spans="1:5">
      <c r="D22" s="1"/>
    </row>
    <row r="24" spans="1:5">
      <c r="D24" s="7"/>
      <c r="E24" s="7"/>
    </row>
  </sheetData>
  <sortState xmlns:xlrd2="http://schemas.microsoft.com/office/spreadsheetml/2017/richdata2" ref="A3:D19">
    <sortCondition ref="C2:C19"/>
  </sortState>
  <pageMargins left="0.75" right="0.75" top="1" bottom="1" header="0.5" footer="0.5"/>
  <pageSetup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6</vt:i4>
      </vt:variant>
    </vt:vector>
  </HeadingPairs>
  <TitlesOfParts>
    <vt:vector size="24" baseType="lpstr">
      <vt:lpstr>Plan Indicativo</vt:lpstr>
      <vt:lpstr>Instrucciones</vt:lpstr>
      <vt:lpstr>Datos Enlace</vt:lpstr>
      <vt:lpstr>Hoja1</vt:lpstr>
      <vt:lpstr>Matriz de Referencia</vt:lpstr>
      <vt:lpstr>Parte Estrategica</vt:lpstr>
      <vt:lpstr>ODS</vt:lpstr>
      <vt:lpstr>pilar de paz </vt:lpstr>
      <vt:lpstr>sector fut</vt:lpstr>
      <vt:lpstr>SECTORIALES</vt:lpstr>
      <vt:lpstr>PPI</vt:lpstr>
      <vt:lpstr>Mantenimiento-Incremento</vt:lpstr>
      <vt:lpstr>Plan Abrigo</vt:lpstr>
      <vt:lpstr>Ind Man-Inc</vt:lpstr>
      <vt:lpstr>Parte financiera</vt:lpstr>
      <vt:lpstr>Matriz de control</vt:lpstr>
      <vt:lpstr>Listas Desplegables</vt:lpstr>
      <vt:lpstr>Hoja3</vt:lpstr>
      <vt:lpstr>Dimensión</vt:lpstr>
      <vt:lpstr>Dimensión_1</vt:lpstr>
      <vt:lpstr>Dimensión_2</vt:lpstr>
      <vt:lpstr>Dimensión_3</vt:lpstr>
      <vt:lpstr>Dimensión_4</vt:lpstr>
      <vt:lpstr>Dimensión_5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Bibiana</dc:creator>
  <cp:lastModifiedBy>ANDREA_JIMENEZ</cp:lastModifiedBy>
  <cp:lastPrinted>2024-05-23T16:59:53Z</cp:lastPrinted>
  <dcterms:created xsi:type="dcterms:W3CDTF">2006-09-16T00:00:00Z</dcterms:created>
  <dcterms:modified xsi:type="dcterms:W3CDTF">2024-06-07T23:13:01Z</dcterms:modified>
</cp:coreProperties>
</file>